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地圖-Map" sheetId="4" r:id="rId8"/>
    <sheet state="visible" name="野外掉落-Drops" sheetId="5" r:id="rId9"/>
    <sheet state="visible" name="武器-Weap"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Z1">
      <text>
        <t xml:space="preserve">Human Translation</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AL83">
      <text>
        <t xml:space="preserve">Human Translation</t>
      </text>
    </comment>
    <comment authorId="0" ref="AL84">
      <text>
        <t xml:space="preserve">Human Translation</t>
      </text>
    </comment>
    <comment authorId="0" ref="AL85">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04">
      <text>
        <t xml:space="preserve">Human Translation</t>
      </text>
    </comment>
    <comment authorId="0" ref="AL117">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
      <text>
        <t xml:space="preserve">Human Translate</t>
      </text>
    </comment>
    <comment authorId="0" ref="AE2">
      <text>
        <t xml:space="preserve">Human Translate</t>
      </text>
    </comment>
    <comment authorId="0" ref="AE3">
      <text>
        <t xml:space="preserve">Human Translate</t>
      </text>
    </comment>
    <comment authorId="0" ref="AB4">
      <text>
        <t xml:space="preserve">Human Translator</t>
      </text>
    </comment>
    <comment authorId="0" ref="AE4">
      <text>
        <t xml:space="preserve">Human Translate</t>
      </text>
    </comment>
    <comment authorId="0" ref="AC5">
      <text>
        <t xml:space="preserve">Human Translator
</t>
      </text>
    </comment>
    <comment authorId="0" ref="AE5">
      <text>
        <t xml:space="preserve">Human Translate</t>
      </text>
    </comment>
    <comment authorId="0" ref="AE6">
      <text>
        <t xml:space="preserve">Human Translate</t>
      </text>
    </comment>
    <comment authorId="0" ref="AE7">
      <text>
        <t xml:space="preserve">Human Translate</t>
      </text>
    </comment>
    <comment authorId="0" ref="Z8">
      <text>
        <t xml:space="preserve">Human Translator</t>
      </text>
    </comment>
    <comment authorId="0" ref="AB8">
      <text>
        <t xml:space="preserve">Human Translator
</t>
      </text>
    </comment>
    <comment authorId="0" ref="AE8">
      <text>
        <t xml:space="preserve">Human Translate</t>
      </text>
    </comment>
    <comment authorId="0" ref="Z9">
      <text>
        <t xml:space="preserve">Human Translator</t>
      </text>
    </comment>
    <comment authorId="0" ref="AE9">
      <text>
        <t xml:space="preserve">Human Translate</t>
      </text>
    </comment>
    <comment authorId="0" ref="Z10">
      <text>
        <t xml:space="preserve">Human Translator</t>
      </text>
    </comment>
    <comment authorId="0" ref="AE10">
      <text>
        <t xml:space="preserve">Human Translate</t>
      </text>
    </comment>
    <comment authorId="0" ref="Z11">
      <text>
        <t xml:space="preserve">Human Translator</t>
      </text>
    </comment>
    <comment authorId="0" ref="AB11">
      <text>
        <t xml:space="preserve">Human Translator</t>
      </text>
    </comment>
    <comment authorId="0" ref="AE11">
      <text>
        <t xml:space="preserve">Human Translate</t>
      </text>
    </comment>
    <comment authorId="0" ref="AE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E13">
      <text>
        <t xml:space="preserve">Human Translate</t>
      </text>
    </comment>
    <comment authorId="0" ref="Z14">
      <text>
        <t xml:space="preserve">Human Translator</t>
      </text>
    </comment>
    <comment authorId="0" ref="AB14">
      <text>
        <t xml:space="preserve">Human Translator</t>
      </text>
    </comment>
    <comment authorId="0" ref="AE14">
      <text>
        <t xml:space="preserve">Human Translate</t>
      </text>
    </comment>
    <comment authorId="0" ref="AB15">
      <text>
        <t xml:space="preserve">Human Translator</t>
      </text>
    </comment>
    <comment authorId="0" ref="AE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E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E17">
      <text>
        <t xml:space="preserve">Human Translate</t>
      </text>
    </comment>
    <comment authorId="0" ref="AC18">
      <text>
        <t xml:space="preserve">Human Translator</t>
      </text>
    </comment>
    <comment authorId="0" ref="AE18">
      <text>
        <t xml:space="preserve">Human Translate</t>
      </text>
    </comment>
    <comment authorId="0" ref="AB19">
      <text>
        <t xml:space="preserve">Human Translator</t>
      </text>
    </comment>
    <comment authorId="0" ref="AE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E20">
      <text>
        <t xml:space="preserve">Human Translate</t>
      </text>
    </comment>
    <comment authorId="0" ref="AB21">
      <text>
        <t xml:space="preserve">Human Translator</t>
      </text>
    </comment>
    <comment authorId="0" ref="AE21">
      <text>
        <t xml:space="preserve">Human Translate</t>
      </text>
    </comment>
    <comment authorId="0" ref="AB22">
      <text>
        <t xml:space="preserve">Human Translator</t>
      </text>
    </comment>
    <comment authorId="0" ref="AC22">
      <text>
        <t xml:space="preserve">Human Translator</t>
      </text>
    </comment>
    <comment authorId="0" ref="AE22">
      <text>
        <t xml:space="preserve">Human Translate</t>
      </text>
    </comment>
    <comment authorId="0" ref="AE23">
      <text>
        <t xml:space="preserve">Human Translate</t>
      </text>
    </comment>
    <comment authorId="0" ref="AB24">
      <text>
        <t xml:space="preserve">Human Translator</t>
      </text>
    </comment>
    <comment authorId="0" ref="AE24">
      <text>
        <t xml:space="preserve">Human Translate</t>
      </text>
    </comment>
    <comment authorId="0" ref="Z25">
      <text>
        <t xml:space="preserve">Human Translator</t>
      </text>
    </comment>
    <comment authorId="0" ref="AB25">
      <text>
        <t xml:space="preserve">Human Translator</t>
      </text>
    </comment>
    <comment authorId="0" ref="AE25">
      <text>
        <t xml:space="preserve">Human Translate</t>
      </text>
    </comment>
    <comment authorId="0" ref="Z26">
      <text>
        <t xml:space="preserve">Human Translator</t>
      </text>
    </comment>
    <comment authorId="0" ref="AE26">
      <text>
        <t xml:space="preserve">Human Translate</t>
      </text>
    </comment>
    <comment authorId="0" ref="Z27">
      <text>
        <t xml:space="preserve">Human Translator</t>
      </text>
    </comment>
    <comment authorId="0" ref="AE27">
      <text>
        <t xml:space="preserve">Human Translate</t>
      </text>
    </comment>
    <comment authorId="0" ref="AE28">
      <text>
        <t xml:space="preserve">Human Translate</t>
      </text>
    </comment>
    <comment authorId="0" ref="AE29">
      <text>
        <t xml:space="preserve">Human Translate</t>
      </text>
    </comment>
    <comment authorId="0" ref="AE30">
      <text>
        <t xml:space="preserve">Human Translate</t>
      </text>
    </comment>
    <comment authorId="0" ref="AC31">
      <text>
        <t xml:space="preserve">Human Translator</t>
      </text>
    </comment>
    <comment authorId="0" ref="AE31">
      <text>
        <t xml:space="preserve">Human Translate</t>
      </text>
    </comment>
    <comment authorId="0" ref="AE32">
      <text>
        <t xml:space="preserve">Human Translate</t>
      </text>
    </comment>
    <comment authorId="0" ref="AE33">
      <text>
        <t xml:space="preserve">Human Translate</t>
      </text>
    </comment>
    <comment authorId="0" ref="AE34">
      <text>
        <t xml:space="preserve">Human Translate</t>
      </text>
    </comment>
    <comment authorId="0" ref="AC35">
      <text>
        <t xml:space="preserve">Human Translator</t>
      </text>
    </comment>
    <comment authorId="0" ref="AE35">
      <text>
        <t xml:space="preserve">Human Translate</t>
      </text>
    </comment>
    <comment authorId="0" ref="Z36">
      <text>
        <t xml:space="preserve">Human Translator</t>
      </text>
    </comment>
    <comment authorId="0" ref="AE36">
      <text>
        <t xml:space="preserve">Human Translate</t>
      </text>
    </comment>
    <comment authorId="0" ref="Z37">
      <text>
        <t xml:space="preserve">Human Translator</t>
      </text>
    </comment>
    <comment authorId="0" ref="AE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E38">
      <text>
        <t xml:space="preserve">Human Translate</t>
      </text>
    </comment>
    <comment authorId="0" ref="AB39">
      <text>
        <t xml:space="preserve">Human Translator</t>
      </text>
    </comment>
    <comment authorId="0" ref="AE39">
      <text>
        <t xml:space="preserve">Human Translate</t>
      </text>
    </comment>
    <comment authorId="0" ref="Z40">
      <text>
        <t xml:space="preserve">Human Translator</t>
      </text>
    </comment>
    <comment authorId="0" ref="AE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E41">
      <text>
        <t xml:space="preserve">Human Translate</t>
      </text>
    </comment>
    <comment authorId="0" ref="Z42">
      <text>
        <t xml:space="preserve">Human Translator</t>
      </text>
    </comment>
    <comment authorId="0" ref="AE42">
      <text>
        <t xml:space="preserve">Human Translate</t>
      </text>
    </comment>
    <comment authorId="0" ref="AE43">
      <text>
        <t xml:space="preserve">Human Translate</t>
      </text>
    </comment>
    <comment authorId="0" ref="Z44">
      <text>
        <t xml:space="preserve">Human Translator</t>
      </text>
    </comment>
    <comment authorId="0" ref="AB44">
      <text>
        <t xml:space="preserve">Human Translator</t>
      </text>
    </comment>
    <comment authorId="0" ref="AE44">
      <text>
        <t xml:space="preserve">Human Translate</t>
      </text>
    </comment>
    <comment authorId="0" ref="Z45">
      <text>
        <t xml:space="preserve">Human Translator</t>
      </text>
    </comment>
    <comment authorId="0" ref="AB45">
      <text>
        <t xml:space="preserve">Human Translator</t>
      </text>
    </comment>
    <comment authorId="0" ref="AE45">
      <text>
        <t xml:space="preserve">Human Translate</t>
      </text>
    </comment>
    <comment authorId="0" ref="Z46">
      <text>
        <t xml:space="preserve">Human Translator</t>
      </text>
    </comment>
    <comment authorId="0" ref="AC46">
      <text>
        <t xml:space="preserve">Human Translator</t>
      </text>
    </comment>
    <comment authorId="0" ref="AE46">
      <text>
        <t xml:space="preserve">Human Translate</t>
      </text>
    </comment>
    <comment authorId="0" ref="Z47">
      <text>
        <t xml:space="preserve">Human Translator</t>
      </text>
    </comment>
    <comment authorId="0" ref="AB47">
      <text>
        <t xml:space="preserve">Human Translator</t>
      </text>
    </comment>
    <comment authorId="0" ref="AE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E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E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E50">
      <text>
        <t xml:space="preserve">Human Translate</t>
      </text>
    </comment>
    <comment authorId="0" ref="AE51">
      <text>
        <t xml:space="preserve">Human Translate</t>
      </text>
    </comment>
    <comment authorId="0" ref="AE52">
      <text>
        <t xml:space="preserve">Human Translate</t>
      </text>
    </comment>
    <comment authorId="0" ref="AE53">
      <text>
        <t xml:space="preserve">Human Translate</t>
      </text>
    </comment>
    <comment authorId="0" ref="AE54">
      <text>
        <t xml:space="preserve">Human Translate</t>
      </text>
    </comment>
    <comment authorId="0" ref="AE55">
      <text>
        <t xml:space="preserve">Human Translate</t>
      </text>
    </comment>
    <comment authorId="0" ref="AE56">
      <text>
        <t xml:space="preserve">Human Translate</t>
      </text>
    </comment>
    <comment authorId="0" ref="AE57">
      <text>
        <t xml:space="preserve">Human Translate</t>
      </text>
    </comment>
    <comment authorId="0" ref="F58">
      <text>
        <t xml:space="preserve">Human Translator</t>
      </text>
    </comment>
    <comment authorId="0" ref="AE58">
      <text>
        <t xml:space="preserve">Human Translate</t>
      </text>
    </comment>
    <comment authorId="0" ref="F59">
      <text>
        <t xml:space="preserve">Human Translator</t>
      </text>
    </comment>
    <comment authorId="0" ref="AE59">
      <text>
        <t xml:space="preserve">Human Translate</t>
      </text>
    </comment>
    <comment authorId="0" ref="F60">
      <text>
        <t xml:space="preserve">Human Translator</t>
      </text>
    </comment>
    <comment authorId="0" ref="AE60">
      <text>
        <t xml:space="preserve">Human Translate</t>
      </text>
    </comment>
  </commentList>
</comments>
</file>

<file path=xl/sharedStrings.xml><?xml version="1.0" encoding="utf-8"?>
<sst xmlns="http://schemas.openxmlformats.org/spreadsheetml/2006/main" count="16297" uniqueCount="12590">
  <si>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</si>
  <si>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</si>
  <si>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Data Compilation Assistance: 南山, 落染
Past Translators: maltsey, zNagato
Interactive Map Website Creation: Ruika
Map File Creation: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</si>
  <si>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Переводчики с бразильского португальского: Hyphot
Переводчики с индонезийского: Nekonin, Rafiq8K, ZERO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</si>
  <si>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t>Discord của Tổng Biên Tập: RORO#3330
Email của Tổng Biên Tập: gameconlch@gmail.com
Người dịch tiếng Nhật: 눈_눈
Người dịch tiếng Anh: Ruika
Người dịch tiếng Trung Giản thể: ShigeLuna
Người dịch tiếng Tây Ban Nha: AndyJango, maxi3002GD, samstagkaiser
Người dịch tiếng Đức: Gabriel
Người dịch tiếng Nga: Libeti, Huntero
Người dịch tiếng Hàn: 몽블랑맛르블랑
Người dịch tiếng Việt: IntenseLag, Nian Sprout
Người dịch tiếng Bồ Đào Nha Brazil: Hyphot
Người dịch tiếng Indonesia: Nekonin, Rafiq8K, ZERO
Hỗ trợ biên soạn dữ liệu: Nanshan, Luoran
Các dịch giả trước đây: maltsey, zNagato
Tạo website bản đồ tương tác: Ruika
Tạo file bản đồ: mioakatukaze</t>
  </si>
  <si>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Assistência na Compilação de Dados: 南山, 落染 
Tradutores Anteriores: maltsey, zNagato 
Criação do Site do Mapa Interativo: Ruika 
Criação do arquivo de mapa: mioakatukaze</t>
  </si>
  <si>
    <r>
      <rPr>
        <rFont val="Microsoft JhengHei"/>
        <b/>
        <color rgb="FF000000"/>
        <sz val="12.0"/>
      </rPr>
      <t xml:space="preserve">本文件發布了攻略網站網址，建議讀者們使用新網址，才不會受到讀取人數的限制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</si>
  <si>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</si>
  <si>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</si>
  <si>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</si>
  <si>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</si>
  <si>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</si>
  <si>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</si>
  <si>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</si>
  <si>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Tài liệu này cung cấp địa chỉ trang web của hướng dẫn chiến lược. Người đọc nên sử dụng địa chỉ mới để tránh bị giới hạn số lượng người đọc .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</si>
  <si>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</si>
  <si>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</si>
  <si>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</si>
  <si>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</si>
  <si>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</si>
  <si>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</si>
  <si>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</si>
  <si>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</si>
  <si>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</si>
  <si>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t xml:space="preserve">***
1. Hình ảnh bạn thấy trong các hình ảnh quảng cáo, trailer, dev blog, các mục đã được triển khai, v.v. </t>
    </r>
    <r>
      <rPr>
        <rFont val="Arial"/>
        <b/>
        <color theme="1"/>
        <sz val="10.0"/>
        <u/>
      </rPr>
      <t>không đảm bảo rằng chúng sẽ được triển khai đầy đủ trong trò chơi</t>
    </r>
    <r>
      <rPr>
        <rFont val="Arial"/>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0.0"/>
        <u/>
      </rPr>
      <t>một số kẻ vi phạm bản quyền đã tải xuống và gộp tất cả các tài liệu trong bản hướng dẫn này và rao bán</t>
    </r>
    <r>
      <rPr>
        <rFont val="Arial"/>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0.0"/>
      </rPr>
      <t>Xin lưu ý rằng tài liệu hướng dẫn này được xem miễn phí và nếu bạn được yêu cầu trả tiền cho việc này, thì bạn đã bị lừa.</t>
    </r>
    <r>
      <rPr>
        <rFont val="Arial"/>
        <b/>
        <color theme="1"/>
        <sz val="10.0"/>
      </rPr>
      <t xml:space="preserve">
3. Nhóm phát triển đang KHÔNG xem xét việc phát triển phiên bản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</si>
  <si>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</si>
  <si>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</si>
  <si>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</si>
  <si>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</si>
  <si>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</si>
  <si>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</si>
  <si>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r>
      <rPr>
        <rFont val="Microsoft JhengHei"/>
        <b/>
        <color theme="1"/>
        <sz val="10.0"/>
      </rPr>
      <t>После 01 марта 2026 года система управления версиями игры будет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</si>
  <si>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</si>
  <si>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</si>
  <si>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</si>
  <si>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</si>
  <si>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</si>
  <si>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</si>
  <si>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</si>
  <si>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</si>
  <si>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</si>
  <si>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</si>
  <si>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</si>
  <si>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</si>
  <si>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</si>
  <si>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</si>
  <si>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</si>
  <si>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</si>
  <si>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</si>
  <si>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</si>
  <si>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</si>
  <si>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</si>
  <si>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</si>
  <si>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sz val="11.0"/>
      </rPr>
      <t xml:space="preserve">Discord chính thức:
</t>
    </r>
    <r>
      <rPr>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</si>
  <si>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</si>
  <si>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</si>
  <si>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</si>
  <si>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</si>
  <si>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</si>
  <si>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</si>
  <si>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</si>
  <si>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</si>
  <si>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</si>
  <si>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</si>
  <si>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</si>
  <si>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</si>
  <si>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sz val="11.0"/>
      </rPr>
      <t xml:space="preserve">*Khuyến khích nên mua phiên bản này (     )*
Đường link mua phiên bản lâu dài của phiên bản itch của trò chơi: 
</t>
    </r>
    <r>
      <rPr>
        <color rgb="FF1155CC"/>
        <sz val="11.0"/>
        <u/>
      </rPr>
      <t>https://nlch.itch.io/sister/devlog/879085/demo-v065a-release</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</si>
  <si>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</si>
  <si>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</si>
  <si>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</si>
  <si>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</si>
  <si>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</si>
  <si>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</si>
  <si>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</si>
  <si>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</si>
  <si>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</si>
  <si>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t>Đường link đến trò chơi perohub chính thức (có hỗ trợ Alipay)
https://perohub.com/posts/6773ed3e7e0707642a5c7882</t>
  </si>
  <si>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</si>
  <si>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</si>
  <si>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</si>
  <si>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</si>
  <si>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</si>
  <si>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</si>
  <si>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</si>
  <si>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</si>
  <si>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</si>
  <si>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</si>
  <si>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sz val="11.0"/>
      </rPr>
      <t xml:space="preserve">Đường link đã mã hóa-fanbox cho phiên bản lâu dài của trò chơi: 
</t>
    </r>
    <r>
      <rPr>
        <color rgb="FF1155CC"/>
        <sz val="11.0"/>
        <u/>
      </rPr>
      <t>https://nlch.fanbox.cc/posts/9317203</t>
    </r>
    <r>
      <rPr>
        <sz val="11.0"/>
      </rPr>
      <t xml:space="preserve">
CHÌA KHÓA được cho bởi phiên bản lâu dài nên là phiên bản của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</si>
  <si>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</si>
  <si>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</si>
  <si>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</si>
  <si>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</si>
  <si>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</si>
  <si>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</si>
  <si>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</si>
  <si>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</si>
  <si>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</si>
  <si>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</si>
  <si>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sz val="11.0"/>
      </rPr>
      <t xml:space="preserve">Đường link đã mã hóa-cien cho phiên bản lâu dài của trò chơi:
</t>
    </r>
    <r>
      <rPr>
        <color rgb="FF1155CC"/>
        <sz val="11.0"/>
        <u/>
      </rPr>
      <t>https://ci-en.dlsite.com/creator/24375/plan</t>
    </r>
    <r>
      <rPr>
        <sz val="11.0"/>
      </rPr>
      <t xml:space="preserve">
CHÌA KHÓA được cho bởi phiên bản lâu dài nên là phiên bản của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</si>
  <si>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</si>
  <si>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</si>
  <si>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</si>
  <si>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</si>
  <si>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</si>
  <si>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</si>
  <si>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</si>
  <si>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</si>
  <si>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</si>
  <si>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</si>
  <si>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t>Cửa hàng Steam
Hãy thêm game này vào wishlist với đường link bên trên</t>
  </si>
  <si>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</si>
  <si>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</si>
  <si>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</si>
  <si>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</si>
  <si>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</si>
  <si>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</si>
  <si>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</si>
  <si>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</si>
  <si>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hiện đang trong phiên bản beta. Hình ảnh cho xem trước không có nghĩa là cập nhật. Vậy nên, hãy dừng hỏi làm điều mà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</si>
  <si>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</si>
  <si>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</si>
  <si>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</si>
  <si>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</si>
  <si>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</si>
  <si>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</si>
  <si>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</si>
  <si>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người biên tập: RORO#3330
Hoặc hãy email gameconlch@gmail.com. Cảm ơn vì sự hợp tác của bạn.</t>
  </si>
  <si>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</si>
  <si>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</si>
  <si>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</si>
  <si>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</si>
  <si>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</si>
  <si>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</si>
  <si>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Historial de cambios</t>
  </si>
  <si>
    <t>Лог изменений</t>
  </si>
  <si>
    <t>Báo cáo chỉnh sửa</t>
  </si>
  <si>
    <t>Editar registro de trabalho</t>
  </si>
  <si>
    <t>Riwayat Perubahan</t>
  </si>
  <si>
    <t>2026/3/15 Updated 
TIPS：119~122</t>
  </si>
  <si>
    <t>2026/3/10 Updated 
RPG ： RA8
Drops ：23，43，44，64，66
Weap：Blue Bar 
Gears ： 3~6，78，Blue Bar 
Items ： 10，35，38，57，63，Blue Bar</t>
  </si>
  <si>
    <t>2026/2/26 Updated 
Items+1、TIPS+1</t>
  </si>
  <si>
    <t>2026/2/21 Updated 
RPG-RX35、Greas-84</t>
  </si>
  <si>
    <t>2026/2/17  0.99  Update 
SLG：A-27~29、F-10~11、C-31~34
RPG：RX21、RX35
TIPS+4、Drops+2、Weapons+1、Gears+1</t>
  </si>
  <si>
    <t>2026/1/11  0.95  Update 
SLG-F  6~9 / SLG-A  20 / RPG47.48.95 / Items +2 / TIPS +2  / Dish +3</t>
  </si>
  <si>
    <t>2026/1/11 0.95 Update
SLG-F 6~9 / SLG-A 20 / RPG47.48.95 / Items +2 / TIPS +2 / Dish +3</t>
  </si>
  <si>
    <t>Cập nhật 0.95 ngày 11/1/2026
SLG-F 6~9 / SLG-A 20 / RPG47.48.95 / Vật phẩm +2 / Mẹo +2 / Dish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</si>
  <si>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</si>
  <si>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</si>
  <si>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</si>
  <si>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</si>
  <si>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Đã thêm ngôn ngữ Indonesia vào ngày 30/12/2025.</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</si>
  <si>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</si>
  <si>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</si>
  <si>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</si>
  <si>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</si>
  <si>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Phần hình ảnh bản đồ đã tạm thời ngừng hiển thị vào ngày 22 tháng 12 năm 2025.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</si>
  <si>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</si>
  <si>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</si>
  <si>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</si>
  <si>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</si>
  <si>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</si>
  <si>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</si>
  <si>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</si>
  <si>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</si>
  <si>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Ngày 2 tháng 12 năm 2025: Thêm nội dung phiên bản 0.9: SLG-A24~26/SLG-F1~8/R34, R90~93/TIPS+2/Status+1/Weapon+2/Gears+1/Items+2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</si>
  <si>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</si>
  <si>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</si>
  <si>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</si>
  <si>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</si>
  <si>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Ngày 1 tháng 12 năm 2025: Trang Tỷ lệ rơi đồ đã được thiết kế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</si>
  <si>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</si>
  <si>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</si>
  <si>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</si>
  <si>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</si>
  <si>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Đã thêm ngôn ngữ tiếng Bồ Đào Nha vào ngày 26/11/2025.</t>
  </si>
  <si>
    <t>Adicionada a língua portuguesa em 26/11/2025.</t>
  </si>
  <si>
    <t>Bahasa Portugis ditambahkan pada 26/11/2025.</t>
  </si>
  <si>
    <t>2025/11/15 新增小版本更新內容</t>
  </si>
  <si>
    <t>Added minor version update content on 2025/11/15</t>
  </si>
  <si>
    <t>Đã thêm nội dung cập nhật phiên bản nhỏ vào ngày 15/11/2025.</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</si>
  <si>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</si>
  <si>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</si>
  <si>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</si>
  <si>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</si>
  <si>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Ngày 8 tháng 11 năm 2025: Đã thêm nội dung phiên bản 0.85C, đồng thời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</si>
  <si>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</si>
  <si>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</si>
  <si>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</si>
  <si>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</si>
  <si>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Ngày 3 tháng 11 năm 2025: Thêm phiên bản 0.85: SLG-C-23~SLG-C-29, SLG-A-24</t>
  </si>
  <si>
    <t>3 de novembro de 2025: Adicionada a versão 0.85: SLG-C-23~SLG-C-29, SLG-A-24</t>
  </si>
  <si>
    <t>3 November 2025: Menambahkan versi 0.85: SLG-C-23~SLG-C-29, SLG-A-24</t>
  </si>
  <si>
    <t>2025/10/14 新增0.82D：R4、R68、Items +3</t>
  </si>
  <si>
    <t>October 14, 2025: Added 0.82D: R4, R68, Items +3</t>
  </si>
  <si>
    <t>14 de outubro de 2025: Adicionado 0.82D: R4, R68, Itens +3</t>
  </si>
  <si>
    <t>14 Oktober 2025: Ditambahkan 0,82D: R4, R68, Item +3</t>
  </si>
  <si>
    <t>2025/10/6 新增越南文的翻譯</t>
  </si>
  <si>
    <t>Added Vietnamese translation on October 6, 2025.</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</si>
  <si>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</si>
  <si>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</si>
  <si>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</si>
  <si>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</si>
  <si>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</si>
  <si>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</si>
  <si>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</si>
  <si>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</si>
  <si>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</si>
  <si>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</si>
  <si>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</si>
  <si>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</si>
  <si>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</si>
  <si>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</si>
  <si>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</si>
  <si>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</si>
  <si>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</si>
  <si>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</si>
  <si>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</si>
  <si>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</si>
  <si>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</si>
  <si>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</si>
  <si>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</si>
  <si>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</si>
  <si>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</si>
  <si>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</si>
  <si>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</si>
  <si>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</si>
  <si>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</si>
  <si>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</si>
  <si>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</si>
  <si>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</si>
  <si>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</si>
  <si>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</si>
  <si>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</si>
  <si>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</si>
  <si>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</si>
  <si>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</si>
  <si>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</si>
  <si>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</si>
  <si>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20/7/2025 Thêm phiên bản 0.79E RPG35.41</t>
  </si>
  <si>
    <t>A versão 0.79E (RPG35.41) foi adicionada em 20 de julho de 2025.</t>
  </si>
  <si>
    <t>Versi 0.79E (RPG35.41) ditambahkan pada tanggal 20 Juli 2025.</t>
  </si>
  <si>
    <t>2025/7/20 新增了0.79D版本TIPS</t>
  </si>
  <si>
    <t>Added version 0.79D TIPS on 2025/7/20</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</si>
  <si>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</si>
  <si>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</si>
  <si>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</si>
  <si>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</si>
  <si>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</si>
  <si>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</si>
  <si>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</si>
  <si>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</si>
  <si>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</si>
  <si>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</si>
  <si>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</si>
  <si>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</si>
  <si>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</si>
  <si>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</si>
  <si>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</si>
  <si>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10/6/2025 Cập nhật nội dung của phiên bản 0.77</t>
  </si>
  <si>
    <t>Atualizado para a versão 0.77 em 10 de junho de 2025.</t>
  </si>
  <si>
    <t>Diperbarui ke versi 0.77 pada 10 Juni 2025.</t>
  </si>
  <si>
    <t>2025/6/3 更新0.77版本的內容</t>
  </si>
  <si>
    <t>Updated to version 0.77 on June 3, 2025.</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</si>
  <si>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</si>
  <si>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</si>
  <si>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</si>
  <si>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</si>
  <si>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</si>
  <si>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</si>
  <si>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</si>
  <si>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</si>
  <si>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</si>
  <si>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</si>
  <si>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</si>
  <si>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</si>
  <si>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</si>
  <si>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</si>
  <si>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</si>
  <si>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</si>
  <si>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</si>
  <si>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</si>
  <si>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</si>
  <si>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</si>
  <si>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</si>
  <si>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</si>
  <si>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</si>
  <si>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</si>
  <si>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</si>
  <si>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</si>
  <si>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</si>
  <si>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</si>
  <si>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</si>
  <si>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</si>
  <si>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</si>
  <si>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</si>
  <si>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</si>
  <si>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</si>
  <si>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</si>
  <si>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</si>
  <si>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</si>
  <si>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</si>
  <si>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</si>
  <si>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</si>
  <si>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</si>
  <si>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</si>
  <si>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</si>
  <si>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</si>
  <si>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</si>
  <si>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</si>
  <si>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</si>
  <si>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</si>
  <si>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</si>
  <si>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</si>
  <si>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13/4/2025 Thêm trang “Cooking” mới</t>
  </si>
  <si>
    <t>Criada uma nova página "Culinária" em 13/04/2025.</t>
  </si>
  <si>
    <t>Halaman "Memasak" baru dibuat pada 13/4/2025.</t>
  </si>
  <si>
    <t>2025/4/6 更新0.721版本 S32~34</t>
  </si>
  <si>
    <t>Updated to version 0.721 on April 6, 2025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</si>
  <si>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</si>
  <si>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</si>
  <si>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</si>
  <si>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</si>
  <si>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</si>
  <si>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</si>
  <si>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</si>
  <si>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</si>
  <si>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</si>
  <si>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</si>
  <si>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</si>
  <si>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</si>
  <si>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</si>
  <si>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</si>
  <si>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</si>
  <si>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</si>
  <si>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</si>
  <si>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</si>
  <si>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</si>
  <si>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</si>
  <si>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</si>
  <si>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</si>
  <si>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</si>
  <si>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</si>
  <si>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</si>
  <si>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</si>
  <si>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</si>
  <si>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</si>
  <si>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</si>
  <si>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</si>
  <si>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</si>
  <si>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</si>
  <si>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</si>
  <si>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</si>
  <si>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</si>
  <si>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</si>
  <si>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16/03/2025 Cập nhật thông tin phiên bản 0.7</t>
  </si>
  <si>
    <t>Informações atualizadas para a versão 0.7 em 16/03/2025</t>
  </si>
  <si>
    <t>Informasi versi 0.7 diperbarui pada 16/3/2025.</t>
  </si>
  <si>
    <t>2025/3/15 新增狀態分頁</t>
  </si>
  <si>
    <t>Added status pagination on 2025/3/15</t>
  </si>
  <si>
    <t>15/03/2025 Thêm trang Status</t>
  </si>
  <si>
    <t>Adicionada paginação de status em 15/03/2025</t>
  </si>
  <si>
    <t>Penambahan paginasi status pada 15/3/2025.</t>
  </si>
  <si>
    <t>2025/3/13 更新TIPS</t>
  </si>
  <si>
    <t>Updated TIPS 2025/3/13</t>
  </si>
  <si>
    <t>13/03/2025 Cập nhật TIPS</t>
  </si>
  <si>
    <t>Dicas atualizadas em 13/03/2025</t>
  </si>
  <si>
    <t>TIPS terbaru 2025/3/13</t>
  </si>
  <si>
    <t>2025/3/12 重新製作武器、防具、道具的頁面</t>
  </si>
  <si>
    <t>March 12, 2025: Redesigned the weapon, armor, and item pages.</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</si>
  <si>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</si>
  <si>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</si>
  <si>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</si>
  <si>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</si>
  <si>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</si>
  <si>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 xml:space="preserve">10/03/2025 Cập nhật thông báo </t>
  </si>
  <si>
    <t>Anúncio de atualização (10 de março de 2025)</t>
  </si>
  <si>
    <t>Pengumuman Pembaruan (10 Maret 2025)</t>
  </si>
  <si>
    <t>2025/2/10 更新公告</t>
  </si>
  <si>
    <t>Update Announcement (February 10, 2025)</t>
  </si>
  <si>
    <t>10/02/2025 Cập nhật thông báo</t>
  </si>
  <si>
    <t>Anúncio de atualização (10 de fevereiro de 2025)</t>
  </si>
  <si>
    <t>Pengumuman Pembaruan (10 Februari 2025)</t>
  </si>
  <si>
    <t>2025/2/4 新增0.65 B版本 事件</t>
  </si>
  <si>
    <t>February 4, 2025: Added version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</si>
  <si>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</si>
  <si>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</si>
  <si>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</si>
  <si>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</si>
  <si>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</si>
  <si>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</si>
  <si>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</si>
  <si>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</si>
  <si>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</si>
  <si>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</si>
  <si>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</si>
  <si>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</si>
  <si>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</si>
  <si>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</si>
  <si>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</si>
  <si>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</si>
  <si>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</si>
  <si>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</si>
  <si>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</si>
  <si>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</si>
  <si>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</si>
  <si>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</si>
  <si>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</si>
  <si>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</si>
  <si>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</si>
  <si>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</si>
  <si>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</si>
  <si>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</si>
  <si>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</si>
  <si>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</si>
  <si>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</si>
  <si>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</si>
  <si>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</si>
  <si>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</si>
  <si>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</si>
  <si>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</si>
  <si>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</si>
  <si>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</si>
  <si>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</si>
  <si>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</si>
  <si>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</si>
  <si>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</si>
  <si>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</si>
  <si>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</si>
  <si>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</si>
  <si>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</si>
  <si>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</si>
  <si>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</si>
  <si>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</si>
  <si>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</si>
  <si>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02/12/2024 Đã thêm thông tin - Event phiên bản 0.55</t>
  </si>
  <si>
    <t>02/12/2024 Adicionadas 0,55 informações - evento</t>
  </si>
  <si>
    <t>2024/12/2 Menambahkan 0,55 informasi - acara</t>
  </si>
  <si>
    <t>2024/11/29 新增遺跡相關地圖</t>
  </si>
  <si>
    <t>Added ruin-related maps on 2024/11/29</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</si>
  <si>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</si>
  <si>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</si>
  <si>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</si>
  <si>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</si>
  <si>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</si>
  <si>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</si>
  <si>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</si>
  <si>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</si>
  <si>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</si>
  <si>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</si>
  <si>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</si>
  <si>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</si>
  <si>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</si>
  <si>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</si>
  <si>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</si>
  <si>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</si>
  <si>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21/11/2024 Tệp MAP mới</t>
  </si>
  <si>
    <t>Arquivo MAP adicionado em 21/11/2024</t>
  </si>
  <si>
    <t>Berkas MAP ditambahkan pada 21/11/2024.</t>
  </si>
  <si>
    <t>2024/11/20 新增0.5A版本內容-事件/提示</t>
  </si>
  <si>
    <t>Added version 0.5A content on 2024/11/20 -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</si>
  <si>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</si>
  <si>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</si>
  <si>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</si>
  <si>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</si>
  <si>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</si>
  <si>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</si>
  <si>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</si>
  <si>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</si>
  <si>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</si>
  <si>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</si>
  <si>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</si>
  <si>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</si>
  <si>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</si>
  <si>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</si>
  <si>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</si>
  <si>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</si>
  <si>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</si>
  <si>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</si>
  <si>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</si>
  <si>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</si>
  <si>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</si>
  <si>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</si>
  <si>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</si>
  <si>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</si>
  <si>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</si>
  <si>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</si>
  <si>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</si>
  <si>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</si>
  <si>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</si>
  <si>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</si>
  <si>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</si>
  <si>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</si>
  <si>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</si>
  <si>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</si>
  <si>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</si>
  <si>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</si>
  <si>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</si>
  <si>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</si>
  <si>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</si>
  <si>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</si>
  <si>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</si>
  <si>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</si>
  <si>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</si>
  <si>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</si>
  <si>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</si>
  <si>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Điều chỉnh một số định dạng</t>
  </si>
  <si>
    <t>14/10/2024 Ajustes de formatação</t>
  </si>
  <si>
    <t>14/10/2024 Beberapa format telah disesuaikan</t>
  </si>
  <si>
    <t>2024/10/13新增簡體中文翻譯</t>
  </si>
  <si>
    <t>Added Simplified Chinese translation on 2024/10/13</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</si>
  <si>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</si>
  <si>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</si>
  <si>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</si>
  <si>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</si>
  <si>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</si>
  <si>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</si>
  <si>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</si>
  <si>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</si>
  <si>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</si>
  <si>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</si>
  <si>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</si>
  <si>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</si>
  <si>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</si>
  <si>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</si>
  <si>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</si>
  <si>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</si>
  <si>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</si>
  <si>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</si>
  <si>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</si>
  <si>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</si>
  <si>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</si>
  <si>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</si>
  <si>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</si>
  <si>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</si>
  <si>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</si>
  <si>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</si>
  <si>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</si>
  <si>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</si>
  <si>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</si>
  <si>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</si>
  <si>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</si>
  <si>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t>6 tháng 10 2024
Được cho phép đăng lại trên Bilibili qua Discord: mioakatukaze
https://www.bilibili.com/opus/985591575966908440?spm_id_from=333.999.0.0</t>
  </si>
  <si>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</si>
  <si>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</si>
  <si>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</si>
  <si>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</si>
  <si>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</si>
  <si>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</si>
  <si>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</si>
  <si>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</si>
  <si>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</si>
  <si>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Được phát hành vào ngày 5 tháng 10, 2024</t>
  </si>
  <si>
    <t>Lançado ao público em 5 de outubro de 2024.</t>
  </si>
  <si>
    <t>Dirilis ke publik pada 5 Oktober 2024.</t>
  </si>
  <si>
    <t>2024/10/4初版完成</t>
  </si>
  <si>
    <t>First draft completed on October 4, 2024</t>
  </si>
  <si>
    <t>4/10/2024 Phiên bản đầu tiên được hoàn thiện</t>
  </si>
  <si>
    <t>Primeira versão concluída em 4 de outubro de 2024.</t>
  </si>
  <si>
    <t>Draf pertama selesai pada 4 Oktober 2024.</t>
  </si>
  <si>
    <t>2024/10/1 建立本表單</t>
  </si>
  <si>
    <t>This form was created on October 1, 2024.</t>
  </si>
  <si>
    <t>Biểu mẫu này được tạo ra vào ngày 1 tháng 10, 2024</t>
  </si>
  <si>
    <t xml:space="preserve">Este formulário foi criado em 1 de outubro de 2024. </t>
  </si>
  <si>
    <t>Formulir ini dibuat pada tanggal 1 Oktober 2024.</t>
  </si>
  <si>
    <t>NO.</t>
  </si>
  <si>
    <t>SLG事件</t>
  </si>
  <si>
    <t>說明</t>
  </si>
  <si>
    <t>結果</t>
  </si>
  <si>
    <t>SLGイベント</t>
  </si>
  <si>
    <t>説明内容</t>
  </si>
  <si>
    <t>同-1 若此时遇到Z的突击，触发一种分歧</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</si>
  <si>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</si>
  <si>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</si>
  <si>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</si>
  <si>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</si>
  <si>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</si>
  <si>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</si>
  <si>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</si>
  <si>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</si>
  <si>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</si>
  <si>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</si>
  <si>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</si>
  <si>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</si>
  <si>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</si>
  <si>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</si>
  <si>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</si>
  <si>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</si>
  <si>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</si>
  <si>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</si>
  <si>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</si>
  <si>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</si>
  <si>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</si>
  <si>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</si>
  <si>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</si>
  <si>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</si>
  <si>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</si>
  <si>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</si>
  <si>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</si>
  <si>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</si>
  <si>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</si>
  <si>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</si>
  <si>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</si>
  <si>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</si>
  <si>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</si>
  <si>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</si>
  <si>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</si>
  <si>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</si>
  <si>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</si>
  <si>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</si>
  <si>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</si>
  <si>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</si>
  <si>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</si>
  <si>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</si>
  <si>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</si>
  <si>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</si>
  <si>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</si>
  <si>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</si>
  <si>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</si>
  <si>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</si>
  <si>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</si>
  <si>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</si>
  <si>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</si>
  <si>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</si>
  <si>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</si>
  <si>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</si>
  <si>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</si>
  <si>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</si>
  <si>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</si>
  <si>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</si>
  <si>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</si>
  <si>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</si>
  <si>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</si>
  <si>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</si>
  <si>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</si>
  <si>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</si>
  <si>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</si>
  <si>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</si>
  <si>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</si>
  <si>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</si>
  <si>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</si>
  <si>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</si>
  <si>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</si>
  <si>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</si>
  <si>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</si>
  <si>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</si>
  <si>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</si>
  <si>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</si>
  <si>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</si>
  <si>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</si>
  <si>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</si>
  <si>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</si>
  <si>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</si>
  <si>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</si>
  <si>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</si>
  <si>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</si>
  <si>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</si>
  <si>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</si>
  <si>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</si>
  <si>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</si>
  <si>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</si>
  <si>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</si>
  <si>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</si>
  <si>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</si>
  <si>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</si>
  <si>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</si>
  <si>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</si>
  <si>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</si>
  <si>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</si>
  <si>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</si>
  <si>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</si>
  <si>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</si>
  <si>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</si>
  <si>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</si>
  <si>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</si>
  <si>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</si>
  <si>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</si>
  <si>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</si>
  <si>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</si>
  <si>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</si>
  <si>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</si>
  <si>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</si>
  <si>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</si>
  <si>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Не помню</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</si>
  <si>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</si>
  <si>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</si>
  <si>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</si>
  <si>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</si>
  <si>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</si>
  <si>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</si>
  <si>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</si>
  <si>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</si>
  <si>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</si>
  <si>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</si>
  <si>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</si>
  <si>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</si>
  <si>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</si>
  <si>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</si>
  <si>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</si>
  <si>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</si>
  <si>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</si>
  <si>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</si>
  <si>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</si>
  <si>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</si>
  <si>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</si>
  <si>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</si>
  <si>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</si>
  <si>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</si>
  <si>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</si>
  <si>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</si>
  <si>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</si>
  <si>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</si>
  <si>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</si>
  <si>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</si>
  <si>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</si>
  <si>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</si>
  <si>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</si>
  <si>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</si>
  <si>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</si>
  <si>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</si>
  <si>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</si>
  <si>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</si>
  <si>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</si>
  <si>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</si>
  <si>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</si>
  <si>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</si>
  <si>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</si>
  <si>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</si>
  <si>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</si>
  <si>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</si>
  <si>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</si>
  <si>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</si>
  <si>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</si>
  <si>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</si>
  <si>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</si>
  <si>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</si>
  <si>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</si>
  <si>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</si>
  <si>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</si>
  <si>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</si>
  <si>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</si>
  <si>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</si>
  <si>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</si>
  <si>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</si>
  <si>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</si>
  <si>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</si>
  <si>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</si>
  <si>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</si>
  <si>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</si>
  <si>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</si>
  <si>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</si>
  <si>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</si>
  <si>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</si>
  <si>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</si>
  <si>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</si>
  <si>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</si>
  <si>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</si>
  <si>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</si>
  <si>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</si>
  <si>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</si>
  <si>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</si>
  <si>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</si>
  <si>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</si>
  <si>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</si>
  <si>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</si>
  <si>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</si>
  <si>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</si>
  <si>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</si>
  <si>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</si>
  <si>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</si>
  <si>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</si>
  <si>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</si>
  <si>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</si>
  <si>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</si>
  <si>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</si>
  <si>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</si>
  <si>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</si>
  <si>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</si>
  <si>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</si>
  <si>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</si>
  <si>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</si>
  <si>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</si>
  <si>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</si>
  <si>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</si>
  <si>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</si>
  <si>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</si>
  <si>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</si>
  <si>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</si>
  <si>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</si>
  <si>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</si>
  <si>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</si>
  <si>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</si>
  <si>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</si>
  <si>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</si>
  <si>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</si>
  <si>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</si>
  <si>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dụ dỗ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</si>
  <si>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</si>
  <si>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</si>
  <si>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</si>
  <si>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</si>
  <si>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</si>
  <si>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</si>
  <si>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</si>
  <si>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</si>
  <si>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</si>
  <si>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</si>
  <si>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</si>
  <si>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</si>
  <si>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</si>
  <si>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</si>
  <si>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</si>
  <si>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</si>
  <si>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</si>
  <si>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</si>
  <si>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</si>
  <si>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</si>
  <si>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</si>
  <si>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</si>
  <si>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</si>
  <si>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</si>
  <si>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</si>
  <si>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</si>
  <si>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</si>
  <si>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</si>
  <si>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</si>
  <si>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</si>
  <si>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</si>
  <si>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</si>
  <si>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</si>
  <si>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</si>
  <si>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</si>
  <si>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</si>
  <si>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</si>
  <si>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</si>
  <si>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</si>
  <si>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</si>
  <si>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</si>
  <si>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</si>
  <si>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</si>
  <si>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</si>
  <si>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</si>
  <si>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</si>
  <si>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</si>
  <si>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</si>
  <si>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</si>
  <si>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</si>
  <si>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</si>
  <si>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</si>
  <si>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</si>
  <si>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</si>
  <si>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</si>
  <si>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</si>
  <si>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</si>
  <si>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</si>
  <si>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</si>
  <si>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</si>
  <si>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</si>
  <si>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</si>
  <si>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</si>
  <si>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</si>
  <si>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</si>
  <si>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</si>
  <si>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</si>
  <si>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</si>
  <si>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</si>
  <si>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</si>
  <si>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</si>
  <si>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</si>
  <si>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</si>
  <si>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</si>
  <si>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</si>
  <si>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</si>
  <si>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</si>
  <si>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</si>
  <si>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</si>
  <si>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</si>
  <si>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</si>
  <si>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</si>
  <si>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</si>
  <si>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</si>
  <si>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</si>
  <si>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</si>
  <si>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</si>
  <si>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</si>
  <si>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</si>
  <si>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</si>
  <si>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</si>
  <si>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</si>
  <si>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</si>
  <si>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</si>
  <si>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</si>
  <si>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</si>
  <si>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</si>
  <si>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</si>
  <si>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</si>
  <si>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</si>
  <si>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</si>
  <si>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</si>
  <si>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</si>
  <si>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</si>
  <si>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</si>
  <si>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</si>
  <si>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</si>
  <si>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</si>
  <si>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</si>
  <si>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</si>
  <si>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</si>
  <si>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</si>
  <si>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</si>
  <si>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</si>
  <si>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</si>
  <si>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</si>
  <si>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</si>
  <si>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</si>
  <si>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</si>
  <si>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</si>
  <si>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</si>
  <si>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</si>
  <si>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</si>
  <si>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</si>
  <si>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</si>
  <si>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</si>
  <si>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</si>
  <si>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</si>
  <si>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</si>
  <si>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</si>
  <si>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</si>
  <si>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</si>
  <si>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</si>
  <si>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</si>
  <si>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</si>
  <si>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</si>
  <si>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</si>
  <si>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</si>
  <si>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</si>
  <si>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</si>
  <si>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</si>
  <si>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</si>
  <si>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</si>
  <si>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</si>
  <si>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</si>
  <si>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</si>
  <si>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</si>
  <si>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</si>
  <si>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</si>
  <si>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</si>
  <si>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</si>
  <si>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</si>
  <si>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</si>
  <si>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</si>
  <si>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</si>
  <si>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</si>
  <si>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</si>
  <si>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</si>
  <si>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</si>
  <si>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</si>
  <si>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</si>
  <si>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</si>
  <si>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</si>
  <si>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</si>
  <si>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</si>
  <si>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</si>
  <si>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</si>
  <si>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</si>
  <si>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</si>
  <si>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</si>
  <si>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</si>
  <si>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</si>
  <si>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</si>
  <si>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</si>
  <si>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</si>
  <si>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</si>
  <si>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</si>
  <si>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</si>
  <si>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</si>
  <si>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</si>
  <si>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</si>
  <si>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</si>
  <si>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</si>
  <si>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</si>
  <si>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</si>
  <si>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</si>
  <si>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</si>
  <si>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</si>
  <si>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</si>
  <si>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</si>
  <si>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</si>
  <si>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</si>
  <si>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</si>
  <si>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</si>
  <si>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</si>
  <si>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</si>
  <si>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</si>
  <si>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</si>
  <si>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</si>
  <si>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</si>
  <si>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</si>
  <si>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</si>
  <si>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</si>
  <si>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</si>
  <si>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</si>
  <si>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</si>
  <si>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</si>
  <si>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</si>
  <si>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</si>
  <si>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</si>
  <si>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</si>
  <si>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</si>
  <si>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</si>
  <si>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</si>
  <si>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</si>
  <si>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</si>
  <si>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</si>
  <si>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</si>
  <si>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</si>
  <si>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</si>
  <si>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</si>
  <si>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</si>
  <si>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</si>
  <si>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</si>
  <si>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</si>
  <si>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</si>
  <si>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</si>
  <si>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</si>
  <si>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</si>
  <si>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</si>
  <si>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</si>
  <si>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</si>
  <si>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</si>
  <si>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</si>
  <si>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</si>
  <si>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</si>
  <si>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</si>
  <si>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</si>
  <si>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</si>
  <si>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</si>
  <si>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</si>
  <si>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</si>
  <si>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</si>
  <si>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</si>
  <si>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</si>
  <si>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</si>
  <si>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</si>
  <si>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</si>
  <si>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</si>
  <si>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</si>
  <si>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</si>
  <si>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</si>
  <si>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</si>
  <si>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</si>
  <si>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</si>
  <si>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</si>
  <si>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</si>
  <si>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</si>
  <si>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</si>
  <si>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</si>
  <si>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</si>
  <si>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</si>
  <si>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</si>
  <si>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</si>
  <si>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</si>
  <si>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</si>
  <si>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</si>
  <si>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</si>
  <si>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</si>
  <si>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</si>
  <si>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</si>
  <si>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</si>
  <si>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</si>
  <si>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</si>
  <si>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</si>
  <si>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</si>
  <si>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</si>
  <si>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</si>
  <si>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</si>
  <si>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</si>
  <si>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</si>
  <si>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</si>
  <si>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</si>
  <si>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</si>
  <si>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</si>
  <si>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</si>
  <si>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</si>
  <si>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</si>
  <si>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</si>
  <si>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</si>
  <si>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</si>
  <si>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</si>
  <si>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</si>
  <si>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</si>
  <si>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</si>
  <si>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</si>
  <si>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</si>
  <si>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</si>
  <si>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</si>
  <si>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</si>
  <si>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</si>
  <si>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</si>
  <si>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</si>
  <si>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</si>
  <si>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</si>
  <si>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</si>
  <si>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</si>
  <si>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</si>
  <si>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</si>
  <si>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</si>
  <si>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</si>
  <si>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</si>
  <si>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</si>
  <si>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</si>
  <si>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</si>
  <si>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</si>
  <si>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</si>
  <si>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</si>
  <si>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</si>
  <si>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</si>
  <si>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</si>
  <si>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</si>
  <si>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</si>
  <si>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</si>
  <si>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</si>
  <si>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</si>
  <si>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</si>
  <si>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</si>
  <si>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</si>
  <si>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</si>
  <si>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</si>
  <si>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</si>
  <si>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</si>
  <si>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</si>
  <si>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</si>
  <si>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</si>
  <si>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</si>
  <si>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</si>
  <si>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</si>
  <si>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</si>
  <si>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</si>
  <si>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</si>
  <si>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</si>
  <si>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</si>
  <si>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</si>
  <si>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</si>
  <si>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</si>
  <si>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</si>
  <si>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</si>
  <si>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</si>
  <si>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</si>
  <si>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</si>
  <si>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</si>
  <si>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</si>
  <si>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</si>
  <si>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</si>
  <si>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</si>
  <si>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</si>
  <si>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</si>
  <si>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</si>
  <si>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</si>
  <si>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</si>
  <si>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</si>
  <si>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</si>
  <si>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</si>
  <si>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</si>
  <si>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</si>
  <si>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</si>
  <si>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</si>
  <si>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</si>
  <si>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</si>
  <si>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</si>
  <si>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</si>
  <si>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</si>
  <si>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</si>
  <si>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</si>
  <si>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</si>
  <si>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</si>
  <si>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</si>
  <si>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</si>
  <si>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</si>
  <si>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</si>
  <si>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</si>
  <si>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</si>
  <si>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</si>
  <si>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</si>
  <si>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</si>
  <si>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</si>
  <si>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</si>
  <si>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</si>
  <si>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</si>
  <si>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</si>
  <si>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</si>
  <si>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</si>
  <si>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</si>
  <si>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</si>
  <si>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</si>
  <si>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</si>
  <si>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</si>
  <si>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</si>
  <si>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</si>
  <si>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</si>
  <si>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</si>
  <si>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</si>
  <si>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</si>
  <si>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</si>
  <si>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</si>
  <si>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</si>
  <si>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</si>
  <si>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</si>
  <si>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</si>
  <si>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</si>
  <si>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</si>
  <si>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</si>
  <si>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</si>
  <si>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</si>
  <si>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</si>
  <si>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</si>
  <si>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</si>
  <si>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</si>
  <si>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</si>
  <si>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</si>
  <si>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</si>
  <si>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</si>
  <si>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</si>
  <si>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</si>
  <si>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</si>
  <si>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</si>
  <si>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</si>
  <si>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</si>
  <si>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</si>
  <si>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</si>
  <si>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</si>
  <si>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</si>
  <si>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</si>
  <si>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</si>
  <si>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</si>
  <si>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</si>
  <si>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</si>
  <si>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</si>
  <si>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đánh thức imouto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</si>
  <si>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</si>
  <si>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</si>
  <si>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</si>
  <si>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</si>
  <si>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tolong  to how to obtain this item,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</si>
  <si>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</si>
  <si>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</si>
  <si>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</si>
  <si>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</si>
  <si>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</si>
  <si>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</si>
  <si>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</si>
  <si>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</si>
  <si>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</si>
  <si>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</si>
  <si>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</si>
  <si>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</si>
  <si>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</si>
  <si>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</si>
  <si>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</si>
  <si>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</si>
  <si>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</si>
  <si>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</si>
  <si>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</si>
  <si>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</si>
  <si>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</si>
  <si>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</si>
  <si>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</si>
  <si>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</si>
  <si>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</si>
  <si>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</si>
  <si>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</si>
  <si>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</si>
  <si>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</si>
  <si>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</si>
  <si>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</si>
  <si>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</si>
  <si>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</si>
  <si>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</si>
  <si>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</si>
  <si>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</si>
  <si>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</si>
  <si>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</si>
  <si>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</si>
  <si>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</si>
  <si>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</si>
  <si>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</si>
  <si>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</si>
  <si>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</si>
  <si>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</si>
  <si>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</si>
  <si>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</si>
  <si>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</si>
  <si>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</si>
  <si>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</si>
  <si>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</si>
  <si>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</si>
  <si>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</si>
  <si>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</si>
  <si>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</si>
  <si>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</si>
  <si>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</si>
  <si>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</si>
  <si>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</si>
  <si>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</si>
  <si>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</si>
  <si>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</si>
  <si>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</si>
  <si>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</si>
  <si>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</si>
  <si>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</si>
  <si>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</si>
  <si>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</si>
  <si>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</si>
  <si>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</si>
  <si>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</si>
  <si>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</si>
  <si>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</si>
  <si>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</si>
  <si>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</si>
  <si>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</si>
  <si>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</si>
  <si>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</si>
  <si>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</si>
  <si>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</si>
  <si>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Соня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</si>
  <si>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</si>
  <si>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</si>
  <si>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</si>
  <si>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</si>
  <si>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</si>
  <si>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</si>
  <si>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</si>
  <si>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</si>
  <si>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</si>
  <si>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</si>
  <si>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</si>
  <si>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</si>
  <si>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</si>
  <si>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</si>
  <si>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</si>
  <si>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</si>
  <si>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</si>
  <si>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</si>
  <si>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</si>
  <si>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</si>
  <si>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</si>
  <si>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</si>
  <si>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</si>
  <si>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</si>
  <si>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</si>
  <si>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</si>
  <si>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</si>
  <si>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</si>
  <si>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</si>
  <si>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</si>
  <si>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</si>
  <si>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</si>
  <si>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</si>
  <si>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</si>
  <si>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</si>
  <si>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</si>
  <si>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</si>
  <si>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</si>
  <si>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</si>
  <si>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</si>
  <si>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</si>
  <si>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</si>
  <si>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</si>
  <si>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</si>
  <si>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</si>
  <si>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</si>
  <si>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</si>
  <si>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</si>
  <si>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</si>
  <si>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</si>
  <si>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</si>
  <si>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</si>
  <si>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</si>
  <si>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</si>
  <si>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</si>
  <si>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</si>
  <si>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</si>
  <si>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</si>
  <si>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</si>
  <si>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Dụ dỗ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</si>
  <si>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</si>
  <si>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</si>
  <si>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</si>
  <si>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</si>
  <si>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</si>
  <si>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</si>
  <si>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</si>
  <si>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</si>
  <si>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</si>
  <si>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</si>
  <si>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</si>
  <si>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</si>
  <si>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</si>
  <si>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</si>
  <si>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</si>
  <si>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</si>
  <si>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thú thực của em gái</t>
  </si>
  <si>
    <t>Chọn lựa chọn "Thú nhận với Imouto"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</si>
  <si>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</si>
  <si>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</si>
  <si>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</si>
  <si>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</si>
  <si>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</si>
  <si>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</si>
  <si>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</si>
  <si>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</si>
  <si>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</si>
  <si>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</si>
  <si>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</si>
  <si>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</si>
  <si>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</si>
  <si>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</si>
  <si>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</si>
  <si>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</si>
  <si>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</si>
  <si>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</si>
  <si>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Imouto"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</si>
  <si>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</si>
  <si>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</si>
  <si>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</si>
  <si>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</si>
  <si>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</si>
  <si>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</si>
  <si>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</si>
  <si>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</si>
  <si>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</si>
  <si>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</si>
  <si>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</si>
  <si>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</si>
  <si>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</si>
  <si>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</si>
  <si>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</si>
  <si>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</si>
  <si>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</si>
  <si>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</si>
  <si>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</si>
  <si>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</si>
  <si>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</si>
  <si>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</si>
  <si>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</si>
  <si>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</si>
  <si>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</si>
  <si>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</si>
  <si>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</si>
  <si>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</si>
  <si>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</si>
  <si>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</si>
  <si>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</si>
  <si>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</si>
  <si>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</si>
  <si>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</si>
  <si>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</si>
  <si>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</si>
  <si>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</si>
  <si>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</si>
  <si>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</si>
  <si>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</si>
  <si>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</si>
  <si>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</si>
  <si>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</si>
  <si>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</si>
  <si>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</si>
  <si>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</si>
  <si>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</si>
  <si>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</si>
  <si>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</si>
  <si>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</si>
  <si>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</si>
  <si>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</si>
  <si>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</si>
  <si>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</si>
  <si>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</si>
  <si>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</si>
  <si>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</si>
  <si>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</si>
  <si>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</si>
  <si>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</si>
  <si>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</si>
  <si>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</si>
  <si>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</si>
  <si>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</si>
  <si>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</si>
  <si>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</si>
  <si>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</si>
  <si>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</si>
  <si>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</si>
  <si>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</si>
  <si>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</si>
  <si>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</si>
  <si>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</si>
  <si>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</si>
  <si>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</si>
  <si>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</si>
  <si>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</si>
  <si>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</si>
  <si>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</si>
  <si>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</si>
  <si>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</si>
  <si>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</si>
  <si>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</si>
  <si>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</si>
  <si>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</si>
  <si>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</si>
  <si>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</si>
  <si>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</si>
  <si>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</si>
  <si>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</si>
  <si>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</si>
  <si>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</si>
  <si>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</si>
  <si>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</si>
  <si>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</si>
  <si>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</si>
  <si>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</si>
  <si>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</si>
  <si>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</si>
  <si>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</si>
  <si>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</si>
  <si>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</si>
  <si>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</si>
  <si>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</si>
  <si>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</si>
  <si>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</si>
  <si>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</si>
  <si>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</si>
  <si>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</si>
  <si>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</si>
  <si>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</si>
  <si>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</si>
  <si>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</si>
  <si>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</si>
  <si>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</si>
  <si>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</si>
  <si>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</si>
  <si>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</si>
  <si>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</si>
  <si>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</si>
  <si>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</si>
  <si>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</si>
  <si>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</si>
  <si>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</si>
  <si>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</si>
  <si>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</si>
  <si>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</si>
  <si>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</si>
  <si>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</si>
  <si>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</si>
  <si>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</si>
  <si>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</si>
  <si>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</si>
  <si>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</si>
  <si>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</si>
  <si>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</si>
  <si>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</si>
  <si>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</si>
  <si>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</si>
  <si>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</si>
  <si>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</si>
  <si>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</si>
  <si>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</si>
  <si>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</si>
  <si>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</si>
  <si>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</si>
  <si>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</si>
  <si>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</si>
  <si>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</si>
  <si>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</si>
  <si>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</si>
  <si>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</si>
  <si>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</si>
  <si>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</si>
  <si>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</si>
  <si>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</si>
  <si>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</si>
  <si>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</si>
  <si>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</si>
  <si>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</si>
  <si>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</si>
  <si>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</si>
  <si>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</si>
  <si>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</si>
  <si>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</si>
  <si>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</si>
  <si>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</si>
  <si>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</si>
  <si>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</si>
  <si>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</si>
  <si>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</si>
  <si>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</si>
  <si>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</si>
  <si>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</si>
  <si>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</si>
  <si>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</si>
  <si>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</si>
  <si>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</si>
  <si>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</si>
  <si>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</si>
  <si>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</si>
  <si>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</si>
  <si>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</si>
  <si>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</si>
  <si>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</si>
  <si>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</si>
  <si>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</si>
  <si>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</si>
  <si>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</si>
  <si>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</si>
  <si>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</si>
  <si>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</si>
  <si>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</si>
  <si>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</si>
  <si>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</si>
  <si>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</si>
  <si>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</si>
  <si>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</si>
  <si>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</si>
  <si>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</si>
  <si>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</si>
  <si>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</si>
  <si>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</si>
  <si>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</si>
  <si>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</si>
  <si>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</si>
  <si>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</si>
  <si>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</si>
  <si>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</si>
  <si>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</si>
  <si>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</si>
  <si>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</si>
  <si>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</si>
  <si>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</si>
  <si>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</si>
  <si>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</si>
  <si>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</si>
  <si>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</si>
  <si>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</si>
  <si>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</si>
  <si>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</si>
  <si>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</si>
  <si>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</si>
  <si>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</si>
  <si>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</si>
  <si>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</si>
  <si>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</si>
  <si>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</si>
  <si>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</si>
  <si>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</si>
  <si>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</si>
  <si>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</si>
  <si>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</si>
  <si>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</si>
  <si>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</si>
  <si>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</si>
  <si>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</si>
  <si>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</si>
  <si>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</si>
  <si>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</si>
  <si>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</si>
  <si>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</si>
  <si>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</si>
  <si>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</si>
  <si>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</si>
  <si>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</si>
  <si>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</si>
  <si>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</si>
  <si>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</si>
  <si>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</si>
  <si>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</si>
  <si>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</si>
  <si>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</si>
  <si>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</si>
  <si>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</si>
  <si>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</si>
  <si>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</si>
  <si>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</si>
  <si>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</si>
  <si>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</si>
  <si>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</si>
  <si>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</si>
  <si>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</si>
  <si>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</si>
  <si>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</si>
  <si>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</si>
  <si>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</si>
  <si>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</si>
  <si>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</si>
  <si>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</si>
  <si>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</si>
  <si>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</si>
  <si>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</si>
  <si>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</si>
  <si>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</si>
  <si>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</si>
  <si>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</si>
  <si>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</si>
  <si>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</si>
  <si>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</si>
  <si>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</si>
  <si>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</si>
  <si>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</si>
  <si>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</si>
  <si>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</si>
  <si>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</si>
  <si>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</si>
  <si>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</si>
  <si>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</si>
  <si>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</si>
  <si>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</si>
  <si>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</si>
  <si>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</si>
  <si>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</si>
  <si>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</si>
  <si>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</si>
  <si>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</si>
  <si>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</si>
  <si>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</si>
  <si>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</si>
  <si>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</si>
  <si>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</si>
  <si>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</si>
  <si>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</si>
  <si>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</si>
  <si>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</si>
  <si>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</si>
  <si>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</si>
  <si>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</si>
  <si>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</si>
  <si>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</si>
  <si>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</si>
  <si>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</si>
  <si>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</si>
  <si>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</si>
  <si>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</si>
  <si>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</si>
  <si>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</si>
  <si>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</si>
  <si>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</si>
  <si>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</si>
  <si>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</si>
  <si>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</si>
  <si>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</si>
  <si>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</si>
  <si>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</si>
  <si>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</si>
  <si>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</si>
  <si>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</si>
  <si>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</si>
  <si>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</si>
  <si>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</si>
  <si>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</si>
  <si>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</si>
  <si>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</si>
  <si>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</si>
  <si>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</si>
  <si>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</si>
  <si>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</si>
  <si>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</si>
  <si>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</si>
  <si>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</si>
  <si>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</si>
  <si>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</si>
  <si>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</si>
  <si>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</si>
  <si>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</si>
  <si>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</si>
  <si>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</si>
  <si>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</si>
  <si>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</si>
  <si>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</si>
  <si>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</si>
  <si>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</si>
  <si>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</si>
  <si>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</si>
  <si>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</si>
  <si>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</si>
  <si>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</si>
  <si>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</si>
  <si>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</si>
  <si>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</si>
  <si>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</si>
  <si>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</si>
  <si>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</si>
  <si>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</si>
  <si>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</si>
  <si>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</si>
  <si>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</si>
  <si>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</si>
  <si>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</si>
  <si>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</si>
  <si>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</si>
  <si>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</si>
  <si>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</si>
  <si>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</si>
  <si>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</si>
  <si>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</si>
  <si>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</si>
  <si>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</si>
  <si>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</si>
  <si>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</si>
  <si>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</si>
  <si>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</si>
  <si>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</si>
  <si>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</si>
  <si>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</si>
  <si>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</si>
  <si>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</si>
  <si>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</si>
  <si>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</si>
  <si>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</si>
  <si>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</si>
  <si>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</si>
  <si>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</si>
  <si>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</si>
  <si>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</si>
  <si>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</si>
  <si>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</si>
  <si>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</si>
  <si>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</si>
  <si>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</si>
  <si>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</si>
  <si>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</si>
  <si>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</si>
  <si>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</si>
  <si>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</si>
  <si>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</si>
  <si>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</si>
  <si>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</si>
  <si>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</si>
  <si>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</si>
  <si>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</si>
  <si>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</si>
  <si>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</si>
  <si>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</si>
  <si>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</si>
  <si>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</si>
  <si>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</si>
  <si>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</si>
  <si>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</si>
  <si>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</si>
  <si>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</si>
  <si>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</si>
  <si>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</si>
  <si>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</si>
  <si>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</si>
  <si>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</si>
  <si>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</si>
  <si>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</si>
  <si>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</si>
  <si>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</si>
  <si>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</si>
  <si>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</si>
  <si>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</si>
  <si>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</si>
  <si>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</si>
  <si>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</si>
  <si>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</si>
  <si>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</si>
  <si>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</si>
  <si>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</si>
  <si>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</si>
  <si>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</si>
  <si>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</si>
  <si>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</si>
  <si>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</si>
  <si>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</si>
  <si>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</si>
  <si>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</si>
  <si>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</si>
  <si>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</si>
  <si>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</si>
  <si>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</si>
  <si>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</si>
  <si>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</si>
  <si>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</si>
  <si>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</si>
  <si>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</si>
  <si>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</si>
  <si>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</si>
  <si>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</si>
  <si>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</si>
  <si>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</si>
  <si>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</si>
  <si>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</si>
  <si>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</si>
  <si>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</si>
  <si>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</si>
  <si>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</si>
  <si>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</si>
  <si>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</si>
  <si>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</si>
  <si>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</si>
  <si>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</si>
  <si>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</si>
  <si>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</si>
  <si>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</si>
  <si>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</si>
  <si>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</si>
  <si>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</si>
  <si>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</si>
  <si>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</si>
  <si>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</si>
  <si>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</si>
  <si>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</si>
  <si>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</si>
  <si>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</si>
  <si>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</si>
  <si>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</si>
  <si>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</si>
  <si>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</si>
  <si>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</si>
  <si>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</si>
  <si>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</si>
  <si>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</si>
  <si>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</si>
  <si>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</si>
  <si>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</si>
  <si>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</si>
  <si>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</si>
  <si>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</si>
  <si>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</si>
  <si>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</si>
  <si>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</si>
  <si>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</si>
  <si>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</si>
  <si>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</si>
  <si>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</si>
  <si>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</si>
  <si>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</si>
  <si>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</si>
  <si>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</si>
  <si>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</si>
  <si>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</si>
  <si>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</si>
  <si>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</si>
  <si>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</si>
  <si>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</si>
  <si>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</si>
  <si>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</si>
  <si>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</si>
  <si>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</si>
  <si>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</si>
  <si>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</si>
  <si>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</si>
  <si>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</si>
  <si>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</si>
  <si>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</si>
  <si>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</si>
  <si>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</si>
  <si>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</si>
  <si>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</si>
  <si>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</si>
  <si>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</si>
  <si>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</si>
  <si>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</si>
  <si>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</si>
  <si>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</si>
  <si>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</si>
  <si>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</si>
  <si>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</si>
  <si>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</si>
  <si>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</si>
  <si>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</si>
  <si>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</si>
  <si>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</si>
  <si>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</si>
  <si>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</si>
  <si>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</si>
  <si>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</si>
  <si>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</si>
  <si>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</si>
  <si>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</si>
  <si>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</si>
  <si>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</si>
  <si>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</si>
  <si>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</si>
  <si>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</si>
  <si>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</si>
  <si>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</si>
  <si>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</si>
  <si>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</si>
  <si>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</si>
  <si>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</si>
  <si>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</si>
  <si>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</si>
  <si>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</si>
  <si>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</si>
  <si>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</si>
  <si>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</si>
  <si>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</si>
  <si>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</si>
  <si>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</si>
  <si>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</si>
  <si>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</si>
  <si>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</si>
  <si>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</si>
  <si>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</si>
  <si>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</si>
  <si>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</si>
  <si>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</si>
  <si>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</si>
  <si>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</si>
  <si>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</si>
  <si>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</si>
  <si>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</si>
  <si>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</si>
  <si>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</si>
  <si>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</si>
  <si>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</si>
  <si>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</si>
  <si>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</si>
  <si>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</si>
  <si>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</si>
  <si>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</si>
  <si>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</si>
  <si>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</si>
  <si>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</si>
  <si>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</si>
  <si>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</si>
  <si>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</si>
  <si>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</si>
  <si>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</si>
  <si>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</si>
  <si>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</si>
  <si>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</si>
  <si>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</si>
  <si>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</si>
  <si>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</si>
  <si>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</si>
  <si>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</si>
  <si>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</si>
  <si>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</si>
  <si>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</si>
  <si>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</si>
  <si>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</si>
  <si>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</si>
  <si>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</si>
  <si>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</si>
  <si>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</si>
  <si>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</si>
  <si>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</si>
  <si>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</si>
  <si>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</si>
  <si>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</si>
  <si>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</si>
  <si>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</si>
  <si>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</si>
  <si>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</si>
  <si>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</si>
  <si>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</si>
  <si>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</si>
  <si>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</si>
  <si>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</si>
  <si>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</si>
  <si>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</si>
  <si>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</si>
  <si>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</si>
  <si>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</si>
  <si>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</si>
  <si>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</si>
  <si>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</si>
  <si>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</si>
  <si>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</si>
  <si>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</si>
  <si>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</si>
  <si>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</si>
  <si>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</si>
  <si>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</si>
  <si>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</si>
  <si>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</si>
  <si>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</si>
  <si>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</si>
  <si>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</si>
  <si>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</si>
  <si>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</si>
  <si>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</si>
  <si>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</si>
  <si>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</si>
  <si>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</si>
  <si>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</si>
  <si>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</si>
  <si>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</si>
  <si>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</si>
  <si>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</si>
  <si>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</si>
  <si>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</si>
  <si>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</si>
  <si>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</si>
  <si>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</si>
  <si>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</si>
  <si>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</si>
  <si>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</si>
  <si>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</si>
  <si>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</si>
  <si>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</si>
  <si>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</si>
  <si>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</si>
  <si>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</si>
  <si>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</si>
  <si>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</si>
  <si>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</si>
  <si>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</si>
  <si>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</si>
  <si>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</si>
  <si>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</si>
  <si>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</si>
  <si>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</si>
  <si>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</si>
  <si>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</si>
  <si>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</si>
  <si>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</si>
  <si>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</si>
  <si>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</si>
  <si>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</si>
  <si>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</si>
  <si>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</si>
  <si>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</si>
  <si>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</si>
  <si>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</si>
  <si>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</si>
  <si>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</si>
  <si>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</si>
  <si>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</si>
  <si>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</si>
  <si>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</si>
  <si>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</si>
  <si>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</si>
  <si>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</si>
  <si>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</si>
  <si>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</si>
  <si>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</si>
  <si>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</si>
  <si>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</si>
  <si>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</si>
  <si>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</si>
  <si>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</si>
  <si>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</si>
  <si>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</si>
  <si>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</si>
  <si>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</si>
  <si>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</si>
  <si>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</si>
  <si>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</si>
  <si>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</si>
  <si>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</si>
  <si>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</si>
  <si>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</si>
  <si>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</si>
  <si>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</si>
  <si>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</si>
  <si>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</si>
  <si>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</si>
  <si>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</si>
  <si>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</si>
  <si>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</si>
  <si>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</si>
  <si>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</si>
  <si>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</si>
  <si>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</si>
  <si>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</si>
  <si>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</si>
  <si>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</si>
  <si>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</si>
  <si>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</si>
  <si>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</si>
  <si>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</si>
  <si>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</si>
  <si>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</si>
  <si>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</si>
  <si>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</si>
  <si>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</si>
  <si>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</si>
  <si>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</si>
  <si>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</si>
  <si>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</si>
  <si>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</si>
  <si>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</si>
  <si>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</si>
  <si>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</si>
  <si>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</si>
  <si>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</si>
  <si>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</si>
  <si>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</si>
  <si>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</si>
  <si>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</si>
  <si>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</si>
  <si>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</si>
  <si>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</si>
  <si>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</si>
  <si>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</si>
  <si>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</si>
  <si>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</si>
  <si>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</si>
  <si>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</si>
  <si>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</si>
  <si>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</si>
  <si>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</si>
  <si>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</si>
  <si>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</si>
  <si>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</si>
  <si>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</si>
  <si>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</si>
  <si>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</si>
  <si>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</si>
  <si>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</si>
  <si>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</si>
  <si>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</si>
  <si>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</si>
  <si>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</si>
  <si>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</si>
  <si>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</si>
  <si>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</si>
  <si>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</si>
  <si>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</si>
  <si>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</si>
  <si>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</si>
  <si>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</si>
  <si>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</si>
  <si>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</si>
  <si>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</si>
  <si>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</si>
  <si>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</si>
  <si>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</si>
  <si>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</si>
  <si>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</si>
  <si>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</si>
  <si>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</si>
  <si>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</si>
  <si>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</si>
  <si>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</si>
  <si>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</si>
  <si>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</si>
  <si>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</si>
  <si>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</si>
  <si>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</si>
  <si>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</si>
  <si>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</si>
  <si>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</si>
  <si>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</si>
  <si>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</si>
  <si>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</si>
  <si>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</si>
  <si>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</si>
  <si>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</si>
  <si>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</si>
  <si>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</si>
  <si>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</si>
  <si>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</si>
  <si>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</si>
  <si>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</si>
  <si>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</si>
  <si>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</si>
  <si>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</si>
  <si>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</si>
  <si>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</si>
  <si>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</si>
  <si>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</si>
  <si>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</si>
  <si>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</si>
  <si>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</si>
  <si>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</si>
  <si>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</si>
  <si>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</si>
  <si>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</si>
  <si>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</si>
  <si>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</si>
  <si>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</si>
  <si>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</si>
  <si>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</si>
  <si>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</si>
  <si>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</si>
  <si>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</si>
  <si>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</si>
  <si>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</si>
  <si>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</si>
  <si>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</si>
  <si>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</si>
  <si>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</si>
  <si>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</si>
  <si>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</si>
  <si>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</si>
  <si>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</si>
  <si>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</si>
  <si>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</si>
  <si>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</si>
  <si>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</si>
  <si>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</si>
  <si>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</si>
  <si>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</si>
  <si>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</si>
  <si>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</si>
  <si>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</si>
  <si>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</si>
  <si>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</si>
  <si>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</si>
  <si>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</si>
  <si>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</si>
  <si>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</si>
  <si>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</si>
  <si>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</si>
  <si>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</si>
  <si>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</si>
  <si>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</si>
  <si>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</si>
  <si>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</si>
  <si>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</si>
  <si>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</si>
  <si>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</si>
  <si>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</si>
  <si>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</si>
  <si>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</si>
  <si>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</si>
  <si>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</si>
  <si>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</si>
  <si>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</si>
  <si>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</si>
  <si>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</si>
  <si>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</si>
  <si>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</si>
  <si>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</si>
  <si>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</si>
  <si>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</si>
  <si>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</si>
  <si>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</si>
  <si>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</si>
  <si>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</si>
  <si>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</si>
  <si>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</si>
  <si>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</si>
  <si>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</si>
  <si>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</si>
  <si>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</si>
  <si>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</si>
  <si>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</si>
  <si>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</si>
  <si>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</si>
  <si>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</si>
  <si>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</si>
  <si>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</si>
  <si>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</si>
  <si>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</si>
  <si>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</si>
  <si>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</si>
  <si>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</si>
  <si>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</si>
  <si>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</si>
  <si>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</si>
  <si>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</si>
  <si>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</si>
  <si>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</si>
  <si>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</si>
  <si>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</si>
  <si>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</si>
  <si>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</si>
  <si>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</si>
  <si>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</si>
  <si>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</si>
  <si>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</si>
  <si>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</si>
  <si>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</si>
  <si>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</si>
  <si>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</si>
  <si>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</si>
  <si>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</si>
  <si>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</si>
  <si>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</si>
  <si>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</si>
  <si>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</si>
  <si>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</si>
  <si>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</si>
  <si>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</si>
  <si>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</si>
  <si>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</si>
  <si>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</si>
  <si>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</si>
  <si>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</si>
  <si>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</si>
  <si>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</si>
  <si>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</si>
  <si>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</si>
  <si>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</si>
  <si>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</si>
  <si>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</si>
  <si>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</si>
  <si>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</si>
  <si>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</si>
  <si>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</si>
  <si>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</si>
  <si>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</si>
  <si>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</si>
  <si>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</si>
  <si>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</si>
  <si>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</si>
  <si>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</si>
  <si>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</si>
  <si>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</si>
  <si>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</si>
  <si>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</si>
  <si>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</si>
  <si>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</si>
  <si>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</si>
  <si>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</si>
  <si>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</si>
  <si>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</si>
  <si>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</si>
  <si>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</si>
  <si>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</si>
  <si>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</si>
  <si>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</si>
  <si>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</si>
  <si>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</si>
  <si>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</si>
  <si>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</si>
  <si>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</si>
  <si>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</si>
  <si>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</si>
  <si>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</si>
  <si>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</si>
  <si>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</si>
  <si>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</si>
  <si>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</si>
  <si>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</si>
  <si>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</si>
  <si>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</si>
  <si>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</si>
  <si>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</si>
  <si>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</si>
  <si>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</si>
  <si>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</si>
  <si>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</si>
  <si>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</si>
  <si>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</si>
  <si>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</si>
  <si>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</si>
  <si>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</si>
  <si>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</si>
  <si>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</si>
  <si>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</si>
  <si>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</si>
  <si>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</si>
  <si>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</si>
  <si>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</si>
  <si>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</si>
  <si>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</si>
  <si>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</si>
  <si>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</si>
  <si>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</si>
  <si>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</si>
  <si>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</si>
  <si>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</si>
  <si>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</si>
  <si>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</si>
  <si>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</si>
  <si>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</si>
  <si>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</si>
  <si>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</si>
  <si>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</si>
  <si>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</si>
  <si>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</si>
  <si>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</si>
  <si>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</si>
  <si>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</si>
  <si>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</si>
  <si>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</si>
  <si>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</si>
  <si>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</si>
  <si>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</si>
  <si>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</si>
  <si>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</si>
  <si>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</si>
  <si>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</si>
  <si>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</si>
  <si>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</si>
  <si>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</si>
  <si>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</si>
  <si>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</si>
  <si>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</si>
  <si>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</si>
  <si>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</si>
  <si>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</si>
  <si>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</si>
  <si>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</si>
  <si>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</si>
  <si>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</si>
  <si>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</si>
  <si>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</si>
  <si>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</si>
  <si>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</si>
  <si>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</si>
  <si>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</si>
  <si>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</si>
  <si>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</si>
  <si>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</si>
  <si>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</si>
  <si>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</si>
  <si>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</si>
  <si>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</si>
  <si>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</si>
  <si>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</si>
  <si>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</si>
  <si>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</si>
  <si>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</si>
  <si>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</si>
  <si>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</si>
  <si>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</si>
  <si>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</si>
  <si>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</si>
  <si>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</si>
  <si>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</si>
  <si>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</si>
  <si>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</si>
  <si>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</si>
  <si>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</si>
  <si>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</si>
  <si>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</si>
  <si>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</si>
  <si>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</si>
  <si>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</si>
  <si>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</si>
  <si>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</si>
  <si>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</si>
  <si>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</si>
  <si>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</si>
  <si>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</si>
  <si>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</si>
  <si>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</si>
  <si>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</si>
  <si>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</si>
  <si>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</si>
  <si>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</si>
  <si>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</si>
  <si>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</si>
  <si>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</si>
  <si>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</si>
  <si>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</si>
  <si>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</si>
  <si>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</si>
  <si>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</si>
  <si>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</si>
  <si>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</si>
  <si>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</si>
  <si>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</si>
  <si>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</si>
  <si>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</si>
  <si>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</si>
  <si>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</si>
  <si>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</si>
  <si>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</si>
  <si>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</si>
  <si>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</si>
  <si>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</si>
  <si>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</si>
  <si>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</si>
  <si>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</si>
  <si>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</si>
  <si>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</si>
  <si>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</si>
  <si>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</si>
  <si>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</si>
  <si>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</si>
  <si>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</si>
  <si>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</si>
  <si>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</si>
  <si>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</si>
  <si>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</si>
  <si>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</si>
  <si>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</si>
  <si>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</si>
  <si>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</si>
  <si>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</si>
  <si>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</si>
  <si>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</si>
  <si>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</si>
  <si>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</si>
  <si>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</si>
  <si>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</si>
  <si>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</si>
  <si>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</si>
  <si>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</si>
  <si>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</si>
  <si>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</si>
  <si>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</si>
  <si>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</si>
  <si>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</si>
  <si>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</si>
  <si>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</si>
  <si>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</si>
  <si>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</si>
  <si>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Мытьё с Имоуто - 3</t>
  </si>
  <si>
    <t>Аналогично предыдущему, но если у вас 4 фиолетовых сердца, запустится первая сцена с "суматой".</t>
  </si>
  <si>
    <t>Первая сцена "суматы"</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</si>
  <si>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</si>
  <si>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</si>
  <si>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</si>
  <si>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</si>
  <si>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</si>
  <si>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</si>
  <si>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</si>
  <si>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</si>
  <si>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</si>
  <si>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</si>
  <si>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</si>
  <si>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</si>
  <si>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</si>
  <si>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</si>
  <si>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</si>
  <si>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</si>
  <si>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</si>
  <si>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</si>
  <si>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</si>
  <si>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</si>
  <si>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</si>
  <si>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Мытьё с Имоуто - 4</t>
  </si>
  <si>
    <t>Аналогично предыдущему, но если у вас 5 фиолетовых сердец, запустится вторая сцена с "суматой".</t>
  </si>
  <si>
    <t>Вторая сцена "суматы"</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</si>
  <si>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</si>
  <si>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</si>
  <si>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</si>
  <si>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</si>
  <si>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</si>
  <si>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</si>
  <si>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</si>
  <si>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</si>
  <si>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</si>
  <si>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</si>
  <si>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</si>
  <si>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</si>
  <si>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</si>
  <si>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</si>
  <si>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</si>
  <si>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</si>
  <si>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</si>
  <si>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</si>
  <si>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</si>
  <si>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</si>
  <si>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</si>
  <si>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Мытьё с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</si>
  <si>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</si>
  <si>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</si>
  <si>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</si>
  <si>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</si>
  <si>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</si>
  <si>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</si>
  <si>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</si>
  <si>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</si>
  <si>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</si>
  <si>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</si>
  <si>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</si>
  <si>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</si>
  <si>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</si>
  <si>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</si>
  <si>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</si>
  <si>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</si>
  <si>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</si>
  <si>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</si>
  <si>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</si>
  <si>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</si>
  <si>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</si>
  <si>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Мытьё с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</si>
  <si>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</si>
  <si>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</si>
  <si>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</si>
  <si>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</si>
  <si>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</si>
  <si>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</si>
  <si>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"Mắt Quỷ".</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</si>
  <si>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</si>
  <si>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</si>
  <si>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</si>
  <si>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</si>
  <si>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</si>
  <si>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</si>
  <si>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</si>
  <si>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</si>
  <si>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</si>
  <si>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Imouto's Washing - 7</t>
  </si>
  <si>
    <t>After ejaculating in the mouth of from the previous events, she will immediately give you a handjob two more times</t>
  </si>
  <si>
    <t>Triggers the "Sucked dry in the bath" event
PS: If Onii-chan's stamina is not enough (low HP), he will "go limp" midway</t>
  </si>
  <si>
    <t>Мытьё с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</si>
  <si>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</si>
  <si>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</si>
  <si>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</si>
  <si>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</si>
  <si>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</si>
  <si>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</si>
  <si>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</si>
  <si>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</si>
  <si>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</si>
  <si>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</si>
  <si>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</si>
  <si>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Imouto's Washing - 8</t>
  </si>
  <si>
    <t>Trigger Imouto's Washing - 7 and getting "sucked dry in the bath" twice</t>
  </si>
  <si>
    <t>A new "Skip" button will be added to let you directly watch the scene</t>
  </si>
  <si>
    <t>Мытьё с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</si>
  <si>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</si>
  <si>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</si>
  <si>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Imouto tắm cho - 8</t>
  </si>
  <si>
    <t>Xảy ra sự kiện Imouto tắm cho - 7 và "bị vắt khô trong bồn tắm" hai lần</t>
  </si>
  <si>
    <t xml:space="preserve">Một nút "Bỏ qua" sẽ được thêm vào và cho phép bạn xem trực tiếp </t>
  </si>
  <si>
    <t>Pedir pra imouto me lavar -8</t>
  </si>
  <si>
    <t>O incidente resultou em dois casos de "felação no banho(5)" e "ser drenado até a última gota no banho(7)".</t>
  </si>
  <si>
    <t>Uma nova opção "Pular" foi adicionada, permitindo que você assista à história diretamente.</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</si>
  <si>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</si>
  <si>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</si>
  <si>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</si>
  <si>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</si>
  <si>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</si>
  <si>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</si>
  <si>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</si>
  <si>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</si>
  <si>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</si>
  <si>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</si>
  <si>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</si>
  <si>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</si>
  <si>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</si>
  <si>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</si>
  <si>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</si>
  <si>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</si>
  <si>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</si>
  <si>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</si>
  <si>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</si>
  <si>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</si>
  <si>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</si>
  <si>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</si>
  <si>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</si>
  <si>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</si>
  <si>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</si>
  <si>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</si>
  <si>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</si>
  <si>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</si>
  <si>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</si>
  <si>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</si>
  <si>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</si>
  <si>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</si>
  <si>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</si>
  <si>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</si>
  <si>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</si>
  <si>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</si>
  <si>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</si>
  <si>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</si>
  <si>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</si>
  <si>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</si>
  <si>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</si>
  <si>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</si>
  <si>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</si>
  <si>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</si>
  <si>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</si>
  <si>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</si>
  <si>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</si>
  <si>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</si>
  <si>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</si>
  <si>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</si>
  <si>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</si>
  <si>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</si>
  <si>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</si>
  <si>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</si>
  <si>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</si>
  <si>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</si>
  <si>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</si>
  <si>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</si>
  <si>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</si>
  <si>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</si>
  <si>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</si>
  <si>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</si>
  <si>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</si>
  <si>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</si>
  <si>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</si>
  <si>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</si>
  <si>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</si>
  <si>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</si>
  <si>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</si>
  <si>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</si>
  <si>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</si>
  <si>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</si>
  <si>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</si>
  <si>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</si>
  <si>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</si>
  <si>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</si>
  <si>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</si>
  <si>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</si>
  <si>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</si>
  <si>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</si>
  <si>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</si>
  <si>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</si>
  <si>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</si>
  <si>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</si>
  <si>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</si>
  <si>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</si>
  <si>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</si>
  <si>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</si>
  <si>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</si>
  <si>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</si>
  <si>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</si>
  <si>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</si>
  <si>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</si>
  <si>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</si>
  <si>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</si>
  <si>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</si>
  <si>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</si>
  <si>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</si>
  <si>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</si>
  <si>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</si>
  <si>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</si>
  <si>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</si>
  <si>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</si>
  <si>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</si>
  <si>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</si>
  <si>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</si>
  <si>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</si>
  <si>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</si>
  <si>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</si>
  <si>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</si>
  <si>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</si>
  <si>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</si>
  <si>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</si>
  <si>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</si>
  <si>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</si>
  <si>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</si>
  <si>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</si>
  <si>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</si>
  <si>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</si>
  <si>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</si>
  <si>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</si>
  <si>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</si>
  <si>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</si>
  <si>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</si>
  <si>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</si>
  <si>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</si>
  <si>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</si>
  <si>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</si>
  <si>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</si>
  <si>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</si>
  <si>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</si>
  <si>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</si>
  <si>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</si>
  <si>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</si>
  <si>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</si>
  <si>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</si>
  <si>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</si>
  <si>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</si>
  <si>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</si>
  <si>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</si>
  <si>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</si>
  <si>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</si>
  <si>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</si>
  <si>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</si>
  <si>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</si>
  <si>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</si>
  <si>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</si>
  <si>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</si>
  <si>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</si>
  <si>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</si>
  <si>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</si>
  <si>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</si>
  <si>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</si>
  <si>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</si>
  <si>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</si>
  <si>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</si>
  <si>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</si>
  <si>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</si>
  <si>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</si>
  <si>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</si>
  <si>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</si>
  <si>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</si>
  <si>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</si>
  <si>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</si>
  <si>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</si>
  <si>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</si>
  <si>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</si>
  <si>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</si>
  <si>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</si>
  <si>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</si>
  <si>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</si>
  <si>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</si>
  <si>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</si>
  <si>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</si>
  <si>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</si>
  <si>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</si>
  <si>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</si>
  <si>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</si>
  <si>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</si>
  <si>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</si>
  <si>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</si>
  <si>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</si>
  <si>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</si>
  <si>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</si>
  <si>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</si>
  <si>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</si>
  <si>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</si>
  <si>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</si>
  <si>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</si>
  <si>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</si>
  <si>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</si>
  <si>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</si>
  <si>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</si>
  <si>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</si>
  <si>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</si>
  <si>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</si>
  <si>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</si>
  <si>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</si>
  <si>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</si>
  <si>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</si>
  <si>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</si>
  <si>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</si>
  <si>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</si>
  <si>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</si>
  <si>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</si>
  <si>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</si>
  <si>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</si>
  <si>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</si>
  <si>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</si>
  <si>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</si>
  <si>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</si>
  <si>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</si>
  <si>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</si>
  <si>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</si>
  <si>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</si>
  <si>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</si>
  <si>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</si>
  <si>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</si>
  <si>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</si>
  <si>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</si>
  <si>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</si>
  <si>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</si>
  <si>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</si>
  <si>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</si>
  <si>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</si>
  <si>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</si>
  <si>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</si>
  <si>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</si>
  <si>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</si>
  <si>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</si>
  <si>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</si>
  <si>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</si>
  <si>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</si>
  <si>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</si>
  <si>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</si>
  <si>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</si>
  <si>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</si>
  <si>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</si>
  <si>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</si>
  <si>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</si>
  <si>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</si>
  <si>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</si>
  <si>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</si>
  <si>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</si>
  <si>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</si>
  <si>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</si>
  <si>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</si>
  <si>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</si>
  <si>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</si>
  <si>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</si>
  <si>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</si>
  <si>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</si>
  <si>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</si>
  <si>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</si>
  <si>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</si>
  <si>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</si>
  <si>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</si>
  <si>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</si>
  <si>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</si>
  <si>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</si>
  <si>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</si>
  <si>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</si>
  <si>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</si>
  <si>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</si>
  <si>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</si>
  <si>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</si>
  <si>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</si>
  <si>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</si>
  <si>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</si>
  <si>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</si>
  <si>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</si>
  <si>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</si>
  <si>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</si>
  <si>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</si>
  <si>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</si>
  <si>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</si>
  <si>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</si>
  <si>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</si>
  <si>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</si>
  <si>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</si>
  <si>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</si>
  <si>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</si>
  <si>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</si>
  <si>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</si>
  <si>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</si>
  <si>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</si>
  <si>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</si>
  <si>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</si>
  <si>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</si>
  <si>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</si>
  <si>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</si>
  <si>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</si>
  <si>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</si>
  <si>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</si>
  <si>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</si>
  <si>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</si>
  <si>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</si>
  <si>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</si>
  <si>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</si>
  <si>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</si>
  <si>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</si>
  <si>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</si>
  <si>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</si>
  <si>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</si>
  <si>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</si>
  <si>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</si>
  <si>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</si>
  <si>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</si>
  <si>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</si>
  <si>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</si>
  <si>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</si>
  <si>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</si>
  <si>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</si>
  <si>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</si>
  <si>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</si>
  <si>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</si>
  <si>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</si>
  <si>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</si>
  <si>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</si>
  <si>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</si>
  <si>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</si>
  <si>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</si>
  <si>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</si>
  <si>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</si>
  <si>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</si>
  <si>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</si>
  <si>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</si>
  <si>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</si>
  <si>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</si>
  <si>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</si>
  <si>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</si>
  <si>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</si>
  <si>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</si>
  <si>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</si>
  <si>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</si>
  <si>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</si>
  <si>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</si>
  <si>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</si>
  <si>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</si>
  <si>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</si>
  <si>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</si>
  <si>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</si>
  <si>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</si>
  <si>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</si>
  <si>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</si>
  <si>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</si>
  <si>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</si>
  <si>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</si>
  <si>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</si>
  <si>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</si>
  <si>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</si>
  <si>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</si>
  <si>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</si>
  <si>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</si>
  <si>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</si>
  <si>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</si>
  <si>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</si>
  <si>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</si>
  <si>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</si>
  <si>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</si>
  <si>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</si>
  <si>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</si>
  <si>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</si>
  <si>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</si>
  <si>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</si>
  <si>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</si>
  <si>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</si>
  <si>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</si>
  <si>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</si>
  <si>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</si>
  <si>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</si>
  <si>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</si>
  <si>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</si>
  <si>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</si>
  <si>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</si>
  <si>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</si>
  <si>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</si>
  <si>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</si>
  <si>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</si>
  <si>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</si>
  <si>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</si>
  <si>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</si>
  <si>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</si>
  <si>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</si>
  <si>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</si>
  <si>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</si>
  <si>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</si>
  <si>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</si>
  <si>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</si>
  <si>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</si>
  <si>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</si>
  <si>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</si>
  <si>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</si>
  <si>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</si>
  <si>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</si>
  <si>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</si>
  <si>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</si>
  <si>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</si>
  <si>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</si>
  <si>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</si>
  <si>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</si>
  <si>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</si>
  <si>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</si>
  <si>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</si>
  <si>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</si>
  <si>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</si>
  <si>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</si>
  <si>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</si>
  <si>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</si>
  <si>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</si>
  <si>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</si>
  <si>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</si>
  <si>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</si>
  <si>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</si>
  <si>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</si>
  <si>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</si>
  <si>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</si>
  <si>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</si>
  <si>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</si>
  <si>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</si>
  <si>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</si>
  <si>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</si>
  <si>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</si>
  <si>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</si>
  <si>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</si>
  <si>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</si>
  <si>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</si>
  <si>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</si>
  <si>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</si>
  <si>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</si>
  <si>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</si>
  <si>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</si>
  <si>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</si>
  <si>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</si>
  <si>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</si>
  <si>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</si>
  <si>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</si>
  <si>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</si>
  <si>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</si>
  <si>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</si>
  <si>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</si>
  <si>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</si>
  <si>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</si>
  <si>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</si>
  <si>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</si>
  <si>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</si>
  <si>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</si>
  <si>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</si>
  <si>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</si>
  <si>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</si>
  <si>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</si>
  <si>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</si>
  <si>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</si>
  <si>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</si>
  <si>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</si>
  <si>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</si>
  <si>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</si>
  <si>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</si>
  <si>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</si>
  <si>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</si>
  <si>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</si>
  <si>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</si>
  <si>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</si>
  <si>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</si>
  <si>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</si>
  <si>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</si>
  <si>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</si>
  <si>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</si>
  <si>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</si>
  <si>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</si>
  <si>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</si>
  <si>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</si>
  <si>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</si>
  <si>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</si>
  <si>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</si>
  <si>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</si>
  <si>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</si>
  <si>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</si>
  <si>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</si>
  <si>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</si>
  <si>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</si>
  <si>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</si>
  <si>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</si>
  <si>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</si>
  <si>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</si>
  <si>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</si>
  <si>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</si>
  <si>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</si>
  <si>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</si>
  <si>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</si>
  <si>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</si>
  <si>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</si>
  <si>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</si>
  <si>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</si>
  <si>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</si>
  <si>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</si>
  <si>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</si>
  <si>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</si>
  <si>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</si>
  <si>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</si>
  <si>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</si>
  <si>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</si>
  <si>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</si>
  <si>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</si>
  <si>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</si>
  <si>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</si>
  <si>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</si>
  <si>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</si>
  <si>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</si>
  <si>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</si>
  <si>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</si>
  <si>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</si>
  <si>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</si>
  <si>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</si>
  <si>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</si>
  <si>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</si>
  <si>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</si>
  <si>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</si>
  <si>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</si>
  <si>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</si>
  <si>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</si>
  <si>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</si>
  <si>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</si>
  <si>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</si>
  <si>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</si>
  <si>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</si>
  <si>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</si>
  <si>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</si>
  <si>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</si>
  <si>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</si>
  <si>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</si>
  <si>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</si>
  <si>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</si>
  <si>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</si>
  <si>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</si>
  <si>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</si>
  <si>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</si>
  <si>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</si>
  <si>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</si>
  <si>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</si>
  <si>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</si>
  <si>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</si>
  <si>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</si>
  <si>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</si>
  <si>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</si>
  <si>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</si>
  <si>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</si>
  <si>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</si>
  <si>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</si>
  <si>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</si>
  <si>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</si>
  <si>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</si>
  <si>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</si>
  <si>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</si>
  <si>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</si>
  <si>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</si>
  <si>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</si>
  <si>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</si>
  <si>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</si>
  <si>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</si>
  <si>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</si>
  <si>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</si>
  <si>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</si>
  <si>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</si>
  <si>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</si>
  <si>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</si>
  <si>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</si>
  <si>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</si>
  <si>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</si>
  <si>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</si>
  <si>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</si>
  <si>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</si>
  <si>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</si>
  <si>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</si>
  <si>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</si>
  <si>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</si>
  <si>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</si>
  <si>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</si>
  <si>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</si>
  <si>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</si>
  <si>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</si>
  <si>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</si>
  <si>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</si>
  <si>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</si>
  <si>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</si>
  <si>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</si>
  <si>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</si>
  <si>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</si>
  <si>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</si>
  <si>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</si>
  <si>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</si>
  <si>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</si>
  <si>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</si>
  <si>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</si>
  <si>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</si>
  <si>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</si>
  <si>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</si>
  <si>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</si>
  <si>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</si>
  <si>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</si>
  <si>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</si>
  <si>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</si>
  <si>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</si>
  <si>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</si>
  <si>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</si>
  <si>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</si>
  <si>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</si>
  <si>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</si>
  <si>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</si>
  <si>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</si>
  <si>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</si>
  <si>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</si>
  <si>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</si>
  <si>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</si>
  <si>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</si>
  <si>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</si>
  <si>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</si>
  <si>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</si>
  <si>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</si>
  <si>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</si>
  <si>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</si>
  <si>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Event terkait Serangan Malam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</si>
  <si>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</si>
  <si>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</si>
  <si>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</si>
  <si>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</si>
  <si>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</si>
  <si>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</si>
  <si>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</si>
  <si>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</si>
  <si>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</si>
  <si>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</si>
  <si>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</si>
  <si>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</si>
  <si>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Маскировка дыхания - 3</t>
  </si>
  <si>
    <t>В ходе ночных рейдов появится новая опция.</t>
  </si>
  <si>
    <t>*Пока не реализовано. Пожалуйста, дождитесь переработки ночных рейдов.</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</si>
  <si>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</si>
  <si>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</si>
  <si>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</si>
  <si>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</si>
  <si>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</si>
  <si>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</si>
  <si>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</si>
  <si>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</si>
  <si>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Opsi terkait serangan malam</t>
  </si>
  <si>
    <t>Belum diimplementasikan; menunggu pembuatan ulang adegan serangan malam.</t>
  </si>
  <si>
    <t xml:space="preserve">                      </t>
  </si>
  <si>
    <t>RPG事件</t>
  </si>
  <si>
    <t>RPGイベント</t>
  </si>
  <si>
    <t>説明する</t>
  </si>
  <si>
    <t>Combat Event</t>
  </si>
  <si>
    <t>说明</t>
  </si>
  <si>
    <t>结果</t>
  </si>
  <si>
    <t>Evento de rol</t>
  </si>
  <si>
    <t>RPG-событие</t>
  </si>
  <si>
    <t>Описание</t>
  </si>
  <si>
    <t>Итог</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</si>
  <si>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</si>
  <si>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</si>
  <si>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</si>
  <si>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</si>
  <si>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</si>
  <si>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</si>
  <si>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</si>
  <si>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</si>
  <si>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</si>
  <si>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</si>
  <si>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</si>
  <si>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</si>
  <si>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</si>
  <si>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</si>
  <si>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</si>
  <si>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</si>
  <si>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</si>
  <si>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</si>
  <si>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</si>
  <si>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</si>
  <si>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</si>
  <si>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</si>
  <si>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</si>
  <si>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</si>
  <si>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</si>
  <si>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</si>
  <si>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</si>
  <si>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</si>
  <si>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</si>
  <si>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</si>
  <si>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</si>
  <si>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</si>
  <si>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</si>
  <si>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</si>
  <si>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</si>
  <si>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</si>
  <si>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</si>
  <si>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</si>
  <si>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</si>
  <si>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</si>
  <si>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</si>
  <si>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</si>
  <si>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</si>
  <si>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</si>
  <si>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</si>
  <si>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</si>
  <si>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</si>
  <si>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</si>
  <si>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</si>
  <si>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</si>
  <si>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</si>
  <si>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</si>
  <si>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</si>
  <si>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</si>
  <si>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</si>
  <si>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</si>
  <si>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</si>
  <si>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</si>
  <si>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</si>
  <si>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</si>
  <si>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</si>
  <si>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</si>
  <si>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</si>
  <si>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</si>
  <si>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</si>
  <si>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</si>
  <si>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</si>
  <si>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</si>
  <si>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</si>
  <si>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</si>
  <si>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</si>
  <si>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</si>
  <si>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</si>
  <si>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</si>
  <si>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</si>
  <si>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</si>
  <si>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</si>
  <si>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</si>
  <si>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</si>
  <si>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</si>
  <si>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</si>
  <si>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</si>
  <si>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</si>
  <si>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</si>
  <si>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</si>
  <si>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</si>
  <si>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</si>
  <si>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</si>
  <si>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</si>
  <si>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</si>
  <si>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</si>
  <si>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</si>
  <si>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</si>
  <si>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</si>
  <si>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</si>
  <si>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</si>
  <si>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</si>
  <si>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</si>
  <si>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</si>
  <si>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</si>
  <si>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</si>
  <si>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</si>
  <si>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</si>
  <si>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</si>
  <si>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</si>
  <si>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</si>
  <si>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</si>
  <si>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</si>
  <si>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</si>
  <si>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</si>
  <si>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</si>
  <si>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</si>
  <si>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</si>
  <si>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</si>
  <si>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</si>
  <si>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</si>
  <si>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</si>
  <si>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</si>
  <si>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</si>
  <si>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</si>
  <si>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</si>
  <si>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</si>
  <si>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</si>
  <si>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</si>
  <si>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</si>
  <si>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</si>
  <si>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</si>
  <si>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</si>
  <si>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</si>
  <si>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</si>
  <si>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</si>
  <si>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</si>
  <si>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</si>
  <si>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</si>
  <si>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</si>
  <si>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</si>
  <si>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</si>
  <si>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</si>
  <si>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</si>
  <si>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</si>
  <si>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</si>
  <si>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</si>
  <si>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</si>
  <si>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</si>
  <si>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</si>
  <si>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</si>
  <si>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</si>
  <si>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</si>
  <si>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</si>
  <si>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</si>
  <si>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</si>
  <si>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</si>
  <si>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</si>
  <si>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</si>
  <si>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</si>
  <si>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</si>
  <si>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</si>
  <si>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</si>
  <si>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</si>
  <si>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</si>
  <si>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</si>
  <si>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</si>
  <si>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</si>
  <si>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</si>
  <si>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</si>
  <si>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</si>
  <si>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</si>
  <si>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</si>
  <si>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</si>
  <si>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</si>
  <si>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</si>
  <si>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</si>
  <si>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</si>
  <si>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</si>
  <si>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</si>
  <si>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</si>
  <si>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</si>
  <si>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</si>
  <si>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</si>
  <si>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</si>
  <si>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</si>
  <si>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</si>
  <si>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</si>
  <si>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</si>
  <si>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</si>
  <si>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</si>
  <si>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</si>
  <si>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</si>
  <si>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</si>
  <si>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</si>
  <si>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</si>
  <si>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</si>
  <si>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</si>
  <si>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</si>
  <si>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</si>
  <si>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</si>
  <si>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</si>
  <si>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</si>
  <si>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</si>
  <si>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</si>
  <si>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</si>
  <si>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</si>
  <si>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</si>
  <si>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</si>
  <si>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</si>
  <si>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</si>
  <si>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</si>
  <si>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</si>
  <si>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</si>
  <si>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</si>
  <si>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</si>
  <si>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</si>
  <si>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</si>
  <si>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</si>
  <si>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</si>
  <si>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</si>
  <si>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</si>
  <si>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</si>
  <si>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</si>
  <si>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</si>
  <si>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</si>
  <si>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</si>
  <si>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</si>
  <si>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</si>
  <si>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</si>
  <si>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</si>
  <si>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</si>
  <si>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</si>
  <si>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</si>
  <si>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</si>
  <si>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</si>
  <si>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</si>
  <si>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</si>
  <si>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</si>
  <si>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</si>
  <si>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</si>
  <si>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</si>
  <si>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</si>
  <si>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</si>
  <si>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</si>
  <si>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</si>
  <si>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</si>
  <si>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</si>
  <si>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</si>
  <si>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</si>
  <si>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</si>
  <si>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</si>
  <si>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</si>
  <si>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</si>
  <si>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</si>
  <si>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</si>
  <si>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</si>
  <si>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</si>
  <si>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</si>
  <si>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</si>
  <si>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</si>
  <si>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</si>
  <si>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</si>
  <si>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</si>
  <si>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</si>
  <si>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</si>
  <si>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</si>
  <si>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</si>
  <si>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</si>
  <si>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</si>
  <si>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</si>
  <si>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</si>
  <si>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</si>
  <si>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</si>
  <si>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</si>
  <si>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</si>
  <si>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</si>
  <si>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</si>
  <si>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</si>
  <si>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</si>
  <si>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</si>
  <si>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</si>
  <si>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</si>
  <si>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</si>
  <si>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</si>
  <si>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</si>
  <si>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</si>
  <si>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</si>
  <si>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</si>
  <si>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</si>
  <si>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</si>
  <si>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</si>
  <si>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</si>
  <si>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</si>
  <si>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</si>
  <si>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</si>
  <si>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</si>
  <si>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</si>
  <si>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</si>
  <si>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</si>
  <si>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</si>
  <si>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</si>
  <si>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</si>
  <si>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</si>
  <si>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</si>
  <si>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</si>
  <si>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</si>
  <si>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</si>
  <si>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</si>
  <si>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</si>
  <si>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</si>
  <si>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</si>
  <si>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</si>
  <si>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</si>
  <si>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</si>
  <si>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</si>
  <si>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</si>
  <si>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</si>
  <si>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</si>
  <si>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</si>
  <si>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</si>
  <si>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</si>
  <si>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</si>
  <si>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</si>
  <si>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</si>
  <si>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</si>
  <si>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</si>
  <si>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</si>
  <si>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</si>
  <si>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</si>
  <si>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</si>
  <si>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</si>
  <si>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</si>
  <si>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</si>
  <si>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</si>
  <si>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</si>
  <si>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</si>
  <si>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</si>
  <si>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</si>
  <si>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</si>
  <si>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</si>
  <si>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</si>
  <si>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</si>
  <si>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</si>
  <si>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</si>
  <si>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</si>
  <si>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</si>
  <si>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</si>
  <si>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</si>
  <si>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</si>
  <si>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</si>
  <si>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</si>
  <si>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</si>
  <si>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</si>
  <si>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</si>
  <si>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</si>
  <si>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</si>
  <si>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</si>
  <si>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</si>
  <si>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</si>
  <si>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</si>
  <si>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</si>
  <si>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</si>
  <si>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</si>
  <si>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</si>
  <si>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</si>
  <si>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</si>
  <si>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</si>
  <si>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</si>
  <si>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</si>
  <si>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</si>
  <si>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</si>
  <si>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</si>
  <si>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</si>
  <si>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</si>
  <si>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</si>
  <si>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</si>
  <si>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</si>
  <si>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</si>
  <si>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</si>
  <si>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</si>
  <si>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</si>
  <si>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</si>
  <si>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</si>
  <si>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</si>
  <si>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</si>
  <si>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</si>
  <si>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</si>
  <si>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</si>
  <si>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</si>
  <si>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</si>
  <si>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</si>
  <si>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</si>
  <si>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</si>
  <si>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</si>
  <si>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</si>
  <si>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</si>
  <si>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</si>
  <si>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</si>
  <si>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</si>
  <si>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</si>
  <si>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</si>
  <si>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</si>
  <si>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</si>
  <si>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</si>
  <si>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</si>
  <si>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</si>
  <si>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</si>
  <si>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</si>
  <si>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</si>
  <si>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</si>
  <si>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</si>
  <si>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</si>
  <si>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</si>
  <si>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</si>
  <si>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</si>
  <si>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</si>
  <si>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</si>
  <si>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</si>
  <si>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</si>
  <si>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</si>
  <si>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</si>
  <si>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</si>
  <si>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</si>
  <si>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</si>
  <si>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</si>
  <si>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</si>
  <si>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</si>
  <si>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</si>
  <si>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</si>
  <si>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</si>
  <si>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</si>
  <si>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</si>
  <si>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</si>
  <si>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</si>
  <si>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</si>
  <si>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</si>
  <si>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</si>
  <si>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</si>
  <si>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</si>
  <si>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</si>
  <si>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</si>
  <si>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</si>
  <si>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</si>
  <si>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</si>
  <si>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</si>
  <si>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</si>
  <si>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</si>
  <si>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</si>
  <si>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</si>
  <si>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</si>
  <si>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</si>
  <si>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</si>
  <si>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</si>
  <si>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</si>
  <si>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</si>
  <si>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</si>
  <si>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</si>
  <si>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</si>
  <si>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</si>
  <si>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</si>
  <si>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</si>
  <si>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</si>
  <si>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</si>
  <si>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</si>
  <si>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</si>
  <si>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</si>
  <si>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</si>
  <si>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</si>
  <si>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</si>
  <si>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</si>
  <si>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</si>
  <si>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</si>
  <si>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</si>
  <si>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</si>
  <si>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</si>
  <si>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</si>
  <si>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</si>
  <si>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</si>
  <si>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</si>
  <si>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</si>
  <si>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</si>
  <si>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</si>
  <si>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</si>
  <si>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</si>
  <si>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</si>
  <si>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</si>
  <si>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</si>
  <si>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</si>
  <si>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</si>
  <si>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</si>
  <si>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</si>
  <si>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</si>
  <si>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</si>
  <si>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</si>
  <si>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</si>
  <si>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</si>
  <si>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</si>
  <si>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</si>
  <si>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</si>
  <si>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</si>
  <si>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</si>
  <si>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</si>
  <si>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</si>
  <si>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</si>
  <si>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</si>
  <si>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</si>
  <si>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</si>
  <si>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</si>
  <si>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</si>
  <si>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</si>
  <si>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</si>
  <si>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</si>
  <si>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</si>
  <si>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</si>
  <si>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</si>
  <si>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</si>
  <si>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</si>
  <si>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</si>
  <si>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</si>
  <si>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</si>
  <si>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</si>
  <si>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</si>
  <si>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</si>
  <si>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</si>
  <si>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</si>
  <si>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</si>
  <si>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</si>
  <si>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</si>
  <si>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</si>
  <si>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</si>
  <si>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</si>
  <si>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</si>
  <si>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</si>
  <si>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</si>
  <si>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</si>
  <si>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</si>
  <si>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Тропа авантюристов: Врата Бездны</t>
  </si>
  <si>
    <t>Em frente ao portão das ruínas (In front of the ruins gate)</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</si>
  <si>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</si>
  <si>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</si>
  <si>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</si>
  <si>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</si>
  <si>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</si>
  <si>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</si>
  <si>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</si>
  <si>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</si>
  <si>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</si>
  <si>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</si>
  <si>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</si>
  <si>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</si>
  <si>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</si>
  <si>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</si>
  <si>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</si>
  <si>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</si>
  <si>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</si>
  <si>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</si>
  <si>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</si>
  <si>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</si>
  <si>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</si>
  <si>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</si>
  <si>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</si>
  <si>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</si>
  <si>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</si>
  <si>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</si>
  <si>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</si>
  <si>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</si>
  <si>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</si>
  <si>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</si>
  <si>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</si>
  <si>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</si>
  <si>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Место отдыха... (Нибелунген)</t>
  </si>
  <si>
    <t>Terra do Sono (Land of Slumber (Nibelungen))</t>
  </si>
  <si>
    <t>遺跡之森-1~4</t>
  </si>
  <si>
    <t>Forest of Ruins - 1 ~ 4</t>
  </si>
  <si>
    <t>遗迹之森-1~4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</si>
  <si>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</si>
  <si>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</si>
  <si>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</si>
  <si>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</si>
  <si>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</si>
  <si>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</si>
  <si>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</si>
  <si>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</si>
  <si>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</si>
  <si>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</si>
  <si>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</si>
  <si>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</si>
  <si>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</si>
  <si>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</si>
  <si>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</si>
  <si>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</si>
  <si>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</si>
  <si>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</si>
  <si>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</si>
  <si>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</si>
  <si>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</si>
  <si>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</si>
  <si>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</si>
  <si>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</si>
  <si>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</si>
  <si>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</si>
  <si>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</si>
  <si>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</si>
  <si>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</si>
  <si>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</si>
  <si>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</si>
  <si>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</si>
  <si>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</si>
  <si>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</si>
  <si>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</si>
  <si>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</si>
  <si>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</si>
  <si>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</si>
  <si>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</si>
  <si>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</si>
  <si>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</si>
  <si>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</si>
  <si>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</si>
  <si>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</si>
  <si>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</si>
  <si>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</si>
  <si>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</si>
  <si>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</si>
  <si>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</si>
  <si>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</si>
  <si>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</si>
  <si>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</si>
  <si>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</si>
  <si>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</si>
  <si>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</si>
  <si>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</si>
  <si>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</si>
  <si>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</si>
  <si>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</si>
  <si>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</si>
  <si>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</si>
  <si>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</si>
  <si>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</si>
  <si>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</si>
  <si>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</si>
  <si>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</si>
  <si>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</si>
  <si>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</si>
  <si>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</si>
  <si>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</si>
  <si>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</si>
  <si>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</si>
  <si>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</si>
  <si>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</si>
  <si>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</si>
  <si>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</si>
  <si>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</si>
  <si>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</si>
  <si>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</si>
  <si>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</si>
  <si>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</si>
  <si>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</si>
  <si>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</si>
  <si>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</si>
  <si>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</si>
  <si>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</si>
  <si>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</si>
  <si>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</si>
  <si>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</si>
  <si>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</si>
  <si>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</si>
  <si>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</si>
  <si>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</si>
  <si>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</si>
  <si>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</si>
  <si>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</si>
  <si>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</si>
  <si>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</si>
  <si>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</si>
  <si>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</si>
  <si>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</si>
  <si>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</si>
  <si>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</si>
  <si>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</si>
  <si>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</si>
  <si>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</si>
  <si>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</si>
  <si>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</si>
  <si>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</si>
  <si>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</si>
  <si>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</si>
  <si>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</si>
  <si>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</si>
  <si>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</si>
  <si>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</si>
  <si>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</si>
  <si>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</si>
  <si>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</si>
  <si>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</si>
  <si>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</si>
  <si>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</si>
  <si>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</si>
  <si>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</si>
  <si>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</si>
  <si>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</si>
  <si>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</si>
  <si>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</si>
  <si>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</si>
  <si>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</si>
  <si>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</si>
  <si>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</si>
  <si>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</si>
  <si>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</si>
  <si>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</si>
  <si>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</si>
  <si>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</si>
  <si>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</si>
  <si>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</si>
  <si>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</si>
  <si>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</si>
  <si>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</si>
  <si>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</si>
  <si>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</si>
  <si>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</si>
  <si>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</si>
  <si>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</si>
  <si>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</si>
  <si>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</si>
  <si>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</si>
  <si>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</si>
  <si>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</si>
  <si>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</si>
  <si>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</si>
  <si>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</si>
  <si>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</si>
  <si>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</si>
  <si>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</si>
  <si>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</si>
  <si>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</si>
  <si>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</si>
  <si>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</si>
  <si>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</si>
  <si>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</si>
  <si>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</si>
  <si>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</si>
  <si>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</si>
  <si>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</si>
  <si>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</si>
  <si>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</si>
  <si>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</si>
  <si>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</si>
  <si>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</si>
  <si>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</si>
  <si>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</si>
  <si>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</si>
  <si>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</si>
  <si>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</si>
  <si>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</si>
  <si>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</si>
  <si>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</si>
  <si>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</si>
  <si>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</si>
  <si>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</si>
  <si>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</si>
  <si>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</si>
  <si>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</si>
  <si>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</si>
  <si>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</si>
  <si>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</si>
  <si>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</si>
  <si>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</si>
  <si>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</si>
  <si>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</si>
  <si>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</si>
  <si>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</si>
  <si>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</si>
  <si>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</si>
  <si>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</si>
  <si>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</si>
  <si>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</si>
  <si>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</si>
  <si>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</si>
  <si>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</si>
  <si>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</si>
  <si>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</si>
  <si>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</si>
  <si>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</si>
  <si>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</si>
  <si>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</si>
  <si>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</si>
  <si>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</si>
  <si>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</si>
  <si>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</si>
  <si>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</si>
  <si>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</si>
  <si>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</si>
  <si>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</si>
  <si>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</si>
  <si>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</si>
  <si>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</si>
  <si>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</si>
  <si>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</si>
  <si>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</si>
  <si>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</si>
  <si>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</si>
  <si>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</si>
  <si>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</si>
  <si>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</si>
  <si>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</si>
  <si>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</si>
  <si>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</si>
  <si>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</si>
  <si>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</si>
  <si>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</si>
  <si>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</si>
  <si>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</si>
  <si>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</si>
  <si>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</si>
  <si>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</si>
  <si>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</si>
  <si>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</si>
  <si>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</si>
  <si>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</si>
  <si>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</si>
  <si>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</si>
  <si>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</si>
  <si>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</si>
  <si>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</si>
  <si>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</si>
  <si>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</si>
  <si>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</si>
  <si>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</si>
  <si>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</si>
  <si>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</si>
  <si>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</si>
  <si>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</si>
  <si>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</si>
  <si>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</si>
  <si>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</si>
  <si>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</si>
  <si>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</si>
  <si>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</si>
  <si>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</si>
  <si>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</si>
  <si>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</si>
  <si>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</si>
  <si>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</si>
  <si>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</si>
  <si>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</si>
  <si>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</si>
  <si>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</si>
  <si>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</si>
  <si>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</si>
  <si>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</si>
  <si>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</si>
  <si>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</si>
  <si>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</si>
  <si>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</si>
  <si>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</si>
  <si>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</si>
  <si>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</si>
  <si>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</si>
  <si>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</si>
  <si>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</si>
  <si>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</si>
  <si>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</si>
  <si>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</si>
  <si>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</si>
  <si>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</si>
  <si>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Скрытые предметы</t>
  </si>
  <si>
    <t>Подойдите к деревянному ящику слева, после входа в «Место раскопок (шахта)».</t>
  </si>
  <si>
    <t>Получите экипировку: Значок Стража Клинков</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</si>
  <si>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</si>
  <si>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</si>
  <si>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</si>
  <si>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</si>
  <si>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</si>
  <si>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</si>
  <si>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</si>
  <si>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</si>
  <si>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</si>
  <si>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</si>
  <si>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</si>
  <si>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</si>
  <si>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</si>
  <si>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</si>
  <si>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</si>
  <si>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</si>
  <si>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</si>
  <si>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</si>
  <si>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</si>
  <si>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</si>
  <si>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</si>
  <si>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</si>
  <si>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</si>
  <si>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</si>
  <si>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</si>
  <si>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</si>
  <si>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</si>
  <si>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</si>
  <si>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</si>
  <si>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</si>
  <si>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</si>
  <si>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</si>
  <si>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</si>
  <si>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</si>
  <si>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</si>
  <si>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</si>
  <si>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</si>
  <si>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</si>
  <si>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</si>
  <si>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</si>
  <si>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</si>
  <si>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</si>
  <si>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</si>
  <si>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</si>
  <si>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</si>
  <si>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</si>
  <si>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</si>
  <si>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</si>
  <si>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</si>
  <si>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</si>
  <si>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</si>
  <si>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</si>
  <si>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</si>
  <si>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</si>
  <si>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</si>
  <si>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</si>
  <si>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</si>
  <si>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</si>
  <si>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</si>
  <si>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</si>
  <si>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</si>
  <si>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</si>
  <si>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</si>
  <si>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</si>
  <si>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</si>
  <si>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</si>
  <si>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</si>
  <si>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</si>
  <si>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</si>
  <si>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</si>
  <si>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</si>
  <si>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</si>
  <si>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</si>
  <si>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</si>
  <si>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</si>
  <si>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</si>
  <si>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</si>
  <si>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</si>
  <si>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</si>
  <si>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</si>
  <si>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</si>
  <si>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</si>
  <si>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</si>
  <si>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</si>
  <si>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</si>
  <si>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</si>
  <si>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</si>
  <si>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</si>
  <si>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</si>
  <si>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</si>
  <si>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</si>
  <si>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</si>
  <si>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</si>
  <si>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</si>
  <si>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</si>
  <si>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</si>
  <si>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</si>
  <si>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</si>
  <si>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</si>
  <si>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</si>
  <si>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</si>
  <si>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</si>
  <si>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</si>
  <si>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</si>
  <si>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</si>
  <si>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</si>
  <si>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</si>
  <si>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</si>
  <si>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</si>
  <si>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</si>
  <si>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</si>
  <si>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</si>
  <si>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</si>
  <si>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</si>
  <si>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</si>
  <si>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</si>
  <si>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</si>
  <si>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</si>
  <si>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</si>
  <si>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</si>
  <si>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</si>
  <si>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</si>
  <si>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</si>
  <si>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</si>
  <si>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</si>
  <si>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</si>
  <si>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</si>
  <si>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</si>
  <si>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</si>
  <si>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</si>
  <si>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</si>
  <si>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</si>
  <si>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</si>
  <si>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</si>
  <si>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</si>
  <si>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</si>
  <si>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</si>
  <si>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</si>
  <si>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</si>
  <si>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</si>
  <si>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</si>
  <si>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</si>
  <si>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</si>
  <si>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</si>
  <si>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</si>
  <si>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</si>
  <si>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</si>
  <si>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</si>
  <si>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</si>
  <si>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</si>
  <si>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</si>
  <si>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</si>
  <si>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</si>
  <si>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</si>
  <si>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</si>
  <si>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</si>
  <si>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</si>
  <si>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</si>
  <si>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</si>
  <si>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</si>
  <si>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</si>
  <si>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</si>
  <si>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</si>
  <si>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</si>
  <si>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</si>
  <si>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</si>
  <si>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</si>
  <si>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</si>
  <si>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</si>
  <si>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</si>
  <si>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</si>
  <si>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</si>
  <si>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</si>
  <si>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</si>
  <si>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</si>
  <si>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</si>
  <si>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</si>
  <si>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</si>
  <si>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</si>
  <si>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</si>
  <si>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</si>
  <si>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</si>
  <si>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</si>
  <si>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</si>
  <si>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</si>
  <si>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</si>
  <si>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</si>
  <si>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</si>
  <si>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</si>
  <si>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</si>
  <si>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</si>
  <si>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</si>
  <si>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</si>
  <si>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</si>
  <si>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</si>
  <si>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</si>
  <si>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</si>
  <si>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</si>
  <si>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</si>
  <si>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</si>
  <si>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</si>
  <si>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</si>
  <si>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</si>
  <si>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</si>
  <si>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</si>
  <si>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</si>
  <si>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</si>
  <si>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</si>
  <si>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</si>
  <si>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</si>
  <si>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</si>
  <si>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</si>
  <si>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</si>
  <si>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</si>
  <si>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</si>
  <si>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</si>
  <si>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</si>
  <si>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</si>
  <si>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</si>
  <si>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</si>
  <si>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</si>
  <si>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</si>
  <si>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</si>
  <si>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</si>
  <si>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</si>
  <si>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</si>
  <si>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</si>
  <si>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</si>
  <si>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</si>
  <si>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</si>
  <si>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</si>
  <si>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</si>
  <si>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</si>
  <si>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</si>
  <si>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</si>
  <si>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</si>
  <si>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</si>
  <si>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</si>
  <si>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</si>
  <si>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</si>
  <si>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</si>
  <si>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</si>
  <si>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</si>
  <si>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</si>
  <si>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</si>
  <si>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</si>
  <si>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</si>
  <si>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</si>
  <si>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</si>
  <si>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</si>
  <si>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</si>
  <si>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</si>
  <si>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</si>
  <si>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</si>
  <si>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</si>
  <si>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</si>
  <si>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</si>
  <si>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</si>
  <si>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</si>
  <si>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</si>
  <si>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</si>
  <si>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</si>
  <si>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</si>
  <si>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</si>
  <si>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</si>
  <si>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</si>
  <si>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</si>
  <si>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</si>
  <si>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</si>
  <si>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</si>
  <si>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</si>
  <si>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</si>
  <si>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</si>
  <si>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</si>
  <si>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</si>
  <si>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</si>
  <si>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</si>
  <si>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</si>
  <si>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</si>
  <si>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</si>
  <si>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</si>
  <si>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</si>
  <si>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</si>
  <si>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</si>
  <si>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</si>
  <si>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</si>
  <si>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</si>
  <si>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</si>
  <si>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</si>
  <si>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</si>
  <si>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</si>
  <si>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</si>
  <si>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</si>
  <si>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</si>
  <si>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</si>
  <si>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</si>
  <si>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</si>
  <si>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</si>
  <si>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</si>
  <si>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</si>
  <si>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</si>
  <si>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</si>
  <si>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</si>
  <si>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</si>
  <si>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</si>
  <si>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</si>
  <si>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</si>
  <si>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</si>
  <si>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</si>
  <si>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</si>
  <si>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</si>
  <si>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</si>
  <si>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</si>
  <si>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</si>
  <si>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</si>
  <si>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</si>
  <si>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</si>
  <si>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</si>
  <si>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</si>
  <si>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</si>
  <si>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</si>
  <si>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</si>
  <si>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</si>
  <si>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</si>
  <si>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</si>
  <si>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</si>
  <si>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</si>
  <si>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</si>
  <si>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</si>
  <si>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</si>
  <si>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</si>
  <si>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</si>
  <si>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</si>
  <si>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</si>
  <si>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</si>
  <si>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</si>
  <si>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</si>
  <si>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</si>
  <si>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</si>
  <si>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</si>
  <si>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</si>
  <si>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</si>
  <si>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</si>
  <si>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</si>
  <si>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</si>
  <si>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</si>
  <si>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</si>
  <si>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</si>
  <si>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</si>
  <si>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</si>
  <si>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</si>
  <si>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</si>
  <si>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</si>
  <si>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</si>
  <si>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</si>
  <si>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</si>
  <si>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</si>
  <si>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</si>
  <si>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</si>
  <si>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</si>
  <si>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</si>
  <si>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</si>
  <si>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</si>
  <si>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</si>
  <si>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</si>
  <si>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</si>
  <si>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</si>
  <si>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</si>
  <si>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</si>
  <si>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</si>
  <si>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</si>
  <si>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</si>
  <si>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</si>
  <si>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</si>
  <si>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</si>
  <si>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</si>
  <si>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</si>
  <si>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</si>
  <si>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</si>
  <si>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</si>
  <si>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</si>
  <si>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</si>
  <si>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</si>
  <si>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</si>
  <si>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</si>
  <si>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</si>
  <si>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</si>
  <si>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</si>
  <si>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</si>
  <si>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</si>
  <si>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</si>
  <si>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</si>
  <si>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</si>
  <si>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</si>
  <si>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</si>
  <si>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</si>
  <si>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</si>
  <si>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</si>
  <si>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</si>
  <si>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</si>
  <si>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</si>
  <si>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</si>
  <si>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</si>
  <si>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</si>
  <si>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</si>
  <si>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</si>
  <si>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</si>
  <si>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</si>
  <si>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</si>
  <si>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</si>
  <si>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</si>
  <si>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</si>
  <si>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</si>
  <si>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</si>
  <si>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</si>
  <si>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</si>
  <si>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</si>
  <si>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</si>
  <si>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</si>
  <si>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</si>
  <si>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</si>
  <si>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</si>
  <si>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</si>
  <si>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</si>
  <si>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</si>
  <si>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</si>
  <si>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</si>
  <si>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</si>
  <si>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</si>
  <si>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</si>
  <si>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</si>
  <si>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</si>
  <si>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</si>
  <si>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</si>
  <si>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</si>
  <si>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</si>
  <si>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</si>
  <si>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</si>
  <si>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</si>
  <si>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</si>
  <si>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</si>
  <si>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</si>
  <si>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</si>
  <si>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</si>
  <si>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</si>
  <si>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</si>
  <si>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</si>
  <si>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</si>
  <si>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</si>
  <si>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</si>
  <si>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</si>
  <si>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</si>
  <si>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</si>
  <si>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</si>
  <si>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</si>
  <si>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</si>
  <si>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</si>
  <si>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</si>
  <si>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</si>
  <si>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</si>
  <si>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Забытые катакомбы - Нижний уровень</t>
  </si>
  <si>
    <t>Catacumbas Esquecidas - Nível Superior  (Forgotten Catacombs - Upper Level)</t>
  </si>
  <si>
    <t>RD7</t>
  </si>
  <si>
    <t>被遺忘的墓穴-1，中間的蛋附近一個寶箱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</si>
  <si>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</si>
  <si>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</si>
  <si>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</si>
  <si>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</si>
  <si>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被遗忘的墓穴-1，中间的蛋附近一个宝箱</t>
  </si>
  <si>
    <t>获得武器-雪见</t>
  </si>
  <si>
    <t>En los niveles inferiores de la Tumba Olvidada, hay un cofre cerca de una fila de huevos en el centro.</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</si>
  <si>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</si>
  <si>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</si>
  <si>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</si>
  <si>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</si>
  <si>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</si>
  <si>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</si>
  <si>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</si>
  <si>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</si>
  <si>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</si>
  <si>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???墓穴(狂亂的紅獸)</t>
  </si>
  <si>
    <t>Forgotten Catacombs - Lower Level</t>
  </si>
  <si>
    <t>??? Гробница (Обезумевший Багровый зверь)</t>
  </si>
  <si>
    <t>Catacumbas Esquecidas - Nível Inferior (Forgotten Catacombs - Lower Level)</t>
  </si>
  <si>
    <t>RD8</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</si>
  <si>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</si>
  <si>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</si>
  <si>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</si>
  <si>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</si>
  <si>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</si>
  <si>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</si>
  <si>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</si>
  <si>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</si>
  <si>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</si>
  <si>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</si>
  <si>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</si>
  <si>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</si>
  <si>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</si>
  <si>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</si>
  <si>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</si>
  <si>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RD9</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</si>
  <si>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</si>
  <si>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</si>
  <si>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</si>
  <si>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</si>
  <si>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</si>
  <si>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</si>
  <si>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</si>
  <si>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</si>
  <si>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</si>
  <si>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</si>
  <si>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</si>
  <si>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</si>
  <si>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</si>
  <si>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</si>
  <si>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</si>
  <si>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</si>
  <si>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</si>
  <si>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</si>
  <si>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</si>
  <si>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</si>
  <si>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</si>
  <si>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</si>
  <si>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</si>
  <si>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</si>
  <si>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</si>
  <si>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</si>
  <si>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</si>
  <si>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</si>
  <si>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</si>
  <si>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RD10</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</si>
  <si>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</si>
  <si>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</si>
  <si>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</si>
  <si>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</si>
  <si>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</si>
  <si>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</si>
  <si>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</si>
  <si>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</si>
  <si>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</si>
  <si>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</si>
  <si>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</si>
  <si>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</si>
  <si>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</si>
  <si>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</si>
  <si>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</si>
  <si>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</si>
  <si>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</si>
  <si>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</si>
  <si>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</si>
  <si>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</si>
  <si>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</si>
  <si>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</si>
  <si>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</si>
  <si>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</si>
  <si>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</si>
  <si>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</si>
  <si>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</si>
  <si>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</si>
  <si>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RD11</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</si>
  <si>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</si>
  <si>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</si>
  <si>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</si>
  <si>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</si>
  <si>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</si>
  <si>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</si>
  <si>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</si>
  <si>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</si>
  <si>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</si>
  <si>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</si>
  <si>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</si>
  <si>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</si>
  <si>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</si>
  <si>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</si>
  <si>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</si>
  <si>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</si>
  <si>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</si>
  <si>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</si>
  <si>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</si>
  <si>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</si>
  <si>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</si>
  <si>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</si>
  <si>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</si>
  <si>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</si>
  <si>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</si>
  <si>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</si>
  <si>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</si>
  <si>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</si>
  <si>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</si>
  <si>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</si>
  <si>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</si>
  <si>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Падшая церковь</t>
  </si>
  <si>
    <t>Santuário Caído (Fallen Sanctuary)</t>
  </si>
  <si>
    <t>RD12</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</si>
  <si>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</si>
  <si>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</si>
  <si>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</si>
  <si>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</si>
  <si>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</si>
  <si>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</si>
  <si>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</si>
  <si>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</si>
  <si>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</si>
  <si>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</si>
  <si>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</si>
  <si>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</si>
  <si>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</si>
  <si>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</si>
  <si>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</si>
  <si>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</si>
  <si>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</si>
  <si>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</si>
  <si>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</si>
  <si>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</si>
  <si>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</si>
  <si>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</si>
  <si>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</si>
  <si>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</si>
  <si>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</si>
  <si>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</si>
  <si>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</si>
  <si>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</si>
  <si>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RD13</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</si>
  <si>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</si>
  <si>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</si>
  <si>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</si>
  <si>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</si>
  <si>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</si>
  <si>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</si>
  <si>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</si>
  <si>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</si>
  <si>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</si>
  <si>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</si>
  <si>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</si>
  <si>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</si>
  <si>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</si>
  <si>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Признание</t>
  </si>
  <si>
    <t xml:space="preserve">Исповедуйтесь монахине.
Если ваш уровень возбуждения ниже 50%, возможность исповедаться не появится.
</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</si>
  <si>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</si>
  <si>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</si>
  <si>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</si>
  <si>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</si>
  <si>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</si>
  <si>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</si>
  <si>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</si>
  <si>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</si>
  <si>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</si>
  <si>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</si>
  <si>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</si>
  <si>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</si>
  <si>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RD14</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</si>
  <si>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</si>
  <si>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</si>
  <si>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</si>
  <si>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</si>
  <si>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</si>
  <si>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</si>
  <si>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</si>
  <si>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</si>
  <si>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</si>
  <si>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</si>
  <si>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</si>
  <si>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</si>
  <si>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</si>
  <si>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</si>
  <si>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</si>
  <si>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</si>
  <si>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</si>
  <si>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</si>
  <si>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</si>
  <si>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</si>
  <si>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</si>
  <si>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</si>
  <si>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</si>
  <si>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</si>
  <si>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</si>
  <si>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</si>
  <si>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</si>
  <si>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</si>
  <si>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RD15</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</si>
  <si>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</si>
  <si>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</si>
  <si>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</si>
  <si>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</si>
  <si>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</si>
  <si>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</si>
  <si>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</si>
  <si>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</si>
  <si>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</si>
  <si>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</si>
  <si>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</si>
  <si>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</si>
  <si>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</si>
  <si>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</si>
  <si>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</si>
  <si>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</si>
  <si>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</si>
  <si>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</si>
  <si>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</si>
  <si>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</si>
  <si>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</si>
  <si>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</si>
  <si>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</si>
  <si>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</si>
  <si>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</si>
  <si>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</si>
  <si>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</si>
  <si>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</si>
  <si>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</si>
  <si>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</si>
  <si>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</si>
  <si>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</si>
  <si>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</si>
  <si>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</si>
  <si>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</si>
  <si>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</si>
  <si>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</si>
  <si>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</si>
  <si>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</si>
  <si>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</si>
  <si>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</si>
  <si>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</si>
  <si>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</si>
  <si>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</si>
  <si>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</si>
  <si>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</si>
  <si>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</si>
  <si>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</si>
  <si>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</si>
  <si>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</si>
  <si>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</si>
  <si>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</si>
  <si>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</si>
  <si>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</si>
  <si>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</si>
  <si>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</si>
  <si>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</si>
  <si>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</si>
  <si>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</si>
  <si>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</si>
  <si>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</si>
  <si>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</si>
  <si>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</si>
  <si>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</si>
  <si>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</si>
  <si>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</si>
  <si>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</si>
  <si>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</si>
  <si>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</si>
  <si>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</si>
  <si>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</si>
  <si>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</si>
  <si>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</si>
  <si>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</si>
  <si>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</si>
  <si>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</si>
  <si>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</si>
  <si>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</si>
  <si>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</si>
  <si>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</si>
  <si>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</si>
  <si>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</si>
  <si>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</si>
  <si>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</si>
  <si>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</si>
  <si>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</si>
  <si>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</si>
  <si>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</si>
  <si>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</si>
  <si>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</si>
  <si>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</si>
  <si>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</si>
  <si>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</si>
  <si>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</si>
  <si>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</si>
  <si>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</si>
  <si>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</si>
  <si>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</si>
  <si>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</si>
  <si>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</si>
  <si>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</si>
  <si>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</si>
  <si>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</si>
  <si>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</si>
  <si>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</si>
  <si>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</si>
  <si>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</si>
  <si>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</si>
  <si>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</si>
  <si>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</si>
  <si>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</si>
  <si>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</si>
  <si>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</si>
  <si>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</si>
  <si>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</si>
  <si>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</si>
  <si>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</si>
  <si>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</si>
  <si>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</si>
  <si>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</si>
  <si>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</si>
  <si>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</si>
  <si>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</si>
  <si>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</si>
  <si>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</si>
  <si>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</si>
  <si>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</si>
  <si>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</si>
  <si>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</si>
  <si>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</si>
  <si>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</si>
  <si>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</si>
  <si>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</si>
  <si>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</si>
  <si>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</si>
  <si>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</si>
  <si>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</si>
  <si>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</si>
  <si>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</si>
  <si>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</si>
  <si>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</si>
  <si>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</si>
  <si>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</si>
  <si>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</si>
  <si>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</si>
  <si>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</si>
  <si>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</si>
  <si>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</si>
  <si>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</si>
  <si>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</si>
  <si>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</si>
  <si>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</si>
  <si>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</si>
  <si>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</si>
  <si>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</si>
  <si>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</si>
  <si>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</si>
  <si>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</si>
  <si>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</si>
  <si>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</si>
  <si>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</si>
  <si>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</si>
  <si>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</si>
  <si>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</si>
  <si>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</si>
  <si>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</si>
  <si>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</si>
  <si>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</si>
  <si>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</si>
  <si>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</si>
  <si>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</si>
  <si>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</si>
  <si>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</si>
  <si>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</si>
  <si>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</si>
  <si>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</si>
  <si>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</si>
  <si>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</si>
  <si>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</si>
  <si>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</si>
  <si>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</si>
  <si>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</si>
  <si>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</si>
  <si>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</si>
  <si>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</si>
  <si>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</si>
  <si>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</si>
  <si>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</si>
  <si>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</si>
  <si>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</si>
  <si>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</si>
  <si>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</si>
  <si>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</si>
  <si>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</si>
  <si>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</si>
  <si>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</si>
  <si>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</si>
  <si>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</si>
  <si>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</si>
  <si>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</si>
  <si>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</si>
  <si>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</si>
  <si>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</si>
  <si>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</si>
  <si>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</si>
  <si>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</si>
  <si>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</si>
  <si>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</si>
  <si>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</si>
  <si>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</si>
  <si>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</si>
  <si>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</si>
  <si>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</si>
  <si>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</si>
  <si>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</si>
  <si>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</si>
  <si>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</si>
  <si>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</si>
  <si>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</si>
  <si>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</si>
  <si>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</si>
  <si>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</si>
  <si>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</si>
  <si>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</si>
  <si>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</si>
  <si>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</si>
  <si>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</si>
  <si>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</si>
  <si>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</si>
  <si>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</si>
  <si>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</si>
  <si>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</si>
  <si>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</si>
  <si>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</si>
  <si>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</si>
  <si>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</si>
  <si>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</si>
  <si>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</si>
  <si>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</si>
  <si>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</si>
  <si>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</si>
  <si>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</si>
  <si>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</si>
  <si>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</si>
  <si>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</si>
  <si>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</si>
  <si>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</si>
  <si>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</si>
  <si>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</si>
  <si>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</si>
  <si>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</si>
  <si>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</si>
  <si>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</si>
  <si>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</si>
  <si>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</si>
  <si>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</si>
  <si>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</si>
  <si>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</si>
  <si>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</si>
  <si>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</si>
  <si>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</si>
  <si>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</si>
  <si>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</si>
  <si>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</si>
  <si>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</si>
  <si>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</si>
  <si>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</si>
  <si>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</si>
  <si>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</si>
  <si>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</si>
  <si>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</si>
  <si>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</si>
  <si>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</si>
  <si>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</si>
  <si>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</si>
  <si>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</si>
  <si>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</si>
  <si>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</si>
  <si>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</si>
  <si>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</si>
  <si>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</si>
  <si>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</si>
  <si>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</si>
  <si>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</si>
  <si>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</si>
  <si>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</si>
  <si>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</si>
  <si>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</si>
  <si>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</si>
  <si>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</si>
  <si>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</si>
  <si>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</si>
  <si>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</si>
  <si>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</si>
  <si>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</si>
  <si>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</si>
  <si>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</si>
  <si>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</si>
  <si>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</si>
  <si>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</si>
  <si>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</si>
  <si>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</si>
  <si>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</si>
  <si>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</si>
  <si>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</si>
  <si>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</si>
  <si>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</si>
  <si>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</si>
  <si>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</si>
  <si>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</si>
  <si>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</si>
  <si>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</si>
  <si>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</si>
  <si>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</si>
  <si>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</si>
  <si>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</si>
  <si>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</si>
  <si>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</si>
  <si>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</si>
  <si>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</si>
  <si>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</si>
  <si>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</si>
  <si>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</si>
  <si>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</si>
  <si>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</si>
  <si>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</si>
  <si>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</si>
  <si>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</si>
  <si>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</si>
  <si>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</si>
  <si>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</si>
  <si>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</si>
  <si>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</si>
  <si>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</si>
  <si>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</si>
  <si>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</si>
  <si>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</si>
  <si>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</si>
  <si>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</si>
  <si>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</si>
  <si>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</si>
  <si>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</si>
  <si>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</si>
  <si>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</si>
  <si>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</si>
  <si>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</si>
  <si>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</si>
  <si>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</si>
  <si>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</si>
  <si>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</si>
  <si>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</si>
  <si>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</si>
  <si>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</si>
  <si>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</si>
  <si>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</si>
  <si>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</si>
  <si>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</si>
  <si>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</si>
  <si>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</si>
  <si>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</si>
  <si>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</si>
  <si>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</si>
  <si>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</si>
  <si>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</si>
  <si>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</si>
  <si>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</si>
  <si>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</si>
  <si>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</si>
  <si>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</si>
  <si>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</si>
  <si>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</si>
  <si>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</si>
  <si>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</si>
  <si>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</si>
  <si>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</si>
  <si>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</si>
  <si>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</si>
  <si>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</si>
  <si>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</si>
  <si>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</si>
  <si>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</si>
  <si>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</si>
  <si>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</si>
  <si>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</si>
  <si>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</si>
  <si>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</si>
  <si>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</si>
  <si>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</si>
  <si>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</si>
  <si>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</si>
  <si>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</si>
  <si>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</si>
  <si>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</si>
  <si>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</si>
  <si>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</si>
  <si>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</si>
  <si>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</si>
  <si>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</si>
  <si>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</si>
  <si>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</si>
  <si>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</si>
  <si>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</si>
  <si>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</si>
  <si>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</si>
  <si>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</si>
  <si>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</si>
  <si>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</si>
  <si>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</si>
  <si>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</si>
  <si>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</si>
  <si>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</si>
  <si>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</si>
  <si>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</si>
  <si>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</si>
  <si>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</si>
  <si>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</si>
  <si>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</si>
  <si>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</si>
  <si>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</si>
  <si>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</si>
  <si>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</si>
  <si>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</si>
  <si>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</si>
  <si>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</si>
  <si>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</si>
  <si>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</si>
  <si>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</si>
  <si>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</si>
  <si>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</si>
  <si>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</si>
  <si>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</si>
  <si>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</si>
  <si>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</si>
  <si>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</si>
  <si>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</si>
  <si>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</si>
  <si>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</si>
  <si>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</si>
  <si>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</si>
  <si>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</si>
  <si>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</si>
  <si>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</si>
  <si>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</si>
  <si>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</si>
  <si>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</si>
  <si>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</si>
  <si>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</si>
  <si>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</si>
  <si>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</si>
  <si>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</si>
  <si>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</si>
  <si>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</si>
  <si>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</si>
  <si>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</si>
  <si>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</si>
  <si>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</si>
  <si>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</si>
  <si>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</si>
  <si>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</si>
  <si>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</si>
  <si>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</si>
  <si>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</si>
  <si>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</si>
  <si>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</si>
  <si>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</si>
  <si>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</si>
  <si>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</si>
  <si>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</si>
  <si>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</si>
  <si>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</si>
  <si>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</si>
  <si>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</si>
  <si>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</si>
  <si>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</si>
  <si>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</si>
  <si>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</si>
  <si>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</si>
  <si>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</si>
  <si>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</si>
  <si>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</si>
  <si>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</si>
  <si>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</si>
  <si>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</si>
  <si>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</si>
  <si>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</si>
  <si>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</si>
  <si>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</si>
  <si>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</si>
  <si>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</si>
  <si>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</si>
  <si>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</si>
  <si>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</si>
  <si>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</si>
  <si>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</si>
  <si>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</si>
  <si>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</si>
  <si>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</si>
  <si>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</si>
  <si>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</si>
  <si>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</si>
  <si>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</si>
  <si>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</si>
  <si>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</si>
  <si>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</si>
  <si>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</si>
  <si>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</si>
  <si>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</si>
  <si>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</si>
  <si>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</si>
  <si>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</si>
  <si>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</si>
  <si>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</si>
  <si>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</si>
  <si>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</si>
  <si>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</si>
  <si>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</si>
  <si>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</si>
  <si>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</si>
  <si>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</si>
  <si>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</si>
  <si>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</si>
  <si>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</si>
  <si>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</si>
  <si>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</si>
  <si>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</si>
  <si>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</si>
  <si>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</si>
  <si>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</si>
  <si>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</si>
  <si>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</si>
  <si>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</si>
  <si>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</si>
  <si>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</si>
  <si>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</si>
  <si>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</si>
  <si>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</si>
  <si>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</si>
  <si>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</si>
  <si>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</si>
  <si>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</si>
  <si>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</si>
  <si>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</si>
  <si>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</si>
  <si>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</si>
  <si>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</si>
  <si>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</si>
  <si>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</si>
  <si>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</si>
  <si>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</si>
  <si>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</si>
  <si>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</si>
  <si>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</si>
  <si>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</si>
  <si>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</si>
  <si>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</si>
  <si>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</si>
  <si>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</si>
  <si>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</si>
  <si>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</si>
  <si>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</si>
  <si>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</si>
  <si>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</si>
  <si>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</si>
  <si>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</si>
  <si>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</si>
  <si>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</si>
  <si>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</si>
  <si>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</si>
  <si>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</si>
  <si>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</si>
  <si>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</si>
  <si>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</si>
  <si>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</si>
  <si>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</si>
  <si>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</si>
  <si>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</si>
  <si>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</si>
  <si>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</si>
  <si>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</si>
  <si>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</si>
  <si>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</si>
  <si>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</si>
  <si>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Once you unlock "Late at Night", you will be able to purchase the "Horror Video Tape" from the Weird Knight's Shop for 5000 yen or the "Adult Video Tape" from Aki by giving her a King Salmon</t>
  </si>
  <si>
    <t xml:space="preserve">Obtain "Horror Video Tape" item
Obtain "Adult Video Tape" item
</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</si>
  <si>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</si>
  <si>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</si>
  <si>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</si>
  <si>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</si>
  <si>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</si>
  <si>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</si>
  <si>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</si>
  <si>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Nhận được vật phẩm: Băng video kinh dị
Nhận được vật phẩm: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</si>
  <si>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</si>
  <si>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</si>
  <si>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</si>
  <si>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</si>
  <si>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</si>
  <si>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</si>
  <si>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</si>
  <si>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</si>
  <si>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</si>
  <si>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</si>
  <si>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</si>
  <si>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</si>
  <si>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</si>
  <si>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</si>
  <si>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</si>
  <si>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</si>
  <si>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</si>
  <si>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</si>
  <si>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</si>
  <si>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</si>
  <si>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</si>
  <si>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</si>
  <si>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</si>
  <si>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</si>
  <si>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</si>
  <si>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</si>
  <si>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</si>
  <si>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</si>
  <si>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</si>
  <si>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</si>
  <si>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</si>
  <si>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</si>
  <si>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</si>
  <si>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</si>
  <si>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</si>
  <si>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</si>
  <si>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</si>
  <si>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</si>
  <si>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</si>
  <si>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</si>
  <si>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</si>
  <si>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</si>
  <si>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</si>
  <si>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</si>
  <si>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</si>
  <si>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</si>
  <si>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</si>
  <si>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</si>
  <si>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</si>
  <si>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</si>
  <si>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</si>
  <si>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</si>
  <si>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</si>
  <si>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</si>
  <si>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</si>
  <si>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</si>
  <si>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</si>
  <si>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</si>
  <si>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</si>
  <si>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</si>
  <si>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</si>
  <si>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</si>
  <si>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</si>
  <si>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</si>
  <si>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</si>
  <si>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</si>
  <si>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</si>
  <si>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</si>
  <si>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</si>
  <si>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</si>
  <si>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</si>
  <si>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</si>
  <si>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</si>
  <si>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</si>
  <si>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</si>
  <si>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</si>
  <si>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</si>
  <si>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</si>
  <si>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</si>
  <si>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</si>
  <si>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</si>
  <si>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</si>
  <si>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</si>
  <si>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</si>
  <si>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</si>
  <si>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</si>
  <si>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</si>
  <si>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</si>
  <si>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</si>
  <si>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</si>
  <si>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</si>
  <si>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</si>
  <si>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</si>
  <si>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</si>
  <si>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</si>
  <si>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</si>
  <si>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</si>
  <si>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</si>
  <si>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</si>
  <si>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</si>
  <si>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</si>
  <si>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</si>
  <si>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</si>
  <si>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</si>
  <si>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</si>
  <si>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</si>
  <si>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</si>
  <si>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</si>
  <si>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</si>
  <si>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</si>
  <si>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</si>
  <si>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</si>
  <si>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</si>
  <si>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</si>
  <si>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</si>
  <si>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</si>
  <si>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</si>
  <si>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</si>
  <si>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</si>
  <si>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</si>
  <si>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</si>
  <si>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</si>
  <si>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</si>
  <si>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</si>
  <si>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</si>
  <si>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</si>
  <si>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</si>
  <si>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</si>
  <si>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</si>
  <si>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</si>
  <si>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</si>
  <si>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</si>
  <si>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</si>
  <si>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</si>
  <si>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</si>
  <si>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</si>
  <si>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</si>
  <si>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</si>
  <si>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</si>
  <si>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</si>
  <si>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</si>
  <si>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</si>
  <si>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</si>
  <si>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</si>
  <si>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</si>
  <si>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</si>
  <si>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</si>
  <si>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</si>
  <si>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</si>
  <si>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</si>
  <si>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</si>
  <si>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</si>
  <si>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</si>
  <si>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</si>
  <si>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</si>
  <si>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</si>
  <si>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</si>
  <si>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</si>
  <si>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</si>
  <si>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</si>
  <si>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</si>
  <si>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</si>
  <si>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</si>
  <si>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</si>
  <si>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</si>
  <si>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</si>
  <si>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</si>
  <si>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</si>
  <si>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</si>
  <si>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</si>
  <si>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</si>
  <si>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</si>
  <si>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</si>
  <si>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</si>
  <si>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</si>
  <si>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</si>
  <si>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</si>
  <si>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</si>
  <si>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</si>
  <si>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</si>
  <si>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</si>
  <si>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</si>
  <si>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</si>
  <si>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</si>
  <si>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</si>
  <si>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</si>
  <si>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</si>
  <si>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</si>
  <si>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</si>
  <si>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</si>
  <si>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</si>
  <si>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</si>
  <si>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</si>
  <si>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</si>
  <si>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</si>
  <si>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</si>
  <si>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</si>
  <si>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</si>
  <si>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</si>
  <si>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</si>
  <si>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</si>
  <si>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</si>
  <si>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</si>
  <si>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</si>
  <si>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</si>
  <si>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</si>
  <si>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</si>
  <si>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</si>
  <si>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</si>
  <si>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</si>
  <si>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</si>
  <si>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</si>
  <si>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</si>
  <si>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</si>
  <si>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</si>
  <si>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</si>
  <si>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</si>
  <si>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</si>
  <si>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</si>
  <si>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</si>
  <si>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</si>
  <si>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</si>
  <si>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</si>
  <si>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</si>
  <si>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</si>
  <si>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</si>
  <si>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</si>
  <si>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</si>
  <si>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</si>
  <si>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</si>
  <si>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</si>
  <si>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</si>
  <si>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</si>
  <si>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</si>
  <si>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</si>
  <si>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</si>
  <si>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</si>
  <si>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</si>
  <si>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</si>
  <si>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</si>
  <si>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</si>
  <si>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</si>
  <si>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</si>
  <si>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</si>
  <si>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</si>
  <si>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</si>
  <si>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</si>
  <si>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</si>
  <si>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</si>
  <si>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</si>
  <si>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</si>
  <si>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</si>
  <si>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</si>
  <si>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</si>
  <si>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</si>
  <si>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</si>
  <si>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</si>
  <si>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</si>
  <si>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</si>
  <si>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</si>
  <si>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</si>
  <si>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</si>
  <si>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</si>
  <si>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</si>
  <si>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</si>
  <si>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</si>
  <si>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</si>
  <si>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</si>
  <si>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</si>
  <si>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</si>
  <si>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</si>
  <si>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</si>
  <si>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</si>
  <si>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</si>
  <si>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</si>
  <si>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</si>
  <si>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Trụ Bị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</si>
  <si>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</si>
  <si>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</si>
  <si>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</si>
  <si>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</si>
  <si>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</si>
  <si>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</si>
  <si>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</si>
  <si>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</si>
  <si>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</si>
  <si>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</si>
  <si>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</si>
  <si>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</si>
  <si>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</si>
  <si>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</si>
  <si>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</si>
  <si>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</si>
  <si>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</si>
  <si>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</si>
  <si>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</si>
  <si>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</si>
  <si>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</si>
  <si>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</si>
  <si>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</si>
  <si>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</si>
  <si>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</si>
  <si>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</si>
  <si>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</si>
  <si>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</si>
  <si>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</si>
  <si>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</si>
  <si>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</si>
  <si>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</si>
  <si>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</si>
  <si>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</si>
  <si>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</si>
  <si>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</si>
  <si>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</si>
  <si>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</si>
  <si>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</si>
  <si>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</si>
  <si>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</si>
  <si>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</si>
  <si>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</si>
  <si>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</si>
  <si>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</si>
  <si>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</si>
  <si>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</si>
  <si>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</si>
  <si>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</si>
  <si>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</si>
  <si>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</si>
  <si>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</si>
  <si>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</si>
  <si>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</si>
  <si>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</si>
  <si>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</si>
  <si>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</si>
  <si>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</si>
  <si>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</si>
  <si>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</si>
  <si>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</si>
  <si>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</si>
  <si>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</si>
  <si>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</si>
  <si>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</si>
  <si>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</si>
  <si>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</si>
  <si>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</si>
  <si>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</si>
  <si>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</si>
  <si>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</si>
  <si>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</si>
  <si>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</si>
  <si>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</si>
  <si>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</si>
  <si>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</si>
  <si>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</si>
  <si>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</si>
  <si>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</si>
  <si>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</si>
  <si>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</si>
  <si>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</si>
  <si>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</si>
  <si>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</si>
  <si>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</si>
  <si>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</si>
  <si>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</si>
  <si>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</si>
  <si>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</si>
  <si>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</si>
  <si>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</si>
  <si>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</si>
  <si>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</si>
  <si>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</si>
  <si>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</si>
  <si>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</si>
  <si>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</si>
  <si>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</si>
  <si>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</si>
  <si>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</si>
  <si>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</si>
  <si>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</si>
  <si>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</si>
  <si>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</si>
  <si>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</si>
  <si>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</si>
  <si>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</si>
  <si>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</si>
  <si>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</si>
  <si>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</si>
  <si>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</si>
  <si>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</si>
  <si>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</si>
  <si>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</si>
  <si>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</si>
  <si>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</si>
  <si>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</si>
  <si>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</si>
  <si>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</si>
  <si>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</si>
  <si>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</si>
  <si>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</si>
  <si>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</si>
  <si>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</si>
  <si>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</si>
  <si>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</si>
  <si>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</si>
  <si>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</si>
  <si>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</si>
  <si>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</si>
  <si>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</si>
  <si>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</si>
  <si>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</si>
  <si>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</si>
  <si>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</si>
  <si>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</si>
  <si>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</si>
  <si>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</si>
  <si>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</si>
  <si>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</si>
  <si>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</si>
  <si>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</si>
  <si>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</si>
  <si>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</si>
  <si>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</si>
  <si>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</si>
  <si>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</si>
  <si>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</si>
  <si>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</si>
  <si>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</si>
  <si>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</si>
  <si>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</si>
  <si>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</si>
  <si>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</si>
  <si>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</si>
  <si>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</si>
  <si>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</si>
  <si>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</si>
  <si>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</si>
  <si>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</si>
  <si>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</si>
  <si>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</si>
  <si>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</si>
  <si>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</si>
  <si>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</si>
  <si>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</si>
  <si>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</si>
  <si>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</si>
  <si>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</si>
  <si>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</si>
  <si>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</si>
  <si>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</si>
  <si>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</si>
  <si>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</si>
  <si>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</si>
  <si>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</si>
  <si>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</si>
  <si>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</si>
  <si>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</si>
  <si>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</si>
  <si>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</si>
  <si>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</si>
  <si>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</si>
  <si>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</si>
  <si>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</si>
  <si>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</si>
  <si>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</si>
  <si>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</si>
  <si>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</si>
  <si>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</si>
  <si>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</si>
  <si>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</si>
  <si>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</si>
  <si>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</si>
  <si>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</si>
  <si>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</si>
  <si>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</si>
  <si>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</si>
  <si>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</si>
  <si>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</si>
  <si>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</si>
  <si>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</si>
  <si>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</si>
  <si>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</si>
  <si>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</si>
  <si>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</si>
  <si>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</si>
  <si>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</si>
  <si>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</si>
  <si>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</si>
  <si>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</si>
  <si>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</si>
  <si>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</si>
  <si>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</si>
  <si>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</si>
  <si>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</si>
  <si>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</si>
  <si>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</si>
  <si>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</si>
  <si>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</si>
  <si>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</si>
  <si>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</si>
  <si>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</si>
  <si>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</si>
  <si>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</si>
  <si>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</si>
  <si>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</si>
  <si>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</si>
  <si>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</si>
  <si>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</si>
  <si>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</si>
  <si>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</si>
  <si>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</si>
  <si>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</si>
  <si>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</si>
  <si>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</si>
  <si>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</si>
  <si>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</si>
  <si>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</si>
  <si>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</si>
  <si>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</si>
  <si>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</si>
  <si>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</si>
  <si>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</si>
  <si>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</si>
  <si>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</si>
  <si>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</si>
  <si>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</si>
  <si>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</si>
  <si>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</si>
  <si>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</si>
  <si>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</si>
  <si>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</si>
  <si>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</si>
  <si>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</si>
  <si>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</si>
  <si>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</si>
  <si>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</si>
  <si>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</si>
  <si>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</si>
  <si>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</si>
  <si>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</si>
  <si>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</si>
  <si>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</si>
  <si>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</si>
  <si>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</si>
  <si>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</si>
  <si>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</si>
  <si>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</si>
  <si>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</si>
  <si>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</si>
  <si>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</si>
  <si>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</si>
  <si>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</si>
  <si>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</si>
  <si>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</si>
  <si>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</si>
  <si>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</si>
  <si>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</si>
  <si>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</si>
  <si>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</si>
  <si>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</si>
  <si>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</si>
  <si>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</si>
  <si>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Слайм
Кластер мана-кристаллов
Снежный дозор
Ледяная луна
Ледяной посох</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</si>
  <si>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</si>
  <si>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</si>
  <si>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</si>
  <si>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</si>
  <si>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</si>
  <si>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</si>
  <si>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</si>
  <si>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</si>
  <si>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</si>
  <si>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</si>
  <si>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</si>
  <si>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</si>
  <si>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</si>
  <si>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</si>
  <si>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</si>
  <si>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</si>
  <si>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</si>
  <si>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</si>
  <si>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</si>
  <si>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</si>
  <si>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</si>
  <si>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</si>
  <si>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</si>
  <si>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</si>
  <si>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</si>
  <si>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</si>
  <si>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</si>
  <si>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</si>
  <si>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</si>
  <si>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</si>
  <si>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</si>
  <si>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</si>
  <si>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</si>
  <si>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</si>
  <si>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</si>
  <si>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</si>
  <si>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</si>
  <si>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</si>
  <si>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</si>
  <si>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</si>
  <si>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</si>
  <si>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</si>
  <si>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</si>
  <si>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</si>
  <si>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</si>
  <si>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</si>
  <si>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</si>
  <si>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</si>
  <si>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</si>
  <si>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</si>
  <si>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</si>
  <si>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</si>
  <si>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</si>
  <si>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</si>
  <si>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</si>
  <si>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</si>
  <si>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</si>
  <si>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</si>
  <si>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</si>
  <si>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</si>
  <si>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</si>
  <si>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</si>
  <si>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</si>
  <si>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</si>
  <si>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</si>
  <si>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</si>
  <si>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</si>
  <si>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</si>
  <si>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</si>
  <si>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</si>
  <si>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</si>
  <si>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</si>
  <si>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</si>
  <si>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</si>
  <si>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</si>
  <si>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</si>
  <si>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</si>
  <si>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</si>
  <si>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</si>
  <si>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</si>
  <si>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</si>
  <si>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</si>
  <si>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</si>
  <si>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</si>
  <si>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</si>
  <si>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</si>
  <si>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</si>
  <si>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</si>
  <si>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</si>
  <si>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</si>
  <si>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</si>
  <si>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</si>
  <si>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</si>
  <si>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</si>
  <si>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</si>
  <si>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</si>
  <si>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</si>
  <si>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</si>
  <si>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</si>
  <si>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</si>
  <si>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</si>
  <si>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</si>
  <si>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</si>
  <si>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</si>
  <si>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</si>
  <si>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</si>
  <si>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</si>
  <si>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</si>
  <si>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</si>
  <si>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</si>
  <si>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</si>
  <si>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</si>
  <si>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</si>
  <si>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</si>
  <si>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</si>
  <si>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</si>
  <si>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</si>
  <si>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</si>
  <si>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</si>
  <si>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</si>
  <si>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</si>
  <si>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</si>
  <si>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</si>
  <si>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</si>
  <si>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</si>
  <si>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</si>
  <si>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</si>
  <si>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</si>
  <si>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</si>
  <si>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</si>
  <si>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</si>
  <si>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</si>
  <si>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</si>
  <si>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</si>
  <si>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</si>
  <si>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</si>
  <si>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</si>
  <si>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</si>
  <si>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</si>
  <si>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</si>
  <si>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</si>
  <si>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</si>
  <si>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</si>
  <si>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</si>
  <si>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</si>
  <si>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</si>
  <si>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</si>
  <si>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</si>
  <si>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</si>
  <si>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</si>
  <si>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</si>
  <si>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</si>
  <si>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</si>
  <si>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</si>
  <si>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</si>
  <si>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</si>
  <si>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</si>
  <si>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</si>
  <si>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</si>
  <si>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</si>
  <si>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</si>
  <si>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</si>
  <si>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</si>
  <si>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</si>
  <si>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</si>
  <si>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</si>
  <si>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</si>
  <si>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</si>
  <si>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</si>
  <si>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</si>
  <si>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</si>
  <si>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</si>
  <si>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</si>
  <si>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</si>
  <si>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</si>
  <si>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</si>
  <si>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</si>
  <si>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</si>
  <si>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</si>
  <si>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</si>
  <si>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</si>
  <si>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</si>
  <si>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</si>
  <si>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</si>
  <si>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</si>
  <si>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</si>
  <si>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</si>
  <si>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</si>
  <si>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</si>
  <si>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</si>
  <si>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</si>
  <si>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</si>
  <si>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</si>
  <si>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</si>
  <si>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</si>
  <si>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</si>
  <si>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</si>
  <si>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</si>
  <si>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</si>
  <si>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</si>
  <si>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</si>
  <si>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</si>
  <si>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</si>
  <si>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</si>
  <si>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</si>
  <si>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</si>
  <si>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</si>
  <si>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</si>
  <si>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</si>
  <si>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</si>
  <si>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</si>
  <si>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</si>
  <si>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</si>
  <si>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</si>
  <si>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</si>
  <si>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</si>
  <si>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</si>
  <si>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</si>
  <si>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</si>
  <si>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</si>
  <si>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</si>
  <si>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</si>
  <si>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</si>
  <si>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</si>
  <si>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</si>
  <si>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</si>
  <si>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</si>
  <si>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</si>
  <si>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</si>
  <si>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</si>
  <si>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</si>
  <si>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</si>
  <si>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</si>
  <si>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</si>
  <si>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</si>
  <si>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</si>
  <si>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</si>
  <si>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</si>
  <si>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</si>
  <si>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</si>
  <si>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</si>
  <si>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</si>
  <si>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</si>
  <si>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</si>
  <si>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</si>
  <si>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</si>
  <si>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</si>
  <si>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</si>
  <si>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</si>
  <si>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</si>
  <si>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</si>
  <si>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</si>
  <si>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</si>
  <si>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</si>
  <si>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</si>
  <si>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</si>
  <si>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</si>
  <si>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</si>
  <si>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</si>
  <si>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</si>
  <si>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</si>
  <si>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</si>
  <si>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</si>
  <si>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</si>
  <si>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</si>
  <si>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</si>
  <si>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</si>
  <si>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</si>
  <si>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</si>
  <si>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</si>
  <si>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</si>
  <si>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</si>
  <si>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</si>
  <si>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</si>
  <si>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</si>
  <si>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</si>
  <si>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</si>
  <si>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</si>
  <si>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</si>
  <si>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</si>
  <si>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</si>
  <si>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</si>
  <si>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</si>
  <si>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</si>
  <si>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</si>
  <si>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</si>
  <si>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</si>
  <si>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</si>
  <si>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</si>
  <si>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</si>
  <si>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</si>
  <si>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</si>
  <si>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</si>
  <si>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</si>
  <si>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</si>
  <si>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</si>
  <si>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</si>
  <si>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</si>
  <si>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</si>
  <si>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</si>
  <si>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</si>
  <si>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</si>
  <si>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</si>
  <si>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</si>
  <si>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</si>
  <si>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</si>
  <si>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</si>
  <si>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</si>
  <si>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</si>
  <si>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</si>
  <si>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</si>
  <si>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</si>
  <si>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</si>
  <si>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</si>
  <si>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</si>
  <si>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</si>
  <si>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</si>
  <si>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</si>
  <si>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</si>
  <si>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</si>
  <si>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</si>
  <si>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</si>
  <si>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</si>
  <si>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</si>
  <si>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</si>
  <si>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</si>
  <si>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</si>
  <si>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</si>
  <si>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</si>
  <si>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</si>
  <si>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</si>
  <si>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</si>
  <si>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</si>
  <si>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</si>
  <si>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</si>
  <si>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</si>
  <si>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</si>
  <si>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</si>
  <si>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</si>
  <si>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</si>
  <si>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</si>
  <si>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</si>
  <si>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</si>
  <si>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</si>
  <si>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</si>
  <si>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</si>
  <si>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</si>
  <si>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</si>
  <si>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</si>
  <si>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</si>
  <si>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</si>
  <si>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</si>
  <si>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</si>
  <si>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</si>
  <si>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</si>
  <si>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</si>
  <si>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</si>
  <si>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</si>
  <si>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</si>
  <si>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</si>
  <si>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</si>
  <si>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</si>
  <si>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</si>
  <si>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</si>
  <si>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</si>
  <si>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</si>
  <si>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</si>
  <si>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</si>
  <si>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</si>
  <si>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</si>
  <si>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</si>
  <si>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</si>
  <si>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</si>
  <si>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</si>
  <si>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</si>
  <si>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</si>
  <si>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</si>
  <si>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</si>
  <si>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</si>
  <si>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</si>
  <si>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</si>
  <si>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</si>
  <si>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</si>
  <si>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</si>
  <si>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</si>
  <si>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</si>
  <si>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</si>
  <si>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</si>
  <si>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</si>
  <si>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</si>
  <si>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</si>
  <si>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</si>
  <si>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</si>
  <si>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</si>
  <si>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</si>
  <si>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</si>
  <si>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</si>
  <si>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</si>
  <si>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</si>
  <si>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</si>
  <si>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</si>
  <si>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</si>
  <si>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</si>
  <si>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</si>
  <si>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</si>
  <si>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</si>
  <si>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</si>
  <si>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</si>
  <si>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</si>
  <si>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</si>
  <si>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</si>
  <si>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</si>
  <si>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</si>
  <si>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</si>
  <si>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</si>
  <si>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</si>
  <si>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</si>
  <si>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</si>
  <si>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</si>
  <si>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</si>
  <si>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</si>
  <si>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</si>
  <si>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</si>
  <si>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</si>
  <si>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</si>
  <si>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</si>
  <si>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</si>
  <si>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</si>
  <si>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</si>
  <si>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</si>
  <si>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</si>
  <si>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</si>
  <si>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</si>
  <si>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</si>
  <si>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</si>
  <si>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</si>
  <si>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</si>
  <si>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</si>
  <si>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</si>
  <si>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</si>
  <si>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</si>
  <si>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</si>
  <si>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</si>
  <si>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</si>
  <si>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</si>
  <si>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</si>
  <si>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</si>
  <si>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</si>
  <si>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BOSS/特殊生物</t>
  </si>
  <si>
    <t>BOSS/Special Mobs</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</si>
  <si>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</si>
  <si>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</si>
  <si>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</si>
  <si>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</si>
  <si>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</si>
  <si>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</si>
  <si>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</si>
  <si>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</si>
  <si>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</si>
  <si>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</si>
  <si>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</si>
  <si>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</si>
  <si>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</si>
  <si>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</si>
  <si>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</si>
  <si>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</si>
  <si>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</si>
  <si>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</si>
  <si>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</si>
  <si>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</si>
  <si>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</si>
  <si>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</si>
  <si>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</si>
  <si>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</si>
  <si>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</si>
  <si>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</si>
  <si>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</si>
  <si>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</si>
  <si>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</si>
  <si>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</si>
  <si>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</si>
  <si>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</si>
  <si>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</si>
  <si>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</si>
  <si>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</si>
  <si>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</si>
  <si>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</si>
  <si>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</si>
  <si>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</si>
  <si>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</si>
  <si>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</si>
  <si>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</si>
  <si>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</si>
  <si>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</si>
  <si>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</si>
  <si>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</si>
  <si>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</si>
  <si>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</si>
  <si>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</si>
  <si>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</si>
  <si>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</si>
  <si>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</si>
  <si>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</si>
  <si>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</si>
  <si>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</si>
  <si>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</si>
  <si>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</si>
  <si>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</si>
  <si>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</si>
  <si>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</si>
  <si>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</si>
  <si>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</si>
  <si>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</si>
  <si>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</si>
  <si>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</si>
  <si>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</si>
  <si>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</si>
  <si>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</si>
  <si>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</si>
  <si>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</si>
  <si>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</si>
  <si>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</si>
  <si>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</si>
  <si>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</si>
  <si>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</si>
  <si>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</si>
  <si>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</si>
  <si>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</si>
  <si>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</si>
  <si>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</si>
  <si>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</si>
  <si>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</si>
  <si>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</si>
  <si>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</si>
  <si>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</si>
  <si>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</si>
  <si>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</si>
  <si>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</si>
  <si>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</si>
  <si>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</si>
  <si>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</si>
  <si>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</si>
  <si>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</si>
  <si>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</si>
  <si>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</si>
  <si>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</si>
  <si>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</si>
  <si>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</si>
  <si>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</si>
  <si>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</si>
  <si>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</si>
  <si>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</si>
  <si>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</si>
  <si>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</si>
  <si>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</si>
  <si>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</si>
  <si>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</si>
  <si>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</si>
  <si>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</si>
  <si>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</si>
  <si>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</si>
  <si>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</si>
  <si>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</si>
  <si>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</si>
  <si>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</si>
  <si>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</si>
  <si>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</si>
  <si>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</si>
  <si>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</si>
  <si>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</si>
  <si>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</si>
  <si>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</si>
  <si>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</si>
  <si>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</si>
  <si>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</si>
  <si>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</si>
  <si>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</si>
  <si>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</si>
  <si>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</si>
  <si>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</si>
  <si>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</si>
  <si>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</si>
  <si>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</si>
  <si>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</si>
  <si>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</si>
  <si>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</si>
  <si>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</si>
  <si>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</si>
  <si>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</si>
  <si>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</si>
  <si>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</si>
  <si>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</si>
  <si>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</si>
  <si>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</si>
  <si>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</si>
  <si>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</si>
  <si>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</si>
  <si>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</si>
  <si>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</si>
  <si>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</si>
  <si>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</si>
  <si>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</si>
  <si>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</si>
  <si>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</si>
  <si>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</si>
  <si>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</si>
  <si>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</si>
  <si>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</si>
  <si>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</si>
  <si>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</si>
  <si>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</si>
  <si>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</si>
  <si>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</si>
  <si>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</si>
  <si>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</si>
  <si>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</si>
  <si>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</si>
  <si>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</si>
  <si>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</si>
  <si>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</si>
  <si>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</si>
  <si>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</si>
  <si>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</si>
  <si>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</si>
  <si>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</si>
  <si>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</si>
  <si>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</si>
  <si>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</si>
  <si>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</si>
  <si>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</si>
  <si>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</si>
  <si>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</si>
  <si>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</si>
  <si>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</si>
  <si>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</si>
  <si>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</si>
  <si>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</si>
  <si>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</si>
  <si>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</si>
  <si>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Quỷ Dục Vọng (Tên thật: Azazel)</t>
  </si>
  <si>
    <t xml:space="preserve">Cột Lễ Vật
Nhãn Cầu Quỷ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</si>
  <si>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</si>
  <si>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</si>
  <si>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</si>
  <si>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</si>
  <si>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</si>
  <si>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</si>
  <si>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</si>
  <si>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</si>
  <si>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</si>
  <si>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</si>
  <si>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</si>
  <si>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</si>
  <si>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</si>
  <si>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</si>
  <si>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</si>
  <si>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</si>
  <si>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</si>
  <si>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</si>
  <si>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</si>
  <si>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</si>
  <si>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</si>
  <si>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</si>
  <si>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</si>
  <si>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</si>
  <si>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</si>
  <si>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</si>
  <si>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</si>
  <si>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</si>
  <si>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</si>
  <si>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</si>
  <si>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</si>
  <si>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</si>
  <si>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</si>
  <si>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</si>
  <si>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</si>
  <si>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</si>
  <si>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</si>
  <si>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</si>
  <si>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</si>
  <si>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</si>
  <si>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</si>
  <si>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</si>
  <si>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</si>
  <si>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</si>
  <si>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</si>
  <si>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</si>
  <si>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</si>
  <si>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</si>
  <si>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</si>
  <si>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</si>
  <si>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</si>
  <si>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</si>
  <si>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</si>
  <si>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</si>
  <si>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</si>
  <si>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</si>
  <si>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</si>
  <si>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</si>
  <si>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</si>
  <si>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</si>
  <si>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</si>
  <si>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</si>
  <si>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</si>
  <si>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</si>
  <si>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</si>
  <si>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</si>
  <si>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</si>
  <si>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</si>
  <si>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</si>
  <si>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</si>
  <si>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</si>
  <si>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</si>
  <si>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</si>
  <si>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</si>
  <si>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</si>
  <si>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</si>
  <si>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</si>
  <si>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</si>
  <si>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</si>
  <si>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</si>
  <si>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</si>
  <si>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</si>
  <si>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</si>
  <si>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</si>
  <si>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</si>
  <si>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</si>
  <si>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</si>
  <si>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</si>
  <si>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</si>
  <si>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</si>
  <si>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</si>
  <si>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</si>
  <si>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</si>
  <si>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</si>
  <si>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</si>
  <si>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</si>
  <si>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</si>
  <si>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</si>
  <si>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</si>
  <si>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</si>
  <si>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</si>
  <si>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</si>
  <si>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</si>
  <si>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</si>
  <si>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</si>
  <si>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</si>
  <si>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</si>
  <si>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</si>
  <si>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</si>
  <si>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</si>
  <si>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</si>
  <si>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</si>
  <si>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</si>
  <si>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</si>
  <si>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</si>
  <si>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</si>
  <si>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</si>
  <si>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</si>
  <si>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</si>
  <si>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</si>
  <si>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</si>
  <si>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</si>
  <si>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</si>
  <si>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</si>
  <si>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</si>
  <si>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</si>
  <si>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</si>
  <si>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</si>
  <si>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</si>
  <si>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</si>
  <si>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</si>
  <si>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</si>
  <si>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</si>
  <si>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</si>
  <si>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</si>
  <si>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</si>
  <si>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</si>
  <si>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</si>
  <si>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</si>
  <si>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</si>
  <si>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</si>
  <si>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</si>
  <si>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</si>
  <si>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</si>
  <si>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</si>
  <si>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</si>
  <si>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</si>
  <si>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</si>
  <si>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</si>
  <si>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</si>
  <si>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</si>
  <si>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</si>
  <si>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</si>
  <si>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</si>
  <si>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Глиняная ваза из руин</t>
  </si>
  <si>
    <t>Ruinen-Keramikgefäß</t>
  </si>
  <si>
    <t>Bình Vực Sâu</t>
  </si>
  <si>
    <t>Pot Jurang</t>
  </si>
  <si>
    <t>木桶</t>
  </si>
  <si>
    <t>Wooden Barrels</t>
  </si>
  <si>
    <t>Деревянная бочка</t>
  </si>
  <si>
    <t>Holzfass</t>
  </si>
  <si>
    <t>Thùng Gỗ</t>
  </si>
  <si>
    <t>Barril de Madeira</t>
  </si>
  <si>
    <t>Tong Kayu</t>
  </si>
  <si>
    <t>破碎的蛋</t>
  </si>
  <si>
    <t>割れた卵</t>
  </si>
  <si>
    <t>Cracked Egg</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</si>
  <si>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</si>
  <si>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</si>
  <si>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</si>
  <si>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</si>
  <si>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</si>
  <si>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</si>
  <si>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</si>
  <si>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</si>
  <si>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</si>
  <si>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</si>
  <si>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</si>
  <si>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</si>
  <si>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</si>
  <si>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</si>
  <si>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</si>
  <si>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</si>
  <si>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</si>
  <si>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</si>
  <si>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</si>
  <si>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</si>
  <si>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</si>
  <si>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</si>
  <si>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</si>
  <si>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</si>
  <si>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</si>
  <si>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</si>
  <si>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</si>
  <si>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</si>
  <si>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</si>
  <si>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</si>
  <si>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</si>
  <si>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</si>
  <si>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</si>
  <si>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</si>
  <si>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</si>
  <si>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</si>
  <si>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</si>
  <si>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</si>
  <si>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</si>
  <si>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</si>
  <si>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</si>
  <si>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</si>
  <si>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Яблоко</t>
  </si>
  <si>
    <t>Apfel</t>
  </si>
  <si>
    <t>Táo</t>
  </si>
  <si>
    <t>Maçã</t>
  </si>
  <si>
    <t>Apel</t>
  </si>
  <si>
    <t>草莓苗</t>
  </si>
  <si>
    <t>草莓</t>
  </si>
  <si>
    <t>100 (3)</t>
  </si>
  <si>
    <t>有40%機率掉落2個，8%機率掉落3個</t>
  </si>
  <si>
    <t>Strawberry Seeds</t>
  </si>
  <si>
    <t>Strawberry</t>
  </si>
  <si>
    <t>딸기 모종</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</si>
  <si>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</si>
  <si>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</si>
  <si>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</si>
  <si>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</si>
  <si>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</si>
  <si>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</si>
  <si>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</si>
  <si>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</si>
  <si>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</si>
  <si>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</si>
  <si>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</si>
  <si>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</si>
  <si>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</si>
  <si>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</si>
  <si>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</si>
  <si>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</si>
  <si>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</si>
  <si>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</si>
  <si>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</si>
  <si>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</si>
  <si>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</si>
  <si>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</si>
  <si>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</si>
  <si>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</si>
  <si>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</si>
  <si>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</si>
  <si>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</si>
  <si>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</si>
  <si>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</si>
  <si>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</si>
  <si>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</si>
  <si>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</si>
  <si>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</si>
  <si>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</si>
  <si>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</si>
  <si>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</si>
  <si>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</si>
  <si>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</si>
  <si>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</si>
  <si>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</si>
  <si>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</si>
  <si>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</si>
  <si>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</si>
  <si>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</si>
  <si>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</si>
  <si>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</si>
  <si>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</si>
  <si>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</si>
  <si>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</si>
  <si>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</si>
  <si>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</si>
  <si>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</si>
  <si>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</si>
  <si>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</si>
  <si>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</si>
  <si>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</si>
  <si>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</si>
  <si>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</si>
  <si>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</si>
  <si>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</si>
  <si>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</si>
  <si>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</si>
  <si>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</si>
  <si>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</si>
  <si>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</si>
  <si>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</si>
  <si>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</si>
  <si>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</si>
  <si>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</si>
  <si>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</si>
  <si>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</si>
  <si>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</si>
  <si>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</si>
  <si>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</si>
  <si>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</si>
  <si>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</si>
  <si>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</si>
  <si>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</si>
  <si>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</si>
  <si>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</si>
  <si>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</si>
  <si>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</si>
  <si>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</si>
  <si>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</si>
  <si>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</si>
  <si>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</si>
  <si>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</si>
  <si>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</si>
  <si>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</si>
  <si>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</si>
  <si>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</si>
  <si>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</si>
  <si>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</si>
  <si>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</si>
  <si>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</si>
  <si>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</si>
  <si>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</si>
  <si>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</si>
  <si>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</si>
  <si>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</si>
  <si>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</si>
  <si>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</si>
  <si>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</si>
  <si>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</si>
  <si>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</si>
  <si>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</si>
  <si>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</si>
  <si>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</si>
  <si>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</si>
  <si>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</si>
  <si>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</si>
  <si>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</si>
  <si>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武器項目</t>
  </si>
  <si>
    <t>武器屬性</t>
  </si>
  <si>
    <t>Weapon</t>
  </si>
  <si>
    <t>Effects</t>
  </si>
  <si>
    <t>Оружие</t>
  </si>
  <si>
    <t>Характеристики</t>
  </si>
  <si>
    <t>Waffen</t>
  </si>
  <si>
    <t>Effekte</t>
  </si>
  <si>
    <t>Vũ khí</t>
  </si>
  <si>
    <t>Hiệu ứng</t>
  </si>
  <si>
    <t>Armas</t>
  </si>
  <si>
    <t>Efeitos</t>
  </si>
  <si>
    <t>白色品質</t>
  </si>
  <si>
    <t>白品質</t>
  </si>
  <si>
    <t>Common</t>
  </si>
  <si>
    <t>白色品质</t>
  </si>
  <si>
    <t>Обычный</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</si>
  <si>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</si>
  <si>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</si>
  <si>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</si>
  <si>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</si>
  <si>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</si>
  <si>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</si>
  <si>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</si>
  <si>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</si>
  <si>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</si>
  <si>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</si>
  <si>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</si>
  <si>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Физический урон: 2
(Урон увеличивается в зависимости от макс. ОЗ)</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</si>
  <si>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</si>
  <si>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</si>
  <si>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</si>
  <si>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</si>
  <si>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</si>
  <si>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</si>
  <si>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</si>
  <si>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</si>
  <si>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</si>
  <si>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</si>
  <si>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</si>
  <si>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</si>
  <si>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</si>
  <si>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</si>
  <si>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</si>
  <si>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</si>
  <si>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</si>
  <si>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</si>
  <si>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</si>
  <si>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</si>
  <si>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</si>
  <si>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</si>
  <si>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</si>
  <si>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</si>
  <si>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</si>
  <si>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</si>
  <si>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</si>
  <si>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</si>
  <si>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</si>
  <si>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</si>
  <si>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</si>
  <si>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</si>
  <si>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</si>
  <si>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</si>
  <si>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</si>
  <si>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</si>
  <si>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</si>
  <si>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</si>
  <si>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</si>
  <si>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</si>
  <si>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</si>
  <si>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</si>
  <si>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</si>
  <si>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</si>
  <si>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</si>
  <si>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</si>
  <si>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</si>
  <si>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</si>
  <si>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Топор</t>
  </si>
  <si>
    <t>Физический урон: 24</t>
  </si>
  <si>
    <t>Axt</t>
  </si>
  <si>
    <t>Physischer Angriff: 24</t>
  </si>
  <si>
    <t>Rìu đốn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</si>
  <si>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</si>
  <si>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</si>
  <si>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</si>
  <si>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</si>
  <si>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</si>
  <si>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</si>
  <si>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</si>
  <si>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</si>
  <si>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</si>
  <si>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</si>
  <si>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</si>
  <si>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</si>
  <si>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</si>
  <si>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</si>
  <si>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</si>
  <si>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</si>
  <si>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</si>
  <si>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</si>
  <si>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</si>
  <si>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</si>
  <si>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</si>
  <si>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</si>
  <si>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</si>
  <si>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</si>
  <si>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</si>
  <si>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</si>
  <si>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</si>
  <si>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</si>
  <si>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</si>
  <si>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</si>
  <si>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</si>
  <si>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</si>
  <si>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</si>
  <si>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</si>
  <si>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</si>
  <si>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</si>
  <si>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</si>
  <si>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</si>
  <si>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</si>
  <si>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</si>
  <si>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</si>
  <si>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</si>
  <si>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</si>
  <si>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</si>
  <si>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</si>
  <si>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</si>
  <si>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</si>
  <si>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</si>
  <si>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</si>
  <si>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</si>
  <si>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</si>
  <si>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</si>
  <si>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</si>
  <si>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</si>
  <si>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</si>
  <si>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</si>
  <si>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</si>
  <si>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</si>
  <si>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</si>
  <si>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</si>
  <si>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</si>
  <si>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</si>
  <si>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</si>
  <si>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</si>
  <si>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</si>
  <si>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</si>
  <si>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</si>
  <si>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</si>
  <si>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</si>
  <si>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</si>
  <si>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</si>
  <si>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</si>
  <si>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</si>
  <si>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</si>
  <si>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</si>
  <si>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</si>
  <si>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</si>
  <si>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</si>
  <si>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</si>
  <si>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</si>
  <si>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</si>
  <si>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</si>
  <si>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</si>
  <si>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</si>
  <si>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</si>
  <si>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</si>
  <si>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</si>
  <si>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</si>
  <si>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</si>
  <si>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</si>
  <si>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</si>
  <si>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</si>
  <si>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</si>
  <si>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</si>
  <si>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</si>
  <si>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</si>
  <si>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</si>
  <si>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</si>
  <si>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</si>
  <si>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</si>
  <si>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</si>
  <si>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</si>
  <si>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</si>
  <si>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</si>
  <si>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</si>
  <si>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</si>
  <si>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</si>
  <si>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</si>
  <si>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</si>
  <si>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</si>
  <si>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</si>
  <si>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</si>
  <si>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</si>
  <si>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</si>
  <si>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</si>
  <si>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</si>
  <si>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</si>
  <si>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</si>
  <si>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</si>
  <si>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</si>
  <si>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</si>
  <si>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</si>
  <si>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</si>
  <si>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</si>
  <si>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</si>
  <si>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</si>
  <si>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</si>
  <si>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</si>
  <si>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</si>
  <si>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</si>
  <si>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</si>
  <si>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</si>
  <si>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</si>
  <si>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</si>
  <si>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</si>
  <si>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</si>
  <si>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</si>
  <si>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</si>
  <si>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</si>
  <si>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</si>
  <si>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</si>
  <si>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</si>
  <si>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</si>
  <si>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</si>
  <si>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</si>
  <si>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</si>
  <si>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</si>
  <si>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</si>
  <si>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</si>
  <si>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</si>
  <si>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</si>
  <si>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</si>
  <si>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</si>
  <si>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Необычный</t>
  </si>
  <si>
    <t>Incomum</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</si>
  <si>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</si>
  <si>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</si>
  <si>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</si>
  <si>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</si>
  <si>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</si>
  <si>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</si>
  <si>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Физический урон: 30
(Урон удваивается при выполнении определенных условий)</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</si>
  <si>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</si>
  <si>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</si>
  <si>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</si>
  <si>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</si>
  <si>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</si>
  <si>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</si>
  <si>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</si>
  <si>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</si>
  <si>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</si>
  <si>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</si>
  <si>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</si>
  <si>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</si>
  <si>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</si>
  <si>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</si>
  <si>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</si>
  <si>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</si>
  <si>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</si>
  <si>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</si>
  <si>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</si>
  <si>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</si>
  <si>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</si>
  <si>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</si>
  <si>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</si>
  <si>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</si>
  <si>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</si>
  <si>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</si>
  <si>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</si>
  <si>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</si>
  <si>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Вспышка</t>
  </si>
  <si>
    <t>Физический урон: 24
Магический урон: 16
(Накладывает Поджог)</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</si>
  <si>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</si>
  <si>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</si>
  <si>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</si>
  <si>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</si>
  <si>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</si>
  <si>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</si>
  <si>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</si>
  <si>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</si>
  <si>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</si>
  <si>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</si>
  <si>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</si>
  <si>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</si>
  <si>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</si>
  <si>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</si>
  <si>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</si>
  <si>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</si>
  <si>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</si>
  <si>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</si>
  <si>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</si>
  <si>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</si>
  <si>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</si>
  <si>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</si>
  <si>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</si>
  <si>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</si>
  <si>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</si>
  <si>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</si>
  <si>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</si>
  <si>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</si>
  <si>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</si>
  <si>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</si>
  <si>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</si>
  <si>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</si>
  <si>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</si>
  <si>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</si>
  <si>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</si>
  <si>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</si>
  <si>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</si>
  <si>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</si>
  <si>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</si>
  <si>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</si>
  <si>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</si>
  <si>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</si>
  <si>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</si>
  <si>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</si>
  <si>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</si>
  <si>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</si>
  <si>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Лезвие из токсичных спор</t>
  </si>
  <si>
    <t>Физический урон: 14
(Накладывает Яд)</t>
  </si>
  <si>
    <t>Toxische Sporenklinge</t>
  </si>
  <si>
    <t>Physischer Angriff: 32
Gift-Attribut</t>
  </si>
  <si>
    <t>Kiếm Bào Tử Độc</t>
  </si>
  <si>
    <t>Sát thương vật lý: 32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</si>
  <si>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</si>
  <si>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</si>
  <si>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</si>
  <si>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</si>
  <si>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</si>
  <si>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</si>
  <si>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</si>
  <si>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</si>
  <si>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</si>
  <si>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</si>
  <si>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</si>
  <si>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</si>
  <si>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</si>
  <si>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</si>
  <si>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</si>
  <si>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</si>
  <si>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</si>
  <si>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</si>
  <si>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</si>
  <si>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</si>
  <si>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</si>
  <si>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</si>
  <si>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</si>
  <si>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</si>
  <si>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</si>
  <si>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</si>
  <si>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</si>
  <si>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</si>
  <si>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</si>
  <si>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</si>
  <si>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</si>
  <si>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</si>
  <si>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</si>
  <si>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</si>
  <si>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</si>
  <si>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</si>
  <si>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</si>
  <si>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</si>
  <si>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</si>
  <si>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</si>
  <si>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</si>
  <si>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</si>
  <si>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</si>
  <si>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</si>
  <si>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</si>
  <si>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</si>
  <si>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</si>
  <si>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</si>
  <si>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</si>
  <si>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</si>
  <si>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</si>
  <si>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</si>
  <si>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</si>
  <si>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</si>
  <si>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</si>
  <si>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</si>
  <si>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</si>
  <si>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</si>
  <si>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</si>
  <si>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</si>
  <si>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</si>
  <si>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</si>
  <si>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</si>
  <si>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</si>
  <si>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</si>
  <si>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</si>
  <si>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</si>
  <si>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</si>
  <si>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</si>
  <si>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</si>
  <si>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</si>
  <si>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</si>
  <si>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</si>
  <si>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</si>
  <si>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</si>
  <si>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</si>
  <si>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</si>
  <si>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</si>
  <si>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</si>
  <si>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</si>
  <si>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</si>
  <si>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</si>
  <si>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</si>
  <si>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</si>
  <si>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</si>
  <si>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</si>
  <si>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</si>
  <si>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</si>
  <si>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</si>
  <si>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</si>
  <si>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</si>
  <si>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</si>
  <si>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</si>
  <si>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</si>
  <si>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Лавовый посох</t>
  </si>
  <si>
    <t>Физический урон: 1
Магический урон: 66
(Накладывает Поджог)</t>
  </si>
  <si>
    <t>Physischer Angriff: 1
Magischer Angriff: 66
Feuer-Attribut</t>
  </si>
  <si>
    <t>Hỏa Linh Trượng</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</si>
  <si>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</si>
  <si>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</si>
  <si>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</si>
  <si>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</si>
  <si>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</si>
  <si>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</si>
  <si>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</si>
  <si>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</si>
  <si>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</si>
  <si>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</si>
  <si>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Ледяной посох</t>
  </si>
  <si>
    <t>Физический урон: 1
Магический урон: 55
(Накладывает Заморозку)</t>
  </si>
  <si>
    <t>Eisstab</t>
  </si>
  <si>
    <t>Physischer Angriff: 1
Magischer Angriff: 55
Eis-Attribut</t>
  </si>
  <si>
    <t>Trượng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</si>
  <si>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</si>
  <si>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</si>
  <si>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</si>
  <si>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</si>
  <si>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</si>
  <si>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</si>
  <si>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</si>
  <si>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</si>
  <si>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</si>
  <si>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</si>
  <si>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</si>
  <si>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</si>
  <si>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</si>
  <si>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</si>
  <si>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</si>
  <si>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</si>
  <si>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</si>
  <si>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</si>
  <si>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</si>
  <si>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</si>
  <si>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</si>
  <si>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穿透</t>
  </si>
  <si>
    <t>狩人の弓</t>
  </si>
  <si>
    <t xml:space="preserve">
物理攻撃：24
攻速上昇、威力耐久－20％
</t>
  </si>
  <si>
    <t>Hunter's Bow</t>
  </si>
  <si>
    <t>Physical attack: 24
Passes through targets</t>
  </si>
  <si>
    <t>Arco de Cazador</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</si>
  <si>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</si>
  <si>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</si>
  <si>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</si>
  <si>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</si>
  <si>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</si>
  <si>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</si>
  <si>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</si>
  <si>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</si>
  <si>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紫色品質</t>
  </si>
  <si>
    <t>紫品質</t>
  </si>
  <si>
    <t>Rare</t>
  </si>
  <si>
    <t>紫色品质</t>
  </si>
  <si>
    <t>Редкий</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</si>
  <si>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</si>
  <si>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</si>
  <si>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</si>
  <si>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</si>
  <si>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</si>
  <si>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</si>
  <si>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</si>
  <si>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</si>
  <si>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</si>
  <si>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</si>
  <si>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</si>
  <si>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</si>
  <si>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</si>
  <si>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</si>
  <si>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</si>
  <si>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</si>
  <si>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</si>
  <si>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</si>
  <si>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</si>
  <si>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</si>
  <si>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</si>
  <si>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</si>
  <si>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</si>
  <si>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</si>
  <si>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Из Ада</t>
  </si>
  <si>
    <t>Физический урон: 30
(Накладывает Кровотечение)</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</si>
  <si>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</si>
  <si>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</si>
  <si>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</si>
  <si>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</si>
  <si>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</si>
  <si>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</si>
  <si>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</si>
  <si>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</si>
  <si>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</si>
  <si>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</si>
  <si>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</si>
  <si>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</si>
  <si>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</si>
  <si>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</si>
  <si>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</si>
  <si>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</si>
  <si>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</si>
  <si>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</si>
  <si>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</si>
  <si>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</si>
  <si>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</si>
  <si>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</si>
  <si>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</si>
  <si>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</si>
  <si>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</si>
  <si>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</si>
  <si>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</si>
  <si>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</si>
  <si>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</si>
  <si>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</si>
  <si>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</si>
  <si>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</si>
  <si>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</si>
  <si>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</si>
  <si>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</si>
  <si>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</si>
  <si>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</si>
  <si>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</si>
  <si>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</si>
  <si>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</si>
  <si>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</si>
  <si>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</si>
  <si>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</si>
  <si>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</si>
  <si>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</si>
  <si>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</si>
  <si>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</si>
  <si>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</si>
  <si>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</si>
  <si>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</si>
  <si>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</si>
  <si>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</si>
  <si>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</si>
  <si>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</si>
  <si>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</si>
  <si>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</si>
  <si>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</si>
  <si>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</si>
  <si>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</si>
  <si>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</si>
  <si>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</si>
  <si>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</si>
  <si>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</si>
  <si>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</si>
  <si>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</si>
  <si>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</si>
  <si>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</si>
  <si>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</si>
  <si>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</si>
  <si>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</si>
  <si>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</si>
  <si>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</si>
  <si>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</si>
  <si>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</si>
  <si>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</si>
  <si>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</si>
  <si>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</si>
  <si>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</si>
  <si>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</si>
  <si>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</si>
  <si>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</si>
  <si>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</si>
  <si>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</si>
  <si>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</si>
  <si>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</si>
  <si>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</si>
  <si>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</si>
  <si>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</si>
  <si>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</si>
  <si>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</si>
  <si>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</si>
  <si>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</si>
  <si>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</si>
  <si>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</si>
  <si>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</si>
  <si>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</si>
  <si>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</si>
  <si>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</si>
  <si>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</si>
  <si>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</si>
  <si>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</si>
  <si>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</si>
  <si>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</si>
  <si>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</si>
  <si>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</si>
  <si>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</si>
  <si>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</si>
  <si>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</si>
  <si>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</si>
  <si>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</si>
  <si>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</si>
  <si>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</si>
  <si>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</si>
  <si>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</si>
  <si>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</si>
  <si>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</si>
  <si>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</si>
  <si>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</si>
  <si>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</si>
  <si>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</si>
  <si>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</si>
  <si>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</si>
  <si>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</si>
  <si>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</si>
  <si>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</si>
  <si>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</si>
  <si>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</si>
  <si>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</si>
  <si>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</si>
  <si>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</si>
  <si>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</si>
  <si>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</si>
  <si>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</si>
  <si>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</si>
  <si>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</si>
  <si>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</si>
  <si>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</si>
  <si>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</si>
  <si>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</si>
  <si>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Эпический</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</si>
  <si>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</si>
  <si>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</si>
  <si>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</si>
  <si>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</si>
  <si>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</si>
  <si>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</si>
  <si>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</si>
  <si>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</si>
  <si>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</si>
  <si>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</si>
  <si>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</si>
  <si>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</si>
  <si>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</si>
  <si>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</si>
  <si>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</si>
  <si>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</si>
  <si>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</si>
  <si>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</si>
  <si>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</si>
  <si>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</si>
  <si>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</si>
  <si>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</si>
  <si>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</si>
  <si>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</si>
  <si>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</si>
  <si>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</si>
  <si>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</si>
  <si>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</si>
  <si>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</si>
  <si>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</si>
  <si>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</si>
  <si>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</si>
  <si>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</si>
  <si>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</si>
  <si>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</si>
  <si>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</si>
  <si>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</si>
  <si>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</si>
  <si>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</si>
  <si>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</si>
  <si>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</si>
  <si>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</si>
  <si>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</si>
  <si>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</si>
  <si>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</si>
  <si>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</si>
  <si>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</si>
  <si>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</si>
  <si>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</si>
  <si>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</si>
  <si>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</si>
  <si>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</si>
  <si>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</si>
  <si>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</si>
  <si>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</si>
  <si>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</si>
  <si>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</si>
  <si>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</si>
  <si>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</si>
  <si>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</si>
  <si>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</si>
  <si>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</si>
  <si>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</si>
  <si>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</si>
  <si>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</si>
  <si>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</si>
  <si>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</si>
  <si>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Адская Гончая</t>
  </si>
  <si>
    <t>Физический урон: 32
(Быстрая стрельба)</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</si>
  <si>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</si>
  <si>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</si>
  <si>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</si>
  <si>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</si>
  <si>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</si>
  <si>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</si>
  <si>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金色品質</t>
  </si>
  <si>
    <t>金品質</t>
  </si>
  <si>
    <t>Legendary</t>
  </si>
  <si>
    <t>金色品质</t>
  </si>
  <si>
    <t>Легендарный</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</si>
  <si>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</si>
  <si>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</si>
  <si>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</si>
  <si>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</si>
  <si>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</si>
  <si>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</si>
  <si>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</si>
  <si>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</si>
  <si>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</si>
  <si>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</si>
  <si>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</si>
  <si>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</si>
  <si>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</si>
  <si>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</si>
  <si>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</si>
  <si>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</si>
  <si>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</si>
  <si>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</si>
  <si>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</si>
  <si>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</si>
  <si>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</si>
  <si>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</si>
  <si>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</si>
  <si>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</si>
  <si>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</si>
  <si>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</si>
  <si>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</si>
  <si>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</si>
  <si>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</si>
  <si>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</si>
  <si>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</si>
  <si>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</si>
  <si>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</si>
  <si>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</si>
  <si>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</si>
  <si>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</si>
  <si>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</si>
  <si>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</si>
  <si>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</si>
  <si>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</si>
  <si>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</si>
  <si>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</si>
  <si>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</si>
  <si>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</si>
  <si>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</si>
  <si>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</si>
  <si>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</si>
  <si>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</si>
  <si>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</si>
  <si>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</si>
  <si>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</si>
  <si>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</si>
  <si>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</si>
  <si>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</si>
  <si>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</si>
  <si>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</si>
  <si>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</si>
  <si>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</si>
  <si>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</si>
  <si>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</si>
  <si>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</si>
  <si>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</si>
  <si>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</si>
  <si>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</si>
  <si>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</si>
  <si>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</si>
  <si>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</si>
  <si>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</si>
  <si>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</si>
  <si>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</si>
  <si>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</si>
  <si>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</si>
  <si>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</si>
  <si>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</si>
  <si>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</si>
  <si>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</si>
  <si>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</si>
  <si>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</si>
  <si>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</si>
  <si>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</si>
  <si>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</si>
  <si>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</si>
  <si>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</si>
  <si>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</si>
  <si>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</si>
  <si>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</si>
  <si>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</si>
  <si>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</si>
  <si>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</si>
  <si>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</si>
  <si>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</si>
  <si>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</si>
  <si>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</si>
  <si>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</si>
  <si>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</si>
  <si>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</si>
  <si>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</si>
  <si>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</si>
  <si>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</si>
  <si>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</si>
  <si>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</si>
  <si>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</si>
  <si>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</si>
  <si>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</si>
  <si>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</si>
  <si>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</si>
  <si>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</si>
  <si>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</si>
  <si>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</si>
  <si>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</si>
  <si>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</si>
  <si>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</si>
  <si>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</si>
  <si>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</si>
  <si>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</si>
  <si>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</si>
  <si>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</si>
  <si>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</si>
  <si>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</si>
  <si>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</si>
  <si>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</si>
  <si>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</si>
  <si>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</si>
  <si>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</si>
  <si>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</si>
  <si>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</si>
  <si>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</si>
  <si>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</si>
  <si>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</si>
  <si>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t>
  </si>
  <si>
    <t>物理防御力：1
魔法耐性：10
幸運：5
最大HPを増加</t>
  </si>
  <si>
    <t>Fragrant Grass Ring</t>
  </si>
  <si>
    <t>Physical defense: 1
Magic defense: 10
Luck: 5
Increases maximum HP</t>
  </si>
  <si>
    <t>향기로운 풀의 마음</t>
  </si>
  <si>
    <t>물리 방어력 : 1
마법 방어력 : 10
행운 : 5
최대 체력 증가</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</si>
  <si>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</si>
  <si>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</si>
  <si>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</si>
  <si>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</si>
  <si>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</si>
  <si>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</si>
  <si>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</si>
  <si>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</si>
  <si>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</si>
  <si>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</si>
  <si>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</si>
  <si>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</si>
  <si>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</si>
  <si>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</si>
  <si>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</si>
  <si>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</si>
  <si>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</si>
  <si>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</si>
  <si>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</si>
  <si>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</si>
  <si>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</si>
  <si>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</si>
  <si>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</si>
  <si>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</si>
  <si>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</si>
  <si>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</si>
  <si>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</si>
  <si>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</si>
  <si>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</si>
  <si>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</si>
  <si>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</si>
  <si>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</si>
  <si>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</si>
  <si>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</si>
  <si>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</si>
  <si>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</si>
  <si>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</si>
  <si>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</si>
  <si>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</si>
  <si>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</si>
  <si>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</si>
  <si>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</si>
  <si>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</si>
  <si>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</si>
  <si>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</si>
  <si>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</si>
  <si>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</si>
  <si>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</si>
  <si>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</si>
  <si>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</si>
  <si>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</si>
  <si>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</si>
  <si>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</si>
  <si>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</si>
  <si>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</si>
  <si>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</si>
  <si>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</si>
  <si>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</si>
  <si>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</si>
  <si>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</si>
  <si>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</si>
  <si>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</si>
  <si>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</si>
  <si>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</si>
  <si>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</si>
  <si>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</si>
  <si>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</si>
  <si>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</si>
  <si>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</si>
  <si>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</si>
  <si>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</si>
  <si>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</si>
  <si>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</si>
  <si>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</si>
  <si>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</si>
  <si>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</si>
  <si>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</si>
  <si>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</si>
  <si>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</si>
  <si>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</si>
  <si>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</si>
  <si>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</si>
  <si>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</si>
  <si>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</si>
  <si>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</si>
  <si>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</si>
  <si>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</si>
  <si>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</si>
  <si>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</si>
  <si>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</si>
  <si>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</si>
  <si>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</si>
  <si>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</si>
  <si>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</si>
  <si>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</si>
  <si>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</si>
  <si>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</si>
  <si>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</si>
  <si>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</si>
  <si>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Подарок Теней</t>
  </si>
  <si>
    <t>Увеличенная скорость передвижения.
Накладывает особый эффект статуса</t>
  </si>
  <si>
    <t>Tăng tốc độ di chuyển
Đưa bạn vào trạng thái đặc biệt gây ra bởi một kẻ thù nhất định</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</si>
  <si>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</si>
  <si>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</si>
  <si>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</si>
  <si>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</si>
  <si>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</si>
  <si>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</si>
  <si>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</si>
  <si>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</si>
  <si>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Кузнечная наковальня</t>
  </si>
  <si>
    <t>Защита: 15
Сопротивление магии: 10
(Подробное объяснение в разделе «Tips»)</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</si>
  <si>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</si>
  <si>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</si>
  <si>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</si>
  <si>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</si>
  <si>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</si>
  <si>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</si>
  <si>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</si>
  <si>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</si>
  <si>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</si>
  <si>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</si>
  <si>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"Nexus" (1-7)</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</si>
  <si>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</si>
  <si>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</si>
  <si>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</si>
  <si>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</si>
  <si>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</si>
  <si>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</si>
  <si>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</si>
  <si>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</si>
  <si>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</si>
  <si>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</si>
  <si>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</si>
  <si>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</si>
  <si>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Верни мою клубничку!</t>
  </si>
  <si>
    <t>Командное оборудование (См. слоты навыков)</t>
  </si>
  <si>
    <t>Giành Lại Tình Yêu!!</t>
  </si>
  <si>
    <t>Trang bị kỹ năng lệnh. 
Tham khảo tab kỹ năng khi đeo để xem lệnh</t>
  </si>
  <si>
    <t>Recupere o Ichigo!!</t>
  </si>
  <si>
    <t>Equipamento com técnica usada com comando. Consulte a aba da técnica quando vestido para ver o comando</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</si>
  <si>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</si>
  <si>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</si>
  <si>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</si>
  <si>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</si>
  <si>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</si>
  <si>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</si>
  <si>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</si>
  <si>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</si>
  <si>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</si>
  <si>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</si>
  <si>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</si>
  <si>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</si>
  <si>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</si>
  <si>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</si>
  <si>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</si>
  <si>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</si>
  <si>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</si>
  <si>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</si>
  <si>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</si>
  <si>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</si>
  <si>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</si>
  <si>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</si>
  <si>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</si>
  <si>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</si>
  <si>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</si>
  <si>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</si>
  <si>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</si>
  <si>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</si>
  <si>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</si>
  <si>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</si>
  <si>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</si>
  <si>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</si>
  <si>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</si>
  <si>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</si>
  <si>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</si>
  <si>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</si>
  <si>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</si>
  <si>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</si>
  <si>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</si>
  <si>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</si>
  <si>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</si>
  <si>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</si>
  <si>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</si>
  <si>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</si>
  <si>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</si>
  <si>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</si>
  <si>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</si>
  <si>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</si>
  <si>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</si>
  <si>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</si>
  <si>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t>
  </si>
  <si>
    <t>借りネコの手</t>
  </si>
  <si>
    <t>物理攻撃力：5
攻撃力上昇、攻撃速度上昇</t>
  </si>
  <si>
    <t>Borrowed Neko Claws</t>
  </si>
  <si>
    <t>Physical attack: 5
Increases attack speed.
Increases attack</t>
  </si>
  <si>
    <t>Garras de gato prestadas</t>
  </si>
  <si>
    <t>고양이 손</t>
  </si>
  <si>
    <t>물리 공격력 : 5
공격속도와 이동속도 증가</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</si>
  <si>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</si>
  <si>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</si>
  <si>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</si>
  <si>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</si>
  <si>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</si>
  <si>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</si>
  <si>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</si>
  <si>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</si>
  <si>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</si>
  <si>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</si>
  <si>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</si>
  <si>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</si>
  <si>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</si>
  <si>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</si>
  <si>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</si>
  <si>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</si>
  <si>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</si>
  <si>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</si>
  <si>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</si>
  <si>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</si>
  <si>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</si>
  <si>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</si>
  <si>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</si>
  <si>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</si>
  <si>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</si>
  <si>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t>
  </si>
  <si>
    <t>借りネコの足</t>
  </si>
  <si>
    <t xml:space="preserve">攻撃力上昇、移動速度上昇、閃歩CT短縮
</t>
  </si>
  <si>
    <t>Borrowed Neko Paws</t>
  </si>
  <si>
    <t>Increases attack speed.
Increases movement speed.
Reduces cooldown of Senpo</t>
  </si>
  <si>
    <t>고양이 발</t>
  </si>
  <si>
    <t xml:space="preserve">공격속도와 이동속도 증가
플래시 스텝 쿨다운 감소
</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</si>
  <si>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</si>
  <si>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</si>
  <si>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</si>
  <si>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</si>
  <si>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</si>
  <si>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</si>
  <si>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</si>
  <si>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</si>
  <si>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</si>
  <si>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</si>
  <si>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</si>
  <si>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</si>
  <si>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</si>
  <si>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</si>
  <si>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</si>
  <si>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</si>
  <si>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</si>
  <si>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</si>
  <si>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</si>
  <si>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</si>
  <si>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</si>
  <si>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</si>
  <si>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</si>
  <si>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</si>
  <si>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</si>
  <si>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</si>
  <si>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</si>
  <si>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</si>
  <si>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</si>
  <si>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</si>
  <si>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</si>
  <si>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</si>
  <si>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</si>
  <si>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</si>
  <si>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</si>
  <si>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</si>
  <si>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</si>
  <si>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</si>
  <si>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</si>
  <si>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</si>
  <si>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</si>
  <si>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</si>
  <si>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</si>
  <si>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</si>
  <si>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</si>
  <si>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</si>
  <si>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</si>
  <si>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</si>
  <si>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</si>
  <si>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</si>
  <si>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</si>
  <si>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</si>
  <si>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</si>
  <si>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</si>
  <si>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</si>
  <si>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</si>
  <si>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</si>
  <si>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</si>
  <si>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</si>
  <si>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</si>
  <si>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</si>
  <si>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</si>
  <si>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</si>
  <si>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</si>
  <si>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</si>
  <si>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</si>
  <si>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</si>
  <si>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</si>
  <si>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</si>
  <si>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</si>
  <si>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</si>
  <si>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</si>
  <si>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</si>
  <si>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</si>
  <si>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</si>
  <si>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</si>
  <si>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</si>
  <si>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</si>
  <si>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</si>
  <si>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</si>
  <si>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</si>
  <si>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</si>
  <si>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</si>
  <si>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</si>
  <si>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</si>
  <si>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</si>
  <si>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</si>
  <si>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</si>
  <si>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</si>
  <si>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</si>
  <si>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</si>
  <si>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</si>
  <si>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</si>
  <si>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</si>
  <si>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</si>
  <si>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</si>
  <si>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</si>
  <si>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</si>
  <si>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</si>
  <si>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</si>
  <si>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</si>
  <si>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</si>
  <si>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</si>
  <si>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</si>
  <si>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</si>
  <si>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</si>
  <si>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</si>
  <si>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</si>
  <si>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</si>
  <si>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</si>
  <si>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</si>
  <si>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</si>
  <si>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</si>
  <si>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</si>
  <si>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</si>
  <si>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</si>
  <si>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</si>
  <si>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</si>
  <si>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</si>
  <si>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</si>
  <si>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</si>
  <si>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</si>
  <si>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</si>
  <si>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</si>
  <si>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</si>
  <si>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</si>
  <si>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</si>
  <si>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</si>
  <si>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</si>
  <si>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</si>
  <si>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</si>
  <si>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</si>
  <si>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</si>
  <si>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</si>
  <si>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</si>
  <si>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</si>
  <si>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</si>
  <si>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</si>
  <si>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</si>
  <si>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</si>
  <si>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</si>
  <si>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</si>
  <si>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</si>
  <si>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</si>
  <si>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</si>
  <si>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</si>
  <si>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</si>
  <si>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</si>
  <si>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</si>
  <si>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</si>
  <si>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</si>
  <si>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</si>
  <si>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</si>
  <si>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</si>
  <si>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</si>
  <si>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</si>
  <si>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</si>
  <si>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</si>
  <si>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</si>
  <si>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</si>
  <si>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</si>
  <si>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</si>
  <si>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</si>
  <si>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</si>
  <si>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</si>
  <si>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</si>
  <si>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</si>
  <si>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</si>
  <si>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</si>
  <si>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</si>
  <si>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</si>
  <si>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</si>
  <si>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</si>
  <si>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</si>
  <si>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</si>
  <si>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</si>
  <si>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</si>
  <si>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</si>
  <si>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</si>
  <si>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</si>
  <si>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</si>
  <si>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</si>
  <si>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</si>
  <si>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</si>
  <si>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</si>
  <si>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</si>
  <si>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</si>
  <si>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</si>
  <si>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</si>
  <si>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</si>
  <si>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</si>
  <si>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</si>
  <si>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</si>
  <si>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</si>
  <si>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</si>
  <si>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</si>
  <si>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</si>
  <si>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</si>
  <si>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</si>
  <si>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</si>
  <si>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</si>
  <si>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</si>
  <si>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</si>
  <si>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</si>
  <si>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</si>
  <si>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</si>
  <si>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</si>
  <si>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</si>
  <si>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</si>
  <si>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</si>
  <si>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</si>
  <si>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</si>
  <si>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</si>
  <si>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</si>
  <si>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</si>
  <si>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</si>
  <si>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</si>
  <si>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</si>
  <si>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</si>
  <si>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</si>
  <si>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</si>
  <si>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</si>
  <si>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</si>
  <si>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</si>
  <si>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</si>
  <si>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</si>
  <si>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</si>
  <si>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</si>
  <si>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</si>
  <si>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</si>
  <si>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</si>
  <si>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</si>
  <si>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</si>
  <si>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</si>
  <si>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</si>
  <si>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</si>
  <si>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</si>
  <si>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掉落傷害減免</t>
  </si>
  <si>
    <t>ハングドマンの骨戒</t>
  </si>
  <si>
    <t>物理防御力: 2
魔法耐性: 15
落下ダメージ軽減</t>
  </si>
  <si>
    <t>Hanged Man's Bone Ring</t>
  </si>
  <si>
    <t>Physical defense: 2
Magic defense: 15
Reduce damage from falling</t>
  </si>
  <si>
    <t>매달린 남자의 뼈 반지</t>
  </si>
  <si>
    <t>물리 방어력 : 2
마법 방어력 : 15
낙하 피해 감소</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</si>
  <si>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</si>
  <si>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</si>
  <si>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</si>
  <si>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</si>
  <si>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</si>
  <si>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</si>
  <si>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</si>
  <si>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</si>
  <si>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</si>
  <si>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</si>
  <si>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</si>
  <si>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</si>
  <si>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</si>
  <si>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</si>
  <si>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</si>
  <si>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</si>
  <si>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</si>
  <si>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</si>
  <si>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</si>
  <si>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</si>
  <si>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</si>
  <si>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</si>
  <si>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</si>
  <si>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</si>
  <si>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</si>
  <si>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</si>
  <si>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</si>
  <si>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</si>
  <si>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</si>
  <si>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</si>
  <si>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</si>
  <si>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</si>
  <si>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</si>
  <si>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</si>
  <si>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</si>
  <si>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</si>
  <si>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</si>
  <si>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</si>
  <si>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</si>
  <si>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</si>
  <si>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</si>
  <si>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</si>
  <si>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</si>
  <si>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</si>
  <si>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</si>
  <si>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</si>
  <si>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</si>
  <si>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</si>
  <si>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</si>
  <si>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</si>
  <si>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</si>
  <si>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</si>
  <si>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</si>
  <si>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</si>
  <si>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</si>
  <si>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</si>
  <si>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</si>
  <si>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</si>
  <si>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</si>
  <si>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</si>
  <si>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</si>
  <si>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</si>
  <si>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</si>
  <si>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</si>
  <si>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</si>
  <si>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</si>
  <si>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</si>
  <si>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</si>
  <si>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</si>
  <si>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</si>
  <si>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</si>
  <si>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</si>
  <si>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</si>
  <si>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</si>
  <si>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</si>
  <si>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</si>
  <si>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</si>
  <si>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</si>
  <si>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</si>
  <si>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</si>
  <si>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</si>
  <si>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</si>
  <si>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</si>
  <si>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</si>
  <si>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</si>
  <si>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</si>
  <si>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</si>
  <si>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</si>
  <si>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</si>
  <si>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</si>
  <si>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</si>
  <si>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</si>
  <si>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</si>
  <si>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</si>
  <si>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</si>
  <si>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</si>
  <si>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</si>
  <si>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</si>
  <si>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</si>
  <si>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</si>
  <si>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</si>
  <si>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</si>
  <si>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</si>
  <si>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</si>
  <si>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</si>
  <si>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</si>
  <si>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</si>
  <si>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</si>
  <si>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</si>
  <si>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</si>
  <si>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</si>
  <si>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</si>
  <si>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</si>
  <si>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增加攻擊速度、攻擊數目+1</t>
  </si>
  <si>
    <t>攻撃力上昇、攻撃回数+1
特殊効果半減</t>
  </si>
  <si>
    <t>Increases attack speed.
Number of projectiles +1</t>
  </si>
  <si>
    <t>공격속도 증가, 공격 횟수 + 1</t>
  </si>
  <si>
    <t>Кошачий удар</t>
  </si>
  <si>
    <t xml:space="preserve">Увеличение скорости атаки и количество атак на 1.
</t>
  </si>
  <si>
    <t>Erhöht die Angriffsgeschwindigkeit.
Anzahl der Projektile +1.</t>
  </si>
  <si>
    <t>Mèo Quyền</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</si>
  <si>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</si>
  <si>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</si>
  <si>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</si>
  <si>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</si>
  <si>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</si>
  <si>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</si>
  <si>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</si>
  <si>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</si>
  <si>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</si>
  <si>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</si>
  <si>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</si>
  <si>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</si>
  <si>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</si>
  <si>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</si>
  <si>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</si>
  <si>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</si>
  <si>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</si>
  <si>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</si>
  <si>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</si>
  <si>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</si>
  <si>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</si>
  <si>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</si>
  <si>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</si>
  <si>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</si>
  <si>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</si>
  <si>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</si>
  <si>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</si>
  <si>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</si>
  <si>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</si>
  <si>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</si>
  <si>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</si>
  <si>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</si>
  <si>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</si>
  <si>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</si>
  <si>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</si>
  <si>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</si>
  <si>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</si>
  <si>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</si>
  <si>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</si>
  <si>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</si>
  <si>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</si>
  <si>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</si>
  <si>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</si>
  <si>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</si>
  <si>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</si>
  <si>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</si>
  <si>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</si>
  <si>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</si>
  <si>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</si>
  <si>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</si>
  <si>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</si>
  <si>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</si>
  <si>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</si>
  <si>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</si>
  <si>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</si>
  <si>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</si>
  <si>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</si>
  <si>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</si>
  <si>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</si>
  <si>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</si>
  <si>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</si>
  <si>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</si>
  <si>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</si>
  <si>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</si>
  <si>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</si>
  <si>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</si>
  <si>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</si>
  <si>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</si>
  <si>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</si>
  <si>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</si>
  <si>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</si>
  <si>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</si>
  <si>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</si>
  <si>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</si>
  <si>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</si>
  <si>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</si>
  <si>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</si>
  <si>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</si>
  <si>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</si>
  <si>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</si>
  <si>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</si>
  <si>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</si>
  <si>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</si>
  <si>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</si>
  <si>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</si>
  <si>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</si>
  <si>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</si>
  <si>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</si>
  <si>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</si>
  <si>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</si>
  <si>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</si>
  <si>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</si>
  <si>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</si>
  <si>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</si>
  <si>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</si>
  <si>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</si>
  <si>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</si>
  <si>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</si>
  <si>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</si>
  <si>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</si>
  <si>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</si>
  <si>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</si>
  <si>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</si>
  <si>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</si>
  <si>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</si>
  <si>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</si>
  <si>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</si>
  <si>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</si>
  <si>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</si>
  <si>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</si>
  <si>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</si>
  <si>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</si>
  <si>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</si>
  <si>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</si>
  <si>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</si>
  <si>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</si>
  <si>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</si>
  <si>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</si>
  <si>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</si>
  <si>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</si>
  <si>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</si>
  <si>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</si>
  <si>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</si>
  <si>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</si>
  <si>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</si>
  <si>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</si>
  <si>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</si>
  <si>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</si>
  <si>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</si>
  <si>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</si>
  <si>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</si>
  <si>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</si>
  <si>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</si>
  <si>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</si>
  <si>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</si>
  <si>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</si>
  <si>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</si>
  <si>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</si>
  <si>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</si>
  <si>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</si>
  <si>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</si>
  <si>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Они</t>
  </si>
  <si>
    <t>Физический урон: 10
Сопротивление магии: 10
(Физический урон удвоен, но скорость атаки уменьшена вдвое, а расход прочности увеличен)</t>
  </si>
  <si>
    <t>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</si>
  <si>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</si>
  <si>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</si>
  <si>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</si>
  <si>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</si>
  <si>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</si>
  <si>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</si>
  <si>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</si>
  <si>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</si>
  <si>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</si>
  <si>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</si>
  <si>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</si>
  <si>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</si>
  <si>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</si>
  <si>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</si>
  <si>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</si>
  <si>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</si>
  <si>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</si>
  <si>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</si>
  <si>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</si>
  <si>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</si>
  <si>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</si>
  <si>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</si>
  <si>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</si>
  <si>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</si>
  <si>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</si>
  <si>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</si>
  <si>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</si>
  <si>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</si>
  <si>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</si>
  <si>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</si>
  <si>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</si>
  <si>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</si>
  <si>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</si>
  <si>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</si>
  <si>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</si>
  <si>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</si>
  <si>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</si>
  <si>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</si>
  <si>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</si>
  <si>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</si>
  <si>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</si>
  <si>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</si>
  <si>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</si>
  <si>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</si>
  <si>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</si>
  <si>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</si>
  <si>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</si>
  <si>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</si>
  <si>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</si>
  <si>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</si>
  <si>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</si>
  <si>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</si>
  <si>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</si>
  <si>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</si>
  <si>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</si>
  <si>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</si>
  <si>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</si>
  <si>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</si>
  <si>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</si>
  <si>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</si>
  <si>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</si>
  <si>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</si>
  <si>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Красный Рог</t>
  </si>
  <si>
    <t>Физический урон: 4
Защита: 2
Сопротивление магии: 25
(Неограниченное ускорение после зарядки)</t>
  </si>
  <si>
    <t>Xích Giáp</t>
  </si>
  <si>
    <t>Sát thương: 4
Phòng thủ vật lý: 2
Kháng ma thuật: 25
Nạp 3 lần. Hồi lại từ từ khi dùng hết
Khi nạp đầy, Senpo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</si>
  <si>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</si>
  <si>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</si>
  <si>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</si>
  <si>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</si>
  <si>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</si>
  <si>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</si>
  <si>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</si>
  <si>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</si>
  <si>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</si>
  <si>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</si>
  <si>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</si>
  <si>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</si>
  <si>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</si>
  <si>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</si>
  <si>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</si>
  <si>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</si>
  <si>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</si>
  <si>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</si>
  <si>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</si>
  <si>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</si>
  <si>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</si>
  <si>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</si>
  <si>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</si>
  <si>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</si>
  <si>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</si>
  <si>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</si>
  <si>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</si>
  <si>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</si>
  <si>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</si>
  <si>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</si>
  <si>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</si>
  <si>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</si>
  <si>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</si>
  <si>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</si>
  <si>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</si>
  <si>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</si>
  <si>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</si>
  <si>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</si>
  <si>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</si>
  <si>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</si>
  <si>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</si>
  <si>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</si>
  <si>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</si>
  <si>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</si>
  <si>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</si>
  <si>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</si>
  <si>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</si>
  <si>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</si>
  <si>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</si>
  <si>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</si>
  <si>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</si>
  <si>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</si>
  <si>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</si>
  <si>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</si>
  <si>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</si>
  <si>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</si>
  <si>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</si>
  <si>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</si>
  <si>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</si>
  <si>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</si>
  <si>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</si>
  <si>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</si>
  <si>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</si>
  <si>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</si>
  <si>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</si>
  <si>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</si>
  <si>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</si>
  <si>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</si>
  <si>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</si>
  <si>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</si>
  <si>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</si>
  <si>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</si>
  <si>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</si>
  <si>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</si>
  <si>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</si>
  <si>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</si>
  <si>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</si>
  <si>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</si>
  <si>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</si>
  <si>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</si>
  <si>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</si>
  <si>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</si>
  <si>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</si>
  <si>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</si>
  <si>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</si>
  <si>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</si>
  <si>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</si>
  <si>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</si>
  <si>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</si>
  <si>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</si>
  <si>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</si>
  <si>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</si>
  <si>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</si>
  <si>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</si>
  <si>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</si>
  <si>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</si>
  <si>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</si>
  <si>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</si>
  <si>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</si>
  <si>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</si>
  <si>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</si>
  <si>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</si>
  <si>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</si>
  <si>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</si>
  <si>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</si>
  <si>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</si>
  <si>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</si>
  <si>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</si>
  <si>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</si>
  <si>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</si>
  <si>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</si>
  <si>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</si>
  <si>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</si>
  <si>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</si>
  <si>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</si>
  <si>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</si>
  <si>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</si>
  <si>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</si>
  <si>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</si>
  <si>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</si>
  <si>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</si>
  <si>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</si>
  <si>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</si>
  <si>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</si>
  <si>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</si>
  <si>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</si>
  <si>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</si>
  <si>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</si>
  <si>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</si>
  <si>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</si>
  <si>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</si>
  <si>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</si>
  <si>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</si>
  <si>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</si>
  <si>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</si>
  <si>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</si>
  <si>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</si>
  <si>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</si>
  <si>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</si>
  <si>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</si>
  <si>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</si>
  <si>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</si>
  <si>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</si>
  <si>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</si>
  <si>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</si>
  <si>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</si>
  <si>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</si>
  <si>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</si>
  <si>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</si>
  <si>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</si>
  <si>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</si>
  <si>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</si>
  <si>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</si>
  <si>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</si>
  <si>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</si>
  <si>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</si>
  <si>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</si>
  <si>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</si>
  <si>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</si>
  <si>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</si>
  <si>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</si>
  <si>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</si>
  <si>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</si>
  <si>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</si>
  <si>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</si>
  <si>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</si>
  <si>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</si>
  <si>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</si>
  <si>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</si>
  <si>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</si>
  <si>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</si>
  <si>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</si>
  <si>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</si>
  <si>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</si>
  <si>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</si>
  <si>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</si>
  <si>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</si>
  <si>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</si>
  <si>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</si>
  <si>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</si>
  <si>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</si>
  <si>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</si>
  <si>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</si>
  <si>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</si>
  <si>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</si>
  <si>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</si>
  <si>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</si>
  <si>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</si>
  <si>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</si>
  <si>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</si>
  <si>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</si>
  <si>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</si>
  <si>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</si>
  <si>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</si>
  <si>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</si>
  <si>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</si>
  <si>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</si>
  <si>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</si>
  <si>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</si>
  <si>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</si>
  <si>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</si>
  <si>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</si>
  <si>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</si>
  <si>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</si>
  <si>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</si>
  <si>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</si>
  <si>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</si>
  <si>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</si>
  <si>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</si>
  <si>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</si>
  <si>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</si>
  <si>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</si>
  <si>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</si>
  <si>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</si>
  <si>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</si>
  <si>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</si>
  <si>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</si>
  <si>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</si>
  <si>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</si>
  <si>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</si>
  <si>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</si>
  <si>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</si>
  <si>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</si>
  <si>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</si>
  <si>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</si>
  <si>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</si>
  <si>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</si>
  <si>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</si>
  <si>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</si>
  <si>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</si>
  <si>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</si>
  <si>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</si>
  <si>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</si>
  <si>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</si>
  <si>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</si>
  <si>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</si>
  <si>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</si>
  <si>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</si>
  <si>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</si>
  <si>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</si>
  <si>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</si>
  <si>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</si>
  <si>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</si>
  <si>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</si>
  <si>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</si>
  <si>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</si>
  <si>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</si>
  <si>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</si>
  <si>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</si>
  <si>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</si>
  <si>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</si>
  <si>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</si>
  <si>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</si>
  <si>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</si>
  <si>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</si>
  <si>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</si>
  <si>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</si>
  <si>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</si>
  <si>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</si>
  <si>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</si>
  <si>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</si>
  <si>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</si>
  <si>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</si>
  <si>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</si>
  <si>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</si>
  <si>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</si>
  <si>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</si>
  <si>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</si>
  <si>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</si>
  <si>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Волшебный молоточек Руики</t>
  </si>
  <si>
    <t>Увеличивает количество денег и шанс выпадения предметов.
※ Читерский предмет.
(Пожалуйста, ознакомьтесь с Tips)</t>
  </si>
  <si>
    <t>Búa Phép Thuật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</si>
  <si>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</si>
  <si>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</si>
  <si>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</si>
  <si>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</si>
  <si>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</si>
  <si>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</si>
  <si>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</si>
  <si>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</si>
  <si>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</si>
  <si>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</si>
  <si>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</si>
  <si>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</si>
  <si>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</si>
  <si>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</si>
  <si>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</si>
  <si>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道具名稱</t>
  </si>
  <si>
    <t>效果</t>
  </si>
  <si>
    <t>Предмет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</si>
  <si>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</si>
  <si>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</si>
  <si>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</si>
  <si>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</si>
  <si>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</si>
  <si>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</si>
  <si>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</si>
  <si>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</si>
  <si>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</si>
  <si>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</si>
  <si>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</si>
  <si>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</si>
  <si>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</si>
  <si>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</si>
  <si>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</si>
  <si>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</si>
  <si>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</si>
  <si>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</si>
  <si>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</si>
  <si>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</si>
  <si>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</si>
  <si>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</si>
  <si>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</si>
  <si>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</si>
  <si>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</si>
  <si>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</si>
  <si>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</si>
  <si>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</si>
  <si>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</si>
  <si>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</si>
  <si>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</si>
  <si>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</si>
  <si>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</si>
  <si>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</si>
  <si>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</si>
  <si>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</si>
  <si>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</si>
  <si>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</si>
  <si>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</si>
  <si>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</si>
  <si>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</si>
  <si>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</si>
  <si>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</si>
  <si>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</si>
  <si>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</si>
  <si>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</si>
  <si>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</si>
  <si>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</si>
  <si>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</si>
  <si>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</si>
  <si>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</si>
  <si>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</si>
  <si>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</si>
  <si>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</si>
  <si>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</si>
  <si>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</si>
  <si>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</si>
  <si>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</si>
  <si>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</si>
  <si>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</si>
  <si>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</si>
  <si>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</si>
  <si>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</si>
  <si>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</si>
  <si>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</si>
  <si>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</si>
  <si>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</si>
  <si>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</si>
  <si>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</si>
  <si>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</si>
  <si>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</si>
  <si>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</si>
  <si>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</si>
  <si>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</si>
  <si>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</si>
  <si>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</si>
  <si>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</si>
  <si>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</si>
  <si>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</si>
  <si>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</si>
  <si>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</si>
  <si>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</si>
  <si>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</si>
  <si>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</si>
  <si>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</si>
  <si>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</si>
  <si>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</si>
  <si>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</si>
  <si>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</si>
  <si>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</si>
  <si>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</si>
  <si>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</si>
  <si>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</si>
  <si>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</si>
  <si>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</si>
  <si>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</si>
  <si>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</si>
  <si>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</si>
  <si>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</si>
  <si>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</si>
  <si>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</si>
  <si>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</si>
  <si>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</si>
  <si>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</si>
  <si>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</si>
  <si>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</si>
  <si>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</si>
  <si>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</si>
  <si>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</si>
  <si>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</si>
  <si>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</si>
  <si>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</si>
  <si>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</si>
  <si>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</si>
  <si>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</si>
  <si>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</si>
  <si>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</si>
  <si>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</si>
  <si>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</si>
  <si>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</si>
  <si>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</si>
  <si>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</si>
  <si>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</si>
  <si>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</si>
  <si>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</si>
  <si>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</si>
  <si>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</si>
  <si>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</si>
  <si>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</si>
  <si>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</si>
  <si>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</si>
  <si>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</si>
  <si>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</si>
  <si>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</si>
  <si>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</si>
  <si>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</si>
  <si>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</si>
  <si>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</si>
  <si>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</si>
  <si>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</si>
  <si>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</si>
  <si>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</si>
  <si>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</si>
  <si>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</si>
  <si>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</si>
  <si>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</si>
  <si>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</si>
  <si>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</si>
  <si>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</si>
  <si>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</si>
  <si>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</si>
  <si>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</si>
  <si>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</si>
  <si>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</si>
  <si>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</si>
  <si>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</si>
  <si>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</si>
  <si>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</si>
  <si>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</si>
  <si>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</si>
  <si>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</si>
  <si>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</si>
  <si>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</si>
  <si>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</si>
  <si>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</si>
  <si>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</si>
  <si>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</si>
  <si>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</si>
  <si>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</si>
  <si>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</si>
  <si>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</si>
  <si>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</si>
  <si>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</si>
  <si>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</si>
  <si>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</si>
  <si>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</si>
  <si>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</si>
  <si>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</si>
  <si>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</si>
  <si>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</si>
  <si>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</si>
  <si>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</si>
  <si>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</si>
  <si>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</si>
  <si>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</si>
  <si>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</si>
  <si>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</si>
  <si>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</si>
  <si>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</si>
  <si>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</si>
  <si>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</si>
  <si>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</si>
  <si>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</si>
  <si>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</si>
  <si>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</si>
  <si>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</si>
  <si>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</si>
  <si>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</si>
  <si>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逆流可樂</t>
  </si>
  <si>
    <t>(戰鬥效果未實裝)</t>
  </si>
  <si>
    <t>逆流コーラ</t>
  </si>
  <si>
    <t>(効果は未実装です)</t>
  </si>
  <si>
    <t>NLCH's Cola (L)</t>
  </si>
  <si>
    <t>(Combat effects not yet implemented)</t>
  </si>
  <si>
    <t>NLCH Cola</t>
  </si>
  <si>
    <t>(Efectos de combate sin implementarse)</t>
  </si>
  <si>
    <t>NLCH 콜라</t>
  </si>
  <si>
    <t>Кола NLCH (L)</t>
  </si>
  <si>
    <t>(Боевые эффекты пока не реализованы)</t>
  </si>
  <si>
    <t>(Kampfeffekte noch nicht implementiert)</t>
  </si>
  <si>
    <t>(Hiệu ứng chiến đấu chưa được triển khai)</t>
  </si>
  <si>
    <t>Cola da NLCH</t>
  </si>
  <si>
    <t>(Efeitos de combate ainda não foram implementados)</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</si>
  <si>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</si>
  <si>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</si>
  <si>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</si>
  <si>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</si>
  <si>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</si>
  <si>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</si>
  <si>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</si>
  <si>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</si>
  <si>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</si>
  <si>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</si>
  <si>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</si>
  <si>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</si>
  <si>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</si>
  <si>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</si>
  <si>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</si>
  <si>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</si>
  <si>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</si>
  <si>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</si>
  <si>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</si>
  <si>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</si>
  <si>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</si>
  <si>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</si>
  <si>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</si>
  <si>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</si>
  <si>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</si>
  <si>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</si>
  <si>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</si>
  <si>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</si>
  <si>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</si>
  <si>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</si>
  <si>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</si>
  <si>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</si>
  <si>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</si>
  <si>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</si>
  <si>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</si>
  <si>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</si>
  <si>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</si>
  <si>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</si>
  <si>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</si>
  <si>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</si>
  <si>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</si>
  <si>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</si>
  <si>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</si>
  <si>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</si>
  <si>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</si>
  <si>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</si>
  <si>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</si>
  <si>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</si>
  <si>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</si>
  <si>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</si>
  <si>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</si>
  <si>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</si>
  <si>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</si>
  <si>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</si>
  <si>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</si>
  <si>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</si>
  <si>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</si>
  <si>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</si>
  <si>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</si>
  <si>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Гинкела</t>
  </si>
  <si>
    <t>Приманка для монстров</t>
  </si>
  <si>
    <t>Dünger / Lockt Monster an</t>
  </si>
  <si>
    <t>Phân bón/Dụ quái vật</t>
  </si>
  <si>
    <t>Fertilizante/Atrae monstros</t>
  </si>
  <si>
    <t>Pupuk/Pancingan monster</t>
  </si>
  <si>
    <t>拍立得9~15</t>
  </si>
  <si>
    <t>Polaroid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</si>
  <si>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</si>
  <si>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</si>
  <si>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</si>
  <si>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</si>
  <si>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</si>
  <si>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</si>
  <si>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</si>
  <si>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</si>
  <si>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</si>
  <si>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</si>
  <si>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</si>
  <si>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</si>
  <si>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</si>
  <si>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</si>
  <si>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</si>
  <si>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</si>
  <si>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</si>
  <si>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</si>
  <si>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</si>
  <si>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</si>
  <si>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</si>
  <si>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</si>
  <si>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</si>
  <si>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</si>
  <si>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</si>
  <si>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</si>
  <si>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</si>
  <si>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</si>
  <si>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</si>
  <si>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</si>
  <si>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</si>
  <si>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</si>
  <si>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</si>
  <si>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</si>
  <si>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</si>
  <si>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</si>
  <si>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</si>
  <si>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</si>
  <si>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</si>
  <si>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</si>
  <si>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</si>
  <si>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</si>
  <si>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</si>
  <si>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</si>
  <si>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</si>
  <si>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</si>
  <si>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</si>
  <si>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</si>
  <si>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</si>
  <si>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</si>
  <si>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</si>
  <si>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</si>
  <si>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</si>
  <si>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</si>
  <si>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</si>
  <si>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</si>
  <si>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</si>
  <si>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</si>
  <si>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</si>
  <si>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</si>
  <si>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</si>
  <si>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</si>
  <si>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</si>
  <si>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</si>
  <si>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</si>
  <si>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</si>
  <si>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</si>
  <si>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</si>
  <si>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</si>
  <si>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</si>
  <si>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</si>
  <si>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</si>
  <si>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</si>
  <si>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</si>
  <si>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</si>
  <si>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</si>
  <si>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</si>
  <si>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</si>
  <si>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</si>
  <si>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</si>
  <si>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</si>
  <si>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</si>
  <si>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</si>
  <si>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</si>
  <si>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</si>
  <si>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</si>
  <si>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</si>
  <si>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</si>
  <si>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</si>
  <si>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</si>
  <si>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</si>
  <si>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</si>
  <si>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</si>
  <si>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</si>
  <si>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</si>
  <si>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</si>
  <si>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</si>
  <si>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</si>
  <si>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Зелёное конпэйто</t>
  </si>
  <si>
    <t>(Данный эффект не был реализован)</t>
  </si>
  <si>
    <t>Grüner Konpeitō</t>
  </si>
  <si>
    <t>Kẹo Konpeito Xanh Lá</t>
  </si>
  <si>
    <t>(Chưa triển khai)</t>
  </si>
  <si>
    <t>Konpeitō Verde</t>
  </si>
  <si>
    <t>Não implementado</t>
  </si>
  <si>
    <t>Konpeito Hijau</t>
  </si>
  <si>
    <t>超敏軟Q水饅頭</t>
  </si>
  <si>
    <t>於AKI商店購買
提升敏感度(效果未實裝)</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</si>
  <si>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</si>
  <si>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</si>
  <si>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</si>
  <si>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</si>
  <si>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</si>
  <si>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</si>
  <si>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</si>
  <si>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</si>
  <si>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</si>
  <si>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</si>
  <si>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</si>
  <si>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</si>
  <si>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</si>
  <si>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</si>
  <si>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</si>
  <si>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</si>
  <si>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</si>
  <si>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</si>
  <si>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</si>
  <si>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</si>
  <si>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</si>
  <si>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</si>
  <si>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Красный сапфир</t>
  </si>
  <si>
    <t>Feuerdiamant</t>
  </si>
  <si>
    <t>Derzeit keine Einlöseoption
(Juwel)</t>
  </si>
  <si>
    <t>Đá Hình Thoi Đỏ</t>
  </si>
  <si>
    <t>AInda não implementado</t>
  </si>
  <si>
    <t>Batu Belah Ketupat Merah</t>
  </si>
  <si>
    <t>拍立得16~23</t>
  </si>
  <si>
    <t>Polaroid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</si>
  <si>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</si>
  <si>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</si>
  <si>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</si>
  <si>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</si>
  <si>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</si>
  <si>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</si>
  <si>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</si>
  <si>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</si>
  <si>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</si>
  <si>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</si>
  <si>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</si>
  <si>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</si>
  <si>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Видеокассета с Ужастиком</t>
  </si>
  <si>
    <t>Видеокассета для Ночных событий с Имоуто</t>
  </si>
  <si>
    <t>Horrorvideokassette</t>
  </si>
  <si>
    <t>Wird für das spätabendliche Fernsehen verwendet.</t>
  </si>
  <si>
    <t>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</si>
  <si>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</si>
  <si>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</si>
  <si>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</si>
  <si>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</si>
  <si>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</si>
  <si>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</si>
  <si>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</si>
  <si>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</si>
  <si>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</si>
  <si>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</si>
  <si>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Видеокассета для взрослых</t>
  </si>
  <si>
    <t>Erwachsenenvideokassette</t>
  </si>
  <si>
    <t>Băng Video Người Lớn</t>
  </si>
  <si>
    <t>Fita de Vídeo Adulta</t>
  </si>
  <si>
    <t>Rekaman Video Dewasa</t>
  </si>
  <si>
    <t>暗影之魂-DLC</t>
  </si>
  <si>
    <t>讓妹妹玩遊戲更專注，解鎖額外選項</t>
  </si>
  <si>
    <t>Shadow Souls-DLC</t>
  </si>
  <si>
    <t>让妹妹玩游戏更专注，解锁额外选项</t>
  </si>
  <si>
    <t>Тени Душ - DLC</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</si>
  <si>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</si>
  <si>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</si>
  <si>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</si>
  <si>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</si>
  <si>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</si>
  <si>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</si>
  <si>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</si>
  <si>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</si>
  <si>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</si>
  <si>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</si>
  <si>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</si>
  <si>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</si>
  <si>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</si>
  <si>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</si>
  <si>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</si>
  <si>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</si>
  <si>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</si>
  <si>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</si>
  <si>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</si>
  <si>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</si>
  <si>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</si>
  <si>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</si>
  <si>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</si>
  <si>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</si>
  <si>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</si>
  <si>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</si>
  <si>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</si>
  <si>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</si>
  <si>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</si>
  <si>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Волшебная камера</t>
  </si>
  <si>
    <t>F7 может быстро сделать снимок экрана</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</si>
  <si>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</si>
  <si>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</si>
  <si>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</si>
  <si>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</si>
  <si>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</si>
  <si>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</si>
  <si>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</si>
  <si>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</si>
  <si>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</si>
  <si>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</si>
  <si>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</si>
  <si>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</si>
  <si>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</si>
  <si>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</si>
  <si>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</si>
  <si>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 xml:space="preserve">Cuộn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</si>
  <si>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</si>
  <si>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</si>
  <si>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</si>
  <si>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</si>
  <si>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</si>
  <si>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</si>
  <si>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</si>
  <si>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</si>
  <si>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</si>
  <si>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Карта Таро "Дурак"</t>
  </si>
  <si>
    <t>Телепортирует игрока в случайную локацию</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</si>
  <si>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</si>
  <si>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</si>
  <si>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</si>
  <si>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</si>
  <si>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</si>
  <si>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</si>
  <si>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</si>
  <si>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</si>
  <si>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</si>
  <si>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</si>
  <si>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</si>
  <si>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</si>
  <si>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</si>
  <si>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</si>
  <si>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</si>
  <si>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</si>
  <si>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</si>
  <si>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</si>
  <si>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</si>
  <si>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</si>
  <si>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</si>
  <si>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</si>
  <si>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</si>
  <si>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</si>
  <si>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</si>
  <si>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</si>
  <si>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</si>
  <si>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</si>
  <si>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</si>
  <si>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</si>
  <si>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</si>
  <si>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</si>
  <si>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</si>
  <si>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</si>
  <si>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</si>
  <si>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</si>
  <si>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</si>
  <si>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</si>
  <si>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</si>
  <si>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</si>
  <si>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</si>
  <si>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</si>
  <si>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</si>
  <si>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</si>
  <si>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</si>
  <si>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</si>
  <si>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</si>
  <si>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</si>
  <si>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</si>
  <si>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</si>
  <si>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</si>
  <si>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</si>
  <si>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</si>
  <si>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</si>
  <si>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</si>
  <si>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</si>
  <si>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</si>
  <si>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</si>
  <si>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</si>
  <si>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</si>
  <si>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</si>
  <si>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</si>
  <si>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</si>
  <si>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</si>
  <si>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</si>
  <si>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</si>
  <si>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</si>
  <si>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</si>
  <si>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</si>
  <si>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</si>
  <si>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</si>
  <si>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</si>
  <si>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</si>
  <si>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</si>
  <si>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</si>
  <si>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</si>
  <si>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</si>
  <si>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</si>
  <si>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</si>
  <si>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</si>
  <si>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</si>
  <si>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</si>
  <si>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</si>
  <si>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</si>
  <si>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</si>
  <si>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</si>
  <si>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</si>
  <si>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</si>
  <si>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</si>
  <si>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</si>
  <si>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</si>
  <si>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</si>
  <si>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</si>
  <si>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</si>
  <si>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</si>
  <si>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</si>
  <si>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</si>
  <si>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</si>
  <si>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</si>
  <si>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</si>
  <si>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</si>
  <si>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</si>
  <si>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</si>
  <si>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</si>
  <si>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</si>
  <si>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</si>
  <si>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</si>
  <si>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</si>
  <si>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</si>
  <si>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</si>
  <si>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</si>
  <si>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</si>
  <si>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</si>
  <si>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</si>
  <si>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</si>
  <si>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</si>
  <si>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</si>
  <si>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</si>
  <si>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</si>
  <si>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</si>
  <si>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</si>
  <si>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</si>
  <si>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</si>
  <si>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</si>
  <si>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</si>
  <si>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</si>
  <si>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</si>
  <si>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</si>
  <si>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</si>
  <si>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</si>
  <si>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</si>
  <si>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</si>
  <si>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</si>
  <si>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</si>
  <si>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</si>
  <si>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</si>
  <si>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</si>
  <si>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</si>
  <si>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</si>
  <si>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</si>
  <si>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</si>
  <si>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</si>
  <si>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</si>
  <si>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</si>
  <si>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</si>
  <si>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</si>
  <si>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</si>
  <si>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</si>
  <si>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</si>
  <si>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</si>
  <si>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</si>
  <si>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</si>
  <si>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</si>
  <si>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</si>
  <si>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</si>
  <si>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</si>
  <si>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</si>
  <si>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</si>
  <si>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</si>
  <si>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</si>
  <si>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</si>
  <si>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</si>
  <si>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</si>
  <si>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</si>
  <si>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</si>
  <si>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</si>
  <si>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</si>
  <si>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</si>
  <si>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</si>
  <si>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</si>
  <si>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</si>
  <si>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</si>
  <si>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</si>
  <si>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</si>
  <si>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</si>
  <si>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</si>
  <si>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</si>
  <si>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</si>
  <si>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</si>
  <si>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</si>
  <si>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</si>
  <si>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</si>
  <si>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</si>
  <si>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</si>
  <si>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</si>
  <si>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</si>
  <si>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</si>
  <si>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</si>
  <si>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</si>
  <si>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</si>
  <si>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</si>
  <si>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</si>
  <si>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</si>
  <si>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</si>
  <si>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</si>
  <si>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</si>
  <si>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</si>
  <si>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</si>
  <si>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</si>
  <si>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</si>
  <si>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</si>
  <si>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</si>
  <si>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</si>
  <si>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</si>
  <si>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</si>
  <si>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</si>
  <si>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</si>
  <si>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</si>
  <si>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</si>
  <si>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</si>
  <si>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</si>
  <si>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</si>
  <si>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</si>
  <si>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</si>
  <si>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</si>
  <si>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</si>
  <si>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</si>
  <si>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</si>
  <si>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</si>
  <si>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</si>
  <si>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</si>
  <si>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</si>
  <si>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</si>
  <si>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</si>
  <si>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</si>
  <si>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</si>
  <si>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</si>
  <si>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</si>
  <si>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</si>
  <si>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</si>
  <si>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</si>
  <si>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</si>
  <si>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</si>
  <si>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</si>
  <si>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</si>
  <si>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</si>
  <si>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</si>
  <si>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</si>
  <si>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</si>
  <si>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</si>
  <si>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</si>
  <si>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</si>
  <si>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</si>
  <si>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</si>
  <si>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</si>
  <si>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</si>
  <si>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</si>
  <si>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</si>
  <si>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</si>
  <si>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</si>
  <si>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</si>
  <si>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</si>
  <si>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</si>
  <si>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</si>
  <si>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</si>
  <si>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</si>
  <si>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</si>
  <si>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</si>
  <si>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</si>
  <si>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</si>
  <si>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</si>
  <si>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</si>
  <si>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</si>
  <si>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</si>
  <si>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Кеназ</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</si>
  <si>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</si>
  <si>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</si>
  <si>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</si>
  <si>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</si>
  <si>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</si>
  <si>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</si>
  <si>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</si>
  <si>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</si>
  <si>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</si>
  <si>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</si>
  <si>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</si>
  <si>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</si>
  <si>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</si>
  <si>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</si>
  <si>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</si>
  <si>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</si>
  <si>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</si>
  <si>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</si>
  <si>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</si>
  <si>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</si>
  <si>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</si>
  <si>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</si>
  <si>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</si>
  <si>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</si>
  <si>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</si>
  <si>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</si>
  <si>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</si>
  <si>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</si>
  <si>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</si>
  <si>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</si>
  <si>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</si>
  <si>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</si>
  <si>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Юри Додзинси</t>
  </si>
  <si>
    <t>Повышает желание
(Покупается в Грузовике NLCH)</t>
  </si>
  <si>
    <t>Doujinshi Yuri</t>
  </si>
  <si>
    <t>Tăng ham muốn sau khi đọc
(Có thể mua tại xe tải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</si>
  <si>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</si>
  <si>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</si>
  <si>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</si>
  <si>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</si>
  <si>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</si>
  <si>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</si>
  <si>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</si>
  <si>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Моэ Додзинси</t>
  </si>
  <si>
    <t>Doujinshi Moe</t>
  </si>
  <si>
    <t>貓娘同人本</t>
  </si>
  <si>
    <t>Catgirl Doujinshi</t>
  </si>
  <si>
    <t>Додзинси с кошко-девочками</t>
  </si>
  <si>
    <t>Doujinshi Gái Mèo</t>
  </si>
  <si>
    <t>Doujinshi Neko</t>
  </si>
  <si>
    <t>拍立得24~29</t>
  </si>
  <si>
    <t>Polaroid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</si>
  <si>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</si>
  <si>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</si>
  <si>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</si>
  <si>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</si>
  <si>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</si>
  <si>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</si>
  <si>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</si>
  <si>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</si>
  <si>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</si>
  <si>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</si>
  <si>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</si>
  <si>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</si>
  <si>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</si>
  <si>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</si>
  <si>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</si>
  <si>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</si>
  <si>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</si>
  <si>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</si>
  <si>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</si>
  <si>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</si>
  <si>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</si>
  <si>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</si>
  <si>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</si>
  <si>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</si>
  <si>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</si>
  <si>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</si>
  <si>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</si>
  <si>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</si>
  <si>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</si>
  <si>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</si>
  <si>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</si>
  <si>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</si>
  <si>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</si>
  <si>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</si>
  <si>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</si>
  <si>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</si>
  <si>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</si>
  <si>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</si>
  <si>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</si>
  <si>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</si>
  <si>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</si>
  <si>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</si>
  <si>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</si>
  <si>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</si>
  <si>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</si>
  <si>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</si>
  <si>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</si>
  <si>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</si>
  <si>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</si>
  <si>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</si>
  <si>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</si>
  <si>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</si>
  <si>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</si>
  <si>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</si>
  <si>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</si>
  <si>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</si>
  <si>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</si>
  <si>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</si>
  <si>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</si>
  <si>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</si>
  <si>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</si>
  <si>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Вы сможете играть вместе со своей сестрой по возвращению домой.</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</si>
  <si>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</si>
  <si>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</si>
  <si>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</si>
  <si>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</si>
  <si>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</si>
  <si>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</si>
  <si>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</si>
  <si>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</si>
  <si>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</si>
  <si>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</si>
  <si>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</si>
  <si>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</si>
  <si>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</si>
  <si>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</si>
  <si>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</si>
  <si>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</si>
  <si>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</si>
  <si>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</si>
  <si>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</si>
  <si>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</si>
  <si>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</si>
  <si>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</si>
  <si>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</si>
  <si>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</si>
  <si>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</si>
  <si>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天上之石相關</t>
  </si>
  <si>
    <t>Philosopher's Stone related</t>
  </si>
  <si>
    <t>天上之石相关</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</si>
  <si>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</si>
  <si>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</si>
  <si>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</si>
  <si>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</si>
  <si>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</si>
  <si>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</si>
  <si>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</si>
  <si>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</si>
  <si>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</si>
  <si>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</si>
  <si>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Философского камня</t>
  </si>
  <si>
    <t xml:space="preserve">Улучшите состояние Курохи или превратите его в «Эликсир Рубрум».
</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</si>
  <si>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</si>
  <si>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</si>
  <si>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</si>
  <si>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</si>
  <si>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</si>
  <si>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</si>
  <si>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</si>
  <si>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</si>
  <si>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</si>
  <si>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</si>
  <si>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</si>
  <si>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</si>
  <si>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</si>
  <si>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</si>
  <si>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</si>
  <si>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</si>
  <si>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</si>
  <si>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</si>
  <si>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</si>
  <si>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</si>
  <si>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</si>
  <si>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</si>
  <si>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</si>
  <si>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</si>
  <si>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</si>
  <si>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</si>
  <si>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</si>
  <si>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</si>
  <si>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</si>
  <si>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</si>
  <si>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</si>
  <si>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</si>
  <si>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 xml:space="preserve">Эффект от сытости (продлевает продолжительность ночного набега)
</t>
  </si>
  <si>
    <t>А</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</si>
  <si>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</si>
  <si>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</si>
  <si>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</si>
  <si>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</si>
  <si>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</si>
  <si>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</si>
  <si>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</si>
  <si>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</si>
  <si>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</si>
  <si>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</si>
  <si>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Моя сестра заплакала, потому что еда была очень острой (случайный триггер).</t>
  </si>
  <si>
    <t>Б</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</si>
  <si>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</si>
  <si>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</si>
  <si>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</si>
  <si>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</si>
  <si>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</si>
  <si>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</si>
  <si>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</si>
  <si>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</si>
  <si>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</si>
  <si>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</si>
  <si>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</si>
  <si>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</si>
  <si>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</si>
  <si>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</si>
  <si>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</si>
  <si>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</si>
  <si>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</si>
  <si>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</si>
  <si>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из слайма</t>
  </si>
  <si>
    <t>Слайм</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</si>
  <si>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</si>
  <si>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</si>
  <si>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</si>
  <si>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</si>
  <si>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</si>
  <si>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</si>
  <si>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</si>
  <si>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</si>
  <si>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</si>
  <si>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</si>
  <si>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</si>
  <si>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</si>
  <si>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</si>
  <si>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</si>
  <si>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</si>
  <si>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Рис с карри</t>
  </si>
  <si>
    <t>Рис</t>
  </si>
  <si>
    <t>Спагетти</t>
  </si>
  <si>
    <t>Curryreis</t>
  </si>
  <si>
    <t>Reis</t>
  </si>
  <si>
    <t>Currywürfel</t>
  </si>
  <si>
    <t>Cơm Trắng Cà Ri</t>
  </si>
  <si>
    <t>Cơm Trắng</t>
  </si>
  <si>
    <t>Khối Cà Ri</t>
  </si>
  <si>
    <t>Curry com Arroz Branco</t>
  </si>
  <si>
    <t>Arroz Branco</t>
  </si>
  <si>
    <t>Cubo de Curry</t>
  </si>
  <si>
    <t>蘋果派</t>
  </si>
  <si>
    <t>小麥粉</t>
  </si>
  <si>
    <t>アップルパイ</t>
  </si>
  <si>
    <t>こむぎこ</t>
  </si>
  <si>
    <t>Apple Pie</t>
  </si>
  <si>
    <t>Wheat Flour</t>
  </si>
  <si>
    <t>Яблочный пирог</t>
  </si>
  <si>
    <t>Мука</t>
  </si>
  <si>
    <t>Apfelkuchen</t>
  </si>
  <si>
    <t>Weizenmehl</t>
  </si>
  <si>
    <t>Bánh Táo</t>
  </si>
  <si>
    <t>Bột Mì</t>
  </si>
  <si>
    <t>Torta de Maçã</t>
  </si>
  <si>
    <t>Farinha de Trigo</t>
  </si>
  <si>
    <t>烤蘋果</t>
  </si>
  <si>
    <t>焼きリンゴ</t>
  </si>
  <si>
    <t>Baked Apple</t>
  </si>
  <si>
    <t>Печеное яблоко</t>
  </si>
  <si>
    <t>Bratapfel</t>
  </si>
  <si>
    <t>Táo Nướng</t>
  </si>
  <si>
    <t>Baked Maçã</t>
  </si>
  <si>
    <t>炒貝類</t>
  </si>
  <si>
    <t>未實裝(之後河邊炸鱼可以炸出貝殼)</t>
  </si>
  <si>
    <t>炒め貝類</t>
  </si>
  <si>
    <t>Sauteed Shellfish</t>
  </si>
  <si>
    <t>Not implemented</t>
  </si>
  <si>
    <t>조개볶음</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</si>
  <si>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</si>
  <si>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</si>
  <si>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</si>
  <si>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</si>
  <si>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Sò Xào</t>
  </si>
  <si>
    <t>Crustáceo Sauté</t>
  </si>
  <si>
    <t>煎魚</t>
  </si>
  <si>
    <t>魚類</t>
  </si>
  <si>
    <t>焼き魚</t>
  </si>
  <si>
    <t>Grilled Fish</t>
  </si>
  <si>
    <t>Fish</t>
  </si>
  <si>
    <t>생선구이</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</si>
  <si>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</si>
  <si>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</si>
  <si>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</si>
  <si>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</si>
  <si>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</si>
  <si>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</si>
  <si>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</si>
  <si>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</si>
  <si>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</si>
  <si>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</si>
  <si>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</si>
  <si>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</si>
  <si>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</si>
  <si>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</si>
  <si>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</si>
  <si>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Обжаренные грибы</t>
  </si>
  <si>
    <t>Гриб</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</si>
  <si>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</si>
  <si>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</si>
  <si>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</si>
  <si>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</si>
  <si>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</si>
  <si>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</si>
  <si>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</si>
  <si>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</si>
  <si>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</si>
  <si>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</si>
  <si>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</si>
  <si>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</si>
  <si>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</si>
  <si>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</si>
  <si>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</si>
  <si>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Шашлыки</t>
  </si>
  <si>
    <t>Мясо крупного зверя</t>
  </si>
  <si>
    <t>Grillspieße</t>
  </si>
  <si>
    <t>Großes Stück Fleisch</t>
  </si>
  <si>
    <t>Thịt Quái Vật Lớn</t>
  </si>
  <si>
    <t>Carne de Grande Fera</t>
  </si>
  <si>
    <t>飯糰</t>
  </si>
  <si>
    <t>おにぎり</t>
  </si>
  <si>
    <t>Onigiri</t>
  </si>
  <si>
    <t>Онигири</t>
  </si>
  <si>
    <t>Reisbällchen</t>
  </si>
  <si>
    <t>Cơm Nắm</t>
  </si>
  <si>
    <t>肉排咖喱飯</t>
  </si>
  <si>
    <t>カツカレー</t>
  </si>
  <si>
    <t>Katsu Curry White Rice</t>
  </si>
  <si>
    <t>카츠카레</t>
  </si>
  <si>
    <t>Стейк с карри</t>
  </si>
  <si>
    <t>Curryreis mit Fleisch</t>
  </si>
  <si>
    <t>Cơm Trắng Cà Ri Katsu</t>
  </si>
  <si>
    <t>Katsu Curry com Arroz Branco</t>
  </si>
  <si>
    <t>肉湯</t>
  </si>
  <si>
    <t>肉のスープ</t>
  </si>
  <si>
    <t>小さい獣肉</t>
  </si>
  <si>
    <t>Meat Broth Soup</t>
  </si>
  <si>
    <t>고기 수프</t>
  </si>
  <si>
    <t>작은 짐승고기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</si>
  <si>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</si>
  <si>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</si>
  <si>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</si>
  <si>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</si>
  <si>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</si>
  <si>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</si>
  <si>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</si>
  <si>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</si>
  <si>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</si>
  <si>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Блюдо из жареного мяса</t>
  </si>
  <si>
    <t>Gebratene Fleischstücke</t>
  </si>
  <si>
    <t>Thịt Nướng</t>
  </si>
  <si>
    <t>Carne grelhada</t>
  </si>
  <si>
    <t>牛排肉</t>
  </si>
  <si>
    <t>厚切りお肉のステーキ</t>
  </si>
  <si>
    <t>Steak</t>
  </si>
  <si>
    <t>스테이크</t>
  </si>
  <si>
    <t>Жареные свиные ребрышки</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</si>
  <si>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</si>
  <si>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</si>
  <si>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</si>
  <si>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</si>
  <si>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</si>
  <si>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</si>
  <si>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</si>
  <si>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</si>
  <si>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</si>
  <si>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</si>
  <si>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</si>
  <si>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</si>
  <si>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</si>
  <si>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</si>
  <si>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</si>
  <si>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Мясной онигири</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</si>
  <si>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</si>
  <si>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</si>
  <si>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</si>
  <si>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</si>
  <si>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</si>
  <si>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</si>
  <si>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</si>
  <si>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</si>
  <si>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</si>
  <si>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</si>
  <si>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</si>
  <si>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</si>
  <si>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</si>
  <si>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</si>
  <si>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</si>
  <si>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</si>
  <si>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</si>
  <si>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</si>
  <si>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</si>
  <si>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</si>
  <si>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</si>
  <si>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</si>
  <si>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</si>
  <si>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</si>
  <si>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</si>
  <si>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</si>
  <si>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</si>
  <si>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</si>
  <si>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</si>
  <si>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</si>
  <si>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</si>
  <si>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</si>
  <si>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</si>
  <si>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</si>
  <si>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</si>
  <si>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</si>
  <si>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</si>
  <si>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</si>
  <si>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</si>
  <si>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</si>
  <si>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</si>
  <si>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</si>
  <si>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</si>
  <si>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</si>
  <si>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</si>
  <si>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</si>
  <si>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</si>
  <si>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</si>
  <si>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</si>
  <si>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</si>
  <si>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</si>
  <si>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</si>
  <si>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</si>
  <si>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</si>
  <si>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</si>
  <si>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</si>
  <si>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</si>
  <si>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</si>
  <si>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</si>
  <si>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</si>
  <si>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</si>
  <si>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</si>
  <si>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Запеченные бананы</t>
  </si>
  <si>
    <t>Банан</t>
  </si>
  <si>
    <t>Gebackene Banane</t>
  </si>
  <si>
    <t>Banane</t>
  </si>
  <si>
    <t>Chuối Sô-cô-la</t>
  </si>
  <si>
    <t>Chuối</t>
  </si>
  <si>
    <t>羅宋湯</t>
  </si>
  <si>
    <t>胡蘿蔔</t>
  </si>
  <si>
    <t>ボルシチ</t>
  </si>
  <si>
    <t>じゃがいも</t>
  </si>
  <si>
    <t>にんじん</t>
  </si>
  <si>
    <t>Borscht</t>
  </si>
  <si>
    <t>Carrot</t>
  </si>
  <si>
    <t>Борщ</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</si>
  <si>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</si>
  <si>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</si>
  <si>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</si>
  <si>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</si>
  <si>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</si>
  <si>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</si>
  <si>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</si>
  <si>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</si>
  <si>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</si>
  <si>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</si>
  <si>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</si>
  <si>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</si>
  <si>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</si>
  <si>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</si>
  <si>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</si>
  <si>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</si>
  <si>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</si>
  <si>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</si>
  <si>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</si>
  <si>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</si>
  <si>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</si>
  <si>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</si>
  <si>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</si>
  <si>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</si>
  <si>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</si>
  <si>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</si>
  <si>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</si>
  <si>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</si>
  <si>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</si>
  <si>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</si>
  <si>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</si>
  <si>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</si>
  <si>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</si>
  <si>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</si>
  <si>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</si>
  <si>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</si>
  <si>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</si>
  <si>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</si>
  <si>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</si>
  <si>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</si>
  <si>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</si>
  <si>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</si>
  <si>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</si>
  <si>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</si>
  <si>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</si>
  <si>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</si>
  <si>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</si>
  <si>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</si>
  <si>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</si>
  <si>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</si>
  <si>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</si>
  <si>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</si>
  <si>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</si>
  <si>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</si>
  <si>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</si>
  <si>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</si>
  <si>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</si>
  <si>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</si>
  <si>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</si>
  <si>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</si>
  <si>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</si>
  <si>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</si>
  <si>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</si>
  <si>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</si>
  <si>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</si>
  <si>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</si>
  <si>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</si>
  <si>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</si>
  <si>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</si>
  <si>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Томатная паста</t>
  </si>
  <si>
    <t>Томатный соус</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</si>
  <si>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</si>
  <si>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</si>
  <si>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</si>
  <si>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</si>
  <si>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</si>
  <si>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</si>
  <si>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</si>
  <si>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</si>
  <si>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</si>
  <si>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</si>
  <si>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</si>
  <si>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</si>
  <si>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</si>
  <si>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Паста с морепродуктами</t>
  </si>
  <si>
    <t>Креветки</t>
  </si>
  <si>
    <t>Pasta mit Meeresfrüchten</t>
  </si>
  <si>
    <t>Süße Garnelen</t>
  </si>
  <si>
    <t>Pasta Hải Sản</t>
  </si>
  <si>
    <t>Tôm Ngọt</t>
  </si>
  <si>
    <t>Macarrão com frutos do mar</t>
  </si>
  <si>
    <t>Camarão-doce</t>
  </si>
  <si>
    <t>雞蛋咖哩飯</t>
  </si>
  <si>
    <t>目玉焼きカレー</t>
  </si>
  <si>
    <t>大きい卵</t>
  </si>
  <si>
    <t>Egg Curry Rice</t>
  </si>
  <si>
    <t>Рис с яйцом и карри</t>
  </si>
  <si>
    <t>Eier-Curryreis</t>
  </si>
  <si>
    <t>Sehr große Eier</t>
  </si>
  <si>
    <t>Cơm Cà Ri Trứng</t>
  </si>
  <si>
    <t>Arroz com Ovo e Curry</t>
  </si>
  <si>
    <t>蛋包飯</t>
  </si>
  <si>
    <t>オムライス</t>
  </si>
  <si>
    <t>Omurice</t>
  </si>
  <si>
    <t>Large Egg</t>
  </si>
  <si>
    <t>오므라이스</t>
  </si>
  <si>
    <t>Омлет с рисом</t>
  </si>
  <si>
    <t>Omurice (Reis mit Omelett)</t>
  </si>
  <si>
    <t>番茄蛋包飯</t>
  </si>
  <si>
    <t>オムライスver2</t>
  </si>
  <si>
    <t>トマト</t>
  </si>
  <si>
    <t>Tomato Omurice</t>
  </si>
  <si>
    <t>토마토 소스 오므라이스</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</si>
  <si>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</si>
  <si>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</si>
  <si>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</si>
  <si>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</si>
  <si>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</si>
  <si>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</si>
  <si>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</si>
  <si>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</si>
  <si>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</si>
  <si>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</si>
  <si>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Ризотто с морепродуктами</t>
  </si>
  <si>
    <t>Лангуст</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</si>
  <si>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</si>
  <si>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</si>
  <si>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</si>
  <si>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</si>
  <si>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</si>
  <si>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</si>
  <si>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</si>
  <si>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</si>
  <si>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</si>
  <si>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</si>
  <si>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</si>
  <si>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Ананасовый напиток</t>
  </si>
  <si>
    <t>Ананас</t>
  </si>
  <si>
    <t>Ananasgetränk</t>
  </si>
  <si>
    <t>Ananas</t>
  </si>
  <si>
    <t>Nước Ép Dứa</t>
  </si>
  <si>
    <t>Dứa</t>
  </si>
  <si>
    <t>Suco de Abacaxi</t>
  </si>
  <si>
    <t>Abacaxi</t>
  </si>
  <si>
    <t>沖繩雜炒</t>
  </si>
  <si>
    <t>沖縄風炒め</t>
  </si>
  <si>
    <t>野菜</t>
  </si>
  <si>
    <t>Okinawa Stir Fry</t>
  </si>
  <si>
    <t>Vegetables</t>
  </si>
  <si>
    <t>오키나와식 볶음 요리</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</si>
  <si>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</si>
  <si>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</si>
  <si>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</si>
  <si>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</si>
  <si>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</si>
  <si>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</si>
  <si>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</si>
  <si>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</si>
  <si>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</si>
  <si>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</si>
  <si>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</si>
  <si>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</si>
  <si>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</si>
  <si>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</si>
  <si>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</si>
  <si>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</si>
  <si>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</si>
  <si>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</si>
  <si>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</si>
  <si>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</si>
  <si>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</si>
  <si>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</si>
  <si>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</si>
  <si>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</si>
  <si>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</si>
  <si>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Жареные куриные ножки</t>
  </si>
  <si>
    <t>Frittierte Hähnchenschenkel</t>
  </si>
  <si>
    <t>Chân Gà Rán</t>
  </si>
  <si>
    <t>Coxa de Frango Frito</t>
  </si>
  <si>
    <t>天婦羅飯糰</t>
  </si>
  <si>
    <t>天ぷらのおにぎり</t>
  </si>
  <si>
    <t>Tenmusu</t>
  </si>
  <si>
    <t>덴푸라 주먹밥</t>
  </si>
  <si>
    <t>Онигири с темпурой</t>
  </si>
  <si>
    <t>Hummer mit Reisbällchen</t>
  </si>
  <si>
    <t>焗龍蝦</t>
  </si>
  <si>
    <t>龍蝦</t>
  </si>
  <si>
    <t>エビグラタン</t>
  </si>
  <si>
    <t>Baked Lobster</t>
  </si>
  <si>
    <t>Spiny Lobster</t>
  </si>
  <si>
    <t>랍스터 구이</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</si>
  <si>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</si>
  <si>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</si>
  <si>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</si>
  <si>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</si>
  <si>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</si>
  <si>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</si>
  <si>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</si>
  <si>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</si>
  <si>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</si>
  <si>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</si>
  <si>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</si>
  <si>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</si>
  <si>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</si>
  <si>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</si>
  <si>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</si>
  <si>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</si>
  <si>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</si>
  <si>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</si>
  <si>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</si>
  <si>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</si>
  <si>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</si>
  <si>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</si>
  <si>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</si>
  <si>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</si>
  <si>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</si>
  <si>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</si>
  <si>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</si>
  <si>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тунца</t>
  </si>
  <si>
    <t>Тунец</t>
  </si>
  <si>
    <t>Thunfischkopf</t>
  </si>
  <si>
    <t>Thunfisch</t>
  </si>
  <si>
    <t>Đầu Cá Ngừ</t>
  </si>
  <si>
    <t>Cá Ngừ</t>
  </si>
  <si>
    <t>Cabeça de Atum</t>
  </si>
  <si>
    <t>Atum</t>
  </si>
  <si>
    <t>章魚丸子</t>
  </si>
  <si>
    <t>たこ焼き</t>
  </si>
  <si>
    <t>Takoyaki</t>
  </si>
  <si>
    <t>타코야키</t>
  </si>
  <si>
    <t>Такояки из осьминога</t>
  </si>
  <si>
    <t>Takoyaki (Oktopusbällchen)</t>
  </si>
  <si>
    <t>漢堡肉</t>
  </si>
  <si>
    <t>Hamburg Steak</t>
  </si>
  <si>
    <t>햄버그 스테이크</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</si>
  <si>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</si>
  <si>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</si>
  <si>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</si>
  <si>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</si>
  <si>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</si>
  <si>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</si>
  <si>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</si>
  <si>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</si>
  <si>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</si>
  <si>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</si>
  <si>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</si>
  <si>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</si>
  <si>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</si>
  <si>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</si>
  <si>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</si>
  <si>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</si>
  <si>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</si>
  <si>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</si>
  <si>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</si>
  <si>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</si>
  <si>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с перцем чили</t>
  </si>
  <si>
    <t>Chilisauce</t>
  </si>
  <si>
    <t>Sốt Cay</t>
  </si>
  <si>
    <t>Molho de Chili</t>
  </si>
  <si>
    <t>水怪軟糖</t>
  </si>
  <si>
    <t>グミ(ｘ)</t>
  </si>
  <si>
    <t>WaterWeird Gooey Gummy</t>
  </si>
  <si>
    <t>수괴 젤리</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</si>
  <si>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</si>
  <si>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</si>
  <si>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</si>
  <si>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</si>
  <si>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</si>
  <si>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</si>
  <si>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</si>
  <si>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</si>
  <si>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</si>
  <si>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</si>
  <si>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</si>
  <si>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</si>
  <si>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</si>
  <si>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</si>
  <si>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</si>
  <si>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</si>
  <si>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</si>
  <si>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</si>
  <si>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</si>
  <si>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</si>
  <si>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</si>
  <si>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</si>
  <si>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</si>
  <si>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</si>
  <si>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</si>
  <si>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</si>
  <si>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</si>
  <si>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</si>
  <si>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</si>
  <si>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</si>
  <si>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</si>
  <si>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</si>
  <si>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</si>
  <si>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</si>
  <si>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</si>
  <si>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</si>
  <si>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</si>
  <si>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Блинчики</t>
  </si>
  <si>
    <t>Pfannkuchen(ES HEIßT Pfannkuchen PUNKT!!!)</t>
  </si>
  <si>
    <t>Bánh Kếp</t>
  </si>
  <si>
    <t>Panqueca</t>
  </si>
  <si>
    <t>草莓煎薄餅</t>
  </si>
  <si>
    <t>イチゴのパァンケーキ！</t>
  </si>
  <si>
    <t>イチゴ</t>
  </si>
  <si>
    <t>Strawberry Pancakes</t>
  </si>
  <si>
    <t>Блинчики с клубникой</t>
  </si>
  <si>
    <t>Erdbeerpfannkuchen</t>
  </si>
  <si>
    <t>Erdbeere</t>
  </si>
  <si>
    <t>Bánh Kếp Dâu Tây</t>
  </si>
  <si>
    <t>Panqueca de Morango</t>
  </si>
  <si>
    <t>番茄湯</t>
  </si>
  <si>
    <t>トマトスープ</t>
  </si>
  <si>
    <t>Tomato Soup</t>
  </si>
  <si>
    <t>Томатный суп</t>
  </si>
  <si>
    <t>Tomatensuppe</t>
  </si>
  <si>
    <t>Súp Cà Chua</t>
  </si>
  <si>
    <t>Sopa de Tomate</t>
  </si>
  <si>
    <t>いちご</t>
  </si>
  <si>
    <t>Стеклянная клубника</t>
  </si>
  <si>
    <t>煙燻雞飯糰</t>
  </si>
  <si>
    <t>雞腿肉/白飯</t>
  </si>
  <si>
    <t>白飯</t>
  </si>
  <si>
    <t>Smoked Chicken Rice Balls</t>
  </si>
  <si>
    <t>Bird Leg Meat / White Rice</t>
  </si>
  <si>
    <t>훈제 치킨 주먹밥</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</si>
  <si>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</si>
  <si>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</si>
  <si>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</si>
  <si>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</si>
  <si>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</si>
  <si>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</si>
  <si>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</si>
  <si>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</si>
  <si>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</si>
  <si>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</si>
  <si>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Кирри с курицей и рисом</t>
  </si>
  <si>
    <t>Cà Ri Gà</t>
  </si>
  <si>
    <t>Arroz com Frango ao Curry</t>
  </si>
  <si>
    <t>烤胡蘿蔔串</t>
  </si>
  <si>
    <t>Grilled Carrot Skewers</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</si>
  <si>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</si>
  <si>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</si>
  <si>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</si>
  <si>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</si>
  <si>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</si>
  <si>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</si>
  <si>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</si>
  <si>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</si>
  <si>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</si>
  <si>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</si>
  <si>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</si>
  <si>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Сакамбапсис-суши</t>
  </si>
  <si>
    <t>Reiß</t>
  </si>
  <si>
    <t>Sushi Sacambapsis</t>
  </si>
  <si>
    <t xml:space="preserve">Gạo </t>
  </si>
  <si>
    <t>Sushi de tartaruga Sakaban</t>
  </si>
  <si>
    <t>Sushi kura-kura</t>
  </si>
  <si>
    <t>Nasi</t>
  </si>
  <si>
    <t>蝦子刺身押壽司</t>
  </si>
  <si>
    <t>蝦</t>
  </si>
  <si>
    <t>エビの刺身寿司</t>
  </si>
  <si>
    <t>エビ</t>
  </si>
  <si>
    <t>Shrimp Sashimi Pressed Sushi</t>
  </si>
  <si>
    <t>Shrimp</t>
  </si>
  <si>
    <t>虾子刺身押寿司</t>
  </si>
  <si>
    <t>虾</t>
  </si>
  <si>
    <t>Сакамбапсис-суши с креветкой</t>
  </si>
  <si>
    <t>Креветка</t>
  </si>
  <si>
    <t>Garnelensashimi gepresstes Sushi</t>
  </si>
  <si>
    <t>Garnelen</t>
  </si>
  <si>
    <t>Sushi Tôm
Sushi Ép</t>
  </si>
  <si>
    <t>Gạo</t>
  </si>
  <si>
    <t>Tôm</t>
  </si>
  <si>
    <t>Sushi de camarão</t>
  </si>
  <si>
    <t>Camarão</t>
  </si>
  <si>
    <t>Sushi udang</t>
  </si>
  <si>
    <t>Udang</t>
  </si>
  <si>
    <t>肉排押壽司</t>
  </si>
  <si>
    <t>肉</t>
  </si>
  <si>
    <t>ステーキの寿司</t>
  </si>
  <si>
    <t>Meat Cutlet Pressed Sushi</t>
  </si>
  <si>
    <t>Meat</t>
  </si>
  <si>
    <t>肉排押寿司</t>
  </si>
  <si>
    <t>Сакамбапсис-суши с мясом</t>
  </si>
  <si>
    <t>Мясо</t>
  </si>
  <si>
    <t>Fleischschnitzel gepresstes Sushi</t>
  </si>
  <si>
    <t>Fleisch</t>
  </si>
  <si>
    <t>Thịt</t>
  </si>
  <si>
    <t>Sushi de costeleta de porco</t>
  </si>
  <si>
    <t>Carne</t>
  </si>
  <si>
    <t>Sushi daging babi</t>
  </si>
  <si>
    <t>Daging</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</si>
  <si>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</si>
  <si>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</si>
  <si>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</si>
  <si>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</si>
  <si>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</si>
  <si>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</si>
  <si>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</si>
  <si>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</si>
  <si>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</si>
  <si>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</si>
  <si>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</si>
  <si>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</si>
  <si>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</si>
  <si>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</si>
  <si>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</si>
  <si>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</si>
  <si>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</si>
  <si>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</si>
  <si>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</si>
  <si>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</si>
  <si>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</si>
  <si>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</si>
  <si>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</si>
  <si>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</si>
  <si>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</si>
  <si>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</si>
  <si>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</si>
  <si>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</si>
  <si>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</si>
  <si>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</si>
  <si>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</si>
  <si>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</si>
  <si>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</si>
  <si>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</si>
  <si>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</si>
  <si>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</si>
  <si>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</si>
  <si>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</si>
  <si>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</si>
  <si>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</si>
  <si>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</si>
  <si>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</si>
  <si>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</si>
  <si>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</si>
  <si>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</si>
  <si>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</si>
  <si>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</si>
  <si>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</si>
  <si>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</si>
  <si>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</si>
  <si>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</si>
  <si>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</si>
  <si>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</si>
  <si>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</si>
  <si>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</si>
  <si>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</si>
  <si>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</si>
  <si>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</si>
  <si>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</si>
  <si>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</si>
  <si>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</si>
  <si>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</si>
  <si>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</si>
  <si>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</si>
  <si>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</si>
  <si>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</si>
  <si>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</si>
  <si>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</si>
  <si>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</si>
  <si>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</si>
  <si>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</si>
  <si>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</si>
  <si>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</si>
  <si>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</si>
  <si>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</si>
  <si>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</si>
  <si>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</si>
  <si>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</si>
  <si>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</si>
  <si>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</si>
  <si>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</si>
  <si>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</si>
  <si>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</si>
  <si>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</si>
  <si>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</si>
  <si>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</si>
  <si>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</si>
  <si>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</si>
  <si>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</si>
  <si>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</si>
  <si>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</si>
  <si>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</si>
  <si>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</si>
  <si>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</si>
  <si>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</si>
  <si>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</si>
  <si>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</si>
  <si>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</si>
  <si>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</si>
  <si>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</si>
  <si>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</si>
  <si>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</si>
  <si>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</si>
  <si>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</si>
  <si>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</si>
  <si>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</si>
  <si>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</si>
  <si>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</si>
  <si>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</si>
  <si>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</si>
  <si>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</si>
  <si>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</si>
  <si>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</si>
  <si>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</si>
  <si>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</si>
  <si>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</si>
  <si>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</si>
  <si>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</si>
  <si>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</si>
  <si>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</si>
  <si>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</si>
  <si>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</si>
  <si>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</si>
  <si>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</si>
  <si>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</si>
  <si>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</si>
  <si>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</si>
  <si>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</si>
  <si>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</si>
  <si>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</si>
  <si>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</si>
  <si>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</si>
  <si>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</si>
  <si>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</si>
  <si>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</si>
  <si>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</si>
  <si>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</si>
  <si>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</si>
  <si>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</si>
  <si>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</si>
  <si>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</si>
  <si>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</si>
  <si>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</si>
  <si>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</si>
  <si>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</si>
  <si>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</si>
  <si>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</si>
  <si>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</si>
  <si>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</si>
  <si>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</si>
  <si>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</si>
  <si>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</si>
  <si>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</si>
  <si>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</si>
  <si>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</si>
  <si>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</si>
  <si>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</si>
  <si>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</si>
  <si>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</si>
  <si>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</si>
  <si>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</si>
  <si>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</si>
  <si>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</si>
  <si>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</si>
  <si>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</si>
  <si>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</si>
  <si>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</si>
  <si>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</si>
  <si>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</si>
  <si>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</si>
  <si>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</si>
  <si>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</si>
  <si>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</si>
  <si>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</si>
  <si>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</si>
  <si>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</si>
  <si>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</si>
  <si>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</si>
  <si>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</si>
  <si>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</si>
  <si>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</si>
  <si>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</si>
  <si>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</si>
  <si>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</si>
  <si>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</si>
  <si>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</si>
  <si>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</si>
  <si>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</si>
  <si>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</si>
  <si>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</si>
  <si>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</si>
  <si>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</si>
  <si>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</si>
  <si>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</si>
  <si>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</si>
  <si>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</si>
  <si>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</si>
  <si>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</si>
  <si>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</si>
  <si>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</si>
  <si>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</si>
  <si>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</si>
  <si>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</si>
  <si>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</si>
  <si>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</si>
  <si>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</si>
  <si>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</si>
  <si>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</si>
  <si>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</si>
  <si>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</si>
  <si>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</si>
  <si>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</si>
  <si>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</si>
  <si>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</si>
  <si>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</si>
  <si>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</si>
  <si>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</si>
  <si>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</si>
  <si>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</si>
  <si>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</si>
  <si>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</si>
  <si>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</si>
  <si>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</si>
  <si>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</si>
  <si>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</si>
  <si>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</si>
  <si>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</si>
  <si>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</si>
  <si>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</si>
  <si>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</si>
  <si>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</si>
  <si>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</si>
  <si>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</si>
  <si>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</si>
  <si>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</si>
  <si>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</si>
  <si>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</si>
  <si>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</si>
  <si>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</si>
  <si>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</si>
  <si>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</si>
  <si>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</si>
  <si>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</si>
  <si>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</si>
  <si>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</si>
  <si>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</si>
  <si>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</si>
  <si>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</si>
  <si>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</si>
  <si>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</si>
  <si>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</si>
  <si>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</si>
  <si>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</si>
  <si>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</si>
  <si>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</si>
  <si>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</si>
  <si>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</si>
  <si>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</si>
  <si>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</si>
  <si>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</si>
  <si>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</si>
  <si>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</si>
  <si>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</si>
  <si>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</si>
  <si>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</si>
  <si>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</si>
  <si>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</si>
  <si>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</si>
  <si>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</si>
  <si>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</si>
  <si>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</si>
  <si>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</si>
  <si>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</si>
  <si>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</si>
  <si>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</si>
  <si>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</si>
  <si>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</si>
  <si>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</si>
  <si>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</si>
  <si>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</si>
  <si>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</si>
  <si>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</si>
  <si>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</si>
  <si>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</si>
  <si>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</si>
  <si>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</si>
  <si>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</si>
  <si>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</si>
  <si>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</si>
  <si>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</si>
  <si>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</si>
  <si>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</si>
  <si>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</si>
  <si>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</si>
  <si>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</si>
  <si>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</si>
  <si>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</si>
  <si>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</si>
  <si>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</si>
  <si>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</si>
  <si>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</si>
  <si>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</si>
  <si>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</si>
  <si>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</si>
  <si>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</si>
  <si>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</si>
  <si>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</si>
  <si>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</si>
  <si>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</si>
  <si>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</si>
  <si>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</si>
  <si>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</si>
  <si>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</si>
  <si>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</si>
  <si>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</si>
  <si>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</si>
  <si>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</si>
  <si>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</si>
  <si>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</si>
  <si>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</si>
  <si>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</si>
  <si>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</si>
  <si>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</si>
  <si>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</si>
  <si>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</si>
  <si>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</si>
  <si>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</si>
  <si>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</si>
  <si>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</si>
  <si>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</si>
  <si>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</si>
  <si>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</si>
  <si>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</si>
  <si>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</si>
  <si>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</si>
  <si>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</si>
  <si>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</si>
  <si>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</si>
  <si>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</si>
  <si>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</si>
  <si>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</si>
  <si>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</si>
  <si>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</si>
  <si>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</si>
  <si>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</si>
  <si>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</si>
  <si>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</si>
  <si>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</si>
  <si>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</si>
  <si>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</si>
  <si>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</si>
  <si>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</si>
  <si>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</si>
  <si>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</si>
  <si>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</si>
  <si>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</si>
  <si>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</si>
  <si>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</si>
  <si>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</si>
  <si>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</si>
  <si>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</si>
  <si>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</si>
  <si>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</si>
  <si>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</si>
  <si>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</si>
  <si>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</si>
  <si>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</si>
  <si>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</si>
  <si>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</si>
  <si>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</si>
  <si>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</si>
  <si>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</si>
  <si>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</si>
  <si>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</si>
  <si>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</si>
  <si>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</si>
  <si>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</si>
  <si>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</si>
  <si>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</si>
  <si>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</si>
  <si>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</si>
  <si>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</si>
  <si>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</si>
  <si>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</si>
  <si>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</si>
  <si>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</si>
  <si>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</si>
  <si>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</si>
  <si>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</si>
  <si>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</si>
  <si>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</si>
  <si>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</si>
  <si>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</si>
  <si>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</si>
  <si>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</si>
  <si>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</si>
  <si>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</si>
  <si>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</si>
  <si>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</si>
  <si>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</si>
  <si>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</si>
  <si>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</si>
  <si>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</si>
  <si>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</si>
  <si>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</si>
  <si>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</si>
  <si>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</si>
  <si>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</si>
  <si>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</si>
  <si>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</si>
  <si>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</si>
  <si>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</si>
  <si>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</si>
  <si>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</si>
  <si>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</si>
  <si>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</si>
  <si>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</si>
  <si>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</si>
  <si>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</si>
  <si>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</si>
  <si>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</si>
  <si>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</si>
  <si>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</si>
  <si>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</si>
  <si>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</si>
  <si>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</si>
  <si>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</si>
  <si>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</si>
  <si>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</si>
  <si>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</si>
  <si>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</si>
  <si>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</si>
  <si>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</si>
  <si>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</si>
  <si>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</si>
  <si>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</si>
  <si>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</si>
  <si>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</si>
  <si>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</si>
  <si>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</si>
  <si>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</si>
  <si>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</si>
  <si>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</si>
  <si>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</si>
  <si>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</si>
  <si>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</si>
  <si>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</si>
  <si>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</si>
  <si>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</si>
  <si>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</si>
  <si>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</si>
  <si>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</si>
  <si>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</si>
  <si>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</si>
  <si>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</si>
  <si>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</si>
  <si>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</si>
  <si>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</si>
  <si>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</si>
  <si>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</si>
  <si>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</si>
  <si>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</si>
  <si>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</si>
  <si>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</si>
  <si>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</si>
  <si>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</si>
  <si>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</si>
  <si>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</si>
  <si>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</si>
  <si>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</si>
  <si>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</si>
  <si>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</si>
  <si>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</si>
  <si>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</si>
  <si>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</si>
  <si>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</si>
  <si>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</si>
  <si>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</si>
  <si>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</si>
  <si>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</si>
  <si>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</si>
  <si>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</si>
  <si>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</si>
  <si>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</si>
  <si>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</si>
  <si>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</si>
  <si>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</si>
  <si>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</si>
  <si>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</si>
  <si>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</si>
  <si>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</si>
  <si>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</si>
  <si>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</si>
  <si>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</si>
  <si>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</si>
  <si>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</si>
  <si>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</si>
  <si>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</si>
  <si>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</si>
  <si>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</si>
  <si>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</si>
  <si>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</si>
  <si>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</si>
  <si>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</si>
  <si>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</si>
  <si>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</si>
  <si>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</si>
  <si>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</si>
  <si>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</si>
  <si>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</si>
  <si>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</si>
  <si>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</si>
  <si>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</si>
  <si>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</si>
  <si>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</si>
  <si>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</si>
  <si>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</si>
  <si>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</si>
  <si>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</si>
  <si>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</si>
  <si>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</si>
  <si>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</si>
  <si>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</si>
  <si>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</si>
  <si>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</si>
  <si>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</si>
  <si>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</si>
  <si>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</si>
  <si>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</si>
  <si>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</si>
  <si>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</si>
  <si>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</si>
  <si>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</si>
  <si>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</si>
  <si>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</si>
  <si>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</si>
  <si>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</si>
  <si>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</si>
  <si>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</si>
  <si>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</si>
  <si>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</si>
  <si>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</si>
  <si>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</si>
  <si>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</si>
  <si>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</si>
  <si>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</si>
  <si>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</si>
  <si>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</si>
  <si>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</si>
  <si>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</si>
  <si>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</si>
  <si>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</si>
  <si>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</si>
  <si>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</si>
  <si>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</si>
  <si>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</si>
  <si>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</si>
  <si>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</si>
  <si>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</si>
  <si>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</si>
  <si>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</si>
  <si>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</si>
  <si>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</si>
  <si>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</si>
  <si>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</si>
  <si>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</si>
  <si>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</si>
  <si>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</si>
  <si>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</si>
  <si>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</si>
  <si>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</si>
  <si>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</si>
  <si>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</si>
  <si>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</si>
  <si>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</si>
  <si>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</si>
  <si>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</si>
  <si>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</si>
  <si>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</si>
  <si>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</si>
  <si>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</si>
  <si>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</si>
  <si>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</si>
  <si>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</si>
  <si>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</si>
  <si>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</si>
  <si>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</si>
  <si>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</si>
  <si>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</si>
  <si>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</si>
  <si>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</si>
  <si>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</si>
  <si>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</si>
  <si>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</si>
  <si>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</si>
  <si>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</si>
  <si>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</si>
  <si>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</si>
  <si>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</si>
  <si>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</si>
  <si>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</si>
  <si>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</si>
  <si>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</si>
  <si>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</si>
  <si>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</si>
  <si>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</si>
  <si>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</si>
  <si>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</si>
  <si>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</si>
  <si>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</si>
  <si>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</si>
  <si>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</si>
  <si>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</si>
  <si>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</si>
  <si>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</si>
  <si>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</si>
  <si>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</si>
  <si>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</si>
  <si>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</si>
  <si>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</si>
  <si>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</si>
  <si>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</si>
  <si>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</si>
  <si>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</si>
  <si>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</si>
  <si>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</si>
  <si>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</si>
  <si>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</si>
  <si>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</si>
  <si>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</si>
  <si>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</si>
  <si>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</si>
  <si>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</si>
  <si>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</si>
  <si>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</si>
  <si>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</si>
  <si>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</si>
  <si>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</si>
  <si>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</si>
  <si>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</si>
  <si>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</si>
  <si>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</si>
  <si>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</si>
  <si>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</si>
  <si>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</si>
  <si>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</si>
  <si>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</si>
  <si>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</si>
  <si>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</si>
  <si>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</si>
  <si>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</si>
  <si>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</si>
  <si>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</si>
  <si>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</si>
  <si>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</si>
  <si>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</si>
  <si>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</si>
  <si>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</si>
  <si>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during ADVENTURE MODE/RPG MODE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</si>
  <si>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</si>
  <si>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</si>
  <si>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</si>
  <si>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</si>
  <si>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</si>
  <si>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『aut0update』- memaksa game untuk memperbarui (KHUSUS MOBILE,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</si>
  <si>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</si>
  <si>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</si>
  <si>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</si>
  <si>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</si>
  <si>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</si>
  <si>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</si>
  <si>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dụ dỗ
Khi tim đỏ và tím của bạn không đủ để kích hoạt điều kiện, bạn có thể dụ dỗ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</si>
  <si>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</si>
  <si>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</si>
  <si>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</si>
  <si>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</si>
  <si>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</si>
  <si>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</si>
  <si>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</si>
  <si>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</si>
  <si>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</si>
  <si>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</si>
  <si>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</si>
  <si>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</si>
  <si>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</si>
  <si>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</si>
  <si>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</si>
  <si>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</si>
  <si>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</si>
  <si>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</si>
  <si>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</si>
  <si>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</si>
  <si>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</si>
  <si>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</si>
  <si>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</si>
  <si>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</si>
  <si>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</si>
  <si>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</si>
  <si>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</si>
  <si>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</si>
  <si>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</si>
  <si>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</si>
  <si>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</si>
  <si>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</si>
  <si>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</si>
  <si>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</si>
  <si>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</si>
  <si>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</si>
  <si>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</si>
  <si>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</si>
  <si>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</si>
  <si>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</si>
  <si>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</si>
  <si>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</si>
  <si>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</si>
  <si>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</si>
  <si>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</si>
  <si>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</si>
  <si>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</si>
  <si>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</si>
  <si>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</si>
  <si>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</si>
  <si>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</si>
  <si>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</si>
  <si>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</si>
  <si>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</si>
  <si>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</si>
  <si>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</si>
  <si>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</si>
  <si>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</si>
  <si>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</si>
  <si>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</si>
  <si>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</si>
  <si>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</si>
  <si>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</si>
  <si>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</si>
  <si>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</si>
  <si>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</si>
  <si>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</si>
  <si>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</si>
  <si>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</si>
  <si>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</si>
  <si>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</si>
  <si>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</si>
  <si>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</si>
  <si>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</si>
  <si>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</si>
  <si>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</si>
  <si>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</si>
  <si>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</si>
  <si>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</si>
  <si>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</si>
  <si>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</si>
  <si>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</si>
  <si>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</si>
  <si>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</si>
  <si>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</si>
  <si>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</si>
  <si>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</si>
  <si>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</si>
  <si>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</si>
  <si>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</si>
  <si>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</si>
  <si>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</si>
  <si>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</si>
  <si>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</si>
  <si>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</si>
  <si>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</si>
  <si>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</si>
  <si>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</si>
  <si>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</si>
  <si>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</si>
  <si>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</si>
  <si>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</si>
  <si>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</si>
  <si>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</si>
  <si>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</si>
  <si>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</si>
  <si>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</si>
  <si>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</si>
  <si>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</si>
  <si>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</si>
  <si>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</si>
  <si>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</si>
  <si>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</si>
  <si>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</si>
  <si>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</si>
  <si>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</si>
  <si>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</si>
  <si>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</si>
  <si>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</si>
  <si>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</si>
  <si>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</si>
  <si>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</si>
  <si>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</si>
  <si>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</si>
  <si>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</si>
  <si>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</si>
  <si>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</si>
  <si>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</si>
  <si>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</si>
  <si>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</si>
  <si>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</si>
  <si>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</si>
  <si>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</si>
  <si>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</si>
  <si>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</si>
  <si>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</si>
  <si>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</si>
  <si>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</si>
  <si>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</si>
  <si>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</si>
  <si>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</si>
  <si>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</si>
  <si>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</si>
  <si>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</si>
  <si>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</si>
  <si>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</si>
  <si>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</si>
  <si>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</si>
  <si>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</si>
  <si>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</si>
  <si>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</si>
  <si>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</si>
  <si>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</si>
  <si>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</si>
  <si>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</si>
  <si>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</si>
  <si>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</si>
  <si>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</si>
  <si>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</si>
  <si>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</si>
  <si>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</si>
  <si>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</si>
  <si>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</si>
  <si>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</si>
  <si>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</si>
  <si>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</si>
  <si>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</si>
  <si>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</si>
  <si>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</si>
  <si>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</si>
  <si>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</si>
  <si>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</si>
  <si>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</si>
  <si>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</si>
  <si>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</si>
  <si>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</si>
  <si>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</si>
  <si>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</si>
  <si>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</si>
  <si>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</si>
  <si>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</si>
  <si>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</si>
  <si>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</si>
  <si>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</si>
  <si>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</si>
  <si>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</si>
  <si>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</si>
  <si>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</si>
  <si>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</si>
  <si>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</si>
  <si>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</si>
  <si>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</si>
  <si>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</si>
  <si>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</si>
  <si>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</si>
  <si>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</si>
  <si>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</si>
  <si>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</si>
  <si>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dụ dỗ imouto, nhận được khi dụ dỗ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</si>
  <si>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</si>
  <si>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</si>
  <si>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</si>
  <si>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</si>
  <si>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</si>
  <si>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</si>
  <si>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</si>
  <si>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</si>
  <si>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</si>
  <si>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</si>
  <si>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</si>
  <si>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</si>
  <si>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</si>
  <si>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</si>
  <si>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</si>
  <si>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</si>
  <si>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</si>
  <si>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</si>
  <si>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</si>
  <si>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</si>
  <si>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</si>
  <si>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</si>
  <si>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</si>
  <si>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</si>
  <si>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</si>
  <si>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</si>
  <si>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</si>
  <si>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</si>
  <si>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</si>
  <si>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</si>
  <si>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</si>
  <si>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</si>
  <si>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</si>
  <si>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</si>
  <si>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</si>
  <si>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</si>
  <si>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</si>
  <si>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</si>
  <si>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</si>
  <si>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</si>
  <si>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</si>
  <si>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</si>
  <si>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</si>
  <si>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</si>
  <si>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</si>
  <si>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</si>
  <si>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</si>
  <si>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</si>
  <si>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</si>
  <si>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</si>
  <si>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</si>
  <si>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</si>
  <si>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</si>
  <si>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</si>
  <si>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</si>
  <si>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</si>
  <si>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</si>
  <si>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</si>
  <si>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</si>
  <si>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dụ dỗ: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</si>
  <si>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</si>
  <si>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</si>
  <si>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</si>
  <si>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</si>
  <si>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</si>
  <si>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</si>
  <si>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</si>
  <si>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</si>
  <si>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</si>
  <si>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</si>
  <si>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</si>
  <si>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</si>
  <si>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</si>
  <si>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</si>
  <si>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</si>
  <si>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</si>
  <si>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</si>
  <si>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</si>
  <si>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</si>
  <si>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</si>
  <si>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</si>
  <si>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</si>
  <si>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1.擊墜王「難道你不想和天空做朋友嗎?」
獲取方式：滿足「摔落死亡8次」(可以使用復活羽毛)
2.待更新</t>
  </si>
  <si>
    <t>Achievements 
1. Falling Ace - "Don't you want to be friends with the sky?"
How to obtain: Die from falling 8 times (Feather of Firebird counts)
2. To be added</t>
  </si>
  <si>
    <t>1.击坠王「难道你不想和天空做朋友吗?」
获取方式：满足「摔落死亡8次」(可以使用复活羽毛)
2.待更新to be continued...</t>
  </si>
  <si>
    <t>Достижения:
1. Воздушный король - "Разве ты не хочешь подружиться с небом?"
Как получить: Умереть, упав 8 раз (перо Феникса тоже учитывается)
2. Будет добавлено позднее...</t>
  </si>
  <si>
    <t>Thành tựu
1. - "Bạn không muốn làm bạn với bầu trời sao?"
Cách mở khóa: chết từ việc rơi 8 lần (có tính dùng Lông Vũ Hỏa Điểu)
2. Còn thêm nữa</t>
  </si>
  <si>
    <t>1. Ace Strike King "Você não quer ser amigo do céu?"
Método de Aquisição: Cumpra o requisito de "morrer de quedas 8 vezes" (pode usar uma pena de ressurreição)
2. A ser atualizado</t>
  </si>
  <si>
    <t>新增妹妹吃料理的動畫：
完成和妹妹的約定-做一頓肉料理時，100%觸發妹妹「狼吞虎嚥」動畫
正常完成一頓肉料理時，30%機率觸發妹妹「狼吞虎嚥」動畫
此動畫優先級別最高(例如被辣到或其他動畫)</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</si>
  <si>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</si>
  <si>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</si>
  <si>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</si>
  <si>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</si>
  <si>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狀態圖示</t>
  </si>
  <si>
    <t>名稱</t>
  </si>
  <si>
    <t>敘述</t>
  </si>
  <si>
    <t>舉例</t>
  </si>
  <si>
    <t>Status</t>
  </si>
  <si>
    <t>Description</t>
  </si>
  <si>
    <t>Narrative</t>
  </si>
  <si>
    <t>Sources</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</si>
  <si>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</si>
  <si>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</si>
  <si>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</si>
  <si>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</si>
  <si>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</si>
  <si>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</si>
  <si>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</si>
  <si>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</si>
  <si>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</si>
  <si>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</si>
  <si>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</si>
  <si>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</si>
  <si>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</si>
  <si>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</si>
  <si>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</si>
  <si>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</si>
  <si>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</si>
  <si>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</si>
  <si>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</si>
  <si>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</si>
  <si>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</si>
  <si>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</si>
  <si>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</si>
  <si>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</si>
  <si>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</si>
  <si>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</si>
  <si>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</si>
  <si>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</si>
  <si>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</si>
  <si>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</si>
  <si>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</si>
  <si>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</si>
  <si>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</si>
  <si>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</si>
  <si>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</si>
  <si>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</si>
  <si>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</si>
  <si>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</si>
  <si>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</si>
  <si>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</si>
  <si>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</si>
  <si>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</si>
  <si>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</si>
  <si>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</si>
  <si>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</si>
  <si>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</si>
  <si>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</si>
  <si>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</si>
  <si>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</si>
  <si>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</si>
  <si>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</si>
  <si>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</si>
  <si>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</si>
  <si>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</si>
  <si>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</si>
  <si>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</si>
  <si>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</si>
  <si>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</si>
  <si>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</si>
  <si>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Орк</t>
  </si>
  <si>
    <t>Угхх...</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</si>
  <si>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</si>
  <si>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</si>
  <si>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</si>
  <si>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</si>
  <si>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</si>
  <si>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</si>
  <si>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</si>
  <si>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</si>
  <si>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</si>
  <si>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</si>
  <si>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</si>
  <si>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</si>
  <si>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</si>
  <si>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</si>
  <si>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</si>
  <si>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</si>
  <si>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</si>
  <si>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</si>
  <si>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</si>
  <si>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</si>
  <si>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</si>
  <si>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</si>
  <si>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</si>
  <si>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</si>
  <si>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</si>
  <si>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</si>
  <si>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</si>
  <si>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</si>
  <si>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</si>
  <si>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</si>
  <si>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</si>
  <si>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</si>
  <si>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</si>
  <si>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</si>
  <si>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</si>
  <si>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</si>
  <si>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</si>
  <si>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</si>
  <si>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</si>
  <si>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</si>
  <si>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</si>
  <si>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</si>
  <si>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</si>
  <si>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</si>
  <si>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</si>
  <si>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</si>
  <si>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</si>
  <si>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</si>
  <si>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</si>
  <si>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</si>
  <si>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</si>
  <si>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</si>
  <si>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</si>
  <si>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</si>
  <si>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</si>
  <si>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</si>
  <si>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</si>
  <si>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</si>
  <si>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</si>
  <si>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</si>
  <si>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</si>
  <si>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</si>
  <si>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</si>
  <si>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</si>
  <si>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</si>
  <si>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</si>
  <si>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</si>
  <si>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</si>
  <si>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</si>
  <si>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</si>
  <si>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</si>
  <si>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Перезарядка Сенпо</t>
  </si>
  <si>
    <t>Сенпо на перезарядке!</t>
  </si>
  <si>
    <t>Hồi Chiêu Senpo</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</si>
  <si>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</si>
  <si>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</si>
  <si>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</si>
  <si>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</si>
  <si>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</si>
  <si>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</si>
  <si>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</si>
  <si>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</si>
  <si>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</si>
  <si>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</si>
  <si>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</si>
  <si>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</si>
  <si>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</si>
  <si>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</si>
  <si>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</si>
  <si>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</si>
  <si>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</si>
  <si>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</si>
  <si>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</si>
  <si>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</si>
  <si>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</si>
  <si>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</si>
  <si>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</si>
  <si>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</si>
  <si>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</si>
  <si>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</si>
  <si>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</si>
  <si>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</si>
  <si>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</si>
  <si>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</si>
  <si>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</si>
  <si>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</si>
  <si>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</si>
  <si>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</si>
  <si>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</si>
  <si>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</si>
  <si>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</si>
  <si>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</si>
  <si>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</si>
  <si>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</si>
  <si>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</si>
  <si>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</si>
  <si>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</si>
  <si>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</si>
  <si>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</si>
  <si>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</si>
  <si>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</si>
  <si>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</si>
  <si>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</si>
  <si>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Отравление</t>
  </si>
  <si>
    <t>Яд поразил твоё тело</t>
  </si>
  <si>
    <t>Урон нарастает со временем!</t>
  </si>
  <si>
    <t>Укушен Зомби</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</si>
  <si>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</si>
  <si>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</si>
  <si>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</si>
  <si>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</si>
  <si>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</si>
  <si>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</si>
  <si>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</si>
  <si>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</si>
  <si>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</si>
  <si>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</si>
  <si>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</si>
  <si>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</si>
  <si>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</si>
  <si>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</si>
  <si>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</si>
  <si>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</si>
  <si>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</si>
  <si>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</si>
  <si>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</si>
  <si>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</si>
  <si>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</si>
  <si>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</si>
  <si>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</si>
  <si>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</si>
  <si>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</si>
  <si>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</si>
  <si>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</si>
  <si>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</si>
  <si>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</si>
  <si>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</si>
  <si>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</si>
  <si>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</si>
  <si>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</si>
  <si>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</si>
  <si>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</si>
  <si>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</si>
  <si>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</si>
  <si>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</si>
  <si>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</si>
  <si>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</si>
  <si>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</si>
  <si>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</si>
  <si>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</si>
  <si>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</si>
  <si>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</si>
  <si>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</si>
  <si>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</si>
  <si>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</si>
  <si>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</si>
  <si>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</si>
  <si>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</si>
  <si>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</si>
  <si>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</si>
  <si>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</si>
  <si>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</si>
  <si>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</si>
  <si>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</si>
  <si>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</si>
  <si>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</si>
  <si>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</si>
  <si>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</si>
  <si>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</si>
  <si>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Жарко, жарко, жарко...!</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</si>
  <si>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</si>
  <si>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</si>
  <si>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</si>
  <si>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</si>
  <si>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</si>
  <si>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</si>
  <si>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</si>
  <si>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</si>
  <si>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</si>
  <si>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</si>
  <si>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</si>
  <si>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</si>
  <si>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</si>
  <si>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</si>
  <si>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</si>
  <si>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</si>
  <si>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</si>
  <si>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</si>
  <si>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</si>
  <si>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Лёд</t>
  </si>
  <si>
    <t>Превращайся в ледышку!</t>
  </si>
  <si>
    <t>Полностью заморожен!</t>
  </si>
  <si>
    <t>Ледяная слизь</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</si>
  <si>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</si>
  <si>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</si>
  <si>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</si>
  <si>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</si>
  <si>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</si>
  <si>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</si>
  <si>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</si>
  <si>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</si>
  <si>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</si>
  <si>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</si>
  <si>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</si>
  <si>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</si>
  <si>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</si>
  <si>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</si>
  <si>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</si>
  <si>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</si>
  <si>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</si>
  <si>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</si>
  <si>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</si>
  <si>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</si>
  <si>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</si>
  <si>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</si>
  <si>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</si>
  <si>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</si>
  <si>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</si>
  <si>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</si>
  <si>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</si>
  <si>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</si>
  <si>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</si>
  <si>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</si>
  <si>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</si>
  <si>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</si>
  <si>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</si>
  <si>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</si>
  <si>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</si>
  <si>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</si>
  <si>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</si>
  <si>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</si>
  <si>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</si>
  <si>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</si>
  <si>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</si>
  <si>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</si>
  <si>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</si>
  <si>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</si>
  <si>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</si>
  <si>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</si>
  <si>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</si>
  <si>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</si>
  <si>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</si>
  <si>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</si>
  <si>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</si>
  <si>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</si>
  <si>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</si>
  <si>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</si>
  <si>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</si>
  <si>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</si>
  <si>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</si>
  <si>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</si>
  <si>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</si>
  <si>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</si>
  <si>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</si>
  <si>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</si>
  <si>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</si>
  <si>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</si>
  <si>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</si>
  <si>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</si>
  <si>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</si>
  <si>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</si>
  <si>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</si>
  <si>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</si>
  <si>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</si>
  <si>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</si>
  <si>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</si>
  <si>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</si>
  <si>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</si>
  <si>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</si>
  <si>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</si>
  <si>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</si>
  <si>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</si>
  <si>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</si>
  <si>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</si>
  <si>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</si>
  <si>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</si>
  <si>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</si>
  <si>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</si>
  <si>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</si>
  <si>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</si>
  <si>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</si>
  <si>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Что именно ты забыл?</t>
  </si>
  <si>
    <t>...</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</si>
  <si>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</si>
  <si>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</si>
  <si>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</si>
  <si>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</si>
  <si>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</si>
  <si>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</si>
  <si>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</si>
  <si>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</si>
  <si>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</si>
  <si>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</si>
  <si>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</si>
  <si>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</si>
  <si>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</si>
  <si>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</si>
  <si>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</si>
  <si>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</si>
  <si>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</si>
  <si>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</si>
  <si>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</si>
  <si>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</si>
  <si>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</si>
  <si>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</si>
  <si>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</si>
  <si>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</si>
  <si>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</si>
  <si>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</si>
  <si>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</si>
  <si>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</si>
  <si>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</si>
  <si>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</si>
  <si>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</si>
  <si>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</si>
  <si>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</si>
  <si>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</si>
  <si>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</si>
  <si>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</si>
  <si>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</si>
  <si>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</si>
  <si>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</si>
  <si>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</si>
  <si>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</si>
  <si>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</si>
  <si>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</si>
  <si>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</si>
  <si>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</si>
  <si>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</si>
  <si>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</si>
  <si>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</si>
  <si>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</si>
  <si>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</si>
  <si>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</si>
  <si>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</si>
  <si>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</si>
  <si>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</si>
  <si>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Увеличение силы</t>
  </si>
  <si>
    <t>Сила... переполняет меня!</t>
  </si>
  <si>
    <t>Сила атаки +50%</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</si>
  <si>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</si>
  <si>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</si>
  <si>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</si>
  <si>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</si>
  <si>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</si>
  <si>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</si>
  <si>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</si>
  <si>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</si>
  <si>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</si>
  <si>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</si>
  <si>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</si>
  <si>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</si>
  <si>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</si>
  <si>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</si>
  <si>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</si>
  <si>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</si>
  <si>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</si>
  <si>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</si>
  <si>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</si>
  <si>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</si>
  <si>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</si>
  <si>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</si>
  <si>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</si>
  <si>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</si>
  <si>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</si>
  <si>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</si>
  <si>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</si>
  <si>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</si>
  <si>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</si>
  <si>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</si>
  <si>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</si>
  <si>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</si>
  <si>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</si>
  <si>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</si>
  <si>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</si>
  <si>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</si>
  <si>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</si>
  <si>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</si>
  <si>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</si>
  <si>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</si>
  <si>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</si>
  <si>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</si>
  <si>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</si>
  <si>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</si>
  <si>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</si>
  <si>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</si>
  <si>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</si>
  <si>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</si>
  <si>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</si>
  <si>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</si>
  <si>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</si>
  <si>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Оружия</t>
  </si>
  <si>
    <t>Сошествие Божественного Оружия</t>
  </si>
  <si>
    <t>Оружие увеличено, урон повышен!</t>
  </si>
  <si>
    <t>Карта Таро</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</si>
  <si>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</si>
  <si>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</si>
  <si>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</si>
  <si>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</si>
  <si>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</si>
  <si>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</si>
  <si>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</si>
  <si>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</si>
  <si>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</si>
  <si>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</si>
  <si>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</si>
  <si>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</si>
  <si>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</si>
  <si>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</si>
  <si>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</si>
  <si>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</si>
  <si>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</si>
  <si>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</si>
  <si>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</si>
  <si>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</si>
  <si>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</si>
  <si>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</si>
  <si>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</si>
  <si>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</si>
  <si>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</si>
  <si>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</si>
  <si>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</si>
  <si>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</si>
  <si>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</si>
  <si>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</si>
  <si>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</si>
  <si>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</si>
  <si>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</si>
  <si>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</si>
  <si>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</si>
  <si>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</si>
  <si>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</si>
  <si>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</si>
  <si>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</si>
  <si>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</si>
  <si>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</si>
  <si>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</si>
  <si>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</si>
  <si>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</si>
  <si>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</si>
  <si>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</si>
  <si>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</si>
  <si>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</si>
  <si>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</si>
  <si>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</si>
  <si>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</si>
  <si>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</si>
  <si>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</si>
  <si>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</si>
  <si>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</si>
  <si>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</si>
  <si>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</si>
  <si>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</si>
  <si>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</si>
  <si>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</si>
  <si>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</si>
  <si>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</si>
  <si>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</si>
  <si>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</si>
  <si>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</si>
  <si>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</si>
  <si>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</si>
  <si>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</si>
  <si>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</si>
  <si>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</si>
  <si>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</si>
  <si>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</si>
  <si>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</si>
  <si>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</si>
  <si>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</si>
  <si>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</si>
  <si>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</si>
  <si>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</si>
  <si>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</si>
  <si>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</si>
  <si>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</si>
  <si>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</si>
  <si>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</si>
  <si>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</si>
  <si>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</si>
  <si>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</si>
  <si>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</si>
  <si>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</si>
  <si>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</si>
  <si>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</si>
  <si>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</si>
  <si>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</si>
  <si>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</si>
  <si>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</si>
  <si>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</si>
  <si>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</si>
  <si>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</si>
  <si>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</si>
  <si>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</si>
  <si>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</si>
  <si>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</si>
  <si>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</si>
  <si>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</si>
  <si>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</si>
  <si>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</si>
  <si>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</si>
  <si>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</si>
  <si>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</si>
  <si>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</si>
  <si>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</si>
  <si>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</si>
  <si>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</si>
  <si>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</si>
  <si>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</si>
  <si>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</si>
  <si>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</si>
  <si>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</si>
  <si>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</si>
  <si>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</si>
  <si>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</si>
  <si>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</si>
  <si>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</si>
  <si>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</si>
  <si>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</si>
  <si>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</si>
  <si>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</si>
  <si>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</si>
  <si>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</si>
  <si>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</si>
  <si>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</si>
  <si>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</si>
  <si>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</si>
  <si>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</si>
  <si>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</si>
  <si>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</si>
  <si>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</si>
  <si>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</si>
  <si>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</si>
  <si>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</si>
  <si>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</si>
  <si>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</si>
  <si>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</si>
  <si>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</si>
  <si>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</si>
  <si>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</si>
  <si>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</si>
  <si>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</si>
  <si>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</si>
  <si>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</si>
  <si>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</si>
  <si>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</si>
  <si>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</si>
  <si>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</si>
  <si>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</si>
  <si>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</si>
  <si>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Рыцарь</t>
  </si>
  <si>
    <t>Мы — хранители!</t>
  </si>
  <si>
    <t>Сила атаки +30</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</si>
  <si>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</si>
  <si>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</si>
  <si>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</si>
  <si>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</si>
  <si>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</si>
  <si>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</si>
  <si>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</si>
  <si>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</si>
  <si>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</si>
  <si>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</si>
  <si>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</si>
  <si>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</si>
  <si>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</si>
  <si>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</si>
  <si>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</si>
  <si>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</si>
  <si>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</si>
  <si>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</si>
  <si>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</si>
  <si>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</si>
  <si>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</si>
  <si>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</si>
  <si>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</si>
  <si>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</si>
  <si>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</si>
  <si>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</si>
  <si>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</si>
  <si>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</si>
  <si>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</si>
  <si>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</si>
  <si>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</si>
  <si>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</si>
  <si>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</si>
  <si>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</si>
  <si>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</si>
  <si>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</si>
  <si>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</si>
  <si>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</si>
  <si>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</si>
  <si>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</si>
  <si>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</si>
  <si>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</si>
  <si>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</si>
  <si>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</si>
  <si>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</si>
  <si>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</si>
  <si>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</si>
  <si>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</si>
  <si>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</si>
  <si>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</si>
  <si>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</si>
  <si>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</si>
  <si>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</si>
  <si>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</si>
  <si>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</si>
  <si>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</si>
  <si>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</si>
  <si>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</si>
  <si>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</si>
  <si>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</si>
  <si>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</si>
  <si>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</si>
  <si>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</si>
  <si>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</si>
  <si>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</si>
  <si>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</si>
  <si>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</si>
  <si>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</si>
  <si>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</si>
  <si>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</si>
  <si>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</si>
  <si>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</si>
  <si>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</si>
  <si>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</si>
  <si>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</si>
  <si>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</si>
  <si>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</si>
  <si>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</si>
  <si>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</si>
  <si>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</si>
  <si>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</si>
  <si>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</si>
  <si>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</si>
  <si>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</si>
  <si>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</si>
  <si>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Идите домой пораньше</t>
  </si>
  <si>
    <t>Так жарко...</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</si>
  <si>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</si>
  <si>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</si>
  <si>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</si>
  <si>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</si>
  <si>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</si>
  <si>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</si>
  <si>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</si>
  <si>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</si>
  <si>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</si>
  <si>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</si>
  <si>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</si>
  <si>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</si>
  <si>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</si>
  <si>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</si>
  <si>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</si>
  <si>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</si>
  <si>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</si>
  <si>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</si>
  <si>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Даже такую простую игру не осилил? Что за ZAKO~</t>
  </si>
  <si>
    <t>Вам присвоено звание ZAKO за читерство!</t>
  </si>
  <si>
    <t>Используйте чит-коды</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</si>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</sst>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82">
    <font>
      <sz val="10.0"/>
      <color rgb="FF000000"/>
      <name val="Arial"/>
      <scheme val="minor"/>
    </font>
    <font>
      <b/>
      <sz val="12.0"/>
      <color theme="1"/>
      <name val="Microsoft JhengHei"/>
    </font>
    <font>
      <b/>
      <sz val="10.0"/>
      <color theme="1"/>
      <name val="Microsoft JhengHei"/>
    </font>
    <font>
      <sz val="12.0"/>
      <color theme="1"/>
      <name val="Microsoft JhengHei"/>
    </font>
    <font>
      <sz val="10.0"/>
      <color theme="1"/>
      <name val="Arial"/>
      <scheme val="minor"/>
    </font>
    <font>
      <color theme="1"/>
      <name val="Arial"/>
      <scheme val="minor"/>
    </font>
    <font>
      <sz val="11.0"/>
      <color theme="1"/>
      <name val="Microsoft JhengHei"/>
    </font>
    <font>
      <color theme="1"/>
      <name val="Microsoft JhengHei"/>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3.0"/>
      <color theme="1"/>
      <name val="Microsoft JhengHei"/>
    </font>
    <font>
      <b/>
      <sz val="13.0"/>
      <color rgb="FF000000"/>
      <name val="Microsoft JhengHei"/>
    </font>
    <font>
      <sz val="10.0"/>
      <color theme="1"/>
      <name val="Microsoft JhengHei"/>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sz val="10.0"/>
      <color rgb="FF0000FF"/>
      <name val="Microsoft JhengHei"/>
    </font>
    <font>
      <u/>
      <sz val="11.0"/>
      <color rgb="FF0000FF"/>
    </font>
    <font>
      <u/>
      <sz val="12.0"/>
      <color rgb="FF0000FF"/>
      <name val="Microsoft JhengHei"/>
    </font>
    <font>
      <u/>
      <sz val="12.0"/>
      <color rgb="FF0000FF"/>
    </font>
    <font>
      <u/>
      <sz val="11.0"/>
      <color rgb="FF0000FF"/>
    </font>
    <font>
      <b/>
      <u/>
      <sz val="12.0"/>
      <color rgb="FF0000FF"/>
      <name val="Microsoft JhengHei"/>
    </font>
    <font>
      <sz val="12.0"/>
      <color rgb="FF0000FF"/>
      <name val="Microsoft JhengHei"/>
    </font>
    <font>
      <sz val="12.0"/>
      <color theme="1"/>
      <name val="Arial"/>
      <scheme val="minor"/>
    </font>
    <font>
      <u/>
      <sz val="11.0"/>
      <color rgb="FF0000FF"/>
    </font>
    <font>
      <b/>
      <u/>
      <sz val="11.0"/>
      <color rgb="FF0000FF"/>
      <name val="Microsoft JhengHei"/>
    </font>
    <font>
      <b/>
      <sz val="11.0"/>
      <color theme="1"/>
      <name val="Microsoft JhengHei"/>
    </font>
    <font>
      <b/>
      <sz val="12.0"/>
      <color rgb="FFCC0000"/>
      <name val="Microsoft JhengHei"/>
    </font>
    <font>
      <b/>
      <sz val="12.0"/>
      <color rgb="FFFF0000"/>
      <name val="Microsoft JhengHei"/>
    </font>
    <font>
      <b/>
      <sz val="14.0"/>
      <color theme="1"/>
      <name val="Microsoft JhengHei"/>
    </font>
    <font>
      <b/>
      <sz val="12.0"/>
      <color theme="1"/>
      <name val="Arial"/>
      <scheme val="minor"/>
    </font>
    <font>
      <u/>
      <sz val="12.0"/>
      <color rgb="FF0000FF"/>
      <name val="Microsoft JhengHei"/>
    </font>
    <font>
      <sz val="12.0"/>
      <color rgb="FF000000"/>
      <name val="Microsoft JhengHei"/>
    </font>
    <font>
      <b/>
      <color theme="1"/>
      <name val="Arial"/>
      <scheme val="minor"/>
    </font>
    <font>
      <color theme="1"/>
      <name val="Arial"/>
    </font>
    <font>
      <b/>
      <color theme="1"/>
      <name val="Microsoft JhengHei"/>
    </font>
    <font>
      <color rgb="FF000000"/>
      <name val="&quot;Microsoft JhengHei&quot;"/>
    </font>
    <font>
      <b/>
      <color theme="1"/>
      <name val="Arial"/>
    </font>
    <font>
      <sz val="9.0"/>
      <color theme="1"/>
      <name val="Google Sans Mono"/>
    </font>
    <font>
      <sz val="11.0"/>
      <color theme="1"/>
      <name val="Arial"/>
      <scheme val="minor"/>
    </font>
    <font>
      <sz val="12.0"/>
      <color theme="1"/>
      <name val="Arial"/>
    </font>
    <font>
      <sz val="10.0"/>
      <color theme="1"/>
      <name val="Arial"/>
    </font>
    <font>
      <i/>
      <color theme="1"/>
      <name val="Microsoft JhengHei"/>
    </font>
    <font>
      <color rgb="FF000000"/>
      <name val="Microsoft JhengHei"/>
    </font>
    <font>
      <b/>
      <u/>
      <sz val="14.0"/>
      <color rgb="FF0000FF"/>
      <name val="Microsoft JhengHei"/>
    </font>
    <font/>
    <font>
      <b/>
      <sz val="8.0"/>
      <color theme="1"/>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z val="11.0"/>
      <color theme="1"/>
      <name val="Arial"/>
    </font>
    <font>
      <strike/>
      <color theme="1"/>
      <name val="Microsoft JhengHei"/>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b/>
      <u/>
      <color rgb="FF0000FF"/>
      <name val="Microsoft JhengHei"/>
    </font>
  </fonts>
  <fills count="22">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EA9999"/>
        <bgColor rgb="FFEA9999"/>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A2C4C9"/>
        <bgColor rgb="FFA2C4C9"/>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8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3" fontId="8" numFmtId="0" xfId="0" applyAlignment="1" applyFill="1" applyFont="1">
      <alignment horizontal="left" readingOrder="0" shrinkToFit="0" vertical="center" wrapText="1"/>
    </xf>
    <xf borderId="0" fillId="3" fontId="9" numFmtId="0" xfId="0" applyAlignment="1" applyFont="1">
      <alignment horizontal="left" readingOrder="0" shrinkToFit="0" vertical="center" wrapText="1"/>
    </xf>
    <xf borderId="0" fillId="3" fontId="10"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5"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4" fontId="19" numFmtId="0" xfId="0" applyAlignment="1" applyFill="1" applyFont="1">
      <alignment horizontal="left" readingOrder="0" shrinkToFit="0" vertical="center" wrapText="1"/>
    </xf>
    <xf borderId="0" fillId="4" fontId="20"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4" fontId="22" numFmtId="0" xfId="0" applyAlignment="1" applyFont="1">
      <alignment readingOrder="0" shrinkToFit="0" vertical="center" wrapText="1"/>
    </xf>
    <xf borderId="0" fillId="4" fontId="23"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7" numFmtId="0" xfId="0" applyAlignment="1" applyFont="1">
      <alignment horizontal="left" readingOrder="0" shrinkToFit="0" vertical="center" wrapText="1"/>
    </xf>
    <xf borderId="0" fillId="2" fontId="5" numFmtId="0" xfId="0" applyAlignment="1" applyFont="1">
      <alignment vertical="center"/>
    </xf>
    <xf borderId="0" fillId="5" fontId="24"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25" numFmtId="0" xfId="0" applyAlignment="1" applyFont="1">
      <alignment horizontal="left" readingOrder="0" shrinkToFit="0" vertical="center" wrapText="1"/>
    </xf>
    <xf borderId="0" fillId="5" fontId="26" numFmtId="0" xfId="0" applyAlignment="1" applyFont="1">
      <alignment horizontal="left" readingOrder="0" shrinkToFit="0" vertical="center" wrapText="1"/>
    </xf>
    <xf borderId="0" fillId="5" fontId="27" numFmtId="0" xfId="0" applyAlignment="1" applyFont="1">
      <alignment readingOrder="0" shrinkToFit="0" vertical="center" wrapText="1"/>
    </xf>
    <xf borderId="0" fillId="5" fontId="12" numFmtId="0" xfId="0" applyAlignment="1" applyFont="1">
      <alignment horizontal="left" readingOrder="0" shrinkToFit="0" vertical="center" wrapText="1"/>
    </xf>
    <xf borderId="0" fillId="5" fontId="28" numFmtId="0" xfId="0" applyAlignment="1" applyFont="1">
      <alignment horizontal="left" readingOrder="0" shrinkToFit="0" vertical="center" wrapText="1"/>
    </xf>
    <xf borderId="0" fillId="5" fontId="29" numFmtId="0" xfId="0" applyAlignment="1" applyFont="1">
      <alignment horizontal="left" readingOrder="0" shrinkToFit="0" vertical="center" wrapText="1"/>
    </xf>
    <xf borderId="0" fillId="5" fontId="30" numFmtId="0" xfId="0" applyAlignment="1" applyFont="1">
      <alignment horizontal="left" shrinkToFit="0" vertical="center" wrapText="1"/>
    </xf>
    <xf borderId="0" fillId="6" fontId="31" numFmtId="0" xfId="0" applyAlignment="1" applyFill="1" applyFont="1">
      <alignment horizontal="left" readingOrder="0" shrinkToFit="0" vertical="center" wrapText="1"/>
    </xf>
    <xf borderId="0" fillId="5" fontId="32"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33" numFmtId="0" xfId="0" applyAlignment="1" applyFont="1">
      <alignment horizontal="left" readingOrder="0" shrinkToFit="0" vertical="center" wrapText="1"/>
    </xf>
    <xf borderId="0" fillId="5" fontId="6" numFmtId="0" xfId="0" applyAlignment="1" applyFont="1">
      <alignment horizontal="left" readingOrder="0" shrinkToFit="0" vertical="center" wrapText="1"/>
    </xf>
    <xf borderId="0" fillId="5" fontId="34" numFmtId="0" xfId="0" applyAlignment="1" applyFont="1">
      <alignment shrinkToFit="0" vertical="center" wrapText="1"/>
    </xf>
    <xf borderId="0" fillId="5" fontId="35" numFmtId="0" xfId="0" applyAlignment="1" applyFont="1">
      <alignment horizontal="left" readingOrder="0" shrinkToFit="0" vertical="center" wrapText="1"/>
    </xf>
    <xf borderId="0" fillId="5" fontId="36"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37"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36" numFmtId="0" xfId="0" applyAlignment="1" applyFont="1">
      <alignment horizontal="left" readingOrder="0" shrinkToFit="0" vertical="center" wrapText="1"/>
    </xf>
    <xf borderId="0" fillId="2" fontId="33" numFmtId="0" xfId="0" applyAlignment="1" applyFont="1">
      <alignment readingOrder="0" shrinkToFit="0" vertical="center" wrapText="1"/>
    </xf>
    <xf borderId="0" fillId="2" fontId="9"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9" numFmtId="0" xfId="0" applyAlignment="1" applyFont="1">
      <alignment horizontal="left" readingOrder="0" shrinkToFit="0" vertical="center" wrapText="1"/>
    </xf>
    <xf borderId="0" fillId="2" fontId="5" numFmtId="0" xfId="0" applyAlignment="1" applyFont="1">
      <alignment vertical="center"/>
    </xf>
    <xf borderId="0" fillId="2" fontId="7" numFmtId="0" xfId="0" applyAlignment="1" applyFont="1">
      <alignment vertical="center"/>
    </xf>
    <xf borderId="0" fillId="2" fontId="1" numFmtId="0" xfId="0" applyAlignment="1" applyFont="1">
      <alignment horizontal="left" readingOrder="0" shrinkToFit="0" vertical="center" wrapText="1"/>
    </xf>
    <xf borderId="0" fillId="2" fontId="38" numFmtId="0" xfId="0" applyAlignment="1" applyFont="1">
      <alignment horizontal="lef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ont="1">
      <alignment horizontal="center" shrinkToFit="0" vertical="center" wrapText="1"/>
    </xf>
    <xf borderId="0" fillId="7" fontId="39" numFmtId="0" xfId="0" applyAlignment="1" applyFont="1">
      <alignment horizontal="center" readingOrder="0" shrinkToFit="0" vertical="center" wrapText="1"/>
    </xf>
    <xf borderId="0" fillId="7" fontId="40"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40"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5" numFmtId="0" xfId="0" applyAlignment="1" applyFont="1">
      <alignment shrinkToFit="0" vertical="center" wrapText="1"/>
    </xf>
    <xf borderId="0" fillId="2" fontId="41"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42"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33" numFmtId="0" xfId="0" applyAlignment="1" applyFont="1">
      <alignment horizontal="left" shrinkToFit="0" vertical="center" wrapText="1"/>
    </xf>
    <xf borderId="0" fillId="8" fontId="39" numFmtId="0" xfId="0" applyAlignment="1" applyFill="1" applyFont="1">
      <alignment horizontal="center" shrinkToFit="0" vertical="center" wrapText="1"/>
    </xf>
    <xf borderId="0" fillId="9" fontId="39" numFmtId="0" xfId="0" applyAlignment="1" applyFill="1" applyFont="1">
      <alignment horizontal="center" shrinkToFit="0" vertical="center" wrapText="1"/>
    </xf>
    <xf borderId="0" fillId="10" fontId="39" numFmtId="0" xfId="0" applyAlignment="1" applyFill="1" applyFont="1">
      <alignment horizontal="center" shrinkToFit="0" vertical="center" wrapText="1"/>
    </xf>
    <xf borderId="0" fillId="2" fontId="39" numFmtId="0" xfId="0" applyAlignment="1" applyFont="1">
      <alignment horizontal="center" shrinkToFit="0" vertical="center" wrapText="1"/>
    </xf>
    <xf borderId="0" fillId="9" fontId="39" numFmtId="0" xfId="0" applyAlignment="1" applyFont="1">
      <alignment horizontal="center" readingOrder="0" shrinkToFit="0" vertical="center" wrapText="1"/>
    </xf>
    <xf borderId="0" fillId="10" fontId="39" numFmtId="0" xfId="0" applyAlignment="1" applyFont="1">
      <alignment horizontal="center" readingOrder="0" shrinkToFit="0" vertical="center" wrapText="1"/>
    </xf>
    <xf borderId="0" fillId="2" fontId="39" numFmtId="0" xfId="0" applyAlignment="1" applyFont="1">
      <alignment horizontal="center" readingOrder="0" shrinkToFit="0" vertical="center" wrapText="1"/>
    </xf>
    <xf borderId="0" fillId="8" fontId="39" numFmtId="0" xfId="0" applyAlignment="1" applyFont="1">
      <alignment horizontal="center" shrinkToFit="0" vertical="center" wrapText="1"/>
    </xf>
    <xf borderId="0" fillId="9" fontId="39" numFmtId="0" xfId="0" applyAlignment="1" applyFont="1">
      <alignment horizontal="center" shrinkToFit="0" vertical="center" wrapText="1"/>
    </xf>
    <xf borderId="0" fillId="10" fontId="39" numFmtId="0" xfId="0" applyAlignment="1" applyFont="1">
      <alignment horizontal="center" shrinkToFit="0" vertical="center" wrapText="1"/>
    </xf>
    <xf borderId="0" fillId="2" fontId="39" numFmtId="0" xfId="0" applyAlignment="1" applyFont="1">
      <alignment horizontal="center" shrinkToFit="0" vertical="center" wrapText="1"/>
    </xf>
    <xf borderId="0" fillId="8" fontId="33" numFmtId="0" xfId="0" applyAlignment="1" applyFont="1">
      <alignment horizontal="center" shrinkToFit="0" vertical="center" wrapText="1"/>
    </xf>
    <xf borderId="0" fillId="9" fontId="43" numFmtId="0" xfId="0" applyAlignment="1" applyFont="1">
      <alignment horizontal="center" shrinkToFit="0" vertical="center" wrapText="1"/>
    </xf>
    <xf borderId="0" fillId="10" fontId="43" numFmtId="0" xfId="0" applyAlignment="1" applyFont="1">
      <alignment horizontal="center" shrinkToFit="0" vertical="center" wrapText="1"/>
    </xf>
    <xf borderId="0" fillId="2" fontId="43" numFmtId="0" xfId="0" applyAlignment="1" applyFont="1">
      <alignment horizontal="center" shrinkToFit="0" vertical="center" wrapText="1"/>
    </xf>
    <xf borderId="0" fillId="8" fontId="39" numFmtId="0" xfId="0" applyAlignment="1" applyFont="1">
      <alignment horizontal="center" readingOrder="0" shrinkToFit="0" vertical="center" wrapText="1"/>
    </xf>
    <xf borderId="0" fillId="11" fontId="7" numFmtId="0" xfId="0" applyAlignment="1" applyFill="1" applyFont="1">
      <alignment horizontal="center" shrinkToFit="0" vertical="center" wrapText="1"/>
    </xf>
    <xf borderId="0" fillId="11" fontId="7" numFmtId="0" xfId="0" applyAlignment="1" applyFont="1">
      <alignment horizontal="left" shrinkToFit="0" vertical="center" wrapText="1"/>
    </xf>
    <xf borderId="0" fillId="11" fontId="7" numFmtId="0" xfId="0" applyAlignment="1" applyFont="1">
      <alignment horizontal="center" shrinkToFit="0" vertical="center" wrapText="1"/>
    </xf>
    <xf borderId="0" fillId="11" fontId="7" numFmtId="0" xfId="0" applyAlignment="1" applyFont="1">
      <alignment horizontal="left" shrinkToFit="0" vertical="center" wrapText="1"/>
    </xf>
    <xf borderId="0" fillId="11" fontId="44" numFmtId="0" xfId="0" applyAlignment="1" applyFont="1">
      <alignment horizontal="center" vertical="center"/>
    </xf>
    <xf borderId="0" fillId="11" fontId="44" numFmtId="0" xfId="0" applyAlignment="1" applyFont="1">
      <alignment vertical="center"/>
    </xf>
    <xf borderId="0" fillId="11" fontId="5" numFmtId="0" xfId="0" applyAlignment="1" applyFont="1">
      <alignment horizontal="left" shrinkToFit="0" vertical="center" wrapText="1"/>
    </xf>
    <xf borderId="0" fillId="11" fontId="5" numFmtId="0" xfId="0" applyAlignment="1" applyFont="1">
      <alignment horizontal="center" shrinkToFit="0" vertical="center" wrapText="1"/>
    </xf>
    <xf borderId="0" fillId="11" fontId="7"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5" numFmtId="0" xfId="0" applyAlignment="1" applyFont="1">
      <alignment horizontal="center" shrinkToFit="0" vertical="center" wrapText="1"/>
    </xf>
    <xf borderId="0" fillId="6" fontId="40" numFmtId="0" xfId="0" applyAlignment="1" applyFont="1">
      <alignment horizontal="center" shrinkToFit="0" vertical="center" wrapText="1"/>
    </xf>
    <xf borderId="0" fillId="8" fontId="45" numFmtId="0" xfId="0" applyAlignment="1" applyFont="1">
      <alignment horizontal="center" shrinkToFit="0" vertical="center" wrapText="1"/>
    </xf>
    <xf borderId="0" fillId="9" fontId="7" numFmtId="0" xfId="0" applyAlignment="1" applyFont="1">
      <alignment horizontal="left" shrinkToFit="0" vertical="center" wrapText="1"/>
    </xf>
    <xf borderId="0" fillId="10" fontId="7" numFmtId="0" xfId="0" applyAlignment="1" applyFont="1">
      <alignment horizontal="left" shrinkToFit="0" vertical="center" wrapText="1"/>
    </xf>
    <xf borderId="0" fillId="2" fontId="7" numFmtId="0" xfId="0" applyAlignment="1" applyFont="1">
      <alignment horizontal="left" shrinkToFit="0" vertical="center" wrapText="1"/>
    </xf>
    <xf borderId="0" fillId="10" fontId="7"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10" fontId="7" numFmtId="0" xfId="0" applyAlignment="1" applyFont="1">
      <alignment horizontal="left"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8" fontId="43"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5" numFmtId="0" xfId="0" applyAlignment="1" applyFont="1">
      <alignment horizontal="left" shrinkToFit="0" vertical="center" wrapText="1"/>
    </xf>
    <xf borderId="0" fillId="2" fontId="5" numFmtId="0" xfId="0" applyAlignment="1" applyFont="1">
      <alignment horizontal="left"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quotePrefix="1" borderId="0" fillId="2" fontId="7" numFmtId="0" xfId="0" applyAlignment="1" applyFont="1">
      <alignment horizontal="left" readingOrder="0" shrinkToFit="0" vertical="center" wrapText="1"/>
    </xf>
    <xf borderId="0" fillId="9" fontId="7" numFmtId="0" xfId="0" applyAlignment="1" applyFont="1">
      <alignment horizontal="left" shrinkToFit="0" vertical="center" wrapText="1"/>
    </xf>
    <xf borderId="0" fillId="9" fontId="46" numFmtId="0" xfId="0" applyAlignment="1" applyFont="1">
      <alignment horizontal="left" readingOrder="0" shrinkToFit="0" vertical="center" wrapText="1"/>
    </xf>
    <xf borderId="0" fillId="10" fontId="46" numFmtId="0" xfId="0" applyAlignment="1" applyFont="1">
      <alignment horizontal="left" readingOrder="0" shrinkToFit="0" vertical="center" wrapText="1"/>
    </xf>
    <xf borderId="0" fillId="2" fontId="46" numFmtId="0" xfId="0" applyAlignment="1" applyFont="1">
      <alignment horizontal="left" readingOrder="0" shrinkToFit="0" vertical="center" wrapText="1"/>
    </xf>
    <xf borderId="0" fillId="2" fontId="7" numFmtId="0" xfId="0" applyAlignment="1" applyFont="1">
      <alignment readingOrder="0" shrinkToFit="0" vertical="center" wrapText="1"/>
    </xf>
    <xf borderId="0" fillId="10" fontId="5" numFmtId="0" xfId="0" applyAlignment="1" applyFont="1">
      <alignment horizontal="left" readingOrder="0" shrinkToFit="0" vertical="center" wrapText="1"/>
    </xf>
    <xf borderId="0" fillId="10" fontId="7" numFmtId="0" xfId="0" applyAlignment="1" applyFont="1">
      <alignment readingOrder="0" shrinkToFit="0" vertical="center" wrapText="1"/>
    </xf>
    <xf borderId="0" fillId="2" fontId="3" numFmtId="0" xfId="0" applyAlignment="1" applyFont="1">
      <alignment shrinkToFit="0" vertical="center" wrapText="1"/>
    </xf>
    <xf borderId="0" fillId="9" fontId="5" numFmtId="0" xfId="0" applyAlignment="1" applyFont="1">
      <alignment horizontal="center" readingOrder="0" shrinkToFit="0" vertical="center" wrapText="1"/>
    </xf>
    <xf borderId="0" fillId="2" fontId="5"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9" fontId="17" numFmtId="0" xfId="0" applyAlignment="1" applyFont="1">
      <alignment horizontal="left" readingOrder="0" shrinkToFit="0" vertical="center" wrapText="1"/>
    </xf>
    <xf borderId="0" fillId="8" fontId="45" numFmtId="0" xfId="0" applyAlignment="1" applyFont="1">
      <alignment horizontal="left" shrinkToFit="0" vertical="center" wrapText="1"/>
    </xf>
    <xf borderId="0" fillId="8" fontId="44" numFmtId="0" xfId="0" applyAlignment="1" applyFont="1">
      <alignment horizontal="left" shrinkToFit="0" vertical="center" wrapText="1"/>
    </xf>
    <xf borderId="0" fillId="8" fontId="45" numFmtId="0" xfId="0" applyAlignment="1" applyFont="1">
      <alignment horizontal="center" readingOrder="0"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borderId="0" fillId="8" fontId="47" numFmtId="0" xfId="0" applyAlignment="1" applyFont="1">
      <alignment horizontal="left" shrinkToFit="0" vertical="center" wrapText="1"/>
    </xf>
    <xf borderId="0" fillId="9" fontId="44" numFmtId="0" xfId="0" applyAlignment="1" applyFont="1">
      <alignment horizontal="center" shrinkToFit="0" vertical="center" wrapText="1"/>
    </xf>
    <xf borderId="0" fillId="10" fontId="44" numFmtId="0" xfId="0" applyAlignment="1" applyFont="1">
      <alignment horizontal="left" shrinkToFit="0" vertical="center" wrapText="1"/>
    </xf>
    <xf borderId="0" fillId="2" fontId="44" numFmtId="0" xfId="0" applyAlignment="1" applyFont="1">
      <alignment horizontal="left" shrinkToFit="0" vertical="center" wrapText="1"/>
    </xf>
    <xf borderId="0" fillId="9" fontId="44" numFmtId="0" xfId="0" applyAlignment="1" applyFont="1">
      <alignment horizontal="left" readingOrder="0" shrinkToFit="0" vertical="center" wrapText="1"/>
    </xf>
    <xf borderId="0" fillId="2" fontId="48" numFmtId="0" xfId="0" applyAlignment="1" applyFont="1">
      <alignment horizontal="lef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8" fontId="43" numFmtId="0" xfId="0" applyAlignment="1" applyFont="1">
      <alignment horizontal="center" readingOrder="0" shrinkToFit="0" vertical="center" wrapText="1"/>
    </xf>
    <xf borderId="0" fillId="10" fontId="5" numFmtId="0" xfId="0" applyAlignment="1" applyFont="1">
      <alignment horizontal="left" shrinkToFit="0" vertical="center" wrapText="1"/>
    </xf>
    <xf borderId="0" fillId="9" fontId="7" numFmtId="0" xfId="0" applyAlignment="1" applyFont="1">
      <alignment horizontal="center" shrinkToFit="0" vertical="center" wrapText="1"/>
    </xf>
    <xf borderId="0" fillId="10"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48" numFmtId="0" xfId="0" applyAlignment="1" applyFont="1">
      <alignment readingOrder="0" shrinkToFit="0" vertical="center" wrapText="1"/>
    </xf>
    <xf borderId="0" fillId="9" fontId="49" numFmtId="0" xfId="0" applyAlignment="1" applyFont="1">
      <alignment horizontal="center" shrinkToFit="0" vertical="center" wrapText="1"/>
    </xf>
    <xf borderId="0" fillId="10" fontId="49" numFmtId="0" xfId="0" applyAlignment="1" applyFont="1">
      <alignment horizontal="center" shrinkToFit="0" vertical="center" wrapText="1"/>
    </xf>
    <xf borderId="0" fillId="2" fontId="49" numFmtId="0" xfId="0" applyAlignment="1" applyFont="1">
      <alignment horizontal="center" readingOrder="0" shrinkToFit="0" vertical="center" wrapText="1"/>
    </xf>
    <xf borderId="0" fillId="9" fontId="7" numFmtId="0" xfId="0" applyAlignment="1" applyFont="1">
      <alignment readingOrder="0" shrinkToFit="0" vertical="center" wrapText="1"/>
    </xf>
    <xf borderId="0" fillId="9" fontId="17" numFmtId="0" xfId="0" applyAlignment="1" applyFont="1">
      <alignment readingOrder="0" shrinkToFit="0" vertical="center" wrapText="1"/>
    </xf>
    <xf borderId="0" fillId="10" fontId="17" numFmtId="0" xfId="0" applyAlignment="1" applyFont="1">
      <alignment readingOrder="0" shrinkToFit="0" vertical="center" wrapText="1"/>
    </xf>
    <xf borderId="0" fillId="2" fontId="17"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10"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17" numFmtId="0" xfId="0" applyAlignment="1" applyFont="1">
      <alignment shrinkToFit="0" vertical="center" wrapText="1"/>
    </xf>
    <xf borderId="0" fillId="10"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44" numFmtId="0" xfId="0" applyAlignment="1" applyFont="1">
      <alignment horizontal="center" vertical="center"/>
    </xf>
    <xf borderId="0" fillId="0" fontId="44"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7" numFmtId="0" xfId="0" applyAlignment="1" applyFont="1">
      <alignment shrinkToFit="0" vertical="center" wrapText="1"/>
    </xf>
    <xf borderId="0" fillId="6" fontId="40" numFmtId="0" xfId="0" applyAlignment="1" applyFont="1">
      <alignment horizontal="center" readingOrder="0" shrinkToFit="0" vertical="center" wrapText="1"/>
    </xf>
    <xf borderId="0" fillId="2" fontId="49" numFmtId="0" xfId="0" applyAlignment="1" applyFont="1">
      <alignment horizontal="center"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49" numFmtId="0" xfId="0" applyAlignment="1" applyFont="1">
      <alignment horizontal="center" readingOrder="0" shrinkToFit="0" vertical="center" wrapText="1"/>
    </xf>
    <xf borderId="0" fillId="9" fontId="49" numFmtId="0" xfId="0" applyAlignment="1" applyFont="1">
      <alignment horizontal="center" readingOrder="0" shrinkToFit="0" vertical="center" wrapText="1"/>
    </xf>
    <xf borderId="0" fillId="0" fontId="44" numFmtId="0" xfId="0" applyAlignment="1" applyFont="1">
      <alignment vertical="center"/>
    </xf>
    <xf borderId="0" fillId="8" fontId="45" numFmtId="0" xfId="0" applyAlignment="1" applyFont="1">
      <alignment horizontal="center" shrinkToFit="0" vertical="center" wrapText="1"/>
    </xf>
    <xf borderId="0" fillId="8" fontId="43" numFmtId="0" xfId="0" applyAlignment="1" applyFont="1">
      <alignment horizontal="center" shrinkToFit="0" vertical="center" wrapText="1"/>
    </xf>
    <xf borderId="0" fillId="9" fontId="5" numFmtId="0" xfId="0" applyAlignment="1" applyFont="1">
      <alignment horizontal="center" shrinkToFit="0" vertical="center" wrapText="1"/>
    </xf>
    <xf borderId="0" fillId="2" fontId="5" numFmtId="0" xfId="0" applyAlignment="1" applyFont="1">
      <alignment horizontal="left" shrinkToFit="0" vertical="center" wrapText="1"/>
    </xf>
    <xf borderId="0" fillId="0" fontId="44"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6" fontId="1" numFmtId="0" xfId="0" applyAlignment="1" applyFont="1">
      <alignment horizontal="center" shrinkToFit="0" vertical="center" wrapText="1"/>
    </xf>
    <xf borderId="0" fillId="6" fontId="40" numFmtId="0" xfId="0" applyAlignment="1" applyFont="1">
      <alignment horizontal="center" shrinkToFit="0" vertical="center" wrapText="1"/>
    </xf>
    <xf borderId="0" fillId="6" fontId="7" numFmtId="0" xfId="0" applyAlignment="1" applyFont="1">
      <alignment shrinkToFit="0" vertical="center" wrapText="1"/>
    </xf>
    <xf borderId="0" fillId="8" fontId="3" numFmtId="0" xfId="0" applyAlignment="1" applyFont="1">
      <alignment horizontal="center" shrinkToFit="0" vertical="center" wrapText="1"/>
    </xf>
    <xf borderId="0" fillId="10" fontId="7" numFmtId="0" xfId="0" applyAlignment="1" applyFont="1">
      <alignment horizontal="center" shrinkToFit="0" vertical="center" wrapText="1"/>
    </xf>
    <xf borderId="0" fillId="9"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49" numFmtId="0" xfId="0" applyAlignment="1" applyFont="1">
      <alignment horizontal="center" shrinkToFit="0" vertical="center" wrapText="1"/>
    </xf>
    <xf borderId="0" fillId="2" fontId="49"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17"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9" fontId="44" numFmtId="0" xfId="0" applyAlignment="1" applyFont="1">
      <alignment shrinkToFit="0" vertical="center" wrapText="1"/>
    </xf>
    <xf borderId="0" fillId="10" fontId="3" numFmtId="0" xfId="0" applyAlignment="1" applyFont="1">
      <alignment horizontal="center" shrinkToFit="0" vertical="center" wrapText="1"/>
    </xf>
    <xf borderId="0" fillId="2" fontId="3" numFmtId="0" xfId="0" applyAlignment="1" applyFont="1">
      <alignment horizontal="center" shrinkToFit="0" vertical="center" wrapText="1"/>
    </xf>
    <xf borderId="0" fillId="9" fontId="44" numFmtId="0" xfId="0" applyAlignment="1" applyFont="1">
      <alignment horizontal="center" shrinkToFit="0" vertical="center" wrapText="1"/>
    </xf>
    <xf borderId="0" fillId="10" fontId="44" numFmtId="0" xfId="0" applyAlignment="1" applyFont="1">
      <alignment shrinkToFit="0" vertical="center" wrapText="1"/>
    </xf>
    <xf borderId="0" fillId="2" fontId="44" numFmtId="0" xfId="0" applyAlignment="1" applyFont="1">
      <alignment horizontal="center" shrinkToFit="0" vertical="center" wrapText="1"/>
    </xf>
    <xf borderId="0" fillId="2" fontId="44" numFmtId="0" xfId="0" applyAlignment="1" applyFont="1">
      <alignment vertical="center"/>
    </xf>
    <xf borderId="0" fillId="2" fontId="44" numFmtId="0" xfId="0" applyAlignment="1" applyFont="1">
      <alignment horizontal="center" readingOrder="0" shrinkToFit="0" vertical="center" wrapText="1"/>
    </xf>
    <xf borderId="0" fillId="9" fontId="44" numFmtId="0" xfId="0" applyAlignment="1" applyFont="1">
      <alignment horizontal="center" readingOrder="0" vertical="center"/>
    </xf>
    <xf borderId="0" fillId="10" fontId="44"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12" fontId="5" numFmtId="0" xfId="0" applyAlignment="1" applyFill="1" applyFont="1">
      <alignment horizontal="left" shrinkToFit="0" vertical="center" wrapText="1"/>
    </xf>
    <xf borderId="0" fillId="13" fontId="5" numFmtId="0" xfId="0" applyAlignment="1" applyFill="1" applyFont="1">
      <alignment horizontal="center" shrinkToFit="0" vertical="center" wrapText="1"/>
    </xf>
    <xf borderId="0" fillId="14" fontId="5" numFmtId="0" xfId="0" applyAlignment="1" applyFill="1" applyFont="1">
      <alignment horizontal="left" shrinkToFit="0" vertical="center" wrapText="1"/>
    </xf>
    <xf borderId="0" fillId="12" fontId="7" numFmtId="0" xfId="0" applyAlignment="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8" fontId="7" numFmtId="0" xfId="0" applyAlignment="1" applyFont="1">
      <alignment horizontal="left" shrinkToFit="0" vertical="center" wrapText="1"/>
    </xf>
    <xf borderId="0" fillId="8" fontId="44" numFmtId="0" xfId="0" applyAlignment="1" applyFont="1">
      <alignment horizontal="center" vertical="center"/>
    </xf>
    <xf borderId="0" fillId="0" fontId="17" numFmtId="0" xfId="0" applyAlignment="1" applyFont="1">
      <alignment horizontal="left" shrinkToFit="0" vertical="center" wrapText="1"/>
    </xf>
    <xf borderId="0" fillId="10" fontId="1" numFmtId="0" xfId="0" applyAlignment="1" applyFont="1">
      <alignment horizontal="center" readingOrder="0" shrinkToFit="0" vertical="center" wrapText="1"/>
    </xf>
    <xf borderId="0" fillId="9" fontId="40" numFmtId="0" xfId="0" applyAlignment="1" applyFont="1">
      <alignment horizontal="center" readingOrder="0" shrinkToFit="0" vertical="center" wrapText="1"/>
    </xf>
    <xf borderId="0" fillId="10" fontId="40" numFmtId="0" xfId="0" applyAlignment="1" applyFont="1">
      <alignment horizontal="center" shrinkToFit="0" vertical="center" wrapText="1"/>
    </xf>
    <xf borderId="0" fillId="2" fontId="40" numFmtId="0" xfId="0" applyAlignment="1" applyFont="1">
      <alignment horizontal="center" shrinkToFit="0" vertical="center" wrapText="1"/>
    </xf>
    <xf borderId="0" fillId="6" fontId="1" numFmtId="0" xfId="0" applyAlignment="1" applyFont="1">
      <alignment horizontal="center" shrinkToFit="0" wrapText="1"/>
    </xf>
    <xf borderId="0" fillId="6" fontId="44" numFmtId="0" xfId="0" applyFont="1"/>
    <xf borderId="0" fillId="6" fontId="1" numFmtId="0" xfId="0" applyAlignment="1" applyFont="1">
      <alignment horizontal="center" readingOrder="0" shrinkToFit="0" wrapText="1"/>
    </xf>
    <xf borderId="0" fillId="6" fontId="44" numFmtId="0" xfId="0" applyFont="1"/>
    <xf borderId="0" fillId="6" fontId="1" numFmtId="0" xfId="0" applyAlignment="1" applyFont="1">
      <alignment horizontal="center" readingOrder="0"/>
    </xf>
    <xf borderId="0" fillId="6" fontId="50" numFmtId="0" xfId="0" applyAlignment="1" applyFont="1">
      <alignment horizontal="center" readingOrder="0"/>
    </xf>
    <xf borderId="0" fillId="8" fontId="45"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10" fontId="17"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 numFmtId="0" xfId="0" applyAlignment="1" applyFont="1">
      <alignment horizontal="left" readingOrder="0" shrinkToFit="0" vertical="center" wrapText="1"/>
    </xf>
    <xf borderId="0" fillId="15" fontId="7" numFmtId="0" xfId="0" applyAlignment="1" applyFill="1" applyFont="1">
      <alignment horizontal="left" readingOrder="0" shrinkToFit="0" vertical="center" wrapText="1"/>
    </xf>
    <xf borderId="0" fillId="10" fontId="17" numFmtId="0" xfId="0" applyAlignment="1" applyFont="1">
      <alignment horizontal="left" shrinkToFit="0" vertical="center" wrapText="1"/>
    </xf>
    <xf borderId="0" fillId="6" fontId="51" numFmtId="0" xfId="0" applyAlignment="1" applyFont="1">
      <alignment horizontal="center" readingOrder="0"/>
    </xf>
    <xf borderId="0" fillId="9" fontId="3" numFmtId="0" xfId="0" applyAlignment="1" applyFont="1">
      <alignment horizontal="left" shrinkToFit="0" vertical="center" wrapText="1"/>
    </xf>
    <xf borderId="0" fillId="9" fontId="49" numFmtId="0" xfId="0" applyAlignment="1" applyFont="1">
      <alignment horizontal="left" readingOrder="0" shrinkToFit="0" vertical="center" wrapText="1"/>
    </xf>
    <xf borderId="0" fillId="10" fontId="49" numFmtId="0" xfId="0" applyAlignment="1" applyFont="1">
      <alignment horizontal="left" readingOrder="0" shrinkToFit="0" vertical="center" wrapText="1"/>
    </xf>
    <xf borderId="0" fillId="2" fontId="49"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2" numFmtId="0" xfId="0" applyAlignment="1" applyFont="1">
      <alignment horizontal="left" shrinkToFit="0" vertical="center" wrapText="1"/>
    </xf>
    <xf borderId="0" fillId="10" fontId="3" numFmtId="0" xfId="0" applyAlignment="1" applyFont="1">
      <alignment horizontal="left" shrinkToFit="0" vertical="center" wrapText="1"/>
    </xf>
    <xf borderId="0" fillId="0" fontId="44" numFmtId="0" xfId="0" applyFont="1"/>
    <xf borderId="0" fillId="0" fontId="44" numFmtId="0" xfId="0" applyFont="1"/>
    <xf borderId="0" fillId="0" fontId="50" numFmtId="0" xfId="0" applyFont="1"/>
    <xf borderId="0" fillId="9" fontId="53" numFmtId="0" xfId="0" applyAlignment="1" applyFont="1">
      <alignment horizontal="left" shrinkToFit="0" vertical="center" wrapText="1"/>
    </xf>
    <xf borderId="0" fillId="10" fontId="53" numFmtId="0" xfId="0" applyAlignment="1" applyFont="1">
      <alignment horizontal="left" shrinkToFit="0" vertical="center" wrapText="1"/>
    </xf>
    <xf borderId="0" fillId="2" fontId="53" numFmtId="0" xfId="0" applyAlignment="1" applyFont="1">
      <alignment horizontal="left" shrinkToFit="0" vertical="center" wrapText="1"/>
    </xf>
    <xf borderId="0" fillId="9" fontId="49" numFmtId="0" xfId="0" applyAlignment="1" applyFont="1">
      <alignment horizontal="left" shrinkToFit="0" vertical="center" wrapText="1"/>
    </xf>
    <xf borderId="0" fillId="10" fontId="49" numFmtId="0" xfId="0" applyAlignment="1" applyFont="1">
      <alignment horizontal="left" shrinkToFit="0" vertical="center" wrapText="1"/>
    </xf>
    <xf borderId="0" fillId="2" fontId="49" numFmtId="0" xfId="0" applyAlignment="1" applyFont="1">
      <alignment horizontal="left" shrinkToFit="0" vertical="center" wrapText="1"/>
    </xf>
    <xf borderId="0" fillId="2" fontId="44" numFmtId="0" xfId="0" applyAlignment="1" applyFont="1">
      <alignment horizontal="left" shrinkToFit="0" vertical="center" wrapText="1"/>
    </xf>
    <xf borderId="0" fillId="8" fontId="45" numFmtId="0" xfId="0" applyAlignment="1" applyFont="1">
      <alignment shrinkToFit="0" vertical="center" wrapText="1"/>
    </xf>
    <xf borderId="0" fillId="9" fontId="44" numFmtId="0" xfId="0" applyAlignment="1" applyFont="1">
      <alignment readingOrder="0" vertical="center"/>
    </xf>
    <xf borderId="0" fillId="10" fontId="44" numFmtId="0" xfId="0" applyAlignment="1" applyFont="1">
      <alignment readingOrder="0" vertical="center"/>
    </xf>
    <xf borderId="0" fillId="2" fontId="44" numFmtId="0" xfId="0" applyAlignment="1" applyFont="1">
      <alignment readingOrder="0" vertical="center"/>
    </xf>
    <xf borderId="0" fillId="9" fontId="44" numFmtId="0" xfId="0" applyAlignment="1" applyFont="1">
      <alignment vertical="center"/>
    </xf>
    <xf borderId="0" fillId="10" fontId="44" numFmtId="0" xfId="0" applyAlignment="1" applyFont="1">
      <alignment vertical="center"/>
    </xf>
    <xf borderId="0" fillId="2" fontId="44" numFmtId="0" xfId="0" applyAlignment="1" applyFont="1">
      <alignment vertical="center"/>
    </xf>
    <xf borderId="0" fillId="9" fontId="44" numFmtId="0" xfId="0" applyAlignment="1" applyFont="1">
      <alignment vertical="center"/>
    </xf>
    <xf borderId="0" fillId="10" fontId="44" numFmtId="0" xfId="0" applyAlignment="1" applyFont="1">
      <alignment vertical="center"/>
    </xf>
    <xf borderId="0" fillId="9" fontId="3" numFmtId="0" xfId="0" applyAlignment="1" applyFont="1">
      <alignment vertical="center"/>
    </xf>
    <xf borderId="0" fillId="2" fontId="3" numFmtId="0" xfId="0" applyAlignment="1" applyFont="1">
      <alignment vertical="center"/>
    </xf>
    <xf borderId="0" fillId="10" fontId="44" numFmtId="0" xfId="0" applyAlignment="1" applyFont="1">
      <alignment readingOrder="0" shrinkToFit="0" vertical="center" wrapText="1"/>
    </xf>
    <xf borderId="0" fillId="2" fontId="44" numFmtId="0" xfId="0" applyAlignment="1" applyFont="1">
      <alignment readingOrder="0" shrinkToFit="0" vertical="center" wrapText="1"/>
    </xf>
    <xf borderId="0" fillId="8" fontId="45" numFmtId="0" xfId="0" applyAlignment="1" applyFont="1">
      <alignment readingOrder="0" shrinkToFit="0" vertical="center" wrapText="1"/>
    </xf>
    <xf borderId="0" fillId="2" fontId="3" numFmtId="0" xfId="0" applyAlignment="1" applyFont="1">
      <alignment readingOrder="0" vertical="center"/>
    </xf>
    <xf borderId="0" fillId="6" fontId="1" numFmtId="0" xfId="0" applyAlignment="1" applyFont="1">
      <alignment horizontal="center" shrinkToFit="0" wrapText="1"/>
    </xf>
    <xf borderId="0" fillId="11" fontId="44" numFmtId="0" xfId="0" applyFont="1"/>
    <xf borderId="0" fillId="11" fontId="44" numFmtId="0" xfId="0" applyFont="1"/>
    <xf borderId="0" fillId="11" fontId="50" numFmtId="0" xfId="0" applyFont="1"/>
    <xf borderId="0" fillId="9" fontId="6" numFmtId="0" xfId="0" applyAlignment="1" applyFont="1">
      <alignment horizontal="left" readingOrder="0" shrinkToFit="0" vertical="center" wrapText="1"/>
    </xf>
    <xf borderId="0" fillId="9" fontId="44" numFmtId="0" xfId="0" applyAlignment="1" applyFont="1">
      <alignment horizontal="left" shrinkToFit="0" vertical="center" wrapText="1"/>
    </xf>
    <xf borderId="0" fillId="8" fontId="45" numFmtId="0" xfId="0" applyAlignment="1" applyFont="1">
      <alignment horizontal="left" shrinkToFit="0" vertical="center" wrapText="1"/>
    </xf>
    <xf borderId="0" fillId="10" fontId="6" numFmtId="0" xfId="0" applyAlignment="1" applyFont="1">
      <alignment readingOrder="0" shrinkToFit="0" vertical="center" wrapText="1"/>
    </xf>
    <xf borderId="0" fillId="2" fontId="17" numFmtId="0" xfId="0" applyAlignment="1" applyFont="1">
      <alignment horizontal="left" shrinkToFit="0" vertical="center" wrapText="1"/>
    </xf>
    <xf borderId="0" fillId="9" fontId="5" numFmtId="0" xfId="0" applyAlignment="1" applyFont="1">
      <alignment horizontal="left" vertical="center"/>
    </xf>
    <xf borderId="0" fillId="10" fontId="5" numFmtId="0" xfId="0" applyAlignment="1" applyFont="1">
      <alignment horizontal="left" vertical="center"/>
    </xf>
    <xf borderId="0" fillId="9" fontId="7" numFmtId="0" xfId="0" applyAlignment="1" applyFont="1">
      <alignment horizontal="left" readingOrder="0" vertical="center"/>
    </xf>
    <xf borderId="0" fillId="9" fontId="7" numFmtId="0" xfId="0" applyAlignment="1" applyFont="1">
      <alignment horizontal="left" vertical="center"/>
    </xf>
    <xf borderId="0" fillId="10" fontId="7" numFmtId="0" xfId="0" applyAlignment="1" applyFont="1">
      <alignment horizontal="left" vertical="center"/>
    </xf>
    <xf borderId="0" fillId="9" fontId="45" numFmtId="0" xfId="0" applyAlignment="1" applyFont="1">
      <alignment horizontal="left" shrinkToFit="0" vertical="center" wrapText="1"/>
    </xf>
    <xf borderId="0" fillId="10" fontId="1" numFmtId="0" xfId="0" applyAlignment="1" applyFont="1">
      <alignment horizontal="left" shrinkToFit="0" vertical="center" wrapText="1"/>
    </xf>
    <xf borderId="0" fillId="0" fontId="5" numFmtId="0" xfId="0" applyAlignment="1" applyFont="1">
      <alignment horizontal="left" vertical="center"/>
    </xf>
    <xf borderId="0" fillId="0" fontId="45" numFmtId="0" xfId="0" applyAlignment="1" applyFont="1">
      <alignment horizontal="left" shrinkToFit="0" vertical="center" wrapText="1"/>
    </xf>
    <xf borderId="0" fillId="0" fontId="3" numFmtId="0" xfId="0" applyAlignment="1" applyFont="1">
      <alignment horizontal="left" shrinkToFit="0" vertical="center" wrapText="1"/>
    </xf>
    <xf borderId="0" fillId="5" fontId="54" numFmtId="0" xfId="0" applyAlignment="1" applyFont="1">
      <alignment horizontal="center" readingOrder="0" shrinkToFit="0" vertical="center" wrapText="1"/>
    </xf>
    <xf borderId="1" fillId="0" fontId="55" numFmtId="0" xfId="0" applyBorder="1" applyFont="1"/>
    <xf borderId="2" fillId="2" fontId="36" numFmtId="0" xfId="0" applyAlignment="1" applyBorder="1" applyFont="1">
      <alignment horizontal="center" shrinkToFit="0" vertical="center" wrapText="1"/>
    </xf>
    <xf borderId="3" fillId="0" fontId="55" numFmtId="0" xfId="0" applyBorder="1" applyFont="1"/>
    <xf borderId="4" fillId="0" fontId="55" numFmtId="0" xfId="0" applyBorder="1" applyFont="1"/>
    <xf borderId="5" fillId="0" fontId="55" numFmtId="0" xfId="0" applyBorder="1" applyFont="1"/>
    <xf borderId="6" fillId="0" fontId="55" numFmtId="0" xfId="0" applyBorder="1" applyFont="1"/>
    <xf borderId="7" fillId="0" fontId="55" numFmtId="0" xfId="0" applyBorder="1" applyFont="1"/>
    <xf borderId="2" fillId="16" fontId="1" numFmtId="0" xfId="0" applyAlignment="1" applyBorder="1" applyFill="1" applyFont="1">
      <alignment horizontal="center" readingOrder="0" shrinkToFit="0" vertical="center" wrapText="1"/>
    </xf>
    <xf borderId="2" fillId="16" fontId="36" numFmtId="0" xfId="0" applyAlignment="1" applyBorder="1" applyFont="1">
      <alignment horizontal="center" shrinkToFit="0" vertical="center" wrapText="1"/>
    </xf>
    <xf borderId="0" fillId="16" fontId="1" numFmtId="0" xfId="0" applyAlignment="1" applyFont="1">
      <alignment horizontal="center" readingOrder="0" shrinkToFit="0" vertical="center" wrapText="1"/>
    </xf>
    <xf borderId="8" fillId="5" fontId="45" numFmtId="0" xfId="0" applyAlignment="1" applyBorder="1" applyFont="1">
      <alignment horizontal="center" readingOrder="0" vertical="center"/>
    </xf>
    <xf borderId="9" fillId="0" fontId="55" numFmtId="0" xfId="0" applyBorder="1" applyFont="1"/>
    <xf borderId="10" fillId="0" fontId="55" numFmtId="0" xfId="0" applyBorder="1" applyFont="1"/>
    <xf borderId="8" fillId="5" fontId="56" numFmtId="0" xfId="0" applyAlignment="1" applyBorder="1" applyFont="1">
      <alignment horizontal="center" readingOrder="0" shrinkToFit="0" vertical="center" wrapText="1"/>
    </xf>
    <xf borderId="8" fillId="5" fontId="45" numFmtId="0" xfId="0" applyAlignment="1" applyBorder="1" applyFont="1">
      <alignment horizontal="center" shrinkToFit="0" vertical="center" wrapText="1"/>
    </xf>
    <xf borderId="0" fillId="5" fontId="56" numFmtId="0" xfId="0" applyAlignment="1" applyFont="1">
      <alignment horizontal="center" readingOrder="0" shrinkToFit="0" vertical="center" wrapText="1"/>
    </xf>
    <xf borderId="11" fillId="16"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4" fontId="17" numFmtId="0" xfId="0" applyAlignment="1" applyBorder="1" applyFont="1">
      <alignment horizontal="center" readingOrder="0" shrinkToFit="0" vertical="center" wrapText="1"/>
    </xf>
    <xf borderId="11" fillId="17" fontId="17" numFmtId="0" xfId="0" applyAlignment="1" applyBorder="1" applyFill="1" applyFont="1">
      <alignment horizontal="center" readingOrder="0" shrinkToFit="0" vertical="center" wrapText="1"/>
    </xf>
    <xf borderId="12" fillId="4" fontId="7" numFmtId="0" xfId="0" applyAlignment="1" applyBorder="1" applyFont="1">
      <alignment horizontal="center" shrinkToFit="0" vertical="center" wrapText="1"/>
    </xf>
    <xf borderId="6" fillId="4" fontId="7" numFmtId="0" xfId="0" applyAlignment="1" applyBorder="1" applyFont="1">
      <alignment horizontal="center" shrinkToFit="0" vertical="center" wrapText="1"/>
    </xf>
    <xf borderId="6" fillId="4" fontId="53" numFmtId="0" xfId="0" applyAlignment="1" applyBorder="1" applyFont="1">
      <alignment horizontal="center" shrinkToFit="0" vertical="center" wrapText="1"/>
    </xf>
    <xf borderId="0" fillId="17" fontId="17" numFmtId="0" xfId="0" applyAlignment="1" applyFont="1">
      <alignment horizontal="center" readingOrder="0" shrinkToFit="0" vertical="center" wrapText="1"/>
    </xf>
    <xf borderId="0" fillId="0" fontId="7" numFmtId="0" xfId="0" applyFont="1"/>
    <xf borderId="11" fillId="16"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4" fontId="17" numFmtId="0" xfId="0" applyAlignment="1" applyBorder="1" applyFont="1">
      <alignment horizontal="center" readingOrder="0" vertical="center"/>
    </xf>
    <xf borderId="11" fillId="17" fontId="17" numFmtId="0" xfId="0" applyAlignment="1" applyBorder="1" applyFont="1">
      <alignment horizontal="center" readingOrder="0" vertical="center"/>
    </xf>
    <xf borderId="6" fillId="4" fontId="7" numFmtId="0" xfId="0" applyAlignment="1" applyBorder="1" applyFont="1">
      <alignment horizontal="center" vertical="center"/>
    </xf>
    <xf borderId="12" fillId="4" fontId="53" numFmtId="0" xfId="0" applyAlignment="1" applyBorder="1" applyFont="1">
      <alignment horizontal="center" shrinkToFit="0" vertical="center" wrapText="1"/>
    </xf>
    <xf borderId="8" fillId="16" fontId="7" numFmtId="0" xfId="0" applyAlignment="1" applyBorder="1" applyFont="1">
      <alignment horizontal="center" readingOrder="0" shrinkToFit="0" vertical="center" wrapText="1"/>
    </xf>
    <xf borderId="13" fillId="16" fontId="53"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4" fontId="17" numFmtId="0" xfId="0" applyAlignment="1" applyBorder="1" applyFont="1">
      <alignment horizontal="center" readingOrder="0" shrinkToFit="0" vertical="center" wrapText="1"/>
    </xf>
    <xf borderId="13" fillId="17" fontId="17" numFmtId="0" xfId="0" applyAlignment="1" applyBorder="1" applyFont="1">
      <alignment horizontal="center" readingOrder="0" shrinkToFit="0" vertical="center" wrapText="1"/>
    </xf>
    <xf borderId="11" fillId="17" fontId="57" numFmtId="0" xfId="0" applyAlignment="1" applyBorder="1" applyFont="1">
      <alignment horizontal="center" readingOrder="0" shrinkToFit="0" vertical="center" wrapText="1"/>
    </xf>
    <xf borderId="0" fillId="17" fontId="57" numFmtId="0" xfId="0" applyAlignment="1" applyFont="1">
      <alignment horizontal="center" readingOrder="0" shrinkToFit="0" vertical="center" wrapText="1"/>
    </xf>
    <xf borderId="12" fillId="0" fontId="55" numFmtId="0" xfId="0" applyBorder="1" applyFont="1"/>
    <xf borderId="0" fillId="17" fontId="17" numFmtId="0" xfId="0" applyAlignment="1" applyFont="1">
      <alignment horizontal="center" readingOrder="0" shrinkToFit="0" vertical="center" wrapText="1"/>
    </xf>
    <xf borderId="6" fillId="4" fontId="7" numFmtId="0" xfId="0" applyAlignment="1" applyBorder="1" applyFont="1">
      <alignment vertical="center"/>
    </xf>
    <xf borderId="12" fillId="4" fontId="7" numFmtId="0" xfId="0" applyAlignment="1" applyBorder="1" applyFont="1">
      <alignment horizontal="center" readingOrder="0" shrinkToFit="0" vertical="center" wrapText="1"/>
    </xf>
    <xf borderId="8" fillId="5" fontId="45" numFmtId="0" xfId="0" applyAlignment="1" applyBorder="1" applyFont="1">
      <alignment horizontal="center" readingOrder="0" vertical="center"/>
    </xf>
    <xf borderId="7" fillId="5" fontId="45" numFmtId="0" xfId="0" applyAlignment="1" applyBorder="1" applyFont="1">
      <alignment horizontal="center" vertical="center"/>
    </xf>
    <xf borderId="0" fillId="5" fontId="45" numFmtId="0" xfId="0" applyAlignment="1" applyFont="1">
      <alignment horizontal="center" readingOrder="0" vertical="center"/>
    </xf>
    <xf borderId="11" fillId="2" fontId="53" numFmtId="0" xfId="0" applyAlignment="1" applyBorder="1" applyFont="1">
      <alignment horizontal="center" readingOrder="0"/>
    </xf>
    <xf borderId="11" fillId="2" fontId="7" numFmtId="0" xfId="0" applyAlignment="1" applyBorder="1" applyFont="1">
      <alignment horizontal="center" shrinkToFit="0" vertical="center" wrapText="1"/>
    </xf>
    <xf borderId="11" fillId="4" fontId="58" numFmtId="0" xfId="0" applyAlignment="1" applyBorder="1" applyFont="1">
      <alignment horizontal="center" readingOrder="0" shrinkToFit="0" vertical="center" wrapText="1"/>
    </xf>
    <xf borderId="11" fillId="4" fontId="57" numFmtId="0" xfId="0" applyAlignment="1" applyBorder="1" applyFont="1">
      <alignment horizontal="center" readingOrder="0"/>
    </xf>
    <xf borderId="11" fillId="17" fontId="7" numFmtId="0" xfId="0" applyAlignment="1" applyBorder="1" applyFont="1">
      <alignment horizontal="center" readingOrder="0" shrinkToFit="0" vertical="center" wrapText="1"/>
    </xf>
    <xf borderId="11" fillId="17" fontId="57" numFmtId="0" xfId="0" applyAlignment="1" applyBorder="1" applyFont="1">
      <alignment horizontal="center" readingOrder="0"/>
    </xf>
    <xf borderId="12" fillId="4" fontId="7" numFmtId="0" xfId="0" applyAlignment="1" applyBorder="1" applyFont="1">
      <alignment vertical="center"/>
    </xf>
    <xf borderId="6" fillId="4" fontId="53" numFmtId="0" xfId="0" applyAlignment="1" applyBorder="1" applyFont="1">
      <alignment horizontal="center" vertical="center"/>
    </xf>
    <xf borderId="0" fillId="17" fontId="7" numFmtId="0" xfId="0" applyAlignment="1" applyFont="1">
      <alignment horizontal="center" readingOrder="0" shrinkToFit="0" vertical="center" wrapText="1"/>
    </xf>
    <xf borderId="11" fillId="4" fontId="7" numFmtId="0" xfId="0" applyAlignment="1" applyBorder="1" applyFont="1">
      <alignment horizontal="center" readingOrder="0" shrinkToFit="0" vertical="center" wrapText="1"/>
    </xf>
    <xf borderId="11" fillId="4" fontId="53" numFmtId="0" xfId="0" applyAlignment="1" applyBorder="1" applyFont="1">
      <alignment horizontal="center" readingOrder="0"/>
    </xf>
    <xf borderId="11" fillId="17" fontId="53" numFmtId="0" xfId="0" applyAlignment="1" applyBorder="1" applyFont="1">
      <alignment horizontal="center" readingOrder="0"/>
    </xf>
    <xf borderId="13" fillId="16"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5" fontId="17" numFmtId="0" xfId="0" applyAlignment="1" applyFont="1">
      <alignment horizontal="center" readingOrder="0" shrinkToFit="0" vertical="center" wrapText="1"/>
    </xf>
    <xf borderId="0" fillId="5" fontId="17" numFmtId="0" xfId="0" applyAlignment="1" applyFont="1">
      <alignment horizontal="center" shrinkToFit="0" vertical="center" wrapText="1"/>
    </xf>
    <xf borderId="0" fillId="5" fontId="7" numFmtId="0" xfId="0" applyAlignment="1" applyFont="1">
      <alignment horizontal="center" shrinkToFit="0" vertical="center" wrapText="1"/>
    </xf>
    <xf borderId="0" fillId="5" fontId="4" numFmtId="0" xfId="0" applyAlignment="1" applyFont="1">
      <alignment horizontal="center" readingOrder="0" shrinkToFit="0" vertical="center" wrapText="1"/>
    </xf>
    <xf borderId="0" fillId="4" fontId="39" numFmtId="0" xfId="0" applyAlignment="1" applyFont="1">
      <alignment horizontal="center" shrinkToFit="0" vertical="center" wrapText="1"/>
    </xf>
    <xf borderId="0" fillId="4" fontId="39" numFmtId="0" xfId="0" applyAlignment="1" applyFont="1">
      <alignment horizontal="center" shrinkToFit="0" vertical="center" wrapText="1"/>
    </xf>
    <xf borderId="0" fillId="4" fontId="39" numFmtId="0" xfId="0" applyAlignment="1" applyFont="1">
      <alignment horizontal="center" readingOrder="0" shrinkToFit="0" vertical="center" wrapText="1"/>
    </xf>
    <xf borderId="0" fillId="9" fontId="59" numFmtId="0" xfId="0" applyAlignment="1" applyFont="1">
      <alignment horizontal="center" shrinkToFit="0" vertical="center" wrapText="1"/>
    </xf>
    <xf borderId="0" fillId="2" fontId="59" numFmtId="0" xfId="0" applyAlignment="1" applyFont="1">
      <alignment horizontal="center" shrinkToFit="0" vertical="center" wrapText="1"/>
    </xf>
    <xf borderId="0" fillId="9" fontId="60" numFmtId="0" xfId="0" applyAlignment="1" applyFont="1">
      <alignment horizontal="center" shrinkToFit="0" vertical="center" wrapText="1"/>
    </xf>
    <xf borderId="0" fillId="2" fontId="60" numFmtId="0" xfId="0" applyAlignment="1" applyFont="1">
      <alignment horizontal="center" readingOrder="0" shrinkToFit="0" vertical="center" wrapText="1"/>
    </xf>
    <xf borderId="0" fillId="2" fontId="60" numFmtId="0" xfId="0" applyAlignment="1" applyFont="1">
      <alignment horizontal="center" shrinkToFit="0" vertical="center" wrapText="1"/>
    </xf>
    <xf borderId="0" fillId="9" fontId="15" numFmtId="0" xfId="0" applyAlignment="1" applyFont="1">
      <alignment horizontal="center" shrinkToFit="0" vertical="center" wrapText="1"/>
    </xf>
    <xf borderId="0" fillId="2" fontId="15" numFmtId="0" xfId="0" applyAlignment="1" applyFont="1">
      <alignment horizontal="center" readingOrder="0" shrinkToFit="0" vertical="center" wrapText="1"/>
    </xf>
    <xf borderId="0" fillId="4" fontId="15"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0" fillId="2" fontId="5" numFmtId="0" xfId="0" applyAlignment="1" applyFont="1">
      <alignment horizontal="center" shrinkToFit="0" vertical="center" wrapText="1"/>
    </xf>
    <xf borderId="0" fillId="9"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9" fontId="45"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6" fontId="7" numFmtId="0" xfId="0" applyAlignment="1" applyFont="1">
      <alignment horizontal="center" readingOrder="0" shrinkToFit="0" wrapText="1"/>
    </xf>
    <xf borderId="0" fillId="9" fontId="45" numFmtId="0" xfId="0" applyAlignment="1" applyFont="1">
      <alignment horizontal="center" shrinkToFit="0" vertical="center" wrapText="1"/>
    </xf>
    <xf borderId="0" fillId="9" fontId="47" numFmtId="0" xfId="0" applyAlignment="1" applyFont="1">
      <alignment horizontal="center" shrinkToFit="0" vertical="center" wrapText="1"/>
    </xf>
    <xf borderId="0" fillId="6" fontId="7" numFmtId="0" xfId="0" applyAlignment="1" applyFont="1">
      <alignment horizontal="center" shrinkToFit="0" wrapText="1"/>
    </xf>
    <xf borderId="0" fillId="15" fontId="7" numFmtId="0" xfId="0" applyAlignment="1" applyFont="1">
      <alignment horizontal="center" readingOrder="0" shrinkToFit="0" vertical="center" wrapText="1"/>
    </xf>
    <xf borderId="0" fillId="4" fontId="44" numFmtId="0" xfId="0" applyAlignment="1" applyFont="1">
      <alignment vertical="center"/>
    </xf>
    <xf borderId="0" fillId="18" fontId="39" numFmtId="0" xfId="0" applyAlignment="1" applyFill="1" applyFont="1">
      <alignment horizontal="center" readingOrder="0" shrinkToFit="0" vertical="center" wrapText="1"/>
    </xf>
    <xf borderId="0" fillId="18" fontId="1" numFmtId="0" xfId="0" applyAlignment="1" applyFont="1">
      <alignment horizontal="center" shrinkToFit="0" vertical="center" wrapText="1"/>
    </xf>
    <xf borderId="0" fillId="18" fontId="39" numFmtId="0" xfId="0" applyAlignment="1" applyFont="1">
      <alignment horizontal="center" shrinkToFit="0" vertical="center" wrapText="1"/>
    </xf>
    <xf borderId="0" fillId="18" fontId="1" numFmtId="0" xfId="0" applyAlignment="1" applyFont="1">
      <alignment horizontal="center" readingOrder="0" shrinkToFit="0" vertical="center" wrapText="1"/>
    </xf>
    <xf borderId="0" fillId="9" fontId="60" numFmtId="0" xfId="0" applyAlignment="1" applyFont="1">
      <alignment horizontal="center" vertical="center"/>
    </xf>
    <xf borderId="0" fillId="2" fontId="60" numFmtId="0" xfId="0" applyAlignment="1" applyFont="1">
      <alignment horizontal="center" vertical="center"/>
    </xf>
    <xf borderId="0" fillId="18" fontId="7" numFmtId="0" xfId="0" applyAlignment="1" applyFont="1">
      <alignment horizontal="center" readingOrder="0" shrinkToFit="0" vertical="center" wrapText="1"/>
    </xf>
    <xf borderId="0" fillId="18" fontId="17" numFmtId="0" xfId="0" applyAlignment="1" applyFont="1">
      <alignment horizontal="center" readingOrder="0" shrinkToFit="0" vertical="center" wrapText="1"/>
    </xf>
    <xf borderId="0" fillId="9" fontId="5" numFmtId="0" xfId="0" applyAlignment="1" applyFont="1">
      <alignment horizontal="center" vertical="center"/>
    </xf>
    <xf borderId="0" fillId="2" fontId="5" numFmtId="0" xfId="0" applyAlignment="1" applyFont="1">
      <alignment horizontal="center" vertical="center"/>
    </xf>
    <xf borderId="0" fillId="18" fontId="7" numFmtId="0" xfId="0" applyAlignment="1" applyFont="1">
      <alignment horizontal="center" shrinkToFit="0" vertical="center" wrapText="1"/>
    </xf>
    <xf borderId="0" fillId="18" fontId="7" numFmtId="0" xfId="0" applyAlignment="1" applyFont="1">
      <alignment horizontal="center" shrinkToFit="0" vertical="center" wrapText="1"/>
    </xf>
    <xf borderId="0" fillId="9" fontId="5" numFmtId="0" xfId="0" applyAlignment="1" applyFont="1">
      <alignment horizontal="center" readingOrder="0" vertical="center"/>
    </xf>
    <xf borderId="0" fillId="2" fontId="5" numFmtId="0" xfId="0" applyAlignment="1" applyFont="1">
      <alignment horizontal="center" readingOrder="0" vertical="center"/>
    </xf>
    <xf borderId="0" fillId="9" fontId="61" numFmtId="0" xfId="0" applyAlignment="1" applyFont="1">
      <alignment horizontal="center" readingOrder="0" shrinkToFit="0" vertical="center" wrapText="1"/>
    </xf>
    <xf borderId="0" fillId="2" fontId="61" numFmtId="0" xfId="0" applyAlignment="1" applyFont="1">
      <alignment horizontal="center" readingOrder="0" shrinkToFit="0" vertical="center" wrapText="1"/>
    </xf>
    <xf borderId="0" fillId="9" fontId="52" numFmtId="0" xfId="0" applyAlignment="1" applyFont="1">
      <alignment horizontal="center" shrinkToFit="0" vertical="center" wrapText="1"/>
    </xf>
    <xf borderId="0" fillId="18" fontId="7" numFmtId="0" xfId="0" applyAlignment="1" applyFont="1">
      <alignment shrinkToFit="0" vertical="center" wrapText="1"/>
    </xf>
    <xf borderId="0" fillId="9" fontId="7" numFmtId="0" xfId="0" applyAlignment="1" applyFont="1">
      <alignment vertical="center"/>
    </xf>
    <xf borderId="0" fillId="18" fontId="60" numFmtId="0" xfId="0" applyAlignment="1" applyFont="1">
      <alignment horizontal="center" vertical="center"/>
    </xf>
    <xf borderId="0" fillId="15" fontId="17" numFmtId="0" xfId="0" applyAlignment="1" applyFont="1">
      <alignment horizontal="center" readingOrder="0" shrinkToFit="0" vertical="center" wrapText="1"/>
    </xf>
    <xf borderId="0" fillId="18" fontId="5" numFmtId="0" xfId="0" applyAlignment="1" applyFont="1">
      <alignment horizontal="center" readingOrder="0" vertical="center"/>
    </xf>
    <xf borderId="0" fillId="18" fontId="5" numFmtId="0" xfId="0" applyAlignment="1" applyFont="1">
      <alignment horizontal="center" vertical="center"/>
    </xf>
    <xf borderId="0" fillId="18" fontId="17" numFmtId="0" xfId="0" applyAlignment="1" applyFont="1">
      <alignment horizontal="center" shrinkToFit="0" vertical="center" wrapText="1"/>
    </xf>
    <xf borderId="0" fillId="2" fontId="17" numFmtId="0" xfId="0" applyAlignment="1" applyFont="1">
      <alignment horizontal="center" shrinkToFit="0" vertical="center" wrapText="1"/>
    </xf>
    <xf borderId="0" fillId="18" fontId="44" numFmtId="0" xfId="0" applyAlignment="1" applyFont="1">
      <alignment vertical="center"/>
    </xf>
    <xf borderId="0" fillId="18" fontId="7" numFmtId="0" xfId="0" applyAlignment="1" applyFont="1">
      <alignment horizontal="center" readingOrder="0" vertical="center"/>
    </xf>
    <xf borderId="0" fillId="2" fontId="7" numFmtId="0" xfId="0" applyAlignment="1" applyFont="1">
      <alignment horizontal="center" readingOrder="0" vertical="center"/>
    </xf>
    <xf borderId="0" fillId="2" fontId="5" numFmtId="0" xfId="0" applyAlignment="1" applyFont="1">
      <alignment horizontal="center" vertical="center"/>
    </xf>
    <xf borderId="0" fillId="18" fontId="5" numFmtId="0" xfId="0" applyAlignment="1" applyFont="1">
      <alignment horizontal="center" readingOrder="0" shrinkToFit="0" vertical="center" wrapText="1"/>
    </xf>
    <xf borderId="0" fillId="18" fontId="5" numFmtId="0" xfId="0" applyAlignment="1" applyFont="1">
      <alignment horizontal="center" vertical="center"/>
    </xf>
    <xf borderId="0" fillId="18" fontId="61" numFmtId="0" xfId="0" applyAlignment="1" applyFont="1">
      <alignment horizontal="center" shrinkToFit="0" vertical="center" wrapText="1"/>
    </xf>
    <xf borderId="0" fillId="18" fontId="52" numFmtId="0" xfId="0" applyAlignment="1" applyFont="1">
      <alignment horizontal="center" shrinkToFit="0" vertical="center" wrapText="1"/>
    </xf>
    <xf borderId="0" fillId="18" fontId="7" numFmtId="0" xfId="0" applyAlignment="1" applyFont="1">
      <alignment horizontal="center" vertical="center"/>
    </xf>
    <xf borderId="0" fillId="2" fontId="7" numFmtId="0" xfId="0" applyAlignment="1" applyFont="1">
      <alignment horizontal="center" vertical="center"/>
    </xf>
    <xf borderId="0" fillId="2" fontId="62" numFmtId="0" xfId="0" applyAlignment="1" applyFont="1">
      <alignment horizontal="center" shrinkToFit="0" vertical="center" wrapText="1"/>
    </xf>
    <xf borderId="0" fillId="18" fontId="7" numFmtId="0" xfId="0" applyAlignment="1" applyFont="1">
      <alignment vertical="center"/>
    </xf>
    <xf borderId="0" fillId="18" fontId="39" numFmtId="0" xfId="0" applyAlignment="1" applyFont="1">
      <alignment horizontal="center" shrinkToFit="0" vertical="center" wrapText="1"/>
    </xf>
    <xf borderId="0" fillId="0" fontId="39" numFmtId="0" xfId="0" applyAlignment="1" applyFont="1">
      <alignment horizontal="center" shrinkToFit="0" vertical="center" wrapText="1"/>
    </xf>
    <xf borderId="0" fillId="18" fontId="44" numFmtId="0" xfId="0" applyAlignment="1" applyFont="1">
      <alignment horizontal="center" readingOrder="0" shrinkToFit="0" vertical="center" wrapText="1"/>
    </xf>
    <xf borderId="0" fillId="2" fontId="44" numFmtId="0" xfId="0" applyAlignment="1" applyFont="1">
      <alignment horizontal="center" shrinkToFit="0" vertical="center" wrapText="1"/>
    </xf>
    <xf borderId="0" fillId="18" fontId="61" numFmtId="0" xfId="0" applyAlignment="1" applyFont="1">
      <alignment horizontal="center" shrinkToFit="0" vertical="center" wrapText="1"/>
    </xf>
    <xf borderId="0" fillId="2" fontId="61" numFmtId="0" xfId="0" applyAlignment="1" applyFont="1">
      <alignment horizontal="center" shrinkToFit="0" vertical="center" wrapText="1"/>
    </xf>
    <xf borderId="0" fillId="18" fontId="63" numFmtId="0" xfId="0" applyAlignment="1" applyFont="1">
      <alignment horizontal="center" readingOrder="0" shrinkToFit="0" vertical="center" wrapText="1"/>
    </xf>
    <xf borderId="0" fillId="18" fontId="52" numFmtId="0" xfId="0" applyAlignment="1" applyFont="1">
      <alignment horizontal="center" readingOrder="0" shrinkToFit="0" vertical="center" wrapText="1"/>
    </xf>
    <xf borderId="0" fillId="0" fontId="7" numFmtId="0" xfId="0" applyAlignment="1" applyFont="1">
      <alignment shrinkToFit="0" vertical="center" wrapText="1"/>
    </xf>
    <xf borderId="0" fillId="18" fontId="5" numFmtId="0" xfId="0" applyFont="1"/>
    <xf borderId="0" fillId="8" fontId="3" numFmtId="0" xfId="0" applyAlignment="1" applyFont="1">
      <alignment horizontal="center" shrinkToFit="0" vertical="center" wrapText="1"/>
    </xf>
    <xf borderId="0" fillId="2" fontId="63" numFmtId="0" xfId="0" applyAlignment="1" applyFont="1">
      <alignment readingOrder="0" shrinkToFit="0" vertical="center" wrapText="1"/>
    </xf>
    <xf borderId="0" fillId="2" fontId="63" numFmtId="0" xfId="0" applyAlignment="1" applyFont="1">
      <alignment horizontal="left" shrinkToFit="0" vertical="center" wrapText="1"/>
    </xf>
    <xf borderId="0" fillId="2" fontId="63" numFmtId="0" xfId="0" applyAlignment="1" applyFont="1">
      <alignment horizontal="left" readingOrder="0" shrinkToFit="0" vertical="center" wrapText="1"/>
    </xf>
    <xf borderId="0" fillId="2" fontId="63" numFmtId="0" xfId="0" applyAlignment="1" applyFont="1">
      <alignment shrinkToFit="0" vertical="center" wrapText="1"/>
    </xf>
    <xf borderId="0" fillId="2" fontId="63"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19" fontId="17" numFmtId="0" xfId="0" applyAlignment="1" applyFill="1" applyFont="1">
      <alignment horizontal="center" shrinkToFit="0" vertical="center" wrapText="1"/>
    </xf>
    <xf borderId="0" fillId="8" fontId="6" numFmtId="0" xfId="0" applyAlignment="1" applyFont="1">
      <alignment horizontal="center" shrinkToFit="0" vertical="center" wrapText="1"/>
    </xf>
    <xf borderId="0" fillId="19" fontId="7" numFmtId="0" xfId="0" applyAlignment="1" applyFont="1">
      <alignment horizontal="center" shrinkToFit="0" vertical="center" wrapText="1"/>
    </xf>
    <xf borderId="0" fillId="8" fontId="7" numFmtId="0" xfId="0" applyAlignment="1" applyFont="1">
      <alignment horizontal="center" shrinkToFit="0" vertical="center" wrapText="1"/>
    </xf>
    <xf borderId="0" fillId="9" fontId="64" numFmtId="0" xfId="0" applyAlignment="1" applyFont="1">
      <alignment horizontal="center" shrinkToFit="0" vertical="center" wrapText="1"/>
    </xf>
    <xf borderId="0" fillId="8" fontId="64" numFmtId="0" xfId="0" applyAlignment="1" applyFont="1">
      <alignment horizontal="center" shrinkToFit="0" vertical="center" wrapText="1"/>
    </xf>
    <xf borderId="0" fillId="8" fontId="65" numFmtId="0" xfId="0" applyAlignment="1" applyFont="1">
      <alignment horizontal="center" shrinkToFit="0" vertical="center" wrapText="1"/>
    </xf>
    <xf borderId="0" fillId="8" fontId="65" numFmtId="0" xfId="0" applyAlignment="1" applyFont="1">
      <alignment horizontal="center" readingOrder="0" shrinkToFit="0" vertical="center" wrapText="1"/>
    </xf>
    <xf borderId="0" fillId="9" fontId="64" numFmtId="0" xfId="0" applyAlignment="1" applyFont="1">
      <alignment horizontal="center" readingOrder="0" shrinkToFit="0" vertical="center" wrapText="1"/>
    </xf>
    <xf borderId="0" fillId="8" fontId="7" numFmtId="0" xfId="0" applyAlignment="1" applyFont="1">
      <alignment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44" numFmtId="0" xfId="0" applyAlignment="1" applyFont="1">
      <alignment horizontal="center" vertical="center"/>
    </xf>
    <xf borderId="0" fillId="9" fontId="3" numFmtId="0" xfId="0" applyAlignment="1" applyFont="1">
      <alignment horizontal="center" readingOrder="0" shrinkToFit="0" vertical="center" wrapText="1"/>
    </xf>
    <xf borderId="0" fillId="8" fontId="7" numFmtId="0" xfId="0" applyAlignment="1" applyFont="1">
      <alignment vertical="center"/>
    </xf>
    <xf borderId="0" fillId="2" fontId="63"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7"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7" numFmtId="0" xfId="0" applyAlignment="1" applyFont="1">
      <alignment readingOrder="0" vertical="center"/>
    </xf>
    <xf borderId="0" fillId="9" fontId="3" numFmtId="0" xfId="0" applyAlignment="1" applyFont="1">
      <alignment shrinkToFit="0" wrapText="1"/>
    </xf>
    <xf borderId="0" fillId="2" fontId="3" numFmtId="0" xfId="0" applyAlignment="1" applyFont="1">
      <alignment horizontal="center" shrinkToFit="0" wrapText="1"/>
    </xf>
    <xf borderId="0" fillId="2" fontId="50" numFmtId="0" xfId="0" applyAlignment="1" applyFont="1">
      <alignment horizontal="center"/>
    </xf>
    <xf borderId="0" fillId="2" fontId="50" numFmtId="0" xfId="0" applyFont="1"/>
    <xf borderId="0" fillId="9" fontId="3" numFmtId="0" xfId="0" applyAlignment="1" applyFont="1">
      <alignment horizontal="center" shrinkToFit="0" wrapText="1"/>
    </xf>
    <xf borderId="0" fillId="8" fontId="3" numFmtId="0" xfId="0" applyAlignment="1" applyFont="1">
      <alignment horizontal="center" shrinkToFit="0" wrapText="1"/>
    </xf>
    <xf borderId="0" fillId="9" fontId="3" numFmtId="0" xfId="0" applyAlignment="1" applyFont="1">
      <alignment horizontal="left" shrinkToFit="0" wrapText="1"/>
    </xf>
    <xf borderId="0" fillId="2" fontId="50" numFmtId="0" xfId="0" applyAlignment="1" applyFont="1">
      <alignment horizontal="center" shrinkToFit="0" wrapText="1"/>
    </xf>
    <xf borderId="0" fillId="2" fontId="50" numFmtId="0" xfId="0" applyAlignment="1" applyFont="1">
      <alignment horizontal="center" shrinkToFit="0" vertical="center" wrapText="1"/>
    </xf>
    <xf borderId="0" fillId="9" fontId="7" numFmtId="0" xfId="0" applyAlignment="1" applyFont="1">
      <alignment horizontal="center" shrinkToFit="0" wrapText="1"/>
    </xf>
    <xf borderId="0" fillId="2" fontId="7" numFmtId="0" xfId="0" applyAlignment="1" applyFont="1">
      <alignment horizontal="center" shrinkToFit="0" wrapText="1"/>
    </xf>
    <xf borderId="0" fillId="2" fontId="44" numFmtId="0" xfId="0" applyAlignment="1" applyFont="1">
      <alignment horizontal="center" shrinkToFit="0" wrapText="1"/>
    </xf>
    <xf borderId="0" fillId="9" fontId="44" numFmtId="0" xfId="0" applyAlignment="1" applyFont="1">
      <alignment horizontal="center" shrinkToFit="0" wrapText="1"/>
    </xf>
    <xf borderId="0" fillId="2" fontId="44" numFmtId="0" xfId="0" applyAlignment="1" applyFont="1">
      <alignment horizontal="center"/>
    </xf>
    <xf borderId="0" fillId="2" fontId="44" numFmtId="0" xfId="0" applyFont="1"/>
    <xf borderId="0" fillId="9" fontId="7" numFmtId="0" xfId="0" applyAlignment="1" applyFont="1">
      <alignment shrinkToFit="0" wrapText="1"/>
    </xf>
    <xf borderId="0" fillId="4" fontId="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4" fontId="1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2" fontId="53" numFmtId="0" xfId="0" applyAlignment="1" applyFont="1">
      <alignment horizontal="left" readingOrder="0" shrinkToFit="0" vertical="center" wrapText="1"/>
    </xf>
    <xf borderId="0" fillId="4" fontId="58" numFmtId="0" xfId="0" applyAlignment="1" applyFont="1">
      <alignment horizontal="left" readingOrder="0" shrinkToFit="0" vertical="center" wrapText="1"/>
    </xf>
    <xf borderId="0" fillId="4" fontId="5" numFmtId="0" xfId="0" applyAlignment="1" applyFont="1">
      <alignment horizontal="left" shrinkToFit="0" vertical="center" wrapText="1"/>
    </xf>
    <xf borderId="0" fillId="9"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36" numFmtId="0" xfId="0" applyAlignment="1" applyFont="1">
      <alignment horizontal="center" shrinkToFit="0" vertical="center" wrapText="1"/>
    </xf>
    <xf borderId="0" fillId="2" fontId="36" numFmtId="0" xfId="0" applyAlignment="1" applyFont="1">
      <alignment horizontal="center" shrinkToFit="0" vertical="center" wrapText="1"/>
    </xf>
    <xf borderId="0" fillId="4" fontId="36" numFmtId="0" xfId="0" applyAlignment="1" applyFont="1">
      <alignment horizontal="center" shrinkToFit="0" vertical="center" wrapText="1"/>
    </xf>
    <xf borderId="0" fillId="10" fontId="36"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7" numFmtId="0" xfId="0" applyAlignment="1" applyFont="1">
      <alignment horizontal="center" readingOrder="0" shrinkToFit="0" vertical="center" wrapText="1"/>
    </xf>
    <xf borderId="0" fillId="10" fontId="17" numFmtId="0" xfId="0" applyAlignment="1" applyFont="1">
      <alignment horizontal="center" readingOrder="0" shrinkToFit="0" vertical="center" wrapText="1"/>
    </xf>
    <xf borderId="0" fillId="10" fontId="17" numFmtId="0" xfId="0" applyAlignment="1" applyFont="1">
      <alignment horizontal="center" shrinkToFit="0" vertical="center" wrapText="1"/>
    </xf>
    <xf borderId="0" fillId="0" fontId="17" numFmtId="0" xfId="0" applyAlignment="1" applyFont="1">
      <alignment horizontal="center" readingOrder="0" shrinkToFit="0" vertical="center" wrapText="1"/>
    </xf>
    <xf borderId="0" fillId="10" fontId="52" numFmtId="0" xfId="0" applyAlignment="1" applyFont="1">
      <alignment horizontal="center" shrinkToFit="0" vertical="center" wrapText="1"/>
    </xf>
    <xf borderId="0" fillId="10" fontId="7" numFmtId="0" xfId="0" applyAlignment="1" applyFont="1">
      <alignment horizontal="center" vertical="center"/>
    </xf>
    <xf borderId="0" fillId="4" fontId="7" numFmtId="0" xfId="0" applyAlignment="1" applyFont="1">
      <alignment horizontal="center" vertical="center"/>
    </xf>
    <xf borderId="0" fillId="9" fontId="7" numFmtId="0" xfId="0" applyAlignment="1" applyFont="1">
      <alignment horizontal="center" readingOrder="0" vertical="center"/>
    </xf>
    <xf borderId="0" fillId="10" fontId="7" numFmtId="0" xfId="0" applyAlignment="1" applyFont="1">
      <alignment horizontal="center" vertical="center"/>
    </xf>
    <xf borderId="0" fillId="0" fontId="17" numFmtId="0" xfId="0" applyAlignment="1" applyFont="1">
      <alignment horizontal="center" shrinkToFit="0" vertical="center" wrapText="1"/>
    </xf>
    <xf borderId="0" fillId="2" fontId="6" numFmtId="0" xfId="0" applyAlignment="1" applyFont="1">
      <alignment horizontal="center" shrinkToFit="0" vertical="center" wrapText="1"/>
    </xf>
    <xf borderId="0" fillId="4" fontId="6" numFmtId="0" xfId="0" applyAlignment="1" applyFont="1">
      <alignment horizontal="center" shrinkToFit="0" vertical="center" wrapText="1"/>
    </xf>
    <xf borderId="0" fillId="10" fontId="6" numFmtId="0" xfId="0" applyAlignment="1" applyFont="1">
      <alignment horizontal="center" shrinkToFit="0" vertical="center" wrapText="1"/>
    </xf>
    <xf borderId="0" fillId="9" fontId="7" numFmtId="0" xfId="0" applyAlignment="1" applyFont="1">
      <alignment horizontal="center" vertical="center"/>
    </xf>
    <xf borderId="0" fillId="2" fontId="7" numFmtId="0" xfId="0" applyAlignment="1" applyFont="1">
      <alignment horizontal="center" vertical="center"/>
    </xf>
    <xf borderId="0" fillId="4" fontId="7" numFmtId="0" xfId="0" applyAlignment="1" applyFont="1">
      <alignment horizontal="center" vertical="center"/>
    </xf>
    <xf borderId="0" fillId="9" fontId="17" numFmtId="0" xfId="0" applyAlignment="1" applyFont="1">
      <alignment horizontal="center" vertical="center"/>
    </xf>
    <xf borderId="0" fillId="2" fontId="17" numFmtId="0" xfId="0" applyAlignment="1" applyFont="1">
      <alignment horizontal="center" vertical="center"/>
    </xf>
    <xf borderId="0" fillId="4" fontId="17" numFmtId="0" xfId="0" applyAlignment="1" applyFont="1">
      <alignment horizontal="center" vertical="center"/>
    </xf>
    <xf borderId="0" fillId="10" fontId="17" numFmtId="0" xfId="0" applyAlignment="1" applyFont="1">
      <alignment horizontal="center" vertical="center"/>
    </xf>
    <xf borderId="0" fillId="16"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7" fontId="2" numFmtId="0" xfId="0" applyAlignment="1" applyFont="1">
      <alignment horizontal="center" shrinkToFit="0" vertical="center" wrapText="1"/>
    </xf>
    <xf borderId="0" fillId="19" fontId="2" numFmtId="0" xfId="0" applyAlignment="1" applyFont="1">
      <alignment horizontal="center" readingOrder="0" shrinkToFit="0" vertical="center" wrapText="1"/>
    </xf>
    <xf borderId="0" fillId="7" fontId="44" numFmtId="0" xfId="0" applyAlignment="1" applyFont="1">
      <alignment horizontal="center" shrinkToFit="0" wrapText="1"/>
    </xf>
    <xf borderId="0" fillId="20" fontId="44" numFmtId="0" xfId="0" applyAlignment="1" applyFill="1" applyFont="1">
      <alignment horizontal="center" shrinkToFit="0" wrapText="1"/>
    </xf>
    <xf borderId="0" fillId="0" fontId="36" numFmtId="0" xfId="0" applyAlignment="1" applyFont="1">
      <alignment horizontal="center" shrinkToFit="0" vertical="center" wrapText="1"/>
    </xf>
    <xf borderId="0" fillId="16" fontId="17" numFmtId="0" xfId="0" applyAlignment="1" applyFont="1">
      <alignment horizontal="left" readingOrder="0" shrinkToFit="0" vertical="center" wrapText="1"/>
    </xf>
    <xf borderId="0" fillId="17" fontId="17" numFmtId="0" xfId="0" applyAlignment="1" applyFont="1">
      <alignment horizontal="left" shrinkToFit="0" vertical="center" wrapText="1"/>
    </xf>
    <xf borderId="0" fillId="19" fontId="17" numFmtId="0" xfId="0" applyAlignment="1" applyFont="1">
      <alignment horizontal="left" readingOrder="0" shrinkToFit="0" vertical="center" wrapText="1"/>
    </xf>
    <xf borderId="0" fillId="7" fontId="7" numFmtId="0" xfId="0" applyAlignment="1" applyFont="1">
      <alignment horizontal="center" shrinkToFit="0" wrapText="1"/>
    </xf>
    <xf borderId="0" fillId="20" fontId="44" numFmtId="0" xfId="0" applyAlignment="1" applyFont="1">
      <alignment horizontal="left" shrinkToFit="0" wrapText="1"/>
    </xf>
    <xf borderId="0" fillId="7" fontId="7" numFmtId="0" xfId="0" applyAlignment="1" applyFont="1">
      <alignment horizontal="center" readingOrder="0" shrinkToFit="0" wrapText="1"/>
    </xf>
    <xf borderId="0" fillId="16" fontId="66" numFmtId="0" xfId="0" applyAlignment="1" applyFont="1">
      <alignment readingOrder="0" shrinkToFit="0" wrapText="1"/>
    </xf>
    <xf borderId="0" fillId="2" fontId="67" numFmtId="0" xfId="0" applyAlignment="1" applyFont="1">
      <alignment readingOrder="0" shrinkToFit="0" wrapText="1"/>
    </xf>
    <xf borderId="0" fillId="4" fontId="68" numFmtId="0" xfId="0" applyAlignment="1" applyFont="1">
      <alignment readingOrder="0" shrinkToFit="0" wrapText="1"/>
    </xf>
    <xf borderId="0" fillId="17" fontId="69" numFmtId="0" xfId="0" applyAlignment="1" applyFont="1">
      <alignment readingOrder="0" shrinkToFit="0" wrapText="1"/>
    </xf>
    <xf borderId="0" fillId="19" fontId="70" numFmtId="0" xfId="0" applyAlignment="1" applyFont="1">
      <alignment readingOrder="0" shrinkToFit="0" wrapText="1"/>
    </xf>
    <xf borderId="0" fillId="8" fontId="71" numFmtId="0" xfId="0" applyAlignment="1" applyFont="1">
      <alignment shrinkToFit="0" vertical="center" wrapText="1"/>
    </xf>
    <xf borderId="0" fillId="7" fontId="72" numFmtId="0" xfId="0" applyAlignment="1" applyFont="1">
      <alignment horizontal="left" readingOrder="0" shrinkToFit="0" wrapText="1"/>
    </xf>
    <xf borderId="0" fillId="20" fontId="73" numFmtId="0" xfId="0" applyAlignment="1" applyFont="1">
      <alignment horizontal="left" readingOrder="0" shrinkToFit="0" wrapText="1"/>
    </xf>
    <xf borderId="0" fillId="0" fontId="17" numFmtId="0" xfId="0" applyAlignment="1" applyFont="1">
      <alignment horizontal="left" readingOrder="0" shrinkToFit="0" vertical="center" wrapText="1"/>
    </xf>
    <xf borderId="0" fillId="9" fontId="45" numFmtId="0" xfId="0" applyAlignment="1" applyFont="1">
      <alignment horizontal="left" readingOrder="0" shrinkToFit="0" vertical="center" wrapText="1"/>
    </xf>
    <xf borderId="0" fillId="2" fontId="45" numFmtId="0" xfId="0" applyAlignment="1" applyFont="1">
      <alignment horizontal="left" shrinkToFit="0" vertical="center" wrapText="1"/>
    </xf>
    <xf borderId="0" fillId="4" fontId="45" numFmtId="0" xfId="0" applyAlignment="1" applyFont="1">
      <alignment horizontal="left" shrinkToFit="0" vertical="center" wrapText="1"/>
    </xf>
    <xf borderId="0" fillId="10" fontId="44" numFmtId="0" xfId="0" applyAlignment="1" applyFont="1">
      <alignment horizontal="center" vertical="center"/>
    </xf>
    <xf borderId="0" fillId="0" fontId="44" numFmtId="0" xfId="0" applyAlignment="1" applyFont="1">
      <alignment horizontal="left" vertical="center"/>
    </xf>
    <xf borderId="0" fillId="9" fontId="74" numFmtId="0" xfId="0" applyAlignment="1" applyFont="1">
      <alignment horizontal="left" shrinkToFit="0" vertical="center" wrapText="1"/>
    </xf>
    <xf borderId="0" fillId="4"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4" numFmtId="0" xfId="0" applyAlignment="1" applyFont="1">
      <alignment horizontal="left" vertical="center"/>
    </xf>
    <xf borderId="0" fillId="9" fontId="1" numFmtId="0" xfId="0" applyAlignment="1" applyFont="1">
      <alignment horizontal="left" vertical="center"/>
    </xf>
    <xf borderId="0" fillId="21" fontId="1" numFmtId="0" xfId="0" applyAlignment="1" applyFill="1" applyFont="1">
      <alignment horizontal="center" shrinkToFit="0" vertical="center" wrapText="1"/>
    </xf>
    <xf borderId="0" fillId="9" fontId="44" numFmtId="0" xfId="0" applyAlignment="1" applyFont="1">
      <alignment horizontal="left" vertical="center"/>
    </xf>
    <xf borderId="0" fillId="2" fontId="44" numFmtId="0" xfId="0" applyAlignment="1" applyFont="1">
      <alignment horizontal="left" vertical="center"/>
    </xf>
    <xf borderId="0" fillId="4" fontId="44" numFmtId="0" xfId="0" applyAlignment="1" applyFont="1">
      <alignment horizontal="left" vertical="center"/>
    </xf>
    <xf borderId="0" fillId="21" fontId="44" numFmtId="0" xfId="0" applyAlignment="1" applyFont="1">
      <alignment horizontal="center" vertical="center"/>
    </xf>
    <xf borderId="0" fillId="4" fontId="45" numFmtId="0" xfId="0" applyAlignment="1" applyFont="1">
      <alignment horizontal="center" readingOrder="0" shrinkToFit="0" vertical="center" wrapText="1"/>
    </xf>
    <xf borderId="0" fillId="17" fontId="2" numFmtId="0" xfId="0" applyAlignment="1" applyFont="1">
      <alignment horizontal="center" readingOrder="0" shrinkToFit="0" vertical="center" wrapText="1"/>
    </xf>
    <xf borderId="0" fillId="7" fontId="45" numFmtId="0" xfId="0" applyAlignment="1" applyFont="1">
      <alignment horizontal="center" shrinkToFit="0" vertical="bottom" wrapText="1"/>
    </xf>
    <xf borderId="0" fillId="20" fontId="45" numFmtId="0" xfId="0" applyAlignment="1" applyFont="1">
      <alignment horizontal="center" shrinkToFit="0" vertical="bottom" wrapText="1"/>
    </xf>
    <xf borderId="0" fillId="20" fontId="45" numFmtId="0" xfId="0" applyAlignment="1" applyFont="1">
      <alignment horizontal="center" readingOrder="0" shrinkToFit="0" vertical="bottom" wrapText="1"/>
    </xf>
    <xf borderId="0" fillId="4" fontId="7" numFmtId="0" xfId="0" applyAlignment="1" applyFont="1">
      <alignment readingOrder="0" shrinkToFit="0" vertical="center" wrapText="1"/>
    </xf>
    <xf borderId="0" fillId="17" fontId="17" numFmtId="0" xfId="0" applyAlignment="1" applyFont="1">
      <alignment horizontal="left" readingOrder="0" shrinkToFit="0" vertical="center" wrapText="1"/>
    </xf>
    <xf borderId="0" fillId="7" fontId="7" numFmtId="0" xfId="0" applyAlignment="1" applyFont="1">
      <alignment shrinkToFit="0" vertical="bottom" wrapText="1"/>
    </xf>
    <xf borderId="0" fillId="20" fontId="45" numFmtId="0" xfId="0" applyAlignment="1" applyFont="1">
      <alignment horizontal="left" shrinkToFit="0" vertical="bottom" wrapText="1"/>
    </xf>
    <xf borderId="0" fillId="16" fontId="75" numFmtId="0" xfId="0" applyAlignment="1" applyFont="1">
      <alignment horizontal="left" readingOrder="0" shrinkToFit="0" vertical="center" wrapText="1"/>
    </xf>
    <xf borderId="0" fillId="2" fontId="76" numFmtId="0" xfId="0" applyAlignment="1" applyFont="1">
      <alignment horizontal="left" readingOrder="0" shrinkToFit="0" vertical="center" wrapText="1"/>
    </xf>
    <xf borderId="0" fillId="4" fontId="17" numFmtId="0" xfId="0" applyAlignment="1" applyFont="1">
      <alignment horizontal="left" shrinkToFit="0" vertical="center" wrapText="1"/>
    </xf>
    <xf borderId="0" fillId="4" fontId="77" numFmtId="0" xfId="0" applyAlignment="1" applyFont="1">
      <alignment horizontal="left" readingOrder="0" shrinkToFit="0" vertical="center" wrapText="1"/>
    </xf>
    <xf borderId="0" fillId="17" fontId="78" numFmtId="0" xfId="0" applyAlignment="1" applyFont="1">
      <alignment horizontal="left" readingOrder="0" shrinkToFit="0" vertical="center" wrapText="1"/>
    </xf>
    <xf borderId="0" fillId="19" fontId="17" numFmtId="0" xfId="0" applyAlignment="1" applyFont="1">
      <alignment horizontal="left" shrinkToFit="0" vertical="center" wrapText="1"/>
    </xf>
    <xf borderId="0" fillId="19" fontId="79" numFmtId="0" xfId="0" applyAlignment="1" applyFont="1">
      <alignment horizontal="left" readingOrder="0" shrinkToFit="0" vertical="center" wrapText="1"/>
    </xf>
    <xf borderId="0" fillId="7" fontId="44" numFmtId="0" xfId="0" applyAlignment="1" applyFont="1">
      <alignment vertical="bottom"/>
    </xf>
    <xf borderId="0" fillId="7" fontId="80" numFmtId="0" xfId="0" applyAlignment="1" applyFont="1">
      <alignment horizontal="left" readingOrder="0" shrinkToFit="0" vertical="center" wrapText="1"/>
    </xf>
    <xf borderId="0" fillId="20" fontId="81" numFmtId="0" xfId="0" applyAlignment="1" applyFont="1">
      <alignment horizontal="left" readingOrder="0" shrinkToFit="0" vertical="bottom" wrapText="1"/>
    </xf>
    <xf borderId="0" fillId="0" fontId="57"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2514600</xdr:colOff>
      <xdr:row>31</xdr:row>
      <xdr:rowOff>609600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store.steampowered.com/app/3238940/_/" TargetMode="External"/><Relationship Id="rId34" Type="http://schemas.openxmlformats.org/officeDocument/2006/relationships/hyperlink" Target="https://store.steampowered.com/app/3238940/_/"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discord.gg/2Bt7RWknyH" TargetMode="External"/><Relationship Id="rId23" Type="http://schemas.openxmlformats.org/officeDocument/2006/relationships/hyperlink" Target="https://discord.gg/2Bt7RWknyH"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home.gamer.com.tw/artwork.php?sn=6032493" TargetMode="External"/><Relationship Id="rId94" Type="http://schemas.openxmlformats.org/officeDocument/2006/relationships/hyperlink" Target="https://home.gamer.com.tw/artwork.php?sn=6032493" TargetMode="External"/><Relationship Id="rId97" Type="http://schemas.openxmlformats.org/officeDocument/2006/relationships/hyperlink" Target="https://www.bilibili.com/opus/985591575966908440?spm_id_from=333.999.0.0" TargetMode="External"/><Relationship Id="rId96" Type="http://schemas.openxmlformats.org/officeDocument/2006/relationships/hyperlink" Target="https://home.gamer.com.tw/artwork.php?sn=6032493" TargetMode="External"/><Relationship Id="rId11" Type="http://schemas.openxmlformats.org/officeDocument/2006/relationships/hyperlink" Target="https://docs.google.com/spreadsheets/d/e/2PACX-1vSc9bl2zSdkbhz_EeRndV7lSRBVSBtMRUk_rY0O1FQWWw4W0XVm9_ja__2ClO2BMfCJrN-YnlMAd-OL/pubhtml"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drawing" Target="../drawings/drawing1.xml"/><Relationship Id="rId13" Type="http://schemas.openxmlformats.org/officeDocument/2006/relationships/hyperlink" Target="https://maidbunnycorp.github.io/UsadventureMap/" TargetMode="External"/><Relationship Id="rId12" Type="http://schemas.openxmlformats.org/officeDocument/2006/relationships/hyperlink" Target="https://maidbunnycorp.github.io/UsadventureMap/"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hyperlink" Target="https://home.gamer.com.tw/artwork.php?sn=6032493" TargetMode="External"/><Relationship Id="rId92" Type="http://schemas.openxmlformats.org/officeDocument/2006/relationships/hyperlink" Target="https://store.steampowered.com/app/3238940/_/" TargetMode="External"/><Relationship Id="rId15" Type="http://schemas.openxmlformats.org/officeDocument/2006/relationships/hyperlink" Target="https://maidbunnycorp.github.io/UsadventureMap/"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 Id="rId84" Type="http://schemas.openxmlformats.org/officeDocument/2006/relationships/hyperlink" Target="https://store.steampowered.com/app/3238940/_/" TargetMode="External"/><Relationship Id="rId83" Type="http://schemas.openxmlformats.org/officeDocument/2006/relationships/hyperlink" Target="https://ci-en.dlsite.com/creator/24375/plan" TargetMode="External"/><Relationship Id="rId86" Type="http://schemas.openxmlformats.org/officeDocument/2006/relationships/hyperlink" Target="https://store.steampowered.com/app/3238940/_/" TargetMode="External"/><Relationship Id="rId85" Type="http://schemas.openxmlformats.org/officeDocument/2006/relationships/hyperlink" Target="https://perohub.com/posts/6773ed3e7e0707642a5c7882" TargetMode="External"/><Relationship Id="rId88" Type="http://schemas.openxmlformats.org/officeDocument/2006/relationships/hyperlink" Target="https://store.steampowered.com/app/3238940/_/" TargetMode="External"/><Relationship Id="rId87" Type="http://schemas.openxmlformats.org/officeDocument/2006/relationships/hyperlink" Target="https://perohub.com/posts/6773ed3e7e0707642a5c7882"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nlch.fanbox.cc/posts/9317203" TargetMode="External"/><Relationship Id="rId72" Type="http://schemas.openxmlformats.org/officeDocument/2006/relationships/hyperlink" Target="https://nlch.fanbox.cc/posts/9317203" TargetMode="External"/><Relationship Id="rId75" Type="http://schemas.openxmlformats.org/officeDocument/2006/relationships/hyperlink" Target="https://ci-en.dlsite.com/creator/24375/plan" TargetMode="External"/><Relationship Id="rId74" Type="http://schemas.openxmlformats.org/officeDocument/2006/relationships/hyperlink" Target="https://ci-en.dlsite.com/creator/24375/plan" TargetMode="External"/><Relationship Id="rId77" Type="http://schemas.openxmlformats.org/officeDocument/2006/relationships/hyperlink" Target="https://ci-en.dlsite.com/creator/24375/plan" TargetMode="External"/><Relationship Id="rId76" Type="http://schemas.openxmlformats.org/officeDocument/2006/relationships/hyperlink" Target="https://ci-en.dlsite.com/creator/24375/plan" TargetMode="External"/><Relationship Id="rId79" Type="http://schemas.openxmlformats.org/officeDocument/2006/relationships/hyperlink" Target="https://ci-en.dlsite.com/creator/24375/plan"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nlch.fanbox.cc/posts/9317203"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ci-en.dlsite.com/creator/24375/plan" TargetMode="External"/><Relationship Id="rId65" Type="http://schemas.openxmlformats.org/officeDocument/2006/relationships/hyperlink" Target="https://ci-en.dlsite.com/creator/24375/plan" TargetMode="External"/><Relationship Id="rId68" Type="http://schemas.openxmlformats.org/officeDocument/2006/relationships/hyperlink" Target="https://nlch.fanbox.cc/posts/9317203" TargetMode="External"/><Relationship Id="rId67" Type="http://schemas.openxmlformats.org/officeDocument/2006/relationships/hyperlink" Target="https://ci-en.dlsite.com/creator/24375/plan" TargetMode="External"/><Relationship Id="rId60" Type="http://schemas.openxmlformats.org/officeDocument/2006/relationships/hyperlink" Target="https://perohub.com/posts/6773ed3e7e0707642a5c7882" TargetMode="External"/><Relationship Id="rId69" Type="http://schemas.openxmlformats.org/officeDocument/2006/relationships/hyperlink" Target="https://nlch.fanbox.cc/posts/9317203"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devlog/879085/demo-v065a-release"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perohub.com/posts/6773ed3e7e0707642a5c7882" TargetMode="External"/><Relationship Id="rId56" Type="http://schemas.openxmlformats.org/officeDocument/2006/relationships/hyperlink" Target="https://perohub.com/posts/6773ed3e7e0707642a5c7882" TargetMode="External"/><Relationship Id="rId59" Type="http://schemas.openxmlformats.org/officeDocument/2006/relationships/hyperlink" Target="https://perohub.com/posts/6773ed3e7e0707642a5c7882" TargetMode="External"/><Relationship Id="rId58" Type="http://schemas.openxmlformats.org/officeDocument/2006/relationships/hyperlink" Target="https://perohub.com/posts/6773ed3e7e0707642a5c78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1" width="47.63"/>
    <col customWidth="1" min="12" max="25" width="44.38"/>
  </cols>
  <sheetData>
    <row r="1" ht="279.0"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Asistencia en la compilación de datos: Nanshan, Luoran
Traduc"&amp;"tores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데이터 편집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데이터 편집 지원: Nanshan, Luoran
이전 번역: maltsey, zNagato
인터랙티브 지도 웹사이트 제작: Ruika
지도 파일 제작: mioakatukaze</v>
      </c>
      <c r="G1" s="3" t="s">
        <v>3</v>
      </c>
      <c r="H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Unterstützung bei der Datenzusammenstellung: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Unterstützung bei der Datenzusammenstellung: Nanshan, Luoran
Frühere Übersetzer: maltsey, zNagato
Erstellung der interaktiven Karten-Website: Ruika
Erstellung der Kartendatei: mioakatukaze</v>
      </c>
      <c r="I1" s="5" t="s">
        <v>4</v>
      </c>
      <c r="J1" s="6" t="s">
        <v>5</v>
      </c>
      <c r="K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Bantuan "&amp;"Kompilasi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Bantuan Kompilasi Data: Nanshan, Luoran
Penerjemah Sebelumnya: maltsey, zNagato
Pembuatan Situs Web Peta Interaktif: Ruika
Pembuatan File Peta: mioakatukaze</v>
      </c>
      <c r="L1" s="8"/>
      <c r="M1" s="8"/>
      <c r="N1" s="8"/>
      <c r="O1" s="8"/>
      <c r="P1" s="8"/>
      <c r="Q1" s="8"/>
      <c r="R1" s="8"/>
      <c r="S1" s="8"/>
      <c r="T1" s="8"/>
      <c r="U1" s="8"/>
      <c r="V1" s="8"/>
      <c r="W1" s="8"/>
      <c r="X1" s="8"/>
      <c r="Y1" s="8"/>
    </row>
    <row r="2" ht="171.75" customHeight="1">
      <c r="A2" s="9" t="s">
        <v>6</v>
      </c>
      <c r="B2" s="10" t="s">
        <v>7</v>
      </c>
      <c r="C2" s="11" t="s">
        <v>8</v>
      </c>
      <c r="D2" s="12" t="s">
        <v>9</v>
      </c>
      <c r="E2" s="11" t="s">
        <v>10</v>
      </c>
      <c r="F2" s="13" t="s">
        <v>11</v>
      </c>
      <c r="G2" s="11" t="s">
        <v>12</v>
      </c>
      <c r="H2" s="11" t="s">
        <v>13</v>
      </c>
      <c r="I2" s="14" t="s">
        <v>14</v>
      </c>
      <c r="J2" s="11" t="s">
        <v>15</v>
      </c>
      <c r="K2" s="15" t="s">
        <v>16</v>
      </c>
      <c r="L2" s="16"/>
      <c r="M2" s="16"/>
      <c r="N2" s="16"/>
      <c r="O2" s="16"/>
      <c r="P2" s="16"/>
      <c r="Q2" s="16"/>
      <c r="R2" s="16"/>
      <c r="S2" s="16"/>
      <c r="T2" s="16"/>
      <c r="U2" s="16"/>
      <c r="V2" s="16"/>
      <c r="W2" s="16"/>
      <c r="X2" s="16"/>
      <c r="Y2" s="16"/>
    </row>
    <row r="3" ht="457.5" customHeight="1">
      <c r="A3" s="17" t="s">
        <v>17</v>
      </c>
      <c r="B3" s="18" t="s">
        <v>18</v>
      </c>
      <c r="C3" s="18" t="s">
        <v>19</v>
      </c>
      <c r="D3" s="19" t="s">
        <v>20</v>
      </c>
      <c r="E3" s="3" t="str">
        <f>IFERROR(__xludf.DUMMYFUNCTION("GOOGLETRANSLATE(A3,""zh-tw"",""es-MX"")"),"※※※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3" s="20" t="s">
        <v>21</v>
      </c>
      <c r="G3" s="3" t="s">
        <v>22</v>
      </c>
      <c r="H3" s="18" t="s">
        <v>23</v>
      </c>
      <c r="I3" s="21" t="s">
        <v>24</v>
      </c>
      <c r="J3" s="18" t="s">
        <v>25</v>
      </c>
      <c r="K3" s="18" t="s">
        <v>26</v>
      </c>
      <c r="L3" s="16"/>
      <c r="M3" s="16"/>
      <c r="N3" s="16"/>
      <c r="O3" s="16"/>
      <c r="P3" s="16"/>
      <c r="Q3" s="16"/>
      <c r="R3" s="16"/>
      <c r="S3" s="16"/>
      <c r="T3" s="16"/>
      <c r="U3" s="16"/>
      <c r="V3" s="16"/>
      <c r="W3" s="16"/>
      <c r="X3" s="16"/>
      <c r="Y3" s="16"/>
    </row>
    <row r="4" ht="517.5" customHeight="1">
      <c r="A4" s="17" t="s">
        <v>27</v>
      </c>
      <c r="B4" s="18" t="s">
        <v>28</v>
      </c>
      <c r="C4" s="18" t="s">
        <v>29</v>
      </c>
      <c r="D4" s="19" t="s">
        <v>30</v>
      </c>
      <c r="E4" s="3"/>
      <c r="F4" s="20"/>
      <c r="G4" s="18" t="s">
        <v>31</v>
      </c>
      <c r="H4" s="18"/>
      <c r="I4" s="21" t="s">
        <v>32</v>
      </c>
      <c r="J4" s="18" t="s">
        <v>33</v>
      </c>
      <c r="K4" s="18"/>
      <c r="L4" s="16"/>
      <c r="M4" s="16"/>
      <c r="N4" s="16"/>
      <c r="O4" s="16"/>
      <c r="P4" s="16"/>
      <c r="Q4" s="16"/>
      <c r="R4" s="16"/>
      <c r="S4" s="16"/>
      <c r="T4" s="16"/>
      <c r="U4" s="16"/>
      <c r="V4" s="16"/>
      <c r="W4" s="16"/>
      <c r="X4" s="16"/>
      <c r="Y4" s="16"/>
    </row>
    <row r="5">
      <c r="A5" s="22" t="s">
        <v>34</v>
      </c>
      <c r="B5" s="22" t="s">
        <v>35</v>
      </c>
      <c r="C5" s="22" t="s">
        <v>36</v>
      </c>
      <c r="D5" s="22" t="s">
        <v>37</v>
      </c>
      <c r="E5" s="22" t="s">
        <v>38</v>
      </c>
      <c r="F5" s="23" t="s">
        <v>39</v>
      </c>
      <c r="G5" s="22" t="s">
        <v>40</v>
      </c>
      <c r="H5" s="22" t="s">
        <v>41</v>
      </c>
      <c r="I5" s="24" t="s">
        <v>42</v>
      </c>
      <c r="J5" s="25" t="s">
        <v>43</v>
      </c>
      <c r="K5" s="26" t="s">
        <v>44</v>
      </c>
      <c r="L5" s="8"/>
      <c r="M5" s="8"/>
      <c r="N5" s="8"/>
      <c r="O5" s="8"/>
      <c r="P5" s="8"/>
      <c r="Q5" s="8"/>
      <c r="R5" s="8"/>
      <c r="S5" s="8"/>
      <c r="T5" s="8"/>
      <c r="U5" s="8"/>
      <c r="V5" s="8"/>
      <c r="W5" s="8"/>
      <c r="X5" s="8"/>
      <c r="Y5" s="8"/>
    </row>
    <row r="6">
      <c r="A6" s="27"/>
      <c r="B6" s="27"/>
      <c r="C6" s="27"/>
      <c r="D6" s="27"/>
      <c r="E6" s="3"/>
      <c r="F6" s="28"/>
      <c r="G6" s="3"/>
      <c r="H6" s="3"/>
      <c r="I6" s="29"/>
      <c r="J6" s="7"/>
      <c r="K6" s="7"/>
      <c r="L6" s="8"/>
      <c r="M6" s="8"/>
      <c r="N6" s="8"/>
      <c r="O6" s="8"/>
      <c r="P6" s="8"/>
      <c r="Q6" s="8"/>
      <c r="R6" s="8"/>
      <c r="S6" s="8"/>
      <c r="T6" s="8"/>
      <c r="U6" s="8"/>
      <c r="V6" s="8"/>
      <c r="W6" s="8"/>
      <c r="X6" s="8"/>
      <c r="Y6" s="8"/>
    </row>
    <row r="7">
      <c r="A7" s="30" t="s">
        <v>45</v>
      </c>
      <c r="B7" s="31" t="s">
        <v>46</v>
      </c>
      <c r="C7" s="31" t="s">
        <v>47</v>
      </c>
      <c r="D7" s="31" t="s">
        <v>48</v>
      </c>
      <c r="E7" s="31" t="s">
        <v>49</v>
      </c>
      <c r="F7" s="32" t="s">
        <v>50</v>
      </c>
      <c r="G7" s="33" t="s">
        <v>51</v>
      </c>
      <c r="H7" s="33" t="s">
        <v>52</v>
      </c>
      <c r="I7" s="34" t="s">
        <v>53</v>
      </c>
      <c r="J7" s="35" t="s">
        <v>54</v>
      </c>
      <c r="K7" s="35" t="s">
        <v>55</v>
      </c>
      <c r="L7" s="8"/>
      <c r="M7" s="8"/>
      <c r="N7" s="8"/>
      <c r="O7" s="8"/>
      <c r="P7" s="8"/>
      <c r="Q7" s="8"/>
      <c r="R7" s="8"/>
      <c r="S7" s="8"/>
      <c r="T7" s="8"/>
      <c r="U7" s="8"/>
      <c r="V7" s="8"/>
      <c r="W7" s="8"/>
      <c r="X7" s="8"/>
      <c r="Y7" s="8"/>
    </row>
    <row r="8">
      <c r="A8" s="30" t="s">
        <v>56</v>
      </c>
      <c r="B8" s="30" t="s">
        <v>57</v>
      </c>
      <c r="C8" s="30" t="s">
        <v>57</v>
      </c>
      <c r="D8" s="30" t="s">
        <v>57</v>
      </c>
      <c r="E8" s="30" t="s">
        <v>57</v>
      </c>
      <c r="F8" s="36" t="s">
        <v>57</v>
      </c>
      <c r="G8" s="30" t="s">
        <v>57</v>
      </c>
      <c r="H8" s="30" t="s">
        <v>57</v>
      </c>
      <c r="I8" s="37" t="s">
        <v>57</v>
      </c>
      <c r="J8" s="36" t="s">
        <v>57</v>
      </c>
      <c r="K8" s="36" t="s">
        <v>57</v>
      </c>
      <c r="L8" s="8"/>
      <c r="M8" s="8"/>
      <c r="N8" s="8"/>
      <c r="O8" s="8"/>
      <c r="P8" s="8"/>
      <c r="Q8" s="8"/>
      <c r="R8" s="8"/>
      <c r="S8" s="8"/>
      <c r="T8" s="8"/>
      <c r="U8" s="8"/>
      <c r="V8" s="8"/>
      <c r="W8" s="8"/>
      <c r="X8" s="8"/>
      <c r="Y8" s="8"/>
    </row>
    <row r="9">
      <c r="A9" s="30" t="s">
        <v>58</v>
      </c>
      <c r="B9" s="30" t="s">
        <v>59</v>
      </c>
      <c r="C9" s="30" t="s">
        <v>60</v>
      </c>
      <c r="D9" s="30" t="s">
        <v>61</v>
      </c>
      <c r="E9" s="33" t="s">
        <v>62</v>
      </c>
      <c r="F9" s="32" t="s">
        <v>63</v>
      </c>
      <c r="G9" s="33" t="s">
        <v>64</v>
      </c>
      <c r="H9" s="33" t="s">
        <v>65</v>
      </c>
      <c r="I9" s="38" t="s">
        <v>66</v>
      </c>
      <c r="J9" s="35" t="s">
        <v>67</v>
      </c>
      <c r="K9" s="35" t="s">
        <v>68</v>
      </c>
      <c r="L9" s="8"/>
      <c r="M9" s="8"/>
      <c r="N9" s="8"/>
      <c r="O9" s="8"/>
      <c r="P9" s="8"/>
      <c r="Q9" s="8"/>
      <c r="R9" s="8"/>
      <c r="S9" s="8"/>
      <c r="T9" s="8"/>
      <c r="U9" s="8"/>
      <c r="V9" s="8"/>
      <c r="W9" s="8"/>
      <c r="X9" s="8"/>
      <c r="Y9" s="8"/>
    </row>
    <row r="10">
      <c r="A10" s="30" t="s">
        <v>69</v>
      </c>
      <c r="B10" s="31" t="s">
        <v>70</v>
      </c>
      <c r="C10" s="31" t="s">
        <v>71</v>
      </c>
      <c r="D10" s="39" t="s">
        <v>72</v>
      </c>
      <c r="E10" s="31" t="s">
        <v>73</v>
      </c>
      <c r="F10" s="40" t="s">
        <v>74</v>
      </c>
      <c r="G10" s="31" t="s">
        <v>75</v>
      </c>
      <c r="H10" s="41" t="str">
        <f>IFERROR(__xludf.DUMMYFUNCTION("GOOGLETRANSLATE(F10,""zh-tw"",""en"")"),"Perohub (알리페이 지원) https://perohub.com/posts/6773ed3e7e0707642a5c7882")</f>
        <v>Perohub (알리페이 지원) https://perohub.com/posts/6773ed3e7e0707642a5c7882</v>
      </c>
      <c r="I10" s="42" t="s">
        <v>76</v>
      </c>
      <c r="J10" s="43" t="s">
        <v>77</v>
      </c>
      <c r="K10" s="35" t="s">
        <v>78</v>
      </c>
      <c r="L10" s="8"/>
      <c r="M10" s="8"/>
      <c r="N10" s="8"/>
      <c r="O10" s="8"/>
      <c r="P10" s="8"/>
      <c r="Q10" s="8"/>
      <c r="R10" s="8"/>
      <c r="S10" s="8"/>
      <c r="T10" s="8"/>
      <c r="U10" s="8"/>
      <c r="V10" s="8"/>
      <c r="W10" s="8"/>
      <c r="X10" s="8"/>
      <c r="Y10" s="8"/>
    </row>
    <row r="11">
      <c r="A11" s="30" t="s">
        <v>79</v>
      </c>
      <c r="B11" s="31" t="s">
        <v>80</v>
      </c>
      <c r="C11" s="31" t="s">
        <v>81</v>
      </c>
      <c r="D11" s="31" t="s">
        <v>82</v>
      </c>
      <c r="E11" s="33" t="s">
        <v>83</v>
      </c>
      <c r="F11" s="32" t="s">
        <v>84</v>
      </c>
      <c r="G11" s="33" t="s">
        <v>85</v>
      </c>
      <c r="H11" s="33" t="s">
        <v>86</v>
      </c>
      <c r="I11" s="44" t="s">
        <v>87</v>
      </c>
      <c r="J11" s="43" t="s">
        <v>88</v>
      </c>
      <c r="K11" s="35" t="s">
        <v>89</v>
      </c>
      <c r="L11" s="8"/>
      <c r="M11" s="8"/>
      <c r="N11" s="8"/>
      <c r="O11" s="8"/>
      <c r="P11" s="8"/>
      <c r="Q11" s="8"/>
      <c r="R11" s="8"/>
      <c r="S11" s="8"/>
      <c r="T11" s="8"/>
      <c r="U11" s="8"/>
      <c r="V11" s="8"/>
      <c r="W11" s="8"/>
      <c r="X11" s="8"/>
      <c r="Y11" s="8"/>
    </row>
    <row r="12">
      <c r="A12" s="31" t="s">
        <v>90</v>
      </c>
      <c r="B12" s="31" t="s">
        <v>91</v>
      </c>
      <c r="C12" s="31" t="s">
        <v>92</v>
      </c>
      <c r="D12" s="31" t="s">
        <v>93</v>
      </c>
      <c r="E12" s="33" t="s">
        <v>94</v>
      </c>
      <c r="F12" s="32" t="s">
        <v>95</v>
      </c>
      <c r="G12" s="33" t="s">
        <v>96</v>
      </c>
      <c r="H12" s="33" t="s">
        <v>97</v>
      </c>
      <c r="I12" s="44" t="s">
        <v>98</v>
      </c>
      <c r="J12" s="43" t="s">
        <v>99</v>
      </c>
      <c r="K12" s="35" t="s">
        <v>100</v>
      </c>
      <c r="L12" s="8"/>
      <c r="M12" s="8"/>
      <c r="N12" s="8"/>
      <c r="O12" s="8"/>
      <c r="P12" s="8"/>
      <c r="Q12" s="8"/>
      <c r="R12" s="8"/>
      <c r="S12" s="8"/>
      <c r="T12" s="8"/>
      <c r="U12" s="8"/>
      <c r="V12" s="8"/>
      <c r="W12" s="8"/>
      <c r="X12" s="8"/>
      <c r="Y12" s="8"/>
    </row>
    <row r="13" ht="72.0" customHeight="1">
      <c r="A13" s="30" t="s">
        <v>101</v>
      </c>
      <c r="B13" s="30" t="s">
        <v>102</v>
      </c>
      <c r="C13" s="45" t="s">
        <v>103</v>
      </c>
      <c r="D13" s="30" t="s">
        <v>104</v>
      </c>
      <c r="E13" s="46" t="s">
        <v>105</v>
      </c>
      <c r="F13" s="45" t="s">
        <v>106</v>
      </c>
      <c r="G13" s="45" t="s">
        <v>107</v>
      </c>
      <c r="H13" s="45" t="s">
        <v>108</v>
      </c>
      <c r="I13" s="46" t="s">
        <v>109</v>
      </c>
      <c r="J13" s="45" t="s">
        <v>110</v>
      </c>
      <c r="K13" s="45" t="s">
        <v>111</v>
      </c>
      <c r="L13" s="16"/>
      <c r="M13" s="16"/>
      <c r="N13" s="16"/>
      <c r="O13" s="16"/>
      <c r="P13" s="16"/>
      <c r="Q13" s="16"/>
      <c r="R13" s="16"/>
      <c r="S13" s="16"/>
      <c r="T13" s="16"/>
      <c r="U13" s="16"/>
      <c r="V13" s="16"/>
      <c r="W13" s="16"/>
      <c r="X13" s="16"/>
      <c r="Y13" s="16"/>
    </row>
    <row r="14">
      <c r="A14" s="47" t="s">
        <v>112</v>
      </c>
      <c r="B14" s="47" t="s">
        <v>113</v>
      </c>
      <c r="C14" s="47" t="s">
        <v>114</v>
      </c>
      <c r="D14" s="48" t="s">
        <v>115</v>
      </c>
      <c r="E14" s="3" t="str">
        <f>IFERROR(__xludf.DUMMYFUNCTION("GOOGLETRANSLATE(A14,""zh-tw"",""es-MX"")"),"El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4" s="28" t="s">
        <v>116</v>
      </c>
      <c r="G14" s="3" t="s">
        <v>117</v>
      </c>
      <c r="H14" s="3" t="str">
        <f>IFERROR(__xludf.DUMMYFUNCTION("GOOGLETRANSLATE(A14,""zh-tw"",""DE"")"),"Das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4" s="49" t="s">
        <v>118</v>
      </c>
      <c r="J14" s="7" t="s">
        <v>119</v>
      </c>
      <c r="K14" s="7" t="s">
        <v>120</v>
      </c>
      <c r="L14" s="8"/>
      <c r="M14" s="8"/>
      <c r="N14" s="8"/>
      <c r="O14" s="8"/>
      <c r="P14" s="8"/>
      <c r="Q14" s="8"/>
      <c r="R14" s="8"/>
      <c r="S14" s="8"/>
      <c r="T14" s="8"/>
      <c r="U14" s="8"/>
      <c r="V14" s="8"/>
      <c r="W14" s="8"/>
      <c r="X14" s="8"/>
      <c r="Y14" s="8"/>
    </row>
    <row r="15" ht="524.25" customHeight="1">
      <c r="A15" s="1" t="s">
        <v>121</v>
      </c>
      <c r="B15" s="1" t="s">
        <v>122</v>
      </c>
      <c r="C15" s="1" t="s">
        <v>123</v>
      </c>
      <c r="D15" s="2" t="str">
        <f>IFERROR(__xludf.DUMMYFUNCTION("GOOGLETRANSLATE(A15,""zh-tw"",""zh"")"),"本文件旨在协助玩家解决疑惑，不用于商业或广告用途！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5" s="1" t="str">
        <f>IFERROR(__xludf.DUMMYFUNCTION("GOOGLETRANSLATE(A15,""zh-tw"",""es-MX"")"),"Este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5" s="4" t="s">
        <v>124</v>
      </c>
      <c r="G15" s="1" t="s">
        <v>125</v>
      </c>
      <c r="H15" s="50" t="str">
        <f>IFERROR(__xludf.DUMMYFUNCTION("GOOGLETRANSLATE(A15,""zh-tw"",""DE"")"),"Dieses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5" s="51" t="s">
        <v>126</v>
      </c>
      <c r="J15" s="7" t="s">
        <v>127</v>
      </c>
      <c r="K15" s="7" t="s">
        <v>128</v>
      </c>
      <c r="L15" s="8"/>
      <c r="M15" s="8"/>
      <c r="N15" s="8"/>
      <c r="O15" s="8"/>
      <c r="P15" s="8"/>
      <c r="Q15" s="8"/>
      <c r="R15" s="8"/>
      <c r="S15" s="8"/>
      <c r="T15" s="8"/>
      <c r="U15" s="8"/>
      <c r="V15" s="8"/>
      <c r="W15" s="8"/>
      <c r="X15" s="8"/>
      <c r="Y15" s="8"/>
    </row>
    <row r="16">
      <c r="A16" s="52" t="s">
        <v>129</v>
      </c>
      <c r="B16" s="27"/>
      <c r="C16" s="53"/>
      <c r="D16" s="54" t="s">
        <v>130</v>
      </c>
      <c r="E16" s="3"/>
      <c r="F16" s="28"/>
      <c r="G16" s="3"/>
      <c r="H16" s="3"/>
      <c r="I16" s="55"/>
      <c r="J16" s="56"/>
      <c r="K16" s="52" t="s">
        <v>131</v>
      </c>
      <c r="L16" s="8"/>
      <c r="M16" s="8"/>
      <c r="N16" s="8"/>
      <c r="O16" s="8"/>
      <c r="P16" s="8"/>
      <c r="Q16" s="8"/>
      <c r="R16" s="8"/>
      <c r="S16" s="8"/>
      <c r="T16" s="8"/>
      <c r="U16" s="8"/>
      <c r="V16" s="8"/>
      <c r="W16" s="8"/>
      <c r="X16" s="8"/>
      <c r="Y16" s="8"/>
    </row>
    <row r="17">
      <c r="A17" s="57"/>
      <c r="B17" s="57"/>
      <c r="C17" s="57"/>
      <c r="D17" s="58"/>
      <c r="E17" s="3"/>
      <c r="F17" s="28"/>
      <c r="G17" s="3"/>
      <c r="H17" s="3"/>
      <c r="I17" s="55"/>
      <c r="J17" s="56"/>
      <c r="K17" s="56"/>
      <c r="L17" s="8"/>
      <c r="M17" s="8"/>
      <c r="N17" s="8"/>
      <c r="O17" s="8"/>
      <c r="P17" s="8"/>
      <c r="Q17" s="8"/>
      <c r="R17" s="8"/>
      <c r="S17" s="8"/>
      <c r="T17" s="8"/>
      <c r="U17" s="8"/>
      <c r="V17" s="8"/>
      <c r="W17" s="8"/>
      <c r="X17" s="8"/>
      <c r="Y17" s="8"/>
    </row>
    <row r="18">
      <c r="A18" s="27"/>
      <c r="B18" s="27"/>
      <c r="C18" s="27"/>
      <c r="D18" s="27"/>
      <c r="E18" s="3"/>
      <c r="F18" s="28"/>
      <c r="G18" s="3"/>
      <c r="H18" s="3"/>
      <c r="I18" s="55"/>
      <c r="J18" s="56"/>
      <c r="K18" s="56"/>
      <c r="L18" s="8"/>
      <c r="M18" s="8"/>
      <c r="N18" s="8"/>
      <c r="O18" s="8"/>
      <c r="P18" s="8"/>
      <c r="Q18" s="8"/>
      <c r="R18" s="8"/>
      <c r="S18" s="8"/>
      <c r="T18" s="8"/>
      <c r="U18" s="8"/>
      <c r="V18" s="8"/>
      <c r="W18" s="8"/>
      <c r="X18" s="8"/>
      <c r="Y18" s="8"/>
    </row>
    <row r="19">
      <c r="A19" s="59" t="s">
        <v>132</v>
      </c>
      <c r="B19" s="59" t="str">
        <f>IFERROR(__xludf.DUMMYFUNCTION("GOOGLETRANSLATE(A19,""zh-tw"",""ja"")"),"作業ログを編集する")</f>
        <v>作業ログを編集する</v>
      </c>
      <c r="C19" s="60" t="str">
        <f>IFERROR(__xludf.DUMMYFUNCTION("GOOGLETRANSLATE(A19,""zh-tw"",""en"")"),"Edit work log")</f>
        <v>Edit work log</v>
      </c>
      <c r="D19" s="59" t="str">
        <f>IFERROR(__xludf.DUMMYFUNCTION("GOOGLETRANSLATE(A19,""zh-tw"",""zh"")"),"编辑工作日志")</f>
        <v>编辑工作日志</v>
      </c>
      <c r="E19" s="61" t="s">
        <v>133</v>
      </c>
      <c r="F19" s="61" t="str">
        <f>IFERROR(__xludf.DUMMYFUNCTION("GOOGLETRANSLATE(A19,""zh-tw"",""KO"")"),"작업 로그 편집")</f>
        <v>작업 로그 편집</v>
      </c>
      <c r="G19" s="61" t="s">
        <v>134</v>
      </c>
      <c r="H19" s="61" t="str">
        <f>IFERROR(__xludf.DUMMYFUNCTION("GOOGLETRANSLATE(A19,""zh-tw"",""DE"")"),"Arbeitszeitprotokoll bearbeiten")</f>
        <v>Arbeitszeitprotokoll bearbeiten</v>
      </c>
      <c r="I19" s="62" t="s">
        <v>135</v>
      </c>
      <c r="J19" s="63" t="s">
        <v>136</v>
      </c>
      <c r="K19" s="64" t="s">
        <v>137</v>
      </c>
      <c r="L19" s="8"/>
      <c r="M19" s="8"/>
      <c r="N19" s="8"/>
      <c r="O19" s="8"/>
      <c r="P19" s="8"/>
      <c r="Q19" s="8"/>
      <c r="R19" s="8"/>
      <c r="S19" s="8"/>
      <c r="T19" s="8"/>
      <c r="U19" s="8"/>
      <c r="V19" s="8"/>
      <c r="W19" s="8"/>
      <c r="X19" s="8"/>
      <c r="Y19" s="8"/>
    </row>
    <row r="20">
      <c r="A20" s="65" t="s">
        <v>138</v>
      </c>
      <c r="B20" s="65" t="s">
        <v>138</v>
      </c>
      <c r="C20" s="65" t="s">
        <v>138</v>
      </c>
      <c r="D20" s="65" t="s">
        <v>138</v>
      </c>
      <c r="E20" s="65" t="s">
        <v>138</v>
      </c>
      <c r="F20" s="65" t="s">
        <v>138</v>
      </c>
      <c r="G20" s="65" t="s">
        <v>138</v>
      </c>
      <c r="H20" s="65" t="s">
        <v>138</v>
      </c>
      <c r="I20" s="65" t="s">
        <v>138</v>
      </c>
      <c r="J20" s="65" t="s">
        <v>138</v>
      </c>
      <c r="K20" s="65" t="s">
        <v>138</v>
      </c>
      <c r="L20" s="66"/>
      <c r="M20" s="66"/>
      <c r="N20" s="66"/>
      <c r="O20" s="66"/>
      <c r="P20" s="66"/>
      <c r="Q20" s="66"/>
      <c r="R20" s="66"/>
      <c r="S20" s="66"/>
      <c r="T20" s="66"/>
      <c r="U20" s="66"/>
      <c r="V20" s="66"/>
      <c r="W20" s="66"/>
      <c r="X20" s="66"/>
      <c r="Y20" s="66"/>
    </row>
    <row r="21">
      <c r="A21" s="65" t="s">
        <v>139</v>
      </c>
      <c r="B21" s="65" t="s">
        <v>139</v>
      </c>
      <c r="C21" s="65" t="s">
        <v>139</v>
      </c>
      <c r="D21" s="65" t="s">
        <v>139</v>
      </c>
      <c r="E21" s="65" t="s">
        <v>139</v>
      </c>
      <c r="F21" s="65" t="s">
        <v>139</v>
      </c>
      <c r="G21" s="65" t="s">
        <v>139</v>
      </c>
      <c r="H21" s="65" t="s">
        <v>139</v>
      </c>
      <c r="I21" s="65" t="s">
        <v>139</v>
      </c>
      <c r="J21" s="65" t="s">
        <v>139</v>
      </c>
      <c r="K21" s="65" t="s">
        <v>139</v>
      </c>
      <c r="L21" s="66"/>
      <c r="M21" s="66"/>
      <c r="N21" s="66"/>
      <c r="O21" s="66"/>
      <c r="P21" s="66"/>
      <c r="Q21" s="66"/>
      <c r="R21" s="66"/>
      <c r="S21" s="66"/>
      <c r="T21" s="66"/>
      <c r="U21" s="66"/>
      <c r="V21" s="66"/>
      <c r="W21" s="66"/>
      <c r="X21" s="66"/>
      <c r="Y21" s="66"/>
    </row>
    <row r="22">
      <c r="A22" s="65" t="s">
        <v>140</v>
      </c>
      <c r="B22" s="65" t="s">
        <v>140</v>
      </c>
      <c r="C22" s="65" t="s">
        <v>140</v>
      </c>
      <c r="D22" s="65" t="s">
        <v>140</v>
      </c>
      <c r="E22" s="65" t="s">
        <v>140</v>
      </c>
      <c r="F22" s="65" t="s">
        <v>140</v>
      </c>
      <c r="G22" s="65" t="s">
        <v>140</v>
      </c>
      <c r="H22" s="65" t="s">
        <v>140</v>
      </c>
      <c r="I22" s="65" t="s">
        <v>140</v>
      </c>
      <c r="J22" s="65" t="s">
        <v>140</v>
      </c>
      <c r="K22" s="65" t="s">
        <v>140</v>
      </c>
      <c r="L22" s="66"/>
      <c r="M22" s="66"/>
      <c r="N22" s="66"/>
      <c r="O22" s="66"/>
      <c r="P22" s="66"/>
      <c r="Q22" s="66"/>
      <c r="R22" s="66"/>
      <c r="S22" s="66"/>
      <c r="T22" s="66"/>
      <c r="U22" s="66"/>
      <c r="V22" s="66"/>
      <c r="W22" s="66"/>
      <c r="X22" s="66"/>
      <c r="Y22" s="66"/>
    </row>
    <row r="23">
      <c r="A23" s="65" t="s">
        <v>141</v>
      </c>
      <c r="B23" s="65" t="s">
        <v>141</v>
      </c>
      <c r="C23" s="65" t="s">
        <v>141</v>
      </c>
      <c r="D23" s="65" t="s">
        <v>141</v>
      </c>
      <c r="E23" s="65" t="s">
        <v>141</v>
      </c>
      <c r="F23" s="65" t="s">
        <v>141</v>
      </c>
      <c r="G23" s="65" t="s">
        <v>141</v>
      </c>
      <c r="H23" s="65" t="s">
        <v>141</v>
      </c>
      <c r="I23" s="65" t="s">
        <v>141</v>
      </c>
      <c r="J23" s="65" t="s">
        <v>141</v>
      </c>
      <c r="K23" s="65" t="s">
        <v>141</v>
      </c>
      <c r="L23" s="66"/>
      <c r="M23" s="66"/>
      <c r="N23" s="66"/>
      <c r="O23" s="66"/>
      <c r="P23" s="66"/>
      <c r="Q23" s="66"/>
      <c r="R23" s="66"/>
      <c r="S23" s="66"/>
      <c r="T23" s="66"/>
      <c r="U23" s="66"/>
      <c r="V23" s="66"/>
      <c r="W23" s="66"/>
      <c r="X23" s="66"/>
      <c r="Y23" s="66"/>
    </row>
    <row r="24">
      <c r="A24" s="65" t="s">
        <v>142</v>
      </c>
      <c r="B24" s="65" t="s">
        <v>142</v>
      </c>
      <c r="C24" s="65" t="s">
        <v>142</v>
      </c>
      <c r="D24" s="65" t="s">
        <v>142</v>
      </c>
      <c r="E24" s="65" t="s">
        <v>142</v>
      </c>
      <c r="F24" s="65" t="s">
        <v>142</v>
      </c>
      <c r="G24" s="65" t="s">
        <v>142</v>
      </c>
      <c r="H24" s="65" t="s">
        <v>142</v>
      </c>
      <c r="I24" s="65" t="s">
        <v>142</v>
      </c>
      <c r="J24" s="65" t="s">
        <v>142</v>
      </c>
      <c r="K24" s="65" t="s">
        <v>142</v>
      </c>
      <c r="L24" s="66"/>
      <c r="M24" s="66"/>
      <c r="N24" s="66"/>
      <c r="O24" s="66"/>
      <c r="P24" s="66"/>
      <c r="Q24" s="66"/>
      <c r="R24" s="66"/>
      <c r="S24" s="66"/>
      <c r="T24" s="66"/>
      <c r="U24" s="66"/>
      <c r="V24" s="66"/>
      <c r="W24" s="66"/>
      <c r="X24" s="66"/>
      <c r="Y24" s="66"/>
    </row>
    <row r="25">
      <c r="A25" s="65" t="s">
        <v>143</v>
      </c>
      <c r="B25" s="65" t="str">
        <f>IFERROR(__xludf.DUMMYFUNCTION("GOOGLETRANSLATE(A25,""zh-tw"",""ja"")"),"2026/1/11 0.95 アップデート
SLG-F 6〜9 / SLG-A 20 / RPG47.48.95 / アイテム +2 / ヒント +2 / 料理 +3")</f>
        <v>2026/1/11 0.95 アップデート
SLG-F 6〜9 / SLG-A 20 / RPG47.48.95 / アイテム +2 / ヒント +2 / 料理 +3</v>
      </c>
      <c r="C25" s="65" t="s">
        <v>144</v>
      </c>
      <c r="D25" s="65" t="str">
        <f>IFERROR(__xludf.DUMMYFUNCTION("GOOGLETRANSLATE(A25,""zh-tw"",""zh"")"),"2026/1/11  0.95  Update 
SLG-F  6~9 / SLG-A  20 / RPG47.48.95 / Items +2 / TIPS +2  / Dish +3")</f>
        <v>2026/1/11  0.95  Update 
SLG-F  6~9 / SLG-A  20 / RPG47.48.95 / Items +2 / TIPS +2  / Dish +3</v>
      </c>
      <c r="E25" s="28" t="str">
        <f>IFERROR(__xludf.DUMMYFUNCTION("GOOGLETRANSLATE(A25,""zh-tw"",""es-MX"")"),"Actualización 0.95 del 11/01/2026
SLG-F 6~9 / SLG-A 20 / RPG47.48.95 / Objetos +2 / Consejos +2 / Plato +3")</f>
        <v>Actualización 0.95 del 11/01/2026
SLG-F 6~9 / SLG-A 20 / RPG47.48.95 / Objetos +2 / Consejos +2 / Plato +3</v>
      </c>
      <c r="F25" s="28" t="str">
        <f>IFERROR(__xludf.DUMMYFUNCTION("GOOGLETRANSLATE(A25,""zh-tw"",""KO"")"),"2026년 1월 11일 0.95 업데이트
SLG-F 6~9 / SLG-A 20 / RPG47.48.95 / 아이템 +2 / 팁 +2 / 요리 +3")</f>
        <v>2026년 1월 11일 0.95 업데이트
SLG-F 6~9 / SLG-A 20 / RPG47.48.95 / 아이템 +2 / 팁 +2 / 요리 +3</v>
      </c>
      <c r="G25" s="28" t="str">
        <f>IFERROR(__xludf.DUMMYFUNCTION("GOOGLETRANSLATE(A25,""zh-tw"",""RU"")"),"11.01.2026 Обновление 0.95
SLG-F 6~9 / SLG-A 20 / RPG47.48.95 / Предметы +2 / Советы +2 / Блюдо +3")</f>
        <v>11.01.2026 Обновление 0.95
SLG-F 6~9 / SLG-A 20 / RPG47.48.95 / Предметы +2 / Советы +2 / Блюдо +3</v>
      </c>
      <c r="H25" s="28" t="str">
        <f>IFERROR(__xludf.DUMMYFUNCTION("GOOGLETRANSLATE(A25,""zh-tw"",""DE"")"),"Update 0.95 vom 11.01.2026
SLG-F 6–9 / SLG-A 20 / RPG 47.48.95 / Gegenstände +2 / Trinkgelder +2 / Gerichte +3")</f>
        <v>Update 0.95 vom 11.01.2026
SLG-F 6–9 / SLG-A 20 / RPG 47.48.95 / Gegenstände +2 / Trinkgelder +2 / Gerichte +3</v>
      </c>
      <c r="I25" s="5" t="s">
        <v>145</v>
      </c>
      <c r="J25" s="7" t="s">
        <v>146</v>
      </c>
      <c r="K25" s="7" t="s">
        <v>147</v>
      </c>
      <c r="L25" s="66"/>
      <c r="M25" s="66"/>
      <c r="N25" s="66"/>
      <c r="O25" s="66"/>
      <c r="P25" s="66"/>
      <c r="Q25" s="66"/>
      <c r="R25" s="66"/>
      <c r="S25" s="66"/>
      <c r="T25" s="66"/>
      <c r="U25" s="66"/>
      <c r="V25" s="66"/>
      <c r="W25" s="66"/>
      <c r="X25" s="66"/>
      <c r="Y25" s="66"/>
    </row>
    <row r="26">
      <c r="A26" s="65" t="s">
        <v>148</v>
      </c>
      <c r="B26" s="65" t="str">
        <f>IFERROR(__xludf.DUMMYFUNCTION("GOOGLETRANSLATE(A26,""zh-tw"",""ja"")"),"2025年12月30日にインドネシア語を追加しました。")</f>
        <v>2025年12月30日にインドネシア語を追加しました。</v>
      </c>
      <c r="C26" s="65" t="s">
        <v>149</v>
      </c>
      <c r="D26" s="65" t="str">
        <f>IFERROR(__xludf.DUMMYFUNCTION("GOOGLETRANSLATE(A26,""zh-tw"",""zh"")"),"2025/12/30 新增印尼语")</f>
        <v>2025/12/30 新增印尼语</v>
      </c>
      <c r="E26" s="28" t="str">
        <f>IFERROR(__xludf.DUMMYFUNCTION("GOOGLETRANSLATE(A26,""zh-tw"",""es-MX"")"),"Se agregó el idioma indonesio el 30/12/2025.")</f>
        <v>Se agregó el idioma indonesio el 30/12/2025.</v>
      </c>
      <c r="F26" s="28" t="str">
        <f>IFERROR(__xludf.DUMMYFUNCTION("GOOGLETRANSLATE(A26,""zh-tw"",""KO"")"),"2025년 12월 30일에 인도네시아어 지원이 추가되었습니다.")</f>
        <v>2025년 12월 30일에 인도네시아어 지원이 추가되었습니다.</v>
      </c>
      <c r="G26" s="28" t="str">
        <f>IFERROR(__xludf.DUMMYFUNCTION("GOOGLETRANSLATE(A26,""zh-tw"",""RU"")"),"Индонезийский язык добавлен 30.12.2025.")</f>
        <v>Индонезийский язык добавлен 30.12.2025.</v>
      </c>
      <c r="H26" s="28" t="str">
        <f>IFERROR(__xludf.DUMMYFUNCTION("GOOGLETRANSLATE(A26,""zh-tw"",""DE"")"),"Indonesische Sprache hinzugefügt am 30.12.2025")</f>
        <v>Indonesische Sprache hinzugefügt am 30.12.2025</v>
      </c>
      <c r="I26" s="5" t="s">
        <v>150</v>
      </c>
      <c r="J26" s="7" t="s">
        <v>151</v>
      </c>
      <c r="K26" s="7" t="s">
        <v>152</v>
      </c>
      <c r="L26" s="66"/>
      <c r="M26" s="66"/>
      <c r="N26" s="66"/>
      <c r="O26" s="66"/>
      <c r="P26" s="66"/>
      <c r="Q26" s="66"/>
      <c r="R26" s="66"/>
      <c r="S26" s="66"/>
      <c r="T26" s="66"/>
      <c r="U26" s="66"/>
      <c r="V26" s="66"/>
      <c r="W26" s="66"/>
      <c r="X26" s="66"/>
      <c r="Y26" s="66"/>
    </row>
    <row r="27">
      <c r="A27" s="65" t="s">
        <v>153</v>
      </c>
      <c r="B27" s="65" t="str">
        <f>IFERROR(__xludf.DUMMYFUNCTION("GOOGLETRANSLATE(A27,""zh-tw"",""ja"")"),"地図セクションの画像は、2025年12月22日より一時的に閲覧できなくなりました。インタラクティブなウェブ版をご利用いただくと、画像をご覧いただけます。")</f>
        <v>地図セクションの画像は、2025年12月22日より一時的に閲覧できなくなりました。インタラクティブなウェブ版をご利用いただくと、画像をご覧いただけます。</v>
      </c>
      <c r="C27" s="65" t="s">
        <v>154</v>
      </c>
      <c r="D27" s="65" t="str">
        <f>IFERROR(__xludf.DUMMYFUNCTION("GOOGLETRANSLATE(A27,""zh-tw"",""zh"")"),"2025/12/22 map版块的图档暂时关闭，可以先利用互动网页版本进行浏览")</f>
        <v>2025/12/22 map版块的图档暂时关闭，可以先利用互动网页版本进行浏览</v>
      </c>
      <c r="E27" s="28" t="str">
        <f>IFERROR(__xludf.DUMMYFUNCTION("GOOGLETRANSLATE(A27,""zh-tw"",""es-MX"")"),"Las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27" s="28" t="str">
        <f>IFERROR(__xludf.DUMMYFUNCTION("GOOGLETRANSLATE(A27,""zh-tw"",""KO"")"),"지도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27" s="28" t="str">
        <f>IFERROR(__xludf.DUMMYFUNCTION("GOOGLETRANSLATE(A27,""zh-tw"",""RU"")"),"Доступ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H27" s="28" t="str">
        <f>IFERROR(__xludf.DUMMYFUNCTION("GOOGLETRANSLATE(A27,""zh-tw"",""DE"")"),"Die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27" s="5" t="s">
        <v>155</v>
      </c>
      <c r="J27" s="7" t="s">
        <v>156</v>
      </c>
      <c r="K27" s="7" t="s">
        <v>157</v>
      </c>
      <c r="L27" s="66"/>
      <c r="M27" s="66"/>
      <c r="N27" s="66"/>
      <c r="O27" s="66"/>
      <c r="P27" s="66"/>
      <c r="Q27" s="66"/>
      <c r="R27" s="66"/>
      <c r="S27" s="66"/>
      <c r="T27" s="66"/>
      <c r="U27" s="66"/>
      <c r="V27" s="66"/>
      <c r="W27" s="66"/>
      <c r="X27" s="66"/>
      <c r="Y27" s="66"/>
    </row>
    <row r="28">
      <c r="A28" s="65" t="s">
        <v>158</v>
      </c>
      <c r="B28" s="65" t="str">
        <f>IFERROR(__xludf.DUMMYFUNCTION("GOOGLETRANSLATE(A28,""zh-tw"",""ja"")"),"Dish +3を2025年12月5日に追加しました")</f>
        <v>Dish +3を2025年12月5日に追加しました</v>
      </c>
      <c r="C28" s="65" t="s">
        <v>159</v>
      </c>
      <c r="D28" s="65" t="str">
        <f>IFERROR(__xludf.DUMMYFUNCTION("GOOGLETRANSLATE(A28,""zh-tw"",""zh"")"),"2025/12/5 新增Dish +3")</f>
        <v>2025/12/5 新增Dish +3</v>
      </c>
      <c r="E28" s="28" t="str">
        <f>IFERROR(__xludf.DUMMYFUNCTION("GOOGLETRANSLATE(A28,""zh-tw"",""es-MX"")"),"Se agregó Dish +3 el 5/12/2025")</f>
        <v>Se agregó Dish +3 el 5/12/2025</v>
      </c>
      <c r="F28" s="28" t="str">
        <f>IFERROR(__xludf.DUMMYFUNCTION("GOOGLETRANSLATE(A28,""zh-tw"",""KO"")"),"2025년 12월 5일에 Dish +3이 추가되었습니다.")</f>
        <v>2025년 12월 5일에 Dish +3이 추가되었습니다.</v>
      </c>
      <c r="G28" s="28" t="str">
        <f>IFERROR(__xludf.DUMMYFUNCTION("GOOGLETRANSLATE(A28,""zh-tw"",""RU"")"),"Добавлено блюдо +3 05.12.2025")</f>
        <v>Добавлено блюдо +3 05.12.2025</v>
      </c>
      <c r="H28" s="28" t="str">
        <f>IFERROR(__xludf.DUMMYFUNCTION("GOOGLETRANSLATE(A28,""zh-tw"",""DE"")"),"Gericht +3 hinzugefügt am 05.12.2025")</f>
        <v>Gericht +3 hinzugefügt am 05.12.2025</v>
      </c>
      <c r="I28" s="5" t="str">
        <f>IFERROR(__xludf.DUMMYFUNCTION("GOOGLETRANSLATE(A28,""zh-tw"",""vi"")"),"Đã thêm món ăn +3 vào ngày 5/12/2025.")</f>
        <v>Đã thêm món ăn +3 vào ngày 5/12/2025.</v>
      </c>
      <c r="J28" s="7" t="s">
        <v>160</v>
      </c>
      <c r="K28" s="7" t="s">
        <v>161</v>
      </c>
      <c r="L28" s="66"/>
      <c r="M28" s="66"/>
      <c r="N28" s="66"/>
      <c r="O28" s="66"/>
      <c r="P28" s="66"/>
      <c r="Q28" s="66"/>
      <c r="R28" s="66"/>
      <c r="S28" s="66"/>
      <c r="T28" s="66"/>
      <c r="U28" s="66"/>
      <c r="V28" s="66"/>
      <c r="W28" s="66"/>
      <c r="X28" s="66"/>
      <c r="Y28" s="66"/>
    </row>
    <row r="29">
      <c r="A29" s="65" t="s">
        <v>162</v>
      </c>
      <c r="B29" s="65" t="str">
        <f>IFERROR(__xludf.DUMMYFUNCTION("GOOGLETRANSLATE(A29,""zh-tw"",""ja"")"),"2025年12月2日：バージョン0.9コンテンツを追加：SLG-A24~26/SLG-F1~8/R34、R90~93/ヒント+2/ステータス+1/武器+2/ギア+1/アイテム+2")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29" s="65" t="s">
        <v>163</v>
      </c>
      <c r="D29" s="65" t="str">
        <f>IFERROR(__xludf.DUMMYFUNCTION("GOOGLETRANSLATE(A29,""zh-tw"",""zh"")"),"2025/12/2 新增0.9版本内容SLG-A24~26/SLG-F1~8/R34、R90~93/Tips+2/Status+1/Weap+2/Gears+1/Items+2")</f>
        <v>2025/12/2 新增0.9版本内容SLG-A24~26/SLG-F1~8/R34、R90~93/Tips+2/Status+1/Weap+2/Gears+1/Items+2</v>
      </c>
      <c r="E29" s="28" t="str">
        <f>IFERROR(__xludf.DUMMYFUNCTION("GOOGLETRANSLATE(A29,""zh-tw"",""es-MX"")"),"2 de diciembre de 2025: Se agregó el contenido de la versión 0.9: SLG-A24~26/SLG-F1~8/R34, R90~93/Consejos+2/Estado+1/Arma+2/Equipo+1/Objetos+2")</f>
        <v>2 de diciembre de 2025: Se agregó el contenido de la versión 0.9: SLG-A24~26/SLG-F1~8/R34, R90~93/Consejos+2/Estado+1/Arma+2/Equipo+1/Objetos+2</v>
      </c>
      <c r="F29" s="28" t="str">
        <f>IFERROR(__xludf.DUMMYFUNCTION("GOOGLETRANSLATE(A29,""zh-tw"",""KO"")"),"2025년 12월 2일: 버전 0.9 콘텐츠 추가: SLG-A24~26/SLG-F1~8/R34, R90~93/팁+2/상태+1/무기+2/장비+1/아이템+2")</f>
        <v>2025년 12월 2일: 버전 0.9 콘텐츠 추가: SLG-A24~26/SLG-F1~8/R34, R90~93/팁+2/상태+1/무기+2/장비+1/아이템+2</v>
      </c>
      <c r="G29" s="28" t="str">
        <f>IFERROR(__xludf.DUMMYFUNCTION("GOOGLETRANSLATE(A29,""zh-tw"",""RU"")"),"2 декабря 2025 г.: Добавлен контент версии 0.9: SLG-A24~26/SLG-F1~8/R34, R90~93/Tips+2/Status+1/Weapon+2/Gears+1/Items+2")</f>
        <v>2 декабря 2025 г.: Добавлен контент версии 0.9: SLG-A24~26/SLG-F1~8/R34, R90~93/Tips+2/Status+1/Weapon+2/Gears+1/Items+2</v>
      </c>
      <c r="H29" s="28" t="str">
        <f>IFERROR(__xludf.DUMMYFUNCTION("GOOGLETRANSLATE(A29,""zh-tw"",""DE"")"),"2. Dezember 2025: Inhalt der Version 0.9 hinzugefügt: SLG-A24–26/SLG-F1–8/R34, R90–93/Tipps+2/Status+1/Waffe+2/Ausrüstung+1/Gegenstände+2")</f>
        <v>2. Dezember 2025: Inhalt der Version 0.9 hinzugefügt: SLG-A24–26/SLG-F1–8/R34, R90–93/Tipps+2/Status+1/Waffe+2/Ausrüstung+1/Gegenstände+2</v>
      </c>
      <c r="I29" s="5" t="s">
        <v>164</v>
      </c>
      <c r="J29" s="7" t="s">
        <v>165</v>
      </c>
      <c r="K29" s="7" t="s">
        <v>166</v>
      </c>
      <c r="L29" s="66"/>
      <c r="M29" s="66"/>
      <c r="N29" s="66"/>
      <c r="O29" s="66"/>
      <c r="P29" s="66"/>
      <c r="Q29" s="66"/>
      <c r="R29" s="66"/>
      <c r="S29" s="66"/>
      <c r="T29" s="66"/>
      <c r="U29" s="66"/>
      <c r="V29" s="66"/>
      <c r="W29" s="66"/>
      <c r="X29" s="66"/>
      <c r="Y29" s="66"/>
    </row>
    <row r="30">
      <c r="A30" s="65" t="s">
        <v>167</v>
      </c>
      <c r="B30" s="65" t="str">
        <f>IFERROR(__xludf.DUMMYFUNCTION("GOOGLETRANSLATE(A30,""zh-tw"",""ja"")"),"2025年12月1日：ドロップページがリニューアルされ、ドロップ率が追加されました。")</f>
        <v>2025年12月1日：ドロップページがリニューアルされ、ドロップ率が追加されました。</v>
      </c>
      <c r="C30" s="65" t="s">
        <v>168</v>
      </c>
      <c r="D30" s="65" t="str">
        <f>IFERROR(__xludf.DUMMYFUNCTION("GOOGLETRANSLATE(A30,""zh-tw"",""zh"")"),"2025/12/1 重制Drops页面，并且新增掉落机率")</f>
        <v>2025/12/1 重制Drops页面，并且新增掉落机率</v>
      </c>
      <c r="E30" s="28" t="str">
        <f>IFERROR(__xludf.DUMMYFUNCTION("GOOGLETRANSLATE(A30,""zh-tw"",""es-MX"")"),"1 de diciembre de 2025: Se rediseñó la página de Drops y se añadieron las tasas de obtención.")</f>
        <v>1 de diciembre de 2025: Se rediseñó la página de Drops y se añadieron las tasas de obtención.</v>
      </c>
      <c r="F30" s="28" t="str">
        <f>IFERROR(__xludf.DUMMYFUNCTION("GOOGLETRANSLATE(A30,""zh-tw"",""KO"")"),"2025년 12월 1일: 드롭 페이지가 새롭게 디자인되었고, 드롭률이 추가되었습니다.")</f>
        <v>2025년 12월 1일: 드롭 페이지가 새롭게 디자인되었고, 드롭률이 추가되었습니다.</v>
      </c>
      <c r="G30" s="28" t="str">
        <f>IFERROR(__xludf.DUMMYFUNCTION("GOOGLETRANSLATE(A30,""zh-tw"",""RU"")"),"1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30" s="28" t="str">
        <f>IFERROR(__xludf.DUMMYFUNCTION("GOOGLETRANSLATE(A30,""zh-tw"",""DE"")"),"1. Dezember 2025: Die Drops-Seite wurde neu gestaltet und die Drop-Raten wurden hinzugefügt.")</f>
        <v>1. Dezember 2025: Die Drops-Seite wurde neu gestaltet und die Drop-Raten wurden hinzugefügt.</v>
      </c>
      <c r="I30" s="5" t="s">
        <v>169</v>
      </c>
      <c r="J30" s="7" t="s">
        <v>170</v>
      </c>
      <c r="K30" s="7" t="s">
        <v>171</v>
      </c>
      <c r="L30" s="66"/>
      <c r="M30" s="66"/>
      <c r="N30" s="66"/>
      <c r="O30" s="66"/>
      <c r="P30" s="66"/>
      <c r="Q30" s="66"/>
      <c r="R30" s="66"/>
      <c r="S30" s="66"/>
      <c r="T30" s="66"/>
      <c r="U30" s="66"/>
      <c r="V30" s="66"/>
      <c r="W30" s="66"/>
      <c r="X30" s="66"/>
      <c r="Y30" s="66"/>
    </row>
    <row r="31">
      <c r="A31" s="65" t="s">
        <v>172</v>
      </c>
      <c r="B31" s="65" t="str">
        <f>IFERROR(__xludf.DUMMYFUNCTION("GOOGLETRANSLATE(A31,""zh-tw"",""ja"")"),"2025年11月26日にポルトガル語を追加しました")</f>
        <v>2025年11月26日にポルトガル語を追加しました</v>
      </c>
      <c r="C31" s="65" t="s">
        <v>173</v>
      </c>
      <c r="D31" s="65" t="str">
        <f>IFERROR(__xludf.DUMMYFUNCTION("GOOGLETRANSLATE(A31,""zh-tw"",""zh"")"),"2025/11/26 新增葡萄巴西语")</f>
        <v>2025/11/26 新增葡萄巴西语</v>
      </c>
      <c r="E31" s="28" t="str">
        <f>IFERROR(__xludf.DUMMYFUNCTION("GOOGLETRANSLATE(A31,""zh-tw"",""es-MX"")"),"Se agregó el idioma portugués el 26/11/2025.")</f>
        <v>Se agregó el idioma portugués el 26/11/2025.</v>
      </c>
      <c r="F31" s="28" t="str">
        <f>IFERROR(__xludf.DUMMYFUNCTION("GOOGLETRANSLATE(A31,""zh-tw"",""KO"")"),"2025년 11월 26일에 포르투갈어 지원 언어가 추가되었습니다.")</f>
        <v>2025년 11월 26일에 포르투갈어 지원 언어가 추가되었습니다.</v>
      </c>
      <c r="G31" s="28" t="str">
        <f>IFERROR(__xludf.DUMMYFUNCTION("GOOGLETRANSLATE(A31,""zh-tw"",""RU"")"),"Португальский язык добавлен 26.11.2025.")</f>
        <v>Португальский язык добавлен 26.11.2025.</v>
      </c>
      <c r="H31" s="28" t="str">
        <f>IFERROR(__xludf.DUMMYFUNCTION("GOOGLETRANSLATE(A31,""zh-tw"",""DE"")"),"Portugiesischsprachige Sprache hinzugefügt am 26.11.2025")</f>
        <v>Portugiesischsprachige Sprache hinzugefügt am 26.11.2025</v>
      </c>
      <c r="I31" s="5" t="s">
        <v>174</v>
      </c>
      <c r="J31" s="7" t="s">
        <v>175</v>
      </c>
      <c r="K31" s="7" t="s">
        <v>176</v>
      </c>
      <c r="L31" s="66"/>
      <c r="M31" s="66"/>
      <c r="N31" s="66"/>
      <c r="O31" s="66"/>
      <c r="P31" s="66"/>
      <c r="Q31" s="66"/>
      <c r="R31" s="66"/>
      <c r="S31" s="66"/>
      <c r="T31" s="66"/>
      <c r="U31" s="66"/>
      <c r="V31" s="66"/>
      <c r="W31" s="66"/>
      <c r="X31" s="66"/>
      <c r="Y31" s="66"/>
    </row>
    <row r="32">
      <c r="A32" s="65" t="s">
        <v>177</v>
      </c>
      <c r="B32" s="65" t="str">
        <f>IFERROR(__xludf.DUMMYFUNCTION("GOOGLETRANSLATE(A32,""zh-tw"",""ja"")"),"2025年11月15日にマイナーバージョンアップデートコンテンツを追加しました")</f>
        <v>2025年11月15日にマイナーバージョンアップデートコンテンツを追加しました</v>
      </c>
      <c r="C32" s="65" t="s">
        <v>178</v>
      </c>
      <c r="D32" s="65" t="str">
        <f>IFERROR(__xludf.DUMMYFUNCTION("GOOGLETRANSLATE(A32,""zh-tw"",""zh"")"),"2025/11/15 新增小版本更新内容")</f>
        <v>2025/11/15 新增小版本更新内容</v>
      </c>
      <c r="E32" s="28" t="str">
        <f>IFERROR(__xludf.DUMMYFUNCTION("GOOGLETRANSLATE(A32,""zh-tw"",""es-MX"")"),"Se agregó contenido de actualización de versión menor el 15/11/2025.")</f>
        <v>Se agregó contenido de actualización de versión menor el 15/11/2025.</v>
      </c>
      <c r="F32" s="28" t="str">
        <f>IFERROR(__xludf.DUMMYFUNCTION("GOOGLETRANSLATE(A32,""zh-tw"",""KO"")"),"2025년 11월 15일에 마이너 버전 업데이트 내용이 추가되었습니다.")</f>
        <v>2025년 11월 15일에 마이너 버전 업데이트 내용이 추가되었습니다.</v>
      </c>
      <c r="G32" s="28" t="str">
        <f>IFERROR(__xludf.DUMMYFUNCTION("GOOGLETRANSLATE(A32,""zh-tw"",""RU"")"),"Добавлен контент обновления незначительной версии 15.11.2025.")</f>
        <v>Добавлен контент обновления незначительной версии 15.11.2025.</v>
      </c>
      <c r="H32" s="28" t="str">
        <f>IFERROR(__xludf.DUMMYFUNCTION("GOOGLETRANSLATE(A32,""zh-tw"",""DE"")"),"Kleinere Versionsaktualisierung am 15.11.2025 hinzugefügt.")</f>
        <v>Kleinere Versionsaktualisierung am 15.11.2025 hinzugefügt.</v>
      </c>
      <c r="I32" s="5" t="s">
        <v>179</v>
      </c>
      <c r="J32" s="7" t="s">
        <v>180</v>
      </c>
      <c r="K32" s="7" t="s">
        <v>181</v>
      </c>
      <c r="L32" s="66"/>
      <c r="M32" s="66"/>
      <c r="N32" s="66"/>
      <c r="O32" s="66"/>
      <c r="P32" s="66"/>
      <c r="Q32" s="66"/>
      <c r="R32" s="66"/>
      <c r="S32" s="66"/>
      <c r="T32" s="66"/>
      <c r="U32" s="66"/>
      <c r="V32" s="66"/>
      <c r="W32" s="66"/>
      <c r="X32" s="66"/>
      <c r="Y32" s="66"/>
    </row>
    <row r="33">
      <c r="A33" s="65" t="s">
        <v>182</v>
      </c>
      <c r="B33" s="65" t="str">
        <f>IFERROR(__xludf.DUMMYFUNCTION("GOOGLETRANSLATE(A33,""zh-tw"",""ja"")"),"2025年11月8日：バージョン0.85Cの内容を追加し、いくつかの修正と追加を行いました。")</f>
        <v>2025年11月8日：バージョン0.85Cの内容を追加し、いくつかの修正と追加を行いました。</v>
      </c>
      <c r="C33" s="65" t="s">
        <v>183</v>
      </c>
      <c r="D33" s="65" t="str">
        <f>IFERROR(__xludf.DUMMYFUNCTION("GOOGLETRANSLATE(A33,""zh-tw"",""zh"")"),"2025/11/8 新增0.85C版本内容、部分内容修正与新增")</f>
        <v>2025/11/8 新增0.85C版本内容、部分内容修正与新增</v>
      </c>
      <c r="E33" s="28" t="str">
        <f>IFERROR(__xludf.DUMMYFUNCTION("GOOGLETRANSLATE(A33,""zh-tw"",""es-MX"")"),"8 de noviembre de 2025: Se agregó el contenido de la versión 0.85C y se incluyeron algunas correcciones y adiciones.")</f>
        <v>8 de noviembre de 2025: Se agregó el contenido de la versión 0.85C y se incluyeron algunas correcciones y adiciones.</v>
      </c>
      <c r="F33" s="28" t="str">
        <f>IFERROR(__xludf.DUMMYFUNCTION("GOOGLETRANSLATE(A33,""zh-tw"",""KO"")"),"2025년 11월 8일: 버전 0.85C 콘텐츠를 추가하고 몇 가지 수정 및 추가 사항을 포함했습니다.")</f>
        <v>2025년 11월 8일: 버전 0.85C 콘텐츠를 추가하고 몇 가지 수정 및 추가 사항을 포함했습니다.</v>
      </c>
      <c r="G33" s="28" t="str">
        <f>IFERROR(__xludf.DUMMYFUNCTION("GOOGLETRANSLATE(A33,""zh-tw"",""RU"")"),"8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33" s="28" t="str">
        <f>IFERROR(__xludf.DUMMYFUNCTION("GOOGLETRANSLATE(A33,""zh-tw"",""DE"")"),"8. November 2025: Inhalt der Version 0.85C hinzugefügt sowie einige Korrekturen und Ergänzungen vorgenommen.")</f>
        <v>8. November 2025: Inhalt der Version 0.85C hinzugefügt sowie einige Korrekturen und Ergänzungen vorgenommen.</v>
      </c>
      <c r="I33" s="5" t="s">
        <v>184</v>
      </c>
      <c r="J33" s="7" t="s">
        <v>185</v>
      </c>
      <c r="K33" s="7" t="s">
        <v>186</v>
      </c>
      <c r="L33" s="66"/>
      <c r="M33" s="66"/>
      <c r="N33" s="66"/>
      <c r="O33" s="66"/>
      <c r="P33" s="66"/>
      <c r="Q33" s="66"/>
      <c r="R33" s="66"/>
      <c r="S33" s="66"/>
      <c r="T33" s="66"/>
      <c r="U33" s="66"/>
      <c r="V33" s="66"/>
      <c r="W33" s="66"/>
      <c r="X33" s="66"/>
      <c r="Y33" s="66"/>
    </row>
    <row r="34">
      <c r="A34" s="65" t="s">
        <v>187</v>
      </c>
      <c r="B34" s="65" t="str">
        <f>IFERROR(__xludf.DUMMYFUNCTION("GOOGLETRANSLATE(A34,""zh-tw"",""ja"")"),"2025年11月3日：バージョン0.85を追加：SLG-C-23～SLG-C-29、SLG-A-24")</f>
        <v>2025年11月3日：バージョン0.85を追加：SLG-C-23～SLG-C-29、SLG-A-24</v>
      </c>
      <c r="C34" s="65" t="s">
        <v>188</v>
      </c>
      <c r="D34" s="65" t="str">
        <f>IFERROR(__xludf.DUMMYFUNCTION("GOOGLETRANSLATE(A34,""zh-tw"",""zh"")"),"2025/11/3 新增0.85版本：SLG-C-23~SLG-C-29、SLG-A-24")</f>
        <v>2025/11/3 新增0.85版本：SLG-C-23~SLG-C-29、SLG-A-24</v>
      </c>
      <c r="E34" s="28" t="str">
        <f>IFERROR(__xludf.DUMMYFUNCTION("GOOGLETRANSLATE(A34,""zh-tw"",""es-MX"")"),"3 de noviembre de 2025: Se agregó la versión 0.85: SLG-C-23~SLG-C-29, SLG-A-24")</f>
        <v>3 de noviembre de 2025: Se agregó la versión 0.85: SLG-C-23~SLG-C-29, SLG-A-24</v>
      </c>
      <c r="F34" s="28" t="str">
        <f>IFERROR(__xludf.DUMMYFUNCTION("GOOGLETRANSLATE(A34,""zh-tw"",""KO"")"),"2025년 11월 3일: 버전 0.85 추가: SLG-C-23~SLG-C-29, SLG-A-24")</f>
        <v>2025년 11월 3일: 버전 0.85 추가: SLG-C-23~SLG-C-29, SLG-A-24</v>
      </c>
      <c r="G34" s="28" t="str">
        <f>IFERROR(__xludf.DUMMYFUNCTION("GOOGLETRANSLATE(A34,""zh-tw"",""RU"")"),"3 ноября 2025 г.: Добавлена ​​версия 0.85: SLG-C-23~SLG-C-29, SLG-A-24")</f>
        <v>3 ноября 2025 г.: Добавлена ​​версия 0.85: SLG-C-23~SLG-C-29, SLG-A-24</v>
      </c>
      <c r="H34" s="28" t="str">
        <f>IFERROR(__xludf.DUMMYFUNCTION("GOOGLETRANSLATE(A34,""zh-tw"",""DE"")"),"3. November 2025: Version 0.85 hinzugefügt: SLG-C-23 bis SLG-C-29, SLG-A-24")</f>
        <v>3. November 2025: Version 0.85 hinzugefügt: SLG-C-23 bis SLG-C-29, SLG-A-24</v>
      </c>
      <c r="I34" s="5" t="s">
        <v>189</v>
      </c>
      <c r="J34" s="7" t="s">
        <v>190</v>
      </c>
      <c r="K34" s="7" t="s">
        <v>191</v>
      </c>
      <c r="L34" s="66"/>
      <c r="M34" s="66"/>
      <c r="N34" s="66"/>
      <c r="O34" s="66"/>
      <c r="P34" s="66"/>
      <c r="Q34" s="66"/>
      <c r="R34" s="66"/>
      <c r="S34" s="66"/>
      <c r="T34" s="66"/>
      <c r="U34" s="66"/>
      <c r="V34" s="66"/>
      <c r="W34" s="66"/>
      <c r="X34" s="66"/>
      <c r="Y34" s="66"/>
    </row>
    <row r="35">
      <c r="A35" s="65" t="s">
        <v>192</v>
      </c>
      <c r="B35" s="65" t="str">
        <f>IFERROR(__xludf.DUMMYFUNCTION("GOOGLETRANSLATE(A35,""zh-tw"",""ja"")"),"2025年10月14日：0.82D追加：R4、R68、アイテム+3")</f>
        <v>2025年10月14日：0.82D追加：R4、R68、アイテム+3</v>
      </c>
      <c r="C35" s="65" t="s">
        <v>193</v>
      </c>
      <c r="D35" s="65" t="str">
        <f>IFERROR(__xludf.DUMMYFUNCTION("GOOGLETRANSLATE(A35,""zh-tw"",""zh"")"),"2025/10/14 新增0.82D：R4、R68、Items +3")</f>
        <v>2025/10/14 新增0.82D：R4、R68、Items +3</v>
      </c>
      <c r="E35" s="28" t="str">
        <f>IFERROR(__xludf.DUMMYFUNCTION("GOOGLETRANSLATE(A35,""zh-tw"",""es-MX"")"),"14 de octubre de 2025: Añadido 0.82D: R4, R68, Artículos +3")</f>
        <v>14 de octubre de 2025: Añadido 0.82D: R4, R68, Artículos +3</v>
      </c>
      <c r="F35" s="28" t="str">
        <f>IFERROR(__xludf.DUMMYFUNCTION("GOOGLETRANSLATE(A35,""zh-tw"",""KO"")"),"2025년 10월 14일: 0.82D 추가: R4, R68, 아이템 +3")</f>
        <v>2025년 10월 14일: 0.82D 추가: R4, R68, 아이템 +3</v>
      </c>
      <c r="G35" s="28" t="str">
        <f>IFERROR(__xludf.DUMMYFUNCTION("GOOGLETRANSLATE(A35,""zh-tw"",""RU"")"),"14 октября 2025 г.: Добавлено 0.82D: R4, R68, предметов +3")</f>
        <v>14 октября 2025 г.: Добавлено 0.82D: R4, R68, предметов +3</v>
      </c>
      <c r="H35" s="28" t="str">
        <f>IFERROR(__xludf.DUMMYFUNCTION("GOOGLETRANSLATE(A35,""zh-tw"",""DE"")"),"14. Oktober 2025: Hinzugefügt 0.82D: R4, R68, Gegenstände +3")</f>
        <v>14. Oktober 2025: Hinzugefügt 0.82D: R4, R68, Gegenstände +3</v>
      </c>
      <c r="I35" s="5" t="str">
        <f>IFERROR(__xludf.DUMMYFUNCTION("GOOGLETRANSLATE(A35,""zh-tw"",""vi"")"),"Ngày 14 tháng 10 năm 2025: Đã thêm 0.82D: R4, R68, Vật phẩm +3")</f>
        <v>Ngày 14 tháng 10 năm 2025: Đã thêm 0.82D: R4, R68, Vật phẩm +3</v>
      </c>
      <c r="J35" s="7" t="s">
        <v>194</v>
      </c>
      <c r="K35" s="7" t="s">
        <v>195</v>
      </c>
      <c r="L35" s="66"/>
      <c r="M35" s="66"/>
      <c r="N35" s="66"/>
      <c r="O35" s="66"/>
      <c r="P35" s="66"/>
      <c r="Q35" s="66"/>
      <c r="R35" s="66"/>
      <c r="S35" s="66"/>
      <c r="T35" s="66"/>
      <c r="U35" s="66"/>
      <c r="V35" s="66"/>
      <c r="W35" s="66"/>
      <c r="X35" s="66"/>
      <c r="Y35" s="66"/>
    </row>
    <row r="36">
      <c r="A36" s="65" t="s">
        <v>196</v>
      </c>
      <c r="B36" s="65" t="str">
        <f>IFERROR(__xludf.DUMMYFUNCTION("GOOGLETRANSLATE(A36,""zh-tw"",""ja"")"),"2025年10月6日にベトナム語の翻訳を追加しました。")</f>
        <v>2025年10月6日にベトナム語の翻訳を追加しました。</v>
      </c>
      <c r="C36" s="65" t="s">
        <v>197</v>
      </c>
      <c r="D36" s="65" t="str">
        <f>IFERROR(__xludf.DUMMYFUNCTION("GOOGLETRANSLATE(A36,""zh-tw"",""zh"")"),"2025/10/6 新增越南文的翻译")</f>
        <v>2025/10/6 新增越南文的翻译</v>
      </c>
      <c r="E36" s="28" t="str">
        <f>IFERROR(__xludf.DUMMYFUNCTION("GOOGLETRANSLATE(A36,""zh-tw"",""es-MX"")"),"Se añadió la traducción al vietnamita el 6 de octubre de 2025.")</f>
        <v>Se añadió la traducción al vietnamita el 6 de octubre de 2025.</v>
      </c>
      <c r="F36" s="28" t="str">
        <f>IFERROR(__xludf.DUMMYFUNCTION("GOOGLETRANSLATE(A36,""zh-tw"",""KO"")"),"2025년 10월 6일에 베트남어 번역이 추가되었습니다.")</f>
        <v>2025년 10월 6일에 베트남어 번역이 추가되었습니다.</v>
      </c>
      <c r="G36" s="28" t="str">
        <f>IFERROR(__xludf.DUMMYFUNCTION("GOOGLETRANSLATE(A36,""zh-tw"",""RU"")"),"Вьетнамский перевод добавлен 6 октября 2025 года.")</f>
        <v>Вьетнамский перевод добавлен 6 октября 2025 года.</v>
      </c>
      <c r="H36" s="28" t="str">
        <f>IFERROR(__xludf.DUMMYFUNCTION("GOOGLETRANSLATE(A36,""zh-tw"",""DE"")"),"Vietnamesische Übersetzung hinzugefügt am 6. Oktober 2025.")</f>
        <v>Vietnamesische Übersetzung hinzugefügt am 6. Oktober 2025.</v>
      </c>
      <c r="I36" s="5" t="s">
        <v>198</v>
      </c>
      <c r="J36" s="7" t="s">
        <v>199</v>
      </c>
      <c r="K36" s="7" t="s">
        <v>200</v>
      </c>
      <c r="L36" s="66"/>
      <c r="M36" s="66"/>
      <c r="N36" s="66"/>
      <c r="O36" s="66"/>
      <c r="P36" s="66"/>
      <c r="Q36" s="66"/>
      <c r="R36" s="66"/>
      <c r="S36" s="66"/>
      <c r="T36" s="66"/>
      <c r="U36" s="66"/>
      <c r="V36" s="66"/>
      <c r="W36" s="66"/>
      <c r="X36" s="66"/>
      <c r="Y36" s="66"/>
    </row>
    <row r="37">
      <c r="A37" s="65" t="s">
        <v>201</v>
      </c>
      <c r="B37" s="65" t="str">
        <f>IFERROR(__xludf.DUMMYFUNCTION("GOOGLETRANSLATE(A37,""zh-tw"",""ja"")"),"2025/10/1
0.82アップデート：
R21、R66～R68、R83～R89、武器-45～49、ドロップ-15、47～49、ギア-75～78、ヒント-106～112")</f>
        <v>2025/10/1
0.82アップデート：
R21、R66～R68、R83～R89、武器-45～49、ドロップ-15、47～49、ギア-75～78、ヒント-106～112</v>
      </c>
      <c r="C37" s="65" t="s">
        <v>202</v>
      </c>
      <c r="D37" s="65" t="str">
        <f>IFERROR(__xludf.DUMMYFUNCTION("GOOGLETRANSLATE(A37,""zh-tw"",""zh"")"),"2025/10/1
0.82 update：
R21、R66~R68、R83~89、Weap-45~49、Drops-15、47~49、Gears-75~78、TIPS-106~112")</f>
        <v>2025/10/1
0.82 update：
R21、R66~R68、R83~89、Weap-45~49、Drops-15、47~49、Gears-75~78、TIPS-106~112</v>
      </c>
      <c r="E37" s="28" t="str">
        <f>IFERROR(__xludf.DUMMYFUNCTION("GOOGLETRANSLATE(A37,""zh-tw"",""es-MX"")"),"1/10/2025
Actualización 0.82:
R21, R66~R68, R83~89, Armas: 45~49, Botín: 15, 47~49, Equipos: 75~78, Consejos: 106~112")</f>
        <v>1/10/2025
Actualización 0.82:
R21, R66~R68, R83~89, Armas: 45~49, Botín: 15, 47~49, Equipos: 75~78, Consejos: 106~112</v>
      </c>
      <c r="F37" s="28" t="str">
        <f>IFERROR(__xludf.DUMMYFUNCTION("GOOGLETRANSLATE(A37,""zh-tw"",""KO"")"),"2025/10/1
0.82 업데이트:
R21, R66~R68, R83~89, 무기-45~49, 드롭-15, 47~49, 장비-75~78, 팁-106~112")</f>
        <v>2025/10/1
0.82 업데이트:
R21, R66~R68, R83~89, 무기-45~49, 드롭-15, 47~49, 장비-75~78, 팁-106~112</v>
      </c>
      <c r="G37" s="28" t="str">
        <f>IFERROR(__xludf.DUMMYFUNCTION("GOOGLETRANSLATE(A37,""zh-tw"",""RU"")"),"01.10.2025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37" s="28" t="str">
        <f>IFERROR(__xludf.DUMMYFUNCTION("GOOGLETRANSLATE(A37,""zh-tw"",""DE"")"),"01.10.2025
Update 0.82:
R21, R66–R68, R83–89, Waffen 45–49, Beute 15, 47–49, Ausrüstung 75–78, Spitzen 106–112")</f>
        <v>01.10.2025
Update 0.82:
R21, R66–R68, R83–89, Waffen 45–49, Beute 15, 47–49, Ausrüstung 75–78, Spitzen 106–112</v>
      </c>
      <c r="I37" s="6" t="s">
        <v>203</v>
      </c>
      <c r="J37" s="7" t="s">
        <v>204</v>
      </c>
      <c r="K37" s="7" t="s">
        <v>205</v>
      </c>
      <c r="L37" s="66"/>
      <c r="M37" s="66"/>
      <c r="N37" s="66"/>
      <c r="O37" s="66"/>
      <c r="P37" s="66"/>
      <c r="Q37" s="66"/>
      <c r="R37" s="66"/>
      <c r="S37" s="66"/>
      <c r="T37" s="66"/>
      <c r="U37" s="66"/>
      <c r="V37" s="66"/>
      <c r="W37" s="66"/>
      <c r="X37" s="66"/>
      <c r="Y37" s="66"/>
    </row>
    <row r="38">
      <c r="A38" s="65" t="s">
        <v>206</v>
      </c>
      <c r="B38" s="65" t="str">
        <f>IFERROR(__xludf.DUMMYFUNCTION("GOOGLETRANSLATE(A38,""zh-tw"",""ja"")"),"2025/9/14 0.81アップデート：R69～R82、R24/ヒント105～106/ドロップ46/武器45.46/ギア64～74/アイテム42")</f>
        <v>2025/9/14 0.81アップデート：R69～R82、R24/ヒント105～106/ドロップ46/武器45.46/ギア64～74/アイテム42</v>
      </c>
      <c r="C38" s="65" t="s">
        <v>207</v>
      </c>
      <c r="D38" s="65" t="str">
        <f>IFERROR(__xludf.DUMMYFUNCTION("GOOGLETRANSLATE(A38,""zh-tw"",""zh"")"),"2025/9/14 0.81update：
R69~R82、R24/TIPS 105~106/Drops 46/Weap 45.46/Gears 64~74/Items 42")</f>
        <v>2025/9/14 0.81update：
R69~R82、R24/TIPS 105~106/Drops 46/Weap 45.46/Gears 64~74/Items 42</v>
      </c>
      <c r="E38" s="28" t="str">
        <f>IFERROR(__xludf.DUMMYFUNCTION("GOOGLETRANSLATE(A38,""zh-tw"",""es-MX"")"),"Actualización 0.81 del 14/09/2025:
R69~R82, R24/CONSEJOS 105~106/Objetos 46/Armas 45.46/Equipamiento 64~74/Objetos 42")</f>
        <v>Actualización 0.81 del 14/09/2025:
R69~R82, R24/CONSEJOS 105~106/Objetos 46/Armas 45.46/Equipamiento 64~74/Objetos 42</v>
      </c>
      <c r="F38" s="28" t="str">
        <f>IFERROR(__xludf.DUMMYFUNCTION("GOOGLETRANSLATE(A38,""zh-tw"",""KO"")"),"2025년 9월 14일 0.81 업데이트:
R69~R82, R24/팁 105~106/드롭 46/무기 45.46/장비 64~74/아이템 42")</f>
        <v>2025년 9월 14일 0.81 업데이트:
R69~R82, R24/팁 105~106/드롭 46/무기 45.46/장비 64~74/아이템 42</v>
      </c>
      <c r="G38" s="28" t="str">
        <f>IFERROR(__xludf.DUMMYFUNCTION("GOOGLETRANSLATE(A38,""zh-tw"",""RU"")"),"14.09.2025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38" s="28" t="str">
        <f>IFERROR(__xludf.DUMMYFUNCTION("GOOGLETRANSLATE(A38,""zh-tw"",""DE"")"),"Update 0.81 vom 14.09.2025:
R69–R82, R24/Tipps 105–106/Beute 46/Waffen 45,46/Ausrüstung 64–74/Gegenstände 42")</f>
        <v>Update 0.81 vom 14.09.2025:
R69–R82, R24/Tipps 105–106/Beute 46/Waffen 45,46/Ausrüstung 64–74/Gegenstände 42</v>
      </c>
      <c r="I38" s="67" t="s">
        <v>208</v>
      </c>
      <c r="J38" s="7" t="s">
        <v>209</v>
      </c>
      <c r="K38" s="7" t="s">
        <v>210</v>
      </c>
      <c r="L38" s="66"/>
      <c r="M38" s="66"/>
      <c r="N38" s="66"/>
      <c r="O38" s="66"/>
      <c r="P38" s="66"/>
      <c r="Q38" s="66"/>
      <c r="R38" s="66"/>
      <c r="S38" s="66"/>
      <c r="T38" s="66"/>
      <c r="U38" s="66"/>
      <c r="V38" s="66"/>
      <c r="W38" s="66"/>
      <c r="X38" s="66"/>
      <c r="Y38" s="66"/>
    </row>
    <row r="39">
      <c r="A39" s="65" t="s">
        <v>211</v>
      </c>
      <c r="B39" s="65" t="str">
        <f>IFERROR(__xludf.DUMMYFUNCTION("GOOGLETRANSLATE(A39,""zh-tw"",""ja"")"),"2025年9月4日に動画/音声のページネーション機能を追加しました。")</f>
        <v>2025年9月4日に動画/音声のページネーション機能を追加しました。</v>
      </c>
      <c r="C39" s="65" t="s">
        <v>212</v>
      </c>
      <c r="D39" s="65" t="str">
        <f>IFERROR(__xludf.DUMMYFUNCTION("GOOGLETRANSLATE(A39,""zh-tw"",""zh"")"),"2025/9/4 新增影音分页")</f>
        <v>2025/9/4 新增影音分页</v>
      </c>
      <c r="E39" s="28" t="str">
        <f>IFERROR(__xludf.DUMMYFUNCTION("GOOGLETRANSLATE(A39,""zh-tw"",""es-MX"")"),"Se añadió paginación de vídeo/audio el 4 de septiembre de 2025.")</f>
        <v>Se añadió paginación de vídeo/audio el 4 de septiembre de 2025.</v>
      </c>
      <c r="F39" s="28" t="str">
        <f>IFERROR(__xludf.DUMMYFUNCTION("GOOGLETRANSLATE(A39,""zh-tw"",""KO"")"),"2025년 9월 4일에 비디오/오디오 페이지네이션 기능을 추가했습니다.")</f>
        <v>2025년 9월 4일에 비디오/오디오 페이지네이션 기능을 추가했습니다.</v>
      </c>
      <c r="G39" s="28" t="str">
        <f>IFERROR(__xludf.DUMMYFUNCTION("GOOGLETRANSLATE(A39,""zh-tw"",""RU"")"),"Добавлена ​​постраничная навигация для видео/аудио 4 сентября 2025 года.")</f>
        <v>Добавлена ​​постраничная навигация для видео/аудио 4 сентября 2025 года.</v>
      </c>
      <c r="H39" s="28" t="str">
        <f>IFERROR(__xludf.DUMMYFUNCTION("GOOGLETRANSLATE(A39,""zh-tw"",""DE"")"),"Video-/Audio-Seitennummerierung hinzugefügt am 4. September 2025.")</f>
        <v>Video-/Audio-Seitennummerierung hinzugefügt am 4. September 2025.</v>
      </c>
      <c r="I39" s="67" t="s">
        <v>213</v>
      </c>
      <c r="J39" s="7" t="s">
        <v>214</v>
      </c>
      <c r="K39" s="7" t="s">
        <v>215</v>
      </c>
      <c r="L39" s="66"/>
      <c r="M39" s="66"/>
      <c r="N39" s="66"/>
      <c r="O39" s="66"/>
      <c r="P39" s="66"/>
      <c r="Q39" s="66"/>
      <c r="R39" s="66"/>
      <c r="S39" s="66"/>
      <c r="T39" s="66"/>
      <c r="U39" s="66"/>
      <c r="V39" s="66"/>
      <c r="W39" s="66"/>
      <c r="X39" s="66"/>
      <c r="Y39" s="66"/>
    </row>
    <row r="40">
      <c r="A40" s="65" t="s">
        <v>216</v>
      </c>
      <c r="B40" s="65" t="str">
        <f>IFERROR(__xludf.DUMMYFUNCTION("GOOGLETRANSLATE(A40,""zh-tw"",""ja"")"),"2025年8月31日、地図セクションの地図ファイル用ウェブサイトがimgseからpostimageに変更されました。")</f>
        <v>2025年8月31日、地図セクションの地図ファイル用ウェブサイトがimgseからpostimageに変更されました。</v>
      </c>
      <c r="C40" s="65" t="s">
        <v>217</v>
      </c>
      <c r="D40" s="65" t="str">
        <f>IFERROR(__xludf.DUMMYFUNCTION("GOOGLETRANSLATE(A40,""zh-tw"",""zh"")"),"2025/8/31 Map板块图档网站由imgse网站更换为postimage")</f>
        <v>2025/8/31 Map板块图档网站由imgse网站更换为postimage</v>
      </c>
      <c r="E40" s="28" t="str">
        <f>IFERROR(__xludf.DUMMYFUNCTION("GOOGLETRANSLATE(A40,""zh-tw"",""es-MX"")"),"El 31 de agosto de 2025, el sitio web para los archivos de mapas en la sección de mapas cambió de imgse a postimage.")</f>
        <v>El 31 de agosto de 2025, el sitio web para los archivos de mapas en la sección de mapas cambió de imgse a postimage.</v>
      </c>
      <c r="F40" s="28" t="str">
        <f>IFERROR(__xludf.DUMMYFUNCTION("GOOGLETRANSLATE(A40,""zh-tw"",""KO"")"),"2025년 8월 31일, 지도 섹션의 지도 파일 웹사이트 주소가 imgse에서 postimage로 변경되었습니다.")</f>
        <v>2025년 8월 31일, 지도 섹션의 지도 파일 웹사이트 주소가 imgse에서 postimage로 변경되었습니다.</v>
      </c>
      <c r="G40" s="28" t="str">
        <f>IFERROR(__xludf.DUMMYFUNCTION("GOOGLETRANSLATE(A40,""zh-tw"",""RU"")"),"31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40" s="28" t="str">
        <f>IFERROR(__xludf.DUMMYFUNCTION("GOOGLETRANSLATE(A40,""zh-tw"",""DE"")"),"Am 31. August 2025 wurde die Website für Kartendateien im Kartenbereich von imgse auf postimage umgestellt.")</f>
        <v>Am 31. August 2025 wurde die Website für Kartendateien im Kartenbereich von imgse auf postimage umgestellt.</v>
      </c>
      <c r="I40" s="67" t="s">
        <v>218</v>
      </c>
      <c r="J40" s="7" t="s">
        <v>219</v>
      </c>
      <c r="K40" s="7" t="s">
        <v>220</v>
      </c>
      <c r="L40" s="66"/>
      <c r="M40" s="66"/>
      <c r="N40" s="66"/>
      <c r="O40" s="66"/>
      <c r="P40" s="66"/>
      <c r="Q40" s="66"/>
      <c r="R40" s="66"/>
      <c r="S40" s="66"/>
      <c r="T40" s="66"/>
      <c r="U40" s="66"/>
      <c r="V40" s="66"/>
      <c r="W40" s="66"/>
      <c r="X40" s="66"/>
      <c r="Y40" s="66"/>
    </row>
    <row r="41">
      <c r="A41" s="65" t="s">
        <v>221</v>
      </c>
      <c r="B41" s="65" t="str">
        <f>IFERROR(__xludf.DUMMYFUNCTION("GOOGLETRANSLATE(A41,""zh-tw"",""ja"")"),"バージョン0.80（2025年8月30日）では、SLG-A8、R11、R59～68、6つの新しい装備とアイテム、および繁体字中国語マップの更新が追加されます。")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41" s="65" t="s">
        <v>222</v>
      </c>
      <c r="D41" s="65" t="str">
        <f>IFERROR(__xludf.DUMMYFUNCTION("GOOGLETRANSLATE(A41,""zh-tw"",""zh"")"),"2025/8/30 0.80版本新增：SLG-A8、R11、R59~68、6样装备及道具、繁体中文地图更新")</f>
        <v>2025/8/30 0.80版本新增：SLG-A8、R11、R59~68、6样装备及道具、繁体中文地图更新</v>
      </c>
      <c r="E41" s="28" t="str">
        <f>IFERROR(__xludf.DUMMYFUNCTION("GOOGLETRANSLATE(A41,""zh-tw"",""es-MX"")"),"La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41" s="28" t="str">
        <f>IFERROR(__xludf.DUMMYFUNCTION("GOOGLETRANSLATE(A41,""zh-tw"",""KO"")"),"버전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41" s="28" t="str">
        <f>IFERROR(__xludf.DUMMYFUNCTION("GOOGLETRANSLATE(A41,""zh-tw"",""RU"")"),"В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41" s="28" t="str">
        <f>IFERROR(__xludf.DUMMYFUNCTION("GOOGLETRANSLATE(A41,""zh-tw"",""DE"")"),"Version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41" s="67" t="s">
        <v>223</v>
      </c>
      <c r="J41" s="7" t="s">
        <v>224</v>
      </c>
      <c r="K41" s="7" t="s">
        <v>225</v>
      </c>
      <c r="L41" s="66"/>
      <c r="M41" s="66"/>
      <c r="N41" s="66"/>
      <c r="O41" s="66"/>
      <c r="P41" s="66"/>
      <c r="Q41" s="66"/>
      <c r="R41" s="66"/>
      <c r="S41" s="66"/>
      <c r="T41" s="66"/>
      <c r="U41" s="66"/>
      <c r="V41" s="66"/>
      <c r="W41" s="66"/>
      <c r="X41" s="66"/>
      <c r="Y41" s="66"/>
    </row>
    <row r="42">
      <c r="A42" s="65" t="s">
        <v>226</v>
      </c>
      <c r="B42" s="65" t="str">
        <f>IFERROR(__xludf.DUMMYFUNCTION("GOOGLETRANSLATE(A42,""zh-tw"",""ja"")"),"この地図は2025年8月29日に繁体字中国語版に更新されました。他の言語版への更新は順次完了する予定です。")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42" s="65" t="s">
        <v>227</v>
      </c>
      <c r="D42" s="65" t="str">
        <f>IFERROR(__xludf.DUMMYFUNCTION("GOOGLETRANSLATE(A42,""zh-tw"",""zh"")"),"2025/8/29 map更新完成繁体中文版本，其余语系将逐步更新")</f>
        <v>2025/8/29 map更新完成繁体中文版本，其余语系将逐步更新</v>
      </c>
      <c r="E42" s="28" t="str">
        <f>IFERROR(__xludf.DUMMYFUNCTION("GOOGLETRANSLATE(A42,""zh-tw"",""es-MX"")"),"El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42" s="28" t="str">
        <f>IFERROR(__xludf.DUMMYFUNCTION("GOOGLETRANSLATE(A42,""zh-tw"",""KO"")"),"해당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42" s="28" t="str">
        <f>IFERROR(__xludf.DUMMYFUNCTION("GOOGLETRANSLATE(A42,""zh-tw"",""RU"")"),"Карта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42" s="28" t="str">
        <f>IFERROR(__xludf.DUMMYFUNCTION("GOOGLETRANSLATE(A42,""zh-tw"",""DE"")"),"Die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42" s="67" t="s">
        <v>228</v>
      </c>
      <c r="J42" s="7" t="s">
        <v>229</v>
      </c>
      <c r="K42" s="7" t="s">
        <v>230</v>
      </c>
      <c r="L42" s="66"/>
      <c r="M42" s="66"/>
      <c r="N42" s="66"/>
      <c r="O42" s="66"/>
      <c r="P42" s="66"/>
      <c r="Q42" s="66"/>
      <c r="R42" s="66"/>
      <c r="S42" s="66"/>
      <c r="T42" s="66"/>
      <c r="U42" s="66"/>
      <c r="V42" s="66"/>
      <c r="W42" s="66"/>
      <c r="X42" s="66"/>
      <c r="Y42" s="66"/>
    </row>
    <row r="43">
      <c r="A43" s="65" t="s">
        <v>231</v>
      </c>
      <c r="B43" s="65" t="str">
        <f>IFERROR(__xludf.DUMMYFUNCTION("GOOGLETRANSLATE(A43,""zh-tw"",""ja"")"),"バージョン0.79Hは2025年8月11日に追加されました。（TIPS）")</f>
        <v>バージョン0.79Hは2025年8月11日に追加されました。（TIPS）</v>
      </c>
      <c r="C43" s="65" t="s">
        <v>232</v>
      </c>
      <c r="D43" s="65" t="str">
        <f>IFERROR(__xludf.DUMMYFUNCTION("GOOGLETRANSLATE(A43,""zh-tw"",""zh"")"),"2025/8/11 新增了0.79H版本 TIPS")</f>
        <v>2025/8/11 新增了0.79H版本 TIPS</v>
      </c>
      <c r="E43" s="28" t="str">
        <f>IFERROR(__xludf.DUMMYFUNCTION("GOOGLETRANSLATE(A43,""zh-tw"",""es-MX"")"),"La versión 0.79H se añadió el 11 de agosto de 2025. (CONSEJOS)")</f>
        <v>La versión 0.79H se añadió el 11 de agosto de 2025. (CONSEJOS)</v>
      </c>
      <c r="F43" s="28" t="str">
        <f>IFERROR(__xludf.DUMMYFUNCTION("GOOGLETRANSLATE(A43,""zh-tw"",""KO"")"),"버전 0.79H는 2025년 8월 11일에 추가되었습니다. (팁)")</f>
        <v>버전 0.79H는 2025년 8월 11일에 추가되었습니다. (팁)</v>
      </c>
      <c r="G43" s="28" t="str">
        <f>IFERROR(__xludf.DUMMYFUNCTION("GOOGLETRANSLATE(A43,""zh-tw"",""RU"")"),"Версия 0.79H была добавлена ​​11 августа 2025 года. (TIPS)")</f>
        <v>Версия 0.79H была добавлена ​​11 августа 2025 года. (TIPS)</v>
      </c>
      <c r="H43" s="28" t="str">
        <f>IFERROR(__xludf.DUMMYFUNCTION("GOOGLETRANSLATE(A43,""zh-tw"",""DE"")"),"Version 0.79H wurde am 11. August 2025 hinzugefügt. (TIPPS)")</f>
        <v>Version 0.79H wurde am 11. August 2025 hinzugefügt. (TIPPS)</v>
      </c>
      <c r="I43" s="67" t="s">
        <v>233</v>
      </c>
      <c r="J43" s="7" t="s">
        <v>234</v>
      </c>
      <c r="K43" s="7" t="s">
        <v>235</v>
      </c>
      <c r="L43" s="66"/>
      <c r="M43" s="66"/>
      <c r="N43" s="66"/>
      <c r="O43" s="66"/>
      <c r="P43" s="66"/>
      <c r="Q43" s="66"/>
      <c r="R43" s="66"/>
      <c r="S43" s="66"/>
      <c r="T43" s="66"/>
      <c r="U43" s="66"/>
      <c r="V43" s="66"/>
      <c r="W43" s="66"/>
      <c r="X43" s="66"/>
      <c r="Y43" s="66"/>
    </row>
    <row r="44">
      <c r="A44" s="65" t="s">
        <v>236</v>
      </c>
      <c r="B44" s="65" t="str">
        <f>IFERROR(__xludf.DUMMYFUNCTION("GOOGLETRANSLATE(A44,""zh-tw"",""ja"")"),"バージョン0.79E（RPG35.41）は2025年7月20日に追加されました。")</f>
        <v>バージョン0.79E（RPG35.41）は2025年7月20日に追加されました。</v>
      </c>
      <c r="C44" s="65" t="s">
        <v>237</v>
      </c>
      <c r="D44" s="65" t="str">
        <f>IFERROR(__xludf.DUMMYFUNCTION("GOOGLETRANSLATE(A44,""zh-tw"",""zh"")"),"2025/7/20 新增了0.79E版本 RPG35.41")</f>
        <v>2025/7/20 新增了0.79E版本 RPG35.41</v>
      </c>
      <c r="E44" s="28" t="str">
        <f>IFERROR(__xludf.DUMMYFUNCTION("GOOGLETRANSLATE(A44,""zh-tw"",""es-MX"")"),"La versión 0.79E (RPG35.41) se añadió el 20 de julio de 2025.")</f>
        <v>La versión 0.79E (RPG35.41) se añadió el 20 de julio de 2025.</v>
      </c>
      <c r="F44" s="28" t="str">
        <f>IFERROR(__xludf.DUMMYFUNCTION("GOOGLETRANSLATE(A44,""zh-tw"",""KO"")"),"버전 0.79E(RPG35.41)는 2025년 7월 20일에 추가되었습니다.")</f>
        <v>버전 0.79E(RPG35.41)는 2025년 7월 20일에 추가되었습니다.</v>
      </c>
      <c r="G44" s="28" t="str">
        <f>IFERROR(__xludf.DUMMYFUNCTION("GOOGLETRANSLATE(A44,""zh-tw"",""RU"")"),"Версия 0.79E (RPG35.41) была добавлена ​​20 июля 2025 года.")</f>
        <v>Версия 0.79E (RPG35.41) была добавлена ​​20 июля 2025 года.</v>
      </c>
      <c r="H44" s="28" t="str">
        <f>IFERROR(__xludf.DUMMYFUNCTION("GOOGLETRANSLATE(A44,""zh-tw"",""DE"")"),"Version 0.79E (RPG35.41) wurde am 20. Juli 2025 hinzugefügt.")</f>
        <v>Version 0.79E (RPG35.41) wurde am 20. Juli 2025 hinzugefügt.</v>
      </c>
      <c r="I44" s="67" t="s">
        <v>238</v>
      </c>
      <c r="J44" s="7" t="s">
        <v>239</v>
      </c>
      <c r="K44" s="7" t="s">
        <v>240</v>
      </c>
      <c r="L44" s="66"/>
      <c r="M44" s="66"/>
      <c r="N44" s="66"/>
      <c r="O44" s="66"/>
      <c r="P44" s="66"/>
      <c r="Q44" s="66"/>
      <c r="R44" s="66"/>
      <c r="S44" s="66"/>
      <c r="T44" s="66"/>
      <c r="U44" s="66"/>
      <c r="V44" s="66"/>
      <c r="W44" s="66"/>
      <c r="X44" s="66"/>
      <c r="Y44" s="66"/>
    </row>
    <row r="45">
      <c r="A45" s="65" t="s">
        <v>241</v>
      </c>
      <c r="B45" s="65" t="str">
        <f>IFERROR(__xludf.DUMMYFUNCTION("GOOGLETRANSLATE(A45,""zh-tw"",""ja"")"),"バージョン0.79D TIPSを2025年7月20日に追加しました。")</f>
        <v>バージョン0.79D TIPSを2025年7月20日に追加しました。</v>
      </c>
      <c r="C45" s="65" t="s">
        <v>242</v>
      </c>
      <c r="D45" s="65" t="str">
        <f>IFERROR(__xludf.DUMMYFUNCTION("GOOGLETRANSLATE(A45,""zh-tw"",""zh"")"),"2025/7/20 新增了0.79D版本TIPS")</f>
        <v>2025/7/20 新增了0.79D版本TIPS</v>
      </c>
      <c r="E45" s="28" t="str">
        <f>IFERROR(__xludf.DUMMYFUNCTION("GOOGLETRANSLATE(A45,""zh-tw"",""es-MX"")"),"Se añadieron consejos para la versión 0.79D el 20/7/2025.")</f>
        <v>Se añadieron consejos para la versión 0.79D el 20/7/2025.</v>
      </c>
      <c r="F45" s="28" t="str">
        <f>IFERROR(__xludf.DUMMYFUNCTION("GOOGLETRANSLATE(A45,""zh-tw"",""KO"")"),"2025년 7월 20일에 버전 0.79D 팁이 추가되었습니다.")</f>
        <v>2025년 7월 20일에 버전 0.79D 팁이 추가되었습니다.</v>
      </c>
      <c r="G45" s="28" t="str">
        <f>IFERROR(__xludf.DUMMYFUNCTION("GOOGLETRANSLATE(A45,""zh-tw"",""RU"")"),"Добавлены советы версии 0.79D от 20.07.2025.")</f>
        <v>Добавлены советы версии 0.79D от 20.07.2025.</v>
      </c>
      <c r="H45" s="28" t="str">
        <f>IFERROR(__xludf.DUMMYFUNCTION("GOOGLETRANSLATE(A45,""zh-tw"",""DE"")"),"Version 0.79D TIPS hinzugefügt am 20.07.2025")</f>
        <v>Version 0.79D TIPS hinzugefügt am 20.07.2025</v>
      </c>
      <c r="I45" s="67" t="s">
        <v>243</v>
      </c>
      <c r="J45" s="7" t="s">
        <v>244</v>
      </c>
      <c r="K45" s="7" t="s">
        <v>245</v>
      </c>
      <c r="L45" s="66"/>
      <c r="M45" s="66"/>
      <c r="N45" s="66"/>
      <c r="O45" s="66"/>
      <c r="P45" s="66"/>
      <c r="Q45" s="66"/>
      <c r="R45" s="66"/>
      <c r="S45" s="66"/>
      <c r="T45" s="66"/>
      <c r="U45" s="66"/>
      <c r="V45" s="66"/>
      <c r="W45" s="66"/>
      <c r="X45" s="66"/>
      <c r="Y45" s="66"/>
    </row>
    <row r="46">
      <c r="A46" s="65" t="s">
        <v>246</v>
      </c>
      <c r="B46" s="65" t="str">
        <f>IFERROR(__xludf.DUMMYFUNCTION("GOOGLETRANSLATE(A46,""zh-tw"",""ja"")"),"2025年7月12日、SLG-A、SLG-C、TIPS、Weap、およびDrops向けにバージョン0.79が追加されました。")</f>
        <v>2025年7月12日、SLG-A、SLG-C、TIPS、Weap、およびDrops向けにバージョン0.79が追加されました。</v>
      </c>
      <c r="C46" s="65" t="s">
        <v>247</v>
      </c>
      <c r="D46" s="65" t="str">
        <f>IFERROR(__xludf.DUMMYFUNCTION("GOOGLETRANSLATE(A46,""zh-tw"",""zh"")"),"2025/7/12 新增了0.79版本SLG-A、SLG-C、TIPS、Weap、Drops")</f>
        <v>2025/7/12 新增了0.79版本SLG-A、SLG-C、TIPS、Weap、Drops</v>
      </c>
      <c r="E46" s="28" t="str">
        <f>IFERROR(__xludf.DUMMYFUNCTION("GOOGLETRANSLATE(A46,""zh-tw"",""es-MX"")"),"El 12 de julio de 2025 se añadió la versión 0.79 para SLG-A, SLG-C, TIPS, Weap y Drops.")</f>
        <v>El 12 de julio de 2025 se añadió la versión 0.79 para SLG-A, SLG-C, TIPS, Weap y Drops.</v>
      </c>
      <c r="F46" s="28" t="str">
        <f>IFERROR(__xludf.DUMMYFUNCTION("GOOGLETRANSLATE(A46,""zh-tw"",""KO"")"),"2025년 7월 12일, SLG-A, SLG-C, TIPS, 무기 및 드롭 항목에 대한 버전 0.79가 추가되었습니다.")</f>
        <v>2025년 7월 12일, SLG-A, SLG-C, TIPS, 무기 및 드롭 항목에 대한 버전 0.79가 추가되었습니다.</v>
      </c>
      <c r="G46" s="28" t="str">
        <f>IFERROR(__xludf.DUMMYFUNCTION("GOOGLETRANSLATE(A46,""zh-tw"",""RU"")"),"12 июля 2025 года была добавлена ​​версия 0.79 для SLG-A, SLG-C, TIPS, Weap и Drops.")</f>
        <v>12 июля 2025 года была добавлена ​​версия 0.79 для SLG-A, SLG-C, TIPS, Weap и Drops.</v>
      </c>
      <c r="H46" s="28" t="str">
        <f>IFERROR(__xludf.DUMMYFUNCTION("GOOGLETRANSLATE(A46,""zh-tw"",""DE"")"),"Am 12. Juli 2025 wurde Version 0.79 für SLG-A, SLG-C, TIPS, Weap und Drops hinzugefügt.")</f>
        <v>Am 12. Juli 2025 wurde Version 0.79 für SLG-A, SLG-C, TIPS, Weap und Drops hinzugefügt.</v>
      </c>
      <c r="I46" s="67" t="s">
        <v>248</v>
      </c>
      <c r="J46" s="7" t="s">
        <v>249</v>
      </c>
      <c r="K46" s="7" t="s">
        <v>250</v>
      </c>
      <c r="L46" s="66"/>
      <c r="M46" s="66"/>
      <c r="N46" s="66"/>
      <c r="O46" s="66"/>
      <c r="P46" s="66"/>
      <c r="Q46" s="66"/>
      <c r="R46" s="66"/>
      <c r="S46" s="66"/>
      <c r="T46" s="66"/>
      <c r="U46" s="66"/>
      <c r="V46" s="66"/>
      <c r="W46" s="66"/>
      <c r="X46" s="66"/>
      <c r="Y46" s="66"/>
    </row>
    <row r="47">
      <c r="A47" s="65" t="s">
        <v>251</v>
      </c>
      <c r="B47" s="65" t="str">
        <f>IFERROR(__xludf.DUMMYFUNCTION("GOOGLETRANSLATE(A47,""zh-tw"",""ja"")"),"2025年6月11日：バージョン0.77の一部の説明を修正し、ヒントを追加しました。")</f>
        <v>2025年6月11日：バージョン0.77の一部の説明を修正し、ヒントを追加しました。</v>
      </c>
      <c r="C47" s="65" t="s">
        <v>252</v>
      </c>
      <c r="D47" s="65" t="str">
        <f>IFERROR(__xludf.DUMMYFUNCTION("GOOGLETRANSLATE(A47,""zh-tw"",""zh"")"),"2025/6/11 修正了部分0.77版本的叙述，并新增了TIPS")</f>
        <v>2025/6/11 修正了部分0.77版本的叙述，并新增了TIPS</v>
      </c>
      <c r="E47" s="28" t="str">
        <f>IFERROR(__xludf.DUMMYFUNCTION("GOOGLETRANSLATE(A47,""zh-tw"",""es-MX"")"),"11 de junio de 2025: Se corrigieron algunas descripciones en la versión 0.77 y se agregaron consejos.")</f>
        <v>11 de junio de 2025: Se corrigieron algunas descripciones en la versión 0.77 y se agregaron consejos.</v>
      </c>
      <c r="F47" s="28" t="str">
        <f>IFERROR(__xludf.DUMMYFUNCTION("GOOGLETRANSLATE(A47,""zh-tw"",""KO"")"),"2025년 6월 11일: 버전 0.77에서 일부 설명을 수정하고 팁을 추가했습니다.")</f>
        <v>2025년 6월 11일: 버전 0.77에서 일부 설명을 수정하고 팁을 추가했습니다.</v>
      </c>
      <c r="G47" s="28" t="str">
        <f>IFERROR(__xludf.DUMMYFUNCTION("GOOGLETRANSLATE(A47,""zh-tw"",""RU"")"),"11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47" s="28" t="str">
        <f>IFERROR(__xludf.DUMMYFUNCTION("GOOGLETRANSLATE(A47,""zh-tw"",""DE"")"),"11. Juni 2025: Einige Beschreibungen in Version 0.77 wurden korrigiert und Tipps hinzugefügt.")</f>
        <v>11. Juni 2025: Einige Beschreibungen in Version 0.77 wurden korrigiert und Tipps hinzugefügt.</v>
      </c>
      <c r="I47" s="67" t="s">
        <v>253</v>
      </c>
      <c r="J47" s="7" t="s">
        <v>254</v>
      </c>
      <c r="K47" s="7" t="s">
        <v>255</v>
      </c>
      <c r="L47" s="66"/>
      <c r="M47" s="66"/>
      <c r="N47" s="66"/>
      <c r="O47" s="66"/>
      <c r="P47" s="66"/>
      <c r="Q47" s="66"/>
      <c r="R47" s="66"/>
      <c r="S47" s="66"/>
      <c r="T47" s="66"/>
      <c r="U47" s="66"/>
      <c r="V47" s="66"/>
      <c r="W47" s="66"/>
      <c r="X47" s="66"/>
      <c r="Y47" s="66"/>
    </row>
    <row r="48">
      <c r="A48" s="65" t="s">
        <v>256</v>
      </c>
      <c r="B48" s="65" t="str">
        <f>IFERROR(__xludf.DUMMYFUNCTION("GOOGLETRANSLATE(A48,""zh-tw"",""ja"")"),"2025年6月10日にバージョン0.77にアップデートされました。")</f>
        <v>2025年6月10日にバージョン0.77にアップデートされました。</v>
      </c>
      <c r="C48" s="65" t="s">
        <v>257</v>
      </c>
      <c r="D48" s="65" t="str">
        <f>IFERROR(__xludf.DUMMYFUNCTION("GOOGLETRANSLATE(A48,""zh-tw"",""zh"")"),"2025/6/10 更新0.77版本的内容")</f>
        <v>2025/6/10 更新0.77版本的内容</v>
      </c>
      <c r="E48" s="28" t="str">
        <f>IFERROR(__xludf.DUMMYFUNCTION("GOOGLETRANSLATE(A48,""zh-tw"",""es-MX"")"),"Actualizado a la versión 0.77 el 10 de junio de 2025.")</f>
        <v>Actualizado a la versión 0.77 el 10 de junio de 2025.</v>
      </c>
      <c r="F48" s="28" t="str">
        <f>IFERROR(__xludf.DUMMYFUNCTION("GOOGLETRANSLATE(A48,""zh-tw"",""KO"")"),"2025년 6월 10일 버전 0.77로 업데이트되었습니다.")</f>
        <v>2025년 6월 10일 버전 0.77로 업데이트되었습니다.</v>
      </c>
      <c r="G48" s="28" t="str">
        <f>IFERROR(__xludf.DUMMYFUNCTION("GOOGLETRANSLATE(A48,""zh-tw"",""RU"")"),"Обновлено до версии 0.77 10 июня 2025 года.")</f>
        <v>Обновлено до версии 0.77 10 июня 2025 года.</v>
      </c>
      <c r="H48" s="28" t="str">
        <f>IFERROR(__xludf.DUMMYFUNCTION("GOOGLETRANSLATE(A48,""zh-tw"",""DE"")"),"Aktualisiert auf Version 0.77 am 10. Juni 2025.")</f>
        <v>Aktualisiert auf Version 0.77 am 10. Juni 2025.</v>
      </c>
      <c r="I48" s="67" t="s">
        <v>258</v>
      </c>
      <c r="J48" s="7" t="s">
        <v>259</v>
      </c>
      <c r="K48" s="7" t="s">
        <v>260</v>
      </c>
      <c r="L48" s="66"/>
      <c r="M48" s="66"/>
      <c r="N48" s="66"/>
      <c r="O48" s="66"/>
      <c r="P48" s="66"/>
      <c r="Q48" s="66"/>
      <c r="R48" s="66"/>
      <c r="S48" s="66"/>
      <c r="T48" s="66"/>
      <c r="U48" s="66"/>
      <c r="V48" s="66"/>
      <c r="W48" s="66"/>
      <c r="X48" s="66"/>
      <c r="Y48" s="66"/>
    </row>
    <row r="49">
      <c r="A49" s="65" t="s">
        <v>261</v>
      </c>
      <c r="B49" s="65" t="str">
        <f>IFERROR(__xludf.DUMMYFUNCTION("GOOGLETRANSLATE(A49,""zh-tw"",""ja"")"),"2025年6月3日にバージョン0.77にアップデートされました。")</f>
        <v>2025年6月3日にバージョン0.77にアップデートされました。</v>
      </c>
      <c r="C49" s="65" t="s">
        <v>262</v>
      </c>
      <c r="D49" s="65" t="str">
        <f>IFERROR(__xludf.DUMMYFUNCTION("GOOGLETRANSLATE(A49,""zh-tw"",""zh"")"),"2025/6/3 更新0.77版本的内容")</f>
        <v>2025/6/3 更新0.77版本的内容</v>
      </c>
      <c r="E49" s="28" t="str">
        <f>IFERROR(__xludf.DUMMYFUNCTION("GOOGLETRANSLATE(A49,""zh-tw"",""es-MX"")"),"Actualizado a la versión 0.77 el 3 de junio de 2025.")</f>
        <v>Actualizado a la versión 0.77 el 3 de junio de 2025.</v>
      </c>
      <c r="F49" s="28" t="str">
        <f>IFERROR(__xludf.DUMMYFUNCTION("GOOGLETRANSLATE(A49,""zh-tw"",""KO"")"),"2025년 6월 3일 버전 0.77로 업데이트되었습니다.")</f>
        <v>2025년 6월 3일 버전 0.77로 업데이트되었습니다.</v>
      </c>
      <c r="G49" s="28" t="str">
        <f>IFERROR(__xludf.DUMMYFUNCTION("GOOGLETRANSLATE(A49,""zh-tw"",""RU"")"),"Обновлено до версии 0.77 3 июня 2025 года.")</f>
        <v>Обновлено до версии 0.77 3 июня 2025 года.</v>
      </c>
      <c r="H49" s="28" t="str">
        <f>IFERROR(__xludf.DUMMYFUNCTION("GOOGLETRANSLATE(A49,""zh-tw"",""DE"")"),"Aktualisiert auf Version 0.77 am 3. Juni 2025.")</f>
        <v>Aktualisiert auf Version 0.77 am 3. Juni 2025.</v>
      </c>
      <c r="I49" s="67" t="s">
        <v>263</v>
      </c>
      <c r="J49" s="7" t="s">
        <v>264</v>
      </c>
      <c r="K49" s="7" t="s">
        <v>265</v>
      </c>
      <c r="L49" s="66"/>
      <c r="M49" s="66"/>
      <c r="N49" s="66"/>
      <c r="O49" s="66"/>
      <c r="P49" s="66"/>
      <c r="Q49" s="66"/>
      <c r="R49" s="66"/>
      <c r="S49" s="66"/>
      <c r="T49" s="66"/>
      <c r="U49" s="66"/>
      <c r="V49" s="66"/>
      <c r="W49" s="66"/>
      <c r="X49" s="66"/>
      <c r="Y49" s="66"/>
    </row>
    <row r="50">
      <c r="A50" s="65" t="s">
        <v>266</v>
      </c>
      <c r="B50" s="65" t="str">
        <f>IFERROR(__xludf.DUMMYFUNCTION("GOOGLETRANSLATE(A50,""zh-tw"",""ja"")"),"2025年5月26日、SLGページのレイアウトがすべて刷新されました。")</f>
        <v>2025年5月26日、SLGページのレイアウトがすべて刷新されました。</v>
      </c>
      <c r="C50" s="65" t="s">
        <v>267</v>
      </c>
      <c r="D50" s="65" t="str">
        <f>IFERROR(__xludf.DUMMYFUNCTION("GOOGLETRANSLATE(A50,""zh-tw"",""zh"")"),"2025/5/26 重制了SLG页面的所有排版")</f>
        <v>2025/5/26 重制了SLG页面的所有排版</v>
      </c>
      <c r="E50" s="28" t="str">
        <f>IFERROR(__xludf.DUMMYFUNCTION("GOOGLETRANSLATE(A50,""zh-tw"",""es-MX"")"),"El 26 de mayo de 2025, se rediseñó por completo la maquetación de la página de SLG.")</f>
        <v>El 26 de mayo de 2025, se rediseñó por completo la maquetación de la página de SLG.</v>
      </c>
      <c r="F50" s="28" t="str">
        <f>IFERROR(__xludf.DUMMYFUNCTION("GOOGLETRANSLATE(A50,""zh-tw"",""KO"")"),"2025년 5월 26일, SLG 페이지의 모든 레이아웃이 새롭게 디자인되었습니다.")</f>
        <v>2025년 5월 26일, SLG 페이지의 모든 레이아웃이 새롭게 디자인되었습니다.</v>
      </c>
      <c r="G50" s="28" t="str">
        <f>IFERROR(__xludf.DUMMYFUNCTION("GOOGLETRANSLATE(A50,""zh-tw"",""RU"")"),"26 мая 2025 года был полностью переработан дизайн страницы SLG.")</f>
        <v>26 мая 2025 года был полностью переработан дизайн страницы SLG.</v>
      </c>
      <c r="H50" s="28" t="str">
        <f>IFERROR(__xludf.DUMMYFUNCTION("GOOGLETRANSLATE(A50,""zh-tw"",""DE"")"),"Am 26. Mai 2025 wurden alle Layouts der SLG-Seite neu gestaltet.")</f>
        <v>Am 26. Mai 2025 wurden alle Layouts der SLG-Seite neu gestaltet.</v>
      </c>
      <c r="I50" s="67" t="s">
        <v>268</v>
      </c>
      <c r="J50" s="7" t="s">
        <v>269</v>
      </c>
      <c r="K50" s="7" t="s">
        <v>270</v>
      </c>
      <c r="L50" s="66"/>
      <c r="M50" s="66"/>
      <c r="N50" s="66"/>
      <c r="O50" s="66"/>
      <c r="P50" s="66"/>
      <c r="Q50" s="66"/>
      <c r="R50" s="66"/>
      <c r="S50" s="66"/>
      <c r="T50" s="66"/>
      <c r="U50" s="66"/>
      <c r="V50" s="66"/>
      <c r="W50" s="66"/>
      <c r="X50" s="66"/>
      <c r="Y50" s="66"/>
    </row>
    <row r="51">
      <c r="A51" s="65" t="s">
        <v>271</v>
      </c>
      <c r="B51" s="65" t="str">
        <f>IFERROR(__xludf.DUMMYFUNCTION("GOOGLETRANSLATE(A51,""zh-tw"",""ja"")"),"2025年5月24日、専用グラフィックカードのインストール方法に関するチュートリアルが追加されました。")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51" s="65" t="s">
        <v>272</v>
      </c>
      <c r="D51" s="65" t="str">
        <f>IFERROR(__xludf.DUMMYFUNCTION("GOOGLETRANSLATE(A51,""zh-tw"",""zh"")"),"2025/5/24 新增了独立显卡的安装教学")</f>
        <v>2025/5/24 新增了独立显卡的安装教学</v>
      </c>
      <c r="E51" s="28" t="str">
        <f>IFERROR(__xludf.DUMMYFUNCTION("GOOGLETRANSLATE(A51,""zh-tw"",""es-MX"")"),"El 24 de mayo de 2025 se añadió un tutorial sobre cómo instalar una tarjeta gráfica dedicada.")</f>
        <v>El 24 de mayo de 2025 se añadió un tutorial sobre cómo instalar una tarjeta gráfica dedicada.</v>
      </c>
      <c r="F51" s="28" t="str">
        <f>IFERROR(__xludf.DUMMYFUNCTION("GOOGLETRANSLATE(A51,""zh-tw"",""KO"")"),"2025년 5월 24일, 외장 그래픽 카드 설치 방법에 대한 튜토리얼이 추가되었습니다.")</f>
        <v>2025년 5월 24일, 외장 그래픽 카드 설치 방법에 대한 튜토리얼이 추가되었습니다.</v>
      </c>
      <c r="G51" s="28" t="str">
        <f>IFERROR(__xludf.DUMMYFUNCTION("GOOGLETRANSLATE(A51,""zh-tw"",""RU"")"),"24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51" s="28" t="str">
        <f>IFERROR(__xludf.DUMMYFUNCTION("GOOGLETRANSLATE(A51,""zh-tw"",""DE"")"),"Am 24. Mai 2025 wurde eine Anleitung zur Installation einer dedizierten Grafikkarte hinzugefügt.")</f>
        <v>Am 24. Mai 2025 wurde eine Anleitung zur Installation einer dedizierten Grafikkarte hinzugefügt.</v>
      </c>
      <c r="I51" s="67" t="s">
        <v>273</v>
      </c>
      <c r="J51" s="7" t="s">
        <v>274</v>
      </c>
      <c r="K51" s="7" t="s">
        <v>275</v>
      </c>
      <c r="L51" s="66"/>
      <c r="M51" s="66"/>
      <c r="N51" s="66"/>
      <c r="O51" s="66"/>
      <c r="P51" s="66"/>
      <c r="Q51" s="66"/>
      <c r="R51" s="66"/>
      <c r="S51" s="66"/>
      <c r="T51" s="66"/>
      <c r="U51" s="66"/>
      <c r="V51" s="66"/>
      <c r="W51" s="66"/>
      <c r="X51" s="66"/>
      <c r="Y51" s="66"/>
    </row>
    <row r="52">
      <c r="A52" s="65" t="s">
        <v>276</v>
      </c>
      <c r="B52" s="65" t="str">
        <f>IFERROR(__xludf.DUMMYFUNCTION("GOOGLETRANSLATE(A52,""zh-tw"",""ja"")"),"2025年5月15日：バージョン0.75D（R4、R33）用のコンテンツと防具1点を追加しました。")</f>
        <v>2025年5月15日：バージョン0.75D（R4、R33）用のコンテンツと防具1点を追加しました。</v>
      </c>
      <c r="C52" s="65" t="s">
        <v>277</v>
      </c>
      <c r="D52" s="65" t="str">
        <f>IFERROR(__xludf.DUMMYFUNCTION("GOOGLETRANSLATE(A52,""zh-tw"",""zh"")"),"2025/5/15 新增0.75D版本的内容 (R4、R33)、一个防具")</f>
        <v>2025/5/15 新增0.75D版本的内容 (R4、R33)、一个防具</v>
      </c>
      <c r="E52" s="28" t="str">
        <f>IFERROR(__xludf.DUMMYFUNCTION("GOOGLETRANSLATE(A52,""zh-tw"",""es-MX"")"),"15 de mayo de 2025: Se agregó contenido para la versión 0.75D (R4, R33) y una pieza de armadura.")</f>
        <v>15 de mayo de 2025: Se agregó contenido para la versión 0.75D (R4, R33) y una pieza de armadura.</v>
      </c>
      <c r="F52" s="28" t="str">
        <f>IFERROR(__xludf.DUMMYFUNCTION("GOOGLETRANSLATE(A52,""zh-tw"",""KO"")"),"2025년 5월 15일: 버전 0.75D(R4, R33)용 콘텐츠와 갑옷 한 점을 추가했습니다.")</f>
        <v>2025년 5월 15일: 버전 0.75D(R4, R33)용 콘텐츠와 갑옷 한 점을 추가했습니다.</v>
      </c>
      <c r="G52" s="28" t="str">
        <f>IFERROR(__xludf.DUMMYFUNCTION("GOOGLETRANSLATE(A52,""zh-tw"",""RU"")"),"15 мая 2025 г.: Добавлен контент для версии 0.75D (R4, R33) и один элемент брони.")</f>
        <v>15 мая 2025 г.: Добавлен контент для версии 0.75D (R4, R33) и один элемент брони.</v>
      </c>
      <c r="H52" s="28" t="str">
        <f>IFERROR(__xludf.DUMMYFUNCTION("GOOGLETRANSLATE(A52,""zh-tw"",""DE"")"),"15. Mai 2025: Inhalte für Version 0.75D (R4, R33) und ein Rüstungsteil hinzugefügt.")</f>
        <v>15. Mai 2025: Inhalte für Version 0.75D (R4, R33) und ein Rüstungsteil hinzugefügt.</v>
      </c>
      <c r="I52" s="67" t="s">
        <v>278</v>
      </c>
      <c r="J52" s="7" t="s">
        <v>279</v>
      </c>
      <c r="K52" s="7" t="s">
        <v>280</v>
      </c>
      <c r="L52" s="66"/>
      <c r="M52" s="66"/>
      <c r="N52" s="66"/>
      <c r="O52" s="66"/>
      <c r="P52" s="66"/>
      <c r="Q52" s="66"/>
      <c r="R52" s="66"/>
      <c r="S52" s="66"/>
      <c r="T52" s="66"/>
      <c r="U52" s="66"/>
      <c r="V52" s="66"/>
      <c r="W52" s="66"/>
      <c r="X52" s="66"/>
      <c r="Y52" s="66"/>
    </row>
    <row r="53">
      <c r="A53" s="65" t="s">
        <v>281</v>
      </c>
      <c r="B53" s="65" t="str">
        <f>IFERROR(__xludf.DUMMYFUNCTION("GOOGLETRANSLATE(A53,""zh-tw"",""ja"")"),"2025年5月6日に、グレート・カルシンド・ラバ・ベルトの地図画像を追加しました。")</f>
        <v>2025年5月6日に、グレート・カルシンド・ラバ・ベルトの地図画像を追加しました。</v>
      </c>
      <c r="C53" s="65" t="s">
        <v>282</v>
      </c>
      <c r="D53" s="65" t="str">
        <f>IFERROR(__xludf.DUMMYFUNCTION("GOOGLETRANSLATE(A53,""zh-tw"",""zh"")"),"2025/5/6 新增大焦热熔岩带地图图片")</f>
        <v>2025/5/6 新增大焦热熔岩带地图图片</v>
      </c>
      <c r="E53" s="28" t="str">
        <f>IFERROR(__xludf.DUMMYFUNCTION("GOOGLETRANSLATE(A53,""zh-tw"",""es-MX"")"),"Se añadió una imagen del mapa del Gran Cinturón de Lava Calcinada el 6 de mayo de 2025.")</f>
        <v>Se añadió una imagen del mapa del Gran Cinturón de Lava Calcinada el 6 de mayo de 2025.</v>
      </c>
      <c r="F53" s="28" t="str">
        <f>IFERROR(__xludf.DUMMYFUNCTION("GOOGLETRANSLATE(A53,""zh-tw"",""KO"")"),"2025년 5월 6일에 거대 소성 용암대의 지도 이미지를 추가했습니다.")</f>
        <v>2025년 5월 6일에 거대 소성 용암대의 지도 이미지를 추가했습니다.</v>
      </c>
      <c r="G53" s="28" t="str">
        <f>IFERROR(__xludf.DUMMYFUNCTION("GOOGLETRANSLATE(A53,""zh-tw"",""RU"")"),"Добавлено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53" s="28" t="str">
        <f>IFERROR(__xludf.DUMMYFUNCTION("GOOGLETRANSLATE(A53,""zh-tw"",""DE"")"),"Am 6. Mai 2025 wurde eine Karte des Großen Kalzinierten Lavagürtels hinzugefügt.")</f>
        <v>Am 6. Mai 2025 wurde eine Karte des Großen Kalzinierten Lavagürtels hinzugefügt.</v>
      </c>
      <c r="I53" s="67" t="s">
        <v>283</v>
      </c>
      <c r="J53" s="7" t="s">
        <v>284</v>
      </c>
      <c r="K53" s="7" t="s">
        <v>285</v>
      </c>
      <c r="L53" s="66"/>
      <c r="M53" s="66"/>
      <c r="N53" s="66"/>
      <c r="O53" s="66"/>
      <c r="P53" s="66"/>
      <c r="Q53" s="66"/>
      <c r="R53" s="66"/>
      <c r="S53" s="66"/>
      <c r="T53" s="66"/>
      <c r="U53" s="66"/>
      <c r="V53" s="66"/>
      <c r="W53" s="66"/>
      <c r="X53" s="66"/>
      <c r="Y53" s="66"/>
    </row>
    <row r="54">
      <c r="A54" s="65" t="s">
        <v>286</v>
      </c>
      <c r="B54" s="65" t="str">
        <f>IFERROR(__xludf.DUMMYFUNCTION("GOOGLETRANSLATE(A54,""zh-tw"",""ja"")"),"2025年5月5日から[日付不明]まで、地図セクションには洞窟の入り口にドロップされたアイテムの場所が随時更新されます。どうぞご期待ください。")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54" s="65" t="s">
        <v>287</v>
      </c>
      <c r="D54" s="65" t="str">
        <f>IFERROR(__xludf.DUMMYFUNCTION("GOOGLETRANSLATE(A54,""zh-tw"",""zh"")"),"2025/5/5-2025/？ 地图板块最近会尝试更新洞口掉落位置，还请后续留意")</f>
        <v>2025/5/5-2025/？ 地图板块最近会尝试更新洞口掉落位置，还请后续留意</v>
      </c>
      <c r="E54" s="28" t="str">
        <f>IFERROR(__xludf.DUMMYFUNCTION("GOOGLETRANSLATE(A54,""zh-tw"",""es-MX"")"),"Desde el 5 de mayo de 2025 hasta [fecha desconocida], la sección del mapa se actualizará con la ubicación de los objetos que se encuentran en las entradas de las cuevas. Manténganse al tanto.")</f>
        <v>Desde el 5 de mayo de 2025 hasta [fecha desconocida], la sección del mapa se actualizará con la ubicación de los objetos que se encuentran en las entradas de las cuevas. Manténganse al tanto.</v>
      </c>
      <c r="F54" s="28" t="str">
        <f>IFERROR(__xludf.DUMMYFUNCTION("GOOGLETRANSLATE(A54,""zh-tw"",""KO"")"),"2025년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54" s="28" t="str">
        <f>IFERROR(__xludf.DUMMYFUNCTION("GOOGLETRANSLATE(A54,""zh-tw"",""RU"")"),"С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H54" s="28" t="str">
        <f>IFERROR(__xludf.DUMMYFUNCTION("GOOGLETRANSLATE(A54,""zh-tw"",""DE"")"),"Vom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I54" s="67" t="s">
        <v>288</v>
      </c>
      <c r="J54" s="7" t="s">
        <v>289</v>
      </c>
      <c r="K54" s="7" t="s">
        <v>290</v>
      </c>
      <c r="L54" s="66"/>
      <c r="M54" s="66"/>
      <c r="N54" s="66"/>
      <c r="O54" s="66"/>
      <c r="P54" s="66"/>
      <c r="Q54" s="66"/>
      <c r="R54" s="66"/>
      <c r="S54" s="66"/>
      <c r="T54" s="66"/>
      <c r="U54" s="66"/>
      <c r="V54" s="66"/>
      <c r="W54" s="66"/>
      <c r="X54" s="66"/>
      <c r="Y54" s="66"/>
    </row>
    <row r="55">
      <c r="A55" s="65" t="s">
        <v>291</v>
      </c>
      <c r="B55" s="65" t="str">
        <f>IFERROR(__xludf.DUMMYFUNCTION("GOOGLETRANSLATE(A55,""zh-tw"",""ja"")"),"2025年5月4日にロシア語とドイツ語の翻訳を追加しました。")</f>
        <v>2025年5月4日にロシア語とドイツ語の翻訳を追加しました。</v>
      </c>
      <c r="C55" s="65" t="s">
        <v>292</v>
      </c>
      <c r="D55" s="65" t="str">
        <f>IFERROR(__xludf.DUMMYFUNCTION("GOOGLETRANSLATE(A55,""zh-tw"",""zh"")"),"2025/5/4 新增了俄语和德语翻译")</f>
        <v>2025/5/4 新增了俄语和德语翻译</v>
      </c>
      <c r="E55" s="28" t="str">
        <f>IFERROR(__xludf.DUMMYFUNCTION("GOOGLETRANSLATE(A55,""zh-tw"",""es-MX"")"),"Se añadieron las traducciones al ruso y al alemán el 4 de mayo de 2025.")</f>
        <v>Se añadieron las traducciones al ruso y al alemán el 4 de mayo de 2025.</v>
      </c>
      <c r="F55" s="28" t="str">
        <f>IFERROR(__xludf.DUMMYFUNCTION("GOOGLETRANSLATE(A55,""zh-tw"",""KO"")"),"2025년 5월 4일에 러시아어 및 독일어 번역이 추가되었습니다.")</f>
        <v>2025년 5월 4일에 러시아어 및 독일어 번역이 추가되었습니다.</v>
      </c>
      <c r="G55" s="28" t="str">
        <f>IFERROR(__xludf.DUMMYFUNCTION("GOOGLETRANSLATE(A55,""zh-tw"",""RU"")"),"Русский и немецкий переводы добавлены 4 мая 2025 года.")</f>
        <v>Русский и немецкий переводы добавлены 4 мая 2025 года.</v>
      </c>
      <c r="H55" s="28" t="str">
        <f>IFERROR(__xludf.DUMMYFUNCTION("GOOGLETRANSLATE(A55,""zh-tw"",""DE"")"),"Russische und deutsche Übersetzungen wurden am 4. Mai 2025 hinzugefügt.")</f>
        <v>Russische und deutsche Übersetzungen wurden am 4. Mai 2025 hinzugefügt.</v>
      </c>
      <c r="I55" s="67" t="s">
        <v>293</v>
      </c>
      <c r="J55" s="7" t="s">
        <v>294</v>
      </c>
      <c r="K55" s="7" t="s">
        <v>295</v>
      </c>
      <c r="L55" s="66"/>
      <c r="M55" s="66"/>
      <c r="N55" s="66"/>
      <c r="O55" s="66"/>
      <c r="P55" s="66"/>
      <c r="Q55" s="66"/>
      <c r="R55" s="66"/>
      <c r="S55" s="66"/>
      <c r="T55" s="66"/>
      <c r="U55" s="66"/>
      <c r="V55" s="66"/>
      <c r="W55" s="66"/>
      <c r="X55" s="66"/>
      <c r="Y55" s="66"/>
    </row>
    <row r="56">
      <c r="A56" s="65" t="s">
        <v>296</v>
      </c>
      <c r="B56" s="65" t="str">
        <f>IFERROR(__xludf.DUMMYFUNCTION("GOOGLETRANSLATE(A56,""zh-tw"",""ja"")"),"バージョン0.75は2025年5月2日に追加されました。")</f>
        <v>バージョン0.75は2025年5月2日に追加されました。</v>
      </c>
      <c r="C56" s="65" t="s">
        <v>297</v>
      </c>
      <c r="D56" s="65" t="str">
        <f>IFERROR(__xludf.DUMMYFUNCTION("GOOGLETRANSLATE(A56,""zh-tw"",""zh"")"),"2025/5/2 新增了0.75版本内容")</f>
        <v>2025/5/2 新增了0.75版本内容</v>
      </c>
      <c r="E56" s="28" t="str">
        <f>IFERROR(__xludf.DUMMYFUNCTION("GOOGLETRANSLATE(A56,""zh-tw"",""es-MX"")"),"La versión 0.75 se añadió el 2 de mayo de 2025.")</f>
        <v>La versión 0.75 se añadió el 2 de mayo de 2025.</v>
      </c>
      <c r="F56" s="28" t="str">
        <f>IFERROR(__xludf.DUMMYFUNCTION("GOOGLETRANSLATE(A56,""zh-tw"",""KO"")"),"버전 0.75는 2025년 5월 2일에 추가되었습니다.")</f>
        <v>버전 0.75는 2025년 5월 2일에 추가되었습니다.</v>
      </c>
      <c r="G56" s="28" t="str">
        <f>IFERROR(__xludf.DUMMYFUNCTION("GOOGLETRANSLATE(A56,""zh-tw"",""RU"")"),"Версия 0.75 была добавлена ​​2 мая 2025 года.")</f>
        <v>Версия 0.75 была добавлена ​​2 мая 2025 года.</v>
      </c>
      <c r="H56" s="28" t="str">
        <f>IFERROR(__xludf.DUMMYFUNCTION("GOOGLETRANSLATE(A56,""zh-tw"",""DE"")"),"Version 0.75 wurde am 2. Mai 2025 hinzugefügt.")</f>
        <v>Version 0.75 wurde am 2. Mai 2025 hinzugefügt.</v>
      </c>
      <c r="I56" s="67" t="s">
        <v>298</v>
      </c>
      <c r="J56" s="7" t="s">
        <v>299</v>
      </c>
      <c r="K56" s="7" t="s">
        <v>300</v>
      </c>
      <c r="L56" s="66"/>
      <c r="M56" s="66"/>
      <c r="N56" s="66"/>
      <c r="O56" s="66"/>
      <c r="P56" s="66"/>
      <c r="Q56" s="66"/>
      <c r="R56" s="66"/>
      <c r="S56" s="66"/>
      <c r="T56" s="66"/>
      <c r="U56" s="66"/>
      <c r="V56" s="66"/>
      <c r="W56" s="66"/>
      <c r="X56" s="66"/>
      <c r="Y56" s="66"/>
    </row>
    <row r="57">
      <c r="A57" s="65" t="s">
        <v>301</v>
      </c>
      <c r="B57" s="65" t="str">
        <f>IFERROR(__xludf.DUMMYFUNCTION("GOOGLETRANSLATE(A57,""zh-tw"",""ja"")"),"2025年4月29日：2つ目のフォームを削除し、スペイン語と韓国語の翻訳をこのフォームに統合しました。")</f>
        <v>2025年4月29日：2つ目のフォームを削除し、スペイン語と韓国語の翻訳をこのフォームに統合しました。</v>
      </c>
      <c r="C57" s="65" t="s">
        <v>302</v>
      </c>
      <c r="D57" s="65" t="str">
        <f>IFERROR(__xludf.DUMMYFUNCTION("GOOGLETRANSLATE(A57,""zh-tw"",""zh"")"),"2025/4/29 删除第二份表单，合并西班牙语和韩语的翻译至本表单")</f>
        <v>2025/4/29 删除第二份表单，合并西班牙语和韩语的翻译至本表单</v>
      </c>
      <c r="E57" s="28" t="str">
        <f>IFERROR(__xludf.DUMMYFUNCTION("GOOGLETRANSLATE(A57,""zh-tw"",""es-MX"")"),"29 de abril de 2025: Se eliminó el segundo formulario y se fusionaron las traducciones al español y al coreano en este formulario.")</f>
        <v>29 de abril de 2025: Se eliminó el segundo formulario y se fusionaron las traducciones al español y al coreano en este formulario.</v>
      </c>
      <c r="F57" s="28" t="str">
        <f>IFERROR(__xludf.DUMMYFUNCTION("GOOGLETRANSLATE(A57,""zh-tw"",""KO"")"),"2025년 4월 29일: 두 번째 양식을 삭제하고 스페인어 및 한국어 번역을 이 양식에 통합했습니다.")</f>
        <v>2025년 4월 29일: 두 번째 양식을 삭제하고 스페인어 및 한국어 번역을 이 양식에 통합했습니다.</v>
      </c>
      <c r="G57" s="28" t="str">
        <f>IFERROR(__xludf.DUMMYFUNCTION("GOOGLETRANSLATE(A57,""zh-tw"",""RU"")"),"29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H57" s="28" t="str">
        <f>IFERROR(__xludf.DUMMYFUNCTION("GOOGLETRANSLATE(A57,""zh-tw"",""DE"")"),"29.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57" s="67" t="s">
        <v>303</v>
      </c>
      <c r="J57" s="7" t="s">
        <v>304</v>
      </c>
      <c r="K57" s="7" t="s">
        <v>305</v>
      </c>
      <c r="L57" s="66"/>
      <c r="M57" s="66"/>
      <c r="N57" s="66"/>
      <c r="O57" s="66"/>
      <c r="P57" s="66"/>
      <c r="Q57" s="66"/>
      <c r="R57" s="66"/>
      <c r="S57" s="66"/>
      <c r="T57" s="66"/>
      <c r="U57" s="66"/>
      <c r="V57" s="66"/>
      <c r="W57" s="66"/>
      <c r="X57" s="66"/>
      <c r="Y57" s="66"/>
    </row>
    <row r="58">
      <c r="A58" s="65" t="s">
        <v>306</v>
      </c>
      <c r="B58" s="65" t="str">
        <f>IFERROR(__xludf.DUMMYFUNCTION("GOOGLETRANSLATE(A58,""zh-tw"",""ja"")"),"2025年4月19日：スペイン語と韓国語の翻訳を含む2つ目のフォームを作成しました。")</f>
        <v>2025年4月19日：スペイン語と韓国語の翻訳を含む2つ目のフォームを作成しました。</v>
      </c>
      <c r="C58" s="65" t="s">
        <v>307</v>
      </c>
      <c r="D58" s="65" t="str">
        <f>IFERROR(__xludf.DUMMYFUNCTION("GOOGLETRANSLATE(A58,""zh-tw"",""zh"")"),"2025/4/19 新建第二份表单，有西班牙语和韩语的翻译")</f>
        <v>2025/4/19 新建第二份表单，有西班牙语和韩语的翻译</v>
      </c>
      <c r="E58" s="28" t="str">
        <f>IFERROR(__xludf.DUMMYFUNCTION("GOOGLETRANSLATE(A58,""zh-tw"",""es-MX"")"),"19 de abril de 2025: Se creó un segundo formulario con traducciones al español y al coreano.")</f>
        <v>19 de abril de 2025: Se creó un segundo formulario con traducciones al español y al coreano.</v>
      </c>
      <c r="F58" s="28" t="str">
        <f>IFERROR(__xludf.DUMMYFUNCTION("GOOGLETRANSLATE(A58,""zh-tw"",""KO"")"),"2025년 4월 19일: 스페인어 및 한국어 번역이 포함된 두 번째 양식을 만들었습니다.")</f>
        <v>2025년 4월 19일: 스페인어 및 한국어 번역이 포함된 두 번째 양식을 만들었습니다.</v>
      </c>
      <c r="G58" s="28" t="str">
        <f>IFERROR(__xludf.DUMMYFUNCTION("GOOGLETRANSLATE(A58,""zh-tw"",""RU"")"),"19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58" s="28" t="str">
        <f>IFERROR(__xludf.DUMMYFUNCTION("GOOGLETRANSLATE(A58,""zh-tw"",""DE"")"),"19. April 2025: Ein zweites Formular mit spanischen und koreanischen Übersetzungen wurde erstellt.")</f>
        <v>19. April 2025: Ein zweites Formular mit spanischen und koreanischen Übersetzungen wurde erstellt.</v>
      </c>
      <c r="I58" s="67" t="s">
        <v>308</v>
      </c>
      <c r="J58" s="7" t="s">
        <v>309</v>
      </c>
      <c r="K58" s="7" t="s">
        <v>310</v>
      </c>
      <c r="L58" s="66"/>
      <c r="M58" s="66"/>
      <c r="N58" s="66"/>
      <c r="O58" s="66"/>
      <c r="P58" s="66"/>
      <c r="Q58" s="66"/>
      <c r="R58" s="66"/>
      <c r="S58" s="66"/>
      <c r="T58" s="66"/>
      <c r="U58" s="66"/>
      <c r="V58" s="66"/>
      <c r="W58" s="66"/>
      <c r="X58" s="66"/>
      <c r="Y58" s="66"/>
    </row>
    <row r="59">
      <c r="A59" s="65" t="s">
        <v>311</v>
      </c>
      <c r="B59" s="65" t="str">
        <f>IFERROR(__xludf.DUMMYFUNCTION("GOOGLETRANSLATE(A59,""zh-tw"",""ja"")"),"2025年4月13日に新しい「料理」ページを作成しました")</f>
        <v>2025年4月13日に新しい「料理」ページを作成しました</v>
      </c>
      <c r="C59" s="65" t="s">
        <v>312</v>
      </c>
      <c r="D59" s="65" t="str">
        <f>IFERROR(__xludf.DUMMYFUNCTION("GOOGLETRANSLATE(A59,""zh-tw"",""zh"")"),"2025/4/13  新建""料理""分页")</f>
        <v>2025/4/13  新建"料理"分页</v>
      </c>
      <c r="E59" s="28" t="str">
        <f>IFERROR(__xludf.DUMMYFUNCTION("GOOGLETRANSLATE(A59,""zh-tw"",""es-MX"")"),"Se creó una nueva página de ""Cocina"" el 13/04/2025.")</f>
        <v>Se creó una nueva página de "Cocina" el 13/04/2025.</v>
      </c>
      <c r="F59" s="28" t="str">
        <f>IFERROR(__xludf.DUMMYFUNCTION("GOOGLETRANSLATE(A59,""zh-tw"",""KO"")"),"2025년 4월 13일에 ""요리"" 페이지를 새로 만들었습니다.")</f>
        <v>2025년 4월 13일에 "요리" 페이지를 새로 만들었습니다.</v>
      </c>
      <c r="G59" s="28" t="str">
        <f>IFERROR(__xludf.DUMMYFUNCTION("GOOGLETRANSLATE(A59,""zh-tw"",""RU"")"),"Создана новая страница ""Готовка"" 13 апреля 2025 года.")</f>
        <v>Создана новая страница "Готовка" 13 апреля 2025 года.</v>
      </c>
      <c r="H59" s="28" t="str">
        <f>IFERROR(__xludf.DUMMYFUNCTION("GOOGLETRANSLATE(A59,""zh-tw"",""DE"")"),"Am 13.04.2025 wurde eine neue Seite zum Thema „Kochen“ erstellt.")</f>
        <v>Am 13.04.2025 wurde eine neue Seite zum Thema „Kochen“ erstellt.</v>
      </c>
      <c r="I59" s="67" t="s">
        <v>313</v>
      </c>
      <c r="J59" s="7" t="s">
        <v>314</v>
      </c>
      <c r="K59" s="7" t="s">
        <v>315</v>
      </c>
      <c r="L59" s="66"/>
      <c r="M59" s="66"/>
      <c r="N59" s="66"/>
      <c r="O59" s="66"/>
      <c r="P59" s="66"/>
      <c r="Q59" s="66"/>
      <c r="R59" s="66"/>
      <c r="S59" s="66"/>
      <c r="T59" s="66"/>
      <c r="U59" s="66"/>
      <c r="V59" s="66"/>
      <c r="W59" s="66"/>
      <c r="X59" s="66"/>
      <c r="Y59" s="66"/>
    </row>
    <row r="60">
      <c r="A60" s="65" t="s">
        <v>316</v>
      </c>
      <c r="B60" s="65" t="str">
        <f>IFERROR(__xludf.DUMMYFUNCTION("GOOGLETRANSLATE(A60,""zh-tw"",""ja"")"),"2025年4月6日にバージョン0.721にアップデートされました（S32～34）。")</f>
        <v>2025年4月6日にバージョン0.721にアップデートされました（S32～34）。</v>
      </c>
      <c r="C60" s="65" t="s">
        <v>317</v>
      </c>
      <c r="D60" s="65" t="str">
        <f>IFERROR(__xludf.DUMMYFUNCTION("GOOGLETRANSLATE(A60,""zh-tw"",""zh"")"),"2025/4/6 更新0.721版本 S32~34")</f>
        <v>2025/4/6 更新0.721版本 S32~34</v>
      </c>
      <c r="E60" s="28" t="str">
        <f>IFERROR(__xludf.DUMMYFUNCTION("GOOGLETRANSLATE(A60,""zh-tw"",""es-MX"")"),"Actualizado a la versión 0.721 el 6 de abril de 2025 (S32~34).")</f>
        <v>Actualizado a la versión 0.721 el 6 de abril de 2025 (S32~34).</v>
      </c>
      <c r="F60" s="28" t="str">
        <f>IFERROR(__xludf.DUMMYFUNCTION("GOOGLETRANSLATE(A60,""zh-tw"",""KO"")"),"2025년 4월 6일 버전 0.721로 업데이트되었습니다(S32~34).")</f>
        <v>2025년 4월 6일 버전 0.721로 업데이트되었습니다(S32~34).</v>
      </c>
      <c r="G60" s="28" t="str">
        <f>IFERROR(__xludf.DUMMYFUNCTION("GOOGLETRANSLATE(A60,""zh-tw"",""RU"")"),"Обновлено до версии 0.721 6 апреля 2025 г. (S32~34).")</f>
        <v>Обновлено до версии 0.721 6 апреля 2025 г. (S32~34).</v>
      </c>
      <c r="H60" s="28" t="str">
        <f>IFERROR(__xludf.DUMMYFUNCTION("GOOGLETRANSLATE(A60,""zh-tw"",""DE"")"),"Aktualisiert auf Version 0.721 am 6. April 2025 (S32~34).")</f>
        <v>Aktualisiert auf Version 0.721 am 6. April 2025 (S32~34).</v>
      </c>
      <c r="I60" s="67" t="s">
        <v>318</v>
      </c>
      <c r="J60" s="7" t="s">
        <v>319</v>
      </c>
      <c r="K60" s="7" t="s">
        <v>320</v>
      </c>
      <c r="L60" s="66"/>
      <c r="M60" s="66"/>
      <c r="N60" s="66"/>
      <c r="O60" s="66"/>
      <c r="P60" s="66"/>
      <c r="Q60" s="66"/>
      <c r="R60" s="66"/>
      <c r="S60" s="66"/>
      <c r="T60" s="66"/>
      <c r="U60" s="66"/>
      <c r="V60" s="66"/>
      <c r="W60" s="66"/>
      <c r="X60" s="66"/>
      <c r="Y60" s="66"/>
    </row>
    <row r="61">
      <c r="A61" s="65" t="s">
        <v>321</v>
      </c>
      <c r="B61" s="65" t="s">
        <v>322</v>
      </c>
      <c r="C61" s="65" t="s">
        <v>323</v>
      </c>
      <c r="D61" s="65" t="str">
        <f>IFERROR(__xludf.DUMMYFUNCTION("GOOGLETRANSLATE(A61,""zh-tw"",""zh"")"),"2025/4/4 地图新增大焦热溶岩帯")</f>
        <v>2025/4/4 地图新增大焦热溶岩帯</v>
      </c>
      <c r="E61" s="28" t="str">
        <f>IFERROR(__xludf.DUMMYFUNCTION("GOOGLETRANSLATE(A61,""zh-tw"",""es-MX"")"),"4 de abril de 2025: Se añadió el Gran Cinturón de Lava Calcinada al mapa.")</f>
        <v>4 de abril de 2025: Se añadió el Gran Cinturón de Lava Calcinada al mapa.</v>
      </c>
      <c r="F61" s="28" t="str">
        <f>IFERROR(__xludf.DUMMYFUNCTION("GOOGLETRANSLATE(A61,""zh-tw"",""KO"")"),"2025년 4월 4일: 지도에 거대한 용암 지대를 추가했습니다.")</f>
        <v>2025년 4월 4일: 지도에 거대한 용암 지대를 추가했습니다.</v>
      </c>
      <c r="G61" s="28" t="str">
        <f>IFERROR(__xludf.DUMMYFUNCTION("GOOGLETRANSLATE(A61,""zh-tw"",""RU"")"),"4 апреля 2025 г.: На карту добавлен Великий пояс выжженной лавы.")</f>
        <v>4 апреля 2025 г.: На карту добавлен Великий пояс выжженной лавы.</v>
      </c>
      <c r="H61" s="28" t="str">
        <f>IFERROR(__xludf.DUMMYFUNCTION("GOOGLETRANSLATE(A61,""zh-tw"",""DE"")"),"4. April 2025: Der Große Versengte Lavagürtel wurde der Karte hinzugefügt.")</f>
        <v>4. April 2025: Der Große Versengte Lavagürtel wurde der Karte hinzugefügt.</v>
      </c>
      <c r="I61" s="67" t="s">
        <v>324</v>
      </c>
      <c r="J61" s="7" t="s">
        <v>325</v>
      </c>
      <c r="K61" s="7" t="s">
        <v>326</v>
      </c>
      <c r="L61" s="66"/>
      <c r="M61" s="66"/>
      <c r="N61" s="66"/>
      <c r="O61" s="66"/>
      <c r="P61" s="66"/>
      <c r="Q61" s="66"/>
      <c r="R61" s="66"/>
      <c r="S61" s="66"/>
      <c r="T61" s="66"/>
      <c r="U61" s="66"/>
      <c r="V61" s="66"/>
      <c r="W61" s="66"/>
      <c r="X61" s="66"/>
      <c r="Y61" s="66"/>
    </row>
    <row r="62">
      <c r="A62" s="65" t="s">
        <v>327</v>
      </c>
      <c r="B62" s="65" t="str">
        <f>IFERROR(__xludf.DUMMYFUNCTION("GOOGLETRANSLATE(A62,""zh-tw"",""ja"")"),"2025年4月1日：バージョン0.72のアイテムを追加しました：S7、S32～S35、TIPS、2つのアイテム、および1つの防具。")</f>
        <v>2025年4月1日：バージョン0.72のアイテムを追加しました：S7、S32～S35、TIPS、2つのアイテム、および1つの防具。</v>
      </c>
      <c r="C62" s="65" t="s">
        <v>328</v>
      </c>
      <c r="D62" s="65" t="str">
        <f>IFERROR(__xludf.DUMMYFUNCTION("GOOGLETRANSLATE(A62,""zh-tw"",""zh"")"),"2025/4/1  新增0.72版本项目：S7、S32~S35、TIPS、两样道具、一件防具")</f>
        <v>2025/4/1  新增0.72版本项目：S7、S32~S35、TIPS、两样道具、一件防具</v>
      </c>
      <c r="E62" s="28" t="str">
        <f>IFERROR(__xludf.DUMMYFUNCTION("GOOGLETRANSLATE(A62,""zh-tw"",""es-MX"")"),"1 de abril de 2025: Se agregaron los siguientes elementos de la versión 0.72: S7, S32~S35, TIPS, dos elementos y una pieza de armadura.")</f>
        <v>1 de abril de 2025: Se agregaron los siguientes elementos de la versión 0.72: S7, S32~S35, TIPS, dos elementos y una pieza de armadura.</v>
      </c>
      <c r="F62" s="28" t="str">
        <f>IFERROR(__xludf.DUMMYFUNCTION("GOOGLETRANSLATE(A62,""zh-tw"",""KO"")"),"2025년 4월 1일: 버전 0.72 아이템 추가: S7, S32~S35, TIPS, 아이템 두 개, 그리고 방어구 한 개.")</f>
        <v>2025년 4월 1일: 버전 0.72 아이템 추가: S7, S32~S35, TIPS, 아이템 두 개, 그리고 방어구 한 개.</v>
      </c>
      <c r="G62" s="28" t="str">
        <f>IFERROR(__xludf.DUMMYFUNCTION("GOOGLETRANSLATE(A62,""zh-tw"",""RU"")"),"1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62" s="28" t="str">
        <f>IFERROR(__xludf.DUMMYFUNCTION("GOOGLETRANSLATE(A62,""zh-tw"",""DE"")"),"1. April 2025: Hinzugefügte Gegenstände der Version 0.72: S7, S32~S35, TIPS, zwei Gegenstände und ein Rüstungsteil.")</f>
        <v>1. April 2025: Hinzugefügte Gegenstände der Version 0.72: S7, S32~S35, TIPS, zwei Gegenstände und ein Rüstungsteil.</v>
      </c>
      <c r="I62" s="67" t="s">
        <v>329</v>
      </c>
      <c r="J62" s="7" t="s">
        <v>330</v>
      </c>
      <c r="K62" s="7" t="s">
        <v>331</v>
      </c>
      <c r="L62" s="66"/>
      <c r="M62" s="66"/>
      <c r="N62" s="66"/>
      <c r="O62" s="66"/>
      <c r="P62" s="66"/>
      <c r="Q62" s="66"/>
      <c r="R62" s="66"/>
      <c r="S62" s="66"/>
      <c r="T62" s="66"/>
      <c r="U62" s="66"/>
      <c r="V62" s="66"/>
      <c r="W62" s="66"/>
      <c r="X62" s="66"/>
      <c r="Y62" s="66"/>
    </row>
    <row r="63">
      <c r="A63" s="65" t="s">
        <v>332</v>
      </c>
      <c r="B63" s="65" t="str">
        <f>IFERROR(__xludf.DUMMYFUNCTION("GOOGLETRANSLATE(A63,""zh-tw"",""ja"")"),"2025年4月1日、ウェブサイトにちょっとしたエイプリルフールのサプライズが追加されました。")</f>
        <v>2025年4月1日、ウェブサイトにちょっとしたエイプリルフールのサプライズが追加されました。</v>
      </c>
      <c r="C63" s="65" t="s">
        <v>333</v>
      </c>
      <c r="D63" s="65" t="str">
        <f>IFERROR(__xludf.DUMMYFUNCTION("GOOGLETRANSLATE(A63,""zh-tw"",""zh"")"),"2025/4/1  新增了网页愚人节的小彩蛋")</f>
        <v>2025/4/1  新增了网页愚人节的小彩蛋</v>
      </c>
      <c r="E63" s="28" t="str">
        <f>IFERROR(__xludf.DUMMYFUNCTION("GOOGLETRANSLATE(A63,""zh-tw"",""es-MX"")"),"El 1 de abril de 2025 se añadió una pequeña sorpresa al sitio web con motivo del Día de los Inocentes.")</f>
        <v>El 1 de abril de 2025 se añadió una pequeña sorpresa al sitio web con motivo del Día de los Inocentes.</v>
      </c>
      <c r="F63" s="28" t="str">
        <f>IFERROR(__xludf.DUMMYFUNCTION("GOOGLETRANSLATE(A63,""zh-tw"",""KO"")"),"2025년 4월 1일, 만우절을 맞아 웹사이트에 작은 깜짝 이벤트가 추가되었습니다.")</f>
        <v>2025년 4월 1일, 만우절을 맞아 웹사이트에 작은 깜짝 이벤트가 추가되었습니다.</v>
      </c>
      <c r="G63" s="28" t="str">
        <f>IFERROR(__xludf.DUMMYFUNCTION("GOOGLETRANSLATE(A63,""zh-tw"",""RU"")"),"1 апреля 2025 года на сайт был добавлен небольшой первоапрельской сюрприз.")</f>
        <v>1 апреля 2025 года на сайт был добавлен небольшой первоапрельской сюрприз.</v>
      </c>
      <c r="H63" s="28" t="str">
        <f>IFERROR(__xludf.DUMMYFUNCTION("GOOGLETRANSLATE(A63,""zh-tw"",""DE"")"),"Am 1. April 2025 wurde der Website eine kleine Aprilscherz-Überraschung hinzugefügt.")</f>
        <v>Am 1. April 2025 wurde der Website eine kleine Aprilscherz-Überraschung hinzugefügt.</v>
      </c>
      <c r="I63" s="67" t="s">
        <v>334</v>
      </c>
      <c r="J63" s="7" t="s">
        <v>335</v>
      </c>
      <c r="K63" s="7" t="s">
        <v>336</v>
      </c>
      <c r="L63" s="66"/>
      <c r="M63" s="66"/>
      <c r="N63" s="66"/>
      <c r="O63" s="66"/>
      <c r="P63" s="66"/>
      <c r="Q63" s="66"/>
      <c r="R63" s="66"/>
      <c r="S63" s="66"/>
      <c r="T63" s="66"/>
      <c r="U63" s="66"/>
      <c r="V63" s="66"/>
      <c r="W63" s="66"/>
      <c r="X63" s="66"/>
      <c r="Y63" s="66"/>
    </row>
    <row r="64">
      <c r="A64" s="65" t="s">
        <v>337</v>
      </c>
      <c r="B64" s="65" t="str">
        <f>IFERROR(__xludf.DUMMYFUNCTION("GOOGLETRANSLATE(A64,""zh-tw"",""ja"")"),"2025年3月25日更新：イベント内のマップ名と一部のコンテンツが修正されました。")</f>
        <v>2025年3月25日更新：イベント内のマップ名と一部のコンテンツが修正されました。</v>
      </c>
      <c r="C64" s="65" t="s">
        <v>338</v>
      </c>
      <c r="D64" s="65" t="str">
        <f>IFERROR(__xludf.DUMMYFUNCTION("GOOGLETRANSLATE(A64,""zh-tw"",""zh"")"),"2025/3/25 更新事件内地图名称与部分内容修正")</f>
        <v>2025/3/25 更新事件内地图名称与部分内容修正</v>
      </c>
      <c r="E64" s="28" t="str">
        <f>IFERROR(__xludf.DUMMYFUNCTION("GOOGLETRANSLATE(A64,""zh-tw"",""es-MX"")"),"Actualización del 25 de marzo de 2025: Se han corregido los nombres de los mapas y parte del contenido del evento.")</f>
        <v>Actualización del 25 de marzo de 2025: Se han corregido los nombres de los mapas y parte del contenido del evento.</v>
      </c>
      <c r="F64" s="28" t="str">
        <f>IFERROR(__xludf.DUMMYFUNCTION("GOOGLETRANSLATE(A64,""zh-tw"",""KO"")"),"2025년 3월 25일 업데이트: 지도 이름 및 이벤트 내 일부 콘텐츠가 수정되었습니다.")</f>
        <v>2025년 3월 25일 업데이트: 지도 이름 및 이벤트 내 일부 콘텐츠가 수정되었습니다.</v>
      </c>
      <c r="G64" s="28" t="str">
        <f>IFERROR(__xludf.DUMMYFUNCTION("GOOGLETRANSLATE(A64,""zh-tw"",""RU"")"),"Обновление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64" s="28" t="str">
        <f>IFERROR(__xludf.DUMMYFUNCTION("GOOGLETRANSLATE(A64,""zh-tw"",""DE"")"),"Update vom 25. März 2025: Kartennamen und einige Inhalte innerhalb der Veranstaltung wurden korrigiert.")</f>
        <v>Update vom 25. März 2025: Kartennamen und einige Inhalte innerhalb der Veranstaltung wurden korrigiert.</v>
      </c>
      <c r="I64" s="67" t="s">
        <v>339</v>
      </c>
      <c r="J64" s="7" t="s">
        <v>340</v>
      </c>
      <c r="K64" s="7" t="s">
        <v>341</v>
      </c>
      <c r="L64" s="66"/>
      <c r="M64" s="66"/>
      <c r="N64" s="66"/>
      <c r="O64" s="66"/>
      <c r="P64" s="66"/>
      <c r="Q64" s="66"/>
      <c r="R64" s="66"/>
      <c r="S64" s="66"/>
      <c r="T64" s="66"/>
      <c r="U64" s="66"/>
      <c r="V64" s="66"/>
      <c r="W64" s="66"/>
      <c r="X64" s="66"/>
      <c r="Y64" s="66"/>
    </row>
    <row r="65">
      <c r="A65" s="65" t="s">
        <v>342</v>
      </c>
      <c r="B65" s="65" t="str">
        <f>IFERROR(__xludf.DUMMYFUNCTION("GOOGLETRANSLATE(A65,""zh-tw"",""ja"")"),"地図の一部区間は、2025年3月22日から2025年5月5日にかけて再設計されました。")</f>
        <v>地図の一部区間は、2025年3月22日から2025年5月5日にかけて再設計されました。</v>
      </c>
      <c r="C65" s="65" t="s">
        <v>343</v>
      </c>
      <c r="D65" s="65" t="str">
        <f>IFERROR(__xludf.DUMMYFUNCTION("GOOGLETRANSLATE(A65,""zh-tw"",""zh"")"),"2025/3/22-2025/5/5 地图板块重新完成")</f>
        <v>2025/3/22-2025/5/5 地图板块重新完成</v>
      </c>
      <c r="E65" s="28" t="str">
        <f>IFERROR(__xludf.DUMMYFUNCTION("GOOGLETRANSLATE(A65,""zh-tw"",""es-MX"")"),"Las secciones del mapa fueron rediseñadas entre el 22 de marzo de 2025 y el 5 de mayo de 2025.")</f>
        <v>Las secciones del mapa fueron rediseñadas entre el 22 de marzo de 2025 y el 5 de mayo de 2025.</v>
      </c>
      <c r="F65" s="28" t="str">
        <f>IFERROR(__xludf.DUMMYFUNCTION("GOOGLETRANSLATE(A65,""zh-tw"",""KO"")"),"지도 일부 구간은 2025년 3월 22일부터 2025년 5월 5일까지 재설계되었습니다.")</f>
        <v>지도 일부 구간은 2025년 3월 22일부터 2025년 5월 5일까지 재설계되었습니다.</v>
      </c>
      <c r="G65" s="28" t="str">
        <f>IFERROR(__xludf.DUMMYFUNCTION("GOOGLETRANSLATE(A65,""zh-tw"",""RU"")"),"В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5" s="28" t="str">
        <f>IFERROR(__xludf.DUMMYFUNCTION("GOOGLETRANSLATE(A65,""zh-tw"",""DE"")"),"Die Kartenabschnitte wurden vom 22. März 2025 bis zum 5. Mai 2025 neu gestaltet.")</f>
        <v>Die Kartenabschnitte wurden vom 22. März 2025 bis zum 5. Mai 2025 neu gestaltet.</v>
      </c>
      <c r="I65" s="67" t="s">
        <v>344</v>
      </c>
      <c r="J65" s="7" t="s">
        <v>345</v>
      </c>
      <c r="K65" s="7" t="s">
        <v>346</v>
      </c>
      <c r="L65" s="66"/>
      <c r="M65" s="66"/>
      <c r="N65" s="66"/>
      <c r="O65" s="66"/>
      <c r="P65" s="66"/>
      <c r="Q65" s="66"/>
      <c r="R65" s="66"/>
      <c r="S65" s="66"/>
      <c r="T65" s="66"/>
      <c r="U65" s="66"/>
      <c r="V65" s="66"/>
      <c r="W65" s="66"/>
      <c r="X65" s="66"/>
      <c r="Y65" s="66"/>
    </row>
    <row r="66">
      <c r="A66" s="65" t="s">
        <v>347</v>
      </c>
      <c r="B66" s="65" t="str">
        <f>IFERROR(__xludf.DUMMYFUNCTION("GOOGLETRANSLATE(A66,""zh-tw"",""ja"")"),"2025年3月21日：イベントページがリニューアルされ、SLGとRPGのページに分割されました。")</f>
        <v>2025年3月21日：イベントページがリニューアルされ、SLGとRPGのページに分割されました。</v>
      </c>
      <c r="C66" s="65" t="s">
        <v>348</v>
      </c>
      <c r="D66" s="65" t="str">
        <f>IFERROR(__xludf.DUMMYFUNCTION("GOOGLETRANSLATE(A66,""zh-tw"",""zh"")"),"2025/3/21 重制事件页面，分成SLG、RPG页面")</f>
        <v>2025/3/21 重制事件页面，分成SLG、RPG页面</v>
      </c>
      <c r="E66" s="28" t="str">
        <f>IFERROR(__xludf.DUMMYFUNCTION("GOOGLETRANSLATE(A66,""zh-tw"",""es-MX"")"),"21 de marzo de 2025: Se rediseñó la página del evento y se dividió en páginas de SLG y RPG.")</f>
        <v>21 de marzo de 2025: Se rediseñó la página del evento y se dividió en páginas de SLG y RPG.</v>
      </c>
      <c r="F66" s="28" t="str">
        <f>IFERROR(__xludf.DUMMYFUNCTION("GOOGLETRANSLATE(A66,""zh-tw"",""KO"")"),"2025년 3월 21일: 이벤트 페이지가 개편되어 SLG 페이지와 RPG 페이지로 분리되었습니다.")</f>
        <v>2025년 3월 21일: 이벤트 페이지가 개편되어 SLG 페이지와 RPG 페이지로 분리되었습니다.</v>
      </c>
      <c r="G66" s="28" t="str">
        <f>IFERROR(__xludf.DUMMYFUNCTION("GOOGLETRANSLATE(A66,""zh-tw"",""RU"")"),"21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6" s="28" t="str">
        <f>IFERROR(__xludf.DUMMYFUNCTION("GOOGLETRANSLATE(A66,""zh-tw"",""DE"")"),"21. März 2025: Die Veranstaltungsseite wurde neu gestaltet und in SLG- und RPG-Seiten unterteilt.")</f>
        <v>21. März 2025: Die Veranstaltungsseite wurde neu gestaltet und in SLG- und RPG-Seiten unterteilt.</v>
      </c>
      <c r="I66" s="67" t="s">
        <v>349</v>
      </c>
      <c r="J66" s="7" t="s">
        <v>350</v>
      </c>
      <c r="K66" s="7" t="s">
        <v>351</v>
      </c>
      <c r="L66" s="66"/>
      <c r="M66" s="66"/>
      <c r="N66" s="66"/>
      <c r="O66" s="66"/>
      <c r="P66" s="66"/>
      <c r="Q66" s="66"/>
      <c r="R66" s="66"/>
      <c r="S66" s="66"/>
      <c r="T66" s="66"/>
      <c r="U66" s="66"/>
      <c r="V66" s="66"/>
      <c r="W66" s="66"/>
      <c r="X66" s="66"/>
      <c r="Y66" s="66"/>
    </row>
    <row r="67">
      <c r="A67" s="65" t="s">
        <v>352</v>
      </c>
      <c r="B67" s="65" t="str">
        <f>IFERROR(__xludf.DUMMYFUNCTION("GOOGLETRANSLATE(A67,""zh-tw"",""ja"")"),"バージョン0.7の情報は2025年3月16日に更新されました。")</f>
        <v>バージョン0.7の情報は2025年3月16日に更新されました。</v>
      </c>
      <c r="C67" s="65" t="s">
        <v>353</v>
      </c>
      <c r="D67" s="65" t="str">
        <f>IFERROR(__xludf.DUMMYFUNCTION("GOOGLETRANSLATE(A67,""zh-tw"",""zh"")"),"2025/3/16 更新0.7版本资讯")</f>
        <v>2025/3/16 更新0.7版本资讯</v>
      </c>
      <c r="E67" s="28" t="str">
        <f>IFERROR(__xludf.DUMMYFUNCTION("GOOGLETRANSLATE(A67,""zh-tw"",""es-MX"")"),"Información actualizada de la versión 0.7 el 16/03/2025.")</f>
        <v>Información actualizada de la versión 0.7 el 16/03/2025.</v>
      </c>
      <c r="F67" s="28" t="str">
        <f>IFERROR(__xludf.DUMMYFUNCTION("GOOGLETRANSLATE(A67,""zh-tw"",""KO"")"),"2025년 3월 16일 업데이트된 버전 0.7 정보")</f>
        <v>2025년 3월 16일 업데이트된 버전 0.7 정보</v>
      </c>
      <c r="G67" s="28" t="str">
        <f>IFERROR(__xludf.DUMMYFUNCTION("GOOGLETRANSLATE(A67,""zh-tw"",""RU"")"),"Обновлена ​​информация о версии 0.7 от 16.03.2025.")</f>
        <v>Обновлена ​​информация о версии 0.7 от 16.03.2025.</v>
      </c>
      <c r="H67" s="28" t="str">
        <f>IFERROR(__xludf.DUMMYFUNCTION("GOOGLETRANSLATE(A67,""zh-tw"",""DE"")"),"Aktualisierte Informationen zu Version 0.7 vom 16.03.2025")</f>
        <v>Aktualisierte Informationen zu Version 0.7 vom 16.03.2025</v>
      </c>
      <c r="I67" s="67" t="s">
        <v>354</v>
      </c>
      <c r="J67" s="7" t="s">
        <v>355</v>
      </c>
      <c r="K67" s="7" t="s">
        <v>356</v>
      </c>
      <c r="L67" s="66"/>
      <c r="M67" s="66"/>
      <c r="N67" s="66"/>
      <c r="O67" s="66"/>
      <c r="P67" s="66"/>
      <c r="Q67" s="66"/>
      <c r="R67" s="66"/>
      <c r="S67" s="66"/>
      <c r="T67" s="66"/>
      <c r="U67" s="66"/>
      <c r="V67" s="66"/>
      <c r="W67" s="66"/>
      <c r="X67" s="66"/>
      <c r="Y67" s="66"/>
    </row>
    <row r="68">
      <c r="A68" s="65" t="s">
        <v>357</v>
      </c>
      <c r="B68" s="65" t="str">
        <f>IFERROR(__xludf.DUMMYFUNCTION("GOOGLETRANSLATE(A68,""zh-tw"",""ja"")"),"ステータスページネーションを2025年3月15日に追加しました")</f>
        <v>ステータスページネーションを2025年3月15日に追加しました</v>
      </c>
      <c r="C68" s="65" t="s">
        <v>358</v>
      </c>
      <c r="D68" s="65" t="str">
        <f>IFERROR(__xludf.DUMMYFUNCTION("GOOGLETRANSLATE(A68,""zh-tw"",""zh"")"),"2025/3/15 新增状态分页")</f>
        <v>2025/3/15 新增状态分页</v>
      </c>
      <c r="E68" s="28" t="str">
        <f>IFERROR(__xludf.DUMMYFUNCTION("GOOGLETRANSLATE(A68,""zh-tw"",""es-MX"")"),"Se agregó paginación de estado el 15/3/2025.")</f>
        <v>Se agregó paginación de estado el 15/3/2025.</v>
      </c>
      <c r="F68" s="28" t="str">
        <f>IFERROR(__xludf.DUMMYFUNCTION("GOOGLETRANSLATE(A68,""zh-tw"",""KO"")"),"2025년 3월 15일에 상태 페이지네이션 기능이 추가되었습니다.")</f>
        <v>2025년 3월 15일에 상태 페이지네이션 기능이 추가되었습니다.</v>
      </c>
      <c r="G68" s="28" t="str">
        <f>IFERROR(__xludf.DUMMYFUNCTION("GOOGLETRANSLATE(A68,""zh-tw"",""RU"")"),"Добавлена ​​постраничная навигация по статусу 15.03.2025.")</f>
        <v>Добавлена ​​постраничная навигация по статусу 15.03.2025.</v>
      </c>
      <c r="H68" s="28" t="str">
        <f>IFERROR(__xludf.DUMMYFUNCTION("GOOGLETRANSLATE(A68,""zh-tw"",""DE"")"),"Status-Paginierung hinzugefügt am 15.03.2025")</f>
        <v>Status-Paginierung hinzugefügt am 15.03.2025</v>
      </c>
      <c r="I68" s="67" t="s">
        <v>359</v>
      </c>
      <c r="J68" s="7" t="s">
        <v>360</v>
      </c>
      <c r="K68" s="7" t="s">
        <v>361</v>
      </c>
      <c r="L68" s="66"/>
      <c r="M68" s="66"/>
      <c r="N68" s="66"/>
      <c r="O68" s="66"/>
      <c r="P68" s="66"/>
      <c r="Q68" s="66"/>
      <c r="R68" s="66"/>
      <c r="S68" s="66"/>
      <c r="T68" s="66"/>
      <c r="U68" s="66"/>
      <c r="V68" s="66"/>
      <c r="W68" s="66"/>
      <c r="X68" s="66"/>
      <c r="Y68" s="66"/>
    </row>
    <row r="69">
      <c r="A69" s="65" t="s">
        <v>362</v>
      </c>
      <c r="B69" s="65" t="str">
        <f>IFERROR(__xludf.DUMMYFUNCTION("GOOGLETRANSLATE(A69,""zh-tw"",""ja"")"),"TIPS更新日：2025年3月13日")</f>
        <v>TIPS更新日：2025年3月13日</v>
      </c>
      <c r="C69" s="65" t="s">
        <v>363</v>
      </c>
      <c r="D69" s="65" t="str">
        <f>IFERROR(__xludf.DUMMYFUNCTION("GOOGLETRANSLATE(A69,""zh-tw"",""zh"")"),"2025/3/13 更新TIPS")</f>
        <v>2025/3/13 更新TIPS</v>
      </c>
      <c r="E69" s="28" t="str">
        <f>IFERROR(__xludf.DUMMYFUNCTION("GOOGLETRANSLATE(A69,""zh-tw"",""es-MX"")"),"Consejos actualizados el 13/03/2025")</f>
        <v>Consejos actualizados el 13/03/2025</v>
      </c>
      <c r="F69" s="28" t="str">
        <f>IFERROR(__xludf.DUMMYFUNCTION("GOOGLETRANSLATE(A69,""zh-tw"",""KO"")"),"2025년 3월 13일 업데이트된 팁")</f>
        <v>2025년 3월 13일 업데이트된 팁</v>
      </c>
      <c r="G69" s="28" t="str">
        <f>IFERROR(__xludf.DUMMYFUNCTION("GOOGLETRANSLATE(A69,""zh-tw"",""RU"")"),"Обновленные рекомендации от 13.03.2025")</f>
        <v>Обновленные рекомендации от 13.03.2025</v>
      </c>
      <c r="H69" s="28" t="str">
        <f>IFERROR(__xludf.DUMMYFUNCTION("GOOGLETRANSLATE(A69,""zh-tw"",""DE"")"),"Aktualisierte Tipps vom 13.03.2025")</f>
        <v>Aktualisierte Tipps vom 13.03.2025</v>
      </c>
      <c r="I69" s="67" t="s">
        <v>364</v>
      </c>
      <c r="J69" s="7" t="s">
        <v>365</v>
      </c>
      <c r="K69" s="7" t="s">
        <v>366</v>
      </c>
      <c r="L69" s="66"/>
      <c r="M69" s="66"/>
      <c r="N69" s="66"/>
      <c r="O69" s="66"/>
      <c r="P69" s="66"/>
      <c r="Q69" s="66"/>
      <c r="R69" s="66"/>
      <c r="S69" s="66"/>
      <c r="T69" s="66"/>
      <c r="U69" s="66"/>
      <c r="V69" s="66"/>
      <c r="W69" s="66"/>
      <c r="X69" s="66"/>
      <c r="Y69" s="66"/>
    </row>
    <row r="70">
      <c r="A70" s="65" t="s">
        <v>367</v>
      </c>
      <c r="B70" s="65" t="str">
        <f>IFERROR(__xludf.DUMMYFUNCTION("GOOGLETRANSLATE(A70,""zh-tw"",""ja"")"),"2025年3月12日：武器、防具、アイテムのページを再設計しました。")</f>
        <v>2025年3月12日：武器、防具、アイテムのページを再設計しました。</v>
      </c>
      <c r="C70" s="65" t="s">
        <v>368</v>
      </c>
      <c r="D70" s="65" t="str">
        <f>IFERROR(__xludf.DUMMYFUNCTION("GOOGLETRANSLATE(A70,""zh-tw"",""zh"")"),"2025/3/12 重新制作武器、防具、道具的页面")</f>
        <v>2025/3/12 重新制作武器、防具、道具的页面</v>
      </c>
      <c r="E70" s="28" t="str">
        <f>IFERROR(__xludf.DUMMYFUNCTION("GOOGLETRANSLATE(A70,""zh-tw"",""es-MX"")"),"12 de marzo de 2025: Se rediseñaron las páginas de armas, armaduras y objetos.")</f>
        <v>12 de marzo de 2025: Se rediseñaron las páginas de armas, armaduras y objetos.</v>
      </c>
      <c r="F70" s="28" t="str">
        <f>IFERROR(__xludf.DUMMYFUNCTION("GOOGLETRANSLATE(A70,""zh-tw"",""KO"")"),"2025년 3월 12일: 무기, 갑옷, 아이템 페이지를 새롭게 디자인했습니다.")</f>
        <v>2025년 3월 12일: 무기, 갑옷, 아이템 페이지를 새롭게 디자인했습니다.</v>
      </c>
      <c r="G70" s="28" t="str">
        <f>IFERROR(__xludf.DUMMYFUNCTION("GOOGLETRANSLATE(A70,""zh-tw"",""RU"")"),"12 марта 2025 г.: Переработан дизайн страниц оружия, брони и предметов.")</f>
        <v>12 марта 2025 г.: Переработан дизайн страниц оружия, брони и предметов.</v>
      </c>
      <c r="H70" s="28" t="str">
        <f>IFERROR(__xludf.DUMMYFUNCTION("GOOGLETRANSLATE(A70,""zh-tw"",""DE"")"),"12. März 2025: Die Seiten für Waffen, Rüstungen und Gegenstände wurden neu gestaltet.")</f>
        <v>12. März 2025: Die Seiten für Waffen, Rüstungen und Gegenstände wurden neu gestaltet.</v>
      </c>
      <c r="I70" s="67" t="s">
        <v>369</v>
      </c>
      <c r="J70" s="7" t="s">
        <v>370</v>
      </c>
      <c r="K70" s="7" t="s">
        <v>371</v>
      </c>
      <c r="L70" s="66"/>
      <c r="M70" s="66"/>
      <c r="N70" s="66"/>
      <c r="O70" s="66"/>
      <c r="P70" s="66"/>
      <c r="Q70" s="66"/>
      <c r="R70" s="66"/>
      <c r="S70" s="66"/>
      <c r="T70" s="66"/>
      <c r="U70" s="66"/>
      <c r="V70" s="66"/>
      <c r="W70" s="66"/>
      <c r="X70" s="66"/>
      <c r="Y70" s="66"/>
    </row>
    <row r="71">
      <c r="A71" s="65" t="s">
        <v>372</v>
      </c>
      <c r="B71" s="65" t="str">
        <f>IFERROR(__xludf.DUMMYFUNCTION("GOOGLETRANSLATE(A71,""zh-tw"",""ja"")"),"アップデートのお知らせ（2025年3月10日）")</f>
        <v>アップデートのお知らせ（2025年3月10日）</v>
      </c>
      <c r="C71" s="65" t="s">
        <v>373</v>
      </c>
      <c r="D71" s="65" t="str">
        <f>IFERROR(__xludf.DUMMYFUNCTION("GOOGLETRANSLATE(A71,""zh-tw"",""zh"")"),"2025/3/10 更新公告")</f>
        <v>2025/3/10 更新公告</v>
      </c>
      <c r="E71" s="28" t="str">
        <f>IFERROR(__xludf.DUMMYFUNCTION("GOOGLETRANSLATE(A71,""zh-tw"",""es-MX"")"),"Anuncio de actualización (10 de marzo de 2025)")</f>
        <v>Anuncio de actualización (10 de marzo de 2025)</v>
      </c>
      <c r="F71" s="28" t="str">
        <f>IFERROR(__xludf.DUMMYFUNCTION("GOOGLETRANSLATE(A71,""zh-tw"",""KO"")"),"업데이트 공지 (2025년 3월 10일)")</f>
        <v>업데이트 공지 (2025년 3월 10일)</v>
      </c>
      <c r="G71" s="28" t="str">
        <f>IFERROR(__xludf.DUMMYFUNCTION("GOOGLETRANSLATE(A71,""zh-tw"",""RU"")"),"Уведомление об обновлении (10 марта 2025 г.)")</f>
        <v>Уведомление об обновлении (10 марта 2025 г.)</v>
      </c>
      <c r="H71" s="28" t="str">
        <f>IFERROR(__xludf.DUMMYFUNCTION("GOOGLETRANSLATE(A71,""zh-tw"",""DE"")"),"Aktualisierungsankündigung (10. März 2025)")</f>
        <v>Aktualisierungsankündigung (10. März 2025)</v>
      </c>
      <c r="I71" s="67" t="s">
        <v>374</v>
      </c>
      <c r="J71" s="7" t="s">
        <v>375</v>
      </c>
      <c r="K71" s="7" t="s">
        <v>376</v>
      </c>
      <c r="L71" s="66"/>
      <c r="M71" s="66"/>
      <c r="N71" s="66"/>
      <c r="O71" s="66"/>
      <c r="P71" s="66"/>
      <c r="Q71" s="66"/>
      <c r="R71" s="66"/>
      <c r="S71" s="66"/>
      <c r="T71" s="66"/>
      <c r="U71" s="66"/>
      <c r="V71" s="66"/>
      <c r="W71" s="66"/>
      <c r="X71" s="66"/>
      <c r="Y71" s="66"/>
    </row>
    <row r="72">
      <c r="A72" s="65" t="s">
        <v>377</v>
      </c>
      <c r="B72" s="65" t="str">
        <f>IFERROR(__xludf.DUMMYFUNCTION("GOOGLETRANSLATE(A72,""zh-tw"",""ja"")"),"アップデートのお知らせ（2025年2月10日）")</f>
        <v>アップデートのお知らせ（2025年2月10日）</v>
      </c>
      <c r="C72" s="65" t="s">
        <v>378</v>
      </c>
      <c r="D72" s="65" t="str">
        <f>IFERROR(__xludf.DUMMYFUNCTION("GOOGLETRANSLATE(A72,""zh-tw"",""zh"")"),"2025/2/10 更新公告")</f>
        <v>2025/2/10 更新公告</v>
      </c>
      <c r="E72" s="28" t="str">
        <f>IFERROR(__xludf.DUMMYFUNCTION("GOOGLETRANSLATE(A72,""zh-tw"",""es-MX"")"),"Anuncio de actualización (10 de febrero de 2025)")</f>
        <v>Anuncio de actualización (10 de febrero de 2025)</v>
      </c>
      <c r="F72" s="28" t="str">
        <f>IFERROR(__xludf.DUMMYFUNCTION("GOOGLETRANSLATE(A72,""zh-tw"",""KO"")"),"업데이트 공지 (2025년 2월 10일)")</f>
        <v>업데이트 공지 (2025년 2월 10일)</v>
      </c>
      <c r="G72" s="28" t="str">
        <f>IFERROR(__xludf.DUMMYFUNCTION("GOOGLETRANSLATE(A72,""zh-tw"",""RU"")"),"Обновление информации (10 февраля 2025 г.)")</f>
        <v>Обновление информации (10 февраля 2025 г.)</v>
      </c>
      <c r="H72" s="28" t="str">
        <f>IFERROR(__xludf.DUMMYFUNCTION("GOOGLETRANSLATE(A72,""zh-tw"",""DE"")"),"Aktualisierungsankündigung (10. Februar 2025)")</f>
        <v>Aktualisierungsankündigung (10. Februar 2025)</v>
      </c>
      <c r="I72" s="67" t="s">
        <v>379</v>
      </c>
      <c r="J72" s="7" t="s">
        <v>380</v>
      </c>
      <c r="K72" s="7" t="s">
        <v>381</v>
      </c>
      <c r="L72" s="66"/>
      <c r="M72" s="66"/>
      <c r="N72" s="66"/>
      <c r="O72" s="66"/>
      <c r="P72" s="66"/>
      <c r="Q72" s="66"/>
      <c r="R72" s="66"/>
      <c r="S72" s="66"/>
      <c r="T72" s="66"/>
      <c r="U72" s="66"/>
      <c r="V72" s="66"/>
      <c r="W72" s="66"/>
      <c r="X72" s="66"/>
      <c r="Y72" s="66"/>
    </row>
    <row r="73">
      <c r="A73" s="65" t="s">
        <v>382</v>
      </c>
      <c r="B73" s="65" t="str">
        <f>IFERROR(__xludf.DUMMYFUNCTION("GOOGLETRANSLATE(A73,""zh-tw"",""ja"")"),"2025年2月4日：バージョン0.65 Bを追加しました。")</f>
        <v>2025年2月4日：バージョン0.65 Bを追加しました。</v>
      </c>
      <c r="C73" s="65" t="s">
        <v>383</v>
      </c>
      <c r="D73" s="65" t="str">
        <f>IFERROR(__xludf.DUMMYFUNCTION("GOOGLETRANSLATE(A73,""zh-tw"",""zh"")"),"2025/2/4 新增0.65 B版本 事件")</f>
        <v>2025/2/4 新增0.65 B版本 事件</v>
      </c>
      <c r="E73" s="28" t="str">
        <f>IFERROR(__xludf.DUMMYFUNCTION("GOOGLETRANSLATE(A73,""zh-tw"",""es-MX"")"),"4 de febrero de 2025: Se agregó la versión 0.65 B.")</f>
        <v>4 de febrero de 2025: Se agregó la versión 0.65 B.</v>
      </c>
      <c r="F73" s="28" t="str">
        <f>IFERROR(__xludf.DUMMYFUNCTION("GOOGLETRANSLATE(A73,""zh-tw"",""KO"")"),"2025년 2월 4일: 버전 0.65 B가 추가되었습니다.")</f>
        <v>2025년 2월 4일: 버전 0.65 B가 추가되었습니다.</v>
      </c>
      <c r="G73" s="28" t="str">
        <f>IFERROR(__xludf.DUMMYFUNCTION("GOOGLETRANSLATE(A73,""zh-tw"",""RU"")"),"4 февраля 2025 г.: Добавлена ​​версия 0.65 B.")</f>
        <v>4 февраля 2025 г.: Добавлена ​​версия 0.65 B.</v>
      </c>
      <c r="H73" s="28" t="str">
        <f>IFERROR(__xludf.DUMMYFUNCTION("GOOGLETRANSLATE(A73,""zh-tw"",""DE"")"),"4. Februar 2025: Version 0.65 B hinzugefügt.")</f>
        <v>4. Februar 2025: Version 0.65 B hinzugefügt.</v>
      </c>
      <c r="I73" s="67" t="s">
        <v>384</v>
      </c>
      <c r="J73" s="7" t="s">
        <v>385</v>
      </c>
      <c r="K73" s="7" t="s">
        <v>386</v>
      </c>
      <c r="L73" s="66"/>
      <c r="M73" s="66"/>
      <c r="N73" s="66"/>
      <c r="O73" s="66"/>
      <c r="P73" s="66"/>
      <c r="Q73" s="66"/>
      <c r="R73" s="66"/>
      <c r="S73" s="66"/>
      <c r="T73" s="66"/>
      <c r="U73" s="66"/>
      <c r="V73" s="66"/>
      <c r="W73" s="66"/>
      <c r="X73" s="66"/>
      <c r="Y73" s="66"/>
    </row>
    <row r="74">
      <c r="A74" s="65" t="s">
        <v>387</v>
      </c>
      <c r="B74" s="65" t="str">
        <f>IFERROR(__xludf.DUMMYFUNCTION("GOOGLETRANSLATE(A74,""zh-tw"",""ja"")"),"2025年2月3日～4日：フォールン・サンクチュアリの地図画像を追加しました。一部の地図にキャンプファイヤーのマーカーを追加しました。")</f>
        <v>2025年2月3日～4日：フォールン・サンクチュアリの地図画像を追加しました。一部の地図にキャンプファイヤーのマーカーを追加しました。</v>
      </c>
      <c r="C74" s="65" t="s">
        <v>388</v>
      </c>
      <c r="D74" s="65" t="str">
        <f>IFERROR(__xludf.DUMMYFUNCTION("GOOGLETRANSLATE(A74,""zh-tw"",""zh"")"),"2025/2/3-2/4 新增堕落的圣堂地图图片，一部分地图新增了篝火的标记")</f>
        <v>2025/2/3-2/4 新增堕落的圣堂地图图片，一部分地图新增了篝火的标记</v>
      </c>
      <c r="E74" s="28" t="str">
        <f>IFERROR(__xludf.DUMMYFUNCTION("GOOGLETRANSLATE(A74,""zh-tw"",""es-MX"")"),"3 y 4 de febrero de 2025: Se añadieron imágenes de mapas para el Santuario Caído; se añadieron marcadores de fogatas a algunos mapas.")</f>
        <v>3 y 4 de febrero de 2025: Se añadieron imágenes de mapas para el Santuario Caído; se añadieron marcadores de fogatas a algunos mapas.</v>
      </c>
      <c r="F74" s="28" t="str">
        <f>IFERROR(__xludf.DUMMYFUNCTION("GOOGLETRANSLATE(A74,""zh-tw"",""KO"")"),"2025년 2월 3일~4일: 타락한 자들의 은신처 지도 이미지를 추가하고, 일부 지도에 모닥불 표시를 추가했습니다.")</f>
        <v>2025년 2월 3일~4일: 타락한 자들의 은신처 지도 이미지를 추가하고, 일부 지도에 모닥불 표시를 추가했습니다.</v>
      </c>
      <c r="G74" s="28" t="str">
        <f>IFERROR(__xludf.DUMMYFUNCTION("GOOGLETRANSLATE(A74,""zh-tw"",""RU"")"),"3-4 февраля 2025 г.: Добавлены изображения карты Святилища Павших; на некоторые карты добавлены маркеры костра.")</f>
        <v>3-4 февраля 2025 г.: Добавлены изображения карты Святилища Павших; на некоторые карты добавлены маркеры костра.</v>
      </c>
      <c r="H74" s="28" t="str">
        <f>IFERROR(__xludf.DUMMYFUNCTION("GOOGLETRANSLATE(A74,""zh-tw"",""DE"")"),"3.-4. Februar 2025: Kartenbilder für das Gefallene Heiligtum hinzugefügt; Lagerfeuermarkierungen auf einigen Karten hinzugefügt.")</f>
        <v>3.-4. Februar 2025: Kartenbilder für das Gefallene Heiligtum hinzugefügt; Lagerfeuermarkierungen auf einigen Karten hinzugefügt.</v>
      </c>
      <c r="I74" s="67" t="s">
        <v>389</v>
      </c>
      <c r="J74" s="7" t="s">
        <v>390</v>
      </c>
      <c r="K74" s="7" t="s">
        <v>391</v>
      </c>
      <c r="L74" s="66"/>
      <c r="M74" s="66"/>
      <c r="N74" s="66"/>
      <c r="O74" s="66"/>
      <c r="P74" s="66"/>
      <c r="Q74" s="66"/>
      <c r="R74" s="66"/>
      <c r="S74" s="66"/>
      <c r="T74" s="66"/>
      <c r="U74" s="66"/>
      <c r="V74" s="66"/>
      <c r="W74" s="66"/>
      <c r="X74" s="66"/>
      <c r="Y74" s="66"/>
    </row>
    <row r="75">
      <c r="A75" s="65" t="s">
        <v>392</v>
      </c>
      <c r="B75" s="65" t="str">
        <f>IFERROR(__xludf.DUMMYFUNCTION("GOOGLETRANSLATE(A75,""zh-tw"",""ja"")"),"2025年2月2日：イベントと防具を含むバージョン0.65Aを追加しました。")</f>
        <v>2025年2月2日：イベントと防具を含むバージョン0.65Aを追加しました。</v>
      </c>
      <c r="C75" s="65" t="s">
        <v>393</v>
      </c>
      <c r="D75" s="65" t="str">
        <f>IFERROR(__xludf.DUMMYFUNCTION("GOOGLETRANSLATE(A75,""zh-tw"",""zh"")"),"2025/2/2 新增0.65A版本 事件、装甲")</f>
        <v>2025/2/2 新增0.65A版本 事件、装甲</v>
      </c>
      <c r="E75" s="28" t="str">
        <f>IFERROR(__xludf.DUMMYFUNCTION("GOOGLETRANSLATE(A75,""zh-tw"",""es-MX"")"),"2 de febrero de 2025: Se agregó la versión 0.65A, que incluye eventos y armaduras.")</f>
        <v>2 de febrero de 2025: Se agregó la versión 0.65A, que incluye eventos y armaduras.</v>
      </c>
      <c r="F75" s="28" t="str">
        <f>IFERROR(__xludf.DUMMYFUNCTION("GOOGLETRANSLATE(A75,""zh-tw"",""KO"")"),"2025년 2월 2일: 이벤트 및 갑옷을 포함한 버전 0.65A를 추가했습니다.")</f>
        <v>2025년 2월 2일: 이벤트 및 갑옷을 포함한 버전 0.65A를 추가했습니다.</v>
      </c>
      <c r="G75" s="28" t="str">
        <f>IFERROR(__xludf.DUMMYFUNCTION("GOOGLETRANSLATE(A75,""zh-tw"",""RU"")"),"2 февраля 2025 г.: Добавлена ​​версия 0.65A, включающая события и броню.")</f>
        <v>2 февраля 2025 г.: Добавлена ​​версия 0.65A, включающая события и броню.</v>
      </c>
      <c r="H75" s="28" t="str">
        <f>IFERROR(__xludf.DUMMYFUNCTION("GOOGLETRANSLATE(A75,""zh-tw"",""DE"")"),"2. Februar 2025: Version 0.65A hinzugefügt, inklusive Ereignissen und Rüstungen.")</f>
        <v>2. Februar 2025: Version 0.65A hinzugefügt, inklusive Ereignissen und Rüstungen.</v>
      </c>
      <c r="I75" s="67" t="s">
        <v>394</v>
      </c>
      <c r="J75" s="7" t="s">
        <v>395</v>
      </c>
      <c r="K75" s="7" t="s">
        <v>396</v>
      </c>
      <c r="L75" s="66"/>
      <c r="M75" s="66"/>
      <c r="N75" s="66"/>
      <c r="O75" s="66"/>
      <c r="P75" s="66"/>
      <c r="Q75" s="66"/>
      <c r="R75" s="66"/>
      <c r="S75" s="66"/>
      <c r="T75" s="66"/>
      <c r="U75" s="66"/>
      <c r="V75" s="66"/>
      <c r="W75" s="66"/>
      <c r="X75" s="66"/>
      <c r="Y75" s="66"/>
    </row>
    <row r="76">
      <c r="A76" s="65" t="s">
        <v>397</v>
      </c>
      <c r="B76" s="65" t="str">
        <f>IFERROR(__xludf.DUMMYFUNCTION("GOOGLETRANSLATE(A76,""zh-tw"",""ja"")"),"地図ライブラリ情報の更新日：2025年1月15日")</f>
        <v>地図ライブラリ情報の更新日：2025年1月15日</v>
      </c>
      <c r="C76" s="65" t="s">
        <v>398</v>
      </c>
      <c r="D76" s="65" t="str">
        <f>IFERROR(__xludf.DUMMYFUNCTION("GOOGLETRANSLATE(A76,""zh-tw"",""zh"")"),"2025/1/15 地图图库资讯更新")</f>
        <v>2025/1/15 地图图库资讯更新</v>
      </c>
      <c r="E76" s="28" t="str">
        <f>IFERROR(__xludf.DUMMYFUNCTION("GOOGLETRANSLATE(A76,""zh-tw"",""es-MX"")"),"Actualización de la información de la biblioteca de mapas el 15 de enero de 2025.")</f>
        <v>Actualización de la información de la biblioteca de mapas el 15 de enero de 2025.</v>
      </c>
      <c r="F76" s="28" t="str">
        <f>IFERROR(__xludf.DUMMYFUNCTION("GOOGLETRANSLATE(A76,""zh-tw"",""KO"")"),"지도 라이브러리 정보 업데이트 (2025년 1월 15일)")</f>
        <v>지도 라이브러리 정보 업데이트 (2025년 1월 15일)</v>
      </c>
      <c r="G76" s="28" t="str">
        <f>IFERROR(__xludf.DUMMYFUNCTION("GOOGLETRANSLATE(A76,""zh-tw"",""RU"")"),"Обновление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6" s="28" t="str">
        <f>IFERROR(__xludf.DUMMYFUNCTION("GOOGLETRANSLATE(A76,""zh-tw"",""DE"")"),"Aktualisierung der Kartenbibliotheksinformationen am 15. Januar 2025")</f>
        <v>Aktualisierung der Kartenbibliotheksinformationen am 15. Januar 2025</v>
      </c>
      <c r="I76" s="67" t="s">
        <v>399</v>
      </c>
      <c r="J76" s="7" t="s">
        <v>400</v>
      </c>
      <c r="K76" s="7" t="s">
        <v>401</v>
      </c>
      <c r="L76" s="66"/>
      <c r="M76" s="66"/>
      <c r="N76" s="66"/>
      <c r="O76" s="66"/>
      <c r="P76" s="66"/>
      <c r="Q76" s="66"/>
      <c r="R76" s="66"/>
      <c r="S76" s="66"/>
      <c r="T76" s="66"/>
      <c r="U76" s="66"/>
      <c r="V76" s="66"/>
      <c r="W76" s="66"/>
      <c r="X76" s="66"/>
      <c r="Y76" s="66"/>
    </row>
    <row r="77">
      <c r="A77" s="65" t="s">
        <v>402</v>
      </c>
      <c r="B77" s="65" t="str">
        <f>IFERROR(__xludf.DUMMYFUNCTION("GOOGLETRANSLATE(A77,""zh-tw"",""ja"")"),"2025年1月13日：バージョン0.61の情報を追加：イベント")</f>
        <v>2025年1月13日：バージョン0.61の情報を追加：イベント</v>
      </c>
      <c r="C77" s="65" t="s">
        <v>403</v>
      </c>
      <c r="D77" s="65" t="str">
        <f>IFERROR(__xludf.DUMMYFUNCTION("GOOGLETRANSLATE(A77,""zh-tw"",""zh"")"),"2025/1/13 新增0.61版本资讯:事件")</f>
        <v>2025/1/13 新增0.61版本资讯:事件</v>
      </c>
      <c r="E77" s="28" t="str">
        <f>IFERROR(__xludf.DUMMYFUNCTION("GOOGLETRANSLATE(A77,""zh-tw"",""es-MX"")"),"13 de enero de 2025: Se agregó información de la versión 0.61: Eventos")</f>
        <v>13 de enero de 2025: Se agregó información de la versión 0.61: Eventos</v>
      </c>
      <c r="F77" s="28" t="str">
        <f>IFERROR(__xludf.DUMMYFUNCTION("GOOGLETRANSLATE(A77,""zh-tw"",""KO"")"),"2025년 1월 13일: 버전 0.61 정보 추가: 이벤트")</f>
        <v>2025년 1월 13일: 버전 0.61 정보 추가: 이벤트</v>
      </c>
      <c r="G77" s="28" t="str">
        <f>IFERROR(__xludf.DUMMYFUNCTION("GOOGLETRANSLATE(A77,""zh-tw"",""RU"")"),"13 января 2025 г.: Добавлена ​​информация о версии 0.61: События")</f>
        <v>13 января 2025 г.: Добавлена ​​информация о версии 0.61: События</v>
      </c>
      <c r="H77" s="28" t="str">
        <f>IFERROR(__xludf.DUMMYFUNCTION("GOOGLETRANSLATE(A77,""zh-tw"",""DE"")"),"13. Januar 2025: Informationen zu Version 0.61 hinzugefügt: Ereignisse")</f>
        <v>13. Januar 2025: Informationen zu Version 0.61 hinzugefügt: Ereignisse</v>
      </c>
      <c r="I77" s="67" t="s">
        <v>404</v>
      </c>
      <c r="J77" s="7" t="s">
        <v>405</v>
      </c>
      <c r="K77" s="7" t="s">
        <v>406</v>
      </c>
      <c r="L77" s="66"/>
      <c r="M77" s="66"/>
      <c r="N77" s="66"/>
      <c r="O77" s="66"/>
      <c r="P77" s="66"/>
      <c r="Q77" s="66"/>
      <c r="R77" s="66"/>
      <c r="S77" s="66"/>
      <c r="T77" s="66"/>
      <c r="U77" s="66"/>
      <c r="V77" s="66"/>
      <c r="W77" s="66"/>
      <c r="X77" s="66"/>
      <c r="Y77" s="66"/>
    </row>
    <row r="78">
      <c r="A78" s="65" t="s">
        <v>407</v>
      </c>
      <c r="B78" s="65" t="str">
        <f>IFERROR(__xludf.DUMMYFUNCTION("GOOGLETRANSLATE(A78,""zh-tw"",""ja"")"),"2025年1月6日：バージョン0.6Cの情報を追加しました：アーマー")</f>
        <v>2025年1月6日：バージョン0.6Cの情報を追加しました：アーマー</v>
      </c>
      <c r="C78" s="65" t="s">
        <v>408</v>
      </c>
      <c r="D78" s="65" t="str">
        <f>IFERROR(__xludf.DUMMYFUNCTION("GOOGLETRANSLATE(A78,""zh-tw"",""zh"")"),"2025/1/6 新增0.6C版本资讯:装甲")</f>
        <v>2025/1/6 新增0.6C版本资讯:装甲</v>
      </c>
      <c r="E78" s="28" t="str">
        <f>IFERROR(__xludf.DUMMYFUNCTION("GOOGLETRANSLATE(A78,""zh-tw"",""es-MX"")"),"6 de enero de 2025: Se agregó información de la versión 0.6C: Armadura")</f>
        <v>6 de enero de 2025: Se agregó información de la versión 0.6C: Armadura</v>
      </c>
      <c r="F78" s="28" t="str">
        <f>IFERROR(__xludf.DUMMYFUNCTION("GOOGLETRANSLATE(A78,""zh-tw"",""KO"")"),"2025년 1월 6일: 0.6C 버전 정보 추가: 갑옷")</f>
        <v>2025년 1월 6일: 0.6C 버전 정보 추가: 갑옷</v>
      </c>
      <c r="G78" s="28" t="str">
        <f>IFERROR(__xludf.DUMMYFUNCTION("GOOGLETRANSLATE(A78,""zh-tw"",""RU"")"),"6 января 2025 г.: Добавлена ​​информация о версии 0.6C: Броня")</f>
        <v>6 января 2025 г.: Добавлена ​​информация о версии 0.6C: Броня</v>
      </c>
      <c r="H78" s="28" t="str">
        <f>IFERROR(__xludf.DUMMYFUNCTION("GOOGLETRANSLATE(A78,""zh-tw"",""DE"")"),"6. Januar 2025: Versionsinformationen 0.6C hinzugefügt: Armor")</f>
        <v>6. Januar 2025: Versionsinformationen 0.6C hinzugefügt: Armor</v>
      </c>
      <c r="I78" s="67" t="s">
        <v>409</v>
      </c>
      <c r="J78" s="7" t="s">
        <v>410</v>
      </c>
      <c r="K78" s="7" t="s">
        <v>411</v>
      </c>
      <c r="L78" s="66"/>
      <c r="M78" s="66"/>
      <c r="N78" s="66"/>
      <c r="O78" s="66"/>
      <c r="P78" s="66"/>
      <c r="Q78" s="66"/>
      <c r="R78" s="66"/>
      <c r="S78" s="66"/>
      <c r="T78" s="66"/>
      <c r="U78" s="66"/>
      <c r="V78" s="66"/>
      <c r="W78" s="66"/>
      <c r="X78" s="66"/>
      <c r="Y78" s="66"/>
    </row>
    <row r="79">
      <c r="A79" s="65" t="s">
        <v>412</v>
      </c>
      <c r="B79" s="65" t="str">
        <f>IFERROR(__xludf.DUMMYFUNCTION("GOOGLETRANSLATE(A79,""zh-tw"",""ja"")"),"2025年1月5日：バージョン0.6Bの情報を追加：イベント")</f>
        <v>2025年1月5日：バージョン0.6Bの情報を追加：イベント</v>
      </c>
      <c r="C79" s="65" t="s">
        <v>413</v>
      </c>
      <c r="D79" s="65" t="str">
        <f>IFERROR(__xludf.DUMMYFUNCTION("GOOGLETRANSLATE(A79,""zh-tw"",""zh"")"),"2025/1/5 新增0.6B版本资讯:事件")</f>
        <v>2025/1/5 新增0.6B版本资讯:事件</v>
      </c>
      <c r="E79" s="28" t="str">
        <f>IFERROR(__xludf.DUMMYFUNCTION("GOOGLETRANSLATE(A79,""zh-tw"",""es-MX"")"),"5 de enero de 2025: Se agregó información de la versión 0.6B: Eventos")</f>
        <v>5 de enero de 2025: Se agregó información de la versión 0.6B: Eventos</v>
      </c>
      <c r="F79" s="28" t="str">
        <f>IFERROR(__xludf.DUMMYFUNCTION("GOOGLETRANSLATE(A79,""zh-tw"",""KO"")"),"2025년 1월 5일: 버전 0.6B 정보 추가: 이벤트")</f>
        <v>2025년 1월 5일: 버전 0.6B 정보 추가: 이벤트</v>
      </c>
      <c r="G79" s="28" t="str">
        <f>IFERROR(__xludf.DUMMYFUNCTION("GOOGLETRANSLATE(A79,""zh-tw"",""RU"")"),"5 января 2025 г.: Добавлена ​​информация о версии 0.6B: События")</f>
        <v>5 января 2025 г.: Добавлена ​​информация о версии 0.6B: События</v>
      </c>
      <c r="H79" s="28" t="str">
        <f>IFERROR(__xludf.DUMMYFUNCTION("GOOGLETRANSLATE(A79,""zh-tw"",""DE"")"),"5. Januar 2025: Informationen zu Version 0.6B hinzugefügt: Ereignisse")</f>
        <v>5. Januar 2025: Informationen zu Version 0.6B hinzugefügt: Ereignisse</v>
      </c>
      <c r="I79" s="67" t="s">
        <v>414</v>
      </c>
      <c r="J79" s="7" t="s">
        <v>415</v>
      </c>
      <c r="K79" s="7" t="s">
        <v>416</v>
      </c>
      <c r="L79" s="66"/>
      <c r="M79" s="66"/>
      <c r="N79" s="66"/>
      <c r="O79" s="66"/>
      <c r="P79" s="66"/>
      <c r="Q79" s="66"/>
      <c r="R79" s="66"/>
      <c r="S79" s="66"/>
      <c r="T79" s="66"/>
      <c r="U79" s="66"/>
      <c r="V79" s="66"/>
      <c r="W79" s="66"/>
      <c r="X79" s="66"/>
      <c r="Y79" s="66"/>
    </row>
    <row r="80">
      <c r="A80" s="65" t="s">
        <v>417</v>
      </c>
      <c r="B80" s="65" t="str">
        <f>IFERROR(__xludf.DUMMYFUNCTION("GOOGLETRANSLATE(A80,""zh-tw"",""ja"")"),"2025年1月3日：バージョン0.6Aの情報を追加：イベント")</f>
        <v>2025年1月3日：バージョン0.6Aの情報を追加：イベント</v>
      </c>
      <c r="C80" s="65" t="s">
        <v>418</v>
      </c>
      <c r="D80" s="65" t="str">
        <f>IFERROR(__xludf.DUMMYFUNCTION("GOOGLETRANSLATE(A80,""zh-tw"",""zh"")"),"2025/1/3 新增0.6A版本资讯:事件")</f>
        <v>2025/1/3 新增0.6A版本资讯:事件</v>
      </c>
      <c r="E80" s="28" t="str">
        <f>IFERROR(__xludf.DUMMYFUNCTION("GOOGLETRANSLATE(A80,""zh-tw"",""es-MX"")"),"3 de enero de 2025: Se agregó información para la versión 0.6A: Eventos")</f>
        <v>3 de enero de 2025: Se agregó información para la versión 0.6A: Eventos</v>
      </c>
      <c r="F80" s="28" t="str">
        <f>IFERROR(__xludf.DUMMYFUNCTION("GOOGLETRANSLATE(A80,""zh-tw"",""KO"")"),"2025년 1월 3일: 버전 0.6A에 대한 정보 추가: 이벤트")</f>
        <v>2025년 1월 3일: 버전 0.6A에 대한 정보 추가: 이벤트</v>
      </c>
      <c r="G80" s="28" t="str">
        <f>IFERROR(__xludf.DUMMYFUNCTION("GOOGLETRANSLATE(A80,""zh-tw"",""RU"")"),"3 января 2025 г.: Добавлена ​​информация для версии 0.6A: События")</f>
        <v>3 января 2025 г.: Добавлена ​​информация для версии 0.6A: События</v>
      </c>
      <c r="H80" s="28" t="str">
        <f>IFERROR(__xludf.DUMMYFUNCTION("GOOGLETRANSLATE(A80,""zh-tw"",""DE"")"),"3. Januar 2025: Informationen für Version 0.6A hinzugefügt: Ereignisse")</f>
        <v>3. Januar 2025: Informationen für Version 0.6A hinzugefügt: Ereignisse</v>
      </c>
      <c r="I80" s="67" t="s">
        <v>419</v>
      </c>
      <c r="J80" s="7" t="s">
        <v>420</v>
      </c>
      <c r="K80" s="7" t="s">
        <v>421</v>
      </c>
      <c r="L80" s="66"/>
      <c r="M80" s="66"/>
      <c r="N80" s="66"/>
      <c r="O80" s="66"/>
      <c r="P80" s="66"/>
      <c r="Q80" s="66"/>
      <c r="R80" s="66"/>
      <c r="S80" s="66"/>
      <c r="T80" s="66"/>
      <c r="U80" s="66"/>
      <c r="V80" s="66"/>
      <c r="W80" s="66"/>
      <c r="X80" s="66"/>
      <c r="Y80" s="66"/>
    </row>
    <row r="81">
      <c r="A81" s="65" t="s">
        <v>422</v>
      </c>
      <c r="B81" s="65" t="str">
        <f>IFERROR(__xludf.DUMMYFUNCTION("GOOGLETRANSLATE(A81,""zh-tw"",""ja"")"),"2025/1/2 バージョン0.6の情報を追加しました")</f>
        <v>2025/1/2 バージョン0.6の情報を追加しました</v>
      </c>
      <c r="C81" s="65" t="s">
        <v>423</v>
      </c>
      <c r="D81" s="65" t="str">
        <f>IFERROR(__xludf.DUMMYFUNCTION("GOOGLETRANSLATE(A81,""zh-tw"",""zh"")"),"2025/1/2 新增0.6版本资讯")</f>
        <v>2025/1/2 新增0.6版本资讯</v>
      </c>
      <c r="E81" s="28" t="str">
        <f>IFERROR(__xludf.DUMMYFUNCTION("GOOGLETRANSLATE(A81,""zh-tw"",""es-MX"")"),"2 de enero de 2025: Se agregó información de la versión 0.6.")</f>
        <v>2 de enero de 2025: Se agregó información de la versión 0.6.</v>
      </c>
      <c r="F81" s="28" t="str">
        <f>IFERROR(__xludf.DUMMYFUNCTION("GOOGLETRANSLATE(A81,""zh-tw"",""KO"")"),"2025년 1월 2일 버전 0.6 정보 추가")</f>
        <v>2025년 1월 2일 버전 0.6 정보 추가</v>
      </c>
      <c r="G81" s="28" t="str">
        <f>IFERROR(__xludf.DUMMYFUNCTION("GOOGLETRANSLATE(A81,""zh-tw"",""RU"")"),"02.01.2025 Добавлена ​​информация о версии 0.6")</f>
        <v>02.01.2025 Добавлена ​​информация о версии 0.6</v>
      </c>
      <c r="H81" s="28" t="str">
        <f>IFERROR(__xludf.DUMMYFUNCTION("GOOGLETRANSLATE(A81,""zh-tw"",""DE"")"),"2025/1/2 Informationen zu Version 0.6 hinzugefügt")</f>
        <v>2025/1/2 Informationen zu Version 0.6 hinzugefügt</v>
      </c>
      <c r="I81" s="67" t="s">
        <v>424</v>
      </c>
      <c r="J81" s="7" t="s">
        <v>425</v>
      </c>
      <c r="K81" s="7" t="s">
        <v>426</v>
      </c>
      <c r="L81" s="66"/>
      <c r="M81" s="66"/>
      <c r="N81" s="66"/>
      <c r="O81" s="66"/>
      <c r="P81" s="66"/>
      <c r="Q81" s="66"/>
      <c r="R81" s="66"/>
      <c r="S81" s="66"/>
      <c r="T81" s="66"/>
      <c r="U81" s="66"/>
      <c r="V81" s="66"/>
      <c r="W81" s="66"/>
      <c r="X81" s="66"/>
      <c r="Y81" s="66"/>
    </row>
    <row r="82">
      <c r="A82" s="65" t="s">
        <v>427</v>
      </c>
      <c r="B82" s="65" t="str">
        <f>IFERROR(__xludf.DUMMYFUNCTION("GOOGLETRANSLATE(A82,""zh-tw"",""ja"")"),"2024年12月25日：新しいヒントを追加し、一部のテキストを修正しました。初期マップの作成が完了しました。")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82" s="65" t="s">
        <v>428</v>
      </c>
      <c r="D82" s="65" t="str">
        <f>IFERROR(__xludf.DUMMYFUNCTION("GOOGLETRANSLATE(A82,""zh-tw"",""zh"")"),"2024/12/25 新增提示与部分文本修正、地图制作初步完成")</f>
        <v>2024/12/25 新增提示与部分文本修正、地图制作初步完成</v>
      </c>
      <c r="E82" s="28" t="str">
        <f>IFERROR(__xludf.DUMMYFUNCTION("GOOGLETRANSLATE(A82,""zh-tw"",""es-MX"")"),"25 de diciembre de 2024: Se añadieron nuevas pistas y se corrigió parte del texto; se completó la creación inicial del mapa.")</f>
        <v>25 de diciembre de 2024: Se añadieron nuevas pistas y se corrigió parte del texto; se completó la creación inicial del mapa.</v>
      </c>
      <c r="F82" s="28" t="str">
        <f>IFERROR(__xludf.DUMMYFUNCTION("GOOGLETRANSLATE(A82,""zh-tw"",""KO"")"),"2024년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82" s="28" t="str">
        <f>IFERROR(__xludf.DUMMYFUNCTION("GOOGLETRANSLATE(A82,""zh-tw"",""RU"")"),"25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82" s="28" t="str">
        <f>IFERROR(__xludf.DUMMYFUNCTION("GOOGLETRANSLATE(A82,""zh-tw"",""DE"")"),"25. Dezember 2024: Neue Hinweise hinzugefügt und einige Textpassagen korrigiert; Erstellung der ersten Karte abgeschlossen.")</f>
        <v>25. Dezember 2024: Neue Hinweise hinzugefügt und einige Textpassagen korrigiert; Erstellung der ersten Karte abgeschlossen.</v>
      </c>
      <c r="I82" s="67" t="s">
        <v>429</v>
      </c>
      <c r="J82" s="7" t="s">
        <v>430</v>
      </c>
      <c r="K82" s="7" t="s">
        <v>431</v>
      </c>
      <c r="L82" s="66"/>
      <c r="M82" s="66"/>
      <c r="N82" s="66"/>
      <c r="O82" s="66"/>
      <c r="P82" s="66"/>
      <c r="Q82" s="66"/>
      <c r="R82" s="66"/>
      <c r="S82" s="66"/>
      <c r="T82" s="66"/>
      <c r="U82" s="66"/>
      <c r="V82" s="66"/>
      <c r="W82" s="66"/>
      <c r="X82" s="66"/>
      <c r="Y82" s="66"/>
    </row>
    <row r="83">
      <c r="A83" s="65" t="s">
        <v>432</v>
      </c>
      <c r="B83" s="65" t="str">
        <f>IFERROR(__xludf.DUMMYFUNCTION("GOOGLETRANSLATE(A83,""zh-tw"",""ja"")"),"2024/12/2 0.55情報を追加 - イベント")</f>
        <v>2024/12/2 0.55情報を追加 - イベント</v>
      </c>
      <c r="C83" s="65" t="s">
        <v>433</v>
      </c>
      <c r="D83" s="65" t="str">
        <f>IFERROR(__xludf.DUMMYFUNCTION("GOOGLETRANSLATE(A83,""zh-tw"",""zh"")"),"2024/12/2 新增0.55资讯-事件")</f>
        <v>2024/12/2 新增0.55资讯-事件</v>
      </c>
      <c r="E83" s="28" t="str">
        <f>IFERROR(__xludf.DUMMYFUNCTION("GOOGLETRANSLATE(A83,""zh-tw"",""es-MX"")"),"2 de diciembre de 2024 Se agregó información de 0.55 - evento")</f>
        <v>2 de diciembre de 2024 Se agregó información de 0.55 - evento</v>
      </c>
      <c r="F83" s="28" t="str">
        <f>IFERROR(__xludf.DUMMYFUNCTION("GOOGLETRANSLATE(A83,""zh-tw"",""KO"")"),"2024년 12월 2일 이벤트 정보 0.55개 추가")</f>
        <v>2024년 12월 2일 이벤트 정보 0.55개 추가</v>
      </c>
      <c r="G83" s="28" t="str">
        <f>IFERROR(__xludf.DUMMYFUNCTION("GOOGLETRANSLATE(A83,""zh-tw"",""RU"")"),"02.12.2024 Добавлено 0,55 информации - событие")</f>
        <v>02.12.2024 Добавлено 0,55 информации - событие</v>
      </c>
      <c r="H83" s="28" t="str">
        <f>IFERROR(__xludf.DUMMYFUNCTION("GOOGLETRANSLATE(A83,""zh-tw"",""DE"")"),"02.12.2024: Informationen (0,55) hinzugefügt – Ereignis")</f>
        <v>02.12.2024: Informationen (0,55) hinzugefügt – Ereignis</v>
      </c>
      <c r="I83" s="67" t="s">
        <v>434</v>
      </c>
      <c r="J83" s="7" t="s">
        <v>435</v>
      </c>
      <c r="K83" s="7" t="s">
        <v>436</v>
      </c>
      <c r="L83" s="66"/>
      <c r="M83" s="66"/>
      <c r="N83" s="66"/>
      <c r="O83" s="66"/>
      <c r="P83" s="66"/>
      <c r="Q83" s="66"/>
      <c r="R83" s="66"/>
      <c r="S83" s="66"/>
      <c r="T83" s="66"/>
      <c r="U83" s="66"/>
      <c r="V83" s="66"/>
      <c r="W83" s="66"/>
      <c r="X83" s="66"/>
      <c r="Y83" s="66"/>
    </row>
    <row r="84">
      <c r="A84" s="65" t="s">
        <v>437</v>
      </c>
      <c r="B84" s="65" t="str">
        <f>IFERROR(__xludf.DUMMYFUNCTION("GOOGLETRANSLATE(A84,""zh-tw"",""ja"")"),"遺跡関連の地図を2024年11月29日に追加しました")</f>
        <v>遺跡関連の地図を2024年11月29日に追加しました</v>
      </c>
      <c r="C84" s="65" t="s">
        <v>438</v>
      </c>
      <c r="D84" s="65" t="str">
        <f>IFERROR(__xludf.DUMMYFUNCTION("GOOGLETRANSLATE(A84,""zh-tw"",""zh"")"),"2024/11/29 新增遗迹相关地图")</f>
        <v>2024/11/29 新增遗迹相关地图</v>
      </c>
      <c r="E84" s="28" t="str">
        <f>IFERROR(__xludf.DUMMYFUNCTION("GOOGLETRANSLATE(A84,""zh-tw"",""es-MX"")"),"Mapas relacionados con ruinas añadidos el 29/11/2024")</f>
        <v>Mapas relacionados con ruinas añadidos el 29/11/2024</v>
      </c>
      <c r="F84" s="28" t="str">
        <f>IFERROR(__xludf.DUMMYFUNCTION("GOOGLETRANSLATE(A84,""zh-tw"",""KO"")"),"2024년 11월 29일에 유적 관련 지도를 추가했습니다.")</f>
        <v>2024년 11월 29일에 유적 관련 지도를 추가했습니다.</v>
      </c>
      <c r="G84" s="28" t="str">
        <f>IFERROR(__xludf.DUMMYFUNCTION("GOOGLETRANSLATE(A84,""zh-tw"",""RU"")"),"Добавлены карты, связанные с руинами, 29.11.2024.")</f>
        <v>Добавлены карты, связанные с руинами, 29.11.2024.</v>
      </c>
      <c r="H84" s="28" t="str">
        <f>IFERROR(__xludf.DUMMYFUNCTION("GOOGLETRANSLATE(A84,""zh-tw"",""DE"")"),"Am 29.11.2024 wurden Karten mit Bezug zu Ruinen hinzugefügt.")</f>
        <v>Am 29.11.2024 wurden Karten mit Bezug zu Ruinen hinzugefügt.</v>
      </c>
      <c r="I84" s="67" t="s">
        <v>439</v>
      </c>
      <c r="J84" s="7" t="s">
        <v>440</v>
      </c>
      <c r="K84" s="7" t="s">
        <v>441</v>
      </c>
      <c r="L84" s="66"/>
      <c r="M84" s="66"/>
      <c r="N84" s="66"/>
      <c r="O84" s="66"/>
      <c r="P84" s="66"/>
      <c r="Q84" s="66"/>
      <c r="R84" s="66"/>
      <c r="S84" s="66"/>
      <c r="T84" s="66"/>
      <c r="U84" s="66"/>
      <c r="V84" s="66"/>
      <c r="W84" s="66"/>
      <c r="X84" s="66"/>
      <c r="Y84" s="66"/>
    </row>
    <row r="85">
      <c r="A85" s="65" t="s">
        <v>442</v>
      </c>
      <c r="B85" s="65" t="str">
        <f>IFERROR(__xludf.DUMMYFUNCTION("GOOGLETRANSLATE(A85,""zh-tw"",""ja"")"),"2024/11/24 バージョン0.5Cコンテンツを追加 - イベント、モンスター情報、ヒント")</f>
        <v>2024/11/24 バージョン0.5Cコンテンツを追加 - イベント、モンスター情報、ヒント</v>
      </c>
      <c r="C85" s="65" t="s">
        <v>443</v>
      </c>
      <c r="D85" s="65" t="str">
        <f>IFERROR(__xludf.DUMMYFUNCTION("GOOGLETRANSLATE(A85,""zh-tw"",""zh"")"),"2024/11/24 新增0.5C版本内容-事件、怪物资讯、提示")</f>
        <v>2024/11/24 新增0.5C版本内容-事件、怪物资讯、提示</v>
      </c>
      <c r="E85" s="28" t="str">
        <f>IFERROR(__xludf.DUMMYFUNCTION("GOOGLETRANSLATE(A85,""zh-tw"",""es-MX"")"),"24/11/2024 Se agregó contenido de la versión 0.5C: Eventos, Información de monstruos, Consejos")</f>
        <v>24/11/2024 Se agregó contenido de la versión 0.5C: Eventos, Información de monstruos, Consejos</v>
      </c>
      <c r="F85" s="28" t="str">
        <f>IFERROR(__xludf.DUMMYFUNCTION("GOOGLETRANSLATE(A85,""zh-tw"",""KO"")"),"2024년 11월 24일 0.5C 버전 콘텐츠 추가 - 이벤트, 몬스터 정보, 팁")</f>
        <v>2024년 11월 24일 0.5C 버전 콘텐츠 추가 - 이벤트, 몬스터 정보, 팁</v>
      </c>
      <c r="G85" s="28" t="str">
        <f>IFERROR(__xludf.DUMMYFUNCTION("GOOGLETRANSLATE(A85,""zh-tw"",""RU"")"),"24.11.2024 Добавлен контент версии 0.5C — События, информация о монстрах, советы.")</f>
        <v>24.11.2024 Добавлен контент версии 0.5C — События, информация о монстрах, советы.</v>
      </c>
      <c r="H85" s="28" t="str">
        <f>IFERROR(__xludf.DUMMYFUNCTION("GOOGLETRANSLATE(A85,""zh-tw"",""DE"")"),"24.11.2024: Inhalte der Version 0.5C hinzugefügt – Ereignisse, Monsterinformationen, Tipps")</f>
        <v>24.11.2024: Inhalte der Version 0.5C hinzugefügt – Ereignisse, Monsterinformationen, Tipps</v>
      </c>
      <c r="I85" s="67" t="s">
        <v>444</v>
      </c>
      <c r="J85" s="7" t="s">
        <v>445</v>
      </c>
      <c r="K85" s="7" t="s">
        <v>446</v>
      </c>
      <c r="L85" s="66"/>
      <c r="M85" s="66"/>
      <c r="N85" s="66"/>
      <c r="O85" s="66"/>
      <c r="P85" s="66"/>
      <c r="Q85" s="66"/>
      <c r="R85" s="66"/>
      <c r="S85" s="66"/>
      <c r="T85" s="66"/>
      <c r="U85" s="66"/>
      <c r="V85" s="66"/>
      <c r="W85" s="66"/>
      <c r="X85" s="66"/>
      <c r="Y85" s="66"/>
    </row>
    <row r="86">
      <c r="A86" s="65" t="s">
        <v>447</v>
      </c>
      <c r="B86" s="65" t="str">
        <f>IFERROR(__xludf.DUMMYFUNCTION("GOOGLETRANSLATE(A86,""zh-tw"",""ja"")"),"2024年11月22日にバージョン0.5Bのコンテンツを追加しました - イベント/通知")</f>
        <v>2024年11月22日にバージョン0.5Bのコンテンツを追加しました - イベント/通知</v>
      </c>
      <c r="C86" s="65" t="s">
        <v>448</v>
      </c>
      <c r="D86" s="65" t="str">
        <f>IFERROR(__xludf.DUMMYFUNCTION("GOOGLETRANSLATE(A86,""zh-tw"",""zh"")"),"2024/11/22 新增0.5B版本内容-事件/提示")</f>
        <v>2024/11/22 新增0.5B版本内容-事件/提示</v>
      </c>
      <c r="E86" s="28" t="str">
        <f>IFERROR(__xludf.DUMMYFUNCTION("GOOGLETRANSLATE(A86,""zh-tw"",""es-MX"")"),"Se agregó el contenido de la versión 0.5B el 22/11/2024 - Eventos/Notificaciones")</f>
        <v>Se agregó el contenido de la versión 0.5B el 22/11/2024 - Eventos/Notificaciones</v>
      </c>
      <c r="F86" s="28" t="str">
        <f>IFERROR(__xludf.DUMMYFUNCTION("GOOGLETRANSLATE(A86,""zh-tw"",""KO"")"),"2024년 11월 22일 버전 0.5B 콘텐츠 추가 - 이벤트/알림")</f>
        <v>2024년 11월 22일 버전 0.5B 콘텐츠 추가 - 이벤트/알림</v>
      </c>
      <c r="G86" s="28" t="str">
        <f>IFERROR(__xludf.DUMMYFUNCTION("GOOGLETRANSLATE(A86,""zh-tw"",""RU"")"),"Добавлен контент версии 0.5B 22.11.2024 - События/Уведомления")</f>
        <v>Добавлен контент версии 0.5B 22.11.2024 - События/Уведомления</v>
      </c>
      <c r="H86" s="28" t="str">
        <f>IFERROR(__xludf.DUMMYFUNCTION("GOOGLETRANSLATE(A86,""zh-tw"",""DE"")"),"Inhalte der Version 0.5B wurden am 22.11.2024 hinzugefügt – Ereignisse/Benachrichtigungen")</f>
        <v>Inhalte der Version 0.5B wurden am 22.11.2024 hinzugefügt – Ereignisse/Benachrichtigungen</v>
      </c>
      <c r="I86" s="67" t="s">
        <v>449</v>
      </c>
      <c r="J86" s="7" t="s">
        <v>450</v>
      </c>
      <c r="K86" s="7" t="s">
        <v>451</v>
      </c>
      <c r="L86" s="66"/>
      <c r="M86" s="66"/>
      <c r="N86" s="66"/>
      <c r="O86" s="66"/>
      <c r="P86" s="66"/>
      <c r="Q86" s="66"/>
      <c r="R86" s="66"/>
      <c r="S86" s="66"/>
      <c r="T86" s="66"/>
      <c r="U86" s="66"/>
      <c r="V86" s="66"/>
      <c r="W86" s="66"/>
      <c r="X86" s="66"/>
      <c r="Y86" s="66"/>
    </row>
    <row r="87">
      <c r="A87" s="65" t="s">
        <v>452</v>
      </c>
      <c r="B87" s="65" t="str">
        <f>IFERROR(__xludf.DUMMYFUNCTION("GOOGLETRANSLATE(A87,""zh-tw"",""ja"")"),"2024/11/21にMAPファイルを追加しました")</f>
        <v>2024/11/21にMAPファイルを追加しました</v>
      </c>
      <c r="C87" s="65" t="s">
        <v>453</v>
      </c>
      <c r="D87" s="65" t="s">
        <v>454</v>
      </c>
      <c r="E87" s="28" t="str">
        <f>IFERROR(__xludf.DUMMYFUNCTION("GOOGLETRANSLATE(A87,""zh-tw"",""es-MX"")"),"Archivo MAP añadido el 21/11/2024")</f>
        <v>Archivo MAP añadido el 21/11/2024</v>
      </c>
      <c r="F87" s="28" t="str">
        <f>IFERROR(__xludf.DUMMYFUNCTION("GOOGLETRANSLATE(A87,""zh-tw"",""KO"")"),"2024년 11월 21일에 MAP 파일을 추가했습니다.")</f>
        <v>2024년 11월 21일에 MAP 파일을 추가했습니다.</v>
      </c>
      <c r="G87" s="28" t="str">
        <f>IFERROR(__xludf.DUMMYFUNCTION("GOOGLETRANSLATE(A87,""zh-tw"",""RU"")"),"Файл MAP добавлен 21.11.2024.")</f>
        <v>Файл MAP добавлен 21.11.2024.</v>
      </c>
      <c r="H87" s="28" t="str">
        <f>IFERROR(__xludf.DUMMYFUNCTION("GOOGLETRANSLATE(A87,""zh-tw"",""DE"")"),"MAP-Datei hinzugefügt am 21.11.2024")</f>
        <v>MAP-Datei hinzugefügt am 21.11.2024</v>
      </c>
      <c r="I87" s="67" t="s">
        <v>455</v>
      </c>
      <c r="J87" s="7" t="s">
        <v>456</v>
      </c>
      <c r="K87" s="7" t="s">
        <v>457</v>
      </c>
      <c r="L87" s="66"/>
      <c r="M87" s="66"/>
      <c r="N87" s="66"/>
      <c r="O87" s="66"/>
      <c r="P87" s="66"/>
      <c r="Q87" s="66"/>
      <c r="R87" s="66"/>
      <c r="S87" s="66"/>
      <c r="T87" s="66"/>
      <c r="U87" s="66"/>
      <c r="V87" s="66"/>
      <c r="W87" s="66"/>
      <c r="X87" s="66"/>
      <c r="Y87" s="66"/>
    </row>
    <row r="88">
      <c r="A88" s="65" t="s">
        <v>458</v>
      </c>
      <c r="B88" s="65" t="str">
        <f>IFERROR(__xludf.DUMMYFUNCTION("GOOGLETRANSLATE(A88,""zh-tw"",""ja"")"),"2024/11/20 バージョン0.5Aコンテンツを追加 - イベント/プロンプト")</f>
        <v>2024/11/20 バージョン0.5Aコンテンツを追加 - イベント/プロンプト</v>
      </c>
      <c r="C88" s="65" t="s">
        <v>459</v>
      </c>
      <c r="D88" s="65" t="str">
        <f>IFERROR(__xludf.DUMMYFUNCTION("GOOGLETRANSLATE(A88,""zh-tw"",""zh"")"),"2024/11/20 新增0.5A版本内容-事件/提示")</f>
        <v>2024/11/20 新增0.5A版本内容-事件/提示</v>
      </c>
      <c r="E88" s="28" t="str">
        <f>IFERROR(__xludf.DUMMYFUNCTION("GOOGLETRANSLATE(A88,""zh-tw"",""es-MX"")"),"20/11/2024 Se agregó el contenido de la versión 0.5A: Eventos/Indicaciones")</f>
        <v>20/11/2024 Se agregó el contenido de la versión 0.5A: Eventos/Indicaciones</v>
      </c>
      <c r="F88" s="28" t="str">
        <f>IFERROR(__xludf.DUMMYFUNCTION("GOOGLETRANSLATE(A88,""zh-tw"",""KO"")"),"2024년 11월 20일 버전 0.5A 콘텐츠 추가 - 이벤트/프롬프트")</f>
        <v>2024년 11월 20일 버전 0.5A 콘텐츠 추가 - 이벤트/프롬프트</v>
      </c>
      <c r="G88" s="28" t="str">
        <f>IFERROR(__xludf.DUMMYFUNCTION("GOOGLETRANSLATE(A88,""zh-tw"",""RU"")"),"20.11.2024 Добавлен контент версии 0.5A - События/Подсказки")</f>
        <v>20.11.2024 Добавлен контент версии 0.5A - События/Подсказки</v>
      </c>
      <c r="H88" s="28" t="str">
        <f>IFERROR(__xludf.DUMMYFUNCTION("GOOGLETRANSLATE(A88,""zh-tw"",""DE"")"),"20.11.2024: Inhalt der Version 0.5A hinzugefügt – Ereignisse/Aufforderungen")</f>
        <v>20.11.2024: Inhalt der Version 0.5A hinzugefügt – Ereignisse/Aufforderungen</v>
      </c>
      <c r="I88" s="67" t="s">
        <v>460</v>
      </c>
      <c r="J88" s="7" t="s">
        <v>461</v>
      </c>
      <c r="K88" s="7" t="s">
        <v>462</v>
      </c>
      <c r="L88" s="66"/>
      <c r="M88" s="66"/>
      <c r="N88" s="66"/>
      <c r="O88" s="66"/>
      <c r="P88" s="66"/>
      <c r="Q88" s="66"/>
      <c r="R88" s="66"/>
      <c r="S88" s="66"/>
      <c r="T88" s="66"/>
      <c r="U88" s="66"/>
      <c r="V88" s="66"/>
      <c r="W88" s="66"/>
      <c r="X88" s="66"/>
      <c r="Y88" s="66"/>
    </row>
    <row r="89">
      <c r="A89" s="65" t="s">
        <v>463</v>
      </c>
      <c r="B89" s="65" t="str">
        <f>IFERROR(__xludf.DUMMYFUNCTION("GOOGLETRANSLATE(A89,""zh-tw"",""ja"")"),"2024年11月2日にBahamutの個人作品から転載：https://home.gamer.com.tw/artwork.php?sn=6032493")</f>
        <v>2024年11月2日にBahamutの個人作品から転載：https://home.gamer.com.tw/artwork.php?sn=6032493</v>
      </c>
      <c r="C89" s="68" t="s">
        <v>464</v>
      </c>
      <c r="D89" s="65" t="str">
        <f>IFERROR(__xludf.DUMMYFUNCTION("GOOGLETRANSLATE(A89,""zh-tw"",""zh"")"),"2024/11/2 转载至巴哈姆特个人创作https://home.gamer.com.tw/artwork.php?sn=6032493")</f>
        <v>2024/11/2 转载至巴哈姆特个人创作https://home.gamer.com.tw/artwork.php?sn=6032493</v>
      </c>
      <c r="E89" s="28" t="str">
        <f>IFERROR(__xludf.DUMMYFUNCTION("GOOGLETRANSLATE(A89,""zh-tw"",""es-MX"")"),"Republicado de las creaciones personales de Bahamut el 2 de noviembre de 2024: https://home.gamer.com.tw/artwork.php?sn=6032493")</f>
        <v>Republicado de las creaciones personales de Bahamut el 2 de noviembre de 2024: https://home.gamer.com.tw/artwork.php?sn=6032493</v>
      </c>
      <c r="F89" s="28" t="str">
        <f>IFERROR(__xludf.DUMMYFUNCTION("GOOGLETRANSLATE(A89,""zh-tw"",""KO"")"),"2024년 11월 2일 Bahamut의 개인 창작물에서 다시 게시됨: https://home.gamer.com.tw/artwork.php?sn=6032493")</f>
        <v>2024년 11월 2일 Bahamut의 개인 창작물에서 다시 게시됨: https://home.gamer.com.tw/artwork.php?sn=6032493</v>
      </c>
      <c r="G89" s="28" t="str">
        <f>IFERROR(__xludf.DUMMYFUNCTION("GOOGLETRANSLATE(A89,""zh-tw"",""RU"")"),"Перепост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H89" s="28" t="str">
        <f>IFERROR(__xludf.DUMMYFUNCTION("GOOGLETRANSLATE(A89,""zh-tw"",""DE"")"),"Neu veröffentlicht von Bahamuts persönlichen Kreationen am 2. November 2024: https://home.gamer.com.tw/artwork.php?sn=6032493")</f>
        <v>Neu veröffentlicht von Bahamuts persönlichen Kreationen am 2. November 2024: https://home.gamer.com.tw/artwork.php?sn=6032493</v>
      </c>
      <c r="I89" s="67" t="s">
        <v>465</v>
      </c>
      <c r="J89" s="69" t="s">
        <v>466</v>
      </c>
      <c r="K89" s="7" t="s">
        <v>467</v>
      </c>
      <c r="L89" s="66"/>
      <c r="M89" s="66"/>
      <c r="N89" s="66"/>
      <c r="O89" s="66"/>
      <c r="P89" s="66"/>
      <c r="Q89" s="66"/>
      <c r="R89" s="66"/>
      <c r="S89" s="66"/>
      <c r="T89" s="66"/>
      <c r="U89" s="66"/>
      <c r="V89" s="66"/>
      <c r="W89" s="66"/>
      <c r="X89" s="66"/>
      <c r="Y89" s="66"/>
    </row>
    <row r="90">
      <c r="A90" s="65" t="s">
        <v>468</v>
      </c>
      <c r="B90" s="65" t="str">
        <f>IFERROR(__xludf.DUMMYFUNCTION("GOOGLETRANSLATE(A90,""zh-tw"",""ja"")"),"2024年11月2日：バージョン0.45のコンテンツ（イベント／通知）を追加しました。")</f>
        <v>2024年11月2日：バージョン0.45のコンテンツ（イベント／通知）を追加しました。</v>
      </c>
      <c r="C90" s="65" t="s">
        <v>469</v>
      </c>
      <c r="D90" s="65" t="str">
        <f>IFERROR(__xludf.DUMMYFUNCTION("GOOGLETRANSLATE(A90,""zh-tw"",""zh"")"),"2024/11/2 新增0.45版本内容-事件/提示")</f>
        <v>2024/11/2 新增0.45版本内容-事件/提示</v>
      </c>
      <c r="E90" s="28" t="str">
        <f>IFERROR(__xludf.DUMMYFUNCTION("GOOGLETRANSLATE(A90,""zh-tw"",""es-MX"")"),"2 de noviembre de 2024: Se agregó el contenido de la versión 0.45: Eventos/Notificaciones")</f>
        <v>2 de noviembre de 2024: Se agregó el contenido de la versión 0.45: Eventos/Notificaciones</v>
      </c>
      <c r="F90" s="28" t="str">
        <f>IFERROR(__xludf.DUMMYFUNCTION("GOOGLETRANSLATE(A90,""zh-tw"",""KO"")"),"2024년 11월 2일: 버전 0.45 콘텐츠 추가 - 이벤트/알림")</f>
        <v>2024년 11월 2일: 버전 0.45 콘텐츠 추가 - 이벤트/알림</v>
      </c>
      <c r="G90" s="28" t="str">
        <f>IFERROR(__xludf.DUMMYFUNCTION("GOOGLETRANSLATE(A90,""zh-tw"",""RU"")"),"2 ноября 2024 г.: Добавлен контент версии 0.45 — События/Уведомления")</f>
        <v>2 ноября 2024 г.: Добавлен контент версии 0.45 — События/Уведомления</v>
      </c>
      <c r="H90" s="28" t="str">
        <f>IFERROR(__xludf.DUMMYFUNCTION("GOOGLETRANSLATE(A90,""zh-tw"",""DE"")"),"2. November 2024: Inhalt der Version 0.45 hinzugefügt – Ereignisse/Benachrichtigungen")</f>
        <v>2. November 2024: Inhalt der Version 0.45 hinzugefügt – Ereignisse/Benachrichtigungen</v>
      </c>
      <c r="I90" s="67" t="s">
        <v>470</v>
      </c>
      <c r="J90" s="7" t="s">
        <v>471</v>
      </c>
      <c r="K90" s="7" t="s">
        <v>472</v>
      </c>
      <c r="L90" s="66"/>
      <c r="M90" s="66"/>
      <c r="N90" s="66"/>
      <c r="O90" s="66"/>
      <c r="P90" s="66"/>
      <c r="Q90" s="66"/>
      <c r="R90" s="66"/>
      <c r="S90" s="66"/>
      <c r="T90" s="66"/>
      <c r="U90" s="66"/>
      <c r="V90" s="66"/>
      <c r="W90" s="66"/>
      <c r="X90" s="66"/>
      <c r="Y90" s="66"/>
    </row>
    <row r="91">
      <c r="A91" s="65" t="s">
        <v>473</v>
      </c>
      <c r="B91" s="65" t="str">
        <f>IFERROR(__xludf.DUMMYFUNCTION("GOOGLETRANSLATE(A91,""zh-tw"",""ja"")"),"専用グラフィックカードの追加手順（2024年10月31日）")</f>
        <v>専用グラフィックカードの追加手順（2024年10月31日）</v>
      </c>
      <c r="C91" s="65" t="s">
        <v>474</v>
      </c>
      <c r="D91" s="65" t="str">
        <f>IFERROR(__xludf.DUMMYFUNCTION("GOOGLETRANSLATE(A91,""zh-tw"",""zh"")"),"2024/10/31 新增独立显卡操作说明")</f>
        <v>2024/10/31 新增独立显卡操作说明</v>
      </c>
      <c r="E91" s="28" t="str">
        <f>IFERROR(__xludf.DUMMYFUNCTION("GOOGLETRANSLATE(A91,""zh-tw"",""es-MX"")"),"Instrucciones para añadir una tarjeta gráfica dedicada (31/10/2024)")</f>
        <v>Instrucciones para añadir una tarjeta gráfica dedicada (31/10/2024)</v>
      </c>
      <c r="F91" s="28" t="str">
        <f>IFERROR(__xludf.DUMMYFUNCTION("GOOGLETRANSLATE(A91,""zh-tw"",""KO"")"),"전용 그래픽 카드 추가 방법 안내 (2024년 10월 31일)")</f>
        <v>전용 그래픽 카드 추가 방법 안내 (2024년 10월 31일)</v>
      </c>
      <c r="G91" s="28" t="str">
        <f>IFERROR(__xludf.DUMMYFUNCTION("GOOGLETRANSLATE(A91,""zh-tw"",""RU"")"),"Инструкция по установке дискретной видеокарты (31.10.2024)")</f>
        <v>Инструкция по установке дискретной видеокарты (31.10.2024)</v>
      </c>
      <c r="H91" s="28" t="str">
        <f>IFERROR(__xludf.DUMMYFUNCTION("GOOGLETRANSLATE(A91,""zh-tw"",""DE"")"),"Anleitung zum Hinzufügen einer dedizierten Grafikkarte (31.10.2024)")</f>
        <v>Anleitung zum Hinzufügen einer dedizierten Grafikkarte (31.10.2024)</v>
      </c>
      <c r="I91" s="67" t="s">
        <v>475</v>
      </c>
      <c r="J91" s="7" t="s">
        <v>476</v>
      </c>
      <c r="K91" s="7" t="s">
        <v>477</v>
      </c>
      <c r="L91" s="66"/>
      <c r="M91" s="66"/>
      <c r="N91" s="66"/>
      <c r="O91" s="66"/>
      <c r="P91" s="66"/>
      <c r="Q91" s="66"/>
      <c r="R91" s="66"/>
      <c r="S91" s="66"/>
      <c r="T91" s="66"/>
      <c r="U91" s="66"/>
      <c r="V91" s="66"/>
      <c r="W91" s="66"/>
      <c r="X91" s="66"/>
      <c r="Y91" s="66"/>
    </row>
    <row r="92">
      <c r="A92" s="65" t="s">
        <v>478</v>
      </c>
      <c r="B92" s="65" t="str">
        <f>IFERROR(__xludf.DUMMYFUNCTION("GOOGLETRANSLATE(A92,""zh-tw"",""ja"")"),"2024年10月28日に告知内容を追加しました")</f>
        <v>2024年10月28日に告知内容を追加しました</v>
      </c>
      <c r="C92" s="65" t="s">
        <v>479</v>
      </c>
      <c r="D92" s="65" t="str">
        <f>IFERROR(__xludf.DUMMYFUNCTION("GOOGLETRANSLATE(A92,""zh-tw"",""zh"")"),"2024/10/28 新增部分公告内容")</f>
        <v>2024/10/28 新增部分公告内容</v>
      </c>
      <c r="E92" s="28" t="str">
        <f>IFERROR(__xludf.DUMMYFUNCTION("GOOGLETRANSLATE(A92,""zh-tw"",""es-MX"")"),"Se agregó contenido de anuncio el 28/10/2024.")</f>
        <v>Se agregó contenido de anuncio el 28/10/2024.</v>
      </c>
      <c r="F92" s="28" t="str">
        <f>IFERROR(__xludf.DUMMYFUNCTION("GOOGLETRANSLATE(A92,""zh-tw"",""KO"")"),"2024년 10월 28일에 공지사항을 추가했습니다.")</f>
        <v>2024년 10월 28일에 공지사항을 추가했습니다.</v>
      </c>
      <c r="G92" s="28" t="str">
        <f>IFERROR(__xludf.DUMMYFUNCTION("GOOGLETRANSLATE(A92,""zh-tw"",""RU"")"),"Добавлены некоторые анонсирующие материалы 28.10.2024.")</f>
        <v>Добавлены некоторые анонсирующие материалы 28.10.2024.</v>
      </c>
      <c r="H92" s="28" t="str">
        <f>IFERROR(__xludf.DUMMYFUNCTION("GOOGLETRANSLATE(A92,""zh-tw"",""DE"")"),"Am 28.10.2024 wurden einige Ankündigungsinhalte hinzugefügt.")</f>
        <v>Am 28.10.2024 wurden einige Ankündigungsinhalte hinzugefügt.</v>
      </c>
      <c r="I92" s="67" t="s">
        <v>480</v>
      </c>
      <c r="J92" s="7" t="s">
        <v>481</v>
      </c>
      <c r="K92" s="7" t="s">
        <v>482</v>
      </c>
      <c r="L92" s="66"/>
      <c r="M92" s="66"/>
      <c r="N92" s="66"/>
      <c r="O92" s="66"/>
      <c r="P92" s="66"/>
      <c r="Q92" s="66"/>
      <c r="R92" s="66"/>
      <c r="S92" s="66"/>
      <c r="T92" s="66"/>
      <c r="U92" s="66"/>
      <c r="V92" s="66"/>
      <c r="W92" s="66"/>
      <c r="X92" s="66"/>
      <c r="Y92" s="66"/>
    </row>
    <row r="93">
      <c r="A93" s="65" t="s">
        <v>483</v>
      </c>
      <c r="B93" s="65" t="str">
        <f>IFERROR(__xludf.DUMMYFUNCTION("GOOGLETRANSLATE(A93,""zh-tw"",""ja"")"),"2024年10月24日：バージョン0.4Cコンテンツを追加 - イベント/ワールドドロップ/防具")</f>
        <v>2024年10月24日：バージョン0.4Cコンテンツを追加 - イベント/ワールドドロップ/防具</v>
      </c>
      <c r="C93" s="65" t="s">
        <v>484</v>
      </c>
      <c r="D93" s="65" t="str">
        <f>IFERROR(__xludf.DUMMYFUNCTION("GOOGLETRANSLATE(A93,""zh-tw"",""zh"")"),"2024/10/24 新增0.4C版本内容-事件/野外掉落/装甲")</f>
        <v>2024/10/24 新增0.4C版本内容-事件/野外掉落/装甲</v>
      </c>
      <c r="E93" s="28" t="str">
        <f>IFERROR(__xludf.DUMMYFUNCTION("GOOGLETRANSLATE(A93,""zh-tw"",""es-MX"")"),"24 de octubre de 2024: Se agregó contenido de la versión 0.4C: Eventos/Objetos del mundo/Armaduras")</f>
        <v>24 de octubre de 2024: Se agregó contenido de la versión 0.4C: Eventos/Objetos del mundo/Armaduras</v>
      </c>
      <c r="F93" s="28" t="str">
        <f>IFERROR(__xludf.DUMMYFUNCTION("GOOGLETRANSLATE(A93,""zh-tw"",""KO"")"),"2024년 10월 24일: 0.4C 버전 콘텐츠 추가 - 이벤트/월드 드롭/방어구")</f>
        <v>2024년 10월 24일: 0.4C 버전 콘텐츠 추가 - 이벤트/월드 드롭/방어구</v>
      </c>
      <c r="G93" s="28" t="str">
        <f>IFERROR(__xludf.DUMMYFUNCTION("GOOGLETRANSLATE(A93,""zh-tw"",""RU"")"),"24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93" s="28" t="str">
        <f>IFERROR(__xludf.DUMMYFUNCTION("GOOGLETRANSLATE(A93,""zh-tw"",""DE"")"),"24. Oktober 2024: Inhalte der Version 0.4C hinzugefügt – Events/Weltbeute/Rüstungen")</f>
        <v>24. Oktober 2024: Inhalte der Version 0.4C hinzugefügt – Events/Weltbeute/Rüstungen</v>
      </c>
      <c r="I93" s="67" t="s">
        <v>485</v>
      </c>
      <c r="J93" s="7" t="s">
        <v>486</v>
      </c>
      <c r="K93" s="7" t="s">
        <v>487</v>
      </c>
      <c r="L93" s="66"/>
      <c r="M93" s="66"/>
      <c r="N93" s="66"/>
      <c r="O93" s="66"/>
      <c r="P93" s="66"/>
      <c r="Q93" s="66"/>
      <c r="R93" s="66"/>
      <c r="S93" s="66"/>
      <c r="T93" s="66"/>
      <c r="U93" s="66"/>
      <c r="V93" s="66"/>
      <c r="W93" s="66"/>
      <c r="X93" s="66"/>
      <c r="Y93" s="66"/>
    </row>
    <row r="94">
      <c r="A94" s="65" t="s">
        <v>488</v>
      </c>
      <c r="B94" s="65" t="str">
        <f>IFERROR(__xludf.DUMMYFUNCTION("GOOGLETRANSLATE(A94,""zh-tw"",""ja"")"),"2024年10月21日：バージョン0.4Aのコンテンツ（ドロップ/装備/ヒント）を追加しました。")</f>
        <v>2024年10月21日：バージョン0.4Aのコンテンツ（ドロップ/装備/ヒント）を追加しました。</v>
      </c>
      <c r="C94" s="65" t="s">
        <v>489</v>
      </c>
      <c r="D94" s="65" t="str">
        <f>IFERROR(__xludf.DUMMYFUNCTION("GOOGLETRANSLATE(A94,""zh-tw"",""zh"")"),"2024/10/21 新增0.4A版本内容(Drop/Equip/Tips)")</f>
        <v>2024/10/21 新增0.4A版本内容(Drop/Equip/Tips)</v>
      </c>
      <c r="E94" s="28" t="str">
        <f>IFERROR(__xludf.DUMMYFUNCTION("GOOGLETRANSLATE(A94,""zh-tw"",""es-MX"")"),"21 de octubre de 2024: Se agregó contenido de la versión 0.4A (Objetos que se obtienen al caer/Equipar/Consejos).")</f>
        <v>21 de octubre de 2024: Se agregó contenido de la versión 0.4A (Objetos que se obtienen al caer/Equipar/Consejos).</v>
      </c>
      <c r="F94" s="28" t="str">
        <f>IFERROR(__xludf.DUMMYFUNCTION("GOOGLETRANSLATE(A94,""zh-tw"",""KO"")"),"2024년 10월 21일: 버전 0.4A 콘텐츠 추가 (드롭/장착/팁)")</f>
        <v>2024년 10월 21일: 버전 0.4A 콘텐츠 추가 (드롭/장착/팁)</v>
      </c>
      <c r="G94" s="28" t="str">
        <f>IFERROR(__xludf.DUMMYFUNCTION("GOOGLETRANSLATE(A94,""zh-tw"",""RU"")"),"21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94" s="28" t="str">
        <f>IFERROR(__xludf.DUMMYFUNCTION("GOOGLETRANSLATE(A94,""zh-tw"",""DE"")"),"21. Oktober 2024: Inhalt der Version 0.4A hinzugefügt (Beute/Ausrüstung/Tipps)")</f>
        <v>21. Oktober 2024: Inhalt der Version 0.4A hinzugefügt (Beute/Ausrüstung/Tipps)</v>
      </c>
      <c r="I94" s="67" t="s">
        <v>490</v>
      </c>
      <c r="J94" s="7" t="s">
        <v>491</v>
      </c>
      <c r="K94" s="7" t="s">
        <v>492</v>
      </c>
      <c r="L94" s="66"/>
      <c r="M94" s="66"/>
      <c r="N94" s="66"/>
      <c r="O94" s="66"/>
      <c r="P94" s="66"/>
      <c r="Q94" s="66"/>
      <c r="R94" s="66"/>
      <c r="S94" s="66"/>
      <c r="T94" s="66"/>
      <c r="U94" s="66"/>
      <c r="V94" s="66"/>
      <c r="W94" s="66"/>
      <c r="X94" s="66"/>
      <c r="Y94" s="66"/>
    </row>
    <row r="95">
      <c r="A95" s="65" t="s">
        <v>493</v>
      </c>
      <c r="B95" s="65" t="str">
        <f>IFERROR(__xludf.DUMMYFUNCTION("GOOGLETRANSLATE(A95,""zh-tw"",""ja"")"),"2024年10月15日に地図とイベント番号表を追加しました")</f>
        <v>2024年10月15日に地図とイベント番号表を追加しました</v>
      </c>
      <c r="C95" s="65" t="s">
        <v>494</v>
      </c>
      <c r="D95" s="65" t="str">
        <f>IFERROR(__xludf.DUMMYFUNCTION("GOOGLETRANSLATE(A95,""zh-tw"",""zh"")"),"2024/10/15新增地图、事件编号表")</f>
        <v>2024/10/15新增地图、事件编号表</v>
      </c>
      <c r="E95" s="28" t="str">
        <f>IFERROR(__xludf.DUMMYFUNCTION("GOOGLETRANSLATE(A95,""zh-tw"",""es-MX"")"),"Se agregó el mapa y la tabla de números de eventos el 15/10/2024.")</f>
        <v>Se agregó el mapa y la tabla de números de eventos el 15/10/2024.</v>
      </c>
      <c r="F95" s="28" t="str">
        <f>IFERROR(__xludf.DUMMYFUNCTION("GOOGLETRANSLATE(A95,""zh-tw"",""KO"")"),"2024년 10월 15일에 지도와 이벤트 번호표를 추가했습니다.")</f>
        <v>2024년 10월 15일에 지도와 이벤트 번호표를 추가했습니다.</v>
      </c>
      <c r="G95" s="28" t="str">
        <f>IFERROR(__xludf.DUMMYFUNCTION("GOOGLETRANSLATE(A95,""zh-tw"",""RU"")"),"Карта и таблица номеров событий добавлены 15.10.2024.")</f>
        <v>Карта и таблица номеров событий добавлены 15.10.2024.</v>
      </c>
      <c r="H95" s="28" t="str">
        <f>IFERROR(__xludf.DUMMYFUNCTION("GOOGLETRANSLATE(A95,""zh-tw"",""DE"")"),"Karte und Ereignisnummerntabelle hinzugefügt am 15.10.2024")</f>
        <v>Karte und Ereignisnummerntabelle hinzugefügt am 15.10.2024</v>
      </c>
      <c r="I95" s="67" t="s">
        <v>495</v>
      </c>
      <c r="J95" s="7" t="s">
        <v>496</v>
      </c>
      <c r="K95" s="7" t="s">
        <v>497</v>
      </c>
      <c r="L95" s="66"/>
      <c r="M95" s="66"/>
      <c r="N95" s="66"/>
      <c r="O95" s="66"/>
      <c r="P95" s="66"/>
      <c r="Q95" s="66"/>
      <c r="R95" s="66"/>
      <c r="S95" s="66"/>
      <c r="T95" s="66"/>
      <c r="U95" s="66"/>
      <c r="V95" s="66"/>
      <c r="W95" s="66"/>
      <c r="X95" s="66"/>
      <c r="Y95" s="66"/>
    </row>
    <row r="96">
      <c r="A96" s="65" t="s">
        <v>498</v>
      </c>
      <c r="B96" s="65" t="str">
        <f>IFERROR(__xludf.DUMMYFUNCTION("GOOGLETRANSLATE(A96,""zh-tw"",""ja"")"),"2024年10月15日に、いくつかのイベントと新しいイベント番号を追加しました。")</f>
        <v>2024年10月15日に、いくつかのイベントと新しいイベント番号を追加しました。</v>
      </c>
      <c r="C96" s="65" t="s">
        <v>499</v>
      </c>
      <c r="D96" s="65" t="str">
        <f>IFERROR(__xludf.DUMMYFUNCTION("GOOGLETRANSLATE(A96,""zh-tw"",""zh"")"),"2024/10/15新增部分事件、新增事件NO.")</f>
        <v>2024/10/15新增部分事件、新增事件NO.</v>
      </c>
      <c r="E96" s="28" t="str">
        <f>IFERROR(__xludf.DUMMYFUNCTION("GOOGLETRANSLATE(A96,""zh-tw"",""es-MX"")"),"Se añadieron algunos eventos y nuevos números de evento el 15/10/2024.")</f>
        <v>Se añadieron algunos eventos y nuevos números de evento el 15/10/2024.</v>
      </c>
      <c r="F96" s="28" t="str">
        <f>IFERROR(__xludf.DUMMYFUNCTION("GOOGLETRANSLATE(A96,""zh-tw"",""KO"")"),"2024년 10월 15일에 몇몇 이벤트와 새로운 이벤트 번호를 추가했습니다.")</f>
        <v>2024년 10월 15일에 몇몇 이벤트와 새로운 이벤트 번호를 추가했습니다.</v>
      </c>
      <c r="G96" s="28" t="str">
        <f>IFERROR(__xludf.DUMMYFUNCTION("GOOGLETRANSLATE(A96,""zh-tw"",""RU"")"),"Добавлены некоторые события и новые номера событий 15.10.2024.")</f>
        <v>Добавлены некоторые события и новые номера событий 15.10.2024.</v>
      </c>
      <c r="H96" s="28" t="str">
        <f>IFERROR(__xludf.DUMMYFUNCTION("GOOGLETRANSLATE(A96,""zh-tw"",""DE"")"),"Am 15.10.2024 wurden einige Ereignisse und neue Ereignisnummern hinzugefügt.")</f>
        <v>Am 15.10.2024 wurden einige Ereignisse und neue Ereignisnummern hinzugefügt.</v>
      </c>
      <c r="I96" s="67" t="s">
        <v>500</v>
      </c>
      <c r="J96" s="7" t="s">
        <v>501</v>
      </c>
      <c r="K96" s="7" t="s">
        <v>502</v>
      </c>
      <c r="L96" s="66"/>
      <c r="M96" s="66"/>
      <c r="N96" s="66"/>
      <c r="O96" s="66"/>
      <c r="P96" s="66"/>
      <c r="Q96" s="66"/>
      <c r="R96" s="66"/>
      <c r="S96" s="66"/>
      <c r="T96" s="66"/>
      <c r="U96" s="66"/>
      <c r="V96" s="66"/>
      <c r="W96" s="66"/>
      <c r="X96" s="66"/>
      <c r="Y96" s="66"/>
    </row>
    <row r="97">
      <c r="A97" s="65" t="s">
        <v>503</v>
      </c>
      <c r="B97" s="65" t="str">
        <f>IFERROR(__xludf.DUMMYFUNCTION("GOOGLETRANSLATE(A97,""zh-tw"",""ja"")"),"2024/10/14 書式を一部調整しました")</f>
        <v>2024/10/14 書式を一部調整しました</v>
      </c>
      <c r="C97" s="65" t="s">
        <v>504</v>
      </c>
      <c r="D97" s="65" t="str">
        <f>IFERROR(__xludf.DUMMYFUNCTION("GOOGLETRANSLATE(A97,""zh-tw"",""zh"")"),"2024/10/14 调整部分格式")</f>
        <v>2024/10/14 调整部分格式</v>
      </c>
      <c r="E97" s="28" t="str">
        <f>IFERROR(__xludf.DUMMYFUNCTION("GOOGLETRANSLATE(A97,""zh-tw"",""es-MX"")"),"14/10/2024 Se ha ajustado el formato.")</f>
        <v>14/10/2024 Se ha ajustado el formato.</v>
      </c>
      <c r="F97" s="28" t="str">
        <f>IFERROR(__xludf.DUMMYFUNCTION("GOOGLETRANSLATE(A97,""zh-tw"",""KO"")"),"2024년 10월 14일 서식 일부를 수정했습니다.")</f>
        <v>2024년 10월 14일 서식 일부를 수정했습니다.</v>
      </c>
      <c r="G97" s="28" t="str">
        <f>IFERROR(__xludf.DUMMYFUNCTION("GOOGLETRANSLATE(A97,""zh-tw"",""RU"")"),"14.10.2024 Исправлено форматирование.")</f>
        <v>14.10.2024 Исправлено форматирование.</v>
      </c>
      <c r="H97" s="28" t="str">
        <f>IFERROR(__xludf.DUMMYFUNCTION("GOOGLETRANSLATE(A97,""zh-tw"",""DE"")"),"14.10.2024: Formatierung angepasst")</f>
        <v>14.10.2024: Formatierung angepasst</v>
      </c>
      <c r="I97" s="67" t="s">
        <v>505</v>
      </c>
      <c r="J97" s="7" t="s">
        <v>506</v>
      </c>
      <c r="K97" s="7" t="s">
        <v>507</v>
      </c>
      <c r="L97" s="66"/>
      <c r="M97" s="66"/>
      <c r="N97" s="66"/>
      <c r="O97" s="66"/>
      <c r="P97" s="66"/>
      <c r="Q97" s="66"/>
      <c r="R97" s="66"/>
      <c r="S97" s="66"/>
      <c r="T97" s="66"/>
      <c r="U97" s="66"/>
      <c r="V97" s="66"/>
      <c r="W97" s="66"/>
      <c r="X97" s="66"/>
      <c r="Y97" s="66"/>
    </row>
    <row r="98">
      <c r="A98" s="65" t="s">
        <v>508</v>
      </c>
      <c r="B98" s="65" t="str">
        <f>IFERROR(__xludf.DUMMYFUNCTION("GOOGLETRANSLATE(A98,""zh-tw"",""ja"")"),"2024年10月13日に簡体字中国語訳を追加しました")</f>
        <v>2024年10月13日に簡体字中国語訳を追加しました</v>
      </c>
      <c r="C98" s="65" t="s">
        <v>509</v>
      </c>
      <c r="D98" s="65" t="str">
        <f>IFERROR(__xludf.DUMMYFUNCTION("GOOGLETRANSLATE(A98,""zh-tw"",""zh"")"),"2024/10/13新增简体中文翻译")</f>
        <v>2024/10/13新增简体中文翻译</v>
      </c>
      <c r="E98" s="28" t="str">
        <f>IFERROR(__xludf.DUMMYFUNCTION("GOOGLETRANSLATE(A98,""zh-tw"",""es-MX"")"),"Se añadió la traducción al chino simplificado el 13/10/2024.")</f>
        <v>Se añadió la traducción al chino simplificado el 13/10/2024.</v>
      </c>
      <c r="F98" s="28" t="str">
        <f>IFERROR(__xludf.DUMMYFUNCTION("GOOGLETRANSLATE(A98,""zh-tw"",""KO"")"),"2024년 10월 13일에 중국어 간체 번역이 추가되었습니다.")</f>
        <v>2024년 10월 13일에 중국어 간체 번역이 추가되었습니다.</v>
      </c>
      <c r="G98" s="28" t="str">
        <f>IFERROR(__xludf.DUMMYFUNCTION("GOOGLETRANSLATE(A98,""zh-tw"",""RU"")"),"Добавлен перевод на упрощенный китайский язык 13.10.2024.")</f>
        <v>Добавлен перевод на упрощенный китайский язык 13.10.2024.</v>
      </c>
      <c r="H98" s="28" t="str">
        <f>IFERROR(__xludf.DUMMYFUNCTION("GOOGLETRANSLATE(A98,""zh-tw"",""DE"")"),"Vereinfachte chinesische Übersetzung hinzugefügt am 13.10.2024")</f>
        <v>Vereinfachte chinesische Übersetzung hinzugefügt am 13.10.2024</v>
      </c>
      <c r="I98" s="67" t="s">
        <v>510</v>
      </c>
      <c r="J98" s="7" t="s">
        <v>511</v>
      </c>
      <c r="K98" s="7" t="s">
        <v>512</v>
      </c>
      <c r="L98" s="66"/>
      <c r="M98" s="66"/>
      <c r="N98" s="66"/>
      <c r="O98" s="66"/>
      <c r="P98" s="66"/>
      <c r="Q98" s="66"/>
      <c r="R98" s="66"/>
      <c r="S98" s="66"/>
      <c r="T98" s="66"/>
      <c r="U98" s="66"/>
      <c r="V98" s="66"/>
      <c r="W98" s="66"/>
      <c r="X98" s="66"/>
      <c r="Y98" s="66"/>
    </row>
    <row r="99">
      <c r="A99" s="65" t="s">
        <v>513</v>
      </c>
      <c r="B99" s="65" t="str">
        <f>IFERROR(__xludf.DUMMYFUNCTION("GOOGLETRANSLATE(A99,""zh-tw"",""ja"")"),"2024年10月12日：お知らせフォームと編集ログを追加。タロットカードを改訂。")</f>
        <v>2024年10月12日：お知らせフォームと編集ログを追加。タロットカードを改訂。</v>
      </c>
      <c r="C99" s="65" t="s">
        <v>514</v>
      </c>
      <c r="D99" s="65" t="str">
        <f>IFERROR(__xludf.DUMMYFUNCTION("GOOGLETRANSLATE(A99,""zh-tw"",""zh"")"),"2024/10/12新增公告表与编辑日志、修正塔罗牌")</f>
        <v>2024/10/12新增公告表与编辑日志、修正塔罗牌</v>
      </c>
      <c r="E99" s="28" t="str">
        <f>IFERROR(__xludf.DUMMYFUNCTION("GOOGLETRANSLATE(A99,""zh-tw"",""es-MX"")"),"12 de octubre de 2024: Se agregó un formulario de anuncio y un registro de edición; se revisaron las cartas del tarot.")</f>
        <v>12 de octubre de 2024: Se agregó un formulario de anuncio y un registro de edición; se revisaron las cartas del tarot.</v>
      </c>
      <c r="F99" s="28" t="str">
        <f>IFERROR(__xludf.DUMMYFUNCTION("GOOGLETRANSLATE(A99,""zh-tw"",""KO"")"),"2024년 10월 12일: 공지 양식 및 편집 로그를 추가하고 타로 카드를 수정했습니다.")</f>
        <v>2024년 10월 12일: 공지 양식 및 편집 로그를 추가하고 타로 카드를 수정했습니다.</v>
      </c>
      <c r="G99" s="28" t="str">
        <f>IFERROR(__xludf.DUMMYFUNCTION("GOOGLETRANSLATE(A99,""zh-tw"",""RU"")"),"12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99" s="28" t="str">
        <f>IFERROR(__xludf.DUMMYFUNCTION("GOOGLETRANSLATE(A99,""zh-tw"",""DE"")"),"12. Oktober 2024: Ankündigungsformular und Bearbeitungsprotokoll hinzugefügt; Tarotkarten überarbeitet.")</f>
        <v>12. Oktober 2024: Ankündigungsformular und Bearbeitungsprotokoll hinzugefügt; Tarotkarten überarbeitet.</v>
      </c>
      <c r="I99" s="67" t="s">
        <v>515</v>
      </c>
      <c r="J99" s="7" t="s">
        <v>516</v>
      </c>
      <c r="K99" s="7" t="s">
        <v>517</v>
      </c>
      <c r="L99" s="66"/>
      <c r="M99" s="66"/>
      <c r="N99" s="66"/>
      <c r="O99" s="66"/>
      <c r="P99" s="66"/>
      <c r="Q99" s="66"/>
      <c r="R99" s="66"/>
      <c r="S99" s="66"/>
      <c r="T99" s="66"/>
      <c r="U99" s="66"/>
      <c r="V99" s="66"/>
      <c r="W99" s="66"/>
      <c r="X99" s="66"/>
      <c r="Y99" s="66"/>
    </row>
    <row r="100">
      <c r="A100" s="65" t="s">
        <v>518</v>
      </c>
      <c r="B100" s="65" t="str">
        <f>IFERROR(__xludf.DUMMYFUNCTION("GOOGLETRANSLATE(A100,""zh-tw"",""ja"")"),"2024年10月10日：新しいイベントと通知テーブルの内容を追加しました。")</f>
        <v>2024年10月10日：新しいイベントと通知テーブルの内容を追加しました。</v>
      </c>
      <c r="C100" s="65" t="s">
        <v>519</v>
      </c>
      <c r="D100" s="65" t="str">
        <f>IFERROR(__xludf.DUMMYFUNCTION("GOOGLETRANSLATE(A100,""zh-tw"",""zh"")"),"2024/10/10 新增事件、提示表内容")</f>
        <v>2024/10/10 新增事件、提示表内容</v>
      </c>
      <c r="E100" s="28" t="str">
        <f>IFERROR(__xludf.DUMMYFUNCTION("GOOGLETRANSLATE(A100,""zh-tw"",""es-MX"")"),"10 de octubre de 2024: Se agregaron nuevos eventos y contenido a la tabla de notificaciones.")</f>
        <v>10 de octubre de 2024: Se agregaron nuevos eventos y contenido a la tabla de notificaciones.</v>
      </c>
      <c r="F100" s="28" t="str">
        <f>IFERROR(__xludf.DUMMYFUNCTION("GOOGLETRANSLATE(A100,""zh-tw"",""KO"")"),"2024년 10월 10일: 새로운 이벤트 및 알림 표 내용을 추가했습니다.")</f>
        <v>2024년 10월 10일: 새로운 이벤트 및 알림 표 내용을 추가했습니다.</v>
      </c>
      <c r="G100" s="28" t="str">
        <f>IFERROR(__xludf.DUMMYFUNCTION("GOOGLETRANSLATE(A100,""zh-tw"",""RU"")"),"10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100" s="28" t="str">
        <f>IFERROR(__xludf.DUMMYFUNCTION("GOOGLETRANSLATE(A100,""zh-tw"",""DE"")"),"10. Oktober 2024: Neue Ereignisse und Benachrichtigungstabelle hinzugefügt.")</f>
        <v>10. Oktober 2024: Neue Ereignisse und Benachrichtigungstabelle hinzugefügt.</v>
      </c>
      <c r="I100" s="67" t="s">
        <v>520</v>
      </c>
      <c r="J100" s="7" t="s">
        <v>521</v>
      </c>
      <c r="K100" s="7" t="s">
        <v>522</v>
      </c>
      <c r="L100" s="66"/>
      <c r="M100" s="66"/>
      <c r="N100" s="66"/>
      <c r="O100" s="66"/>
      <c r="P100" s="66"/>
      <c r="Q100" s="66"/>
      <c r="R100" s="66"/>
      <c r="S100" s="66"/>
      <c r="T100" s="66"/>
      <c r="U100" s="66"/>
      <c r="V100" s="66"/>
      <c r="W100" s="66"/>
      <c r="X100" s="66"/>
      <c r="Y100" s="66"/>
    </row>
    <row r="101">
      <c r="A101" s="65" t="s">
        <v>523</v>
      </c>
      <c r="B101" s="65" t="str">
        <f>IFERROR(__xludf.DUMMYFUNCTION("GOOGLETRANSLATE(A101,""zh-tw"",""ja"")"),"2024年10月9日にイベントと通知を追加しました")</f>
        <v>2024年10月9日にイベントと通知を追加しました</v>
      </c>
      <c r="C101" s="65" t="s">
        <v>524</v>
      </c>
      <c r="D101" s="65" t="str">
        <f>IFERROR(__xludf.DUMMYFUNCTION("GOOGLETRANSLATE(A101,""zh-tw"",""zh"")"),"2024/10/9新增事件、提示表内容")</f>
        <v>2024/10/9新增事件、提示表内容</v>
      </c>
      <c r="E101" s="28" t="str">
        <f>IFERROR(__xludf.DUMMYFUNCTION("GOOGLETRANSLATE(A101,""zh-tw"",""es-MX"")"),"Se agregaron eventos y notificaciones el 9/10/2024.")</f>
        <v>Se agregaron eventos y notificaciones el 9/10/2024.</v>
      </c>
      <c r="F101" s="28" t="str">
        <f>IFERROR(__xludf.DUMMYFUNCTION("GOOGLETRANSLATE(A101,""zh-tw"",""KO"")"),"2024년 10월 9일에 이벤트 및 알림 기능이 추가되었습니다.")</f>
        <v>2024년 10월 9일에 이벤트 및 알림 기능이 추가되었습니다.</v>
      </c>
      <c r="G101" s="28" t="str">
        <f>IFERROR(__xludf.DUMMYFUNCTION("GOOGLETRANSLATE(A101,""zh-tw"",""RU"")"),"Добавлены события и уведомления 9 октября 2024 г.")</f>
        <v>Добавлены события и уведомления 9 октября 2024 г.</v>
      </c>
      <c r="H101" s="28" t="str">
        <f>IFERROR(__xludf.DUMMYFUNCTION("GOOGLETRANSLATE(A101,""zh-tw"",""DE"")"),"Ereignisse und Benachrichtigungen wurden am 9.10.2024 hinzugefügt.")</f>
        <v>Ereignisse und Benachrichtigungen wurden am 9.10.2024 hinzugefügt.</v>
      </c>
      <c r="I101" s="67" t="s">
        <v>525</v>
      </c>
      <c r="J101" s="7" t="s">
        <v>526</v>
      </c>
      <c r="K101" s="7" t="s">
        <v>527</v>
      </c>
      <c r="L101" s="66"/>
      <c r="M101" s="66"/>
      <c r="N101" s="66"/>
      <c r="O101" s="66"/>
      <c r="P101" s="66"/>
      <c r="Q101" s="66"/>
      <c r="R101" s="66"/>
      <c r="S101" s="66"/>
      <c r="T101" s="66"/>
      <c r="U101" s="66"/>
      <c r="V101" s="66"/>
      <c r="W101" s="66"/>
      <c r="X101" s="66"/>
      <c r="Y101" s="66"/>
    </row>
    <row r="102">
      <c r="A102" s="65" t="s">
        <v>528</v>
      </c>
      <c r="B102" s="65" t="str">
        <f>IFERROR(__xludf.DUMMYFUNCTION("GOOGLETRANSLATE(A102,""zh-tw"",""ja"")"),"イベントと通知テーブルの内容が2024年10月8日に追加されました")</f>
        <v>イベントと通知テーブルの内容が2024年10月8日に追加されました</v>
      </c>
      <c r="C102" s="65" t="s">
        <v>529</v>
      </c>
      <c r="D102" s="65" t="str">
        <f>IFERROR(__xludf.DUMMYFUNCTION("GOOGLETRANSLATE(A102,""zh-tw"",""zh"")"),"2024/10/8新增事件、提示表内容")</f>
        <v>2024/10/8新增事件、提示表内容</v>
      </c>
      <c r="E102" s="28" t="str">
        <f>IFERROR(__xludf.DUMMYFUNCTION("GOOGLETRANSLATE(A102,""zh-tw"",""es-MX"")"),"Se agregó contenido a la tabla de eventos y notificaciones el 8/10/2024.")</f>
        <v>Se agregó contenido a la tabla de eventos y notificaciones el 8/10/2024.</v>
      </c>
      <c r="F102" s="28" t="str">
        <f>IFERROR(__xludf.DUMMYFUNCTION("GOOGLETRANSLATE(A102,""zh-tw"",""KO"")"),"2024년 10월 8일에 이벤트 및 알림 테이블 내용을 추가했습니다.")</f>
        <v>2024년 10월 8일에 이벤트 및 알림 테이블 내용을 추가했습니다.</v>
      </c>
      <c r="G102" s="28" t="str">
        <f>IFERROR(__xludf.DUMMYFUNCTION("GOOGLETRANSLATE(A102,""zh-tw"",""RU"")"),"Добавлено содержимое таблицы событий и уведомлений 8 октября 2024 г.")</f>
        <v>Добавлено содержимое таблицы событий и уведомлений 8 октября 2024 г.</v>
      </c>
      <c r="H102" s="28" t="str">
        <f>IFERROR(__xludf.DUMMYFUNCTION("GOOGLETRANSLATE(A102,""zh-tw"",""DE"")"),"Ereignis- und Benachrichtigungstabelleninhalte wurden am 8.10.2024 hinzugefügt.")</f>
        <v>Ereignis- und Benachrichtigungstabelleninhalte wurden am 8.10.2024 hinzugefügt.</v>
      </c>
      <c r="I102" s="67" t="s">
        <v>530</v>
      </c>
      <c r="J102" s="7" t="s">
        <v>531</v>
      </c>
      <c r="K102" s="7" t="s">
        <v>532</v>
      </c>
      <c r="L102" s="66"/>
      <c r="M102" s="66"/>
      <c r="N102" s="66"/>
      <c r="O102" s="66"/>
      <c r="P102" s="66"/>
      <c r="Q102" s="66"/>
      <c r="R102" s="66"/>
      <c r="S102" s="66"/>
      <c r="T102" s="66"/>
      <c r="U102" s="66"/>
      <c r="V102" s="66"/>
      <c r="W102" s="66"/>
      <c r="X102" s="66"/>
      <c r="Y102" s="66"/>
    </row>
    <row r="103">
      <c r="A103" s="65" t="s">
        <v>533</v>
      </c>
      <c r="B103" s="65" t="str">
        <f>IFERROR(__xludf.DUMMYFUNCTION("GOOGLETRANSLATE(A103,""zh-tw"",""ja"")"),"2024年10月7日に通知テーブルを追加しました")</f>
        <v>2024年10月7日に通知テーブルを追加しました</v>
      </c>
      <c r="C103" s="65" t="s">
        <v>534</v>
      </c>
      <c r="D103" s="65" t="str">
        <f>IFERROR(__xludf.DUMMYFUNCTION("GOOGLETRANSLATE(A103,""zh-tw"",""zh"")"),"2024/10/7新增提示表")</f>
        <v>2024/10/7新增提示表</v>
      </c>
      <c r="E103" s="28" t="str">
        <f>IFERROR(__xludf.DUMMYFUNCTION("GOOGLETRANSLATE(A103,""zh-tw"",""es-MX"")"),"Tabla de notificaciones añadida el 7/10/2024")</f>
        <v>Tabla de notificaciones añadida el 7/10/2024</v>
      </c>
      <c r="F103" s="28" t="str">
        <f>IFERROR(__xludf.DUMMYFUNCTION("GOOGLETRANSLATE(A103,""zh-tw"",""KO"")"),"2024년 10월 7일에 알림 테이블이 추가되었습니다.")</f>
        <v>2024년 10월 7일에 알림 테이블이 추가되었습니다.</v>
      </c>
      <c r="G103" s="28" t="str">
        <f>IFERROR(__xludf.DUMMYFUNCTION("GOOGLETRANSLATE(A103,""zh-tw"",""RU"")"),"Добавлена ​​таблица уведомлений от 07.10.2024.")</f>
        <v>Добавлена ​​таблица уведомлений от 07.10.2024.</v>
      </c>
      <c r="H103" s="28" t="str">
        <f>IFERROR(__xludf.DUMMYFUNCTION("GOOGLETRANSLATE(A103,""zh-tw"",""DE"")"),"Benachrichtigungstabelle hinzugefügt am 07.10.2024.")</f>
        <v>Benachrichtigungstabelle hinzugefügt am 07.10.2024.</v>
      </c>
      <c r="I103" s="67" t="s">
        <v>535</v>
      </c>
      <c r="J103" s="7" t="s">
        <v>536</v>
      </c>
      <c r="K103" s="7" t="s">
        <v>537</v>
      </c>
      <c r="L103" s="66"/>
      <c r="M103" s="66"/>
      <c r="N103" s="66"/>
      <c r="O103" s="66"/>
      <c r="P103" s="66"/>
      <c r="Q103" s="66"/>
      <c r="R103" s="66"/>
      <c r="S103" s="66"/>
      <c r="T103" s="66"/>
      <c r="U103" s="66"/>
      <c r="V103" s="66"/>
      <c r="W103" s="66"/>
      <c r="X103" s="66"/>
      <c r="Y103" s="66"/>
    </row>
    <row r="104">
      <c r="A104" s="4" t="s">
        <v>538</v>
      </c>
      <c r="B104" s="70" t="s">
        <v>539</v>
      </c>
      <c r="C104" s="65" t="s">
        <v>540</v>
      </c>
      <c r="D104" s="65" t="str">
        <f>IFERROR(__xludf.DUMMYFUNCTION("GOOGLETRANSLATE(A104,""zh-tw"",""zh"")"),"2024/10/6
授权Discord:mioakatukaze转载至bilibili
https://www.bilibili.com/opus/985591575966908440?spm_id_from=333.999.0.0 ")</f>
        <v>2024/10/6
授权Discord:mioakatukaze转载至bilibili
https://www.bilibili.com/opus/985591575966908440?spm_id_from=333.999.0.0 </v>
      </c>
      <c r="E104" s="28" t="str">
        <f>IFERROR(__xludf.DUMMYFUNCTION("GOOGLETRANSLATE(A104,""zh-tw"",""es-MX"")"),"6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04" s="28" t="str">
        <f>IFERROR(__xludf.DUMMYFUNCTION("GOOGLETRANSLATE(A104,""zh-tw"",""KO"")"),"2024년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04" s="28" t="str">
        <f>IFERROR(__xludf.DUMMYFUNCTION("GOOGLETRANSLATE(A104,""zh-tw"",""RU"")"),"6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104" s="28" t="str">
        <f>IFERROR(__xludf.DUMMYFUNCTION("GOOGLETRANSLATE(A104,""zh-tw"",""DE"")"),"6.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104" s="67" t="s">
        <v>541</v>
      </c>
      <c r="J104" s="69" t="s">
        <v>542</v>
      </c>
      <c r="K104" s="7" t="s">
        <v>543</v>
      </c>
      <c r="L104" s="66"/>
      <c r="M104" s="66"/>
      <c r="N104" s="66"/>
      <c r="O104" s="66"/>
      <c r="P104" s="66"/>
      <c r="Q104" s="66"/>
      <c r="R104" s="66"/>
      <c r="S104" s="66"/>
      <c r="T104" s="66"/>
      <c r="U104" s="66"/>
      <c r="V104" s="66"/>
      <c r="W104" s="66"/>
      <c r="X104" s="66"/>
      <c r="Y104" s="66"/>
    </row>
    <row r="105">
      <c r="A105" s="65" t="s">
        <v>544</v>
      </c>
      <c r="B105" s="65" t="str">
        <f>IFERROR(__xludf.DUMMYFUNCTION("GOOGLETRANSLATE(A105,""zh-tw"",""ja"")"),"2024年10月6日にページ全体が編集・調整されました")</f>
        <v>2024年10月6日にページ全体が編集・調整されました</v>
      </c>
      <c r="C105" s="65" t="s">
        <v>545</v>
      </c>
      <c r="D105" s="65" t="str">
        <f>IFERROR(__xludf.DUMMYFUNCTION("GOOGLETRANSLATE(A105,""zh-tw"",""zh"")"),"2024/10/6全页面修改调整")</f>
        <v>2024/10/6全页面修改调整</v>
      </c>
      <c r="E105" s="28" t="str">
        <f>IFERROR(__xludf.DUMMYFUNCTION("GOOGLETRANSLATE(A105,""zh-tw"",""es-MX"")"),"Página completa editada y ajustada el 6 de octubre de 2024.")</f>
        <v>Página completa editada y ajustada el 6 de octubre de 2024.</v>
      </c>
      <c r="F105" s="28" t="str">
        <f>IFERROR(__xludf.DUMMYFUNCTION("GOOGLETRANSLATE(A105,""zh-tw"",""KO"")"),"2024년 10월 6일 전체 페이지가 수정 및 조정되었습니다.")</f>
        <v>2024년 10월 6일 전체 페이지가 수정 및 조정되었습니다.</v>
      </c>
      <c r="G105" s="28" t="str">
        <f>IFERROR(__xludf.DUMMYFUNCTION("GOOGLETRANSLATE(A105,""zh-tw"",""RU"")"),"Вся страница отредактирована и скорректирована 6 октября 2024 года.")</f>
        <v>Вся страница отредактирована и скорректирована 6 октября 2024 года.</v>
      </c>
      <c r="H105" s="28" t="str">
        <f>IFERROR(__xludf.DUMMYFUNCTION("GOOGLETRANSLATE(A105,""zh-tw"",""DE"")"),"Die gesamte Seite wurde am 06.10.2024 bearbeitet und angepasst.")</f>
        <v>Die gesamte Seite wurde am 06.10.2024 bearbeitet und angepasst.</v>
      </c>
      <c r="I105" s="67" t="s">
        <v>546</v>
      </c>
      <c r="J105" s="7" t="s">
        <v>547</v>
      </c>
      <c r="K105" s="7" t="s">
        <v>548</v>
      </c>
      <c r="L105" s="66"/>
      <c r="M105" s="66"/>
      <c r="N105" s="66"/>
      <c r="O105" s="66"/>
      <c r="P105" s="66"/>
      <c r="Q105" s="66"/>
      <c r="R105" s="66"/>
      <c r="S105" s="66"/>
      <c r="T105" s="66"/>
      <c r="U105" s="66"/>
      <c r="V105" s="66"/>
      <c r="W105" s="66"/>
      <c r="X105" s="66"/>
      <c r="Y105" s="66"/>
    </row>
    <row r="106">
      <c r="A106" s="65" t="s">
        <v>549</v>
      </c>
      <c r="B106" s="65" t="str">
        <f>IFERROR(__xludf.DUMMYFUNCTION("GOOGLETRANSLATE(A106,""zh-tw"",""ja"")"),"2024年10月5日に一般公開されました。")</f>
        <v>2024年10月5日に一般公開されました。</v>
      </c>
      <c r="C106" s="65" t="s">
        <v>550</v>
      </c>
      <c r="D106" s="65" t="str">
        <f>IFERROR(__xludf.DUMMYFUNCTION("GOOGLETRANSLATE(A106,""zh-tw"",""zh"")"),"2024/10/5对外发布")</f>
        <v>2024/10/5对外发布</v>
      </c>
      <c r="E106" s="28" t="str">
        <f>IFERROR(__xludf.DUMMYFUNCTION("GOOGLETRANSLATE(A106,""zh-tw"",""es-MX"")"),"Publicado el 5 de octubre de 2024.")</f>
        <v>Publicado el 5 de octubre de 2024.</v>
      </c>
      <c r="F106" s="28" t="str">
        <f>IFERROR(__xludf.DUMMYFUNCTION("GOOGLETRANSLATE(A106,""zh-tw"",""KO"")"),"2024년 10월 5일 일반에 공개되었습니다.")</f>
        <v>2024년 10월 5일 일반에 공개되었습니다.</v>
      </c>
      <c r="G106" s="28" t="str">
        <f>IFERROR(__xludf.DUMMYFUNCTION("GOOGLETRANSLATE(A106,""zh-tw"",""RU"")"),"Опубликовано 5 октября 2024 года.")</f>
        <v>Опубликовано 5 октября 2024 года.</v>
      </c>
      <c r="H106" s="28" t="str">
        <f>IFERROR(__xludf.DUMMYFUNCTION("GOOGLETRANSLATE(A106,""zh-tw"",""DE"")"),"Veröffentlicht der Öffentlichkeit am 5. Oktober 2024")</f>
        <v>Veröffentlicht der Öffentlichkeit am 5. Oktober 2024</v>
      </c>
      <c r="I106" s="67" t="s">
        <v>551</v>
      </c>
      <c r="J106" s="7" t="s">
        <v>552</v>
      </c>
      <c r="K106" s="7" t="s">
        <v>553</v>
      </c>
      <c r="L106" s="66"/>
      <c r="M106" s="66"/>
      <c r="N106" s="66"/>
      <c r="O106" s="66"/>
      <c r="P106" s="66"/>
      <c r="Q106" s="66"/>
      <c r="R106" s="66"/>
      <c r="S106" s="66"/>
      <c r="T106" s="66"/>
      <c r="U106" s="66"/>
      <c r="V106" s="66"/>
      <c r="W106" s="66"/>
      <c r="X106" s="66"/>
      <c r="Y106" s="66"/>
    </row>
    <row r="107">
      <c r="A107" s="65" t="s">
        <v>554</v>
      </c>
      <c r="B107" s="65" t="str">
        <f>IFERROR(__xludf.DUMMYFUNCTION("GOOGLETRANSLATE(A107,""zh-tw"",""ja"")"),"初稿完成日：2024年10月4日")</f>
        <v>初稿完成日：2024年10月4日</v>
      </c>
      <c r="C107" s="65" t="s">
        <v>555</v>
      </c>
      <c r="D107" s="65" t="str">
        <f>IFERROR(__xludf.DUMMYFUNCTION("GOOGLETRANSLATE(A107,""zh-tw"",""zh"")"),"2024/10/4初版完成")</f>
        <v>2024/10/4初版完成</v>
      </c>
      <c r="E107" s="28" t="str">
        <f>IFERROR(__xludf.DUMMYFUNCTION("GOOGLETRANSLATE(A107,""zh-tw"",""es-MX"")"),"Primer borrador finalizado el 4 de octubre de 2024.")</f>
        <v>Primer borrador finalizado el 4 de octubre de 2024.</v>
      </c>
      <c r="F107" s="28" t="str">
        <f>IFERROR(__xludf.DUMMYFUNCTION("GOOGLETRANSLATE(A107,""zh-tw"",""KO"")"),"초안 작성 완료일: 2024년 10월 4일")</f>
        <v>초안 작성 완료일: 2024년 10월 4일</v>
      </c>
      <c r="G107" s="28" t="str">
        <f>IFERROR(__xludf.DUMMYFUNCTION("GOOGLETRANSLATE(A107,""zh-tw"",""RU"")"),"Первый черновик завершен 4 октября 2024 года.")</f>
        <v>Первый черновик завершен 4 октября 2024 года.</v>
      </c>
      <c r="H107" s="28" t="str">
        <f>IFERROR(__xludf.DUMMYFUNCTION("GOOGLETRANSLATE(A107,""zh-tw"",""DE"")"),"Erster Entwurf fertiggestellt am 4. Oktober 2024")</f>
        <v>Erster Entwurf fertiggestellt am 4. Oktober 2024</v>
      </c>
      <c r="I107" s="67" t="s">
        <v>556</v>
      </c>
      <c r="J107" s="7" t="s">
        <v>557</v>
      </c>
      <c r="K107" s="7" t="s">
        <v>558</v>
      </c>
      <c r="L107" s="66"/>
      <c r="M107" s="66"/>
      <c r="N107" s="66"/>
      <c r="O107" s="66"/>
      <c r="P107" s="66"/>
      <c r="Q107" s="66"/>
      <c r="R107" s="66"/>
      <c r="S107" s="66"/>
      <c r="T107" s="66"/>
      <c r="U107" s="66"/>
      <c r="V107" s="66"/>
      <c r="W107" s="66"/>
      <c r="X107" s="66"/>
      <c r="Y107" s="66"/>
    </row>
    <row r="108">
      <c r="A108" s="65" t="s">
        <v>559</v>
      </c>
      <c r="B108" s="65" t="str">
        <f>IFERROR(__xludf.DUMMYFUNCTION("GOOGLETRANSLATE(A108,""zh-tw"",""ja"")"),"このフォームは2024年10月1日に作成されました。")</f>
        <v>このフォームは2024年10月1日に作成されました。</v>
      </c>
      <c r="C108" s="65" t="s">
        <v>560</v>
      </c>
      <c r="D108" s="65" t="str">
        <f>IFERROR(__xludf.DUMMYFUNCTION("GOOGLETRANSLATE(A108,""zh-tw"",""zh"")"),"2024/10/1 建立本表单")</f>
        <v>2024/10/1 建立本表单</v>
      </c>
      <c r="E108" s="28" t="str">
        <f>IFERROR(__xludf.DUMMYFUNCTION("GOOGLETRANSLATE(A108,""zh-tw"",""es-MX"")"),"Este formulario fue creado el 1 de octubre de 2024.")</f>
        <v>Este formulario fue creado el 1 de octubre de 2024.</v>
      </c>
      <c r="F108" s="28" t="str">
        <f>IFERROR(__xludf.DUMMYFUNCTION("GOOGLETRANSLATE(A108,""zh-tw"",""KO"")"),"이 양식은 2024년 10월 1일에 생성되었습니다.")</f>
        <v>이 양식은 2024년 10월 1일에 생성되었습니다.</v>
      </c>
      <c r="G108" s="28" t="str">
        <f>IFERROR(__xludf.DUMMYFUNCTION("GOOGLETRANSLATE(A108,""zh-tw"",""RU"")"),"Данная форма была создана 1 октября 2024 года.")</f>
        <v>Данная форма была создана 1 октября 2024 года.</v>
      </c>
      <c r="H108" s="28" t="str">
        <f>IFERROR(__xludf.DUMMYFUNCTION("GOOGLETRANSLATE(A108,""zh-tw"",""DE"")"),"Dieses Formular wurde am 1. Oktober 2024 erstellt.")</f>
        <v>Dieses Formular wurde am 1. Oktober 2024 erstellt.</v>
      </c>
      <c r="I108" s="67" t="s">
        <v>561</v>
      </c>
      <c r="J108" s="7" t="s">
        <v>562</v>
      </c>
      <c r="K108" s="7" t="s">
        <v>563</v>
      </c>
      <c r="L108" s="66"/>
      <c r="M108" s="66"/>
      <c r="N108" s="66"/>
      <c r="O108" s="66"/>
      <c r="P108" s="66"/>
      <c r="Q108" s="66"/>
      <c r="R108" s="66"/>
      <c r="S108" s="66"/>
      <c r="T108" s="66"/>
      <c r="U108" s="66"/>
      <c r="V108" s="66"/>
      <c r="W108" s="66"/>
      <c r="X108" s="66"/>
      <c r="Y108" s="66"/>
    </row>
    <row r="109">
      <c r="A109" s="65"/>
      <c r="B109" s="65"/>
      <c r="C109" s="71"/>
      <c r="D109" s="71"/>
      <c r="E109" s="72"/>
      <c r="F109" s="72"/>
      <c r="G109" s="72"/>
      <c r="H109" s="72"/>
      <c r="I109" s="55"/>
      <c r="J109" s="56"/>
      <c r="K109" s="56"/>
      <c r="L109" s="66"/>
      <c r="M109" s="66"/>
      <c r="N109" s="66"/>
      <c r="O109" s="66"/>
      <c r="P109" s="66"/>
      <c r="Q109" s="66"/>
      <c r="R109" s="66"/>
      <c r="S109" s="66"/>
      <c r="T109" s="66"/>
      <c r="U109" s="66"/>
      <c r="V109" s="66"/>
      <c r="W109" s="66"/>
      <c r="X109" s="66"/>
      <c r="Y109" s="66"/>
    </row>
    <row r="110">
      <c r="A110" s="65"/>
      <c r="B110" s="65"/>
      <c r="C110" s="73"/>
      <c r="D110" s="73"/>
      <c r="E110" s="72"/>
      <c r="F110" s="72"/>
      <c r="G110" s="72"/>
      <c r="H110" s="72"/>
      <c r="I110" s="55"/>
      <c r="J110" s="56"/>
      <c r="K110" s="56"/>
      <c r="L110" s="66"/>
      <c r="M110" s="66"/>
      <c r="N110" s="66"/>
      <c r="O110" s="66"/>
      <c r="P110" s="66"/>
      <c r="Q110" s="66"/>
      <c r="R110" s="66"/>
      <c r="S110" s="66"/>
      <c r="T110" s="66"/>
      <c r="U110" s="66"/>
      <c r="V110" s="66"/>
      <c r="W110" s="66"/>
      <c r="X110" s="66"/>
      <c r="Y110" s="66"/>
    </row>
    <row r="111">
      <c r="A111" s="65"/>
      <c r="B111" s="65"/>
      <c r="C111" s="73"/>
      <c r="D111" s="73"/>
      <c r="E111" s="72"/>
      <c r="F111" s="72"/>
      <c r="G111" s="72"/>
      <c r="H111" s="72"/>
      <c r="I111" s="55"/>
      <c r="J111" s="56"/>
      <c r="K111" s="56"/>
      <c r="L111" s="66"/>
      <c r="M111" s="66"/>
      <c r="N111" s="66"/>
      <c r="O111" s="66"/>
      <c r="P111" s="66"/>
      <c r="Q111" s="66"/>
      <c r="R111" s="66"/>
      <c r="S111" s="66"/>
      <c r="T111" s="66"/>
      <c r="U111" s="66"/>
      <c r="V111" s="66"/>
      <c r="W111" s="66"/>
      <c r="X111" s="66"/>
      <c r="Y111" s="66"/>
    </row>
    <row r="112">
      <c r="A112" s="65"/>
      <c r="B112" s="65"/>
      <c r="C112" s="73"/>
      <c r="D112" s="73"/>
      <c r="E112" s="72"/>
      <c r="F112" s="72"/>
      <c r="G112" s="72"/>
      <c r="H112" s="72"/>
      <c r="I112" s="55"/>
      <c r="J112" s="56"/>
      <c r="K112" s="56"/>
      <c r="L112" s="66"/>
      <c r="M112" s="66"/>
      <c r="N112" s="66"/>
      <c r="O112" s="66"/>
      <c r="P112" s="66"/>
      <c r="Q112" s="66"/>
      <c r="R112" s="66"/>
      <c r="S112" s="66"/>
      <c r="T112" s="66"/>
      <c r="U112" s="66"/>
      <c r="V112" s="66"/>
      <c r="W112" s="66"/>
      <c r="X112" s="66"/>
      <c r="Y112" s="66"/>
    </row>
    <row r="113">
      <c r="A113" s="65"/>
      <c r="B113" s="65"/>
      <c r="C113" s="73"/>
      <c r="D113" s="73"/>
      <c r="E113" s="72"/>
      <c r="F113" s="72"/>
      <c r="G113" s="72"/>
      <c r="H113" s="72"/>
      <c r="I113" s="55"/>
      <c r="J113" s="56"/>
      <c r="K113" s="56"/>
      <c r="L113" s="66"/>
      <c r="M113" s="66"/>
      <c r="N113" s="66"/>
      <c r="O113" s="66"/>
      <c r="P113" s="66"/>
      <c r="Q113" s="66"/>
      <c r="R113" s="66"/>
      <c r="S113" s="66"/>
      <c r="T113" s="66"/>
      <c r="U113" s="66"/>
      <c r="V113" s="66"/>
      <c r="W113" s="66"/>
      <c r="X113" s="66"/>
      <c r="Y113" s="66"/>
    </row>
    <row r="114">
      <c r="A114" s="65"/>
      <c r="B114" s="65"/>
      <c r="C114" s="73"/>
      <c r="D114" s="73"/>
      <c r="E114" s="72"/>
      <c r="F114" s="72"/>
      <c r="G114" s="72"/>
      <c r="H114" s="72"/>
      <c r="I114" s="55"/>
      <c r="J114" s="56"/>
      <c r="K114" s="56"/>
      <c r="L114" s="66"/>
      <c r="M114" s="66"/>
      <c r="N114" s="66"/>
      <c r="O114" s="66"/>
      <c r="P114" s="66"/>
      <c r="Q114" s="66"/>
      <c r="R114" s="66"/>
      <c r="S114" s="66"/>
      <c r="T114" s="66"/>
      <c r="U114" s="66"/>
      <c r="V114" s="66"/>
      <c r="W114" s="66"/>
      <c r="X114" s="66"/>
      <c r="Y114" s="66"/>
    </row>
    <row r="115">
      <c r="A115" s="65"/>
      <c r="B115" s="65"/>
      <c r="C115" s="73"/>
      <c r="D115" s="73"/>
      <c r="E115" s="72"/>
      <c r="F115" s="72"/>
      <c r="G115" s="72"/>
      <c r="H115" s="72"/>
      <c r="I115" s="55"/>
      <c r="J115" s="56"/>
      <c r="K115" s="56"/>
      <c r="L115" s="66"/>
      <c r="M115" s="66"/>
      <c r="N115" s="66"/>
      <c r="O115" s="66"/>
      <c r="P115" s="66"/>
      <c r="Q115" s="66"/>
      <c r="R115" s="66"/>
      <c r="S115" s="66"/>
      <c r="T115" s="66"/>
      <c r="U115" s="66"/>
      <c r="V115" s="66"/>
      <c r="W115" s="66"/>
      <c r="X115" s="66"/>
      <c r="Y115" s="66"/>
    </row>
    <row r="116">
      <c r="A116" s="65"/>
      <c r="B116" s="65"/>
      <c r="C116" s="73"/>
      <c r="D116" s="73"/>
      <c r="E116" s="72"/>
      <c r="F116" s="72"/>
      <c r="G116" s="72"/>
      <c r="H116" s="72"/>
      <c r="I116" s="55"/>
      <c r="J116" s="56"/>
      <c r="K116" s="56"/>
      <c r="L116" s="66"/>
      <c r="M116" s="66"/>
      <c r="N116" s="66"/>
      <c r="O116" s="66"/>
      <c r="P116" s="66"/>
      <c r="Q116" s="66"/>
      <c r="R116" s="66"/>
      <c r="S116" s="66"/>
      <c r="T116" s="66"/>
      <c r="U116" s="66"/>
      <c r="V116" s="66"/>
      <c r="W116" s="66"/>
      <c r="X116" s="66"/>
      <c r="Y116" s="66"/>
    </row>
    <row r="117">
      <c r="A117" s="65"/>
      <c r="B117" s="65"/>
      <c r="C117" s="73"/>
      <c r="D117" s="73"/>
      <c r="E117" s="72"/>
      <c r="F117" s="72"/>
      <c r="G117" s="72"/>
      <c r="H117" s="72"/>
      <c r="I117" s="55"/>
      <c r="J117" s="56"/>
      <c r="K117" s="56"/>
      <c r="L117" s="66"/>
      <c r="M117" s="66"/>
      <c r="N117" s="66"/>
      <c r="O117" s="66"/>
      <c r="P117" s="66"/>
      <c r="Q117" s="66"/>
      <c r="R117" s="66"/>
      <c r="S117" s="66"/>
      <c r="T117" s="66"/>
      <c r="U117" s="66"/>
      <c r="V117" s="66"/>
      <c r="W117" s="66"/>
      <c r="X117" s="66"/>
      <c r="Y117" s="66"/>
    </row>
    <row r="118">
      <c r="A118" s="65"/>
      <c r="B118" s="65"/>
      <c r="C118" s="73"/>
      <c r="D118" s="73"/>
      <c r="E118" s="72"/>
      <c r="F118" s="72"/>
      <c r="G118" s="72"/>
      <c r="H118" s="72"/>
      <c r="I118" s="55"/>
      <c r="J118" s="56"/>
      <c r="K118" s="56"/>
      <c r="L118" s="66"/>
      <c r="M118" s="66"/>
      <c r="N118" s="66"/>
      <c r="O118" s="66"/>
      <c r="P118" s="66"/>
      <c r="Q118" s="66"/>
      <c r="R118" s="66"/>
      <c r="S118" s="66"/>
      <c r="T118" s="66"/>
      <c r="U118" s="66"/>
      <c r="V118" s="66"/>
      <c r="W118" s="66"/>
      <c r="X118" s="66"/>
      <c r="Y118" s="66"/>
    </row>
    <row r="119">
      <c r="A119" s="65"/>
      <c r="B119" s="65"/>
      <c r="C119" s="73"/>
      <c r="D119" s="73"/>
      <c r="E119" s="72"/>
      <c r="F119" s="72"/>
      <c r="G119" s="72"/>
      <c r="H119" s="72"/>
      <c r="I119" s="55"/>
      <c r="J119" s="56"/>
      <c r="K119" s="56"/>
      <c r="L119" s="66"/>
      <c r="M119" s="66"/>
      <c r="N119" s="66"/>
      <c r="O119" s="66"/>
      <c r="P119" s="66"/>
      <c r="Q119" s="66"/>
      <c r="R119" s="66"/>
      <c r="S119" s="66"/>
      <c r="T119" s="66"/>
      <c r="U119" s="66"/>
      <c r="V119" s="66"/>
      <c r="W119" s="66"/>
      <c r="X119" s="66"/>
      <c r="Y119" s="66"/>
    </row>
    <row r="120">
      <c r="A120" s="65"/>
      <c r="B120" s="65"/>
      <c r="C120" s="73"/>
      <c r="D120" s="73"/>
      <c r="E120" s="72"/>
      <c r="F120" s="72"/>
      <c r="G120" s="72"/>
      <c r="H120" s="72"/>
      <c r="I120" s="55"/>
      <c r="J120" s="56"/>
      <c r="K120" s="56"/>
      <c r="L120" s="66"/>
      <c r="M120" s="66"/>
      <c r="N120" s="66"/>
      <c r="O120" s="66"/>
      <c r="P120" s="66"/>
      <c r="Q120" s="66"/>
      <c r="R120" s="66"/>
      <c r="S120" s="66"/>
      <c r="T120" s="66"/>
      <c r="U120" s="66"/>
      <c r="V120" s="66"/>
      <c r="W120" s="66"/>
      <c r="X120" s="66"/>
      <c r="Y120" s="66"/>
    </row>
    <row r="121">
      <c r="A121" s="65"/>
      <c r="B121" s="65"/>
      <c r="C121" s="73"/>
      <c r="D121" s="73"/>
      <c r="E121" s="72"/>
      <c r="F121" s="72"/>
      <c r="G121" s="72"/>
      <c r="H121" s="72"/>
      <c r="I121" s="55"/>
      <c r="J121" s="56"/>
      <c r="K121" s="56"/>
      <c r="L121" s="66"/>
      <c r="M121" s="66"/>
      <c r="N121" s="66"/>
      <c r="O121" s="66"/>
      <c r="P121" s="66"/>
      <c r="Q121" s="66"/>
      <c r="R121" s="66"/>
      <c r="S121" s="66"/>
      <c r="T121" s="66"/>
      <c r="U121" s="66"/>
      <c r="V121" s="66"/>
      <c r="W121" s="66"/>
      <c r="X121" s="66"/>
      <c r="Y121" s="66"/>
    </row>
    <row r="122">
      <c r="A122" s="65"/>
      <c r="B122" s="65"/>
      <c r="C122" s="73"/>
      <c r="D122" s="73"/>
      <c r="E122" s="72"/>
      <c r="F122" s="72"/>
      <c r="G122" s="72"/>
      <c r="H122" s="72"/>
      <c r="I122" s="55"/>
      <c r="J122" s="56"/>
      <c r="K122" s="56"/>
      <c r="L122" s="66"/>
      <c r="M122" s="66"/>
      <c r="N122" s="66"/>
      <c r="O122" s="66"/>
      <c r="P122" s="66"/>
      <c r="Q122" s="66"/>
      <c r="R122" s="66"/>
      <c r="S122" s="66"/>
      <c r="T122" s="66"/>
      <c r="U122" s="66"/>
      <c r="V122" s="66"/>
      <c r="W122" s="66"/>
      <c r="X122" s="66"/>
      <c r="Y122" s="66"/>
    </row>
    <row r="123">
      <c r="A123" s="65"/>
      <c r="B123" s="65"/>
      <c r="C123" s="73"/>
      <c r="D123" s="73"/>
      <c r="E123" s="72"/>
      <c r="F123" s="72"/>
      <c r="G123" s="72"/>
      <c r="H123" s="72"/>
      <c r="I123" s="55"/>
      <c r="J123" s="56"/>
      <c r="K123" s="56"/>
      <c r="L123" s="66"/>
      <c r="M123" s="66"/>
      <c r="N123" s="66"/>
      <c r="O123" s="66"/>
      <c r="P123" s="66"/>
      <c r="Q123" s="66"/>
      <c r="R123" s="66"/>
      <c r="S123" s="66"/>
      <c r="T123" s="66"/>
      <c r="U123" s="66"/>
      <c r="V123" s="66"/>
      <c r="W123" s="66"/>
      <c r="X123" s="66"/>
      <c r="Y123" s="66"/>
    </row>
    <row r="124">
      <c r="A124" s="65"/>
      <c r="B124" s="65"/>
      <c r="C124" s="73"/>
      <c r="D124" s="73"/>
      <c r="E124" s="72"/>
      <c r="F124" s="72"/>
      <c r="G124" s="72"/>
      <c r="H124" s="72"/>
      <c r="I124" s="55"/>
      <c r="J124" s="56"/>
      <c r="K124" s="56"/>
      <c r="L124" s="66"/>
      <c r="M124" s="66"/>
      <c r="N124" s="66"/>
      <c r="O124" s="66"/>
      <c r="P124" s="66"/>
      <c r="Q124" s="66"/>
      <c r="R124" s="66"/>
      <c r="S124" s="66"/>
      <c r="T124" s="66"/>
      <c r="U124" s="66"/>
      <c r="V124" s="66"/>
      <c r="W124" s="66"/>
      <c r="X124" s="66"/>
      <c r="Y124" s="66"/>
    </row>
    <row r="125">
      <c r="A125" s="65"/>
      <c r="B125" s="65"/>
      <c r="C125" s="73"/>
      <c r="D125" s="73"/>
      <c r="E125" s="72"/>
      <c r="F125" s="72"/>
      <c r="G125" s="72"/>
      <c r="H125" s="72"/>
      <c r="I125" s="55"/>
      <c r="J125" s="56"/>
      <c r="K125" s="56"/>
      <c r="L125" s="66"/>
      <c r="M125" s="66"/>
      <c r="N125" s="66"/>
      <c r="O125" s="66"/>
      <c r="P125" s="66"/>
      <c r="Q125" s="66"/>
      <c r="R125" s="66"/>
      <c r="S125" s="66"/>
      <c r="T125" s="66"/>
      <c r="U125" s="66"/>
      <c r="V125" s="66"/>
      <c r="W125" s="66"/>
      <c r="X125" s="66"/>
      <c r="Y125" s="66"/>
    </row>
    <row r="126">
      <c r="A126" s="65"/>
      <c r="B126" s="65"/>
      <c r="C126" s="73"/>
      <c r="D126" s="73"/>
      <c r="E126" s="72"/>
      <c r="F126" s="72"/>
      <c r="G126" s="72"/>
      <c r="H126" s="72"/>
      <c r="I126" s="55"/>
      <c r="J126" s="56"/>
      <c r="K126" s="56"/>
      <c r="L126" s="66"/>
      <c r="M126" s="66"/>
      <c r="N126" s="66"/>
      <c r="O126" s="66"/>
      <c r="P126" s="66"/>
      <c r="Q126" s="66"/>
      <c r="R126" s="66"/>
      <c r="S126" s="66"/>
      <c r="T126" s="66"/>
      <c r="U126" s="66"/>
      <c r="V126" s="66"/>
      <c r="W126" s="66"/>
      <c r="X126" s="66"/>
      <c r="Y126" s="66"/>
    </row>
    <row r="127">
      <c r="A127" s="74"/>
      <c r="B127" s="65"/>
      <c r="C127" s="73"/>
      <c r="D127" s="73"/>
      <c r="E127" s="72"/>
      <c r="F127" s="72"/>
      <c r="G127" s="72"/>
      <c r="H127" s="72"/>
      <c r="I127" s="55"/>
      <c r="J127" s="56"/>
      <c r="K127" s="56"/>
      <c r="L127" s="66"/>
      <c r="M127" s="66"/>
      <c r="N127" s="66"/>
      <c r="O127" s="66"/>
      <c r="P127" s="66"/>
      <c r="Q127" s="66"/>
      <c r="R127" s="66"/>
      <c r="S127" s="66"/>
      <c r="T127" s="66"/>
      <c r="U127" s="66"/>
      <c r="V127" s="66"/>
      <c r="W127" s="66"/>
      <c r="X127" s="66"/>
      <c r="Y127" s="66"/>
    </row>
    <row r="128">
      <c r="A128" s="65"/>
      <c r="B128" s="65"/>
      <c r="C128" s="73"/>
      <c r="D128" s="73"/>
      <c r="E128" s="72"/>
      <c r="F128" s="72"/>
      <c r="G128" s="72"/>
      <c r="H128" s="72"/>
      <c r="I128" s="55"/>
      <c r="J128" s="56"/>
      <c r="K128" s="56"/>
      <c r="L128" s="66"/>
      <c r="M128" s="66"/>
      <c r="N128" s="66"/>
      <c r="O128" s="66"/>
      <c r="P128" s="66"/>
      <c r="Q128" s="66"/>
      <c r="R128" s="66"/>
      <c r="S128" s="66"/>
      <c r="T128" s="66"/>
      <c r="U128" s="66"/>
      <c r="V128" s="66"/>
      <c r="W128" s="66"/>
      <c r="X128" s="66"/>
      <c r="Y128" s="66"/>
    </row>
    <row r="129">
      <c r="A129" s="65"/>
      <c r="B129" s="65"/>
      <c r="C129" s="73"/>
      <c r="D129" s="73"/>
      <c r="E129" s="72"/>
      <c r="F129" s="72"/>
      <c r="G129" s="72"/>
      <c r="H129" s="72"/>
      <c r="I129" s="55"/>
      <c r="J129" s="56"/>
      <c r="K129" s="56"/>
      <c r="L129" s="66"/>
      <c r="M129" s="66"/>
      <c r="N129" s="66"/>
      <c r="O129" s="66"/>
      <c r="P129" s="66"/>
      <c r="Q129" s="66"/>
      <c r="R129" s="66"/>
      <c r="S129" s="66"/>
      <c r="T129" s="66"/>
      <c r="U129" s="66"/>
      <c r="V129" s="66"/>
      <c r="W129" s="66"/>
      <c r="X129" s="66"/>
      <c r="Y129" s="66"/>
    </row>
    <row r="130">
      <c r="A130" s="65"/>
      <c r="B130" s="65"/>
      <c r="C130" s="73"/>
      <c r="D130" s="73"/>
      <c r="E130" s="72"/>
      <c r="F130" s="72"/>
      <c r="G130" s="72"/>
      <c r="H130" s="72"/>
      <c r="I130" s="55"/>
      <c r="J130" s="56"/>
      <c r="K130" s="56"/>
      <c r="L130" s="66"/>
      <c r="M130" s="66"/>
      <c r="N130" s="66"/>
      <c r="O130" s="66"/>
      <c r="P130" s="66"/>
      <c r="Q130" s="66"/>
      <c r="R130" s="66"/>
      <c r="S130" s="66"/>
      <c r="T130" s="66"/>
      <c r="U130" s="66"/>
      <c r="V130" s="66"/>
      <c r="W130" s="66"/>
      <c r="X130" s="66"/>
      <c r="Y130" s="66"/>
    </row>
    <row r="131">
      <c r="A131" s="65"/>
      <c r="B131" s="65"/>
      <c r="C131" s="73"/>
      <c r="D131" s="73"/>
      <c r="E131" s="72"/>
      <c r="F131" s="72"/>
      <c r="G131" s="72"/>
      <c r="H131" s="72"/>
      <c r="I131" s="55"/>
      <c r="J131" s="56"/>
      <c r="K131" s="56"/>
      <c r="L131" s="66"/>
      <c r="M131" s="66"/>
      <c r="N131" s="66"/>
      <c r="O131" s="66"/>
      <c r="P131" s="66"/>
      <c r="Q131" s="66"/>
      <c r="R131" s="66"/>
      <c r="S131" s="66"/>
      <c r="T131" s="66"/>
      <c r="U131" s="66"/>
      <c r="V131" s="66"/>
      <c r="W131" s="66"/>
      <c r="X131" s="66"/>
      <c r="Y131" s="66"/>
    </row>
    <row r="132">
      <c r="A132" s="65"/>
      <c r="B132" s="65"/>
      <c r="C132" s="73"/>
      <c r="D132" s="73"/>
      <c r="E132" s="72"/>
      <c r="F132" s="72"/>
      <c r="G132" s="72"/>
      <c r="H132" s="72"/>
      <c r="I132" s="55"/>
      <c r="J132" s="56"/>
      <c r="K132" s="56"/>
      <c r="L132" s="66"/>
      <c r="M132" s="66"/>
      <c r="N132" s="66"/>
      <c r="O132" s="66"/>
      <c r="P132" s="66"/>
      <c r="Q132" s="66"/>
      <c r="R132" s="66"/>
      <c r="S132" s="66"/>
      <c r="T132" s="66"/>
      <c r="U132" s="66"/>
      <c r="V132" s="66"/>
      <c r="W132" s="66"/>
      <c r="X132" s="66"/>
      <c r="Y132" s="66"/>
    </row>
    <row r="133">
      <c r="A133" s="65"/>
      <c r="B133" s="65"/>
      <c r="C133" s="73"/>
      <c r="D133" s="73"/>
      <c r="E133" s="72"/>
      <c r="F133" s="72"/>
      <c r="G133" s="72"/>
      <c r="H133" s="72"/>
      <c r="I133" s="55"/>
      <c r="J133" s="56"/>
      <c r="K133" s="56"/>
      <c r="L133" s="66"/>
      <c r="M133" s="66"/>
      <c r="N133" s="66"/>
      <c r="O133" s="66"/>
      <c r="P133" s="66"/>
      <c r="Q133" s="66"/>
      <c r="R133" s="66"/>
      <c r="S133" s="66"/>
      <c r="T133" s="66"/>
      <c r="U133" s="66"/>
      <c r="V133" s="66"/>
      <c r="W133" s="66"/>
      <c r="X133" s="66"/>
      <c r="Y133" s="66"/>
    </row>
    <row r="134">
      <c r="A134" s="65"/>
      <c r="B134" s="65"/>
      <c r="C134" s="73"/>
      <c r="D134" s="73"/>
      <c r="E134" s="72"/>
      <c r="F134" s="72"/>
      <c r="G134" s="72"/>
      <c r="H134" s="72"/>
      <c r="I134" s="55"/>
      <c r="J134" s="56"/>
      <c r="K134" s="56"/>
      <c r="L134" s="66"/>
      <c r="M134" s="66"/>
      <c r="N134" s="66"/>
      <c r="O134" s="66"/>
      <c r="P134" s="66"/>
      <c r="Q134" s="66"/>
      <c r="R134" s="66"/>
      <c r="S134" s="66"/>
      <c r="T134" s="66"/>
      <c r="U134" s="66"/>
      <c r="V134" s="66"/>
      <c r="W134" s="66"/>
      <c r="X134" s="66"/>
      <c r="Y134" s="66"/>
    </row>
    <row r="135">
      <c r="A135" s="65"/>
      <c r="B135" s="65"/>
      <c r="C135" s="73"/>
      <c r="D135" s="73"/>
      <c r="E135" s="72"/>
      <c r="F135" s="72"/>
      <c r="G135" s="72"/>
      <c r="H135" s="72"/>
      <c r="I135" s="55"/>
      <c r="J135" s="56"/>
      <c r="K135" s="56"/>
      <c r="L135" s="66"/>
      <c r="M135" s="66"/>
      <c r="N135" s="66"/>
      <c r="O135" s="66"/>
      <c r="P135" s="66"/>
      <c r="Q135" s="66"/>
      <c r="R135" s="66"/>
      <c r="S135" s="66"/>
      <c r="T135" s="66"/>
      <c r="U135" s="66"/>
      <c r="V135" s="66"/>
      <c r="W135" s="66"/>
      <c r="X135" s="66"/>
      <c r="Y135" s="66"/>
    </row>
    <row r="136">
      <c r="A136" s="71"/>
      <c r="B136" s="71"/>
      <c r="C136" s="73"/>
      <c r="D136" s="73"/>
      <c r="E136" s="75"/>
      <c r="F136" s="75"/>
      <c r="G136" s="75"/>
      <c r="H136" s="75"/>
      <c r="I136" s="29"/>
      <c r="J136" s="76"/>
      <c r="K136" s="76"/>
      <c r="L136" s="66"/>
      <c r="M136" s="66"/>
      <c r="N136" s="66"/>
      <c r="O136" s="66"/>
      <c r="P136" s="66"/>
      <c r="Q136" s="66"/>
      <c r="R136" s="66"/>
      <c r="S136" s="66"/>
      <c r="T136" s="66"/>
      <c r="U136" s="66"/>
      <c r="V136" s="66"/>
      <c r="W136" s="66"/>
      <c r="X136" s="66"/>
      <c r="Y136" s="66"/>
    </row>
    <row r="137">
      <c r="A137" s="71"/>
      <c r="B137" s="71"/>
      <c r="C137" s="73"/>
      <c r="D137" s="73"/>
      <c r="E137" s="75"/>
      <c r="F137" s="75"/>
      <c r="G137" s="75"/>
      <c r="H137" s="75"/>
      <c r="I137" s="29"/>
      <c r="J137" s="76"/>
      <c r="K137" s="76"/>
      <c r="L137" s="66"/>
      <c r="M137" s="66"/>
      <c r="N137" s="66"/>
      <c r="O137" s="66"/>
      <c r="P137" s="66"/>
      <c r="Q137" s="66"/>
      <c r="R137" s="66"/>
      <c r="S137" s="66"/>
      <c r="T137" s="66"/>
      <c r="U137" s="66"/>
      <c r="V137" s="66"/>
      <c r="W137" s="66"/>
      <c r="X137" s="66"/>
      <c r="Y137" s="66"/>
    </row>
    <row r="138">
      <c r="A138" s="71"/>
      <c r="B138" s="71"/>
      <c r="C138" s="73"/>
      <c r="D138" s="73"/>
      <c r="E138" s="75"/>
      <c r="F138" s="75"/>
      <c r="G138" s="75"/>
      <c r="H138" s="75"/>
      <c r="I138" s="29"/>
      <c r="J138" s="76"/>
      <c r="K138" s="76"/>
      <c r="L138" s="66"/>
      <c r="M138" s="66"/>
      <c r="N138" s="66"/>
      <c r="O138" s="66"/>
      <c r="P138" s="66"/>
      <c r="Q138" s="66"/>
      <c r="R138" s="66"/>
      <c r="S138" s="66"/>
      <c r="T138" s="66"/>
      <c r="U138" s="66"/>
      <c r="V138" s="66"/>
      <c r="W138" s="66"/>
      <c r="X138" s="66"/>
      <c r="Y138" s="66"/>
    </row>
    <row r="139">
      <c r="A139" s="71"/>
      <c r="B139" s="71"/>
      <c r="C139" s="73"/>
      <c r="D139" s="73"/>
      <c r="E139" s="75"/>
      <c r="F139" s="75"/>
      <c r="G139" s="75"/>
      <c r="H139" s="75"/>
      <c r="I139" s="29"/>
      <c r="J139" s="76"/>
      <c r="K139" s="76"/>
      <c r="L139" s="66"/>
      <c r="M139" s="66"/>
      <c r="N139" s="66"/>
      <c r="O139" s="66"/>
      <c r="P139" s="66"/>
      <c r="Q139" s="66"/>
      <c r="R139" s="66"/>
      <c r="S139" s="66"/>
      <c r="T139" s="66"/>
      <c r="U139" s="66"/>
      <c r="V139" s="66"/>
      <c r="W139" s="66"/>
      <c r="X139" s="66"/>
      <c r="Y139" s="66"/>
    </row>
    <row r="140">
      <c r="A140" s="71"/>
      <c r="B140" s="71"/>
      <c r="C140" s="73"/>
      <c r="D140" s="73"/>
      <c r="E140" s="75"/>
      <c r="F140" s="75"/>
      <c r="G140" s="75"/>
      <c r="H140" s="75"/>
      <c r="I140" s="29"/>
      <c r="J140" s="76"/>
      <c r="K140" s="76"/>
      <c r="L140" s="66"/>
      <c r="M140" s="66"/>
      <c r="N140" s="66"/>
      <c r="O140" s="66"/>
      <c r="P140" s="66"/>
      <c r="Q140" s="66"/>
      <c r="R140" s="66"/>
      <c r="S140" s="66"/>
      <c r="T140" s="66"/>
      <c r="U140" s="66"/>
      <c r="V140" s="66"/>
      <c r="W140" s="66"/>
      <c r="X140" s="66"/>
      <c r="Y140" s="66"/>
    </row>
    <row r="141">
      <c r="A141" s="71"/>
      <c r="B141" s="71"/>
      <c r="C141" s="73"/>
      <c r="D141" s="73"/>
      <c r="E141" s="75"/>
      <c r="F141" s="75"/>
      <c r="G141" s="75"/>
      <c r="H141" s="75"/>
      <c r="I141" s="29"/>
      <c r="J141" s="76"/>
      <c r="K141" s="76"/>
      <c r="L141" s="66"/>
      <c r="M141" s="66"/>
      <c r="N141" s="66"/>
      <c r="O141" s="66"/>
      <c r="P141" s="66"/>
      <c r="Q141" s="66"/>
      <c r="R141" s="66"/>
      <c r="S141" s="66"/>
      <c r="T141" s="66"/>
      <c r="U141" s="66"/>
      <c r="V141" s="66"/>
      <c r="W141" s="66"/>
      <c r="X141" s="66"/>
      <c r="Y141" s="66"/>
    </row>
    <row r="142">
      <c r="A142" s="71"/>
      <c r="B142" s="71"/>
      <c r="C142" s="73"/>
      <c r="D142" s="73"/>
      <c r="E142" s="75"/>
      <c r="F142" s="75"/>
      <c r="G142" s="75"/>
      <c r="H142" s="75"/>
      <c r="I142" s="29"/>
      <c r="J142" s="76"/>
      <c r="K142" s="76"/>
      <c r="L142" s="66"/>
      <c r="M142" s="66"/>
      <c r="N142" s="66"/>
      <c r="O142" s="66"/>
      <c r="P142" s="66"/>
      <c r="Q142" s="66"/>
      <c r="R142" s="66"/>
      <c r="S142" s="66"/>
      <c r="T142" s="66"/>
      <c r="U142" s="66"/>
      <c r="V142" s="66"/>
      <c r="W142" s="66"/>
      <c r="X142" s="66"/>
      <c r="Y142" s="66"/>
    </row>
    <row r="143">
      <c r="A143" s="71"/>
      <c r="B143" s="71"/>
      <c r="C143" s="73"/>
      <c r="D143" s="73"/>
      <c r="E143" s="75"/>
      <c r="F143" s="75"/>
      <c r="G143" s="75"/>
      <c r="H143" s="75"/>
      <c r="I143" s="29"/>
      <c r="J143" s="76"/>
      <c r="K143" s="76"/>
      <c r="L143" s="66"/>
      <c r="M143" s="66"/>
      <c r="N143" s="66"/>
      <c r="O143" s="66"/>
      <c r="P143" s="66"/>
      <c r="Q143" s="66"/>
      <c r="R143" s="66"/>
      <c r="S143" s="66"/>
      <c r="T143" s="66"/>
      <c r="U143" s="66"/>
      <c r="V143" s="66"/>
      <c r="W143" s="66"/>
      <c r="X143" s="66"/>
      <c r="Y143" s="66"/>
    </row>
    <row r="144">
      <c r="A144" s="71"/>
      <c r="B144" s="71"/>
      <c r="C144" s="73"/>
      <c r="D144" s="73"/>
      <c r="E144" s="75"/>
      <c r="F144" s="75"/>
      <c r="G144" s="75"/>
      <c r="H144" s="75"/>
      <c r="I144" s="29"/>
      <c r="J144" s="76"/>
      <c r="K144" s="76"/>
      <c r="L144" s="66"/>
      <c r="M144" s="66"/>
      <c r="N144" s="66"/>
      <c r="O144" s="66"/>
      <c r="P144" s="66"/>
      <c r="Q144" s="66"/>
      <c r="R144" s="66"/>
      <c r="S144" s="66"/>
      <c r="T144" s="66"/>
      <c r="U144" s="66"/>
      <c r="V144" s="66"/>
      <c r="W144" s="66"/>
      <c r="X144" s="66"/>
      <c r="Y144" s="66"/>
    </row>
    <row r="145">
      <c r="A145" s="71"/>
      <c r="B145" s="71"/>
      <c r="C145" s="73"/>
      <c r="D145" s="73"/>
      <c r="E145" s="75"/>
      <c r="F145" s="75"/>
      <c r="G145" s="75"/>
      <c r="H145" s="75"/>
      <c r="I145" s="29"/>
      <c r="J145" s="76"/>
      <c r="K145" s="76"/>
      <c r="L145" s="66"/>
      <c r="M145" s="66"/>
      <c r="N145" s="66"/>
      <c r="O145" s="66"/>
      <c r="P145" s="66"/>
      <c r="Q145" s="66"/>
      <c r="R145" s="66"/>
      <c r="S145" s="66"/>
      <c r="T145" s="66"/>
      <c r="U145" s="66"/>
      <c r="V145" s="66"/>
      <c r="W145" s="66"/>
      <c r="X145" s="66"/>
      <c r="Y145" s="66"/>
    </row>
    <row r="146">
      <c r="A146" s="71"/>
      <c r="B146" s="71"/>
      <c r="C146" s="73"/>
      <c r="D146" s="73"/>
      <c r="E146" s="75"/>
      <c r="F146" s="75"/>
      <c r="G146" s="75"/>
      <c r="H146" s="75"/>
      <c r="I146" s="29"/>
      <c r="J146" s="76"/>
      <c r="K146" s="76"/>
      <c r="L146" s="66"/>
      <c r="M146" s="66"/>
      <c r="N146" s="66"/>
      <c r="O146" s="66"/>
      <c r="P146" s="66"/>
      <c r="Q146" s="66"/>
      <c r="R146" s="66"/>
      <c r="S146" s="66"/>
      <c r="T146" s="66"/>
      <c r="U146" s="66"/>
      <c r="V146" s="66"/>
      <c r="W146" s="66"/>
      <c r="X146" s="66"/>
      <c r="Y146" s="66"/>
    </row>
    <row r="147">
      <c r="A147" s="71"/>
      <c r="B147" s="71"/>
      <c r="C147" s="73"/>
      <c r="D147" s="73"/>
      <c r="E147" s="75"/>
      <c r="F147" s="75"/>
      <c r="G147" s="75"/>
      <c r="H147" s="75"/>
      <c r="I147" s="29"/>
      <c r="J147" s="76"/>
      <c r="K147" s="76"/>
      <c r="L147" s="66"/>
      <c r="M147" s="66"/>
      <c r="N147" s="66"/>
      <c r="O147" s="66"/>
      <c r="P147" s="66"/>
      <c r="Q147" s="66"/>
      <c r="R147" s="66"/>
      <c r="S147" s="66"/>
      <c r="T147" s="66"/>
      <c r="U147" s="66"/>
      <c r="V147" s="66"/>
      <c r="W147" s="66"/>
      <c r="X147" s="66"/>
      <c r="Y147" s="66"/>
    </row>
    <row r="148">
      <c r="A148" s="71"/>
      <c r="B148" s="71"/>
      <c r="C148" s="73"/>
      <c r="D148" s="73"/>
      <c r="E148" s="75"/>
      <c r="F148" s="75"/>
      <c r="G148" s="75"/>
      <c r="H148" s="75"/>
      <c r="I148" s="29"/>
      <c r="J148" s="76"/>
      <c r="K148" s="76"/>
      <c r="L148" s="66"/>
      <c r="M148" s="66"/>
      <c r="N148" s="66"/>
      <c r="O148" s="66"/>
      <c r="P148" s="66"/>
      <c r="Q148" s="66"/>
      <c r="R148" s="66"/>
      <c r="S148" s="66"/>
      <c r="T148" s="66"/>
      <c r="U148" s="66"/>
      <c r="V148" s="66"/>
      <c r="W148" s="66"/>
      <c r="X148" s="66"/>
      <c r="Y148" s="66"/>
    </row>
    <row r="149">
      <c r="A149" s="71"/>
      <c r="B149" s="71"/>
      <c r="C149" s="73"/>
      <c r="D149" s="73"/>
      <c r="E149" s="75"/>
      <c r="F149" s="75"/>
      <c r="G149" s="75"/>
      <c r="H149" s="75"/>
      <c r="I149" s="29"/>
      <c r="J149" s="76"/>
      <c r="K149" s="76"/>
      <c r="L149" s="66"/>
      <c r="M149" s="66"/>
      <c r="N149" s="66"/>
      <c r="O149" s="66"/>
      <c r="P149" s="66"/>
      <c r="Q149" s="66"/>
      <c r="R149" s="66"/>
      <c r="S149" s="66"/>
      <c r="T149" s="66"/>
      <c r="U149" s="66"/>
      <c r="V149" s="66"/>
      <c r="W149" s="66"/>
      <c r="X149" s="66"/>
      <c r="Y149" s="66"/>
    </row>
    <row r="150">
      <c r="A150" s="71"/>
      <c r="B150" s="71"/>
      <c r="C150" s="73"/>
      <c r="D150" s="73"/>
      <c r="E150" s="75"/>
      <c r="F150" s="75"/>
      <c r="G150" s="75"/>
      <c r="H150" s="75"/>
      <c r="I150" s="29"/>
      <c r="J150" s="76"/>
      <c r="K150" s="76"/>
      <c r="L150" s="66"/>
      <c r="M150" s="66"/>
      <c r="N150" s="66"/>
      <c r="O150" s="66"/>
      <c r="P150" s="66"/>
      <c r="Q150" s="66"/>
      <c r="R150" s="66"/>
      <c r="S150" s="66"/>
      <c r="T150" s="66"/>
      <c r="U150" s="66"/>
      <c r="V150" s="66"/>
      <c r="W150" s="66"/>
      <c r="X150" s="66"/>
      <c r="Y150" s="66"/>
    </row>
    <row r="151">
      <c r="A151" s="71"/>
      <c r="B151" s="71"/>
      <c r="C151" s="73"/>
      <c r="D151" s="73"/>
      <c r="E151" s="75"/>
      <c r="F151" s="75"/>
      <c r="G151" s="75"/>
      <c r="H151" s="75"/>
      <c r="I151" s="29"/>
      <c r="J151" s="76"/>
      <c r="K151" s="76"/>
      <c r="L151" s="66"/>
      <c r="M151" s="66"/>
      <c r="N151" s="66"/>
      <c r="O151" s="66"/>
      <c r="P151" s="66"/>
      <c r="Q151" s="66"/>
      <c r="R151" s="66"/>
      <c r="S151" s="66"/>
      <c r="T151" s="66"/>
      <c r="U151" s="66"/>
      <c r="V151" s="66"/>
      <c r="W151" s="66"/>
      <c r="X151" s="66"/>
      <c r="Y151" s="66"/>
    </row>
    <row r="152">
      <c r="A152" s="71"/>
      <c r="B152" s="71"/>
      <c r="C152" s="73"/>
      <c r="D152" s="73"/>
      <c r="E152" s="75"/>
      <c r="F152" s="75"/>
      <c r="G152" s="75"/>
      <c r="H152" s="75"/>
      <c r="I152" s="29"/>
      <c r="J152" s="76"/>
      <c r="K152" s="76"/>
      <c r="L152" s="66"/>
      <c r="M152" s="66"/>
      <c r="N152" s="66"/>
      <c r="O152" s="66"/>
      <c r="P152" s="66"/>
      <c r="Q152" s="66"/>
      <c r="R152" s="66"/>
      <c r="S152" s="66"/>
      <c r="T152" s="66"/>
      <c r="U152" s="66"/>
      <c r="V152" s="66"/>
      <c r="W152" s="66"/>
      <c r="X152" s="66"/>
      <c r="Y152" s="66"/>
    </row>
    <row r="153">
      <c r="A153" s="71"/>
      <c r="B153" s="71"/>
      <c r="C153" s="73"/>
      <c r="D153" s="73"/>
      <c r="E153" s="75"/>
      <c r="F153" s="75"/>
      <c r="G153" s="75"/>
      <c r="H153" s="75"/>
      <c r="I153" s="29"/>
      <c r="J153" s="76"/>
      <c r="K153" s="76"/>
      <c r="L153" s="66"/>
      <c r="M153" s="66"/>
      <c r="N153" s="66"/>
      <c r="O153" s="66"/>
      <c r="P153" s="66"/>
      <c r="Q153" s="66"/>
      <c r="R153" s="66"/>
      <c r="S153" s="66"/>
      <c r="T153" s="66"/>
      <c r="U153" s="66"/>
      <c r="V153" s="66"/>
      <c r="W153" s="66"/>
      <c r="X153" s="66"/>
      <c r="Y153" s="66"/>
    </row>
    <row r="154">
      <c r="A154" s="71"/>
      <c r="B154" s="71"/>
      <c r="C154" s="73"/>
      <c r="D154" s="73"/>
      <c r="E154" s="75"/>
      <c r="F154" s="75"/>
      <c r="G154" s="75"/>
      <c r="H154" s="75"/>
      <c r="I154" s="29"/>
      <c r="J154" s="76"/>
      <c r="K154" s="76"/>
      <c r="L154" s="66"/>
      <c r="M154" s="66"/>
      <c r="N154" s="66"/>
      <c r="O154" s="66"/>
      <c r="P154" s="66"/>
      <c r="Q154" s="66"/>
      <c r="R154" s="66"/>
      <c r="S154" s="66"/>
      <c r="T154" s="66"/>
      <c r="U154" s="66"/>
      <c r="V154" s="66"/>
      <c r="W154" s="66"/>
      <c r="X154" s="66"/>
      <c r="Y154" s="66"/>
    </row>
    <row r="155">
      <c r="A155" s="71"/>
      <c r="B155" s="71"/>
      <c r="C155" s="73"/>
      <c r="D155" s="73"/>
      <c r="E155" s="75"/>
      <c r="F155" s="75"/>
      <c r="G155" s="75"/>
      <c r="H155" s="75"/>
      <c r="I155" s="29"/>
      <c r="J155" s="76"/>
      <c r="K155" s="76"/>
      <c r="L155" s="66"/>
      <c r="M155" s="66"/>
      <c r="N155" s="66"/>
      <c r="O155" s="66"/>
      <c r="P155" s="66"/>
      <c r="Q155" s="66"/>
      <c r="R155" s="66"/>
      <c r="S155" s="66"/>
      <c r="T155" s="66"/>
      <c r="U155" s="66"/>
      <c r="V155" s="66"/>
      <c r="W155" s="66"/>
      <c r="X155" s="66"/>
      <c r="Y155" s="66"/>
    </row>
    <row r="156">
      <c r="A156" s="71"/>
      <c r="B156" s="71"/>
      <c r="C156" s="73"/>
      <c r="D156" s="73"/>
      <c r="E156" s="75"/>
      <c r="F156" s="75"/>
      <c r="G156" s="75"/>
      <c r="H156" s="75"/>
      <c r="I156" s="29"/>
      <c r="J156" s="76"/>
      <c r="K156" s="76"/>
      <c r="L156" s="66"/>
      <c r="M156" s="66"/>
      <c r="N156" s="66"/>
      <c r="O156" s="66"/>
      <c r="P156" s="66"/>
      <c r="Q156" s="66"/>
      <c r="R156" s="66"/>
      <c r="S156" s="66"/>
      <c r="T156" s="66"/>
      <c r="U156" s="66"/>
      <c r="V156" s="66"/>
      <c r="W156" s="66"/>
      <c r="X156" s="66"/>
      <c r="Y156" s="66"/>
    </row>
    <row r="157">
      <c r="A157" s="71"/>
      <c r="B157" s="71"/>
      <c r="C157" s="73"/>
      <c r="D157" s="73"/>
      <c r="E157" s="75"/>
      <c r="F157" s="75"/>
      <c r="G157" s="75"/>
      <c r="H157" s="75"/>
      <c r="I157" s="29"/>
      <c r="J157" s="76"/>
      <c r="K157" s="76"/>
      <c r="L157" s="66"/>
      <c r="M157" s="66"/>
      <c r="N157" s="66"/>
      <c r="O157" s="66"/>
      <c r="P157" s="66"/>
      <c r="Q157" s="66"/>
      <c r="R157" s="66"/>
      <c r="S157" s="66"/>
      <c r="T157" s="66"/>
      <c r="U157" s="66"/>
      <c r="V157" s="66"/>
      <c r="W157" s="66"/>
      <c r="X157" s="66"/>
      <c r="Y157" s="66"/>
    </row>
    <row r="158">
      <c r="A158" s="71"/>
      <c r="B158" s="71"/>
      <c r="C158" s="73"/>
      <c r="D158" s="73"/>
      <c r="E158" s="75"/>
      <c r="F158" s="75"/>
      <c r="G158" s="75"/>
      <c r="H158" s="75"/>
      <c r="I158" s="29"/>
      <c r="J158" s="76"/>
      <c r="K158" s="76"/>
      <c r="L158" s="66"/>
      <c r="M158" s="66"/>
      <c r="N158" s="66"/>
      <c r="O158" s="66"/>
      <c r="P158" s="66"/>
      <c r="Q158" s="66"/>
      <c r="R158" s="66"/>
      <c r="S158" s="66"/>
      <c r="T158" s="66"/>
      <c r="U158" s="66"/>
      <c r="V158" s="66"/>
      <c r="W158" s="66"/>
      <c r="X158" s="66"/>
      <c r="Y158" s="66"/>
    </row>
    <row r="159">
      <c r="A159" s="71"/>
      <c r="B159" s="71"/>
      <c r="C159" s="73"/>
      <c r="D159" s="73"/>
      <c r="E159" s="75"/>
      <c r="F159" s="75"/>
      <c r="G159" s="75"/>
      <c r="H159" s="75"/>
      <c r="I159" s="29"/>
      <c r="J159" s="76"/>
      <c r="K159" s="76"/>
      <c r="L159" s="66"/>
      <c r="M159" s="66"/>
      <c r="N159" s="66"/>
      <c r="O159" s="66"/>
      <c r="P159" s="66"/>
      <c r="Q159" s="66"/>
      <c r="R159" s="66"/>
      <c r="S159" s="66"/>
      <c r="T159" s="66"/>
      <c r="U159" s="66"/>
      <c r="V159" s="66"/>
      <c r="W159" s="66"/>
      <c r="X159" s="66"/>
      <c r="Y159" s="66"/>
    </row>
    <row r="160">
      <c r="A160" s="71"/>
      <c r="B160" s="71"/>
      <c r="C160" s="73"/>
      <c r="D160" s="73"/>
      <c r="E160" s="75"/>
      <c r="F160" s="75"/>
      <c r="G160" s="75"/>
      <c r="H160" s="75"/>
      <c r="I160" s="29"/>
      <c r="J160" s="76"/>
      <c r="K160" s="76"/>
      <c r="L160" s="66"/>
      <c r="M160" s="66"/>
      <c r="N160" s="66"/>
      <c r="O160" s="66"/>
      <c r="P160" s="66"/>
      <c r="Q160" s="66"/>
      <c r="R160" s="66"/>
      <c r="S160" s="66"/>
      <c r="T160" s="66"/>
      <c r="U160" s="66"/>
      <c r="V160" s="66"/>
      <c r="W160" s="66"/>
      <c r="X160" s="66"/>
      <c r="Y160" s="66"/>
    </row>
    <row r="161">
      <c r="A161" s="71"/>
      <c r="B161" s="71"/>
      <c r="C161" s="73"/>
      <c r="D161" s="73"/>
      <c r="E161" s="75"/>
      <c r="F161" s="75"/>
      <c r="G161" s="75"/>
      <c r="H161" s="75"/>
      <c r="I161" s="29"/>
      <c r="J161" s="76"/>
      <c r="K161" s="76"/>
      <c r="L161" s="66"/>
      <c r="M161" s="66"/>
      <c r="N161" s="66"/>
      <c r="O161" s="66"/>
      <c r="P161" s="66"/>
      <c r="Q161" s="66"/>
      <c r="R161" s="66"/>
      <c r="S161" s="66"/>
      <c r="T161" s="66"/>
      <c r="U161" s="66"/>
      <c r="V161" s="66"/>
      <c r="W161" s="66"/>
      <c r="X161" s="66"/>
      <c r="Y161" s="66"/>
    </row>
    <row r="162">
      <c r="A162" s="71"/>
      <c r="B162" s="71"/>
      <c r="C162" s="73"/>
      <c r="D162" s="73"/>
      <c r="E162" s="75"/>
      <c r="F162" s="75"/>
      <c r="G162" s="75"/>
      <c r="H162" s="75"/>
      <c r="I162" s="29"/>
      <c r="J162" s="76"/>
      <c r="K162" s="76"/>
      <c r="L162" s="66"/>
      <c r="M162" s="66"/>
      <c r="N162" s="66"/>
      <c r="O162" s="66"/>
      <c r="P162" s="66"/>
      <c r="Q162" s="66"/>
      <c r="R162" s="66"/>
      <c r="S162" s="66"/>
      <c r="T162" s="66"/>
      <c r="U162" s="66"/>
      <c r="V162" s="66"/>
      <c r="W162" s="66"/>
      <c r="X162" s="66"/>
      <c r="Y162" s="66"/>
    </row>
    <row r="163">
      <c r="A163" s="71"/>
      <c r="B163" s="71"/>
      <c r="C163" s="73"/>
      <c r="D163" s="73"/>
      <c r="E163" s="75"/>
      <c r="F163" s="75"/>
      <c r="G163" s="75"/>
      <c r="H163" s="75"/>
      <c r="I163" s="29"/>
      <c r="J163" s="76"/>
      <c r="K163" s="76"/>
      <c r="L163" s="66"/>
      <c r="M163" s="66"/>
      <c r="N163" s="66"/>
      <c r="O163" s="66"/>
      <c r="P163" s="66"/>
      <c r="Q163" s="66"/>
      <c r="R163" s="66"/>
      <c r="S163" s="66"/>
      <c r="T163" s="66"/>
      <c r="U163" s="66"/>
      <c r="V163" s="66"/>
      <c r="W163" s="66"/>
      <c r="X163" s="66"/>
      <c r="Y163" s="66"/>
    </row>
    <row r="164">
      <c r="A164" s="71"/>
      <c r="B164" s="71"/>
      <c r="C164" s="73"/>
      <c r="D164" s="73"/>
      <c r="E164" s="75"/>
      <c r="F164" s="75"/>
      <c r="G164" s="75"/>
      <c r="H164" s="75"/>
      <c r="I164" s="29"/>
      <c r="J164" s="76"/>
      <c r="K164" s="76"/>
      <c r="L164" s="66"/>
      <c r="M164" s="66"/>
      <c r="N164" s="66"/>
      <c r="O164" s="66"/>
      <c r="P164" s="66"/>
      <c r="Q164" s="66"/>
      <c r="R164" s="66"/>
      <c r="S164" s="66"/>
      <c r="T164" s="66"/>
      <c r="U164" s="66"/>
      <c r="V164" s="66"/>
      <c r="W164" s="66"/>
      <c r="X164" s="66"/>
      <c r="Y164" s="66"/>
    </row>
    <row r="165">
      <c r="A165" s="71"/>
      <c r="B165" s="71"/>
      <c r="C165" s="73"/>
      <c r="D165" s="73"/>
      <c r="E165" s="75"/>
      <c r="F165" s="75"/>
      <c r="G165" s="75"/>
      <c r="H165" s="75"/>
      <c r="I165" s="29"/>
      <c r="J165" s="76"/>
      <c r="K165" s="76"/>
      <c r="L165" s="66"/>
      <c r="M165" s="66"/>
      <c r="N165" s="66"/>
      <c r="O165" s="66"/>
      <c r="P165" s="66"/>
      <c r="Q165" s="66"/>
      <c r="R165" s="66"/>
      <c r="S165" s="66"/>
      <c r="T165" s="66"/>
      <c r="U165" s="66"/>
      <c r="V165" s="66"/>
      <c r="W165" s="66"/>
      <c r="X165" s="66"/>
      <c r="Y165" s="66"/>
    </row>
    <row r="166">
      <c r="A166" s="71"/>
      <c r="B166" s="71"/>
      <c r="C166" s="73"/>
      <c r="D166" s="73"/>
      <c r="E166" s="75"/>
      <c r="F166" s="75"/>
      <c r="G166" s="75"/>
      <c r="H166" s="75"/>
      <c r="I166" s="29"/>
      <c r="J166" s="76"/>
      <c r="K166" s="76"/>
      <c r="L166" s="66"/>
      <c r="M166" s="66"/>
      <c r="N166" s="66"/>
      <c r="O166" s="66"/>
      <c r="P166" s="66"/>
      <c r="Q166" s="66"/>
      <c r="R166" s="66"/>
      <c r="S166" s="66"/>
      <c r="T166" s="66"/>
      <c r="U166" s="66"/>
      <c r="V166" s="66"/>
      <c r="W166" s="66"/>
      <c r="X166" s="66"/>
      <c r="Y166" s="66"/>
    </row>
    <row r="167">
      <c r="A167" s="71"/>
      <c r="B167" s="71"/>
      <c r="C167" s="73"/>
      <c r="D167" s="73"/>
      <c r="E167" s="75"/>
      <c r="F167" s="75"/>
      <c r="G167" s="75"/>
      <c r="H167" s="75"/>
      <c r="I167" s="29"/>
      <c r="J167" s="76"/>
      <c r="K167" s="76"/>
      <c r="L167" s="66"/>
      <c r="M167" s="66"/>
      <c r="N167" s="66"/>
      <c r="O167" s="66"/>
      <c r="P167" s="66"/>
      <c r="Q167" s="66"/>
      <c r="R167" s="66"/>
      <c r="S167" s="66"/>
      <c r="T167" s="66"/>
      <c r="U167" s="66"/>
      <c r="V167" s="66"/>
      <c r="W167" s="66"/>
      <c r="X167" s="66"/>
      <c r="Y167" s="66"/>
    </row>
    <row r="168">
      <c r="A168" s="71"/>
      <c r="B168" s="71"/>
      <c r="C168" s="73"/>
      <c r="D168" s="73"/>
      <c r="E168" s="75"/>
      <c r="F168" s="75"/>
      <c r="G168" s="75"/>
      <c r="H168" s="75"/>
      <c r="I168" s="29"/>
      <c r="J168" s="76"/>
      <c r="K168" s="76"/>
      <c r="L168" s="66"/>
      <c r="M168" s="66"/>
      <c r="N168" s="66"/>
      <c r="O168" s="66"/>
      <c r="P168" s="66"/>
      <c r="Q168" s="66"/>
      <c r="R168" s="66"/>
      <c r="S168" s="66"/>
      <c r="T168" s="66"/>
      <c r="U168" s="66"/>
      <c r="V168" s="66"/>
      <c r="W168" s="66"/>
      <c r="X168" s="66"/>
      <c r="Y168" s="66"/>
    </row>
    <row r="169">
      <c r="A169" s="71"/>
      <c r="B169" s="71"/>
      <c r="C169" s="73"/>
      <c r="D169" s="73"/>
      <c r="E169" s="75"/>
      <c r="F169" s="75"/>
      <c r="G169" s="75"/>
      <c r="H169" s="75"/>
      <c r="I169" s="29"/>
      <c r="J169" s="76"/>
      <c r="K169" s="76"/>
      <c r="L169" s="66"/>
      <c r="M169" s="66"/>
      <c r="N169" s="66"/>
      <c r="O169" s="66"/>
      <c r="P169" s="66"/>
      <c r="Q169" s="66"/>
      <c r="R169" s="66"/>
      <c r="S169" s="66"/>
      <c r="T169" s="66"/>
      <c r="U169" s="66"/>
      <c r="V169" s="66"/>
      <c r="W169" s="66"/>
      <c r="X169" s="66"/>
      <c r="Y169" s="66"/>
    </row>
    <row r="170">
      <c r="A170" s="71"/>
      <c r="B170" s="71"/>
      <c r="C170" s="73"/>
      <c r="D170" s="73"/>
      <c r="E170" s="75"/>
      <c r="F170" s="75"/>
      <c r="G170" s="75"/>
      <c r="H170" s="75"/>
      <c r="I170" s="29"/>
      <c r="J170" s="76"/>
      <c r="K170" s="76"/>
      <c r="L170" s="66"/>
      <c r="M170" s="66"/>
      <c r="N170" s="66"/>
      <c r="O170" s="66"/>
      <c r="P170" s="66"/>
      <c r="Q170" s="66"/>
      <c r="R170" s="66"/>
      <c r="S170" s="66"/>
      <c r="T170" s="66"/>
      <c r="U170" s="66"/>
      <c r="V170" s="66"/>
      <c r="W170" s="66"/>
      <c r="X170" s="66"/>
      <c r="Y170" s="66"/>
    </row>
    <row r="171">
      <c r="A171" s="71"/>
      <c r="B171" s="71"/>
      <c r="C171" s="73"/>
      <c r="D171" s="73"/>
      <c r="E171" s="75"/>
      <c r="F171" s="75"/>
      <c r="G171" s="75"/>
      <c r="H171" s="75"/>
      <c r="I171" s="29"/>
      <c r="J171" s="76"/>
      <c r="K171" s="76"/>
      <c r="L171" s="66"/>
      <c r="M171" s="66"/>
      <c r="N171" s="66"/>
      <c r="O171" s="66"/>
      <c r="P171" s="66"/>
      <c r="Q171" s="66"/>
      <c r="R171" s="66"/>
      <c r="S171" s="66"/>
      <c r="T171" s="66"/>
      <c r="U171" s="66"/>
      <c r="V171" s="66"/>
      <c r="W171" s="66"/>
      <c r="X171" s="66"/>
      <c r="Y171" s="66"/>
    </row>
    <row r="172">
      <c r="A172" s="71"/>
      <c r="B172" s="71"/>
      <c r="C172" s="73"/>
      <c r="D172" s="73"/>
      <c r="E172" s="75"/>
      <c r="F172" s="75"/>
      <c r="G172" s="75"/>
      <c r="H172" s="75"/>
      <c r="I172" s="29"/>
      <c r="J172" s="76"/>
      <c r="K172" s="76"/>
      <c r="L172" s="66"/>
      <c r="M172" s="66"/>
      <c r="N172" s="66"/>
      <c r="O172" s="66"/>
      <c r="P172" s="66"/>
      <c r="Q172" s="66"/>
      <c r="R172" s="66"/>
      <c r="S172" s="66"/>
      <c r="T172" s="66"/>
      <c r="U172" s="66"/>
      <c r="V172" s="66"/>
      <c r="W172" s="66"/>
      <c r="X172" s="66"/>
      <c r="Y172" s="66"/>
    </row>
    <row r="173">
      <c r="A173" s="71"/>
      <c r="B173" s="71"/>
      <c r="C173" s="73"/>
      <c r="D173" s="73"/>
      <c r="E173" s="75"/>
      <c r="F173" s="75"/>
      <c r="G173" s="75"/>
      <c r="H173" s="75"/>
      <c r="I173" s="29"/>
      <c r="J173" s="76"/>
      <c r="K173" s="76"/>
      <c r="L173" s="66"/>
      <c r="M173" s="66"/>
      <c r="N173" s="66"/>
      <c r="O173" s="66"/>
      <c r="P173" s="66"/>
      <c r="Q173" s="66"/>
      <c r="R173" s="66"/>
      <c r="S173" s="66"/>
      <c r="T173" s="66"/>
      <c r="U173" s="66"/>
      <c r="V173" s="66"/>
      <c r="W173" s="66"/>
      <c r="X173" s="66"/>
      <c r="Y173" s="66"/>
    </row>
    <row r="174">
      <c r="A174" s="71"/>
      <c r="B174" s="71"/>
      <c r="C174" s="73"/>
      <c r="D174" s="73"/>
      <c r="E174" s="75"/>
      <c r="F174" s="75"/>
      <c r="G174" s="75"/>
      <c r="H174" s="75"/>
      <c r="I174" s="29"/>
      <c r="J174" s="76"/>
      <c r="K174" s="76"/>
      <c r="L174" s="66"/>
      <c r="M174" s="66"/>
      <c r="N174" s="66"/>
      <c r="O174" s="66"/>
      <c r="P174" s="66"/>
      <c r="Q174" s="66"/>
      <c r="R174" s="66"/>
      <c r="S174" s="66"/>
      <c r="T174" s="66"/>
      <c r="U174" s="66"/>
      <c r="V174" s="66"/>
      <c r="W174" s="66"/>
      <c r="X174" s="66"/>
      <c r="Y174" s="66"/>
    </row>
    <row r="175">
      <c r="A175" s="71"/>
      <c r="B175" s="71"/>
      <c r="C175" s="73"/>
      <c r="D175" s="73"/>
      <c r="E175" s="75"/>
      <c r="F175" s="75"/>
      <c r="G175" s="75"/>
      <c r="H175" s="75"/>
      <c r="I175" s="29"/>
      <c r="J175" s="76"/>
      <c r="K175" s="76"/>
      <c r="L175" s="66"/>
      <c r="M175" s="66"/>
      <c r="N175" s="66"/>
      <c r="O175" s="66"/>
      <c r="P175" s="66"/>
      <c r="Q175" s="66"/>
      <c r="R175" s="66"/>
      <c r="S175" s="66"/>
      <c r="T175" s="66"/>
      <c r="U175" s="66"/>
      <c r="V175" s="66"/>
      <c r="W175" s="66"/>
      <c r="X175" s="66"/>
      <c r="Y175" s="66"/>
    </row>
    <row r="176">
      <c r="A176" s="71"/>
      <c r="B176" s="71"/>
      <c r="C176" s="73"/>
      <c r="D176" s="73"/>
      <c r="E176" s="75"/>
      <c r="F176" s="75"/>
      <c r="G176" s="75"/>
      <c r="H176" s="75"/>
      <c r="I176" s="29"/>
      <c r="J176" s="76"/>
      <c r="K176" s="76"/>
      <c r="L176" s="66"/>
      <c r="M176" s="66"/>
      <c r="N176" s="66"/>
      <c r="O176" s="66"/>
      <c r="P176" s="66"/>
      <c r="Q176" s="66"/>
      <c r="R176" s="66"/>
      <c r="S176" s="66"/>
      <c r="T176" s="66"/>
      <c r="U176" s="66"/>
      <c r="V176" s="66"/>
      <c r="W176" s="66"/>
      <c r="X176" s="66"/>
      <c r="Y176" s="66"/>
    </row>
    <row r="177">
      <c r="A177" s="71"/>
      <c r="B177" s="71"/>
      <c r="C177" s="73"/>
      <c r="D177" s="73"/>
      <c r="E177" s="75"/>
      <c r="F177" s="75"/>
      <c r="G177" s="75"/>
      <c r="H177" s="75"/>
      <c r="I177" s="29"/>
      <c r="J177" s="76"/>
      <c r="K177" s="76"/>
      <c r="L177" s="66"/>
      <c r="M177" s="66"/>
      <c r="N177" s="66"/>
      <c r="O177" s="66"/>
      <c r="P177" s="66"/>
      <c r="Q177" s="66"/>
      <c r="R177" s="66"/>
      <c r="S177" s="66"/>
      <c r="T177" s="66"/>
      <c r="U177" s="66"/>
      <c r="V177" s="66"/>
      <c r="W177" s="66"/>
      <c r="X177" s="66"/>
      <c r="Y177" s="66"/>
    </row>
    <row r="178">
      <c r="A178" s="71"/>
      <c r="B178" s="71"/>
      <c r="C178" s="73"/>
      <c r="D178" s="73"/>
      <c r="E178" s="75"/>
      <c r="F178" s="75"/>
      <c r="G178" s="75"/>
      <c r="H178" s="75"/>
      <c r="I178" s="29"/>
      <c r="J178" s="76"/>
      <c r="K178" s="76"/>
      <c r="L178" s="66"/>
      <c r="M178" s="66"/>
      <c r="N178" s="66"/>
      <c r="O178" s="66"/>
      <c r="P178" s="66"/>
      <c r="Q178" s="66"/>
      <c r="R178" s="66"/>
      <c r="S178" s="66"/>
      <c r="T178" s="66"/>
      <c r="U178" s="66"/>
      <c r="V178" s="66"/>
      <c r="W178" s="66"/>
      <c r="X178" s="66"/>
      <c r="Y178" s="66"/>
    </row>
    <row r="179">
      <c r="A179" s="71"/>
      <c r="B179" s="71"/>
      <c r="C179" s="73"/>
      <c r="D179" s="73"/>
      <c r="E179" s="75"/>
      <c r="F179" s="75"/>
      <c r="G179" s="75"/>
      <c r="H179" s="75"/>
      <c r="I179" s="29"/>
      <c r="J179" s="76"/>
      <c r="K179" s="76"/>
      <c r="L179" s="66"/>
      <c r="M179" s="66"/>
      <c r="N179" s="66"/>
      <c r="O179" s="66"/>
      <c r="P179" s="66"/>
      <c r="Q179" s="66"/>
      <c r="R179" s="66"/>
      <c r="S179" s="66"/>
      <c r="T179" s="66"/>
      <c r="U179" s="66"/>
      <c r="V179" s="66"/>
      <c r="W179" s="66"/>
      <c r="X179" s="66"/>
      <c r="Y179" s="66"/>
    </row>
    <row r="180">
      <c r="A180" s="71"/>
      <c r="B180" s="71"/>
      <c r="C180" s="73"/>
      <c r="D180" s="73"/>
      <c r="E180" s="75"/>
      <c r="F180" s="75"/>
      <c r="G180" s="75"/>
      <c r="H180" s="75"/>
      <c r="I180" s="29"/>
      <c r="J180" s="76"/>
      <c r="K180" s="76"/>
      <c r="L180" s="66"/>
      <c r="M180" s="66"/>
      <c r="N180" s="66"/>
      <c r="O180" s="66"/>
      <c r="P180" s="66"/>
      <c r="Q180" s="66"/>
      <c r="R180" s="66"/>
      <c r="S180" s="66"/>
      <c r="T180" s="66"/>
      <c r="U180" s="66"/>
      <c r="V180" s="66"/>
      <c r="W180" s="66"/>
      <c r="X180" s="66"/>
      <c r="Y180" s="66"/>
    </row>
    <row r="181">
      <c r="A181" s="71"/>
      <c r="B181" s="71"/>
      <c r="C181" s="73"/>
      <c r="D181" s="73"/>
      <c r="E181" s="75"/>
      <c r="F181" s="75"/>
      <c r="G181" s="75"/>
      <c r="H181" s="75"/>
      <c r="I181" s="29"/>
      <c r="J181" s="76"/>
      <c r="K181" s="76"/>
      <c r="L181" s="66"/>
      <c r="M181" s="66"/>
      <c r="N181" s="66"/>
      <c r="O181" s="66"/>
      <c r="P181" s="66"/>
      <c r="Q181" s="66"/>
      <c r="R181" s="66"/>
      <c r="S181" s="66"/>
      <c r="T181" s="66"/>
      <c r="U181" s="66"/>
      <c r="V181" s="66"/>
      <c r="W181" s="66"/>
      <c r="X181" s="66"/>
      <c r="Y181" s="66"/>
    </row>
    <row r="182">
      <c r="A182" s="71"/>
      <c r="B182" s="71"/>
      <c r="C182" s="73"/>
      <c r="D182" s="73"/>
      <c r="E182" s="75"/>
      <c r="F182" s="75"/>
      <c r="G182" s="75"/>
      <c r="H182" s="75"/>
      <c r="I182" s="29"/>
      <c r="J182" s="76"/>
      <c r="K182" s="76"/>
      <c r="L182" s="66"/>
      <c r="M182" s="66"/>
      <c r="N182" s="66"/>
      <c r="O182" s="66"/>
      <c r="P182" s="66"/>
      <c r="Q182" s="66"/>
      <c r="R182" s="66"/>
      <c r="S182" s="66"/>
      <c r="T182" s="66"/>
      <c r="U182" s="66"/>
      <c r="V182" s="66"/>
      <c r="W182" s="66"/>
      <c r="X182" s="66"/>
      <c r="Y182" s="66"/>
    </row>
    <row r="183">
      <c r="A183" s="71"/>
      <c r="B183" s="71"/>
      <c r="C183" s="73"/>
      <c r="D183" s="73"/>
      <c r="E183" s="75"/>
      <c r="F183" s="75"/>
      <c r="G183" s="75"/>
      <c r="H183" s="75"/>
      <c r="I183" s="29"/>
      <c r="J183" s="76"/>
      <c r="K183" s="76"/>
      <c r="L183" s="66"/>
      <c r="M183" s="66"/>
      <c r="N183" s="66"/>
      <c r="O183" s="66"/>
      <c r="P183" s="66"/>
      <c r="Q183" s="66"/>
      <c r="R183" s="66"/>
      <c r="S183" s="66"/>
      <c r="T183" s="66"/>
      <c r="U183" s="66"/>
      <c r="V183" s="66"/>
      <c r="W183" s="66"/>
      <c r="X183" s="66"/>
      <c r="Y183" s="66"/>
    </row>
    <row r="184">
      <c r="A184" s="71"/>
      <c r="B184" s="71"/>
      <c r="C184" s="73"/>
      <c r="D184" s="73"/>
      <c r="E184" s="75"/>
      <c r="F184" s="75"/>
      <c r="G184" s="75"/>
      <c r="H184" s="75"/>
      <c r="I184" s="29"/>
      <c r="J184" s="76"/>
      <c r="K184" s="76"/>
      <c r="L184" s="66"/>
      <c r="M184" s="66"/>
      <c r="N184" s="66"/>
      <c r="O184" s="66"/>
      <c r="P184" s="66"/>
      <c r="Q184" s="66"/>
      <c r="R184" s="66"/>
      <c r="S184" s="66"/>
      <c r="T184" s="66"/>
      <c r="U184" s="66"/>
      <c r="V184" s="66"/>
      <c r="W184" s="66"/>
      <c r="X184" s="66"/>
      <c r="Y184" s="66"/>
    </row>
    <row r="185">
      <c r="A185" s="71"/>
      <c r="B185" s="71"/>
      <c r="C185" s="73"/>
      <c r="D185" s="73"/>
      <c r="E185" s="75"/>
      <c r="F185" s="75"/>
      <c r="G185" s="75"/>
      <c r="H185" s="75"/>
      <c r="I185" s="29"/>
      <c r="J185" s="76"/>
      <c r="K185" s="76"/>
      <c r="L185" s="66"/>
      <c r="M185" s="66"/>
      <c r="N185" s="66"/>
      <c r="O185" s="66"/>
      <c r="P185" s="66"/>
      <c r="Q185" s="66"/>
      <c r="R185" s="66"/>
      <c r="S185" s="66"/>
      <c r="T185" s="66"/>
      <c r="U185" s="66"/>
      <c r="V185" s="66"/>
      <c r="W185" s="66"/>
      <c r="X185" s="66"/>
      <c r="Y185" s="66"/>
    </row>
    <row r="186">
      <c r="A186" s="71"/>
      <c r="B186" s="71"/>
      <c r="C186" s="73"/>
      <c r="D186" s="73"/>
      <c r="E186" s="75"/>
      <c r="F186" s="75"/>
      <c r="G186" s="75"/>
      <c r="H186" s="75"/>
      <c r="I186" s="29"/>
      <c r="J186" s="76"/>
      <c r="K186" s="76"/>
      <c r="L186" s="66"/>
      <c r="M186" s="66"/>
      <c r="N186" s="66"/>
      <c r="O186" s="66"/>
      <c r="P186" s="66"/>
      <c r="Q186" s="66"/>
      <c r="R186" s="66"/>
      <c r="S186" s="66"/>
      <c r="T186" s="66"/>
      <c r="U186" s="66"/>
      <c r="V186" s="66"/>
      <c r="W186" s="66"/>
      <c r="X186" s="66"/>
      <c r="Y186" s="66"/>
    </row>
    <row r="187">
      <c r="A187" s="71"/>
      <c r="B187" s="71"/>
      <c r="C187" s="73"/>
      <c r="D187" s="73"/>
      <c r="E187" s="75"/>
      <c r="F187" s="75"/>
      <c r="G187" s="75"/>
      <c r="H187" s="75"/>
      <c r="I187" s="29"/>
      <c r="J187" s="76"/>
      <c r="K187" s="76"/>
      <c r="L187" s="66"/>
      <c r="M187" s="66"/>
      <c r="N187" s="66"/>
      <c r="O187" s="66"/>
      <c r="P187" s="66"/>
      <c r="Q187" s="66"/>
      <c r="R187" s="66"/>
      <c r="S187" s="66"/>
      <c r="T187" s="66"/>
      <c r="U187" s="66"/>
      <c r="V187" s="66"/>
      <c r="W187" s="66"/>
      <c r="X187" s="66"/>
      <c r="Y187" s="66"/>
    </row>
    <row r="188">
      <c r="A188" s="71"/>
      <c r="B188" s="71"/>
      <c r="C188" s="73"/>
      <c r="D188" s="73"/>
      <c r="E188" s="75"/>
      <c r="F188" s="75"/>
      <c r="G188" s="75"/>
      <c r="H188" s="75"/>
      <c r="I188" s="29"/>
      <c r="J188" s="76"/>
      <c r="K188" s="76"/>
      <c r="L188" s="66"/>
      <c r="M188" s="66"/>
      <c r="N188" s="66"/>
      <c r="O188" s="66"/>
      <c r="P188" s="66"/>
      <c r="Q188" s="66"/>
      <c r="R188" s="66"/>
      <c r="S188" s="66"/>
      <c r="T188" s="66"/>
      <c r="U188" s="66"/>
      <c r="V188" s="66"/>
      <c r="W188" s="66"/>
      <c r="X188" s="66"/>
      <c r="Y188" s="66"/>
    </row>
    <row r="189">
      <c r="A189" s="71"/>
      <c r="B189" s="71"/>
      <c r="C189" s="73"/>
      <c r="D189" s="73"/>
      <c r="E189" s="75"/>
      <c r="F189" s="75"/>
      <c r="G189" s="75"/>
      <c r="H189" s="75"/>
      <c r="I189" s="29"/>
      <c r="J189" s="76"/>
      <c r="K189" s="76"/>
      <c r="L189" s="66"/>
      <c r="M189" s="66"/>
      <c r="N189" s="66"/>
      <c r="O189" s="66"/>
      <c r="P189" s="66"/>
      <c r="Q189" s="66"/>
      <c r="R189" s="66"/>
      <c r="S189" s="66"/>
      <c r="T189" s="66"/>
      <c r="U189" s="66"/>
      <c r="V189" s="66"/>
      <c r="W189" s="66"/>
      <c r="X189" s="66"/>
      <c r="Y189" s="66"/>
    </row>
    <row r="190">
      <c r="A190" s="71"/>
      <c r="B190" s="71"/>
      <c r="C190" s="73"/>
      <c r="D190" s="73"/>
      <c r="E190" s="75"/>
      <c r="F190" s="75"/>
      <c r="G190" s="75"/>
      <c r="H190" s="75"/>
      <c r="I190" s="29"/>
      <c r="J190" s="76"/>
      <c r="K190" s="76"/>
      <c r="L190" s="66"/>
      <c r="M190" s="66"/>
      <c r="N190" s="66"/>
      <c r="O190" s="66"/>
      <c r="P190" s="66"/>
      <c r="Q190" s="66"/>
      <c r="R190" s="66"/>
      <c r="S190" s="66"/>
      <c r="T190" s="66"/>
      <c r="U190" s="66"/>
      <c r="V190" s="66"/>
      <c r="W190" s="66"/>
      <c r="X190" s="66"/>
      <c r="Y190" s="66"/>
    </row>
    <row r="191">
      <c r="A191" s="71"/>
      <c r="B191" s="71"/>
      <c r="C191" s="73"/>
      <c r="D191" s="73"/>
      <c r="E191" s="75"/>
      <c r="F191" s="75"/>
      <c r="G191" s="75"/>
      <c r="H191" s="75"/>
      <c r="I191" s="29"/>
      <c r="J191" s="76"/>
      <c r="K191" s="76"/>
      <c r="L191" s="66"/>
      <c r="M191" s="66"/>
      <c r="N191" s="66"/>
      <c r="O191" s="66"/>
      <c r="P191" s="66"/>
      <c r="Q191" s="66"/>
      <c r="R191" s="66"/>
      <c r="S191" s="66"/>
      <c r="T191" s="66"/>
      <c r="U191" s="66"/>
      <c r="V191" s="66"/>
      <c r="W191" s="66"/>
      <c r="X191" s="66"/>
      <c r="Y191" s="66"/>
    </row>
    <row r="192">
      <c r="A192" s="71"/>
      <c r="B192" s="71"/>
      <c r="C192" s="73"/>
      <c r="D192" s="73"/>
      <c r="E192" s="75"/>
      <c r="F192" s="75"/>
      <c r="G192" s="75"/>
      <c r="H192" s="75"/>
      <c r="I192" s="29"/>
      <c r="J192" s="76"/>
      <c r="K192" s="76"/>
      <c r="L192" s="66"/>
      <c r="M192" s="66"/>
      <c r="N192" s="66"/>
      <c r="O192" s="66"/>
      <c r="P192" s="66"/>
      <c r="Q192" s="66"/>
      <c r="R192" s="66"/>
      <c r="S192" s="66"/>
      <c r="T192" s="66"/>
      <c r="U192" s="66"/>
      <c r="V192" s="66"/>
      <c r="W192" s="66"/>
      <c r="X192" s="66"/>
      <c r="Y192" s="66"/>
    </row>
    <row r="193">
      <c r="A193" s="71"/>
      <c r="B193" s="71"/>
      <c r="C193" s="73"/>
      <c r="D193" s="73"/>
      <c r="E193" s="75"/>
      <c r="F193" s="75"/>
      <c r="G193" s="75"/>
      <c r="H193" s="75"/>
      <c r="I193" s="29"/>
      <c r="J193" s="76"/>
      <c r="K193" s="76"/>
      <c r="L193" s="66"/>
      <c r="M193" s="66"/>
      <c r="N193" s="66"/>
      <c r="O193" s="66"/>
      <c r="P193" s="66"/>
      <c r="Q193" s="66"/>
      <c r="R193" s="66"/>
      <c r="S193" s="66"/>
      <c r="T193" s="66"/>
      <c r="U193" s="66"/>
      <c r="V193" s="66"/>
      <c r="W193" s="66"/>
      <c r="X193" s="66"/>
      <c r="Y193" s="66"/>
    </row>
    <row r="194">
      <c r="A194" s="71"/>
      <c r="B194" s="71"/>
      <c r="C194" s="73"/>
      <c r="D194" s="73"/>
      <c r="E194" s="75"/>
      <c r="F194" s="75"/>
      <c r="G194" s="75"/>
      <c r="H194" s="75"/>
      <c r="I194" s="29"/>
      <c r="J194" s="76"/>
      <c r="K194" s="76"/>
      <c r="L194" s="66"/>
      <c r="M194" s="66"/>
      <c r="N194" s="66"/>
      <c r="O194" s="66"/>
      <c r="P194" s="66"/>
      <c r="Q194" s="66"/>
      <c r="R194" s="66"/>
      <c r="S194" s="66"/>
      <c r="T194" s="66"/>
      <c r="U194" s="66"/>
      <c r="V194" s="66"/>
      <c r="W194" s="66"/>
      <c r="X194" s="66"/>
      <c r="Y194" s="66"/>
    </row>
    <row r="195">
      <c r="A195" s="71"/>
      <c r="B195" s="71"/>
      <c r="C195" s="73"/>
      <c r="D195" s="73"/>
      <c r="E195" s="75"/>
      <c r="F195" s="75"/>
      <c r="G195" s="75"/>
      <c r="H195" s="75"/>
      <c r="I195" s="29"/>
      <c r="J195" s="76"/>
      <c r="K195" s="76"/>
      <c r="L195" s="66"/>
      <c r="M195" s="66"/>
      <c r="N195" s="66"/>
      <c r="O195" s="66"/>
      <c r="P195" s="66"/>
      <c r="Q195" s="66"/>
      <c r="R195" s="66"/>
      <c r="S195" s="66"/>
      <c r="T195" s="66"/>
      <c r="U195" s="66"/>
      <c r="V195" s="66"/>
      <c r="W195" s="66"/>
      <c r="X195" s="66"/>
      <c r="Y195" s="66"/>
    </row>
    <row r="196">
      <c r="A196" s="71"/>
      <c r="B196" s="71"/>
      <c r="C196" s="73"/>
      <c r="D196" s="73"/>
      <c r="E196" s="75"/>
      <c r="F196" s="75"/>
      <c r="G196" s="75"/>
      <c r="H196" s="75"/>
      <c r="I196" s="29"/>
      <c r="J196" s="76"/>
      <c r="K196" s="76"/>
      <c r="L196" s="66"/>
      <c r="M196" s="66"/>
      <c r="N196" s="66"/>
      <c r="O196" s="66"/>
      <c r="P196" s="66"/>
      <c r="Q196" s="66"/>
      <c r="R196" s="66"/>
      <c r="S196" s="66"/>
      <c r="T196" s="66"/>
      <c r="U196" s="66"/>
      <c r="V196" s="66"/>
      <c r="W196" s="66"/>
      <c r="X196" s="66"/>
      <c r="Y196" s="66"/>
    </row>
    <row r="197">
      <c r="A197" s="71"/>
      <c r="B197" s="71"/>
      <c r="C197" s="73"/>
      <c r="D197" s="73"/>
      <c r="E197" s="75"/>
      <c r="F197" s="75"/>
      <c r="G197" s="75"/>
      <c r="H197" s="75"/>
      <c r="I197" s="29"/>
      <c r="J197" s="76"/>
      <c r="K197" s="76"/>
      <c r="L197" s="66"/>
      <c r="M197" s="66"/>
      <c r="N197" s="66"/>
      <c r="O197" s="66"/>
      <c r="P197" s="66"/>
      <c r="Q197" s="66"/>
      <c r="R197" s="66"/>
      <c r="S197" s="66"/>
      <c r="T197" s="66"/>
      <c r="U197" s="66"/>
      <c r="V197" s="66"/>
      <c r="W197" s="66"/>
      <c r="X197" s="66"/>
      <c r="Y197" s="66"/>
    </row>
    <row r="198">
      <c r="A198" s="71"/>
      <c r="B198" s="71"/>
      <c r="C198" s="73"/>
      <c r="D198" s="73"/>
      <c r="E198" s="75"/>
      <c r="F198" s="75"/>
      <c r="G198" s="75"/>
      <c r="H198" s="75"/>
      <c r="I198" s="29"/>
      <c r="J198" s="76"/>
      <c r="K198" s="76"/>
      <c r="L198" s="66"/>
      <c r="M198" s="66"/>
      <c r="N198" s="66"/>
      <c r="O198" s="66"/>
      <c r="P198" s="66"/>
      <c r="Q198" s="66"/>
      <c r="R198" s="66"/>
      <c r="S198" s="66"/>
      <c r="T198" s="66"/>
      <c r="U198" s="66"/>
      <c r="V198" s="66"/>
      <c r="W198" s="66"/>
      <c r="X198" s="66"/>
      <c r="Y198" s="66"/>
    </row>
    <row r="199">
      <c r="A199" s="71"/>
      <c r="B199" s="71"/>
      <c r="C199" s="73"/>
      <c r="D199" s="73"/>
      <c r="E199" s="75"/>
      <c r="F199" s="75"/>
      <c r="G199" s="75"/>
      <c r="H199" s="75"/>
      <c r="I199" s="29"/>
      <c r="J199" s="76"/>
      <c r="K199" s="76"/>
      <c r="L199" s="66"/>
      <c r="M199" s="66"/>
      <c r="N199" s="66"/>
      <c r="O199" s="66"/>
      <c r="P199" s="66"/>
      <c r="Q199" s="66"/>
      <c r="R199" s="66"/>
      <c r="S199" s="66"/>
      <c r="T199" s="66"/>
      <c r="U199" s="66"/>
      <c r="V199" s="66"/>
      <c r="W199" s="66"/>
      <c r="X199" s="66"/>
      <c r="Y199" s="66"/>
    </row>
    <row r="200">
      <c r="A200" s="71"/>
      <c r="B200" s="71"/>
      <c r="C200" s="73"/>
      <c r="D200" s="73"/>
      <c r="E200" s="75"/>
      <c r="F200" s="75"/>
      <c r="G200" s="75"/>
      <c r="H200" s="75"/>
      <c r="I200" s="29"/>
      <c r="J200" s="76"/>
      <c r="K200" s="76"/>
      <c r="L200" s="66"/>
      <c r="M200" s="66"/>
      <c r="N200" s="66"/>
      <c r="O200" s="66"/>
      <c r="P200" s="66"/>
      <c r="Q200" s="66"/>
      <c r="R200" s="66"/>
      <c r="S200" s="66"/>
      <c r="T200" s="66"/>
      <c r="U200" s="66"/>
      <c r="V200" s="66"/>
      <c r="W200" s="66"/>
      <c r="X200" s="66"/>
      <c r="Y200" s="66"/>
    </row>
    <row r="201">
      <c r="A201" s="71"/>
      <c r="B201" s="71"/>
      <c r="C201" s="73"/>
      <c r="D201" s="73"/>
      <c r="E201" s="75"/>
      <c r="F201" s="75"/>
      <c r="G201" s="75"/>
      <c r="H201" s="75"/>
      <c r="I201" s="29"/>
      <c r="J201" s="76"/>
      <c r="K201" s="76"/>
      <c r="L201" s="66"/>
      <c r="M201" s="66"/>
      <c r="N201" s="66"/>
      <c r="O201" s="66"/>
      <c r="P201" s="66"/>
      <c r="Q201" s="66"/>
      <c r="R201" s="66"/>
      <c r="S201" s="66"/>
      <c r="T201" s="66"/>
      <c r="U201" s="66"/>
      <c r="V201" s="66"/>
      <c r="W201" s="66"/>
      <c r="X201" s="66"/>
      <c r="Y201" s="66"/>
    </row>
    <row r="202">
      <c r="A202" s="71"/>
      <c r="B202" s="71"/>
      <c r="C202" s="73"/>
      <c r="D202" s="73"/>
      <c r="E202" s="75"/>
      <c r="F202" s="75"/>
      <c r="G202" s="75"/>
      <c r="H202" s="75"/>
      <c r="I202" s="29"/>
      <c r="J202" s="76"/>
      <c r="K202" s="76"/>
      <c r="L202" s="66"/>
      <c r="M202" s="66"/>
      <c r="N202" s="66"/>
      <c r="O202" s="66"/>
      <c r="P202" s="66"/>
      <c r="Q202" s="66"/>
      <c r="R202" s="66"/>
      <c r="S202" s="66"/>
      <c r="T202" s="66"/>
      <c r="U202" s="66"/>
      <c r="V202" s="66"/>
      <c r="W202" s="66"/>
      <c r="X202" s="66"/>
      <c r="Y202" s="66"/>
    </row>
    <row r="203">
      <c r="A203" s="71"/>
      <c r="B203" s="71"/>
      <c r="C203" s="73"/>
      <c r="D203" s="73"/>
      <c r="E203" s="75"/>
      <c r="F203" s="75"/>
      <c r="G203" s="75"/>
      <c r="H203" s="75"/>
      <c r="I203" s="29"/>
      <c r="J203" s="76"/>
      <c r="K203" s="76"/>
      <c r="L203" s="66"/>
      <c r="M203" s="66"/>
      <c r="N203" s="66"/>
      <c r="O203" s="66"/>
      <c r="P203" s="66"/>
      <c r="Q203" s="66"/>
      <c r="R203" s="66"/>
      <c r="S203" s="66"/>
      <c r="T203" s="66"/>
      <c r="U203" s="66"/>
      <c r="V203" s="66"/>
      <c r="W203" s="66"/>
      <c r="X203" s="66"/>
      <c r="Y203" s="66"/>
    </row>
    <row r="204">
      <c r="A204" s="71"/>
      <c r="B204" s="71"/>
      <c r="C204" s="73"/>
      <c r="D204" s="73"/>
      <c r="E204" s="75"/>
      <c r="F204" s="75"/>
      <c r="G204" s="75"/>
      <c r="H204" s="75"/>
      <c r="I204" s="29"/>
      <c r="J204" s="76"/>
      <c r="K204" s="76"/>
      <c r="L204" s="66"/>
      <c r="M204" s="66"/>
      <c r="N204" s="66"/>
      <c r="O204" s="66"/>
      <c r="P204" s="66"/>
      <c r="Q204" s="66"/>
      <c r="R204" s="66"/>
      <c r="S204" s="66"/>
      <c r="T204" s="66"/>
      <c r="U204" s="66"/>
      <c r="V204" s="66"/>
      <c r="W204" s="66"/>
      <c r="X204" s="66"/>
      <c r="Y204" s="66"/>
    </row>
    <row r="205">
      <c r="A205" s="71"/>
      <c r="B205" s="71"/>
      <c r="C205" s="73"/>
      <c r="D205" s="73"/>
      <c r="E205" s="75"/>
      <c r="F205" s="75"/>
      <c r="G205" s="75"/>
      <c r="H205" s="75"/>
      <c r="I205" s="29"/>
      <c r="J205" s="76"/>
      <c r="K205" s="76"/>
      <c r="L205" s="66"/>
      <c r="M205" s="66"/>
      <c r="N205" s="66"/>
      <c r="O205" s="66"/>
      <c r="P205" s="66"/>
      <c r="Q205" s="66"/>
      <c r="R205" s="66"/>
      <c r="S205" s="66"/>
      <c r="T205" s="66"/>
      <c r="U205" s="66"/>
      <c r="V205" s="66"/>
      <c r="W205" s="66"/>
      <c r="X205" s="66"/>
      <c r="Y205" s="66"/>
    </row>
    <row r="206">
      <c r="A206" s="71"/>
      <c r="B206" s="71"/>
      <c r="C206" s="73"/>
      <c r="D206" s="73"/>
      <c r="E206" s="75"/>
      <c r="F206" s="75"/>
      <c r="G206" s="75"/>
      <c r="H206" s="75"/>
      <c r="I206" s="29"/>
      <c r="J206" s="76"/>
      <c r="K206" s="76"/>
      <c r="L206" s="66"/>
      <c r="M206" s="66"/>
      <c r="N206" s="66"/>
      <c r="O206" s="66"/>
      <c r="P206" s="66"/>
      <c r="Q206" s="66"/>
      <c r="R206" s="66"/>
      <c r="S206" s="66"/>
      <c r="T206" s="66"/>
      <c r="U206" s="66"/>
      <c r="V206" s="66"/>
      <c r="W206" s="66"/>
      <c r="X206" s="66"/>
      <c r="Y206" s="66"/>
    </row>
    <row r="207">
      <c r="A207" s="71"/>
      <c r="B207" s="71"/>
      <c r="C207" s="73"/>
      <c r="D207" s="73"/>
      <c r="E207" s="75"/>
      <c r="F207" s="75"/>
      <c r="G207" s="75"/>
      <c r="H207" s="75"/>
      <c r="I207" s="29"/>
      <c r="J207" s="76"/>
      <c r="K207" s="76"/>
      <c r="L207" s="66"/>
      <c r="M207" s="66"/>
      <c r="N207" s="66"/>
      <c r="O207" s="66"/>
      <c r="P207" s="66"/>
      <c r="Q207" s="66"/>
      <c r="R207" s="66"/>
      <c r="S207" s="66"/>
      <c r="T207" s="66"/>
      <c r="U207" s="66"/>
      <c r="V207" s="66"/>
      <c r="W207" s="66"/>
      <c r="X207" s="66"/>
      <c r="Y207" s="66"/>
    </row>
    <row r="208">
      <c r="A208" s="71"/>
      <c r="B208" s="71"/>
      <c r="C208" s="73"/>
      <c r="D208" s="73"/>
      <c r="E208" s="75"/>
      <c r="F208" s="75"/>
      <c r="G208" s="75"/>
      <c r="H208" s="75"/>
      <c r="I208" s="29"/>
      <c r="J208" s="76"/>
      <c r="K208" s="76"/>
      <c r="L208" s="66"/>
      <c r="M208" s="66"/>
      <c r="N208" s="66"/>
      <c r="O208" s="66"/>
      <c r="P208" s="66"/>
      <c r="Q208" s="66"/>
      <c r="R208" s="66"/>
      <c r="S208" s="66"/>
      <c r="T208" s="66"/>
      <c r="U208" s="66"/>
      <c r="V208" s="66"/>
      <c r="W208" s="66"/>
      <c r="X208" s="66"/>
      <c r="Y208" s="66"/>
    </row>
    <row r="209">
      <c r="A209" s="71"/>
      <c r="B209" s="71"/>
      <c r="C209" s="73"/>
      <c r="D209" s="73"/>
      <c r="E209" s="75"/>
      <c r="F209" s="75"/>
      <c r="G209" s="75"/>
      <c r="H209" s="75"/>
      <c r="I209" s="29"/>
      <c r="J209" s="76"/>
      <c r="K209" s="76"/>
      <c r="L209" s="66"/>
      <c r="M209" s="66"/>
      <c r="N209" s="66"/>
      <c r="O209" s="66"/>
      <c r="P209" s="66"/>
      <c r="Q209" s="66"/>
      <c r="R209" s="66"/>
      <c r="S209" s="66"/>
      <c r="T209" s="66"/>
      <c r="U209" s="66"/>
      <c r="V209" s="66"/>
      <c r="W209" s="66"/>
      <c r="X209" s="66"/>
      <c r="Y209" s="66"/>
    </row>
    <row r="210">
      <c r="A210" s="71"/>
      <c r="B210" s="71"/>
      <c r="C210" s="73"/>
      <c r="D210" s="73"/>
      <c r="E210" s="75"/>
      <c r="F210" s="75"/>
      <c r="G210" s="75"/>
      <c r="H210" s="75"/>
      <c r="I210" s="29"/>
      <c r="J210" s="76"/>
      <c r="K210" s="76"/>
      <c r="L210" s="66"/>
      <c r="M210" s="66"/>
      <c r="N210" s="66"/>
      <c r="O210" s="66"/>
      <c r="P210" s="66"/>
      <c r="Q210" s="66"/>
      <c r="R210" s="66"/>
      <c r="S210" s="66"/>
      <c r="T210" s="66"/>
      <c r="U210" s="66"/>
      <c r="V210" s="66"/>
      <c r="W210" s="66"/>
      <c r="X210" s="66"/>
      <c r="Y210" s="66"/>
    </row>
    <row r="211">
      <c r="A211" s="71"/>
      <c r="B211" s="71"/>
      <c r="C211" s="73"/>
      <c r="D211" s="73"/>
      <c r="E211" s="75"/>
      <c r="F211" s="75"/>
      <c r="G211" s="75"/>
      <c r="H211" s="75"/>
      <c r="I211" s="29"/>
      <c r="J211" s="76"/>
      <c r="K211" s="76"/>
      <c r="L211" s="66"/>
      <c r="M211" s="66"/>
      <c r="N211" s="66"/>
      <c r="O211" s="66"/>
      <c r="P211" s="66"/>
      <c r="Q211" s="66"/>
      <c r="R211" s="66"/>
      <c r="S211" s="66"/>
      <c r="T211" s="66"/>
      <c r="U211" s="66"/>
      <c r="V211" s="66"/>
      <c r="W211" s="66"/>
      <c r="X211" s="66"/>
      <c r="Y211" s="66"/>
    </row>
    <row r="212">
      <c r="A212" s="71"/>
      <c r="B212" s="71"/>
      <c r="C212" s="73"/>
      <c r="D212" s="73"/>
      <c r="E212" s="75"/>
      <c r="F212" s="75"/>
      <c r="G212" s="75"/>
      <c r="H212" s="75"/>
      <c r="I212" s="29"/>
      <c r="J212" s="76"/>
      <c r="K212" s="76"/>
      <c r="L212" s="66"/>
      <c r="M212" s="66"/>
      <c r="N212" s="66"/>
      <c r="O212" s="66"/>
      <c r="P212" s="66"/>
      <c r="Q212" s="66"/>
      <c r="R212" s="66"/>
      <c r="S212" s="66"/>
      <c r="T212" s="66"/>
      <c r="U212" s="66"/>
      <c r="V212" s="66"/>
      <c r="W212" s="66"/>
      <c r="X212" s="66"/>
      <c r="Y212" s="66"/>
    </row>
    <row r="213">
      <c r="A213" s="71"/>
      <c r="B213" s="71"/>
      <c r="C213" s="73"/>
      <c r="D213" s="73"/>
      <c r="E213" s="75"/>
      <c r="F213" s="75"/>
      <c r="G213" s="75"/>
      <c r="H213" s="75"/>
      <c r="I213" s="29"/>
      <c r="J213" s="76"/>
      <c r="K213" s="76"/>
      <c r="L213" s="66"/>
      <c r="M213" s="66"/>
      <c r="N213" s="66"/>
      <c r="O213" s="66"/>
      <c r="P213" s="66"/>
      <c r="Q213" s="66"/>
      <c r="R213" s="66"/>
      <c r="S213" s="66"/>
      <c r="T213" s="66"/>
      <c r="U213" s="66"/>
      <c r="V213" s="66"/>
      <c r="W213" s="66"/>
      <c r="X213" s="66"/>
      <c r="Y213" s="66"/>
    </row>
    <row r="214">
      <c r="A214" s="71"/>
      <c r="B214" s="71"/>
      <c r="C214" s="73"/>
      <c r="D214" s="73"/>
      <c r="E214" s="75"/>
      <c r="F214" s="75"/>
      <c r="G214" s="75"/>
      <c r="H214" s="75"/>
      <c r="I214" s="29"/>
      <c r="J214" s="76"/>
      <c r="K214" s="76"/>
      <c r="L214" s="66"/>
      <c r="M214" s="66"/>
      <c r="N214" s="66"/>
      <c r="O214" s="66"/>
      <c r="P214" s="66"/>
      <c r="Q214" s="66"/>
      <c r="R214" s="66"/>
      <c r="S214" s="66"/>
      <c r="T214" s="66"/>
      <c r="U214" s="66"/>
      <c r="V214" s="66"/>
      <c r="W214" s="66"/>
      <c r="X214" s="66"/>
      <c r="Y214" s="66"/>
    </row>
    <row r="215">
      <c r="A215" s="71"/>
      <c r="B215" s="71"/>
      <c r="C215" s="73"/>
      <c r="D215" s="73"/>
      <c r="E215" s="75"/>
      <c r="F215" s="75"/>
      <c r="G215" s="75"/>
      <c r="H215" s="75"/>
      <c r="I215" s="29"/>
      <c r="J215" s="76"/>
      <c r="K215" s="76"/>
      <c r="L215" s="66"/>
      <c r="M215" s="66"/>
      <c r="N215" s="66"/>
      <c r="O215" s="66"/>
      <c r="P215" s="66"/>
      <c r="Q215" s="66"/>
      <c r="R215" s="66"/>
      <c r="S215" s="66"/>
      <c r="T215" s="66"/>
      <c r="U215" s="66"/>
      <c r="V215" s="66"/>
      <c r="W215" s="66"/>
      <c r="X215" s="66"/>
      <c r="Y215" s="66"/>
    </row>
    <row r="216">
      <c r="A216" s="71"/>
      <c r="B216" s="71"/>
      <c r="C216" s="73"/>
      <c r="D216" s="73"/>
      <c r="E216" s="75"/>
      <c r="F216" s="75"/>
      <c r="G216" s="75"/>
      <c r="H216" s="75"/>
      <c r="I216" s="29"/>
      <c r="J216" s="76"/>
      <c r="K216" s="76"/>
      <c r="L216" s="66"/>
      <c r="M216" s="66"/>
      <c r="N216" s="66"/>
      <c r="O216" s="66"/>
      <c r="P216" s="66"/>
      <c r="Q216" s="66"/>
      <c r="R216" s="66"/>
      <c r="S216" s="66"/>
      <c r="T216" s="66"/>
      <c r="U216" s="66"/>
      <c r="V216" s="66"/>
      <c r="W216" s="66"/>
      <c r="X216" s="66"/>
      <c r="Y216" s="66"/>
    </row>
    <row r="217">
      <c r="A217" s="71"/>
      <c r="B217" s="71"/>
      <c r="C217" s="73"/>
      <c r="D217" s="73"/>
      <c r="E217" s="75"/>
      <c r="F217" s="75"/>
      <c r="G217" s="75"/>
      <c r="H217" s="75"/>
      <c r="I217" s="29"/>
      <c r="J217" s="76"/>
      <c r="K217" s="76"/>
      <c r="L217" s="66"/>
      <c r="M217" s="66"/>
      <c r="N217" s="66"/>
      <c r="O217" s="66"/>
      <c r="P217" s="66"/>
      <c r="Q217" s="66"/>
      <c r="R217" s="66"/>
      <c r="S217" s="66"/>
      <c r="T217" s="66"/>
      <c r="U217" s="66"/>
      <c r="V217" s="66"/>
      <c r="W217" s="66"/>
      <c r="X217" s="66"/>
      <c r="Y217" s="66"/>
    </row>
    <row r="218">
      <c r="A218" s="71"/>
      <c r="B218" s="71"/>
      <c r="C218" s="73"/>
      <c r="D218" s="73"/>
      <c r="E218" s="75"/>
      <c r="F218" s="75"/>
      <c r="G218" s="75"/>
      <c r="H218" s="75"/>
      <c r="I218" s="29"/>
      <c r="J218" s="76"/>
      <c r="K218" s="76"/>
      <c r="L218" s="66"/>
      <c r="M218" s="66"/>
      <c r="N218" s="66"/>
      <c r="O218" s="66"/>
      <c r="P218" s="66"/>
      <c r="Q218" s="66"/>
      <c r="R218" s="66"/>
      <c r="S218" s="66"/>
      <c r="T218" s="66"/>
      <c r="U218" s="66"/>
      <c r="V218" s="66"/>
      <c r="W218" s="66"/>
      <c r="X218" s="66"/>
      <c r="Y218" s="66"/>
    </row>
    <row r="219">
      <c r="A219" s="71"/>
      <c r="B219" s="71"/>
      <c r="C219" s="73"/>
      <c r="D219" s="73"/>
      <c r="E219" s="75"/>
      <c r="F219" s="75"/>
      <c r="G219" s="75"/>
      <c r="H219" s="75"/>
      <c r="I219" s="29"/>
      <c r="J219" s="76"/>
      <c r="K219" s="76"/>
      <c r="L219" s="66"/>
      <c r="M219" s="66"/>
      <c r="N219" s="66"/>
      <c r="O219" s="66"/>
      <c r="P219" s="66"/>
      <c r="Q219" s="66"/>
      <c r="R219" s="66"/>
      <c r="S219" s="66"/>
      <c r="T219" s="66"/>
      <c r="U219" s="66"/>
      <c r="V219" s="66"/>
      <c r="W219" s="66"/>
      <c r="X219" s="66"/>
      <c r="Y219" s="66"/>
    </row>
    <row r="220">
      <c r="A220" s="71"/>
      <c r="B220" s="71"/>
      <c r="C220" s="73"/>
      <c r="D220" s="73"/>
      <c r="E220" s="75"/>
      <c r="F220" s="75"/>
      <c r="G220" s="75"/>
      <c r="H220" s="75"/>
      <c r="I220" s="29"/>
      <c r="J220" s="76"/>
      <c r="K220" s="76"/>
      <c r="L220" s="66"/>
      <c r="M220" s="66"/>
      <c r="N220" s="66"/>
      <c r="O220" s="66"/>
      <c r="P220" s="66"/>
      <c r="Q220" s="66"/>
      <c r="R220" s="66"/>
      <c r="S220" s="66"/>
      <c r="T220" s="66"/>
      <c r="U220" s="66"/>
      <c r="V220" s="66"/>
      <c r="W220" s="66"/>
      <c r="X220" s="66"/>
      <c r="Y220" s="66"/>
    </row>
    <row r="221">
      <c r="A221" s="71"/>
      <c r="B221" s="71"/>
      <c r="C221" s="73"/>
      <c r="D221" s="73"/>
      <c r="E221" s="75"/>
      <c r="F221" s="75"/>
      <c r="G221" s="75"/>
      <c r="H221" s="75"/>
      <c r="I221" s="29"/>
      <c r="J221" s="76"/>
      <c r="K221" s="76"/>
      <c r="L221" s="66"/>
      <c r="M221" s="66"/>
      <c r="N221" s="66"/>
      <c r="O221" s="66"/>
      <c r="P221" s="66"/>
      <c r="Q221" s="66"/>
      <c r="R221" s="66"/>
      <c r="S221" s="66"/>
      <c r="T221" s="66"/>
      <c r="U221" s="66"/>
      <c r="V221" s="66"/>
      <c r="W221" s="66"/>
      <c r="X221" s="66"/>
      <c r="Y221" s="66"/>
    </row>
    <row r="222">
      <c r="A222" s="71"/>
      <c r="B222" s="71"/>
      <c r="C222" s="73"/>
      <c r="D222" s="73"/>
      <c r="E222" s="75"/>
      <c r="F222" s="75"/>
      <c r="G222" s="75"/>
      <c r="H222" s="75"/>
      <c r="I222" s="29"/>
      <c r="J222" s="76"/>
      <c r="K222" s="76"/>
      <c r="L222" s="66"/>
      <c r="M222" s="66"/>
      <c r="N222" s="66"/>
      <c r="O222" s="66"/>
      <c r="P222" s="66"/>
      <c r="Q222" s="66"/>
      <c r="R222" s="66"/>
      <c r="S222" s="66"/>
      <c r="T222" s="66"/>
      <c r="U222" s="66"/>
      <c r="V222" s="66"/>
      <c r="W222" s="66"/>
      <c r="X222" s="66"/>
      <c r="Y222" s="66"/>
    </row>
    <row r="223">
      <c r="A223" s="71"/>
      <c r="B223" s="71"/>
      <c r="C223" s="73"/>
      <c r="D223" s="73"/>
      <c r="E223" s="75"/>
      <c r="F223" s="75"/>
      <c r="G223" s="75"/>
      <c r="H223" s="75"/>
      <c r="I223" s="29"/>
      <c r="J223" s="76"/>
      <c r="K223" s="76"/>
      <c r="L223" s="66"/>
      <c r="M223" s="66"/>
      <c r="N223" s="66"/>
      <c r="O223" s="66"/>
      <c r="P223" s="66"/>
      <c r="Q223" s="66"/>
      <c r="R223" s="66"/>
      <c r="S223" s="66"/>
      <c r="T223" s="66"/>
      <c r="U223" s="66"/>
      <c r="V223" s="66"/>
      <c r="W223" s="66"/>
      <c r="X223" s="66"/>
      <c r="Y223" s="66"/>
    </row>
    <row r="224">
      <c r="A224" s="71"/>
      <c r="B224" s="71"/>
      <c r="C224" s="73"/>
      <c r="D224" s="73"/>
      <c r="E224" s="75"/>
      <c r="F224" s="75"/>
      <c r="G224" s="75"/>
      <c r="H224" s="75"/>
      <c r="I224" s="29"/>
      <c r="J224" s="76"/>
      <c r="K224" s="76"/>
      <c r="L224" s="66"/>
      <c r="M224" s="66"/>
      <c r="N224" s="66"/>
      <c r="O224" s="66"/>
      <c r="P224" s="66"/>
      <c r="Q224" s="66"/>
      <c r="R224" s="66"/>
      <c r="S224" s="66"/>
      <c r="T224" s="66"/>
      <c r="U224" s="66"/>
      <c r="V224" s="66"/>
      <c r="W224" s="66"/>
      <c r="X224" s="66"/>
      <c r="Y224" s="66"/>
    </row>
    <row r="225">
      <c r="A225" s="71"/>
      <c r="B225" s="71"/>
      <c r="C225" s="73"/>
      <c r="D225" s="73"/>
      <c r="E225" s="75"/>
      <c r="F225" s="75"/>
      <c r="G225" s="75"/>
      <c r="H225" s="75"/>
      <c r="I225" s="29"/>
      <c r="J225" s="76"/>
      <c r="K225" s="76"/>
      <c r="L225" s="66"/>
      <c r="M225" s="66"/>
      <c r="N225" s="66"/>
      <c r="O225" s="66"/>
      <c r="P225" s="66"/>
      <c r="Q225" s="66"/>
      <c r="R225" s="66"/>
      <c r="S225" s="66"/>
      <c r="T225" s="66"/>
      <c r="U225" s="66"/>
      <c r="V225" s="66"/>
      <c r="W225" s="66"/>
      <c r="X225" s="66"/>
      <c r="Y225" s="66"/>
    </row>
    <row r="226">
      <c r="A226" s="71"/>
      <c r="B226" s="71"/>
      <c r="C226" s="73"/>
      <c r="D226" s="73"/>
      <c r="E226" s="75"/>
      <c r="F226" s="75"/>
      <c r="G226" s="75"/>
      <c r="H226" s="75"/>
      <c r="I226" s="29"/>
      <c r="J226" s="76"/>
      <c r="K226" s="76"/>
      <c r="L226" s="66"/>
      <c r="M226" s="66"/>
      <c r="N226" s="66"/>
      <c r="O226" s="66"/>
      <c r="P226" s="66"/>
      <c r="Q226" s="66"/>
      <c r="R226" s="66"/>
      <c r="S226" s="66"/>
      <c r="T226" s="66"/>
      <c r="U226" s="66"/>
      <c r="V226" s="66"/>
      <c r="W226" s="66"/>
      <c r="X226" s="66"/>
      <c r="Y226" s="66"/>
    </row>
    <row r="227">
      <c r="A227" s="71"/>
      <c r="B227" s="71"/>
      <c r="C227" s="73"/>
      <c r="D227" s="73"/>
      <c r="E227" s="75"/>
      <c r="F227" s="75"/>
      <c r="G227" s="75"/>
      <c r="H227" s="75"/>
      <c r="I227" s="29"/>
      <c r="J227" s="76"/>
      <c r="K227" s="76"/>
      <c r="L227" s="66"/>
      <c r="M227" s="66"/>
      <c r="N227" s="66"/>
      <c r="O227" s="66"/>
      <c r="P227" s="66"/>
      <c r="Q227" s="66"/>
      <c r="R227" s="66"/>
      <c r="S227" s="66"/>
      <c r="T227" s="66"/>
      <c r="U227" s="66"/>
      <c r="V227" s="66"/>
      <c r="W227" s="66"/>
      <c r="X227" s="66"/>
      <c r="Y227" s="66"/>
    </row>
    <row r="228">
      <c r="A228" s="71"/>
      <c r="B228" s="71"/>
      <c r="C228" s="73"/>
      <c r="D228" s="73"/>
      <c r="E228" s="75"/>
      <c r="F228" s="75"/>
      <c r="G228" s="75"/>
      <c r="H228" s="75"/>
      <c r="I228" s="29"/>
      <c r="J228" s="76"/>
      <c r="K228" s="76"/>
      <c r="L228" s="66"/>
      <c r="M228" s="66"/>
      <c r="N228" s="66"/>
      <c r="O228" s="66"/>
      <c r="P228" s="66"/>
      <c r="Q228" s="66"/>
      <c r="R228" s="66"/>
      <c r="S228" s="66"/>
      <c r="T228" s="66"/>
      <c r="U228" s="66"/>
      <c r="V228" s="66"/>
      <c r="W228" s="66"/>
      <c r="X228" s="66"/>
      <c r="Y228" s="66"/>
    </row>
    <row r="229">
      <c r="A229" s="71"/>
      <c r="B229" s="71"/>
      <c r="C229" s="73"/>
      <c r="D229" s="73"/>
      <c r="E229" s="75"/>
      <c r="F229" s="75"/>
      <c r="G229" s="75"/>
      <c r="H229" s="75"/>
      <c r="I229" s="29"/>
      <c r="J229" s="76"/>
      <c r="K229" s="76"/>
      <c r="L229" s="66"/>
      <c r="M229" s="66"/>
      <c r="N229" s="66"/>
      <c r="O229" s="66"/>
      <c r="P229" s="66"/>
      <c r="Q229" s="66"/>
      <c r="R229" s="66"/>
      <c r="S229" s="66"/>
      <c r="T229" s="66"/>
      <c r="U229" s="66"/>
      <c r="V229" s="66"/>
      <c r="W229" s="66"/>
      <c r="X229" s="66"/>
      <c r="Y229" s="66"/>
    </row>
    <row r="230">
      <c r="A230" s="71"/>
      <c r="B230" s="71"/>
      <c r="C230" s="73"/>
      <c r="D230" s="73"/>
      <c r="E230" s="75"/>
      <c r="F230" s="75"/>
      <c r="G230" s="75"/>
      <c r="H230" s="75"/>
      <c r="I230" s="29"/>
      <c r="J230" s="76"/>
      <c r="K230" s="76"/>
      <c r="L230" s="66"/>
      <c r="M230" s="66"/>
      <c r="N230" s="66"/>
      <c r="O230" s="66"/>
      <c r="P230" s="66"/>
      <c r="Q230" s="66"/>
      <c r="R230" s="66"/>
      <c r="S230" s="66"/>
      <c r="T230" s="66"/>
      <c r="U230" s="66"/>
      <c r="V230" s="66"/>
      <c r="W230" s="66"/>
      <c r="X230" s="66"/>
      <c r="Y230" s="66"/>
    </row>
    <row r="231">
      <c r="A231" s="71"/>
      <c r="B231" s="71"/>
      <c r="C231" s="73"/>
      <c r="D231" s="73"/>
      <c r="E231" s="75"/>
      <c r="F231" s="75"/>
      <c r="G231" s="75"/>
      <c r="H231" s="75"/>
      <c r="I231" s="29"/>
      <c r="J231" s="76"/>
      <c r="K231" s="76"/>
      <c r="L231" s="66"/>
      <c r="M231" s="66"/>
      <c r="N231" s="66"/>
      <c r="O231" s="66"/>
      <c r="P231" s="66"/>
      <c r="Q231" s="66"/>
      <c r="R231" s="66"/>
      <c r="S231" s="66"/>
      <c r="T231" s="66"/>
      <c r="U231" s="66"/>
      <c r="V231" s="66"/>
      <c r="W231" s="66"/>
      <c r="X231" s="66"/>
      <c r="Y231" s="66"/>
    </row>
    <row r="232">
      <c r="A232" s="71"/>
      <c r="B232" s="71"/>
      <c r="C232" s="73"/>
      <c r="D232" s="73"/>
      <c r="E232" s="75"/>
      <c r="F232" s="75"/>
      <c r="G232" s="75"/>
      <c r="H232" s="75"/>
      <c r="I232" s="29"/>
      <c r="J232" s="76"/>
      <c r="K232" s="76"/>
      <c r="L232" s="66"/>
      <c r="M232" s="66"/>
      <c r="N232" s="66"/>
      <c r="O232" s="66"/>
      <c r="P232" s="66"/>
      <c r="Q232" s="66"/>
      <c r="R232" s="66"/>
      <c r="S232" s="66"/>
      <c r="T232" s="66"/>
      <c r="U232" s="66"/>
      <c r="V232" s="66"/>
      <c r="W232" s="66"/>
      <c r="X232" s="66"/>
      <c r="Y232" s="66"/>
    </row>
    <row r="233">
      <c r="A233" s="71"/>
      <c r="B233" s="71"/>
      <c r="C233" s="73"/>
      <c r="D233" s="73"/>
      <c r="E233" s="75"/>
      <c r="F233" s="75"/>
      <c r="G233" s="75"/>
      <c r="H233" s="75"/>
      <c r="I233" s="29"/>
      <c r="J233" s="76"/>
      <c r="K233" s="76"/>
      <c r="L233" s="66"/>
      <c r="M233" s="66"/>
      <c r="N233" s="66"/>
      <c r="O233" s="66"/>
      <c r="P233" s="66"/>
      <c r="Q233" s="66"/>
      <c r="R233" s="66"/>
      <c r="S233" s="66"/>
      <c r="T233" s="66"/>
      <c r="U233" s="66"/>
      <c r="V233" s="66"/>
      <c r="W233" s="66"/>
      <c r="X233" s="66"/>
      <c r="Y233" s="66"/>
    </row>
    <row r="234">
      <c r="A234" s="71"/>
      <c r="B234" s="71"/>
      <c r="C234" s="73"/>
      <c r="D234" s="73"/>
      <c r="E234" s="75"/>
      <c r="F234" s="75"/>
      <c r="G234" s="75"/>
      <c r="H234" s="75"/>
      <c r="I234" s="29"/>
      <c r="J234" s="76"/>
      <c r="K234" s="76"/>
      <c r="L234" s="66"/>
      <c r="M234" s="66"/>
      <c r="N234" s="66"/>
      <c r="O234" s="66"/>
      <c r="P234" s="66"/>
      <c r="Q234" s="66"/>
      <c r="R234" s="66"/>
      <c r="S234" s="66"/>
      <c r="T234" s="66"/>
      <c r="U234" s="66"/>
      <c r="V234" s="66"/>
      <c r="W234" s="66"/>
      <c r="X234" s="66"/>
      <c r="Y234" s="66"/>
    </row>
    <row r="235">
      <c r="A235" s="71"/>
      <c r="B235" s="71"/>
      <c r="C235" s="73"/>
      <c r="D235" s="73"/>
      <c r="E235" s="75"/>
      <c r="F235" s="75"/>
      <c r="G235" s="75"/>
      <c r="H235" s="75"/>
      <c r="I235" s="29"/>
      <c r="J235" s="76"/>
      <c r="K235" s="76"/>
      <c r="L235" s="66"/>
      <c r="M235" s="66"/>
      <c r="N235" s="66"/>
      <c r="O235" s="66"/>
      <c r="P235" s="66"/>
      <c r="Q235" s="66"/>
      <c r="R235" s="66"/>
      <c r="S235" s="66"/>
      <c r="T235" s="66"/>
      <c r="U235" s="66"/>
      <c r="V235" s="66"/>
      <c r="W235" s="66"/>
      <c r="X235" s="66"/>
      <c r="Y235" s="66"/>
    </row>
    <row r="236">
      <c r="A236" s="71"/>
      <c r="B236" s="71"/>
      <c r="C236" s="73"/>
      <c r="D236" s="73"/>
      <c r="E236" s="75"/>
      <c r="F236" s="75"/>
      <c r="G236" s="75"/>
      <c r="H236" s="75"/>
      <c r="I236" s="29"/>
      <c r="J236" s="76"/>
      <c r="K236" s="76"/>
      <c r="L236" s="66"/>
      <c r="M236" s="66"/>
      <c r="N236" s="66"/>
      <c r="O236" s="66"/>
      <c r="P236" s="66"/>
      <c r="Q236" s="66"/>
      <c r="R236" s="66"/>
      <c r="S236" s="66"/>
      <c r="T236" s="66"/>
      <c r="U236" s="66"/>
      <c r="V236" s="66"/>
      <c r="W236" s="66"/>
      <c r="X236" s="66"/>
      <c r="Y236" s="66"/>
    </row>
    <row r="237">
      <c r="A237" s="71"/>
      <c r="B237" s="71"/>
      <c r="C237" s="73"/>
      <c r="D237" s="73"/>
      <c r="E237" s="75"/>
      <c r="F237" s="75"/>
      <c r="G237" s="75"/>
      <c r="H237" s="75"/>
      <c r="I237" s="29"/>
      <c r="J237" s="76"/>
      <c r="K237" s="76"/>
      <c r="L237" s="66"/>
      <c r="M237" s="66"/>
      <c r="N237" s="66"/>
      <c r="O237" s="66"/>
      <c r="P237" s="66"/>
      <c r="Q237" s="66"/>
      <c r="R237" s="66"/>
      <c r="S237" s="66"/>
      <c r="T237" s="66"/>
      <c r="U237" s="66"/>
      <c r="V237" s="66"/>
      <c r="W237" s="66"/>
      <c r="X237" s="66"/>
      <c r="Y237" s="66"/>
    </row>
    <row r="238">
      <c r="A238" s="71"/>
      <c r="B238" s="71"/>
      <c r="C238" s="73"/>
      <c r="D238" s="73"/>
      <c r="E238" s="75"/>
      <c r="F238" s="75"/>
      <c r="G238" s="75"/>
      <c r="H238" s="75"/>
      <c r="I238" s="29"/>
      <c r="J238" s="76"/>
      <c r="K238" s="76"/>
      <c r="L238" s="66"/>
      <c r="M238" s="66"/>
      <c r="N238" s="66"/>
      <c r="O238" s="66"/>
      <c r="P238" s="66"/>
      <c r="Q238" s="66"/>
      <c r="R238" s="66"/>
      <c r="S238" s="66"/>
      <c r="T238" s="66"/>
      <c r="U238" s="66"/>
      <c r="V238" s="66"/>
      <c r="W238" s="66"/>
      <c r="X238" s="66"/>
      <c r="Y238" s="66"/>
    </row>
    <row r="239">
      <c r="A239" s="71"/>
      <c r="B239" s="71"/>
      <c r="C239" s="73"/>
      <c r="D239" s="73"/>
      <c r="E239" s="75"/>
      <c r="F239" s="75"/>
      <c r="G239" s="75"/>
      <c r="H239" s="75"/>
      <c r="I239" s="29"/>
      <c r="J239" s="76"/>
      <c r="K239" s="76"/>
      <c r="L239" s="66"/>
      <c r="M239" s="66"/>
      <c r="N239" s="66"/>
      <c r="O239" s="66"/>
      <c r="P239" s="66"/>
      <c r="Q239" s="66"/>
      <c r="R239" s="66"/>
      <c r="S239" s="66"/>
      <c r="T239" s="66"/>
      <c r="U239" s="66"/>
      <c r="V239" s="66"/>
      <c r="W239" s="66"/>
      <c r="X239" s="66"/>
      <c r="Y239" s="66"/>
    </row>
    <row r="240">
      <c r="A240" s="71"/>
      <c r="B240" s="71"/>
      <c r="C240" s="73"/>
      <c r="D240" s="73"/>
      <c r="E240" s="75"/>
      <c r="F240" s="75"/>
      <c r="G240" s="75"/>
      <c r="H240" s="75"/>
      <c r="I240" s="29"/>
      <c r="J240" s="76"/>
      <c r="K240" s="76"/>
      <c r="L240" s="66"/>
      <c r="M240" s="66"/>
      <c r="N240" s="66"/>
      <c r="O240" s="66"/>
      <c r="P240" s="66"/>
      <c r="Q240" s="66"/>
      <c r="R240" s="66"/>
      <c r="S240" s="66"/>
      <c r="T240" s="66"/>
      <c r="U240" s="66"/>
      <c r="V240" s="66"/>
      <c r="W240" s="66"/>
      <c r="X240" s="66"/>
      <c r="Y240" s="66"/>
    </row>
    <row r="241">
      <c r="A241" s="71"/>
      <c r="B241" s="71"/>
      <c r="C241" s="73"/>
      <c r="D241" s="73"/>
      <c r="E241" s="75"/>
      <c r="F241" s="75"/>
      <c r="G241" s="75"/>
      <c r="H241" s="75"/>
      <c r="I241" s="29"/>
      <c r="J241" s="76"/>
      <c r="K241" s="76"/>
      <c r="L241" s="66"/>
      <c r="M241" s="66"/>
      <c r="N241" s="66"/>
      <c r="O241" s="66"/>
      <c r="P241" s="66"/>
      <c r="Q241" s="66"/>
      <c r="R241" s="66"/>
      <c r="S241" s="66"/>
      <c r="T241" s="66"/>
      <c r="U241" s="66"/>
      <c r="V241" s="66"/>
      <c r="W241" s="66"/>
      <c r="X241" s="66"/>
      <c r="Y241" s="66"/>
    </row>
    <row r="242">
      <c r="A242" s="71"/>
      <c r="B242" s="71"/>
      <c r="C242" s="73"/>
      <c r="D242" s="73"/>
      <c r="E242" s="75"/>
      <c r="F242" s="75"/>
      <c r="G242" s="75"/>
      <c r="H242" s="75"/>
      <c r="I242" s="29"/>
      <c r="J242" s="76"/>
      <c r="K242" s="76"/>
      <c r="L242" s="66"/>
      <c r="M242" s="66"/>
      <c r="N242" s="66"/>
      <c r="O242" s="66"/>
      <c r="P242" s="66"/>
      <c r="Q242" s="66"/>
      <c r="R242" s="66"/>
      <c r="S242" s="66"/>
      <c r="T242" s="66"/>
      <c r="U242" s="66"/>
      <c r="V242" s="66"/>
      <c r="W242" s="66"/>
      <c r="X242" s="66"/>
      <c r="Y242" s="66"/>
    </row>
    <row r="243">
      <c r="A243" s="71"/>
      <c r="B243" s="71"/>
      <c r="C243" s="73"/>
      <c r="D243" s="73"/>
      <c r="E243" s="75"/>
      <c r="F243" s="75"/>
      <c r="G243" s="75"/>
      <c r="H243" s="75"/>
      <c r="I243" s="29"/>
      <c r="J243" s="76"/>
      <c r="K243" s="76"/>
      <c r="L243" s="66"/>
      <c r="M243" s="66"/>
      <c r="N243" s="66"/>
      <c r="O243" s="66"/>
      <c r="P243" s="66"/>
      <c r="Q243" s="66"/>
      <c r="R243" s="66"/>
      <c r="S243" s="66"/>
      <c r="T243" s="66"/>
      <c r="U243" s="66"/>
      <c r="V243" s="66"/>
      <c r="W243" s="66"/>
      <c r="X243" s="66"/>
      <c r="Y243" s="66"/>
    </row>
    <row r="244">
      <c r="A244" s="71"/>
      <c r="B244" s="71"/>
      <c r="C244" s="73"/>
      <c r="D244" s="73"/>
      <c r="E244" s="75"/>
      <c r="F244" s="75"/>
      <c r="G244" s="75"/>
      <c r="H244" s="75"/>
      <c r="I244" s="29"/>
      <c r="J244" s="76"/>
      <c r="K244" s="76"/>
      <c r="L244" s="66"/>
      <c r="M244" s="66"/>
      <c r="N244" s="66"/>
      <c r="O244" s="66"/>
      <c r="P244" s="66"/>
      <c r="Q244" s="66"/>
      <c r="R244" s="66"/>
      <c r="S244" s="66"/>
      <c r="T244" s="66"/>
      <c r="U244" s="66"/>
      <c r="V244" s="66"/>
      <c r="W244" s="66"/>
      <c r="X244" s="66"/>
      <c r="Y244" s="66"/>
    </row>
    <row r="245">
      <c r="A245" s="71"/>
      <c r="B245" s="71"/>
      <c r="C245" s="73"/>
      <c r="D245" s="73"/>
      <c r="E245" s="75"/>
      <c r="F245" s="75"/>
      <c r="G245" s="75"/>
      <c r="H245" s="75"/>
      <c r="I245" s="29"/>
      <c r="J245" s="76"/>
      <c r="K245" s="76"/>
      <c r="L245" s="66"/>
      <c r="M245" s="66"/>
      <c r="N245" s="66"/>
      <c r="O245" s="66"/>
      <c r="P245" s="66"/>
      <c r="Q245" s="66"/>
      <c r="R245" s="66"/>
      <c r="S245" s="66"/>
      <c r="T245" s="66"/>
      <c r="U245" s="66"/>
      <c r="V245" s="66"/>
      <c r="W245" s="66"/>
      <c r="X245" s="66"/>
      <c r="Y245" s="66"/>
    </row>
    <row r="246">
      <c r="A246" s="71"/>
      <c r="B246" s="71"/>
      <c r="C246" s="73"/>
      <c r="D246" s="73"/>
      <c r="E246" s="75"/>
      <c r="F246" s="75"/>
      <c r="G246" s="75"/>
      <c r="H246" s="75"/>
      <c r="I246" s="29"/>
      <c r="J246" s="76"/>
      <c r="K246" s="76"/>
      <c r="L246" s="66"/>
      <c r="M246" s="66"/>
      <c r="N246" s="66"/>
      <c r="O246" s="66"/>
      <c r="P246" s="66"/>
      <c r="Q246" s="66"/>
      <c r="R246" s="66"/>
      <c r="S246" s="66"/>
      <c r="T246" s="66"/>
      <c r="U246" s="66"/>
      <c r="V246" s="66"/>
      <c r="W246" s="66"/>
      <c r="X246" s="66"/>
      <c r="Y246" s="66"/>
    </row>
    <row r="247">
      <c r="A247" s="71"/>
      <c r="B247" s="71"/>
      <c r="C247" s="73"/>
      <c r="D247" s="73"/>
      <c r="E247" s="75"/>
      <c r="F247" s="75"/>
      <c r="G247" s="75"/>
      <c r="H247" s="75"/>
      <c r="I247" s="29"/>
      <c r="J247" s="76"/>
      <c r="K247" s="76"/>
      <c r="L247" s="66"/>
      <c r="M247" s="66"/>
      <c r="N247" s="66"/>
      <c r="O247" s="66"/>
      <c r="P247" s="66"/>
      <c r="Q247" s="66"/>
      <c r="R247" s="66"/>
      <c r="S247" s="66"/>
      <c r="T247" s="66"/>
      <c r="U247" s="66"/>
      <c r="V247" s="66"/>
      <c r="W247" s="66"/>
      <c r="X247" s="66"/>
      <c r="Y247" s="66"/>
    </row>
    <row r="248">
      <c r="A248" s="71"/>
      <c r="B248" s="71"/>
      <c r="C248" s="73"/>
      <c r="D248" s="73"/>
      <c r="E248" s="75"/>
      <c r="F248" s="75"/>
      <c r="G248" s="75"/>
      <c r="H248" s="75"/>
      <c r="I248" s="29"/>
      <c r="J248" s="76"/>
      <c r="K248" s="76"/>
      <c r="L248" s="66"/>
      <c r="M248" s="66"/>
      <c r="N248" s="66"/>
      <c r="O248" s="66"/>
      <c r="P248" s="66"/>
      <c r="Q248" s="66"/>
      <c r="R248" s="66"/>
      <c r="S248" s="66"/>
      <c r="T248" s="66"/>
      <c r="U248" s="66"/>
      <c r="V248" s="66"/>
      <c r="W248" s="66"/>
      <c r="X248" s="66"/>
      <c r="Y248" s="66"/>
    </row>
    <row r="249">
      <c r="A249" s="71"/>
      <c r="B249" s="71"/>
      <c r="C249" s="73"/>
      <c r="D249" s="73"/>
      <c r="E249" s="75"/>
      <c r="F249" s="75"/>
      <c r="G249" s="75"/>
      <c r="H249" s="75"/>
      <c r="I249" s="29"/>
      <c r="J249" s="76"/>
      <c r="K249" s="76"/>
      <c r="L249" s="66"/>
      <c r="M249" s="66"/>
      <c r="N249" s="66"/>
      <c r="O249" s="66"/>
      <c r="P249" s="66"/>
      <c r="Q249" s="66"/>
      <c r="R249" s="66"/>
      <c r="S249" s="66"/>
      <c r="T249" s="66"/>
      <c r="U249" s="66"/>
      <c r="V249" s="66"/>
      <c r="W249" s="66"/>
      <c r="X249" s="66"/>
      <c r="Y249" s="66"/>
    </row>
    <row r="250">
      <c r="A250" s="71"/>
      <c r="B250" s="71"/>
      <c r="C250" s="73"/>
      <c r="D250" s="73"/>
      <c r="E250" s="75"/>
      <c r="F250" s="75"/>
      <c r="G250" s="75"/>
      <c r="H250" s="75"/>
      <c r="I250" s="29"/>
      <c r="J250" s="76"/>
      <c r="K250" s="76"/>
      <c r="L250" s="66"/>
      <c r="M250" s="66"/>
      <c r="N250" s="66"/>
      <c r="O250" s="66"/>
      <c r="P250" s="66"/>
      <c r="Q250" s="66"/>
      <c r="R250" s="66"/>
      <c r="S250" s="66"/>
      <c r="T250" s="66"/>
      <c r="U250" s="66"/>
      <c r="V250" s="66"/>
      <c r="W250" s="66"/>
      <c r="X250" s="66"/>
      <c r="Y250" s="66"/>
    </row>
    <row r="251">
      <c r="A251" s="71"/>
      <c r="B251" s="71"/>
      <c r="C251" s="73"/>
      <c r="D251" s="73"/>
      <c r="E251" s="75"/>
      <c r="F251" s="75"/>
      <c r="G251" s="75"/>
      <c r="H251" s="75"/>
      <c r="I251" s="29"/>
      <c r="J251" s="76"/>
      <c r="K251" s="76"/>
      <c r="L251" s="66"/>
      <c r="M251" s="66"/>
      <c r="N251" s="66"/>
      <c r="O251" s="66"/>
      <c r="P251" s="66"/>
      <c r="Q251" s="66"/>
      <c r="R251" s="66"/>
      <c r="S251" s="66"/>
      <c r="T251" s="66"/>
      <c r="U251" s="66"/>
      <c r="V251" s="66"/>
      <c r="W251" s="66"/>
      <c r="X251" s="66"/>
      <c r="Y251" s="66"/>
    </row>
    <row r="252">
      <c r="A252" s="71"/>
      <c r="B252" s="71"/>
      <c r="C252" s="73"/>
      <c r="D252" s="73"/>
      <c r="E252" s="75"/>
      <c r="F252" s="75"/>
      <c r="G252" s="75"/>
      <c r="H252" s="75"/>
      <c r="I252" s="29"/>
      <c r="J252" s="76"/>
      <c r="K252" s="76"/>
      <c r="L252" s="66"/>
      <c r="M252" s="66"/>
      <c r="N252" s="66"/>
      <c r="O252" s="66"/>
      <c r="P252" s="66"/>
      <c r="Q252" s="66"/>
      <c r="R252" s="66"/>
      <c r="S252" s="66"/>
      <c r="T252" s="66"/>
      <c r="U252" s="66"/>
      <c r="V252" s="66"/>
      <c r="W252" s="66"/>
      <c r="X252" s="66"/>
      <c r="Y252" s="66"/>
    </row>
    <row r="253">
      <c r="A253" s="71"/>
      <c r="B253" s="71"/>
      <c r="C253" s="73"/>
      <c r="D253" s="73"/>
      <c r="E253" s="75"/>
      <c r="F253" s="75"/>
      <c r="G253" s="75"/>
      <c r="H253" s="75"/>
      <c r="I253" s="29"/>
      <c r="J253" s="76"/>
      <c r="K253" s="76"/>
      <c r="L253" s="66"/>
      <c r="M253" s="66"/>
      <c r="N253" s="66"/>
      <c r="O253" s="66"/>
      <c r="P253" s="66"/>
      <c r="Q253" s="66"/>
      <c r="R253" s="66"/>
      <c r="S253" s="66"/>
      <c r="T253" s="66"/>
      <c r="U253" s="66"/>
      <c r="V253" s="66"/>
      <c r="W253" s="66"/>
      <c r="X253" s="66"/>
      <c r="Y253" s="66"/>
    </row>
    <row r="254">
      <c r="A254" s="71"/>
      <c r="B254" s="71"/>
      <c r="C254" s="73"/>
      <c r="D254" s="73"/>
      <c r="E254" s="75"/>
      <c r="F254" s="75"/>
      <c r="G254" s="75"/>
      <c r="H254" s="75"/>
      <c r="I254" s="29"/>
      <c r="J254" s="76"/>
      <c r="K254" s="76"/>
      <c r="L254" s="66"/>
      <c r="M254" s="66"/>
      <c r="N254" s="66"/>
      <c r="O254" s="66"/>
      <c r="P254" s="66"/>
      <c r="Q254" s="66"/>
      <c r="R254" s="66"/>
      <c r="S254" s="66"/>
      <c r="T254" s="66"/>
      <c r="U254" s="66"/>
      <c r="V254" s="66"/>
      <c r="W254" s="66"/>
      <c r="X254" s="66"/>
      <c r="Y254" s="66"/>
    </row>
    <row r="255">
      <c r="A255" s="71"/>
      <c r="B255" s="71"/>
      <c r="C255" s="73"/>
      <c r="D255" s="73"/>
      <c r="E255" s="75"/>
      <c r="F255" s="75"/>
      <c r="G255" s="75"/>
      <c r="H255" s="75"/>
      <c r="I255" s="29"/>
      <c r="J255" s="76"/>
      <c r="K255" s="76"/>
      <c r="L255" s="66"/>
      <c r="M255" s="66"/>
      <c r="N255" s="66"/>
      <c r="O255" s="66"/>
      <c r="P255" s="66"/>
      <c r="Q255" s="66"/>
      <c r="R255" s="66"/>
      <c r="S255" s="66"/>
      <c r="T255" s="66"/>
      <c r="U255" s="66"/>
      <c r="V255" s="66"/>
      <c r="W255" s="66"/>
      <c r="X255" s="66"/>
      <c r="Y255" s="66"/>
    </row>
    <row r="256">
      <c r="A256" s="71"/>
      <c r="B256" s="71"/>
      <c r="C256" s="73"/>
      <c r="D256" s="73"/>
      <c r="E256" s="75"/>
      <c r="F256" s="75"/>
      <c r="G256" s="75"/>
      <c r="H256" s="75"/>
      <c r="I256" s="29"/>
      <c r="J256" s="76"/>
      <c r="K256" s="76"/>
      <c r="L256" s="66"/>
      <c r="M256" s="66"/>
      <c r="N256" s="66"/>
      <c r="O256" s="66"/>
      <c r="P256" s="66"/>
      <c r="Q256" s="66"/>
      <c r="R256" s="66"/>
      <c r="S256" s="66"/>
      <c r="T256" s="66"/>
      <c r="U256" s="66"/>
      <c r="V256" s="66"/>
      <c r="W256" s="66"/>
      <c r="X256" s="66"/>
      <c r="Y256" s="66"/>
    </row>
    <row r="257">
      <c r="A257" s="71"/>
      <c r="B257" s="71"/>
      <c r="C257" s="73"/>
      <c r="D257" s="73"/>
      <c r="E257" s="75"/>
      <c r="F257" s="75"/>
      <c r="G257" s="75"/>
      <c r="H257" s="75"/>
      <c r="I257" s="29"/>
      <c r="J257" s="76"/>
      <c r="K257" s="76"/>
      <c r="L257" s="66"/>
      <c r="M257" s="66"/>
      <c r="N257" s="66"/>
      <c r="O257" s="66"/>
      <c r="P257" s="66"/>
      <c r="Q257" s="66"/>
      <c r="R257" s="66"/>
      <c r="S257" s="66"/>
      <c r="T257" s="66"/>
      <c r="U257" s="66"/>
      <c r="V257" s="66"/>
      <c r="W257" s="66"/>
      <c r="X257" s="66"/>
      <c r="Y257" s="66"/>
    </row>
    <row r="258">
      <c r="A258" s="71"/>
      <c r="B258" s="71"/>
      <c r="C258" s="73"/>
      <c r="D258" s="73"/>
      <c r="E258" s="75"/>
      <c r="F258" s="75"/>
      <c r="G258" s="75"/>
      <c r="H258" s="75"/>
      <c r="I258" s="29"/>
      <c r="J258" s="76"/>
      <c r="K258" s="76"/>
      <c r="L258" s="66"/>
      <c r="M258" s="66"/>
      <c r="N258" s="66"/>
      <c r="O258" s="66"/>
      <c r="P258" s="66"/>
      <c r="Q258" s="66"/>
      <c r="R258" s="66"/>
      <c r="S258" s="66"/>
      <c r="T258" s="66"/>
      <c r="U258" s="66"/>
      <c r="V258" s="66"/>
      <c r="W258" s="66"/>
      <c r="X258" s="66"/>
      <c r="Y258" s="66"/>
    </row>
    <row r="259">
      <c r="A259" s="71"/>
      <c r="B259" s="71"/>
      <c r="C259" s="73"/>
      <c r="D259" s="73"/>
      <c r="E259" s="75"/>
      <c r="F259" s="75"/>
      <c r="G259" s="75"/>
      <c r="H259" s="75"/>
      <c r="I259" s="29"/>
      <c r="J259" s="76"/>
      <c r="K259" s="76"/>
      <c r="L259" s="66"/>
      <c r="M259" s="66"/>
      <c r="N259" s="66"/>
      <c r="O259" s="66"/>
      <c r="P259" s="66"/>
      <c r="Q259" s="66"/>
      <c r="R259" s="66"/>
      <c r="S259" s="66"/>
      <c r="T259" s="66"/>
      <c r="U259" s="66"/>
      <c r="V259" s="66"/>
      <c r="W259" s="66"/>
      <c r="X259" s="66"/>
      <c r="Y259" s="66"/>
    </row>
    <row r="260">
      <c r="A260" s="71"/>
      <c r="B260" s="71"/>
      <c r="C260" s="73"/>
      <c r="D260" s="73"/>
      <c r="E260" s="75"/>
      <c r="F260" s="75"/>
      <c r="G260" s="75"/>
      <c r="H260" s="75"/>
      <c r="I260" s="29"/>
      <c r="J260" s="76"/>
      <c r="K260" s="76"/>
      <c r="L260" s="66"/>
      <c r="M260" s="66"/>
      <c r="N260" s="66"/>
      <c r="O260" s="66"/>
      <c r="P260" s="66"/>
      <c r="Q260" s="66"/>
      <c r="R260" s="66"/>
      <c r="S260" s="66"/>
      <c r="T260" s="66"/>
      <c r="U260" s="66"/>
      <c r="V260" s="66"/>
      <c r="W260" s="66"/>
      <c r="X260" s="66"/>
      <c r="Y260" s="66"/>
    </row>
    <row r="261">
      <c r="A261" s="71"/>
      <c r="B261" s="71"/>
      <c r="C261" s="73"/>
      <c r="D261" s="73"/>
      <c r="E261" s="75"/>
      <c r="F261" s="75"/>
      <c r="G261" s="75"/>
      <c r="H261" s="75"/>
      <c r="I261" s="29"/>
      <c r="J261" s="76"/>
      <c r="K261" s="76"/>
      <c r="L261" s="66"/>
      <c r="M261" s="66"/>
      <c r="N261" s="66"/>
      <c r="O261" s="66"/>
      <c r="P261" s="66"/>
      <c r="Q261" s="66"/>
      <c r="R261" s="66"/>
      <c r="S261" s="66"/>
      <c r="T261" s="66"/>
      <c r="U261" s="66"/>
      <c r="V261" s="66"/>
      <c r="W261" s="66"/>
      <c r="X261" s="66"/>
      <c r="Y261" s="66"/>
    </row>
    <row r="262">
      <c r="A262" s="71"/>
      <c r="B262" s="71"/>
      <c r="C262" s="73"/>
      <c r="D262" s="73"/>
      <c r="E262" s="75"/>
      <c r="F262" s="75"/>
      <c r="G262" s="75"/>
      <c r="H262" s="75"/>
      <c r="I262" s="29"/>
      <c r="J262" s="76"/>
      <c r="K262" s="76"/>
      <c r="L262" s="66"/>
      <c r="M262" s="66"/>
      <c r="N262" s="66"/>
      <c r="O262" s="66"/>
      <c r="P262" s="66"/>
      <c r="Q262" s="66"/>
      <c r="R262" s="66"/>
      <c r="S262" s="66"/>
      <c r="T262" s="66"/>
      <c r="U262" s="66"/>
      <c r="V262" s="66"/>
      <c r="W262" s="66"/>
      <c r="X262" s="66"/>
      <c r="Y262" s="66"/>
    </row>
    <row r="263">
      <c r="A263" s="71"/>
      <c r="B263" s="71"/>
      <c r="C263" s="73"/>
      <c r="D263" s="73"/>
      <c r="E263" s="75"/>
      <c r="F263" s="75"/>
      <c r="G263" s="75"/>
      <c r="H263" s="75"/>
      <c r="I263" s="29"/>
      <c r="J263" s="76"/>
      <c r="K263" s="76"/>
      <c r="L263" s="66"/>
      <c r="M263" s="66"/>
      <c r="N263" s="66"/>
      <c r="O263" s="66"/>
      <c r="P263" s="66"/>
      <c r="Q263" s="66"/>
      <c r="R263" s="66"/>
      <c r="S263" s="66"/>
      <c r="T263" s="66"/>
      <c r="U263" s="66"/>
      <c r="V263" s="66"/>
      <c r="W263" s="66"/>
      <c r="X263" s="66"/>
      <c r="Y263" s="66"/>
    </row>
    <row r="264">
      <c r="A264" s="71"/>
      <c r="B264" s="71"/>
      <c r="C264" s="73"/>
      <c r="D264" s="73"/>
      <c r="E264" s="75"/>
      <c r="F264" s="75"/>
      <c r="G264" s="75"/>
      <c r="H264" s="75"/>
      <c r="I264" s="29"/>
      <c r="J264" s="76"/>
      <c r="K264" s="76"/>
      <c r="L264" s="66"/>
      <c r="M264" s="66"/>
      <c r="N264" s="66"/>
      <c r="O264" s="66"/>
      <c r="P264" s="66"/>
      <c r="Q264" s="66"/>
      <c r="R264" s="66"/>
      <c r="S264" s="66"/>
      <c r="T264" s="66"/>
      <c r="U264" s="66"/>
      <c r="V264" s="66"/>
      <c r="W264" s="66"/>
      <c r="X264" s="66"/>
      <c r="Y264" s="66"/>
    </row>
    <row r="265">
      <c r="A265" s="71"/>
      <c r="B265" s="71"/>
      <c r="C265" s="73"/>
      <c r="D265" s="73"/>
      <c r="E265" s="75"/>
      <c r="F265" s="75"/>
      <c r="G265" s="75"/>
      <c r="H265" s="75"/>
      <c r="I265" s="29"/>
      <c r="J265" s="76"/>
      <c r="K265" s="76"/>
      <c r="L265" s="66"/>
      <c r="M265" s="66"/>
      <c r="N265" s="66"/>
      <c r="O265" s="66"/>
      <c r="P265" s="66"/>
      <c r="Q265" s="66"/>
      <c r="R265" s="66"/>
      <c r="S265" s="66"/>
      <c r="T265" s="66"/>
      <c r="U265" s="66"/>
      <c r="V265" s="66"/>
      <c r="W265" s="66"/>
      <c r="X265" s="66"/>
      <c r="Y265" s="66"/>
    </row>
    <row r="266">
      <c r="A266" s="71"/>
      <c r="B266" s="71"/>
      <c r="C266" s="73"/>
      <c r="D266" s="73"/>
      <c r="E266" s="75"/>
      <c r="F266" s="75"/>
      <c r="G266" s="75"/>
      <c r="H266" s="75"/>
      <c r="I266" s="29"/>
      <c r="J266" s="76"/>
      <c r="K266" s="76"/>
      <c r="L266" s="66"/>
      <c r="M266" s="66"/>
      <c r="N266" s="66"/>
      <c r="O266" s="66"/>
      <c r="P266" s="66"/>
      <c r="Q266" s="66"/>
      <c r="R266" s="66"/>
      <c r="S266" s="66"/>
      <c r="T266" s="66"/>
      <c r="U266" s="66"/>
      <c r="V266" s="66"/>
      <c r="W266" s="66"/>
      <c r="X266" s="66"/>
      <c r="Y266" s="66"/>
    </row>
    <row r="267">
      <c r="A267" s="71"/>
      <c r="B267" s="71"/>
      <c r="C267" s="73"/>
      <c r="D267" s="73"/>
      <c r="E267" s="75"/>
      <c r="F267" s="75"/>
      <c r="G267" s="75"/>
      <c r="H267" s="75"/>
      <c r="I267" s="29"/>
      <c r="J267" s="76"/>
      <c r="K267" s="76"/>
      <c r="L267" s="66"/>
      <c r="M267" s="66"/>
      <c r="N267" s="66"/>
      <c r="O267" s="66"/>
      <c r="P267" s="66"/>
      <c r="Q267" s="66"/>
      <c r="R267" s="66"/>
      <c r="S267" s="66"/>
      <c r="T267" s="66"/>
      <c r="U267" s="66"/>
      <c r="V267" s="66"/>
      <c r="W267" s="66"/>
      <c r="X267" s="66"/>
      <c r="Y267" s="66"/>
    </row>
    <row r="268">
      <c r="A268" s="71"/>
      <c r="B268" s="71"/>
      <c r="C268" s="73"/>
      <c r="D268" s="73"/>
      <c r="E268" s="75"/>
      <c r="F268" s="75"/>
      <c r="G268" s="75"/>
      <c r="H268" s="75"/>
      <c r="I268" s="29"/>
      <c r="J268" s="76"/>
      <c r="K268" s="76"/>
      <c r="L268" s="66"/>
      <c r="M268" s="66"/>
      <c r="N268" s="66"/>
      <c r="O268" s="66"/>
      <c r="P268" s="66"/>
      <c r="Q268" s="66"/>
      <c r="R268" s="66"/>
      <c r="S268" s="66"/>
      <c r="T268" s="66"/>
      <c r="U268" s="66"/>
      <c r="V268" s="66"/>
      <c r="W268" s="66"/>
      <c r="X268" s="66"/>
      <c r="Y268" s="66"/>
    </row>
    <row r="269">
      <c r="A269" s="71"/>
      <c r="B269" s="71"/>
      <c r="C269" s="73"/>
      <c r="D269" s="73"/>
      <c r="E269" s="75"/>
      <c r="F269" s="75"/>
      <c r="G269" s="75"/>
      <c r="H269" s="75"/>
      <c r="I269" s="29"/>
      <c r="J269" s="76"/>
      <c r="K269" s="76"/>
      <c r="L269" s="66"/>
      <c r="M269" s="66"/>
      <c r="N269" s="66"/>
      <c r="O269" s="66"/>
      <c r="P269" s="66"/>
      <c r="Q269" s="66"/>
      <c r="R269" s="66"/>
      <c r="S269" s="66"/>
      <c r="T269" s="66"/>
      <c r="U269" s="66"/>
      <c r="V269" s="66"/>
      <c r="W269" s="66"/>
      <c r="X269" s="66"/>
      <c r="Y269" s="66"/>
    </row>
    <row r="270">
      <c r="A270" s="71"/>
      <c r="B270" s="71"/>
      <c r="C270" s="73"/>
      <c r="D270" s="73"/>
      <c r="E270" s="75"/>
      <c r="F270" s="75"/>
      <c r="G270" s="75"/>
      <c r="H270" s="75"/>
      <c r="I270" s="29"/>
      <c r="J270" s="76"/>
      <c r="K270" s="76"/>
      <c r="L270" s="66"/>
      <c r="M270" s="66"/>
      <c r="N270" s="66"/>
      <c r="O270" s="66"/>
      <c r="P270" s="66"/>
      <c r="Q270" s="66"/>
      <c r="R270" s="66"/>
      <c r="S270" s="66"/>
      <c r="T270" s="66"/>
      <c r="U270" s="66"/>
      <c r="V270" s="66"/>
      <c r="W270" s="66"/>
      <c r="X270" s="66"/>
      <c r="Y270" s="66"/>
    </row>
    <row r="271">
      <c r="A271" s="71"/>
      <c r="B271" s="71"/>
      <c r="C271" s="73"/>
      <c r="D271" s="73"/>
      <c r="E271" s="75"/>
      <c r="F271" s="75"/>
      <c r="G271" s="75"/>
      <c r="H271" s="75"/>
      <c r="I271" s="29"/>
      <c r="J271" s="76"/>
      <c r="K271" s="76"/>
      <c r="L271" s="66"/>
      <c r="M271" s="66"/>
      <c r="N271" s="66"/>
      <c r="O271" s="66"/>
      <c r="P271" s="66"/>
      <c r="Q271" s="66"/>
      <c r="R271" s="66"/>
      <c r="S271" s="66"/>
      <c r="T271" s="66"/>
      <c r="U271" s="66"/>
      <c r="V271" s="66"/>
      <c r="W271" s="66"/>
      <c r="X271" s="66"/>
      <c r="Y271" s="66"/>
    </row>
    <row r="272">
      <c r="A272" s="71"/>
      <c r="B272" s="71"/>
      <c r="C272" s="73"/>
      <c r="D272" s="73"/>
      <c r="E272" s="75"/>
      <c r="F272" s="75"/>
      <c r="G272" s="75"/>
      <c r="H272" s="75"/>
      <c r="I272" s="29"/>
      <c r="J272" s="76"/>
      <c r="K272" s="76"/>
      <c r="L272" s="66"/>
      <c r="M272" s="66"/>
      <c r="N272" s="66"/>
      <c r="O272" s="66"/>
      <c r="P272" s="66"/>
      <c r="Q272" s="66"/>
      <c r="R272" s="66"/>
      <c r="S272" s="66"/>
      <c r="T272" s="66"/>
      <c r="U272" s="66"/>
      <c r="V272" s="66"/>
      <c r="W272" s="66"/>
      <c r="X272" s="66"/>
      <c r="Y272" s="66"/>
    </row>
    <row r="273">
      <c r="A273" s="71"/>
      <c r="B273" s="71"/>
      <c r="C273" s="73"/>
      <c r="D273" s="73"/>
      <c r="E273" s="75"/>
      <c r="F273" s="75"/>
      <c r="G273" s="75"/>
      <c r="H273" s="75"/>
      <c r="I273" s="29"/>
      <c r="J273" s="76"/>
      <c r="K273" s="76"/>
      <c r="L273" s="66"/>
      <c r="M273" s="66"/>
      <c r="N273" s="66"/>
      <c r="O273" s="66"/>
      <c r="P273" s="66"/>
      <c r="Q273" s="66"/>
      <c r="R273" s="66"/>
      <c r="S273" s="66"/>
      <c r="T273" s="66"/>
      <c r="U273" s="66"/>
      <c r="V273" s="66"/>
      <c r="W273" s="66"/>
      <c r="X273" s="66"/>
      <c r="Y273" s="66"/>
    </row>
    <row r="274">
      <c r="A274" s="71"/>
      <c r="B274" s="71"/>
      <c r="C274" s="73"/>
      <c r="D274" s="73"/>
      <c r="E274" s="75"/>
      <c r="F274" s="75"/>
      <c r="G274" s="75"/>
      <c r="H274" s="75"/>
      <c r="I274" s="29"/>
      <c r="J274" s="76"/>
      <c r="K274" s="76"/>
      <c r="L274" s="66"/>
      <c r="M274" s="66"/>
      <c r="N274" s="66"/>
      <c r="O274" s="66"/>
      <c r="P274" s="66"/>
      <c r="Q274" s="66"/>
      <c r="R274" s="66"/>
      <c r="S274" s="66"/>
      <c r="T274" s="66"/>
      <c r="U274" s="66"/>
      <c r="V274" s="66"/>
      <c r="W274" s="66"/>
      <c r="X274" s="66"/>
      <c r="Y274" s="66"/>
    </row>
    <row r="275">
      <c r="A275" s="71"/>
      <c r="B275" s="71"/>
      <c r="C275" s="73"/>
      <c r="D275" s="73"/>
      <c r="E275" s="75"/>
      <c r="F275" s="75"/>
      <c r="G275" s="75"/>
      <c r="H275" s="75"/>
      <c r="I275" s="29"/>
      <c r="J275" s="76"/>
      <c r="K275" s="76"/>
      <c r="L275" s="66"/>
      <c r="M275" s="66"/>
      <c r="N275" s="66"/>
      <c r="O275" s="66"/>
      <c r="P275" s="66"/>
      <c r="Q275" s="66"/>
      <c r="R275" s="66"/>
      <c r="S275" s="66"/>
      <c r="T275" s="66"/>
      <c r="U275" s="66"/>
      <c r="V275" s="66"/>
      <c r="W275" s="66"/>
      <c r="X275" s="66"/>
      <c r="Y275" s="66"/>
    </row>
    <row r="276">
      <c r="A276" s="71"/>
      <c r="B276" s="71"/>
      <c r="C276" s="73"/>
      <c r="D276" s="73"/>
      <c r="E276" s="75"/>
      <c r="F276" s="75"/>
      <c r="G276" s="75"/>
      <c r="H276" s="75"/>
      <c r="I276" s="29"/>
      <c r="J276" s="76"/>
      <c r="K276" s="76"/>
      <c r="L276" s="66"/>
      <c r="M276" s="66"/>
      <c r="N276" s="66"/>
      <c r="O276" s="66"/>
      <c r="P276" s="66"/>
      <c r="Q276" s="66"/>
      <c r="R276" s="66"/>
      <c r="S276" s="66"/>
      <c r="T276" s="66"/>
      <c r="U276" s="66"/>
      <c r="V276" s="66"/>
      <c r="W276" s="66"/>
      <c r="X276" s="66"/>
      <c r="Y276" s="66"/>
    </row>
    <row r="277">
      <c r="A277" s="71"/>
      <c r="B277" s="71"/>
      <c r="C277" s="73"/>
      <c r="D277" s="73"/>
      <c r="E277" s="75"/>
      <c r="F277" s="75"/>
      <c r="G277" s="75"/>
      <c r="H277" s="75"/>
      <c r="I277" s="29"/>
      <c r="J277" s="76"/>
      <c r="K277" s="76"/>
      <c r="L277" s="66"/>
      <c r="M277" s="66"/>
      <c r="N277" s="66"/>
      <c r="O277" s="66"/>
      <c r="P277" s="66"/>
      <c r="Q277" s="66"/>
      <c r="R277" s="66"/>
      <c r="S277" s="66"/>
      <c r="T277" s="66"/>
      <c r="U277" s="66"/>
      <c r="V277" s="66"/>
      <c r="W277" s="66"/>
      <c r="X277" s="66"/>
      <c r="Y277" s="66"/>
    </row>
    <row r="278">
      <c r="A278" s="71"/>
      <c r="B278" s="71"/>
      <c r="C278" s="73"/>
      <c r="D278" s="73"/>
      <c r="E278" s="75"/>
      <c r="F278" s="75"/>
      <c r="G278" s="75"/>
      <c r="H278" s="75"/>
      <c r="I278" s="29"/>
      <c r="J278" s="76"/>
      <c r="K278" s="76"/>
      <c r="L278" s="66"/>
      <c r="M278" s="66"/>
      <c r="N278" s="66"/>
      <c r="O278" s="66"/>
      <c r="P278" s="66"/>
      <c r="Q278" s="66"/>
      <c r="R278" s="66"/>
      <c r="S278" s="66"/>
      <c r="T278" s="66"/>
      <c r="U278" s="66"/>
      <c r="V278" s="66"/>
      <c r="W278" s="66"/>
      <c r="X278" s="66"/>
      <c r="Y278" s="66"/>
    </row>
    <row r="279">
      <c r="A279" s="71"/>
      <c r="B279" s="71"/>
      <c r="C279" s="73"/>
      <c r="D279" s="73"/>
      <c r="E279" s="75"/>
      <c r="F279" s="75"/>
      <c r="G279" s="75"/>
      <c r="H279" s="75"/>
      <c r="I279" s="29"/>
      <c r="J279" s="76"/>
      <c r="K279" s="76"/>
      <c r="L279" s="66"/>
      <c r="M279" s="66"/>
      <c r="N279" s="66"/>
      <c r="O279" s="66"/>
      <c r="P279" s="66"/>
      <c r="Q279" s="66"/>
      <c r="R279" s="66"/>
      <c r="S279" s="66"/>
      <c r="T279" s="66"/>
      <c r="U279" s="66"/>
      <c r="V279" s="66"/>
      <c r="W279" s="66"/>
      <c r="X279" s="66"/>
      <c r="Y279" s="66"/>
    </row>
    <row r="280">
      <c r="A280" s="71"/>
      <c r="B280" s="71"/>
      <c r="C280" s="73"/>
      <c r="D280" s="73"/>
      <c r="E280" s="75"/>
      <c r="F280" s="75"/>
      <c r="G280" s="75"/>
      <c r="H280" s="75"/>
      <c r="I280" s="29"/>
      <c r="J280" s="76"/>
      <c r="K280" s="76"/>
      <c r="L280" s="66"/>
      <c r="M280" s="66"/>
      <c r="N280" s="66"/>
      <c r="O280" s="66"/>
      <c r="P280" s="66"/>
      <c r="Q280" s="66"/>
      <c r="R280" s="66"/>
      <c r="S280" s="66"/>
      <c r="T280" s="66"/>
      <c r="U280" s="66"/>
      <c r="V280" s="66"/>
      <c r="W280" s="66"/>
      <c r="X280" s="66"/>
      <c r="Y280" s="66"/>
    </row>
    <row r="281">
      <c r="A281" s="71"/>
      <c r="B281" s="71"/>
      <c r="C281" s="73"/>
      <c r="D281" s="73"/>
      <c r="E281" s="75"/>
      <c r="F281" s="75"/>
      <c r="G281" s="75"/>
      <c r="H281" s="75"/>
      <c r="I281" s="29"/>
      <c r="J281" s="76"/>
      <c r="K281" s="76"/>
      <c r="L281" s="66"/>
      <c r="M281" s="66"/>
      <c r="N281" s="66"/>
      <c r="O281" s="66"/>
      <c r="P281" s="66"/>
      <c r="Q281" s="66"/>
      <c r="R281" s="66"/>
      <c r="S281" s="66"/>
      <c r="T281" s="66"/>
      <c r="U281" s="66"/>
      <c r="V281" s="66"/>
      <c r="W281" s="66"/>
      <c r="X281" s="66"/>
      <c r="Y281" s="66"/>
    </row>
    <row r="282">
      <c r="A282" s="71"/>
      <c r="B282" s="71"/>
      <c r="C282" s="73"/>
      <c r="D282" s="73"/>
      <c r="E282" s="75"/>
      <c r="F282" s="75"/>
      <c r="G282" s="75"/>
      <c r="H282" s="75"/>
      <c r="I282" s="29"/>
      <c r="J282" s="76"/>
      <c r="K282" s="76"/>
      <c r="L282" s="66"/>
      <c r="M282" s="66"/>
      <c r="N282" s="66"/>
      <c r="O282" s="66"/>
      <c r="P282" s="66"/>
      <c r="Q282" s="66"/>
      <c r="R282" s="66"/>
      <c r="S282" s="66"/>
      <c r="T282" s="66"/>
      <c r="U282" s="66"/>
      <c r="V282" s="66"/>
      <c r="W282" s="66"/>
      <c r="X282" s="66"/>
      <c r="Y282" s="66"/>
    </row>
    <row r="283">
      <c r="A283" s="71"/>
      <c r="B283" s="71"/>
      <c r="C283" s="73"/>
      <c r="D283" s="73"/>
      <c r="E283" s="75"/>
      <c r="F283" s="75"/>
      <c r="G283" s="75"/>
      <c r="H283" s="75"/>
      <c r="I283" s="29"/>
      <c r="J283" s="76"/>
      <c r="K283" s="76"/>
      <c r="L283" s="66"/>
      <c r="M283" s="66"/>
      <c r="N283" s="66"/>
      <c r="O283" s="66"/>
      <c r="P283" s="66"/>
      <c r="Q283" s="66"/>
      <c r="R283" s="66"/>
      <c r="S283" s="66"/>
      <c r="T283" s="66"/>
      <c r="U283" s="66"/>
      <c r="V283" s="66"/>
      <c r="W283" s="66"/>
      <c r="X283" s="66"/>
      <c r="Y283" s="66"/>
    </row>
    <row r="284">
      <c r="A284" s="71"/>
      <c r="B284" s="71"/>
      <c r="C284" s="73"/>
      <c r="D284" s="73"/>
      <c r="E284" s="75"/>
      <c r="F284" s="75"/>
      <c r="G284" s="75"/>
      <c r="H284" s="75"/>
      <c r="I284" s="29"/>
      <c r="J284" s="76"/>
      <c r="K284" s="76"/>
      <c r="L284" s="66"/>
      <c r="M284" s="66"/>
      <c r="N284" s="66"/>
      <c r="O284" s="66"/>
      <c r="P284" s="66"/>
      <c r="Q284" s="66"/>
      <c r="R284" s="66"/>
      <c r="S284" s="66"/>
      <c r="T284" s="66"/>
      <c r="U284" s="66"/>
      <c r="V284" s="66"/>
      <c r="W284" s="66"/>
      <c r="X284" s="66"/>
      <c r="Y284" s="66"/>
    </row>
    <row r="285">
      <c r="A285" s="71"/>
      <c r="B285" s="71"/>
      <c r="C285" s="73"/>
      <c r="D285" s="73"/>
      <c r="E285" s="75"/>
      <c r="F285" s="75"/>
      <c r="G285" s="75"/>
      <c r="H285" s="75"/>
      <c r="I285" s="29"/>
      <c r="J285" s="76"/>
      <c r="K285" s="76"/>
      <c r="L285" s="66"/>
      <c r="M285" s="66"/>
      <c r="N285" s="66"/>
      <c r="O285" s="66"/>
      <c r="P285" s="66"/>
      <c r="Q285" s="66"/>
      <c r="R285" s="66"/>
      <c r="S285" s="66"/>
      <c r="T285" s="66"/>
      <c r="U285" s="66"/>
      <c r="V285" s="66"/>
      <c r="W285" s="66"/>
      <c r="X285" s="66"/>
      <c r="Y285" s="66"/>
    </row>
    <row r="286">
      <c r="A286" s="71"/>
      <c r="B286" s="71"/>
      <c r="C286" s="73"/>
      <c r="D286" s="73"/>
      <c r="E286" s="75"/>
      <c r="F286" s="75"/>
      <c r="G286" s="75"/>
      <c r="H286" s="75"/>
      <c r="I286" s="29"/>
      <c r="J286" s="76"/>
      <c r="K286" s="76"/>
      <c r="L286" s="66"/>
      <c r="M286" s="66"/>
      <c r="N286" s="66"/>
      <c r="O286" s="66"/>
      <c r="P286" s="66"/>
      <c r="Q286" s="66"/>
      <c r="R286" s="66"/>
      <c r="S286" s="66"/>
      <c r="T286" s="66"/>
      <c r="U286" s="66"/>
      <c r="V286" s="66"/>
      <c r="W286" s="66"/>
      <c r="X286" s="66"/>
      <c r="Y286" s="66"/>
    </row>
    <row r="287">
      <c r="A287" s="71"/>
      <c r="B287" s="71"/>
      <c r="C287" s="73"/>
      <c r="D287" s="73"/>
      <c r="E287" s="75"/>
      <c r="F287" s="75"/>
      <c r="G287" s="75"/>
      <c r="H287" s="75"/>
      <c r="I287" s="29"/>
      <c r="J287" s="76"/>
      <c r="K287" s="76"/>
      <c r="L287" s="66"/>
      <c r="M287" s="66"/>
      <c r="N287" s="66"/>
      <c r="O287" s="66"/>
      <c r="P287" s="66"/>
      <c r="Q287" s="66"/>
      <c r="R287" s="66"/>
      <c r="S287" s="66"/>
      <c r="T287" s="66"/>
      <c r="U287" s="66"/>
      <c r="V287" s="66"/>
      <c r="W287" s="66"/>
      <c r="X287" s="66"/>
      <c r="Y287" s="66"/>
    </row>
    <row r="288">
      <c r="A288" s="71"/>
      <c r="B288" s="71"/>
      <c r="C288" s="73"/>
      <c r="D288" s="73"/>
      <c r="E288" s="75"/>
      <c r="F288" s="75"/>
      <c r="G288" s="75"/>
      <c r="H288" s="75"/>
      <c r="I288" s="29"/>
      <c r="J288" s="76"/>
      <c r="K288" s="76"/>
      <c r="L288" s="66"/>
      <c r="M288" s="66"/>
      <c r="N288" s="66"/>
      <c r="O288" s="66"/>
      <c r="P288" s="66"/>
      <c r="Q288" s="66"/>
      <c r="R288" s="66"/>
      <c r="S288" s="66"/>
      <c r="T288" s="66"/>
      <c r="U288" s="66"/>
      <c r="V288" s="66"/>
      <c r="W288" s="66"/>
      <c r="X288" s="66"/>
      <c r="Y288" s="66"/>
    </row>
    <row r="289">
      <c r="A289" s="71"/>
      <c r="B289" s="71"/>
      <c r="C289" s="73"/>
      <c r="D289" s="73"/>
      <c r="E289" s="75"/>
      <c r="F289" s="75"/>
      <c r="G289" s="75"/>
      <c r="H289" s="75"/>
      <c r="I289" s="29"/>
      <c r="J289" s="76"/>
      <c r="K289" s="76"/>
      <c r="L289" s="66"/>
      <c r="M289" s="66"/>
      <c r="N289" s="66"/>
      <c r="O289" s="66"/>
      <c r="P289" s="66"/>
      <c r="Q289" s="66"/>
      <c r="R289" s="66"/>
      <c r="S289" s="66"/>
      <c r="T289" s="66"/>
      <c r="U289" s="66"/>
      <c r="V289" s="66"/>
      <c r="W289" s="66"/>
      <c r="X289" s="66"/>
      <c r="Y289" s="66"/>
    </row>
    <row r="290">
      <c r="A290" s="71"/>
      <c r="B290" s="71"/>
      <c r="C290" s="73"/>
      <c r="D290" s="73"/>
      <c r="E290" s="75"/>
      <c r="F290" s="75"/>
      <c r="G290" s="75"/>
      <c r="H290" s="75"/>
      <c r="I290" s="29"/>
      <c r="J290" s="76"/>
      <c r="K290" s="76"/>
      <c r="L290" s="66"/>
      <c r="M290" s="66"/>
      <c r="N290" s="66"/>
      <c r="O290" s="66"/>
      <c r="P290" s="66"/>
      <c r="Q290" s="66"/>
      <c r="R290" s="66"/>
      <c r="S290" s="66"/>
      <c r="T290" s="66"/>
      <c r="U290" s="66"/>
      <c r="V290" s="66"/>
      <c r="W290" s="66"/>
      <c r="X290" s="66"/>
      <c r="Y290" s="66"/>
    </row>
    <row r="291">
      <c r="A291" s="71"/>
      <c r="B291" s="71"/>
      <c r="C291" s="73"/>
      <c r="D291" s="73"/>
      <c r="E291" s="75"/>
      <c r="F291" s="75"/>
      <c r="G291" s="75"/>
      <c r="H291" s="75"/>
      <c r="I291" s="29"/>
      <c r="J291" s="76"/>
      <c r="K291" s="76"/>
      <c r="L291" s="66"/>
      <c r="M291" s="66"/>
      <c r="N291" s="66"/>
      <c r="O291" s="66"/>
      <c r="P291" s="66"/>
      <c r="Q291" s="66"/>
      <c r="R291" s="66"/>
      <c r="S291" s="66"/>
      <c r="T291" s="66"/>
      <c r="U291" s="66"/>
      <c r="V291" s="66"/>
      <c r="W291" s="66"/>
      <c r="X291" s="66"/>
      <c r="Y291" s="66"/>
    </row>
    <row r="292">
      <c r="A292" s="71"/>
      <c r="B292" s="71"/>
      <c r="C292" s="73"/>
      <c r="D292" s="73"/>
      <c r="E292" s="75"/>
      <c r="F292" s="75"/>
      <c r="G292" s="75"/>
      <c r="H292" s="75"/>
      <c r="I292" s="29"/>
      <c r="J292" s="76"/>
      <c r="K292" s="76"/>
      <c r="L292" s="66"/>
      <c r="M292" s="66"/>
      <c r="N292" s="66"/>
      <c r="O292" s="66"/>
      <c r="P292" s="66"/>
      <c r="Q292" s="66"/>
      <c r="R292" s="66"/>
      <c r="S292" s="66"/>
      <c r="T292" s="66"/>
      <c r="U292" s="66"/>
      <c r="V292" s="66"/>
      <c r="W292" s="66"/>
      <c r="X292" s="66"/>
      <c r="Y292" s="66"/>
    </row>
    <row r="293">
      <c r="A293" s="71"/>
      <c r="B293" s="71"/>
      <c r="C293" s="73"/>
      <c r="D293" s="73"/>
      <c r="E293" s="75"/>
      <c r="F293" s="75"/>
      <c r="G293" s="75"/>
      <c r="H293" s="75"/>
      <c r="I293" s="29"/>
      <c r="J293" s="76"/>
      <c r="K293" s="76"/>
      <c r="L293" s="66"/>
      <c r="M293" s="66"/>
      <c r="N293" s="66"/>
      <c r="O293" s="66"/>
      <c r="P293" s="66"/>
      <c r="Q293" s="66"/>
      <c r="R293" s="66"/>
      <c r="S293" s="66"/>
      <c r="T293" s="66"/>
      <c r="U293" s="66"/>
      <c r="V293" s="66"/>
      <c r="W293" s="66"/>
      <c r="X293" s="66"/>
      <c r="Y293" s="66"/>
    </row>
    <row r="294">
      <c r="A294" s="71"/>
      <c r="B294" s="71"/>
      <c r="C294" s="73"/>
      <c r="D294" s="73"/>
      <c r="E294" s="75"/>
      <c r="F294" s="75"/>
      <c r="G294" s="75"/>
      <c r="H294" s="75"/>
      <c r="I294" s="29"/>
      <c r="J294" s="76"/>
      <c r="K294" s="76"/>
      <c r="L294" s="66"/>
      <c r="M294" s="66"/>
      <c r="N294" s="66"/>
      <c r="O294" s="66"/>
      <c r="P294" s="66"/>
      <c r="Q294" s="66"/>
      <c r="R294" s="66"/>
      <c r="S294" s="66"/>
      <c r="T294" s="66"/>
      <c r="U294" s="66"/>
      <c r="V294" s="66"/>
      <c r="W294" s="66"/>
      <c r="X294" s="66"/>
      <c r="Y294" s="66"/>
    </row>
    <row r="295">
      <c r="A295" s="71"/>
      <c r="B295" s="71"/>
      <c r="C295" s="73"/>
      <c r="D295" s="73"/>
      <c r="E295" s="75"/>
      <c r="F295" s="75"/>
      <c r="G295" s="75"/>
      <c r="H295" s="75"/>
      <c r="I295" s="29"/>
      <c r="J295" s="76"/>
      <c r="K295" s="76"/>
      <c r="L295" s="66"/>
      <c r="M295" s="66"/>
      <c r="N295" s="66"/>
      <c r="O295" s="66"/>
      <c r="P295" s="66"/>
      <c r="Q295" s="66"/>
      <c r="R295" s="66"/>
      <c r="S295" s="66"/>
      <c r="T295" s="66"/>
      <c r="U295" s="66"/>
      <c r="V295" s="66"/>
      <c r="W295" s="66"/>
      <c r="X295" s="66"/>
      <c r="Y295" s="66"/>
    </row>
    <row r="296">
      <c r="A296" s="71"/>
      <c r="B296" s="71"/>
      <c r="C296" s="73"/>
      <c r="D296" s="73"/>
      <c r="E296" s="75"/>
      <c r="F296" s="75"/>
      <c r="G296" s="75"/>
      <c r="H296" s="75"/>
      <c r="I296" s="29"/>
      <c r="J296" s="76"/>
      <c r="K296" s="76"/>
      <c r="L296" s="66"/>
      <c r="M296" s="66"/>
      <c r="N296" s="66"/>
      <c r="O296" s="66"/>
      <c r="P296" s="66"/>
      <c r="Q296" s="66"/>
      <c r="R296" s="66"/>
      <c r="S296" s="66"/>
      <c r="T296" s="66"/>
      <c r="U296" s="66"/>
      <c r="V296" s="66"/>
      <c r="W296" s="66"/>
      <c r="X296" s="66"/>
      <c r="Y296" s="66"/>
    </row>
    <row r="297">
      <c r="A297" s="71"/>
      <c r="B297" s="71"/>
      <c r="C297" s="73"/>
      <c r="D297" s="73"/>
      <c r="E297" s="75"/>
      <c r="F297" s="75"/>
      <c r="G297" s="75"/>
      <c r="H297" s="75"/>
      <c r="I297" s="29"/>
      <c r="J297" s="76"/>
      <c r="K297" s="76"/>
      <c r="L297" s="66"/>
      <c r="M297" s="66"/>
      <c r="N297" s="66"/>
      <c r="O297" s="66"/>
      <c r="P297" s="66"/>
      <c r="Q297" s="66"/>
      <c r="R297" s="66"/>
      <c r="S297" s="66"/>
      <c r="T297" s="66"/>
      <c r="U297" s="66"/>
      <c r="V297" s="66"/>
      <c r="W297" s="66"/>
      <c r="X297" s="66"/>
      <c r="Y297" s="66"/>
    </row>
    <row r="298">
      <c r="A298" s="71"/>
      <c r="B298" s="71"/>
      <c r="C298" s="73"/>
      <c r="D298" s="73"/>
      <c r="E298" s="75"/>
      <c r="F298" s="75"/>
      <c r="G298" s="75"/>
      <c r="H298" s="75"/>
      <c r="I298" s="29"/>
      <c r="J298" s="76"/>
      <c r="K298" s="76"/>
      <c r="L298" s="66"/>
      <c r="M298" s="66"/>
      <c r="N298" s="66"/>
      <c r="O298" s="66"/>
      <c r="P298" s="66"/>
      <c r="Q298" s="66"/>
      <c r="R298" s="66"/>
      <c r="S298" s="66"/>
      <c r="T298" s="66"/>
      <c r="U298" s="66"/>
      <c r="V298" s="66"/>
      <c r="W298" s="66"/>
      <c r="X298" s="66"/>
      <c r="Y298" s="66"/>
    </row>
    <row r="299">
      <c r="A299" s="71"/>
      <c r="B299" s="71"/>
      <c r="C299" s="73"/>
      <c r="D299" s="73"/>
      <c r="E299" s="75"/>
      <c r="F299" s="75"/>
      <c r="G299" s="75"/>
      <c r="H299" s="75"/>
      <c r="I299" s="29"/>
      <c r="J299" s="76"/>
      <c r="K299" s="76"/>
      <c r="L299" s="66"/>
      <c r="M299" s="66"/>
      <c r="N299" s="66"/>
      <c r="O299" s="66"/>
      <c r="P299" s="66"/>
      <c r="Q299" s="66"/>
      <c r="R299" s="66"/>
      <c r="S299" s="66"/>
      <c r="T299" s="66"/>
      <c r="U299" s="66"/>
      <c r="V299" s="66"/>
      <c r="W299" s="66"/>
      <c r="X299" s="66"/>
      <c r="Y299" s="66"/>
    </row>
    <row r="300">
      <c r="A300" s="71"/>
      <c r="B300" s="71"/>
      <c r="C300" s="73"/>
      <c r="D300" s="73"/>
      <c r="E300" s="75"/>
      <c r="F300" s="75"/>
      <c r="G300" s="75"/>
      <c r="H300" s="75"/>
      <c r="I300" s="29"/>
      <c r="J300" s="76"/>
      <c r="K300" s="76"/>
      <c r="L300" s="66"/>
      <c r="M300" s="66"/>
      <c r="N300" s="66"/>
      <c r="O300" s="66"/>
      <c r="P300" s="66"/>
      <c r="Q300" s="66"/>
      <c r="R300" s="66"/>
      <c r="S300" s="66"/>
      <c r="T300" s="66"/>
      <c r="U300" s="66"/>
      <c r="V300" s="66"/>
      <c r="W300" s="66"/>
      <c r="X300" s="66"/>
      <c r="Y300" s="66"/>
    </row>
    <row r="301">
      <c r="A301" s="71"/>
      <c r="B301" s="71"/>
      <c r="C301" s="73"/>
      <c r="D301" s="73"/>
      <c r="E301" s="75"/>
      <c r="F301" s="75"/>
      <c r="G301" s="75"/>
      <c r="H301" s="75"/>
      <c r="I301" s="29"/>
      <c r="J301" s="76"/>
      <c r="K301" s="76"/>
      <c r="L301" s="66"/>
      <c r="M301" s="66"/>
      <c r="N301" s="66"/>
      <c r="O301" s="66"/>
      <c r="P301" s="66"/>
      <c r="Q301" s="66"/>
      <c r="R301" s="66"/>
      <c r="S301" s="66"/>
      <c r="T301" s="66"/>
      <c r="U301" s="66"/>
      <c r="V301" s="66"/>
      <c r="W301" s="66"/>
      <c r="X301" s="66"/>
      <c r="Y301" s="66"/>
    </row>
    <row r="302">
      <c r="A302" s="71"/>
      <c r="B302" s="71"/>
      <c r="C302" s="73"/>
      <c r="D302" s="73"/>
      <c r="E302" s="75"/>
      <c r="F302" s="75"/>
      <c r="G302" s="75"/>
      <c r="H302" s="75"/>
      <c r="I302" s="29"/>
      <c r="J302" s="76"/>
      <c r="K302" s="76"/>
      <c r="L302" s="66"/>
      <c r="M302" s="66"/>
      <c r="N302" s="66"/>
      <c r="O302" s="66"/>
      <c r="P302" s="66"/>
      <c r="Q302" s="66"/>
      <c r="R302" s="66"/>
      <c r="S302" s="66"/>
      <c r="T302" s="66"/>
      <c r="U302" s="66"/>
      <c r="V302" s="66"/>
      <c r="W302" s="66"/>
      <c r="X302" s="66"/>
      <c r="Y302" s="66"/>
    </row>
    <row r="303">
      <c r="A303" s="71"/>
      <c r="B303" s="71"/>
      <c r="C303" s="73"/>
      <c r="D303" s="73"/>
      <c r="E303" s="75"/>
      <c r="F303" s="75"/>
      <c r="G303" s="75"/>
      <c r="H303" s="75"/>
      <c r="I303" s="29"/>
      <c r="J303" s="76"/>
      <c r="K303" s="76"/>
      <c r="L303" s="66"/>
      <c r="M303" s="66"/>
      <c r="N303" s="66"/>
      <c r="O303" s="66"/>
      <c r="P303" s="66"/>
      <c r="Q303" s="66"/>
      <c r="R303" s="66"/>
      <c r="S303" s="66"/>
      <c r="T303" s="66"/>
      <c r="U303" s="66"/>
      <c r="V303" s="66"/>
      <c r="W303" s="66"/>
      <c r="X303" s="66"/>
      <c r="Y303" s="66"/>
    </row>
    <row r="304">
      <c r="A304" s="71"/>
      <c r="B304" s="71"/>
      <c r="C304" s="73"/>
      <c r="D304" s="73"/>
      <c r="E304" s="75"/>
      <c r="F304" s="75"/>
      <c r="G304" s="75"/>
      <c r="H304" s="75"/>
      <c r="I304" s="29"/>
      <c r="J304" s="76"/>
      <c r="K304" s="76"/>
      <c r="L304" s="66"/>
      <c r="M304" s="66"/>
      <c r="N304" s="66"/>
      <c r="O304" s="66"/>
      <c r="P304" s="66"/>
      <c r="Q304" s="66"/>
      <c r="R304" s="66"/>
      <c r="S304" s="66"/>
      <c r="T304" s="66"/>
      <c r="U304" s="66"/>
      <c r="V304" s="66"/>
      <c r="W304" s="66"/>
      <c r="X304" s="66"/>
      <c r="Y304" s="66"/>
    </row>
    <row r="305">
      <c r="A305" s="71"/>
      <c r="B305" s="71"/>
      <c r="C305" s="73"/>
      <c r="D305" s="73"/>
      <c r="E305" s="75"/>
      <c r="F305" s="75"/>
      <c r="G305" s="75"/>
      <c r="H305" s="75"/>
      <c r="I305" s="29"/>
      <c r="J305" s="76"/>
      <c r="K305" s="76"/>
      <c r="L305" s="66"/>
      <c r="M305" s="66"/>
      <c r="N305" s="66"/>
      <c r="O305" s="66"/>
      <c r="P305" s="66"/>
      <c r="Q305" s="66"/>
      <c r="R305" s="66"/>
      <c r="S305" s="66"/>
      <c r="T305" s="66"/>
      <c r="U305" s="66"/>
      <c r="V305" s="66"/>
      <c r="W305" s="66"/>
      <c r="X305" s="66"/>
      <c r="Y305" s="66"/>
    </row>
    <row r="306">
      <c r="A306" s="71"/>
      <c r="B306" s="71"/>
      <c r="C306" s="73"/>
      <c r="D306" s="73"/>
      <c r="E306" s="75"/>
      <c r="F306" s="75"/>
      <c r="G306" s="75"/>
      <c r="H306" s="75"/>
      <c r="I306" s="29"/>
      <c r="J306" s="76"/>
      <c r="K306" s="76"/>
      <c r="L306" s="66"/>
      <c r="M306" s="66"/>
      <c r="N306" s="66"/>
      <c r="O306" s="66"/>
      <c r="P306" s="66"/>
      <c r="Q306" s="66"/>
      <c r="R306" s="66"/>
      <c r="S306" s="66"/>
      <c r="T306" s="66"/>
      <c r="U306" s="66"/>
      <c r="V306" s="66"/>
      <c r="W306" s="66"/>
      <c r="X306" s="66"/>
      <c r="Y306" s="66"/>
    </row>
    <row r="307">
      <c r="A307" s="71"/>
      <c r="B307" s="71"/>
      <c r="C307" s="73"/>
      <c r="D307" s="73"/>
      <c r="E307" s="75"/>
      <c r="F307" s="75"/>
      <c r="G307" s="75"/>
      <c r="H307" s="75"/>
      <c r="I307" s="29"/>
      <c r="J307" s="76"/>
      <c r="K307" s="76"/>
      <c r="L307" s="66"/>
      <c r="M307" s="66"/>
      <c r="N307" s="66"/>
      <c r="O307" s="66"/>
      <c r="P307" s="66"/>
      <c r="Q307" s="66"/>
      <c r="R307" s="66"/>
      <c r="S307" s="66"/>
      <c r="T307" s="66"/>
      <c r="U307" s="66"/>
      <c r="V307" s="66"/>
      <c r="W307" s="66"/>
      <c r="X307" s="66"/>
      <c r="Y307" s="66"/>
    </row>
    <row r="308">
      <c r="A308" s="71"/>
      <c r="B308" s="71"/>
      <c r="C308" s="73"/>
      <c r="D308" s="73"/>
      <c r="E308" s="75"/>
      <c r="F308" s="75"/>
      <c r="G308" s="75"/>
      <c r="H308" s="75"/>
      <c r="I308" s="29"/>
      <c r="J308" s="76"/>
      <c r="K308" s="76"/>
      <c r="L308" s="66"/>
      <c r="M308" s="66"/>
      <c r="N308" s="66"/>
      <c r="O308" s="66"/>
      <c r="P308" s="66"/>
      <c r="Q308" s="66"/>
      <c r="R308" s="66"/>
      <c r="S308" s="66"/>
      <c r="T308" s="66"/>
      <c r="U308" s="66"/>
      <c r="V308" s="66"/>
      <c r="W308" s="66"/>
      <c r="X308" s="66"/>
      <c r="Y308" s="66"/>
    </row>
    <row r="309">
      <c r="A309" s="71"/>
      <c r="B309" s="71"/>
      <c r="C309" s="73"/>
      <c r="D309" s="73"/>
      <c r="E309" s="75"/>
      <c r="F309" s="75"/>
      <c r="G309" s="75"/>
      <c r="H309" s="75"/>
      <c r="I309" s="29"/>
      <c r="J309" s="76"/>
      <c r="K309" s="76"/>
      <c r="L309" s="66"/>
      <c r="M309" s="66"/>
      <c r="N309" s="66"/>
      <c r="O309" s="66"/>
      <c r="P309" s="66"/>
      <c r="Q309" s="66"/>
      <c r="R309" s="66"/>
      <c r="S309" s="66"/>
      <c r="T309" s="66"/>
      <c r="U309" s="66"/>
      <c r="V309" s="66"/>
      <c r="W309" s="66"/>
      <c r="X309" s="66"/>
      <c r="Y309" s="66"/>
    </row>
    <row r="310">
      <c r="A310" s="71"/>
      <c r="B310" s="71"/>
      <c r="C310" s="73"/>
      <c r="D310" s="73"/>
      <c r="E310" s="75"/>
      <c r="F310" s="75"/>
      <c r="G310" s="75"/>
      <c r="H310" s="75"/>
      <c r="I310" s="29"/>
      <c r="J310" s="76"/>
      <c r="K310" s="76"/>
      <c r="L310" s="66"/>
      <c r="M310" s="66"/>
      <c r="N310" s="66"/>
      <c r="O310" s="66"/>
      <c r="P310" s="66"/>
      <c r="Q310" s="66"/>
      <c r="R310" s="66"/>
      <c r="S310" s="66"/>
      <c r="T310" s="66"/>
      <c r="U310" s="66"/>
      <c r="V310" s="66"/>
      <c r="W310" s="66"/>
      <c r="X310" s="66"/>
      <c r="Y310" s="66"/>
    </row>
    <row r="311">
      <c r="A311" s="71"/>
      <c r="B311" s="71"/>
      <c r="C311" s="73"/>
      <c r="D311" s="73"/>
      <c r="E311" s="75"/>
      <c r="F311" s="75"/>
      <c r="G311" s="75"/>
      <c r="H311" s="75"/>
      <c r="I311" s="29"/>
      <c r="J311" s="76"/>
      <c r="K311" s="76"/>
      <c r="L311" s="66"/>
      <c r="M311" s="66"/>
      <c r="N311" s="66"/>
      <c r="O311" s="66"/>
      <c r="P311" s="66"/>
      <c r="Q311" s="66"/>
      <c r="R311" s="66"/>
      <c r="S311" s="66"/>
      <c r="T311" s="66"/>
      <c r="U311" s="66"/>
      <c r="V311" s="66"/>
      <c r="W311" s="66"/>
      <c r="X311" s="66"/>
      <c r="Y311" s="66"/>
    </row>
    <row r="312">
      <c r="A312" s="71"/>
      <c r="B312" s="71"/>
      <c r="C312" s="73"/>
      <c r="D312" s="73"/>
      <c r="E312" s="75"/>
      <c r="F312" s="75"/>
      <c r="G312" s="75"/>
      <c r="H312" s="75"/>
      <c r="I312" s="29"/>
      <c r="J312" s="76"/>
      <c r="K312" s="76"/>
      <c r="L312" s="66"/>
      <c r="M312" s="66"/>
      <c r="N312" s="66"/>
      <c r="O312" s="66"/>
      <c r="P312" s="66"/>
      <c r="Q312" s="66"/>
      <c r="R312" s="66"/>
      <c r="S312" s="66"/>
      <c r="T312" s="66"/>
      <c r="U312" s="66"/>
      <c r="V312" s="66"/>
      <c r="W312" s="66"/>
      <c r="X312" s="66"/>
      <c r="Y312" s="66"/>
    </row>
    <row r="313">
      <c r="A313" s="71"/>
      <c r="B313" s="71"/>
      <c r="C313" s="73"/>
      <c r="D313" s="73"/>
      <c r="E313" s="75"/>
      <c r="F313" s="75"/>
      <c r="G313" s="75"/>
      <c r="H313" s="75"/>
      <c r="I313" s="29"/>
      <c r="J313" s="76"/>
      <c r="K313" s="76"/>
      <c r="L313" s="66"/>
      <c r="M313" s="66"/>
      <c r="N313" s="66"/>
      <c r="O313" s="66"/>
      <c r="P313" s="66"/>
      <c r="Q313" s="66"/>
      <c r="R313" s="66"/>
      <c r="S313" s="66"/>
      <c r="T313" s="66"/>
      <c r="U313" s="66"/>
      <c r="V313" s="66"/>
      <c r="W313" s="66"/>
      <c r="X313" s="66"/>
      <c r="Y313" s="66"/>
    </row>
    <row r="314">
      <c r="A314" s="71"/>
      <c r="B314" s="71"/>
      <c r="C314" s="73"/>
      <c r="D314" s="73"/>
      <c r="E314" s="75"/>
      <c r="F314" s="75"/>
      <c r="G314" s="75"/>
      <c r="H314" s="75"/>
      <c r="I314" s="29"/>
      <c r="J314" s="76"/>
      <c r="K314" s="76"/>
      <c r="L314" s="66"/>
      <c r="M314" s="66"/>
      <c r="N314" s="66"/>
      <c r="O314" s="66"/>
      <c r="P314" s="66"/>
      <c r="Q314" s="66"/>
      <c r="R314" s="66"/>
      <c r="S314" s="66"/>
      <c r="T314" s="66"/>
      <c r="U314" s="66"/>
      <c r="V314" s="66"/>
      <c r="W314" s="66"/>
      <c r="X314" s="66"/>
      <c r="Y314" s="66"/>
    </row>
    <row r="315">
      <c r="A315" s="71"/>
      <c r="B315" s="71"/>
      <c r="C315" s="73"/>
      <c r="D315" s="73"/>
      <c r="E315" s="75"/>
      <c r="F315" s="75"/>
      <c r="G315" s="75"/>
      <c r="H315" s="75"/>
      <c r="I315" s="29"/>
      <c r="J315" s="76"/>
      <c r="K315" s="76"/>
      <c r="L315" s="66"/>
      <c r="M315" s="66"/>
      <c r="N315" s="66"/>
      <c r="O315" s="66"/>
      <c r="P315" s="66"/>
      <c r="Q315" s="66"/>
      <c r="R315" s="66"/>
      <c r="S315" s="66"/>
      <c r="T315" s="66"/>
      <c r="U315" s="66"/>
      <c r="V315" s="66"/>
      <c r="W315" s="66"/>
      <c r="X315" s="66"/>
      <c r="Y315" s="66"/>
    </row>
    <row r="316">
      <c r="A316" s="71"/>
      <c r="B316" s="71"/>
      <c r="C316" s="73"/>
      <c r="D316" s="73"/>
      <c r="E316" s="75"/>
      <c r="F316" s="75"/>
      <c r="G316" s="75"/>
      <c r="H316" s="75"/>
      <c r="I316" s="29"/>
      <c r="J316" s="76"/>
      <c r="K316" s="76"/>
      <c r="L316" s="66"/>
      <c r="M316" s="66"/>
      <c r="N316" s="66"/>
      <c r="O316" s="66"/>
      <c r="P316" s="66"/>
      <c r="Q316" s="66"/>
      <c r="R316" s="66"/>
      <c r="S316" s="66"/>
      <c r="T316" s="66"/>
      <c r="U316" s="66"/>
      <c r="V316" s="66"/>
      <c r="W316" s="66"/>
      <c r="X316" s="66"/>
      <c r="Y316" s="66"/>
    </row>
    <row r="317">
      <c r="A317" s="71"/>
      <c r="B317" s="71"/>
      <c r="C317" s="73"/>
      <c r="D317" s="73"/>
      <c r="E317" s="75"/>
      <c r="F317" s="75"/>
      <c r="G317" s="75"/>
      <c r="H317" s="75"/>
      <c r="I317" s="29"/>
      <c r="J317" s="76"/>
      <c r="K317" s="76"/>
      <c r="L317" s="66"/>
      <c r="M317" s="66"/>
      <c r="N317" s="66"/>
      <c r="O317" s="66"/>
      <c r="P317" s="66"/>
      <c r="Q317" s="66"/>
      <c r="R317" s="66"/>
      <c r="S317" s="66"/>
      <c r="T317" s="66"/>
      <c r="U317" s="66"/>
      <c r="V317" s="66"/>
      <c r="W317" s="66"/>
      <c r="X317" s="66"/>
      <c r="Y317" s="66"/>
    </row>
    <row r="318">
      <c r="A318" s="71"/>
      <c r="B318" s="71"/>
      <c r="C318" s="73"/>
      <c r="D318" s="73"/>
      <c r="E318" s="75"/>
      <c r="F318" s="75"/>
      <c r="G318" s="75"/>
      <c r="H318" s="75"/>
      <c r="I318" s="29"/>
      <c r="J318" s="76"/>
      <c r="K318" s="76"/>
      <c r="L318" s="66"/>
      <c r="M318" s="66"/>
      <c r="N318" s="66"/>
      <c r="O318" s="66"/>
      <c r="P318" s="66"/>
      <c r="Q318" s="66"/>
      <c r="R318" s="66"/>
      <c r="S318" s="66"/>
      <c r="T318" s="66"/>
      <c r="U318" s="66"/>
      <c r="V318" s="66"/>
      <c r="W318" s="66"/>
      <c r="X318" s="66"/>
      <c r="Y318" s="66"/>
    </row>
    <row r="319">
      <c r="A319" s="71"/>
      <c r="B319" s="71"/>
      <c r="C319" s="73"/>
      <c r="D319" s="73"/>
      <c r="E319" s="75"/>
      <c r="F319" s="75"/>
      <c r="G319" s="75"/>
      <c r="H319" s="75"/>
      <c r="I319" s="29"/>
      <c r="J319" s="76"/>
      <c r="K319" s="76"/>
      <c r="L319" s="66"/>
      <c r="M319" s="66"/>
      <c r="N319" s="66"/>
      <c r="O319" s="66"/>
      <c r="P319" s="66"/>
      <c r="Q319" s="66"/>
      <c r="R319" s="66"/>
      <c r="S319" s="66"/>
      <c r="T319" s="66"/>
      <c r="U319" s="66"/>
      <c r="V319" s="66"/>
      <c r="W319" s="66"/>
      <c r="X319" s="66"/>
      <c r="Y319" s="66"/>
    </row>
    <row r="320">
      <c r="A320" s="71"/>
      <c r="B320" s="71"/>
      <c r="C320" s="73"/>
      <c r="D320" s="73"/>
      <c r="E320" s="75"/>
      <c r="F320" s="75"/>
      <c r="G320" s="75"/>
      <c r="H320" s="75"/>
      <c r="I320" s="29"/>
      <c r="J320" s="76"/>
      <c r="K320" s="76"/>
      <c r="L320" s="66"/>
      <c r="M320" s="66"/>
      <c r="N320" s="66"/>
      <c r="O320" s="66"/>
      <c r="P320" s="66"/>
      <c r="Q320" s="66"/>
      <c r="R320" s="66"/>
      <c r="S320" s="66"/>
      <c r="T320" s="66"/>
      <c r="U320" s="66"/>
      <c r="V320" s="66"/>
      <c r="W320" s="66"/>
      <c r="X320" s="66"/>
      <c r="Y320" s="66"/>
    </row>
    <row r="321">
      <c r="A321" s="71"/>
      <c r="B321" s="71"/>
      <c r="C321" s="73"/>
      <c r="D321" s="73"/>
      <c r="E321" s="75"/>
      <c r="F321" s="75"/>
      <c r="G321" s="75"/>
      <c r="H321" s="75"/>
      <c r="I321" s="29"/>
      <c r="J321" s="76"/>
      <c r="K321" s="76"/>
      <c r="L321" s="66"/>
      <c r="M321" s="66"/>
      <c r="N321" s="66"/>
      <c r="O321" s="66"/>
      <c r="P321" s="66"/>
      <c r="Q321" s="66"/>
      <c r="R321" s="66"/>
      <c r="S321" s="66"/>
      <c r="T321" s="66"/>
      <c r="U321" s="66"/>
      <c r="V321" s="66"/>
      <c r="W321" s="66"/>
      <c r="X321" s="66"/>
      <c r="Y321" s="66"/>
    </row>
    <row r="322">
      <c r="A322" s="71"/>
      <c r="B322" s="71"/>
      <c r="C322" s="73"/>
      <c r="D322" s="73"/>
      <c r="E322" s="75"/>
      <c r="F322" s="75"/>
      <c r="G322" s="75"/>
      <c r="H322" s="75"/>
      <c r="I322" s="29"/>
      <c r="J322" s="76"/>
      <c r="K322" s="76"/>
      <c r="L322" s="66"/>
      <c r="M322" s="66"/>
      <c r="N322" s="66"/>
      <c r="O322" s="66"/>
      <c r="P322" s="66"/>
      <c r="Q322" s="66"/>
      <c r="R322" s="66"/>
      <c r="S322" s="66"/>
      <c r="T322" s="66"/>
      <c r="U322" s="66"/>
      <c r="V322" s="66"/>
      <c r="W322" s="66"/>
      <c r="X322" s="66"/>
      <c r="Y322" s="66"/>
    </row>
    <row r="323">
      <c r="A323" s="71"/>
      <c r="B323" s="71"/>
      <c r="C323" s="73"/>
      <c r="D323" s="73"/>
      <c r="E323" s="75"/>
      <c r="F323" s="75"/>
      <c r="G323" s="75"/>
      <c r="H323" s="75"/>
      <c r="I323" s="29"/>
      <c r="J323" s="76"/>
      <c r="K323" s="76"/>
      <c r="L323" s="66"/>
      <c r="M323" s="66"/>
      <c r="N323" s="66"/>
      <c r="O323" s="66"/>
      <c r="P323" s="66"/>
      <c r="Q323" s="66"/>
      <c r="R323" s="66"/>
      <c r="S323" s="66"/>
      <c r="T323" s="66"/>
      <c r="U323" s="66"/>
      <c r="V323" s="66"/>
      <c r="W323" s="66"/>
      <c r="X323" s="66"/>
      <c r="Y323" s="66"/>
    </row>
    <row r="324">
      <c r="A324" s="71"/>
      <c r="B324" s="71"/>
      <c r="C324" s="73"/>
      <c r="D324" s="73"/>
      <c r="E324" s="75"/>
      <c r="F324" s="75"/>
      <c r="G324" s="75"/>
      <c r="H324" s="75"/>
      <c r="I324" s="29"/>
      <c r="J324" s="76"/>
      <c r="K324" s="76"/>
      <c r="L324" s="66"/>
      <c r="M324" s="66"/>
      <c r="N324" s="66"/>
      <c r="O324" s="66"/>
      <c r="P324" s="66"/>
      <c r="Q324" s="66"/>
      <c r="R324" s="66"/>
      <c r="S324" s="66"/>
      <c r="T324" s="66"/>
      <c r="U324" s="66"/>
      <c r="V324" s="66"/>
      <c r="W324" s="66"/>
      <c r="X324" s="66"/>
      <c r="Y324" s="66"/>
    </row>
    <row r="325">
      <c r="A325" s="71"/>
      <c r="B325" s="71"/>
      <c r="C325" s="73"/>
      <c r="D325" s="73"/>
      <c r="E325" s="75"/>
      <c r="F325" s="75"/>
      <c r="G325" s="75"/>
      <c r="H325" s="75"/>
      <c r="I325" s="29"/>
      <c r="J325" s="76"/>
      <c r="K325" s="76"/>
      <c r="L325" s="66"/>
      <c r="M325" s="66"/>
      <c r="N325" s="66"/>
      <c r="O325" s="66"/>
      <c r="P325" s="66"/>
      <c r="Q325" s="66"/>
      <c r="R325" s="66"/>
      <c r="S325" s="66"/>
      <c r="T325" s="66"/>
      <c r="U325" s="66"/>
      <c r="V325" s="66"/>
      <c r="W325" s="66"/>
      <c r="X325" s="66"/>
      <c r="Y325" s="66"/>
    </row>
    <row r="326">
      <c r="A326" s="71"/>
      <c r="B326" s="71"/>
      <c r="C326" s="73"/>
      <c r="D326" s="73"/>
      <c r="E326" s="75"/>
      <c r="F326" s="75"/>
      <c r="G326" s="75"/>
      <c r="H326" s="75"/>
      <c r="I326" s="29"/>
      <c r="J326" s="76"/>
      <c r="K326" s="76"/>
      <c r="L326" s="66"/>
      <c r="M326" s="66"/>
      <c r="N326" s="66"/>
      <c r="O326" s="66"/>
      <c r="P326" s="66"/>
      <c r="Q326" s="66"/>
      <c r="R326" s="66"/>
      <c r="S326" s="66"/>
      <c r="T326" s="66"/>
      <c r="U326" s="66"/>
      <c r="V326" s="66"/>
      <c r="W326" s="66"/>
      <c r="X326" s="66"/>
      <c r="Y326" s="66"/>
    </row>
    <row r="327">
      <c r="A327" s="71"/>
      <c r="B327" s="71"/>
      <c r="C327" s="73"/>
      <c r="D327" s="73"/>
      <c r="E327" s="75"/>
      <c r="F327" s="75"/>
      <c r="G327" s="75"/>
      <c r="H327" s="75"/>
      <c r="I327" s="29"/>
      <c r="J327" s="76"/>
      <c r="K327" s="76"/>
      <c r="L327" s="66"/>
      <c r="M327" s="66"/>
      <c r="N327" s="66"/>
      <c r="O327" s="66"/>
      <c r="P327" s="66"/>
      <c r="Q327" s="66"/>
      <c r="R327" s="66"/>
      <c r="S327" s="66"/>
      <c r="T327" s="66"/>
      <c r="U327" s="66"/>
      <c r="V327" s="66"/>
      <c r="W327" s="66"/>
      <c r="X327" s="66"/>
      <c r="Y327" s="66"/>
    </row>
    <row r="328">
      <c r="A328" s="71"/>
      <c r="B328" s="71"/>
      <c r="C328" s="73"/>
      <c r="D328" s="73"/>
      <c r="E328" s="75"/>
      <c r="F328" s="75"/>
      <c r="G328" s="75"/>
      <c r="H328" s="75"/>
      <c r="I328" s="29"/>
      <c r="J328" s="76"/>
      <c r="K328" s="76"/>
      <c r="L328" s="66"/>
      <c r="M328" s="66"/>
      <c r="N328" s="66"/>
      <c r="O328" s="66"/>
      <c r="P328" s="66"/>
      <c r="Q328" s="66"/>
      <c r="R328" s="66"/>
      <c r="S328" s="66"/>
      <c r="T328" s="66"/>
      <c r="U328" s="66"/>
      <c r="V328" s="66"/>
      <c r="W328" s="66"/>
      <c r="X328" s="66"/>
      <c r="Y328" s="66"/>
    </row>
    <row r="329">
      <c r="A329" s="71"/>
      <c r="B329" s="71"/>
      <c r="C329" s="73"/>
      <c r="D329" s="73"/>
      <c r="E329" s="75"/>
      <c r="F329" s="75"/>
      <c r="G329" s="75"/>
      <c r="H329" s="75"/>
      <c r="I329" s="29"/>
      <c r="J329" s="76"/>
      <c r="K329" s="76"/>
      <c r="L329" s="66"/>
      <c r="M329" s="66"/>
      <c r="N329" s="66"/>
      <c r="O329" s="66"/>
      <c r="P329" s="66"/>
      <c r="Q329" s="66"/>
      <c r="R329" s="66"/>
      <c r="S329" s="66"/>
      <c r="T329" s="66"/>
      <c r="U329" s="66"/>
      <c r="V329" s="66"/>
      <c r="W329" s="66"/>
      <c r="X329" s="66"/>
      <c r="Y329" s="66"/>
    </row>
    <row r="330">
      <c r="A330" s="71"/>
      <c r="B330" s="71"/>
      <c r="C330" s="73"/>
      <c r="D330" s="73"/>
      <c r="E330" s="75"/>
      <c r="F330" s="75"/>
      <c r="G330" s="75"/>
      <c r="H330" s="75"/>
      <c r="I330" s="29"/>
      <c r="J330" s="76"/>
      <c r="K330" s="76"/>
      <c r="L330" s="66"/>
      <c r="M330" s="66"/>
      <c r="N330" s="66"/>
      <c r="O330" s="66"/>
      <c r="P330" s="66"/>
      <c r="Q330" s="66"/>
      <c r="R330" s="66"/>
      <c r="S330" s="66"/>
      <c r="T330" s="66"/>
      <c r="U330" s="66"/>
      <c r="V330" s="66"/>
      <c r="W330" s="66"/>
      <c r="X330" s="66"/>
      <c r="Y330" s="66"/>
    </row>
    <row r="331">
      <c r="A331" s="71"/>
      <c r="B331" s="71"/>
      <c r="C331" s="73"/>
      <c r="D331" s="73"/>
      <c r="E331" s="75"/>
      <c r="F331" s="75"/>
      <c r="G331" s="75"/>
      <c r="H331" s="75"/>
      <c r="I331" s="29"/>
      <c r="J331" s="76"/>
      <c r="K331" s="76"/>
      <c r="L331" s="66"/>
      <c r="M331" s="66"/>
      <c r="N331" s="66"/>
      <c r="O331" s="66"/>
      <c r="P331" s="66"/>
      <c r="Q331" s="66"/>
      <c r="R331" s="66"/>
      <c r="S331" s="66"/>
      <c r="T331" s="66"/>
      <c r="U331" s="66"/>
      <c r="V331" s="66"/>
      <c r="W331" s="66"/>
      <c r="X331" s="66"/>
      <c r="Y331" s="66"/>
    </row>
    <row r="332">
      <c r="A332" s="71"/>
      <c r="B332" s="71"/>
      <c r="C332" s="73"/>
      <c r="D332" s="73"/>
      <c r="E332" s="75"/>
      <c r="F332" s="75"/>
      <c r="G332" s="75"/>
      <c r="H332" s="75"/>
      <c r="I332" s="29"/>
      <c r="J332" s="76"/>
      <c r="K332" s="76"/>
      <c r="L332" s="66"/>
      <c r="M332" s="66"/>
      <c r="N332" s="66"/>
      <c r="O332" s="66"/>
      <c r="P332" s="66"/>
      <c r="Q332" s="66"/>
      <c r="R332" s="66"/>
      <c r="S332" s="66"/>
      <c r="T332" s="66"/>
      <c r="U332" s="66"/>
      <c r="V332" s="66"/>
      <c r="W332" s="66"/>
      <c r="X332" s="66"/>
      <c r="Y332" s="66"/>
    </row>
    <row r="333">
      <c r="A333" s="71"/>
      <c r="B333" s="71"/>
      <c r="C333" s="73"/>
      <c r="D333" s="73"/>
      <c r="E333" s="75"/>
      <c r="F333" s="75"/>
      <c r="G333" s="75"/>
      <c r="H333" s="75"/>
      <c r="I333" s="29"/>
      <c r="J333" s="76"/>
      <c r="K333" s="76"/>
      <c r="L333" s="66"/>
      <c r="M333" s="66"/>
      <c r="N333" s="66"/>
      <c r="O333" s="66"/>
      <c r="P333" s="66"/>
      <c r="Q333" s="66"/>
      <c r="R333" s="66"/>
      <c r="S333" s="66"/>
      <c r="T333" s="66"/>
      <c r="U333" s="66"/>
      <c r="V333" s="66"/>
      <c r="W333" s="66"/>
      <c r="X333" s="66"/>
      <c r="Y333" s="66"/>
    </row>
    <row r="334">
      <c r="A334" s="71"/>
      <c r="B334" s="71"/>
      <c r="C334" s="73"/>
      <c r="D334" s="73"/>
      <c r="E334" s="75"/>
      <c r="F334" s="75"/>
      <c r="G334" s="75"/>
      <c r="H334" s="75"/>
      <c r="I334" s="29"/>
      <c r="J334" s="76"/>
      <c r="K334" s="76"/>
      <c r="L334" s="66"/>
      <c r="M334" s="66"/>
      <c r="N334" s="66"/>
      <c r="O334" s="66"/>
      <c r="P334" s="66"/>
      <c r="Q334" s="66"/>
      <c r="R334" s="66"/>
      <c r="S334" s="66"/>
      <c r="T334" s="66"/>
      <c r="U334" s="66"/>
      <c r="V334" s="66"/>
      <c r="W334" s="66"/>
      <c r="X334" s="66"/>
      <c r="Y334" s="66"/>
    </row>
    <row r="335">
      <c r="A335" s="71"/>
      <c r="B335" s="71"/>
      <c r="C335" s="73"/>
      <c r="D335" s="73"/>
      <c r="E335" s="75"/>
      <c r="F335" s="75"/>
      <c r="G335" s="75"/>
      <c r="H335" s="75"/>
      <c r="I335" s="29"/>
      <c r="J335" s="76"/>
      <c r="K335" s="76"/>
      <c r="L335" s="66"/>
      <c r="M335" s="66"/>
      <c r="N335" s="66"/>
      <c r="O335" s="66"/>
      <c r="P335" s="66"/>
      <c r="Q335" s="66"/>
      <c r="R335" s="66"/>
      <c r="S335" s="66"/>
      <c r="T335" s="66"/>
      <c r="U335" s="66"/>
      <c r="V335" s="66"/>
      <c r="W335" s="66"/>
      <c r="X335" s="66"/>
      <c r="Y335" s="66"/>
    </row>
    <row r="336">
      <c r="A336" s="71"/>
      <c r="B336" s="71"/>
      <c r="C336" s="73"/>
      <c r="D336" s="73"/>
      <c r="E336" s="75"/>
      <c r="F336" s="75"/>
      <c r="G336" s="75"/>
      <c r="H336" s="75"/>
      <c r="I336" s="29"/>
      <c r="J336" s="76"/>
      <c r="K336" s="76"/>
      <c r="L336" s="66"/>
      <c r="M336" s="66"/>
      <c r="N336" s="66"/>
      <c r="O336" s="66"/>
      <c r="P336" s="66"/>
      <c r="Q336" s="66"/>
      <c r="R336" s="66"/>
      <c r="S336" s="66"/>
      <c r="T336" s="66"/>
      <c r="U336" s="66"/>
      <c r="V336" s="66"/>
      <c r="W336" s="66"/>
      <c r="X336" s="66"/>
      <c r="Y336" s="66"/>
    </row>
    <row r="337">
      <c r="A337" s="71"/>
      <c r="B337" s="71"/>
      <c r="C337" s="73"/>
      <c r="D337" s="73"/>
      <c r="E337" s="75"/>
      <c r="F337" s="75"/>
      <c r="G337" s="75"/>
      <c r="H337" s="75"/>
      <c r="I337" s="29"/>
      <c r="J337" s="76"/>
      <c r="K337" s="76"/>
      <c r="L337" s="66"/>
      <c r="M337" s="66"/>
      <c r="N337" s="66"/>
      <c r="O337" s="66"/>
      <c r="P337" s="66"/>
      <c r="Q337" s="66"/>
      <c r="R337" s="66"/>
      <c r="S337" s="66"/>
      <c r="T337" s="66"/>
      <c r="U337" s="66"/>
      <c r="V337" s="66"/>
      <c r="W337" s="66"/>
      <c r="X337" s="66"/>
      <c r="Y337" s="66"/>
    </row>
    <row r="338">
      <c r="A338" s="71"/>
      <c r="B338" s="71"/>
      <c r="C338" s="73"/>
      <c r="D338" s="73"/>
      <c r="E338" s="75"/>
      <c r="F338" s="75"/>
      <c r="G338" s="75"/>
      <c r="H338" s="75"/>
      <c r="I338" s="29"/>
      <c r="J338" s="76"/>
      <c r="K338" s="76"/>
      <c r="L338" s="66"/>
      <c r="M338" s="66"/>
      <c r="N338" s="66"/>
      <c r="O338" s="66"/>
      <c r="P338" s="66"/>
      <c r="Q338" s="66"/>
      <c r="R338" s="66"/>
      <c r="S338" s="66"/>
      <c r="T338" s="66"/>
      <c r="U338" s="66"/>
      <c r="V338" s="66"/>
      <c r="W338" s="66"/>
      <c r="X338" s="66"/>
      <c r="Y338" s="66"/>
    </row>
    <row r="339">
      <c r="A339" s="71"/>
      <c r="B339" s="71"/>
      <c r="C339" s="73"/>
      <c r="D339" s="73"/>
      <c r="E339" s="75"/>
      <c r="F339" s="75"/>
      <c r="G339" s="75"/>
      <c r="H339" s="75"/>
      <c r="I339" s="29"/>
      <c r="J339" s="76"/>
      <c r="K339" s="76"/>
      <c r="L339" s="66"/>
      <c r="M339" s="66"/>
      <c r="N339" s="66"/>
      <c r="O339" s="66"/>
      <c r="P339" s="66"/>
      <c r="Q339" s="66"/>
      <c r="R339" s="66"/>
      <c r="S339" s="66"/>
      <c r="T339" s="66"/>
      <c r="U339" s="66"/>
      <c r="V339" s="66"/>
      <c r="W339" s="66"/>
      <c r="X339" s="66"/>
      <c r="Y339" s="66"/>
    </row>
    <row r="340">
      <c r="A340" s="71"/>
      <c r="B340" s="71"/>
      <c r="C340" s="73"/>
      <c r="D340" s="73"/>
      <c r="E340" s="75"/>
      <c r="F340" s="75"/>
      <c r="G340" s="75"/>
      <c r="H340" s="75"/>
      <c r="I340" s="29"/>
      <c r="J340" s="76"/>
      <c r="K340" s="76"/>
      <c r="L340" s="66"/>
      <c r="M340" s="66"/>
      <c r="N340" s="66"/>
      <c r="O340" s="66"/>
      <c r="P340" s="66"/>
      <c r="Q340" s="66"/>
      <c r="R340" s="66"/>
      <c r="S340" s="66"/>
      <c r="T340" s="66"/>
      <c r="U340" s="66"/>
      <c r="V340" s="66"/>
      <c r="W340" s="66"/>
      <c r="X340" s="66"/>
      <c r="Y340" s="66"/>
    </row>
    <row r="341">
      <c r="A341" s="71"/>
      <c r="B341" s="71"/>
      <c r="C341" s="73"/>
      <c r="D341" s="73"/>
      <c r="E341" s="75"/>
      <c r="F341" s="75"/>
      <c r="G341" s="75"/>
      <c r="H341" s="75"/>
      <c r="I341" s="29"/>
      <c r="J341" s="76"/>
      <c r="K341" s="76"/>
      <c r="L341" s="66"/>
      <c r="M341" s="66"/>
      <c r="N341" s="66"/>
      <c r="O341" s="66"/>
      <c r="P341" s="66"/>
      <c r="Q341" s="66"/>
      <c r="R341" s="66"/>
      <c r="S341" s="66"/>
      <c r="T341" s="66"/>
      <c r="U341" s="66"/>
      <c r="V341" s="66"/>
      <c r="W341" s="66"/>
      <c r="X341" s="66"/>
      <c r="Y341" s="66"/>
    </row>
    <row r="342">
      <c r="A342" s="71"/>
      <c r="B342" s="71"/>
      <c r="C342" s="73"/>
      <c r="D342" s="73"/>
      <c r="E342" s="75"/>
      <c r="F342" s="75"/>
      <c r="G342" s="75"/>
      <c r="H342" s="75"/>
      <c r="I342" s="29"/>
      <c r="J342" s="76"/>
      <c r="K342" s="76"/>
      <c r="L342" s="66"/>
      <c r="M342" s="66"/>
      <c r="N342" s="66"/>
      <c r="O342" s="66"/>
      <c r="P342" s="66"/>
      <c r="Q342" s="66"/>
      <c r="R342" s="66"/>
      <c r="S342" s="66"/>
      <c r="T342" s="66"/>
      <c r="U342" s="66"/>
      <c r="V342" s="66"/>
      <c r="W342" s="66"/>
      <c r="X342" s="66"/>
      <c r="Y342" s="66"/>
    </row>
    <row r="343">
      <c r="A343" s="71"/>
      <c r="B343" s="71"/>
      <c r="C343" s="73"/>
      <c r="D343" s="73"/>
      <c r="E343" s="75"/>
      <c r="F343" s="75"/>
      <c r="G343" s="75"/>
      <c r="H343" s="75"/>
      <c r="I343" s="29"/>
      <c r="J343" s="76"/>
      <c r="K343" s="76"/>
      <c r="L343" s="66"/>
      <c r="M343" s="66"/>
      <c r="N343" s="66"/>
      <c r="O343" s="66"/>
      <c r="P343" s="66"/>
      <c r="Q343" s="66"/>
      <c r="R343" s="66"/>
      <c r="S343" s="66"/>
      <c r="T343" s="66"/>
      <c r="U343" s="66"/>
      <c r="V343" s="66"/>
      <c r="W343" s="66"/>
      <c r="X343" s="66"/>
      <c r="Y343" s="66"/>
    </row>
    <row r="344">
      <c r="A344" s="71"/>
      <c r="B344" s="71"/>
      <c r="C344" s="73"/>
      <c r="D344" s="73"/>
      <c r="E344" s="75"/>
      <c r="F344" s="75"/>
      <c r="G344" s="75"/>
      <c r="H344" s="75"/>
      <c r="I344" s="29"/>
      <c r="J344" s="76"/>
      <c r="K344" s="76"/>
      <c r="L344" s="66"/>
      <c r="M344" s="66"/>
      <c r="N344" s="66"/>
      <c r="O344" s="66"/>
      <c r="P344" s="66"/>
      <c r="Q344" s="66"/>
      <c r="R344" s="66"/>
      <c r="S344" s="66"/>
      <c r="T344" s="66"/>
      <c r="U344" s="66"/>
      <c r="V344" s="66"/>
      <c r="W344" s="66"/>
      <c r="X344" s="66"/>
      <c r="Y344" s="66"/>
    </row>
    <row r="345">
      <c r="A345" s="71"/>
      <c r="B345" s="71"/>
      <c r="C345" s="73"/>
      <c r="D345" s="73"/>
      <c r="E345" s="75"/>
      <c r="F345" s="75"/>
      <c r="G345" s="75"/>
      <c r="H345" s="75"/>
      <c r="I345" s="29"/>
      <c r="J345" s="76"/>
      <c r="K345" s="76"/>
      <c r="L345" s="66"/>
      <c r="M345" s="66"/>
      <c r="N345" s="66"/>
      <c r="O345" s="66"/>
      <c r="P345" s="66"/>
      <c r="Q345" s="66"/>
      <c r="R345" s="66"/>
      <c r="S345" s="66"/>
      <c r="T345" s="66"/>
      <c r="U345" s="66"/>
      <c r="V345" s="66"/>
      <c r="W345" s="66"/>
      <c r="X345" s="66"/>
      <c r="Y345" s="66"/>
    </row>
    <row r="346">
      <c r="A346" s="71"/>
      <c r="B346" s="71"/>
      <c r="C346" s="73"/>
      <c r="D346" s="73"/>
      <c r="E346" s="75"/>
      <c r="F346" s="75"/>
      <c r="G346" s="75"/>
      <c r="H346" s="75"/>
      <c r="I346" s="29"/>
      <c r="J346" s="76"/>
      <c r="K346" s="76"/>
      <c r="L346" s="66"/>
      <c r="M346" s="66"/>
      <c r="N346" s="66"/>
      <c r="O346" s="66"/>
      <c r="P346" s="66"/>
      <c r="Q346" s="66"/>
      <c r="R346" s="66"/>
      <c r="S346" s="66"/>
      <c r="T346" s="66"/>
      <c r="U346" s="66"/>
      <c r="V346" s="66"/>
      <c r="W346" s="66"/>
      <c r="X346" s="66"/>
      <c r="Y346" s="66"/>
    </row>
    <row r="347">
      <c r="A347" s="71"/>
      <c r="B347" s="71"/>
      <c r="C347" s="73"/>
      <c r="D347" s="73"/>
      <c r="E347" s="75"/>
      <c r="F347" s="75"/>
      <c r="G347" s="75"/>
      <c r="H347" s="75"/>
      <c r="I347" s="29"/>
      <c r="J347" s="76"/>
      <c r="K347" s="76"/>
      <c r="L347" s="66"/>
      <c r="M347" s="66"/>
      <c r="N347" s="66"/>
      <c r="O347" s="66"/>
      <c r="P347" s="66"/>
      <c r="Q347" s="66"/>
      <c r="R347" s="66"/>
      <c r="S347" s="66"/>
      <c r="T347" s="66"/>
      <c r="U347" s="66"/>
      <c r="V347" s="66"/>
      <c r="W347" s="66"/>
      <c r="X347" s="66"/>
      <c r="Y347" s="66"/>
    </row>
    <row r="348">
      <c r="A348" s="71"/>
      <c r="B348" s="71"/>
      <c r="C348" s="73"/>
      <c r="D348" s="73"/>
      <c r="E348" s="75"/>
      <c r="F348" s="75"/>
      <c r="G348" s="75"/>
      <c r="H348" s="75"/>
      <c r="I348" s="29"/>
      <c r="J348" s="76"/>
      <c r="K348" s="76"/>
      <c r="L348" s="66"/>
      <c r="M348" s="66"/>
      <c r="N348" s="66"/>
      <c r="O348" s="66"/>
      <c r="P348" s="66"/>
      <c r="Q348" s="66"/>
      <c r="R348" s="66"/>
      <c r="S348" s="66"/>
      <c r="T348" s="66"/>
      <c r="U348" s="66"/>
      <c r="V348" s="66"/>
      <c r="W348" s="66"/>
      <c r="X348" s="66"/>
      <c r="Y348" s="66"/>
    </row>
    <row r="349">
      <c r="A349" s="71"/>
      <c r="B349" s="71"/>
      <c r="C349" s="73"/>
      <c r="D349" s="73"/>
      <c r="E349" s="75"/>
      <c r="F349" s="75"/>
      <c r="G349" s="75"/>
      <c r="H349" s="75"/>
      <c r="I349" s="29"/>
      <c r="J349" s="76"/>
      <c r="K349" s="76"/>
      <c r="L349" s="66"/>
      <c r="M349" s="66"/>
      <c r="N349" s="66"/>
      <c r="O349" s="66"/>
      <c r="P349" s="66"/>
      <c r="Q349" s="66"/>
      <c r="R349" s="66"/>
      <c r="S349" s="66"/>
      <c r="T349" s="66"/>
      <c r="U349" s="66"/>
      <c r="V349" s="66"/>
      <c r="W349" s="66"/>
      <c r="X349" s="66"/>
      <c r="Y349" s="66"/>
    </row>
    <row r="350">
      <c r="A350" s="71"/>
      <c r="B350" s="71"/>
      <c r="C350" s="73"/>
      <c r="D350" s="73"/>
      <c r="E350" s="75"/>
      <c r="F350" s="75"/>
      <c r="G350" s="75"/>
      <c r="H350" s="75"/>
      <c r="I350" s="29"/>
      <c r="J350" s="76"/>
      <c r="K350" s="76"/>
      <c r="L350" s="66"/>
      <c r="M350" s="66"/>
      <c r="N350" s="66"/>
      <c r="O350" s="66"/>
      <c r="P350" s="66"/>
      <c r="Q350" s="66"/>
      <c r="R350" s="66"/>
      <c r="S350" s="66"/>
      <c r="T350" s="66"/>
      <c r="U350" s="66"/>
      <c r="V350" s="66"/>
      <c r="W350" s="66"/>
      <c r="X350" s="66"/>
      <c r="Y350" s="66"/>
    </row>
    <row r="351">
      <c r="A351" s="71"/>
      <c r="B351" s="71"/>
      <c r="C351" s="73"/>
      <c r="D351" s="73"/>
      <c r="E351" s="75"/>
      <c r="F351" s="75"/>
      <c r="G351" s="75"/>
      <c r="H351" s="75"/>
      <c r="I351" s="29"/>
      <c r="J351" s="76"/>
      <c r="K351" s="76"/>
      <c r="L351" s="66"/>
      <c r="M351" s="66"/>
      <c r="N351" s="66"/>
      <c r="O351" s="66"/>
      <c r="P351" s="66"/>
      <c r="Q351" s="66"/>
      <c r="R351" s="66"/>
      <c r="S351" s="66"/>
      <c r="T351" s="66"/>
      <c r="U351" s="66"/>
      <c r="V351" s="66"/>
      <c r="W351" s="66"/>
      <c r="X351" s="66"/>
      <c r="Y351" s="66"/>
    </row>
    <row r="352">
      <c r="A352" s="71"/>
      <c r="B352" s="71"/>
      <c r="C352" s="73"/>
      <c r="D352" s="73"/>
      <c r="E352" s="75"/>
      <c r="F352" s="75"/>
      <c r="G352" s="75"/>
      <c r="H352" s="75"/>
      <c r="I352" s="29"/>
      <c r="J352" s="76"/>
      <c r="K352" s="76"/>
      <c r="L352" s="66"/>
      <c r="M352" s="66"/>
      <c r="N352" s="66"/>
      <c r="O352" s="66"/>
      <c r="P352" s="66"/>
      <c r="Q352" s="66"/>
      <c r="R352" s="66"/>
      <c r="S352" s="66"/>
      <c r="T352" s="66"/>
      <c r="U352" s="66"/>
      <c r="V352" s="66"/>
      <c r="W352" s="66"/>
      <c r="X352" s="66"/>
      <c r="Y352" s="66"/>
    </row>
    <row r="353">
      <c r="A353" s="71"/>
      <c r="B353" s="71"/>
      <c r="C353" s="73"/>
      <c r="D353" s="73"/>
      <c r="E353" s="75"/>
      <c r="F353" s="75"/>
      <c r="G353" s="75"/>
      <c r="H353" s="75"/>
      <c r="I353" s="29"/>
      <c r="J353" s="76"/>
      <c r="K353" s="76"/>
      <c r="L353" s="66"/>
      <c r="M353" s="66"/>
      <c r="N353" s="66"/>
      <c r="O353" s="66"/>
      <c r="P353" s="66"/>
      <c r="Q353" s="66"/>
      <c r="R353" s="66"/>
      <c r="S353" s="66"/>
      <c r="T353" s="66"/>
      <c r="U353" s="66"/>
      <c r="V353" s="66"/>
      <c r="W353" s="66"/>
      <c r="X353" s="66"/>
      <c r="Y353" s="66"/>
    </row>
    <row r="354">
      <c r="A354" s="71"/>
      <c r="B354" s="71"/>
      <c r="C354" s="73"/>
      <c r="D354" s="73"/>
      <c r="E354" s="75"/>
      <c r="F354" s="75"/>
      <c r="G354" s="75"/>
      <c r="H354" s="75"/>
      <c r="I354" s="29"/>
      <c r="J354" s="76"/>
      <c r="K354" s="76"/>
      <c r="L354" s="66"/>
      <c r="M354" s="66"/>
      <c r="N354" s="66"/>
      <c r="O354" s="66"/>
      <c r="P354" s="66"/>
      <c r="Q354" s="66"/>
      <c r="R354" s="66"/>
      <c r="S354" s="66"/>
      <c r="T354" s="66"/>
      <c r="U354" s="66"/>
      <c r="V354" s="66"/>
      <c r="W354" s="66"/>
      <c r="X354" s="66"/>
      <c r="Y354" s="66"/>
    </row>
    <row r="355">
      <c r="A355" s="71"/>
      <c r="B355" s="71"/>
      <c r="C355" s="73"/>
      <c r="D355" s="73"/>
      <c r="E355" s="75"/>
      <c r="F355" s="75"/>
      <c r="G355" s="75"/>
      <c r="H355" s="75"/>
      <c r="I355" s="29"/>
      <c r="J355" s="76"/>
      <c r="K355" s="76"/>
      <c r="L355" s="66"/>
      <c r="M355" s="66"/>
      <c r="N355" s="66"/>
      <c r="O355" s="66"/>
      <c r="P355" s="66"/>
      <c r="Q355" s="66"/>
      <c r="R355" s="66"/>
      <c r="S355" s="66"/>
      <c r="T355" s="66"/>
      <c r="U355" s="66"/>
      <c r="V355" s="66"/>
      <c r="W355" s="66"/>
      <c r="X355" s="66"/>
      <c r="Y355" s="66"/>
    </row>
    <row r="356">
      <c r="A356" s="71"/>
      <c r="B356" s="71"/>
      <c r="C356" s="73"/>
      <c r="D356" s="73"/>
      <c r="E356" s="75"/>
      <c r="F356" s="75"/>
      <c r="G356" s="75"/>
      <c r="H356" s="75"/>
      <c r="I356" s="29"/>
      <c r="J356" s="76"/>
      <c r="K356" s="76"/>
      <c r="L356" s="66"/>
      <c r="M356" s="66"/>
      <c r="N356" s="66"/>
      <c r="O356" s="66"/>
      <c r="P356" s="66"/>
      <c r="Q356" s="66"/>
      <c r="R356" s="66"/>
      <c r="S356" s="66"/>
      <c r="T356" s="66"/>
      <c r="U356" s="66"/>
      <c r="V356" s="66"/>
      <c r="W356" s="66"/>
      <c r="X356" s="66"/>
      <c r="Y356" s="66"/>
    </row>
    <row r="357">
      <c r="A357" s="71"/>
      <c r="B357" s="71"/>
      <c r="C357" s="73"/>
      <c r="D357" s="73"/>
      <c r="E357" s="75"/>
      <c r="F357" s="75"/>
      <c r="G357" s="75"/>
      <c r="H357" s="75"/>
      <c r="I357" s="29"/>
      <c r="J357" s="76"/>
      <c r="K357" s="76"/>
      <c r="L357" s="66"/>
      <c r="M357" s="66"/>
      <c r="N357" s="66"/>
      <c r="O357" s="66"/>
      <c r="P357" s="66"/>
      <c r="Q357" s="66"/>
      <c r="R357" s="66"/>
      <c r="S357" s="66"/>
      <c r="T357" s="66"/>
      <c r="U357" s="66"/>
      <c r="V357" s="66"/>
      <c r="W357" s="66"/>
      <c r="X357" s="66"/>
      <c r="Y357" s="66"/>
    </row>
    <row r="358">
      <c r="A358" s="71"/>
      <c r="B358" s="71"/>
      <c r="C358" s="73"/>
      <c r="D358" s="73"/>
      <c r="E358" s="75"/>
      <c r="F358" s="75"/>
      <c r="G358" s="75"/>
      <c r="H358" s="75"/>
      <c r="I358" s="29"/>
      <c r="J358" s="76"/>
      <c r="K358" s="76"/>
      <c r="L358" s="66"/>
      <c r="M358" s="66"/>
      <c r="N358" s="66"/>
      <c r="O358" s="66"/>
      <c r="P358" s="66"/>
      <c r="Q358" s="66"/>
      <c r="R358" s="66"/>
      <c r="S358" s="66"/>
      <c r="T358" s="66"/>
      <c r="U358" s="66"/>
      <c r="V358" s="66"/>
      <c r="W358" s="66"/>
      <c r="X358" s="66"/>
      <c r="Y358" s="66"/>
    </row>
    <row r="359">
      <c r="A359" s="71"/>
      <c r="B359" s="71"/>
      <c r="C359" s="73"/>
      <c r="D359" s="73"/>
      <c r="E359" s="75"/>
      <c r="F359" s="75"/>
      <c r="G359" s="75"/>
      <c r="H359" s="75"/>
      <c r="I359" s="29"/>
      <c r="J359" s="76"/>
      <c r="K359" s="76"/>
      <c r="L359" s="66"/>
      <c r="M359" s="66"/>
      <c r="N359" s="66"/>
      <c r="O359" s="66"/>
      <c r="P359" s="66"/>
      <c r="Q359" s="66"/>
      <c r="R359" s="66"/>
      <c r="S359" s="66"/>
      <c r="T359" s="66"/>
      <c r="U359" s="66"/>
      <c r="V359" s="66"/>
      <c r="W359" s="66"/>
      <c r="X359" s="66"/>
      <c r="Y359" s="66"/>
    </row>
    <row r="360">
      <c r="A360" s="71"/>
      <c r="B360" s="71"/>
      <c r="C360" s="73"/>
      <c r="D360" s="73"/>
      <c r="E360" s="75"/>
      <c r="F360" s="75"/>
      <c r="G360" s="75"/>
      <c r="H360" s="75"/>
      <c r="I360" s="29"/>
      <c r="J360" s="76"/>
      <c r="K360" s="76"/>
      <c r="L360" s="66"/>
      <c r="M360" s="66"/>
      <c r="N360" s="66"/>
      <c r="O360" s="66"/>
      <c r="P360" s="66"/>
      <c r="Q360" s="66"/>
      <c r="R360" s="66"/>
      <c r="S360" s="66"/>
      <c r="T360" s="66"/>
      <c r="U360" s="66"/>
      <c r="V360" s="66"/>
      <c r="W360" s="66"/>
      <c r="X360" s="66"/>
      <c r="Y360" s="66"/>
    </row>
    <row r="361">
      <c r="A361" s="71"/>
      <c r="B361" s="71"/>
      <c r="C361" s="73"/>
      <c r="D361" s="73"/>
      <c r="E361" s="75"/>
      <c r="F361" s="75"/>
      <c r="G361" s="75"/>
      <c r="H361" s="75"/>
      <c r="I361" s="29"/>
      <c r="J361" s="76"/>
      <c r="K361" s="76"/>
      <c r="L361" s="66"/>
      <c r="M361" s="66"/>
      <c r="N361" s="66"/>
      <c r="O361" s="66"/>
      <c r="P361" s="66"/>
      <c r="Q361" s="66"/>
      <c r="R361" s="66"/>
      <c r="S361" s="66"/>
      <c r="T361" s="66"/>
      <c r="U361" s="66"/>
      <c r="V361" s="66"/>
      <c r="W361" s="66"/>
      <c r="X361" s="66"/>
      <c r="Y361" s="66"/>
    </row>
    <row r="362">
      <c r="A362" s="71"/>
      <c r="B362" s="71"/>
      <c r="C362" s="73"/>
      <c r="D362" s="73"/>
      <c r="E362" s="75"/>
      <c r="F362" s="75"/>
      <c r="G362" s="75"/>
      <c r="H362" s="75"/>
      <c r="I362" s="29"/>
      <c r="J362" s="76"/>
      <c r="K362" s="76"/>
      <c r="L362" s="66"/>
      <c r="M362" s="66"/>
      <c r="N362" s="66"/>
      <c r="O362" s="66"/>
      <c r="P362" s="66"/>
      <c r="Q362" s="66"/>
      <c r="R362" s="66"/>
      <c r="S362" s="66"/>
      <c r="T362" s="66"/>
      <c r="U362" s="66"/>
      <c r="V362" s="66"/>
      <c r="W362" s="66"/>
      <c r="X362" s="66"/>
      <c r="Y362" s="66"/>
    </row>
    <row r="363">
      <c r="A363" s="71"/>
      <c r="B363" s="71"/>
      <c r="C363" s="73"/>
      <c r="D363" s="73"/>
      <c r="E363" s="75"/>
      <c r="F363" s="75"/>
      <c r="G363" s="75"/>
      <c r="H363" s="75"/>
      <c r="I363" s="29"/>
      <c r="J363" s="76"/>
      <c r="K363" s="76"/>
      <c r="L363" s="66"/>
      <c r="M363" s="66"/>
      <c r="N363" s="66"/>
      <c r="O363" s="66"/>
      <c r="P363" s="66"/>
      <c r="Q363" s="66"/>
      <c r="R363" s="66"/>
      <c r="S363" s="66"/>
      <c r="T363" s="66"/>
      <c r="U363" s="66"/>
      <c r="V363" s="66"/>
      <c r="W363" s="66"/>
      <c r="X363" s="66"/>
      <c r="Y363" s="66"/>
    </row>
    <row r="364">
      <c r="A364" s="71"/>
      <c r="B364" s="71"/>
      <c r="C364" s="73"/>
      <c r="D364" s="73"/>
      <c r="E364" s="75"/>
      <c r="F364" s="75"/>
      <c r="G364" s="75"/>
      <c r="H364" s="75"/>
      <c r="I364" s="29"/>
      <c r="J364" s="76"/>
      <c r="K364" s="76"/>
      <c r="L364" s="66"/>
      <c r="M364" s="66"/>
      <c r="N364" s="66"/>
      <c r="O364" s="66"/>
      <c r="P364" s="66"/>
      <c r="Q364" s="66"/>
      <c r="R364" s="66"/>
      <c r="S364" s="66"/>
      <c r="T364" s="66"/>
      <c r="U364" s="66"/>
      <c r="V364" s="66"/>
      <c r="W364" s="66"/>
      <c r="X364" s="66"/>
      <c r="Y364" s="66"/>
    </row>
    <row r="365">
      <c r="A365" s="71"/>
      <c r="B365" s="71"/>
      <c r="C365" s="73"/>
      <c r="D365" s="73"/>
      <c r="E365" s="75"/>
      <c r="F365" s="75"/>
      <c r="G365" s="75"/>
      <c r="H365" s="75"/>
      <c r="I365" s="29"/>
      <c r="J365" s="76"/>
      <c r="K365" s="76"/>
      <c r="L365" s="66"/>
      <c r="M365" s="66"/>
      <c r="N365" s="66"/>
      <c r="O365" s="66"/>
      <c r="P365" s="66"/>
      <c r="Q365" s="66"/>
      <c r="R365" s="66"/>
      <c r="S365" s="66"/>
      <c r="T365" s="66"/>
      <c r="U365" s="66"/>
      <c r="V365" s="66"/>
      <c r="W365" s="66"/>
      <c r="X365" s="66"/>
      <c r="Y365" s="66"/>
    </row>
    <row r="366">
      <c r="A366" s="71"/>
      <c r="B366" s="71"/>
      <c r="C366" s="73"/>
      <c r="D366" s="73"/>
      <c r="E366" s="75"/>
      <c r="F366" s="75"/>
      <c r="G366" s="75"/>
      <c r="H366" s="75"/>
      <c r="I366" s="29"/>
      <c r="J366" s="76"/>
      <c r="K366" s="76"/>
      <c r="L366" s="66"/>
      <c r="M366" s="66"/>
      <c r="N366" s="66"/>
      <c r="O366" s="66"/>
      <c r="P366" s="66"/>
      <c r="Q366" s="66"/>
      <c r="R366" s="66"/>
      <c r="S366" s="66"/>
      <c r="T366" s="66"/>
      <c r="U366" s="66"/>
      <c r="V366" s="66"/>
      <c r="W366" s="66"/>
      <c r="X366" s="66"/>
      <c r="Y366" s="66"/>
    </row>
    <row r="367">
      <c r="A367" s="71"/>
      <c r="B367" s="71"/>
      <c r="C367" s="73"/>
      <c r="D367" s="73"/>
      <c r="E367" s="75"/>
      <c r="F367" s="75"/>
      <c r="G367" s="75"/>
      <c r="H367" s="75"/>
      <c r="I367" s="29"/>
      <c r="J367" s="76"/>
      <c r="K367" s="76"/>
      <c r="L367" s="66"/>
      <c r="M367" s="66"/>
      <c r="N367" s="66"/>
      <c r="O367" s="66"/>
      <c r="P367" s="66"/>
      <c r="Q367" s="66"/>
      <c r="R367" s="66"/>
      <c r="S367" s="66"/>
      <c r="T367" s="66"/>
      <c r="U367" s="66"/>
      <c r="V367" s="66"/>
      <c r="W367" s="66"/>
      <c r="X367" s="66"/>
      <c r="Y367" s="66"/>
    </row>
    <row r="368">
      <c r="A368" s="71"/>
      <c r="B368" s="71"/>
      <c r="C368" s="73"/>
      <c r="D368" s="73"/>
      <c r="E368" s="75"/>
      <c r="F368" s="75"/>
      <c r="G368" s="75"/>
      <c r="H368" s="75"/>
      <c r="I368" s="29"/>
      <c r="J368" s="76"/>
      <c r="K368" s="76"/>
      <c r="L368" s="66"/>
      <c r="M368" s="66"/>
      <c r="N368" s="66"/>
      <c r="O368" s="66"/>
      <c r="P368" s="66"/>
      <c r="Q368" s="66"/>
      <c r="R368" s="66"/>
      <c r="S368" s="66"/>
      <c r="T368" s="66"/>
      <c r="U368" s="66"/>
      <c r="V368" s="66"/>
      <c r="W368" s="66"/>
      <c r="X368" s="66"/>
      <c r="Y368" s="66"/>
    </row>
    <row r="369">
      <c r="A369" s="71"/>
      <c r="B369" s="71"/>
      <c r="C369" s="73"/>
      <c r="D369" s="73"/>
      <c r="E369" s="75"/>
      <c r="F369" s="75"/>
      <c r="G369" s="75"/>
      <c r="H369" s="75"/>
      <c r="I369" s="29"/>
      <c r="J369" s="76"/>
      <c r="K369" s="76"/>
      <c r="L369" s="66"/>
      <c r="M369" s="66"/>
      <c r="N369" s="66"/>
      <c r="O369" s="66"/>
      <c r="P369" s="66"/>
      <c r="Q369" s="66"/>
      <c r="R369" s="66"/>
      <c r="S369" s="66"/>
      <c r="T369" s="66"/>
      <c r="U369" s="66"/>
      <c r="V369" s="66"/>
      <c r="W369" s="66"/>
      <c r="X369" s="66"/>
      <c r="Y369" s="66"/>
    </row>
    <row r="370">
      <c r="A370" s="71"/>
      <c r="B370" s="71"/>
      <c r="C370" s="73"/>
      <c r="D370" s="73"/>
      <c r="E370" s="75"/>
      <c r="F370" s="75"/>
      <c r="G370" s="75"/>
      <c r="H370" s="75"/>
      <c r="I370" s="29"/>
      <c r="J370" s="76"/>
      <c r="K370" s="76"/>
      <c r="L370" s="66"/>
      <c r="M370" s="66"/>
      <c r="N370" s="66"/>
      <c r="O370" s="66"/>
      <c r="P370" s="66"/>
      <c r="Q370" s="66"/>
      <c r="R370" s="66"/>
      <c r="S370" s="66"/>
      <c r="T370" s="66"/>
      <c r="U370" s="66"/>
      <c r="V370" s="66"/>
      <c r="W370" s="66"/>
      <c r="X370" s="66"/>
      <c r="Y370" s="66"/>
    </row>
    <row r="371">
      <c r="A371" s="71"/>
      <c r="B371" s="71"/>
      <c r="C371" s="73"/>
      <c r="D371" s="73"/>
      <c r="E371" s="75"/>
      <c r="F371" s="75"/>
      <c r="G371" s="75"/>
      <c r="H371" s="75"/>
      <c r="I371" s="29"/>
      <c r="J371" s="76"/>
      <c r="K371" s="76"/>
      <c r="L371" s="66"/>
      <c r="M371" s="66"/>
      <c r="N371" s="66"/>
      <c r="O371" s="66"/>
      <c r="P371" s="66"/>
      <c r="Q371" s="66"/>
      <c r="R371" s="66"/>
      <c r="S371" s="66"/>
      <c r="T371" s="66"/>
      <c r="U371" s="66"/>
      <c r="V371" s="66"/>
      <c r="W371" s="66"/>
      <c r="X371" s="66"/>
      <c r="Y371" s="66"/>
    </row>
    <row r="372">
      <c r="A372" s="71"/>
      <c r="B372" s="71"/>
      <c r="C372" s="73"/>
      <c r="D372" s="73"/>
      <c r="E372" s="75"/>
      <c r="F372" s="75"/>
      <c r="G372" s="75"/>
      <c r="H372" s="75"/>
      <c r="I372" s="29"/>
      <c r="J372" s="76"/>
      <c r="K372" s="76"/>
      <c r="L372" s="66"/>
      <c r="M372" s="66"/>
      <c r="N372" s="66"/>
      <c r="O372" s="66"/>
      <c r="P372" s="66"/>
      <c r="Q372" s="66"/>
      <c r="R372" s="66"/>
      <c r="S372" s="66"/>
      <c r="T372" s="66"/>
      <c r="U372" s="66"/>
      <c r="V372" s="66"/>
      <c r="W372" s="66"/>
      <c r="X372" s="66"/>
      <c r="Y372" s="66"/>
    </row>
    <row r="373">
      <c r="A373" s="71"/>
      <c r="B373" s="71"/>
      <c r="C373" s="73"/>
      <c r="D373" s="73"/>
      <c r="E373" s="75"/>
      <c r="F373" s="75"/>
      <c r="G373" s="75"/>
      <c r="H373" s="75"/>
      <c r="I373" s="29"/>
      <c r="J373" s="76"/>
      <c r="K373" s="76"/>
      <c r="L373" s="66"/>
      <c r="M373" s="66"/>
      <c r="N373" s="66"/>
      <c r="O373" s="66"/>
      <c r="P373" s="66"/>
      <c r="Q373" s="66"/>
      <c r="R373" s="66"/>
      <c r="S373" s="66"/>
      <c r="T373" s="66"/>
      <c r="U373" s="66"/>
      <c r="V373" s="66"/>
      <c r="W373" s="66"/>
      <c r="X373" s="66"/>
      <c r="Y373" s="66"/>
    </row>
    <row r="374">
      <c r="A374" s="71"/>
      <c r="B374" s="71"/>
      <c r="C374" s="73"/>
      <c r="D374" s="73"/>
      <c r="E374" s="75"/>
      <c r="F374" s="75"/>
      <c r="G374" s="75"/>
      <c r="H374" s="75"/>
      <c r="I374" s="29"/>
      <c r="J374" s="76"/>
      <c r="K374" s="76"/>
      <c r="L374" s="66"/>
      <c r="M374" s="66"/>
      <c r="N374" s="66"/>
      <c r="O374" s="66"/>
      <c r="P374" s="66"/>
      <c r="Q374" s="66"/>
      <c r="R374" s="66"/>
      <c r="S374" s="66"/>
      <c r="T374" s="66"/>
      <c r="U374" s="66"/>
      <c r="V374" s="66"/>
      <c r="W374" s="66"/>
      <c r="X374" s="66"/>
      <c r="Y374" s="66"/>
    </row>
    <row r="375">
      <c r="A375" s="71"/>
      <c r="B375" s="71"/>
      <c r="C375" s="73"/>
      <c r="D375" s="73"/>
      <c r="E375" s="75"/>
      <c r="F375" s="75"/>
      <c r="G375" s="75"/>
      <c r="H375" s="75"/>
      <c r="I375" s="29"/>
      <c r="J375" s="76"/>
      <c r="K375" s="76"/>
      <c r="L375" s="66"/>
      <c r="M375" s="66"/>
      <c r="N375" s="66"/>
      <c r="O375" s="66"/>
      <c r="P375" s="66"/>
      <c r="Q375" s="66"/>
      <c r="R375" s="66"/>
      <c r="S375" s="66"/>
      <c r="T375" s="66"/>
      <c r="U375" s="66"/>
      <c r="V375" s="66"/>
      <c r="W375" s="66"/>
      <c r="X375" s="66"/>
      <c r="Y375" s="66"/>
    </row>
    <row r="376">
      <c r="A376" s="71"/>
      <c r="B376" s="71"/>
      <c r="C376" s="73"/>
      <c r="D376" s="73"/>
      <c r="E376" s="75"/>
      <c r="F376" s="75"/>
      <c r="G376" s="75"/>
      <c r="H376" s="75"/>
      <c r="I376" s="29"/>
      <c r="J376" s="76"/>
      <c r="K376" s="76"/>
      <c r="L376" s="66"/>
      <c r="M376" s="66"/>
      <c r="N376" s="66"/>
      <c r="O376" s="66"/>
      <c r="P376" s="66"/>
      <c r="Q376" s="66"/>
      <c r="R376" s="66"/>
      <c r="S376" s="66"/>
      <c r="T376" s="66"/>
      <c r="U376" s="66"/>
      <c r="V376" s="66"/>
      <c r="W376" s="66"/>
      <c r="X376" s="66"/>
      <c r="Y376" s="66"/>
    </row>
    <row r="377">
      <c r="A377" s="71"/>
      <c r="B377" s="71"/>
      <c r="C377" s="73"/>
      <c r="D377" s="73"/>
      <c r="E377" s="75"/>
      <c r="F377" s="75"/>
      <c r="G377" s="75"/>
      <c r="H377" s="75"/>
      <c r="I377" s="29"/>
      <c r="J377" s="76"/>
      <c r="K377" s="76"/>
      <c r="L377" s="66"/>
      <c r="M377" s="66"/>
      <c r="N377" s="66"/>
      <c r="O377" s="66"/>
      <c r="P377" s="66"/>
      <c r="Q377" s="66"/>
      <c r="R377" s="66"/>
      <c r="S377" s="66"/>
      <c r="T377" s="66"/>
      <c r="U377" s="66"/>
      <c r="V377" s="66"/>
      <c r="W377" s="66"/>
      <c r="X377" s="66"/>
      <c r="Y377" s="66"/>
    </row>
    <row r="378">
      <c r="A378" s="71"/>
      <c r="B378" s="71"/>
      <c r="C378" s="73"/>
      <c r="D378" s="73"/>
      <c r="E378" s="75"/>
      <c r="F378" s="75"/>
      <c r="G378" s="75"/>
      <c r="H378" s="75"/>
      <c r="I378" s="29"/>
      <c r="J378" s="76"/>
      <c r="K378" s="76"/>
      <c r="L378" s="66"/>
      <c r="M378" s="66"/>
      <c r="N378" s="66"/>
      <c r="O378" s="66"/>
      <c r="P378" s="66"/>
      <c r="Q378" s="66"/>
      <c r="R378" s="66"/>
      <c r="S378" s="66"/>
      <c r="T378" s="66"/>
      <c r="U378" s="66"/>
      <c r="V378" s="66"/>
      <c r="W378" s="66"/>
      <c r="X378" s="66"/>
      <c r="Y378" s="66"/>
    </row>
    <row r="379">
      <c r="A379" s="71"/>
      <c r="B379" s="71"/>
      <c r="C379" s="73"/>
      <c r="D379" s="73"/>
      <c r="E379" s="75"/>
      <c r="F379" s="75"/>
      <c r="G379" s="75"/>
      <c r="H379" s="75"/>
      <c r="I379" s="29"/>
      <c r="J379" s="76"/>
      <c r="K379" s="76"/>
      <c r="L379" s="66"/>
      <c r="M379" s="66"/>
      <c r="N379" s="66"/>
      <c r="O379" s="66"/>
      <c r="P379" s="66"/>
      <c r="Q379" s="66"/>
      <c r="R379" s="66"/>
      <c r="S379" s="66"/>
      <c r="T379" s="66"/>
      <c r="U379" s="66"/>
      <c r="V379" s="66"/>
      <c r="W379" s="66"/>
      <c r="X379" s="66"/>
      <c r="Y379" s="66"/>
    </row>
    <row r="380">
      <c r="A380" s="71"/>
      <c r="B380" s="71"/>
      <c r="C380" s="73"/>
      <c r="D380" s="73"/>
      <c r="E380" s="75"/>
      <c r="F380" s="75"/>
      <c r="G380" s="75"/>
      <c r="H380" s="75"/>
      <c r="I380" s="29"/>
      <c r="J380" s="76"/>
      <c r="K380" s="76"/>
      <c r="L380" s="66"/>
      <c r="M380" s="66"/>
      <c r="N380" s="66"/>
      <c r="O380" s="66"/>
      <c r="P380" s="66"/>
      <c r="Q380" s="66"/>
      <c r="R380" s="66"/>
      <c r="S380" s="66"/>
      <c r="T380" s="66"/>
      <c r="U380" s="66"/>
      <c r="V380" s="66"/>
      <c r="W380" s="66"/>
      <c r="X380" s="66"/>
      <c r="Y380" s="66"/>
    </row>
    <row r="381">
      <c r="A381" s="71"/>
      <c r="B381" s="71"/>
      <c r="C381" s="73"/>
      <c r="D381" s="73"/>
      <c r="E381" s="75"/>
      <c r="F381" s="75"/>
      <c r="G381" s="75"/>
      <c r="H381" s="75"/>
      <c r="I381" s="29"/>
      <c r="J381" s="76"/>
      <c r="K381" s="76"/>
      <c r="L381" s="66"/>
      <c r="M381" s="66"/>
      <c r="N381" s="66"/>
      <c r="O381" s="66"/>
      <c r="P381" s="66"/>
      <c r="Q381" s="66"/>
      <c r="R381" s="66"/>
      <c r="S381" s="66"/>
      <c r="T381" s="66"/>
      <c r="U381" s="66"/>
      <c r="V381" s="66"/>
      <c r="W381" s="66"/>
      <c r="X381" s="66"/>
      <c r="Y381" s="66"/>
    </row>
    <row r="382">
      <c r="A382" s="71"/>
      <c r="B382" s="71"/>
      <c r="C382" s="73"/>
      <c r="D382" s="73"/>
      <c r="E382" s="75"/>
      <c r="F382" s="75"/>
      <c r="G382" s="75"/>
      <c r="H382" s="75"/>
      <c r="I382" s="29"/>
      <c r="J382" s="76"/>
      <c r="K382" s="76"/>
      <c r="L382" s="66"/>
      <c r="M382" s="66"/>
      <c r="N382" s="66"/>
      <c r="O382" s="66"/>
      <c r="P382" s="66"/>
      <c r="Q382" s="66"/>
      <c r="R382" s="66"/>
      <c r="S382" s="66"/>
      <c r="T382" s="66"/>
      <c r="U382" s="66"/>
      <c r="V382" s="66"/>
      <c r="W382" s="66"/>
      <c r="X382" s="66"/>
      <c r="Y382" s="66"/>
    </row>
    <row r="383">
      <c r="A383" s="71"/>
      <c r="B383" s="71"/>
      <c r="C383" s="73"/>
      <c r="D383" s="73"/>
      <c r="E383" s="75"/>
      <c r="F383" s="75"/>
      <c r="G383" s="75"/>
      <c r="H383" s="75"/>
      <c r="I383" s="29"/>
      <c r="J383" s="76"/>
      <c r="K383" s="76"/>
      <c r="L383" s="66"/>
      <c r="M383" s="66"/>
      <c r="N383" s="66"/>
      <c r="O383" s="66"/>
      <c r="P383" s="66"/>
      <c r="Q383" s="66"/>
      <c r="R383" s="66"/>
      <c r="S383" s="66"/>
      <c r="T383" s="66"/>
      <c r="U383" s="66"/>
      <c r="V383" s="66"/>
      <c r="W383" s="66"/>
      <c r="X383" s="66"/>
      <c r="Y383" s="66"/>
    </row>
    <row r="384">
      <c r="A384" s="71"/>
      <c r="B384" s="71"/>
      <c r="C384" s="73"/>
      <c r="D384" s="73"/>
      <c r="E384" s="75"/>
      <c r="F384" s="75"/>
      <c r="G384" s="75"/>
      <c r="H384" s="75"/>
      <c r="I384" s="29"/>
      <c r="J384" s="76"/>
      <c r="K384" s="76"/>
      <c r="L384" s="66"/>
      <c r="M384" s="66"/>
      <c r="N384" s="66"/>
      <c r="O384" s="66"/>
      <c r="P384" s="66"/>
      <c r="Q384" s="66"/>
      <c r="R384" s="66"/>
      <c r="S384" s="66"/>
      <c r="T384" s="66"/>
      <c r="U384" s="66"/>
      <c r="V384" s="66"/>
      <c r="W384" s="66"/>
      <c r="X384" s="66"/>
      <c r="Y384" s="66"/>
    </row>
    <row r="385">
      <c r="A385" s="71"/>
      <c r="B385" s="71"/>
      <c r="C385" s="73"/>
      <c r="D385" s="73"/>
      <c r="E385" s="75"/>
      <c r="F385" s="75"/>
      <c r="G385" s="75"/>
      <c r="H385" s="75"/>
      <c r="I385" s="29"/>
      <c r="J385" s="76"/>
      <c r="K385" s="76"/>
      <c r="L385" s="66"/>
      <c r="M385" s="66"/>
      <c r="N385" s="66"/>
      <c r="O385" s="66"/>
      <c r="P385" s="66"/>
      <c r="Q385" s="66"/>
      <c r="R385" s="66"/>
      <c r="S385" s="66"/>
      <c r="T385" s="66"/>
      <c r="U385" s="66"/>
      <c r="V385" s="66"/>
      <c r="W385" s="66"/>
      <c r="X385" s="66"/>
      <c r="Y385" s="66"/>
    </row>
    <row r="386">
      <c r="A386" s="71"/>
      <c r="B386" s="71"/>
      <c r="C386" s="73"/>
      <c r="D386" s="73"/>
      <c r="E386" s="75"/>
      <c r="F386" s="75"/>
      <c r="G386" s="75"/>
      <c r="H386" s="75"/>
      <c r="I386" s="29"/>
      <c r="J386" s="76"/>
      <c r="K386" s="76"/>
      <c r="L386" s="66"/>
      <c r="M386" s="66"/>
      <c r="N386" s="66"/>
      <c r="O386" s="66"/>
      <c r="P386" s="66"/>
      <c r="Q386" s="66"/>
      <c r="R386" s="66"/>
      <c r="S386" s="66"/>
      <c r="T386" s="66"/>
      <c r="U386" s="66"/>
      <c r="V386" s="66"/>
      <c r="W386" s="66"/>
      <c r="X386" s="66"/>
      <c r="Y386" s="66"/>
    </row>
    <row r="387">
      <c r="A387" s="71"/>
      <c r="B387" s="71"/>
      <c r="C387" s="73"/>
      <c r="D387" s="73"/>
      <c r="E387" s="75"/>
      <c r="F387" s="75"/>
      <c r="G387" s="75"/>
      <c r="H387" s="75"/>
      <c r="I387" s="29"/>
      <c r="J387" s="76"/>
      <c r="K387" s="76"/>
      <c r="L387" s="66"/>
      <c r="M387" s="66"/>
      <c r="N387" s="66"/>
      <c r="O387" s="66"/>
      <c r="P387" s="66"/>
      <c r="Q387" s="66"/>
      <c r="R387" s="66"/>
      <c r="S387" s="66"/>
      <c r="T387" s="66"/>
      <c r="U387" s="66"/>
      <c r="V387" s="66"/>
      <c r="W387" s="66"/>
      <c r="X387" s="66"/>
      <c r="Y387" s="66"/>
    </row>
    <row r="388">
      <c r="A388" s="71"/>
      <c r="B388" s="71"/>
      <c r="C388" s="73"/>
      <c r="D388" s="73"/>
      <c r="E388" s="75"/>
      <c r="F388" s="75"/>
      <c r="G388" s="75"/>
      <c r="H388" s="75"/>
      <c r="I388" s="29"/>
      <c r="J388" s="76"/>
      <c r="K388" s="76"/>
      <c r="L388" s="66"/>
      <c r="M388" s="66"/>
      <c r="N388" s="66"/>
      <c r="O388" s="66"/>
      <c r="P388" s="66"/>
      <c r="Q388" s="66"/>
      <c r="R388" s="66"/>
      <c r="S388" s="66"/>
      <c r="T388" s="66"/>
      <c r="U388" s="66"/>
      <c r="V388" s="66"/>
      <c r="W388" s="66"/>
      <c r="X388" s="66"/>
      <c r="Y388" s="66"/>
    </row>
    <row r="389">
      <c r="A389" s="71"/>
      <c r="B389" s="71"/>
      <c r="C389" s="73"/>
      <c r="D389" s="73"/>
      <c r="E389" s="75"/>
      <c r="F389" s="75"/>
      <c r="G389" s="75"/>
      <c r="H389" s="75"/>
      <c r="I389" s="29"/>
      <c r="J389" s="76"/>
      <c r="K389" s="76"/>
      <c r="L389" s="66"/>
      <c r="M389" s="66"/>
      <c r="N389" s="66"/>
      <c r="O389" s="66"/>
      <c r="P389" s="66"/>
      <c r="Q389" s="66"/>
      <c r="R389" s="66"/>
      <c r="S389" s="66"/>
      <c r="T389" s="66"/>
      <c r="U389" s="66"/>
      <c r="V389" s="66"/>
      <c r="W389" s="66"/>
      <c r="X389" s="66"/>
      <c r="Y389" s="66"/>
    </row>
    <row r="390">
      <c r="A390" s="71"/>
      <c r="B390" s="71"/>
      <c r="C390" s="73"/>
      <c r="D390" s="73"/>
      <c r="E390" s="75"/>
      <c r="F390" s="75"/>
      <c r="G390" s="75"/>
      <c r="H390" s="75"/>
      <c r="I390" s="29"/>
      <c r="J390" s="76"/>
      <c r="K390" s="76"/>
      <c r="L390" s="66"/>
      <c r="M390" s="66"/>
      <c r="N390" s="66"/>
      <c r="O390" s="66"/>
      <c r="P390" s="66"/>
      <c r="Q390" s="66"/>
      <c r="R390" s="66"/>
      <c r="S390" s="66"/>
      <c r="T390" s="66"/>
      <c r="U390" s="66"/>
      <c r="V390" s="66"/>
      <c r="W390" s="66"/>
      <c r="X390" s="66"/>
      <c r="Y390" s="66"/>
    </row>
    <row r="391">
      <c r="A391" s="71"/>
      <c r="B391" s="71"/>
      <c r="C391" s="73"/>
      <c r="D391" s="73"/>
      <c r="E391" s="75"/>
      <c r="F391" s="75"/>
      <c r="G391" s="75"/>
      <c r="H391" s="75"/>
      <c r="I391" s="29"/>
      <c r="J391" s="76"/>
      <c r="K391" s="76"/>
      <c r="L391" s="66"/>
      <c r="M391" s="66"/>
      <c r="N391" s="66"/>
      <c r="O391" s="66"/>
      <c r="P391" s="66"/>
      <c r="Q391" s="66"/>
      <c r="R391" s="66"/>
      <c r="S391" s="66"/>
      <c r="T391" s="66"/>
      <c r="U391" s="66"/>
      <c r="V391" s="66"/>
      <c r="W391" s="66"/>
      <c r="X391" s="66"/>
      <c r="Y391" s="66"/>
    </row>
    <row r="392">
      <c r="A392" s="71"/>
      <c r="B392" s="71"/>
      <c r="C392" s="73"/>
      <c r="D392" s="73"/>
      <c r="E392" s="75"/>
      <c r="F392" s="75"/>
      <c r="G392" s="75"/>
      <c r="H392" s="75"/>
      <c r="I392" s="29"/>
      <c r="J392" s="76"/>
      <c r="K392" s="76"/>
      <c r="L392" s="66"/>
      <c r="M392" s="66"/>
      <c r="N392" s="66"/>
      <c r="O392" s="66"/>
      <c r="P392" s="66"/>
      <c r="Q392" s="66"/>
      <c r="R392" s="66"/>
      <c r="S392" s="66"/>
      <c r="T392" s="66"/>
      <c r="U392" s="66"/>
      <c r="V392" s="66"/>
      <c r="W392" s="66"/>
      <c r="X392" s="66"/>
      <c r="Y392" s="66"/>
    </row>
    <row r="393">
      <c r="A393" s="71"/>
      <c r="B393" s="71"/>
      <c r="C393" s="73"/>
      <c r="D393" s="73"/>
      <c r="E393" s="75"/>
      <c r="F393" s="75"/>
      <c r="G393" s="75"/>
      <c r="H393" s="75"/>
      <c r="I393" s="29"/>
      <c r="J393" s="76"/>
      <c r="K393" s="76"/>
      <c r="L393" s="66"/>
      <c r="M393" s="66"/>
      <c r="N393" s="66"/>
      <c r="O393" s="66"/>
      <c r="P393" s="66"/>
      <c r="Q393" s="66"/>
      <c r="R393" s="66"/>
      <c r="S393" s="66"/>
      <c r="T393" s="66"/>
      <c r="U393" s="66"/>
      <c r="V393" s="66"/>
      <c r="W393" s="66"/>
      <c r="X393" s="66"/>
      <c r="Y393" s="66"/>
    </row>
    <row r="394">
      <c r="A394" s="71"/>
      <c r="B394" s="71"/>
      <c r="C394" s="73"/>
      <c r="D394" s="73"/>
      <c r="E394" s="75"/>
      <c r="F394" s="75"/>
      <c r="G394" s="75"/>
      <c r="H394" s="75"/>
      <c r="I394" s="29"/>
      <c r="J394" s="76"/>
      <c r="K394" s="76"/>
      <c r="L394" s="66"/>
      <c r="M394" s="66"/>
      <c r="N394" s="66"/>
      <c r="O394" s="66"/>
      <c r="P394" s="66"/>
      <c r="Q394" s="66"/>
      <c r="R394" s="66"/>
      <c r="S394" s="66"/>
      <c r="T394" s="66"/>
      <c r="U394" s="66"/>
      <c r="V394" s="66"/>
      <c r="W394" s="66"/>
      <c r="X394" s="66"/>
      <c r="Y394" s="66"/>
    </row>
    <row r="395">
      <c r="A395" s="71"/>
      <c r="B395" s="71"/>
      <c r="C395" s="73"/>
      <c r="D395" s="73"/>
      <c r="E395" s="75"/>
      <c r="F395" s="75"/>
      <c r="G395" s="75"/>
      <c r="H395" s="75"/>
      <c r="I395" s="29"/>
      <c r="J395" s="76"/>
      <c r="K395" s="76"/>
      <c r="L395" s="66"/>
      <c r="M395" s="66"/>
      <c r="N395" s="66"/>
      <c r="O395" s="66"/>
      <c r="P395" s="66"/>
      <c r="Q395" s="66"/>
      <c r="R395" s="66"/>
      <c r="S395" s="66"/>
      <c r="T395" s="66"/>
      <c r="U395" s="66"/>
      <c r="V395" s="66"/>
      <c r="W395" s="66"/>
      <c r="X395" s="66"/>
      <c r="Y395" s="66"/>
    </row>
    <row r="396">
      <c r="A396" s="71"/>
      <c r="B396" s="71"/>
      <c r="C396" s="73"/>
      <c r="D396" s="73"/>
      <c r="E396" s="75"/>
      <c r="F396" s="75"/>
      <c r="G396" s="75"/>
      <c r="H396" s="75"/>
      <c r="I396" s="29"/>
      <c r="J396" s="76"/>
      <c r="K396" s="76"/>
      <c r="L396" s="66"/>
      <c r="M396" s="66"/>
      <c r="N396" s="66"/>
      <c r="O396" s="66"/>
      <c r="P396" s="66"/>
      <c r="Q396" s="66"/>
      <c r="R396" s="66"/>
      <c r="S396" s="66"/>
      <c r="T396" s="66"/>
      <c r="U396" s="66"/>
      <c r="V396" s="66"/>
      <c r="W396" s="66"/>
      <c r="X396" s="66"/>
      <c r="Y396" s="66"/>
    </row>
    <row r="397">
      <c r="A397" s="71"/>
      <c r="B397" s="71"/>
      <c r="C397" s="73"/>
      <c r="D397" s="73"/>
      <c r="E397" s="75"/>
      <c r="F397" s="75"/>
      <c r="G397" s="75"/>
      <c r="H397" s="75"/>
      <c r="I397" s="29"/>
      <c r="J397" s="76"/>
      <c r="K397" s="76"/>
      <c r="L397" s="66"/>
      <c r="M397" s="66"/>
      <c r="N397" s="66"/>
      <c r="O397" s="66"/>
      <c r="P397" s="66"/>
      <c r="Q397" s="66"/>
      <c r="R397" s="66"/>
      <c r="S397" s="66"/>
      <c r="T397" s="66"/>
      <c r="U397" s="66"/>
      <c r="V397" s="66"/>
      <c r="W397" s="66"/>
      <c r="X397" s="66"/>
      <c r="Y397" s="66"/>
    </row>
    <row r="398">
      <c r="A398" s="71"/>
      <c r="B398" s="71"/>
      <c r="C398" s="73"/>
      <c r="D398" s="73"/>
      <c r="E398" s="75"/>
      <c r="F398" s="75"/>
      <c r="G398" s="75"/>
      <c r="H398" s="75"/>
      <c r="I398" s="29"/>
      <c r="J398" s="76"/>
      <c r="K398" s="76"/>
      <c r="L398" s="66"/>
      <c r="M398" s="66"/>
      <c r="N398" s="66"/>
      <c r="O398" s="66"/>
      <c r="P398" s="66"/>
      <c r="Q398" s="66"/>
      <c r="R398" s="66"/>
      <c r="S398" s="66"/>
      <c r="T398" s="66"/>
      <c r="U398" s="66"/>
      <c r="V398" s="66"/>
      <c r="W398" s="66"/>
      <c r="X398" s="66"/>
      <c r="Y398" s="66"/>
    </row>
    <row r="399">
      <c r="A399" s="71"/>
      <c r="B399" s="71"/>
      <c r="C399" s="73"/>
      <c r="D399" s="73"/>
      <c r="E399" s="75"/>
      <c r="F399" s="75"/>
      <c r="G399" s="75"/>
      <c r="H399" s="75"/>
      <c r="I399" s="29"/>
      <c r="J399" s="76"/>
      <c r="K399" s="76"/>
      <c r="L399" s="66"/>
      <c r="M399" s="66"/>
      <c r="N399" s="66"/>
      <c r="O399" s="66"/>
      <c r="P399" s="66"/>
      <c r="Q399" s="66"/>
      <c r="R399" s="66"/>
      <c r="S399" s="66"/>
      <c r="T399" s="66"/>
      <c r="U399" s="66"/>
      <c r="V399" s="66"/>
      <c r="W399" s="66"/>
      <c r="X399" s="66"/>
      <c r="Y399" s="66"/>
    </row>
    <row r="400">
      <c r="A400" s="71"/>
      <c r="B400" s="71"/>
      <c r="C400" s="73"/>
      <c r="D400" s="73"/>
      <c r="E400" s="75"/>
      <c r="F400" s="75"/>
      <c r="G400" s="75"/>
      <c r="H400" s="75"/>
      <c r="I400" s="29"/>
      <c r="J400" s="76"/>
      <c r="K400" s="76"/>
      <c r="L400" s="66"/>
      <c r="M400" s="66"/>
      <c r="N400" s="66"/>
      <c r="O400" s="66"/>
      <c r="P400" s="66"/>
      <c r="Q400" s="66"/>
      <c r="R400" s="66"/>
      <c r="S400" s="66"/>
      <c r="T400" s="66"/>
      <c r="U400" s="66"/>
      <c r="V400" s="66"/>
      <c r="W400" s="66"/>
      <c r="X400" s="66"/>
      <c r="Y400" s="66"/>
    </row>
    <row r="401">
      <c r="A401" s="71"/>
      <c r="B401" s="71"/>
      <c r="C401" s="73"/>
      <c r="D401" s="73"/>
      <c r="E401" s="75"/>
      <c r="F401" s="75"/>
      <c r="G401" s="75"/>
      <c r="H401" s="75"/>
      <c r="I401" s="29"/>
      <c r="J401" s="76"/>
      <c r="K401" s="76"/>
      <c r="L401" s="66"/>
      <c r="M401" s="66"/>
      <c r="N401" s="66"/>
      <c r="O401" s="66"/>
      <c r="P401" s="66"/>
      <c r="Q401" s="66"/>
      <c r="R401" s="66"/>
      <c r="S401" s="66"/>
      <c r="T401" s="66"/>
      <c r="U401" s="66"/>
      <c r="V401" s="66"/>
      <c r="W401" s="66"/>
      <c r="X401" s="66"/>
      <c r="Y401" s="66"/>
    </row>
    <row r="402">
      <c r="A402" s="71"/>
      <c r="B402" s="71"/>
      <c r="C402" s="73"/>
      <c r="D402" s="73"/>
      <c r="E402" s="75"/>
      <c r="F402" s="75"/>
      <c r="G402" s="75"/>
      <c r="H402" s="75"/>
      <c r="I402" s="29"/>
      <c r="J402" s="76"/>
      <c r="K402" s="76"/>
      <c r="L402" s="66"/>
      <c r="M402" s="66"/>
      <c r="N402" s="66"/>
      <c r="O402" s="66"/>
      <c r="P402" s="66"/>
      <c r="Q402" s="66"/>
      <c r="R402" s="66"/>
      <c r="S402" s="66"/>
      <c r="T402" s="66"/>
      <c r="U402" s="66"/>
      <c r="V402" s="66"/>
      <c r="W402" s="66"/>
      <c r="X402" s="66"/>
      <c r="Y402" s="66"/>
    </row>
    <row r="403">
      <c r="A403" s="71"/>
      <c r="B403" s="71"/>
      <c r="C403" s="73"/>
      <c r="D403" s="73"/>
      <c r="E403" s="75"/>
      <c r="F403" s="75"/>
      <c r="G403" s="75"/>
      <c r="H403" s="75"/>
      <c r="I403" s="29"/>
      <c r="J403" s="76"/>
      <c r="K403" s="76"/>
      <c r="L403" s="66"/>
      <c r="M403" s="66"/>
      <c r="N403" s="66"/>
      <c r="O403" s="66"/>
      <c r="P403" s="66"/>
      <c r="Q403" s="66"/>
      <c r="R403" s="66"/>
      <c r="S403" s="66"/>
      <c r="T403" s="66"/>
      <c r="U403" s="66"/>
      <c r="V403" s="66"/>
      <c r="W403" s="66"/>
      <c r="X403" s="66"/>
      <c r="Y403" s="66"/>
    </row>
    <row r="404">
      <c r="A404" s="71"/>
      <c r="B404" s="71"/>
      <c r="C404" s="73"/>
      <c r="D404" s="73"/>
      <c r="E404" s="75"/>
      <c r="F404" s="75"/>
      <c r="G404" s="75"/>
      <c r="H404" s="75"/>
      <c r="I404" s="29"/>
      <c r="J404" s="76"/>
      <c r="K404" s="76"/>
      <c r="L404" s="66"/>
      <c r="M404" s="66"/>
      <c r="N404" s="66"/>
      <c r="O404" s="66"/>
      <c r="P404" s="66"/>
      <c r="Q404" s="66"/>
      <c r="R404" s="66"/>
      <c r="S404" s="66"/>
      <c r="T404" s="66"/>
      <c r="U404" s="66"/>
      <c r="V404" s="66"/>
      <c r="W404" s="66"/>
      <c r="X404" s="66"/>
      <c r="Y404" s="66"/>
    </row>
    <row r="405">
      <c r="A405" s="71"/>
      <c r="B405" s="71"/>
      <c r="C405" s="73"/>
      <c r="D405" s="73"/>
      <c r="E405" s="75"/>
      <c r="F405" s="75"/>
      <c r="G405" s="75"/>
      <c r="H405" s="75"/>
      <c r="I405" s="29"/>
      <c r="J405" s="76"/>
      <c r="K405" s="76"/>
      <c r="L405" s="66"/>
      <c r="M405" s="66"/>
      <c r="N405" s="66"/>
      <c r="O405" s="66"/>
      <c r="P405" s="66"/>
      <c r="Q405" s="66"/>
      <c r="R405" s="66"/>
      <c r="S405" s="66"/>
      <c r="T405" s="66"/>
      <c r="U405" s="66"/>
      <c r="V405" s="66"/>
      <c r="W405" s="66"/>
      <c r="X405" s="66"/>
      <c r="Y405" s="66"/>
    </row>
    <row r="406">
      <c r="A406" s="71"/>
      <c r="B406" s="71"/>
      <c r="C406" s="73"/>
      <c r="D406" s="73"/>
      <c r="E406" s="75"/>
      <c r="F406" s="75"/>
      <c r="G406" s="75"/>
      <c r="H406" s="75"/>
      <c r="I406" s="29"/>
      <c r="J406" s="76"/>
      <c r="K406" s="76"/>
      <c r="L406" s="66"/>
      <c r="M406" s="66"/>
      <c r="N406" s="66"/>
      <c r="O406" s="66"/>
      <c r="P406" s="66"/>
      <c r="Q406" s="66"/>
      <c r="R406" s="66"/>
      <c r="S406" s="66"/>
      <c r="T406" s="66"/>
      <c r="U406" s="66"/>
      <c r="V406" s="66"/>
      <c r="W406" s="66"/>
      <c r="X406" s="66"/>
      <c r="Y406" s="66"/>
    </row>
    <row r="407">
      <c r="A407" s="71"/>
      <c r="B407" s="71"/>
      <c r="C407" s="73"/>
      <c r="D407" s="73"/>
      <c r="E407" s="75"/>
      <c r="F407" s="75"/>
      <c r="G407" s="75"/>
      <c r="H407" s="75"/>
      <c r="I407" s="29"/>
      <c r="J407" s="76"/>
      <c r="K407" s="76"/>
      <c r="L407" s="66"/>
      <c r="M407" s="66"/>
      <c r="N407" s="66"/>
      <c r="O407" s="66"/>
      <c r="P407" s="66"/>
      <c r="Q407" s="66"/>
      <c r="R407" s="66"/>
      <c r="S407" s="66"/>
      <c r="T407" s="66"/>
      <c r="U407" s="66"/>
      <c r="V407" s="66"/>
      <c r="W407" s="66"/>
      <c r="X407" s="66"/>
      <c r="Y407" s="66"/>
    </row>
    <row r="408">
      <c r="A408" s="71"/>
      <c r="B408" s="71"/>
      <c r="C408" s="73"/>
      <c r="D408" s="73"/>
      <c r="E408" s="75"/>
      <c r="F408" s="75"/>
      <c r="G408" s="75"/>
      <c r="H408" s="75"/>
      <c r="I408" s="29"/>
      <c r="J408" s="76"/>
      <c r="K408" s="76"/>
      <c r="L408" s="66"/>
      <c r="M408" s="66"/>
      <c r="N408" s="66"/>
      <c r="O408" s="66"/>
      <c r="P408" s="66"/>
      <c r="Q408" s="66"/>
      <c r="R408" s="66"/>
      <c r="S408" s="66"/>
      <c r="T408" s="66"/>
      <c r="U408" s="66"/>
      <c r="V408" s="66"/>
      <c r="W408" s="66"/>
      <c r="X408" s="66"/>
      <c r="Y408" s="66"/>
    </row>
    <row r="409">
      <c r="A409" s="71"/>
      <c r="B409" s="71"/>
      <c r="C409" s="73"/>
      <c r="D409" s="73"/>
      <c r="E409" s="75"/>
      <c r="F409" s="75"/>
      <c r="G409" s="75"/>
      <c r="H409" s="75"/>
      <c r="I409" s="29"/>
      <c r="J409" s="76"/>
      <c r="K409" s="76"/>
      <c r="L409" s="66"/>
      <c r="M409" s="66"/>
      <c r="N409" s="66"/>
      <c r="O409" s="66"/>
      <c r="P409" s="66"/>
      <c r="Q409" s="66"/>
      <c r="R409" s="66"/>
      <c r="S409" s="66"/>
      <c r="T409" s="66"/>
      <c r="U409" s="66"/>
      <c r="V409" s="66"/>
      <c r="W409" s="66"/>
      <c r="X409" s="66"/>
      <c r="Y409" s="66"/>
    </row>
    <row r="410">
      <c r="A410" s="71"/>
      <c r="B410" s="71"/>
      <c r="C410" s="73"/>
      <c r="D410" s="73"/>
      <c r="E410" s="75"/>
      <c r="F410" s="75"/>
      <c r="G410" s="75"/>
      <c r="H410" s="75"/>
      <c r="I410" s="29"/>
      <c r="J410" s="76"/>
      <c r="K410" s="76"/>
      <c r="L410" s="66"/>
      <c r="M410" s="66"/>
      <c r="N410" s="66"/>
      <c r="O410" s="66"/>
      <c r="P410" s="66"/>
      <c r="Q410" s="66"/>
      <c r="R410" s="66"/>
      <c r="S410" s="66"/>
      <c r="T410" s="66"/>
      <c r="U410" s="66"/>
      <c r="V410" s="66"/>
      <c r="W410" s="66"/>
      <c r="X410" s="66"/>
      <c r="Y410" s="66"/>
    </row>
    <row r="411">
      <c r="A411" s="71"/>
      <c r="B411" s="71"/>
      <c r="C411" s="73"/>
      <c r="D411" s="73"/>
      <c r="E411" s="75"/>
      <c r="F411" s="75"/>
      <c r="G411" s="75"/>
      <c r="H411" s="75"/>
      <c r="I411" s="29"/>
      <c r="J411" s="76"/>
      <c r="K411" s="76"/>
      <c r="L411" s="66"/>
      <c r="M411" s="66"/>
      <c r="N411" s="66"/>
      <c r="O411" s="66"/>
      <c r="P411" s="66"/>
      <c r="Q411" s="66"/>
      <c r="R411" s="66"/>
      <c r="S411" s="66"/>
      <c r="T411" s="66"/>
      <c r="U411" s="66"/>
      <c r="V411" s="66"/>
      <c r="W411" s="66"/>
      <c r="X411" s="66"/>
      <c r="Y411" s="66"/>
    </row>
    <row r="412">
      <c r="A412" s="71"/>
      <c r="B412" s="71"/>
      <c r="C412" s="73"/>
      <c r="D412" s="73"/>
      <c r="E412" s="75"/>
      <c r="F412" s="75"/>
      <c r="G412" s="75"/>
      <c r="H412" s="75"/>
      <c r="I412" s="29"/>
      <c r="J412" s="76"/>
      <c r="K412" s="76"/>
      <c r="L412" s="66"/>
      <c r="M412" s="66"/>
      <c r="N412" s="66"/>
      <c r="O412" s="66"/>
      <c r="P412" s="66"/>
      <c r="Q412" s="66"/>
      <c r="R412" s="66"/>
      <c r="S412" s="66"/>
      <c r="T412" s="66"/>
      <c r="U412" s="66"/>
      <c r="V412" s="66"/>
      <c r="W412" s="66"/>
      <c r="X412" s="66"/>
      <c r="Y412" s="66"/>
    </row>
    <row r="413">
      <c r="A413" s="71"/>
      <c r="B413" s="71"/>
      <c r="C413" s="73"/>
      <c r="D413" s="73"/>
      <c r="E413" s="75"/>
      <c r="F413" s="75"/>
      <c r="G413" s="75"/>
      <c r="H413" s="75"/>
      <c r="I413" s="29"/>
      <c r="J413" s="76"/>
      <c r="K413" s="76"/>
      <c r="L413" s="66"/>
      <c r="M413" s="66"/>
      <c r="N413" s="66"/>
      <c r="O413" s="66"/>
      <c r="P413" s="66"/>
      <c r="Q413" s="66"/>
      <c r="R413" s="66"/>
      <c r="S413" s="66"/>
      <c r="T413" s="66"/>
      <c r="U413" s="66"/>
      <c r="V413" s="66"/>
      <c r="W413" s="66"/>
      <c r="X413" s="66"/>
      <c r="Y413" s="66"/>
    </row>
    <row r="414">
      <c r="A414" s="71"/>
      <c r="B414" s="71"/>
      <c r="C414" s="73"/>
      <c r="D414" s="73"/>
      <c r="E414" s="75"/>
      <c r="F414" s="75"/>
      <c r="G414" s="75"/>
      <c r="H414" s="75"/>
      <c r="I414" s="29"/>
      <c r="J414" s="76"/>
      <c r="K414" s="76"/>
      <c r="L414" s="66"/>
      <c r="M414" s="66"/>
      <c r="N414" s="66"/>
      <c r="O414" s="66"/>
      <c r="P414" s="66"/>
      <c r="Q414" s="66"/>
      <c r="R414" s="66"/>
      <c r="S414" s="66"/>
      <c r="T414" s="66"/>
      <c r="U414" s="66"/>
      <c r="V414" s="66"/>
      <c r="W414" s="66"/>
      <c r="X414" s="66"/>
      <c r="Y414" s="66"/>
    </row>
    <row r="415">
      <c r="A415" s="71"/>
      <c r="B415" s="71"/>
      <c r="C415" s="73"/>
      <c r="D415" s="73"/>
      <c r="E415" s="75"/>
      <c r="F415" s="75"/>
      <c r="G415" s="75"/>
      <c r="H415" s="75"/>
      <c r="I415" s="29"/>
      <c r="J415" s="76"/>
      <c r="K415" s="76"/>
      <c r="L415" s="66"/>
      <c r="M415" s="66"/>
      <c r="N415" s="66"/>
      <c r="O415" s="66"/>
      <c r="P415" s="66"/>
      <c r="Q415" s="66"/>
      <c r="R415" s="66"/>
      <c r="S415" s="66"/>
      <c r="T415" s="66"/>
      <c r="U415" s="66"/>
      <c r="V415" s="66"/>
      <c r="W415" s="66"/>
      <c r="X415" s="66"/>
      <c r="Y415" s="66"/>
    </row>
    <row r="416">
      <c r="A416" s="71"/>
      <c r="B416" s="71"/>
      <c r="C416" s="73"/>
      <c r="D416" s="73"/>
      <c r="E416" s="75"/>
      <c r="F416" s="75"/>
      <c r="G416" s="75"/>
      <c r="H416" s="75"/>
      <c r="I416" s="29"/>
      <c r="J416" s="76"/>
      <c r="K416" s="76"/>
      <c r="L416" s="66"/>
      <c r="M416" s="66"/>
      <c r="N416" s="66"/>
      <c r="O416" s="66"/>
      <c r="P416" s="66"/>
      <c r="Q416" s="66"/>
      <c r="R416" s="66"/>
      <c r="S416" s="66"/>
      <c r="T416" s="66"/>
      <c r="U416" s="66"/>
      <c r="V416" s="66"/>
      <c r="W416" s="66"/>
      <c r="X416" s="66"/>
      <c r="Y416" s="66"/>
    </row>
    <row r="417">
      <c r="A417" s="71"/>
      <c r="B417" s="71"/>
      <c r="C417" s="73"/>
      <c r="D417" s="73"/>
      <c r="E417" s="75"/>
      <c r="F417" s="75"/>
      <c r="G417" s="75"/>
      <c r="H417" s="75"/>
      <c r="I417" s="29"/>
      <c r="J417" s="76"/>
      <c r="K417" s="76"/>
      <c r="L417" s="66"/>
      <c r="M417" s="66"/>
      <c r="N417" s="66"/>
      <c r="O417" s="66"/>
      <c r="P417" s="66"/>
      <c r="Q417" s="66"/>
      <c r="R417" s="66"/>
      <c r="S417" s="66"/>
      <c r="T417" s="66"/>
      <c r="U417" s="66"/>
      <c r="V417" s="66"/>
      <c r="W417" s="66"/>
      <c r="X417" s="66"/>
      <c r="Y417" s="66"/>
    </row>
    <row r="418">
      <c r="A418" s="71"/>
      <c r="B418" s="71"/>
      <c r="C418" s="73"/>
      <c r="D418" s="73"/>
      <c r="E418" s="75"/>
      <c r="F418" s="75"/>
      <c r="G418" s="75"/>
      <c r="H418" s="75"/>
      <c r="I418" s="29"/>
      <c r="J418" s="76"/>
      <c r="K418" s="76"/>
      <c r="L418" s="66"/>
      <c r="M418" s="66"/>
      <c r="N418" s="66"/>
      <c r="O418" s="66"/>
      <c r="P418" s="66"/>
      <c r="Q418" s="66"/>
      <c r="R418" s="66"/>
      <c r="S418" s="66"/>
      <c r="T418" s="66"/>
      <c r="U418" s="66"/>
      <c r="V418" s="66"/>
      <c r="W418" s="66"/>
      <c r="X418" s="66"/>
      <c r="Y418" s="66"/>
    </row>
    <row r="419">
      <c r="A419" s="71"/>
      <c r="B419" s="71"/>
      <c r="C419" s="73"/>
      <c r="D419" s="73"/>
      <c r="E419" s="75"/>
      <c r="F419" s="75"/>
      <c r="G419" s="75"/>
      <c r="H419" s="75"/>
      <c r="I419" s="29"/>
      <c r="J419" s="76"/>
      <c r="K419" s="76"/>
      <c r="L419" s="66"/>
      <c r="M419" s="66"/>
      <c r="N419" s="66"/>
      <c r="O419" s="66"/>
      <c r="P419" s="66"/>
      <c r="Q419" s="66"/>
      <c r="R419" s="66"/>
      <c r="S419" s="66"/>
      <c r="T419" s="66"/>
      <c r="U419" s="66"/>
      <c r="V419" s="66"/>
      <c r="W419" s="66"/>
      <c r="X419" s="66"/>
      <c r="Y419" s="66"/>
    </row>
    <row r="420">
      <c r="A420" s="71"/>
      <c r="B420" s="71"/>
      <c r="C420" s="73"/>
      <c r="D420" s="73"/>
      <c r="E420" s="75"/>
      <c r="F420" s="75"/>
      <c r="G420" s="75"/>
      <c r="H420" s="75"/>
      <c r="I420" s="29"/>
      <c r="J420" s="76"/>
      <c r="K420" s="76"/>
      <c r="L420" s="66"/>
      <c r="M420" s="66"/>
      <c r="N420" s="66"/>
      <c r="O420" s="66"/>
      <c r="P420" s="66"/>
      <c r="Q420" s="66"/>
      <c r="R420" s="66"/>
      <c r="S420" s="66"/>
      <c r="T420" s="66"/>
      <c r="U420" s="66"/>
      <c r="V420" s="66"/>
      <c r="W420" s="66"/>
      <c r="X420" s="66"/>
      <c r="Y420" s="66"/>
    </row>
    <row r="421">
      <c r="A421" s="71"/>
      <c r="B421" s="71"/>
      <c r="C421" s="73"/>
      <c r="D421" s="73"/>
      <c r="E421" s="75"/>
      <c r="F421" s="75"/>
      <c r="G421" s="75"/>
      <c r="H421" s="75"/>
      <c r="I421" s="29"/>
      <c r="J421" s="76"/>
      <c r="K421" s="76"/>
      <c r="L421" s="66"/>
      <c r="M421" s="66"/>
      <c r="N421" s="66"/>
      <c r="O421" s="66"/>
      <c r="P421" s="66"/>
      <c r="Q421" s="66"/>
      <c r="R421" s="66"/>
      <c r="S421" s="66"/>
      <c r="T421" s="66"/>
      <c r="U421" s="66"/>
      <c r="V421" s="66"/>
      <c r="W421" s="66"/>
      <c r="X421" s="66"/>
      <c r="Y421" s="66"/>
    </row>
    <row r="422">
      <c r="A422" s="71"/>
      <c r="B422" s="71"/>
      <c r="C422" s="73"/>
      <c r="D422" s="73"/>
      <c r="E422" s="75"/>
      <c r="F422" s="75"/>
      <c r="G422" s="75"/>
      <c r="H422" s="75"/>
      <c r="I422" s="29"/>
      <c r="J422" s="76"/>
      <c r="K422" s="76"/>
      <c r="L422" s="66"/>
      <c r="M422" s="66"/>
      <c r="N422" s="66"/>
      <c r="O422" s="66"/>
      <c r="P422" s="66"/>
      <c r="Q422" s="66"/>
      <c r="R422" s="66"/>
      <c r="S422" s="66"/>
      <c r="T422" s="66"/>
      <c r="U422" s="66"/>
      <c r="V422" s="66"/>
      <c r="W422" s="66"/>
      <c r="X422" s="66"/>
      <c r="Y422" s="66"/>
    </row>
    <row r="423">
      <c r="A423" s="71"/>
      <c r="B423" s="71"/>
      <c r="C423" s="73"/>
      <c r="D423" s="73"/>
      <c r="E423" s="75"/>
      <c r="F423" s="75"/>
      <c r="G423" s="75"/>
      <c r="H423" s="75"/>
      <c r="I423" s="29"/>
      <c r="J423" s="76"/>
      <c r="K423" s="76"/>
      <c r="L423" s="66"/>
      <c r="M423" s="66"/>
      <c r="N423" s="66"/>
      <c r="O423" s="66"/>
      <c r="P423" s="66"/>
      <c r="Q423" s="66"/>
      <c r="R423" s="66"/>
      <c r="S423" s="66"/>
      <c r="T423" s="66"/>
      <c r="U423" s="66"/>
      <c r="V423" s="66"/>
      <c r="W423" s="66"/>
      <c r="X423" s="66"/>
      <c r="Y423" s="66"/>
    </row>
    <row r="424">
      <c r="A424" s="71"/>
      <c r="B424" s="71"/>
      <c r="C424" s="73"/>
      <c r="D424" s="73"/>
      <c r="E424" s="75"/>
      <c r="F424" s="75"/>
      <c r="G424" s="75"/>
      <c r="H424" s="75"/>
      <c r="I424" s="29"/>
      <c r="J424" s="76"/>
      <c r="K424" s="76"/>
      <c r="L424" s="66"/>
      <c r="M424" s="66"/>
      <c r="N424" s="66"/>
      <c r="O424" s="66"/>
      <c r="P424" s="66"/>
      <c r="Q424" s="66"/>
      <c r="R424" s="66"/>
      <c r="S424" s="66"/>
      <c r="T424" s="66"/>
      <c r="U424" s="66"/>
      <c r="V424" s="66"/>
      <c r="W424" s="66"/>
      <c r="X424" s="66"/>
      <c r="Y424" s="66"/>
    </row>
    <row r="425">
      <c r="A425" s="71"/>
      <c r="B425" s="71"/>
      <c r="C425" s="73"/>
      <c r="D425" s="73"/>
      <c r="E425" s="75"/>
      <c r="F425" s="75"/>
      <c r="G425" s="75"/>
      <c r="H425" s="75"/>
      <c r="I425" s="29"/>
      <c r="J425" s="76"/>
      <c r="K425" s="76"/>
      <c r="L425" s="66"/>
      <c r="M425" s="66"/>
      <c r="N425" s="66"/>
      <c r="O425" s="66"/>
      <c r="P425" s="66"/>
      <c r="Q425" s="66"/>
      <c r="R425" s="66"/>
      <c r="S425" s="66"/>
      <c r="T425" s="66"/>
      <c r="U425" s="66"/>
      <c r="V425" s="66"/>
      <c r="W425" s="66"/>
      <c r="X425" s="66"/>
      <c r="Y425" s="66"/>
    </row>
    <row r="426">
      <c r="A426" s="71"/>
      <c r="B426" s="71"/>
      <c r="C426" s="73"/>
      <c r="D426" s="73"/>
      <c r="E426" s="75"/>
      <c r="F426" s="75"/>
      <c r="G426" s="75"/>
      <c r="H426" s="75"/>
      <c r="I426" s="29"/>
      <c r="J426" s="76"/>
      <c r="K426" s="76"/>
      <c r="L426" s="66"/>
      <c r="M426" s="66"/>
      <c r="N426" s="66"/>
      <c r="O426" s="66"/>
      <c r="P426" s="66"/>
      <c r="Q426" s="66"/>
      <c r="R426" s="66"/>
      <c r="S426" s="66"/>
      <c r="T426" s="66"/>
      <c r="U426" s="66"/>
      <c r="V426" s="66"/>
      <c r="W426" s="66"/>
      <c r="X426" s="66"/>
      <c r="Y426" s="66"/>
    </row>
    <row r="427">
      <c r="A427" s="71"/>
      <c r="B427" s="71"/>
      <c r="C427" s="73"/>
      <c r="D427" s="73"/>
      <c r="E427" s="75"/>
      <c r="F427" s="75"/>
      <c r="G427" s="75"/>
      <c r="H427" s="75"/>
      <c r="I427" s="29"/>
      <c r="J427" s="76"/>
      <c r="K427" s="76"/>
      <c r="L427" s="66"/>
      <c r="M427" s="66"/>
      <c r="N427" s="66"/>
      <c r="O427" s="66"/>
      <c r="P427" s="66"/>
      <c r="Q427" s="66"/>
      <c r="R427" s="66"/>
      <c r="S427" s="66"/>
      <c r="T427" s="66"/>
      <c r="U427" s="66"/>
      <c r="V427" s="66"/>
      <c r="W427" s="66"/>
      <c r="X427" s="66"/>
      <c r="Y427" s="66"/>
    </row>
    <row r="428">
      <c r="A428" s="71"/>
      <c r="B428" s="71"/>
      <c r="C428" s="73"/>
      <c r="D428" s="73"/>
      <c r="E428" s="75"/>
      <c r="F428" s="75"/>
      <c r="G428" s="75"/>
      <c r="H428" s="75"/>
      <c r="I428" s="29"/>
      <c r="J428" s="76"/>
      <c r="K428" s="76"/>
      <c r="L428" s="66"/>
      <c r="M428" s="66"/>
      <c r="N428" s="66"/>
      <c r="O428" s="66"/>
      <c r="P428" s="66"/>
      <c r="Q428" s="66"/>
      <c r="R428" s="66"/>
      <c r="S428" s="66"/>
      <c r="T428" s="66"/>
      <c r="U428" s="66"/>
      <c r="V428" s="66"/>
      <c r="W428" s="66"/>
      <c r="X428" s="66"/>
      <c r="Y428" s="66"/>
    </row>
    <row r="429">
      <c r="A429" s="71"/>
      <c r="B429" s="71"/>
      <c r="C429" s="73"/>
      <c r="D429" s="73"/>
      <c r="E429" s="75"/>
      <c r="F429" s="75"/>
      <c r="G429" s="75"/>
      <c r="H429" s="75"/>
      <c r="I429" s="29"/>
      <c r="J429" s="76"/>
      <c r="K429" s="76"/>
      <c r="L429" s="66"/>
      <c r="M429" s="66"/>
      <c r="N429" s="66"/>
      <c r="O429" s="66"/>
      <c r="P429" s="66"/>
      <c r="Q429" s="66"/>
      <c r="R429" s="66"/>
      <c r="S429" s="66"/>
      <c r="T429" s="66"/>
      <c r="U429" s="66"/>
      <c r="V429" s="66"/>
      <c r="W429" s="66"/>
      <c r="X429" s="66"/>
      <c r="Y429" s="66"/>
    </row>
    <row r="430">
      <c r="A430" s="71"/>
      <c r="B430" s="71"/>
      <c r="C430" s="73"/>
      <c r="D430" s="73"/>
      <c r="E430" s="75"/>
      <c r="F430" s="75"/>
      <c r="G430" s="75"/>
      <c r="H430" s="75"/>
      <c r="I430" s="29"/>
      <c r="J430" s="76"/>
      <c r="K430" s="76"/>
      <c r="L430" s="66"/>
      <c r="M430" s="66"/>
      <c r="N430" s="66"/>
      <c r="O430" s="66"/>
      <c r="P430" s="66"/>
      <c r="Q430" s="66"/>
      <c r="R430" s="66"/>
      <c r="S430" s="66"/>
      <c r="T430" s="66"/>
      <c r="U430" s="66"/>
      <c r="V430" s="66"/>
      <c r="W430" s="66"/>
      <c r="X430" s="66"/>
      <c r="Y430" s="66"/>
    </row>
    <row r="431">
      <c r="A431" s="71"/>
      <c r="B431" s="71"/>
      <c r="C431" s="73"/>
      <c r="D431" s="73"/>
      <c r="E431" s="75"/>
      <c r="F431" s="75"/>
      <c r="G431" s="75"/>
      <c r="H431" s="75"/>
      <c r="I431" s="29"/>
      <c r="J431" s="76"/>
      <c r="K431" s="76"/>
      <c r="L431" s="66"/>
      <c r="M431" s="66"/>
      <c r="N431" s="66"/>
      <c r="O431" s="66"/>
      <c r="P431" s="66"/>
      <c r="Q431" s="66"/>
      <c r="R431" s="66"/>
      <c r="S431" s="66"/>
      <c r="T431" s="66"/>
      <c r="U431" s="66"/>
      <c r="V431" s="66"/>
      <c r="W431" s="66"/>
      <c r="X431" s="66"/>
      <c r="Y431" s="66"/>
    </row>
    <row r="432">
      <c r="A432" s="71"/>
      <c r="B432" s="71"/>
      <c r="C432" s="73"/>
      <c r="D432" s="73"/>
      <c r="E432" s="75"/>
      <c r="F432" s="75"/>
      <c r="G432" s="75"/>
      <c r="H432" s="75"/>
      <c r="I432" s="29"/>
      <c r="J432" s="76"/>
      <c r="K432" s="76"/>
      <c r="L432" s="66"/>
      <c r="M432" s="66"/>
      <c r="N432" s="66"/>
      <c r="O432" s="66"/>
      <c r="P432" s="66"/>
      <c r="Q432" s="66"/>
      <c r="R432" s="66"/>
      <c r="S432" s="66"/>
      <c r="T432" s="66"/>
      <c r="U432" s="66"/>
      <c r="V432" s="66"/>
      <c r="W432" s="66"/>
      <c r="X432" s="66"/>
      <c r="Y432" s="66"/>
    </row>
    <row r="433">
      <c r="A433" s="71"/>
      <c r="B433" s="71"/>
      <c r="C433" s="73"/>
      <c r="D433" s="73"/>
      <c r="E433" s="75"/>
      <c r="F433" s="75"/>
      <c r="G433" s="75"/>
      <c r="H433" s="75"/>
      <c r="I433" s="29"/>
      <c r="J433" s="76"/>
      <c r="K433" s="76"/>
      <c r="L433" s="66"/>
      <c r="M433" s="66"/>
      <c r="N433" s="66"/>
      <c r="O433" s="66"/>
      <c r="P433" s="66"/>
      <c r="Q433" s="66"/>
      <c r="R433" s="66"/>
      <c r="S433" s="66"/>
      <c r="T433" s="66"/>
      <c r="U433" s="66"/>
      <c r="V433" s="66"/>
      <c r="W433" s="66"/>
      <c r="X433" s="66"/>
      <c r="Y433" s="66"/>
    </row>
    <row r="434">
      <c r="A434" s="71"/>
      <c r="B434" s="71"/>
      <c r="C434" s="73"/>
      <c r="D434" s="73"/>
      <c r="E434" s="75"/>
      <c r="F434" s="75"/>
      <c r="G434" s="75"/>
      <c r="H434" s="75"/>
      <c r="I434" s="29"/>
      <c r="J434" s="76"/>
      <c r="K434" s="76"/>
      <c r="L434" s="66"/>
      <c r="M434" s="66"/>
      <c r="N434" s="66"/>
      <c r="O434" s="66"/>
      <c r="P434" s="66"/>
      <c r="Q434" s="66"/>
      <c r="R434" s="66"/>
      <c r="S434" s="66"/>
      <c r="T434" s="66"/>
      <c r="U434" s="66"/>
      <c r="V434" s="66"/>
      <c r="W434" s="66"/>
      <c r="X434" s="66"/>
      <c r="Y434" s="66"/>
    </row>
    <row r="435">
      <c r="A435" s="71"/>
      <c r="B435" s="71"/>
      <c r="C435" s="73"/>
      <c r="D435" s="73"/>
      <c r="E435" s="75"/>
      <c r="F435" s="75"/>
      <c r="G435" s="75"/>
      <c r="H435" s="75"/>
      <c r="I435" s="29"/>
      <c r="J435" s="76"/>
      <c r="K435" s="76"/>
      <c r="L435" s="66"/>
      <c r="M435" s="66"/>
      <c r="N435" s="66"/>
      <c r="O435" s="66"/>
      <c r="P435" s="66"/>
      <c r="Q435" s="66"/>
      <c r="R435" s="66"/>
      <c r="S435" s="66"/>
      <c r="T435" s="66"/>
      <c r="U435" s="66"/>
      <c r="V435" s="66"/>
      <c r="W435" s="66"/>
      <c r="X435" s="66"/>
      <c r="Y435" s="66"/>
    </row>
    <row r="436">
      <c r="A436" s="71"/>
      <c r="B436" s="71"/>
      <c r="C436" s="73"/>
      <c r="D436" s="73"/>
      <c r="E436" s="75"/>
      <c r="F436" s="75"/>
      <c r="G436" s="75"/>
      <c r="H436" s="75"/>
      <c r="I436" s="29"/>
      <c r="J436" s="76"/>
      <c r="K436" s="76"/>
      <c r="L436" s="66"/>
      <c r="M436" s="66"/>
      <c r="N436" s="66"/>
      <c r="O436" s="66"/>
      <c r="P436" s="66"/>
      <c r="Q436" s="66"/>
      <c r="R436" s="66"/>
      <c r="S436" s="66"/>
      <c r="T436" s="66"/>
      <c r="U436" s="66"/>
      <c r="V436" s="66"/>
      <c r="W436" s="66"/>
      <c r="X436" s="66"/>
      <c r="Y436" s="66"/>
    </row>
    <row r="437">
      <c r="A437" s="71"/>
      <c r="B437" s="71"/>
      <c r="C437" s="73"/>
      <c r="D437" s="73"/>
      <c r="E437" s="75"/>
      <c r="F437" s="75"/>
      <c r="G437" s="75"/>
      <c r="H437" s="75"/>
      <c r="I437" s="29"/>
      <c r="J437" s="76"/>
      <c r="K437" s="76"/>
      <c r="L437" s="66"/>
      <c r="M437" s="66"/>
      <c r="N437" s="66"/>
      <c r="O437" s="66"/>
      <c r="P437" s="66"/>
      <c r="Q437" s="66"/>
      <c r="R437" s="66"/>
      <c r="S437" s="66"/>
      <c r="T437" s="66"/>
      <c r="U437" s="66"/>
      <c r="V437" s="66"/>
      <c r="W437" s="66"/>
      <c r="X437" s="66"/>
      <c r="Y437" s="66"/>
    </row>
    <row r="438">
      <c r="A438" s="71"/>
      <c r="B438" s="71"/>
      <c r="C438" s="73"/>
      <c r="D438" s="73"/>
      <c r="E438" s="75"/>
      <c r="F438" s="75"/>
      <c r="G438" s="75"/>
      <c r="H438" s="75"/>
      <c r="I438" s="29"/>
      <c r="J438" s="76"/>
      <c r="K438" s="76"/>
      <c r="L438" s="66"/>
      <c r="M438" s="66"/>
      <c r="N438" s="66"/>
      <c r="O438" s="66"/>
      <c r="P438" s="66"/>
      <c r="Q438" s="66"/>
      <c r="R438" s="66"/>
      <c r="S438" s="66"/>
      <c r="T438" s="66"/>
      <c r="U438" s="66"/>
      <c r="V438" s="66"/>
      <c r="W438" s="66"/>
      <c r="X438" s="66"/>
      <c r="Y438" s="66"/>
    </row>
    <row r="439">
      <c r="A439" s="71"/>
      <c r="B439" s="71"/>
      <c r="C439" s="73"/>
      <c r="D439" s="73"/>
      <c r="E439" s="75"/>
      <c r="F439" s="75"/>
      <c r="G439" s="75"/>
      <c r="H439" s="75"/>
      <c r="I439" s="29"/>
      <c r="J439" s="76"/>
      <c r="K439" s="76"/>
      <c r="L439" s="66"/>
      <c r="M439" s="66"/>
      <c r="N439" s="66"/>
      <c r="O439" s="66"/>
      <c r="P439" s="66"/>
      <c r="Q439" s="66"/>
      <c r="R439" s="66"/>
      <c r="S439" s="66"/>
      <c r="T439" s="66"/>
      <c r="U439" s="66"/>
      <c r="V439" s="66"/>
      <c r="W439" s="66"/>
      <c r="X439" s="66"/>
      <c r="Y439" s="66"/>
    </row>
    <row r="440">
      <c r="A440" s="71"/>
      <c r="B440" s="71"/>
      <c r="C440" s="73"/>
      <c r="D440" s="73"/>
      <c r="E440" s="75"/>
      <c r="F440" s="75"/>
      <c r="G440" s="75"/>
      <c r="H440" s="75"/>
      <c r="I440" s="29"/>
      <c r="J440" s="76"/>
      <c r="K440" s="76"/>
      <c r="L440" s="66"/>
      <c r="M440" s="66"/>
      <c r="N440" s="66"/>
      <c r="O440" s="66"/>
      <c r="P440" s="66"/>
      <c r="Q440" s="66"/>
      <c r="R440" s="66"/>
      <c r="S440" s="66"/>
      <c r="T440" s="66"/>
      <c r="U440" s="66"/>
      <c r="V440" s="66"/>
      <c r="W440" s="66"/>
      <c r="X440" s="66"/>
      <c r="Y440" s="66"/>
    </row>
    <row r="441">
      <c r="A441" s="71"/>
      <c r="B441" s="71"/>
      <c r="C441" s="73"/>
      <c r="D441" s="73"/>
      <c r="E441" s="75"/>
      <c r="F441" s="75"/>
      <c r="G441" s="75"/>
      <c r="H441" s="75"/>
      <c r="I441" s="29"/>
      <c r="J441" s="76"/>
      <c r="K441" s="76"/>
      <c r="L441" s="66"/>
      <c r="M441" s="66"/>
      <c r="N441" s="66"/>
      <c r="O441" s="66"/>
      <c r="P441" s="66"/>
      <c r="Q441" s="66"/>
      <c r="R441" s="66"/>
      <c r="S441" s="66"/>
      <c r="T441" s="66"/>
      <c r="U441" s="66"/>
      <c r="V441" s="66"/>
      <c r="W441" s="66"/>
      <c r="X441" s="66"/>
      <c r="Y441" s="66"/>
    </row>
    <row r="442">
      <c r="A442" s="71"/>
      <c r="B442" s="71"/>
      <c r="C442" s="73"/>
      <c r="D442" s="73"/>
      <c r="E442" s="75"/>
      <c r="F442" s="75"/>
      <c r="G442" s="75"/>
      <c r="H442" s="75"/>
      <c r="I442" s="29"/>
      <c r="J442" s="76"/>
      <c r="K442" s="76"/>
      <c r="L442" s="66"/>
      <c r="M442" s="66"/>
      <c r="N442" s="66"/>
      <c r="O442" s="66"/>
      <c r="P442" s="66"/>
      <c r="Q442" s="66"/>
      <c r="R442" s="66"/>
      <c r="S442" s="66"/>
      <c r="T442" s="66"/>
      <c r="U442" s="66"/>
      <c r="V442" s="66"/>
      <c r="W442" s="66"/>
      <c r="X442" s="66"/>
      <c r="Y442" s="66"/>
    </row>
    <row r="443">
      <c r="A443" s="71"/>
      <c r="B443" s="71"/>
      <c r="C443" s="73"/>
      <c r="D443" s="73"/>
      <c r="E443" s="75"/>
      <c r="F443" s="75"/>
      <c r="G443" s="75"/>
      <c r="H443" s="75"/>
      <c r="I443" s="29"/>
      <c r="J443" s="76"/>
      <c r="K443" s="76"/>
      <c r="L443" s="66"/>
      <c r="M443" s="66"/>
      <c r="N443" s="66"/>
      <c r="O443" s="66"/>
      <c r="P443" s="66"/>
      <c r="Q443" s="66"/>
      <c r="R443" s="66"/>
      <c r="S443" s="66"/>
      <c r="T443" s="66"/>
      <c r="U443" s="66"/>
      <c r="V443" s="66"/>
      <c r="W443" s="66"/>
      <c r="X443" s="66"/>
      <c r="Y443" s="66"/>
    </row>
    <row r="444">
      <c r="A444" s="71"/>
      <c r="B444" s="71"/>
      <c r="C444" s="73"/>
      <c r="D444" s="73"/>
      <c r="E444" s="75"/>
      <c r="F444" s="75"/>
      <c r="G444" s="75"/>
      <c r="H444" s="75"/>
      <c r="I444" s="29"/>
      <c r="J444" s="76"/>
      <c r="K444" s="76"/>
      <c r="L444" s="66"/>
      <c r="M444" s="66"/>
      <c r="N444" s="66"/>
      <c r="O444" s="66"/>
      <c r="P444" s="66"/>
      <c r="Q444" s="66"/>
      <c r="R444" s="66"/>
      <c r="S444" s="66"/>
      <c r="T444" s="66"/>
      <c r="U444" s="66"/>
      <c r="V444" s="66"/>
      <c r="W444" s="66"/>
      <c r="X444" s="66"/>
      <c r="Y444" s="66"/>
    </row>
    <row r="445">
      <c r="A445" s="71"/>
      <c r="B445" s="71"/>
      <c r="C445" s="73"/>
      <c r="D445" s="73"/>
      <c r="E445" s="75"/>
      <c r="F445" s="75"/>
      <c r="G445" s="75"/>
      <c r="H445" s="75"/>
      <c r="I445" s="29"/>
      <c r="J445" s="76"/>
      <c r="K445" s="76"/>
      <c r="L445" s="66"/>
      <c r="M445" s="66"/>
      <c r="N445" s="66"/>
      <c r="O445" s="66"/>
      <c r="P445" s="66"/>
      <c r="Q445" s="66"/>
      <c r="R445" s="66"/>
      <c r="S445" s="66"/>
      <c r="T445" s="66"/>
      <c r="U445" s="66"/>
      <c r="V445" s="66"/>
      <c r="W445" s="66"/>
      <c r="X445" s="66"/>
      <c r="Y445" s="66"/>
    </row>
    <row r="446">
      <c r="A446" s="71"/>
      <c r="B446" s="71"/>
      <c r="C446" s="73"/>
      <c r="D446" s="73"/>
      <c r="E446" s="75"/>
      <c r="F446" s="75"/>
      <c r="G446" s="75"/>
      <c r="H446" s="75"/>
      <c r="I446" s="29"/>
      <c r="J446" s="76"/>
      <c r="K446" s="76"/>
      <c r="L446" s="66"/>
      <c r="M446" s="66"/>
      <c r="N446" s="66"/>
      <c r="O446" s="66"/>
      <c r="P446" s="66"/>
      <c r="Q446" s="66"/>
      <c r="R446" s="66"/>
      <c r="S446" s="66"/>
      <c r="T446" s="66"/>
      <c r="U446" s="66"/>
      <c r="V446" s="66"/>
      <c r="W446" s="66"/>
      <c r="X446" s="66"/>
      <c r="Y446" s="66"/>
    </row>
    <row r="447">
      <c r="A447" s="71"/>
      <c r="B447" s="71"/>
      <c r="C447" s="73"/>
      <c r="D447" s="73"/>
      <c r="E447" s="75"/>
      <c r="F447" s="75"/>
      <c r="G447" s="75"/>
      <c r="H447" s="75"/>
      <c r="I447" s="29"/>
      <c r="J447" s="76"/>
      <c r="K447" s="76"/>
      <c r="L447" s="66"/>
      <c r="M447" s="66"/>
      <c r="N447" s="66"/>
      <c r="O447" s="66"/>
      <c r="P447" s="66"/>
      <c r="Q447" s="66"/>
      <c r="R447" s="66"/>
      <c r="S447" s="66"/>
      <c r="T447" s="66"/>
      <c r="U447" s="66"/>
      <c r="V447" s="66"/>
      <c r="W447" s="66"/>
      <c r="X447" s="66"/>
      <c r="Y447" s="66"/>
    </row>
    <row r="448">
      <c r="A448" s="71"/>
      <c r="B448" s="71"/>
      <c r="C448" s="73"/>
      <c r="D448" s="73"/>
      <c r="E448" s="75"/>
      <c r="F448" s="75"/>
      <c r="G448" s="75"/>
      <c r="H448" s="75"/>
      <c r="I448" s="29"/>
      <c r="J448" s="76"/>
      <c r="K448" s="76"/>
      <c r="L448" s="66"/>
      <c r="M448" s="66"/>
      <c r="N448" s="66"/>
      <c r="O448" s="66"/>
      <c r="P448" s="66"/>
      <c r="Q448" s="66"/>
      <c r="R448" s="66"/>
      <c r="S448" s="66"/>
      <c r="T448" s="66"/>
      <c r="U448" s="66"/>
      <c r="V448" s="66"/>
      <c r="W448" s="66"/>
      <c r="X448" s="66"/>
      <c r="Y448" s="66"/>
    </row>
    <row r="449">
      <c r="A449" s="71"/>
      <c r="B449" s="71"/>
      <c r="C449" s="73"/>
      <c r="D449" s="73"/>
      <c r="E449" s="75"/>
      <c r="F449" s="75"/>
      <c r="G449" s="75"/>
      <c r="H449" s="75"/>
      <c r="I449" s="29"/>
      <c r="J449" s="76"/>
      <c r="K449" s="76"/>
      <c r="L449" s="66"/>
      <c r="M449" s="66"/>
      <c r="N449" s="66"/>
      <c r="O449" s="66"/>
      <c r="P449" s="66"/>
      <c r="Q449" s="66"/>
      <c r="R449" s="66"/>
      <c r="S449" s="66"/>
      <c r="T449" s="66"/>
      <c r="U449" s="66"/>
      <c r="V449" s="66"/>
      <c r="W449" s="66"/>
      <c r="X449" s="66"/>
      <c r="Y449" s="66"/>
    </row>
    <row r="450">
      <c r="A450" s="71"/>
      <c r="B450" s="71"/>
      <c r="C450" s="73"/>
      <c r="D450" s="73"/>
      <c r="E450" s="75"/>
      <c r="F450" s="75"/>
      <c r="G450" s="75"/>
      <c r="H450" s="75"/>
      <c r="I450" s="29"/>
      <c r="J450" s="76"/>
      <c r="K450" s="76"/>
      <c r="L450" s="66"/>
      <c r="M450" s="66"/>
      <c r="N450" s="66"/>
      <c r="O450" s="66"/>
      <c r="P450" s="66"/>
      <c r="Q450" s="66"/>
      <c r="R450" s="66"/>
      <c r="S450" s="66"/>
      <c r="T450" s="66"/>
      <c r="U450" s="66"/>
      <c r="V450" s="66"/>
      <c r="W450" s="66"/>
      <c r="X450" s="66"/>
      <c r="Y450" s="66"/>
    </row>
    <row r="451">
      <c r="A451" s="71"/>
      <c r="B451" s="71"/>
      <c r="C451" s="73"/>
      <c r="D451" s="73"/>
      <c r="E451" s="75"/>
      <c r="F451" s="75"/>
      <c r="G451" s="75"/>
      <c r="H451" s="75"/>
      <c r="I451" s="29"/>
      <c r="J451" s="76"/>
      <c r="K451" s="76"/>
      <c r="L451" s="66"/>
      <c r="M451" s="66"/>
      <c r="N451" s="66"/>
      <c r="O451" s="66"/>
      <c r="P451" s="66"/>
      <c r="Q451" s="66"/>
      <c r="R451" s="66"/>
      <c r="S451" s="66"/>
      <c r="T451" s="66"/>
      <c r="U451" s="66"/>
      <c r="V451" s="66"/>
      <c r="W451" s="66"/>
      <c r="X451" s="66"/>
      <c r="Y451" s="66"/>
    </row>
    <row r="452">
      <c r="A452" s="71"/>
      <c r="B452" s="71"/>
      <c r="C452" s="73"/>
      <c r="D452" s="73"/>
      <c r="E452" s="75"/>
      <c r="F452" s="75"/>
      <c r="G452" s="75"/>
      <c r="H452" s="75"/>
      <c r="I452" s="29"/>
      <c r="J452" s="76"/>
      <c r="K452" s="76"/>
      <c r="L452" s="66"/>
      <c r="M452" s="66"/>
      <c r="N452" s="66"/>
      <c r="O452" s="66"/>
      <c r="P452" s="66"/>
      <c r="Q452" s="66"/>
      <c r="R452" s="66"/>
      <c r="S452" s="66"/>
      <c r="T452" s="66"/>
      <c r="U452" s="66"/>
      <c r="V452" s="66"/>
      <c r="W452" s="66"/>
      <c r="X452" s="66"/>
      <c r="Y452" s="66"/>
    </row>
    <row r="453">
      <c r="A453" s="71"/>
      <c r="B453" s="71"/>
      <c r="C453" s="73"/>
      <c r="D453" s="73"/>
      <c r="E453" s="75"/>
      <c r="F453" s="75"/>
      <c r="G453" s="75"/>
      <c r="H453" s="75"/>
      <c r="I453" s="29"/>
      <c r="J453" s="76"/>
      <c r="K453" s="76"/>
      <c r="L453" s="66"/>
      <c r="M453" s="66"/>
      <c r="N453" s="66"/>
      <c r="O453" s="66"/>
      <c r="P453" s="66"/>
      <c r="Q453" s="66"/>
      <c r="R453" s="66"/>
      <c r="S453" s="66"/>
      <c r="T453" s="66"/>
      <c r="U453" s="66"/>
      <c r="V453" s="66"/>
      <c r="W453" s="66"/>
      <c r="X453" s="66"/>
      <c r="Y453" s="66"/>
    </row>
    <row r="454">
      <c r="A454" s="71"/>
      <c r="B454" s="71"/>
      <c r="C454" s="73"/>
      <c r="D454" s="73"/>
      <c r="E454" s="75"/>
      <c r="F454" s="75"/>
      <c r="G454" s="75"/>
      <c r="H454" s="75"/>
      <c r="I454" s="29"/>
      <c r="J454" s="76"/>
      <c r="K454" s="76"/>
      <c r="L454" s="66"/>
      <c r="M454" s="66"/>
      <c r="N454" s="66"/>
      <c r="O454" s="66"/>
      <c r="P454" s="66"/>
      <c r="Q454" s="66"/>
      <c r="R454" s="66"/>
      <c r="S454" s="66"/>
      <c r="T454" s="66"/>
      <c r="U454" s="66"/>
      <c r="V454" s="66"/>
      <c r="W454" s="66"/>
      <c r="X454" s="66"/>
      <c r="Y454" s="66"/>
    </row>
    <row r="455">
      <c r="A455" s="71"/>
      <c r="B455" s="71"/>
      <c r="C455" s="73"/>
      <c r="D455" s="73"/>
      <c r="E455" s="75"/>
      <c r="F455" s="75"/>
      <c r="G455" s="75"/>
      <c r="H455" s="75"/>
      <c r="I455" s="29"/>
      <c r="J455" s="76"/>
      <c r="K455" s="76"/>
      <c r="L455" s="66"/>
      <c r="M455" s="66"/>
      <c r="N455" s="66"/>
      <c r="O455" s="66"/>
      <c r="P455" s="66"/>
      <c r="Q455" s="66"/>
      <c r="R455" s="66"/>
      <c r="S455" s="66"/>
      <c r="T455" s="66"/>
      <c r="U455" s="66"/>
      <c r="V455" s="66"/>
      <c r="W455" s="66"/>
      <c r="X455" s="66"/>
      <c r="Y455" s="66"/>
    </row>
    <row r="456">
      <c r="A456" s="71"/>
      <c r="B456" s="71"/>
      <c r="C456" s="73"/>
      <c r="D456" s="73"/>
      <c r="E456" s="75"/>
      <c r="F456" s="75"/>
      <c r="G456" s="75"/>
      <c r="H456" s="75"/>
      <c r="I456" s="29"/>
      <c r="J456" s="76"/>
      <c r="K456" s="76"/>
      <c r="L456" s="66"/>
      <c r="M456" s="66"/>
      <c r="N456" s="66"/>
      <c r="O456" s="66"/>
      <c r="P456" s="66"/>
      <c r="Q456" s="66"/>
      <c r="R456" s="66"/>
      <c r="S456" s="66"/>
      <c r="T456" s="66"/>
      <c r="U456" s="66"/>
      <c r="V456" s="66"/>
      <c r="W456" s="66"/>
      <c r="X456" s="66"/>
      <c r="Y456" s="66"/>
    </row>
    <row r="457">
      <c r="A457" s="71"/>
      <c r="B457" s="71"/>
      <c r="C457" s="73"/>
      <c r="D457" s="73"/>
      <c r="E457" s="75"/>
      <c r="F457" s="75"/>
      <c r="G457" s="75"/>
      <c r="H457" s="75"/>
      <c r="I457" s="29"/>
      <c r="J457" s="76"/>
      <c r="K457" s="76"/>
      <c r="L457" s="66"/>
      <c r="M457" s="66"/>
      <c r="N457" s="66"/>
      <c r="O457" s="66"/>
      <c r="P457" s="66"/>
      <c r="Q457" s="66"/>
      <c r="R457" s="66"/>
      <c r="S457" s="66"/>
      <c r="T457" s="66"/>
      <c r="U457" s="66"/>
      <c r="V457" s="66"/>
      <c r="W457" s="66"/>
      <c r="X457" s="66"/>
      <c r="Y457" s="66"/>
    </row>
    <row r="458">
      <c r="A458" s="71"/>
      <c r="B458" s="71"/>
      <c r="C458" s="73"/>
      <c r="D458" s="73"/>
      <c r="E458" s="75"/>
      <c r="F458" s="75"/>
      <c r="G458" s="75"/>
      <c r="H458" s="75"/>
      <c r="I458" s="29"/>
      <c r="J458" s="76"/>
      <c r="K458" s="76"/>
      <c r="L458" s="66"/>
      <c r="M458" s="66"/>
      <c r="N458" s="66"/>
      <c r="O458" s="66"/>
      <c r="P458" s="66"/>
      <c r="Q458" s="66"/>
      <c r="R458" s="66"/>
      <c r="S458" s="66"/>
      <c r="T458" s="66"/>
      <c r="U458" s="66"/>
      <c r="V458" s="66"/>
      <c r="W458" s="66"/>
      <c r="X458" s="66"/>
      <c r="Y458" s="66"/>
    </row>
    <row r="459">
      <c r="A459" s="71"/>
      <c r="B459" s="71"/>
      <c r="C459" s="73"/>
      <c r="D459" s="73"/>
      <c r="E459" s="75"/>
      <c r="F459" s="75"/>
      <c r="G459" s="75"/>
      <c r="H459" s="75"/>
      <c r="I459" s="29"/>
      <c r="J459" s="76"/>
      <c r="K459" s="76"/>
      <c r="L459" s="66"/>
      <c r="M459" s="66"/>
      <c r="N459" s="66"/>
      <c r="O459" s="66"/>
      <c r="P459" s="66"/>
      <c r="Q459" s="66"/>
      <c r="R459" s="66"/>
      <c r="S459" s="66"/>
      <c r="T459" s="66"/>
      <c r="U459" s="66"/>
      <c r="V459" s="66"/>
      <c r="W459" s="66"/>
      <c r="X459" s="66"/>
      <c r="Y459" s="66"/>
    </row>
    <row r="460">
      <c r="A460" s="71"/>
      <c r="B460" s="71"/>
      <c r="C460" s="73"/>
      <c r="D460" s="73"/>
      <c r="E460" s="75"/>
      <c r="F460" s="75"/>
      <c r="G460" s="75"/>
      <c r="H460" s="75"/>
      <c r="I460" s="29"/>
      <c r="J460" s="76"/>
      <c r="K460" s="76"/>
      <c r="L460" s="66"/>
      <c r="M460" s="66"/>
      <c r="N460" s="66"/>
      <c r="O460" s="66"/>
      <c r="P460" s="66"/>
      <c r="Q460" s="66"/>
      <c r="R460" s="66"/>
      <c r="S460" s="66"/>
      <c r="T460" s="66"/>
      <c r="U460" s="66"/>
      <c r="V460" s="66"/>
      <c r="W460" s="66"/>
      <c r="X460" s="66"/>
      <c r="Y460" s="66"/>
    </row>
    <row r="461">
      <c r="A461" s="71"/>
      <c r="B461" s="71"/>
      <c r="C461" s="73"/>
      <c r="D461" s="73"/>
      <c r="E461" s="75"/>
      <c r="F461" s="75"/>
      <c r="G461" s="75"/>
      <c r="H461" s="75"/>
      <c r="I461" s="29"/>
      <c r="J461" s="76"/>
      <c r="K461" s="76"/>
      <c r="L461" s="66"/>
      <c r="M461" s="66"/>
      <c r="N461" s="66"/>
      <c r="O461" s="66"/>
      <c r="P461" s="66"/>
      <c r="Q461" s="66"/>
      <c r="R461" s="66"/>
      <c r="S461" s="66"/>
      <c r="T461" s="66"/>
      <c r="U461" s="66"/>
      <c r="V461" s="66"/>
      <c r="W461" s="66"/>
      <c r="X461" s="66"/>
      <c r="Y461" s="66"/>
    </row>
    <row r="462">
      <c r="A462" s="71"/>
      <c r="B462" s="71"/>
      <c r="C462" s="73"/>
      <c r="D462" s="73"/>
      <c r="E462" s="75"/>
      <c r="F462" s="75"/>
      <c r="G462" s="75"/>
      <c r="H462" s="75"/>
      <c r="I462" s="29"/>
      <c r="J462" s="76"/>
      <c r="K462" s="76"/>
      <c r="L462" s="66"/>
      <c r="M462" s="66"/>
      <c r="N462" s="66"/>
      <c r="O462" s="66"/>
      <c r="P462" s="66"/>
      <c r="Q462" s="66"/>
      <c r="R462" s="66"/>
      <c r="S462" s="66"/>
      <c r="T462" s="66"/>
      <c r="U462" s="66"/>
      <c r="V462" s="66"/>
      <c r="W462" s="66"/>
      <c r="X462" s="66"/>
      <c r="Y462" s="66"/>
    </row>
    <row r="463">
      <c r="A463" s="71"/>
      <c r="B463" s="71"/>
      <c r="C463" s="73"/>
      <c r="D463" s="73"/>
      <c r="E463" s="75"/>
      <c r="F463" s="75"/>
      <c r="G463" s="75"/>
      <c r="H463" s="75"/>
      <c r="I463" s="29"/>
      <c r="J463" s="76"/>
      <c r="K463" s="76"/>
      <c r="L463" s="66"/>
      <c r="M463" s="66"/>
      <c r="N463" s="66"/>
      <c r="O463" s="66"/>
      <c r="P463" s="66"/>
      <c r="Q463" s="66"/>
      <c r="R463" s="66"/>
      <c r="S463" s="66"/>
      <c r="T463" s="66"/>
      <c r="U463" s="66"/>
      <c r="V463" s="66"/>
      <c r="W463" s="66"/>
      <c r="X463" s="66"/>
      <c r="Y463" s="66"/>
    </row>
    <row r="464">
      <c r="A464" s="71"/>
      <c r="B464" s="71"/>
      <c r="C464" s="73"/>
      <c r="D464" s="73"/>
      <c r="E464" s="75"/>
      <c r="F464" s="75"/>
      <c r="G464" s="75"/>
      <c r="H464" s="75"/>
      <c r="I464" s="29"/>
      <c r="J464" s="76"/>
      <c r="K464" s="76"/>
      <c r="L464" s="66"/>
      <c r="M464" s="66"/>
      <c r="N464" s="66"/>
      <c r="O464" s="66"/>
      <c r="P464" s="66"/>
      <c r="Q464" s="66"/>
      <c r="R464" s="66"/>
      <c r="S464" s="66"/>
      <c r="T464" s="66"/>
      <c r="U464" s="66"/>
      <c r="V464" s="66"/>
      <c r="W464" s="66"/>
      <c r="X464" s="66"/>
      <c r="Y464" s="66"/>
    </row>
    <row r="465">
      <c r="A465" s="71"/>
      <c r="B465" s="71"/>
      <c r="C465" s="73"/>
      <c r="D465" s="73"/>
      <c r="E465" s="75"/>
      <c r="F465" s="75"/>
      <c r="G465" s="75"/>
      <c r="H465" s="75"/>
      <c r="I465" s="29"/>
      <c r="J465" s="76"/>
      <c r="K465" s="76"/>
      <c r="L465" s="66"/>
      <c r="M465" s="66"/>
      <c r="N465" s="66"/>
      <c r="O465" s="66"/>
      <c r="P465" s="66"/>
      <c r="Q465" s="66"/>
      <c r="R465" s="66"/>
      <c r="S465" s="66"/>
      <c r="T465" s="66"/>
      <c r="U465" s="66"/>
      <c r="V465" s="66"/>
      <c r="W465" s="66"/>
      <c r="X465" s="66"/>
      <c r="Y465" s="66"/>
    </row>
    <row r="466">
      <c r="A466" s="71"/>
      <c r="B466" s="71"/>
      <c r="C466" s="73"/>
      <c r="D466" s="73"/>
      <c r="E466" s="75"/>
      <c r="F466" s="75"/>
      <c r="G466" s="75"/>
      <c r="H466" s="75"/>
      <c r="I466" s="29"/>
      <c r="J466" s="76"/>
      <c r="K466" s="76"/>
      <c r="L466" s="66"/>
      <c r="M466" s="66"/>
      <c r="N466" s="66"/>
      <c r="O466" s="66"/>
      <c r="P466" s="66"/>
      <c r="Q466" s="66"/>
      <c r="R466" s="66"/>
      <c r="S466" s="66"/>
      <c r="T466" s="66"/>
      <c r="U466" s="66"/>
      <c r="V466" s="66"/>
      <c r="W466" s="66"/>
      <c r="X466" s="66"/>
      <c r="Y466" s="66"/>
    </row>
    <row r="467">
      <c r="A467" s="71"/>
      <c r="B467" s="71"/>
      <c r="C467" s="73"/>
      <c r="D467" s="73"/>
      <c r="E467" s="75"/>
      <c r="F467" s="75"/>
      <c r="G467" s="75"/>
      <c r="H467" s="75"/>
      <c r="I467" s="29"/>
      <c r="J467" s="76"/>
      <c r="K467" s="76"/>
      <c r="L467" s="66"/>
      <c r="M467" s="66"/>
      <c r="N467" s="66"/>
      <c r="O467" s="66"/>
      <c r="P467" s="66"/>
      <c r="Q467" s="66"/>
      <c r="R467" s="66"/>
      <c r="S467" s="66"/>
      <c r="T467" s="66"/>
      <c r="U467" s="66"/>
      <c r="V467" s="66"/>
      <c r="W467" s="66"/>
      <c r="X467" s="66"/>
      <c r="Y467" s="66"/>
    </row>
    <row r="468">
      <c r="A468" s="71"/>
      <c r="B468" s="71"/>
      <c r="C468" s="73"/>
      <c r="D468" s="73"/>
      <c r="E468" s="75"/>
      <c r="F468" s="75"/>
      <c r="G468" s="75"/>
      <c r="H468" s="75"/>
      <c r="I468" s="29"/>
      <c r="J468" s="76"/>
      <c r="K468" s="76"/>
      <c r="L468" s="66"/>
      <c r="M468" s="66"/>
      <c r="N468" s="66"/>
      <c r="O468" s="66"/>
      <c r="P468" s="66"/>
      <c r="Q468" s="66"/>
      <c r="R468" s="66"/>
      <c r="S468" s="66"/>
      <c r="T468" s="66"/>
      <c r="U468" s="66"/>
      <c r="V468" s="66"/>
      <c r="W468" s="66"/>
      <c r="X468" s="66"/>
      <c r="Y468" s="66"/>
    </row>
    <row r="469">
      <c r="A469" s="71"/>
      <c r="B469" s="71"/>
      <c r="C469" s="73"/>
      <c r="D469" s="73"/>
      <c r="E469" s="75"/>
      <c r="F469" s="75"/>
      <c r="G469" s="75"/>
      <c r="H469" s="75"/>
      <c r="I469" s="29"/>
      <c r="J469" s="76"/>
      <c r="K469" s="76"/>
      <c r="L469" s="66"/>
      <c r="M469" s="66"/>
      <c r="N469" s="66"/>
      <c r="O469" s="66"/>
      <c r="P469" s="66"/>
      <c r="Q469" s="66"/>
      <c r="R469" s="66"/>
      <c r="S469" s="66"/>
      <c r="T469" s="66"/>
      <c r="U469" s="66"/>
      <c r="V469" s="66"/>
      <c r="W469" s="66"/>
      <c r="X469" s="66"/>
      <c r="Y469" s="66"/>
    </row>
    <row r="470">
      <c r="A470" s="71"/>
      <c r="B470" s="71"/>
      <c r="C470" s="73"/>
      <c r="D470" s="73"/>
      <c r="E470" s="75"/>
      <c r="F470" s="75"/>
      <c r="G470" s="75"/>
      <c r="H470" s="75"/>
      <c r="I470" s="29"/>
      <c r="J470" s="76"/>
      <c r="K470" s="76"/>
      <c r="L470" s="66"/>
      <c r="M470" s="66"/>
      <c r="N470" s="66"/>
      <c r="O470" s="66"/>
      <c r="P470" s="66"/>
      <c r="Q470" s="66"/>
      <c r="R470" s="66"/>
      <c r="S470" s="66"/>
      <c r="T470" s="66"/>
      <c r="U470" s="66"/>
      <c r="V470" s="66"/>
      <c r="W470" s="66"/>
      <c r="X470" s="66"/>
      <c r="Y470" s="66"/>
    </row>
    <row r="471">
      <c r="A471" s="71"/>
      <c r="B471" s="71"/>
      <c r="C471" s="73"/>
      <c r="D471" s="73"/>
      <c r="E471" s="75"/>
      <c r="F471" s="75"/>
      <c r="G471" s="75"/>
      <c r="H471" s="75"/>
      <c r="I471" s="29"/>
      <c r="J471" s="76"/>
      <c r="K471" s="76"/>
      <c r="L471" s="66"/>
      <c r="M471" s="66"/>
      <c r="N471" s="66"/>
      <c r="O471" s="66"/>
      <c r="P471" s="66"/>
      <c r="Q471" s="66"/>
      <c r="R471" s="66"/>
      <c r="S471" s="66"/>
      <c r="T471" s="66"/>
      <c r="U471" s="66"/>
      <c r="V471" s="66"/>
      <c r="W471" s="66"/>
      <c r="X471" s="66"/>
      <c r="Y471" s="66"/>
    </row>
    <row r="472">
      <c r="A472" s="71"/>
      <c r="B472" s="71"/>
      <c r="C472" s="73"/>
      <c r="D472" s="73"/>
      <c r="E472" s="75"/>
      <c r="F472" s="75"/>
      <c r="G472" s="75"/>
      <c r="H472" s="75"/>
      <c r="I472" s="29"/>
      <c r="J472" s="76"/>
      <c r="K472" s="76"/>
      <c r="L472" s="66"/>
      <c r="M472" s="66"/>
      <c r="N472" s="66"/>
      <c r="O472" s="66"/>
      <c r="P472" s="66"/>
      <c r="Q472" s="66"/>
      <c r="R472" s="66"/>
      <c r="S472" s="66"/>
      <c r="T472" s="66"/>
      <c r="U472" s="66"/>
      <c r="V472" s="66"/>
      <c r="W472" s="66"/>
      <c r="X472" s="66"/>
      <c r="Y472" s="66"/>
    </row>
    <row r="473">
      <c r="A473" s="71"/>
      <c r="B473" s="71"/>
      <c r="C473" s="73"/>
      <c r="D473" s="73"/>
      <c r="E473" s="75"/>
      <c r="F473" s="75"/>
      <c r="G473" s="75"/>
      <c r="H473" s="75"/>
      <c r="I473" s="29"/>
      <c r="J473" s="76"/>
      <c r="K473" s="76"/>
      <c r="L473" s="66"/>
      <c r="M473" s="66"/>
      <c r="N473" s="66"/>
      <c r="O473" s="66"/>
      <c r="P473" s="66"/>
      <c r="Q473" s="66"/>
      <c r="R473" s="66"/>
      <c r="S473" s="66"/>
      <c r="T473" s="66"/>
      <c r="U473" s="66"/>
      <c r="V473" s="66"/>
      <c r="W473" s="66"/>
      <c r="X473" s="66"/>
      <c r="Y473" s="66"/>
    </row>
    <row r="474">
      <c r="A474" s="71"/>
      <c r="B474" s="71"/>
      <c r="C474" s="73"/>
      <c r="D474" s="73"/>
      <c r="E474" s="75"/>
      <c r="F474" s="75"/>
      <c r="G474" s="75"/>
      <c r="H474" s="75"/>
      <c r="I474" s="29"/>
      <c r="J474" s="76"/>
      <c r="K474" s="76"/>
      <c r="L474" s="66"/>
      <c r="M474" s="66"/>
      <c r="N474" s="66"/>
      <c r="O474" s="66"/>
      <c r="P474" s="66"/>
      <c r="Q474" s="66"/>
      <c r="R474" s="66"/>
      <c r="S474" s="66"/>
      <c r="T474" s="66"/>
      <c r="U474" s="66"/>
      <c r="V474" s="66"/>
      <c r="W474" s="66"/>
      <c r="X474" s="66"/>
      <c r="Y474" s="66"/>
    </row>
    <row r="475">
      <c r="A475" s="71"/>
      <c r="B475" s="71"/>
      <c r="C475" s="73"/>
      <c r="D475" s="73"/>
      <c r="E475" s="75"/>
      <c r="F475" s="75"/>
      <c r="G475" s="75"/>
      <c r="H475" s="75"/>
      <c r="I475" s="29"/>
      <c r="J475" s="76"/>
      <c r="K475" s="76"/>
      <c r="L475" s="66"/>
      <c r="M475" s="66"/>
      <c r="N475" s="66"/>
      <c r="O475" s="66"/>
      <c r="P475" s="66"/>
      <c r="Q475" s="66"/>
      <c r="R475" s="66"/>
      <c r="S475" s="66"/>
      <c r="T475" s="66"/>
      <c r="U475" s="66"/>
      <c r="V475" s="66"/>
      <c r="W475" s="66"/>
      <c r="X475" s="66"/>
      <c r="Y475" s="66"/>
    </row>
    <row r="476">
      <c r="A476" s="71"/>
      <c r="B476" s="71"/>
      <c r="C476" s="73"/>
      <c r="D476" s="73"/>
      <c r="E476" s="75"/>
      <c r="F476" s="75"/>
      <c r="G476" s="75"/>
      <c r="H476" s="75"/>
      <c r="I476" s="29"/>
      <c r="J476" s="76"/>
      <c r="K476" s="76"/>
      <c r="L476" s="66"/>
      <c r="M476" s="66"/>
      <c r="N476" s="66"/>
      <c r="O476" s="66"/>
      <c r="P476" s="66"/>
      <c r="Q476" s="66"/>
      <c r="R476" s="66"/>
      <c r="S476" s="66"/>
      <c r="T476" s="66"/>
      <c r="U476" s="66"/>
      <c r="V476" s="66"/>
      <c r="W476" s="66"/>
      <c r="X476" s="66"/>
      <c r="Y476" s="66"/>
    </row>
    <row r="477">
      <c r="A477" s="71"/>
      <c r="B477" s="71"/>
      <c r="C477" s="73"/>
      <c r="D477" s="73"/>
      <c r="E477" s="75"/>
      <c r="F477" s="75"/>
      <c r="G477" s="75"/>
      <c r="H477" s="75"/>
      <c r="I477" s="29"/>
      <c r="J477" s="76"/>
      <c r="K477" s="76"/>
      <c r="L477" s="66"/>
      <c r="M477" s="66"/>
      <c r="N477" s="66"/>
      <c r="O477" s="66"/>
      <c r="P477" s="66"/>
      <c r="Q477" s="66"/>
      <c r="R477" s="66"/>
      <c r="S477" s="66"/>
      <c r="T477" s="66"/>
      <c r="U477" s="66"/>
      <c r="V477" s="66"/>
      <c r="W477" s="66"/>
      <c r="X477" s="66"/>
      <c r="Y477" s="66"/>
    </row>
    <row r="478">
      <c r="A478" s="71"/>
      <c r="B478" s="71"/>
      <c r="C478" s="73"/>
      <c r="D478" s="73"/>
      <c r="E478" s="75"/>
      <c r="F478" s="75"/>
      <c r="G478" s="75"/>
      <c r="H478" s="75"/>
      <c r="I478" s="29"/>
      <c r="J478" s="76"/>
      <c r="K478" s="76"/>
      <c r="L478" s="66"/>
      <c r="M478" s="66"/>
      <c r="N478" s="66"/>
      <c r="O478" s="66"/>
      <c r="P478" s="66"/>
      <c r="Q478" s="66"/>
      <c r="R478" s="66"/>
      <c r="S478" s="66"/>
      <c r="T478" s="66"/>
      <c r="U478" s="66"/>
      <c r="V478" s="66"/>
      <c r="W478" s="66"/>
      <c r="X478" s="66"/>
      <c r="Y478" s="66"/>
    </row>
    <row r="479">
      <c r="A479" s="71"/>
      <c r="B479" s="71"/>
      <c r="C479" s="73"/>
      <c r="D479" s="73"/>
      <c r="E479" s="75"/>
      <c r="F479" s="75"/>
      <c r="G479" s="75"/>
      <c r="H479" s="75"/>
      <c r="I479" s="29"/>
      <c r="J479" s="76"/>
      <c r="K479" s="76"/>
      <c r="L479" s="66"/>
      <c r="M479" s="66"/>
      <c r="N479" s="66"/>
      <c r="O479" s="66"/>
      <c r="P479" s="66"/>
      <c r="Q479" s="66"/>
      <c r="R479" s="66"/>
      <c r="S479" s="66"/>
      <c r="T479" s="66"/>
      <c r="U479" s="66"/>
      <c r="V479" s="66"/>
      <c r="W479" s="66"/>
      <c r="X479" s="66"/>
      <c r="Y479" s="66"/>
    </row>
    <row r="480">
      <c r="A480" s="71"/>
      <c r="B480" s="71"/>
      <c r="C480" s="73"/>
      <c r="D480" s="73"/>
      <c r="E480" s="75"/>
      <c r="F480" s="75"/>
      <c r="G480" s="75"/>
      <c r="H480" s="75"/>
      <c r="I480" s="29"/>
      <c r="J480" s="76"/>
      <c r="K480" s="76"/>
      <c r="L480" s="66"/>
      <c r="M480" s="66"/>
      <c r="N480" s="66"/>
      <c r="O480" s="66"/>
      <c r="P480" s="66"/>
      <c r="Q480" s="66"/>
      <c r="R480" s="66"/>
      <c r="S480" s="66"/>
      <c r="T480" s="66"/>
      <c r="U480" s="66"/>
      <c r="V480" s="66"/>
      <c r="W480" s="66"/>
      <c r="X480" s="66"/>
      <c r="Y480" s="66"/>
    </row>
    <row r="481">
      <c r="A481" s="71"/>
      <c r="B481" s="71"/>
      <c r="C481" s="73"/>
      <c r="D481" s="73"/>
      <c r="E481" s="75"/>
      <c r="F481" s="75"/>
      <c r="G481" s="75"/>
      <c r="H481" s="75"/>
      <c r="I481" s="29"/>
      <c r="J481" s="76"/>
      <c r="K481" s="76"/>
      <c r="L481" s="66"/>
      <c r="M481" s="66"/>
      <c r="N481" s="66"/>
      <c r="O481" s="66"/>
      <c r="P481" s="66"/>
      <c r="Q481" s="66"/>
      <c r="R481" s="66"/>
      <c r="S481" s="66"/>
      <c r="T481" s="66"/>
      <c r="U481" s="66"/>
      <c r="V481" s="66"/>
      <c r="W481" s="66"/>
      <c r="X481" s="66"/>
      <c r="Y481" s="66"/>
    </row>
    <row r="482">
      <c r="A482" s="71"/>
      <c r="B482" s="71"/>
      <c r="C482" s="73"/>
      <c r="D482" s="73"/>
      <c r="E482" s="75"/>
      <c r="F482" s="75"/>
      <c r="G482" s="75"/>
      <c r="H482" s="75"/>
      <c r="I482" s="29"/>
      <c r="J482" s="76"/>
      <c r="K482" s="76"/>
      <c r="L482" s="66"/>
      <c r="M482" s="66"/>
      <c r="N482" s="66"/>
      <c r="O482" s="66"/>
      <c r="P482" s="66"/>
      <c r="Q482" s="66"/>
      <c r="R482" s="66"/>
      <c r="S482" s="66"/>
      <c r="T482" s="66"/>
      <c r="U482" s="66"/>
      <c r="V482" s="66"/>
      <c r="W482" s="66"/>
      <c r="X482" s="66"/>
      <c r="Y482" s="66"/>
    </row>
    <row r="483">
      <c r="A483" s="71"/>
      <c r="B483" s="71"/>
      <c r="C483" s="73"/>
      <c r="D483" s="73"/>
      <c r="E483" s="75"/>
      <c r="F483" s="75"/>
      <c r="G483" s="75"/>
      <c r="H483" s="75"/>
      <c r="I483" s="29"/>
      <c r="J483" s="76"/>
      <c r="K483" s="76"/>
      <c r="L483" s="66"/>
      <c r="M483" s="66"/>
      <c r="N483" s="66"/>
      <c r="O483" s="66"/>
      <c r="P483" s="66"/>
      <c r="Q483" s="66"/>
      <c r="R483" s="66"/>
      <c r="S483" s="66"/>
      <c r="T483" s="66"/>
      <c r="U483" s="66"/>
      <c r="V483" s="66"/>
      <c r="W483" s="66"/>
      <c r="X483" s="66"/>
      <c r="Y483" s="66"/>
    </row>
    <row r="484">
      <c r="A484" s="71"/>
      <c r="B484" s="71"/>
      <c r="C484" s="73"/>
      <c r="D484" s="73"/>
      <c r="E484" s="75"/>
      <c r="F484" s="75"/>
      <c r="G484" s="75"/>
      <c r="H484" s="75"/>
      <c r="I484" s="29"/>
      <c r="J484" s="76"/>
      <c r="K484" s="76"/>
      <c r="L484" s="66"/>
      <c r="M484" s="66"/>
      <c r="N484" s="66"/>
      <c r="O484" s="66"/>
      <c r="P484" s="66"/>
      <c r="Q484" s="66"/>
      <c r="R484" s="66"/>
      <c r="S484" s="66"/>
      <c r="T484" s="66"/>
      <c r="U484" s="66"/>
      <c r="V484" s="66"/>
      <c r="W484" s="66"/>
      <c r="X484" s="66"/>
      <c r="Y484" s="66"/>
    </row>
    <row r="485">
      <c r="A485" s="71"/>
      <c r="B485" s="71"/>
      <c r="C485" s="73"/>
      <c r="D485" s="73"/>
      <c r="E485" s="75"/>
      <c r="F485" s="75"/>
      <c r="G485" s="75"/>
      <c r="H485" s="75"/>
      <c r="I485" s="29"/>
      <c r="J485" s="76"/>
      <c r="K485" s="76"/>
      <c r="L485" s="66"/>
      <c r="M485" s="66"/>
      <c r="N485" s="66"/>
      <c r="O485" s="66"/>
      <c r="P485" s="66"/>
      <c r="Q485" s="66"/>
      <c r="R485" s="66"/>
      <c r="S485" s="66"/>
      <c r="T485" s="66"/>
      <c r="U485" s="66"/>
      <c r="V485" s="66"/>
      <c r="W485" s="66"/>
      <c r="X485" s="66"/>
      <c r="Y485" s="66"/>
    </row>
    <row r="486">
      <c r="A486" s="71"/>
      <c r="B486" s="71"/>
      <c r="C486" s="73"/>
      <c r="D486" s="73"/>
      <c r="E486" s="75"/>
      <c r="F486" s="75"/>
      <c r="G486" s="75"/>
      <c r="H486" s="75"/>
      <c r="I486" s="29"/>
      <c r="J486" s="76"/>
      <c r="K486" s="76"/>
      <c r="L486" s="66"/>
      <c r="M486" s="66"/>
      <c r="N486" s="66"/>
      <c r="O486" s="66"/>
      <c r="P486" s="66"/>
      <c r="Q486" s="66"/>
      <c r="R486" s="66"/>
      <c r="S486" s="66"/>
      <c r="T486" s="66"/>
      <c r="U486" s="66"/>
      <c r="V486" s="66"/>
      <c r="W486" s="66"/>
      <c r="X486" s="66"/>
      <c r="Y486" s="66"/>
    </row>
    <row r="487">
      <c r="A487" s="71"/>
      <c r="B487" s="71"/>
      <c r="C487" s="73"/>
      <c r="D487" s="73"/>
      <c r="E487" s="75"/>
      <c r="F487" s="75"/>
      <c r="G487" s="75"/>
      <c r="H487" s="75"/>
      <c r="I487" s="29"/>
      <c r="J487" s="76"/>
      <c r="K487" s="76"/>
      <c r="L487" s="66"/>
      <c r="M487" s="66"/>
      <c r="N487" s="66"/>
      <c r="O487" s="66"/>
      <c r="P487" s="66"/>
      <c r="Q487" s="66"/>
      <c r="R487" s="66"/>
      <c r="S487" s="66"/>
      <c r="T487" s="66"/>
      <c r="U487" s="66"/>
      <c r="V487" s="66"/>
      <c r="W487" s="66"/>
      <c r="X487" s="66"/>
      <c r="Y487" s="66"/>
    </row>
    <row r="488">
      <c r="A488" s="71"/>
      <c r="B488" s="71"/>
      <c r="C488" s="73"/>
      <c r="D488" s="73"/>
      <c r="E488" s="75"/>
      <c r="F488" s="75"/>
      <c r="G488" s="75"/>
      <c r="H488" s="75"/>
      <c r="I488" s="29"/>
      <c r="J488" s="76"/>
      <c r="K488" s="76"/>
      <c r="L488" s="66"/>
      <c r="M488" s="66"/>
      <c r="N488" s="66"/>
      <c r="O488" s="66"/>
      <c r="P488" s="66"/>
      <c r="Q488" s="66"/>
      <c r="R488" s="66"/>
      <c r="S488" s="66"/>
      <c r="T488" s="66"/>
      <c r="U488" s="66"/>
      <c r="V488" s="66"/>
      <c r="W488" s="66"/>
      <c r="X488" s="66"/>
      <c r="Y488" s="66"/>
    </row>
    <row r="489">
      <c r="A489" s="71"/>
      <c r="B489" s="71"/>
      <c r="C489" s="73"/>
      <c r="D489" s="73"/>
      <c r="E489" s="75"/>
      <c r="F489" s="75"/>
      <c r="G489" s="75"/>
      <c r="H489" s="75"/>
      <c r="I489" s="29"/>
      <c r="J489" s="76"/>
      <c r="K489" s="76"/>
      <c r="L489" s="66"/>
      <c r="M489" s="66"/>
      <c r="N489" s="66"/>
      <c r="O489" s="66"/>
      <c r="P489" s="66"/>
      <c r="Q489" s="66"/>
      <c r="R489" s="66"/>
      <c r="S489" s="66"/>
      <c r="T489" s="66"/>
      <c r="U489" s="66"/>
      <c r="V489" s="66"/>
      <c r="W489" s="66"/>
      <c r="X489" s="66"/>
      <c r="Y489" s="66"/>
    </row>
    <row r="490">
      <c r="A490" s="71"/>
      <c r="B490" s="71"/>
      <c r="C490" s="73"/>
      <c r="D490" s="73"/>
      <c r="E490" s="75"/>
      <c r="F490" s="75"/>
      <c r="G490" s="75"/>
      <c r="H490" s="75"/>
      <c r="I490" s="29"/>
      <c r="J490" s="76"/>
      <c r="K490" s="76"/>
      <c r="L490" s="66"/>
      <c r="M490" s="66"/>
      <c r="N490" s="66"/>
      <c r="O490" s="66"/>
      <c r="P490" s="66"/>
      <c r="Q490" s="66"/>
      <c r="R490" s="66"/>
      <c r="S490" s="66"/>
      <c r="T490" s="66"/>
      <c r="U490" s="66"/>
      <c r="V490" s="66"/>
      <c r="W490" s="66"/>
      <c r="X490" s="66"/>
      <c r="Y490" s="66"/>
    </row>
    <row r="491">
      <c r="A491" s="71"/>
      <c r="B491" s="71"/>
      <c r="C491" s="73"/>
      <c r="D491" s="73"/>
      <c r="E491" s="75"/>
      <c r="F491" s="75"/>
      <c r="G491" s="75"/>
      <c r="H491" s="75"/>
      <c r="I491" s="29"/>
      <c r="J491" s="76"/>
      <c r="K491" s="76"/>
      <c r="L491" s="66"/>
      <c r="M491" s="66"/>
      <c r="N491" s="66"/>
      <c r="O491" s="66"/>
      <c r="P491" s="66"/>
      <c r="Q491" s="66"/>
      <c r="R491" s="66"/>
      <c r="S491" s="66"/>
      <c r="T491" s="66"/>
      <c r="U491" s="66"/>
      <c r="V491" s="66"/>
      <c r="W491" s="66"/>
      <c r="X491" s="66"/>
      <c r="Y491" s="66"/>
    </row>
    <row r="492">
      <c r="A492" s="71"/>
      <c r="B492" s="71"/>
      <c r="C492" s="73"/>
      <c r="D492" s="73"/>
      <c r="E492" s="75"/>
      <c r="F492" s="75"/>
      <c r="G492" s="75"/>
      <c r="H492" s="75"/>
      <c r="I492" s="29"/>
      <c r="J492" s="76"/>
      <c r="K492" s="76"/>
      <c r="L492" s="66"/>
      <c r="M492" s="66"/>
      <c r="N492" s="66"/>
      <c r="O492" s="66"/>
      <c r="P492" s="66"/>
      <c r="Q492" s="66"/>
      <c r="R492" s="66"/>
      <c r="S492" s="66"/>
      <c r="T492" s="66"/>
      <c r="U492" s="66"/>
      <c r="V492" s="66"/>
      <c r="W492" s="66"/>
      <c r="X492" s="66"/>
      <c r="Y492" s="66"/>
    </row>
    <row r="493">
      <c r="A493" s="71"/>
      <c r="B493" s="71"/>
      <c r="C493" s="73"/>
      <c r="D493" s="73"/>
      <c r="E493" s="75"/>
      <c r="F493" s="75"/>
      <c r="G493" s="75"/>
      <c r="H493" s="75"/>
      <c r="I493" s="29"/>
      <c r="J493" s="76"/>
      <c r="K493" s="76"/>
      <c r="L493" s="66"/>
      <c r="M493" s="66"/>
      <c r="N493" s="66"/>
      <c r="O493" s="66"/>
      <c r="P493" s="66"/>
      <c r="Q493" s="66"/>
      <c r="R493" s="66"/>
      <c r="S493" s="66"/>
      <c r="T493" s="66"/>
      <c r="U493" s="66"/>
      <c r="V493" s="66"/>
      <c r="W493" s="66"/>
      <c r="X493" s="66"/>
      <c r="Y493" s="66"/>
    </row>
    <row r="494">
      <c r="A494" s="71"/>
      <c r="B494" s="71"/>
      <c r="C494" s="73"/>
      <c r="D494" s="73"/>
      <c r="E494" s="75"/>
      <c r="F494" s="75"/>
      <c r="G494" s="75"/>
      <c r="H494" s="75"/>
      <c r="I494" s="29"/>
      <c r="J494" s="76"/>
      <c r="K494" s="76"/>
      <c r="L494" s="66"/>
      <c r="M494" s="66"/>
      <c r="N494" s="66"/>
      <c r="O494" s="66"/>
      <c r="P494" s="66"/>
      <c r="Q494" s="66"/>
      <c r="R494" s="66"/>
      <c r="S494" s="66"/>
      <c r="T494" s="66"/>
      <c r="U494" s="66"/>
      <c r="V494" s="66"/>
      <c r="W494" s="66"/>
      <c r="X494" s="66"/>
      <c r="Y494" s="66"/>
    </row>
    <row r="495">
      <c r="A495" s="71"/>
      <c r="B495" s="71"/>
      <c r="C495" s="73"/>
      <c r="D495" s="73"/>
      <c r="E495" s="75"/>
      <c r="F495" s="75"/>
      <c r="G495" s="75"/>
      <c r="H495" s="75"/>
      <c r="I495" s="29"/>
      <c r="J495" s="76"/>
      <c r="K495" s="76"/>
      <c r="L495" s="66"/>
      <c r="M495" s="66"/>
      <c r="N495" s="66"/>
      <c r="O495" s="66"/>
      <c r="P495" s="66"/>
      <c r="Q495" s="66"/>
      <c r="R495" s="66"/>
      <c r="S495" s="66"/>
      <c r="T495" s="66"/>
      <c r="U495" s="66"/>
      <c r="V495" s="66"/>
      <c r="W495" s="66"/>
      <c r="X495" s="66"/>
      <c r="Y495" s="66"/>
    </row>
    <row r="496">
      <c r="A496" s="71"/>
      <c r="B496" s="71"/>
      <c r="C496" s="73"/>
      <c r="D496" s="73"/>
      <c r="E496" s="75"/>
      <c r="F496" s="75"/>
      <c r="G496" s="75"/>
      <c r="H496" s="75"/>
      <c r="I496" s="29"/>
      <c r="J496" s="76"/>
      <c r="K496" s="76"/>
      <c r="L496" s="66"/>
      <c r="M496" s="66"/>
      <c r="N496" s="66"/>
      <c r="O496" s="66"/>
      <c r="P496" s="66"/>
      <c r="Q496" s="66"/>
      <c r="R496" s="66"/>
      <c r="S496" s="66"/>
      <c r="T496" s="66"/>
      <c r="U496" s="66"/>
      <c r="V496" s="66"/>
      <c r="W496" s="66"/>
      <c r="X496" s="66"/>
      <c r="Y496" s="66"/>
    </row>
    <row r="497">
      <c r="A497" s="71"/>
      <c r="B497" s="71"/>
      <c r="C497" s="73"/>
      <c r="D497" s="73"/>
      <c r="E497" s="75"/>
      <c r="F497" s="75"/>
      <c r="G497" s="75"/>
      <c r="H497" s="75"/>
      <c r="I497" s="29"/>
      <c r="J497" s="76"/>
      <c r="K497" s="76"/>
      <c r="L497" s="66"/>
      <c r="M497" s="66"/>
      <c r="N497" s="66"/>
      <c r="O497" s="66"/>
      <c r="P497" s="66"/>
      <c r="Q497" s="66"/>
      <c r="R497" s="66"/>
      <c r="S497" s="66"/>
      <c r="T497" s="66"/>
      <c r="U497" s="66"/>
      <c r="V497" s="66"/>
      <c r="W497" s="66"/>
      <c r="X497" s="66"/>
      <c r="Y497" s="66"/>
    </row>
    <row r="498">
      <c r="A498" s="71"/>
      <c r="B498" s="71"/>
      <c r="C498" s="73"/>
      <c r="D498" s="73"/>
      <c r="E498" s="75"/>
      <c r="F498" s="75"/>
      <c r="G498" s="75"/>
      <c r="H498" s="75"/>
      <c r="I498" s="29"/>
      <c r="J498" s="76"/>
      <c r="K498" s="76"/>
      <c r="L498" s="66"/>
      <c r="M498" s="66"/>
      <c r="N498" s="66"/>
      <c r="O498" s="66"/>
      <c r="P498" s="66"/>
      <c r="Q498" s="66"/>
      <c r="R498" s="66"/>
      <c r="S498" s="66"/>
      <c r="T498" s="66"/>
      <c r="U498" s="66"/>
      <c r="V498" s="66"/>
      <c r="W498" s="66"/>
      <c r="X498" s="66"/>
      <c r="Y498" s="66"/>
    </row>
    <row r="499">
      <c r="A499" s="71"/>
      <c r="B499" s="71"/>
      <c r="C499" s="73"/>
      <c r="D499" s="73"/>
      <c r="E499" s="75"/>
      <c r="F499" s="75"/>
      <c r="G499" s="75"/>
      <c r="H499" s="75"/>
      <c r="I499" s="29"/>
      <c r="J499" s="76"/>
      <c r="K499" s="76"/>
      <c r="L499" s="66"/>
      <c r="M499" s="66"/>
      <c r="N499" s="66"/>
      <c r="O499" s="66"/>
      <c r="P499" s="66"/>
      <c r="Q499" s="66"/>
      <c r="R499" s="66"/>
      <c r="S499" s="66"/>
      <c r="T499" s="66"/>
      <c r="U499" s="66"/>
      <c r="V499" s="66"/>
      <c r="W499" s="66"/>
      <c r="X499" s="66"/>
      <c r="Y499" s="66"/>
    </row>
    <row r="500">
      <c r="A500" s="71"/>
      <c r="B500" s="71"/>
      <c r="C500" s="73"/>
      <c r="D500" s="73"/>
      <c r="E500" s="75"/>
      <c r="F500" s="75"/>
      <c r="G500" s="75"/>
      <c r="H500" s="75"/>
      <c r="I500" s="29"/>
      <c r="J500" s="76"/>
      <c r="K500" s="76"/>
      <c r="L500" s="66"/>
      <c r="M500" s="66"/>
      <c r="N500" s="66"/>
      <c r="O500" s="66"/>
      <c r="P500" s="66"/>
      <c r="Q500" s="66"/>
      <c r="R500" s="66"/>
      <c r="S500" s="66"/>
      <c r="T500" s="66"/>
      <c r="U500" s="66"/>
      <c r="V500" s="66"/>
      <c r="W500" s="66"/>
      <c r="X500" s="66"/>
      <c r="Y500" s="66"/>
    </row>
    <row r="501">
      <c r="A501" s="71"/>
      <c r="B501" s="71"/>
      <c r="C501" s="73"/>
      <c r="D501" s="73"/>
      <c r="E501" s="75"/>
      <c r="F501" s="75"/>
      <c r="G501" s="75"/>
      <c r="H501" s="75"/>
      <c r="I501" s="29"/>
      <c r="J501" s="76"/>
      <c r="K501" s="76"/>
      <c r="L501" s="66"/>
      <c r="M501" s="66"/>
      <c r="N501" s="66"/>
      <c r="O501" s="66"/>
      <c r="P501" s="66"/>
      <c r="Q501" s="66"/>
      <c r="R501" s="66"/>
      <c r="S501" s="66"/>
      <c r="T501" s="66"/>
      <c r="U501" s="66"/>
      <c r="V501" s="66"/>
      <c r="W501" s="66"/>
      <c r="X501" s="66"/>
      <c r="Y501" s="66"/>
    </row>
    <row r="502">
      <c r="A502" s="71"/>
      <c r="B502" s="71"/>
      <c r="C502" s="73"/>
      <c r="D502" s="73"/>
      <c r="E502" s="75"/>
      <c r="F502" s="75"/>
      <c r="G502" s="75"/>
      <c r="H502" s="75"/>
      <c r="I502" s="29"/>
      <c r="J502" s="76"/>
      <c r="K502" s="76"/>
      <c r="L502" s="66"/>
      <c r="M502" s="66"/>
      <c r="N502" s="66"/>
      <c r="O502" s="66"/>
      <c r="P502" s="66"/>
      <c r="Q502" s="66"/>
      <c r="R502" s="66"/>
      <c r="S502" s="66"/>
      <c r="T502" s="66"/>
      <c r="U502" s="66"/>
      <c r="V502" s="66"/>
      <c r="W502" s="66"/>
      <c r="X502" s="66"/>
      <c r="Y502" s="66"/>
    </row>
    <row r="503">
      <c r="A503" s="71"/>
      <c r="B503" s="71"/>
      <c r="C503" s="73"/>
      <c r="D503" s="73"/>
      <c r="E503" s="75"/>
      <c r="F503" s="75"/>
      <c r="G503" s="75"/>
      <c r="H503" s="75"/>
      <c r="I503" s="29"/>
      <c r="J503" s="76"/>
      <c r="K503" s="76"/>
      <c r="L503" s="66"/>
      <c r="M503" s="66"/>
      <c r="N503" s="66"/>
      <c r="O503" s="66"/>
      <c r="P503" s="66"/>
      <c r="Q503" s="66"/>
      <c r="R503" s="66"/>
      <c r="S503" s="66"/>
      <c r="T503" s="66"/>
      <c r="U503" s="66"/>
      <c r="V503" s="66"/>
      <c r="W503" s="66"/>
      <c r="X503" s="66"/>
      <c r="Y503" s="66"/>
    </row>
    <row r="504">
      <c r="A504" s="71"/>
      <c r="B504" s="71"/>
      <c r="C504" s="73"/>
      <c r="D504" s="73"/>
      <c r="E504" s="75"/>
      <c r="F504" s="75"/>
      <c r="G504" s="75"/>
      <c r="H504" s="75"/>
      <c r="I504" s="29"/>
      <c r="J504" s="76"/>
      <c r="K504" s="76"/>
      <c r="L504" s="66"/>
      <c r="M504" s="66"/>
      <c r="N504" s="66"/>
      <c r="O504" s="66"/>
      <c r="P504" s="66"/>
      <c r="Q504" s="66"/>
      <c r="R504" s="66"/>
      <c r="S504" s="66"/>
      <c r="T504" s="66"/>
      <c r="U504" s="66"/>
      <c r="V504" s="66"/>
      <c r="W504" s="66"/>
      <c r="X504" s="66"/>
      <c r="Y504" s="66"/>
    </row>
    <row r="505">
      <c r="A505" s="71"/>
      <c r="B505" s="71"/>
      <c r="C505" s="73"/>
      <c r="D505" s="73"/>
      <c r="E505" s="75"/>
      <c r="F505" s="75"/>
      <c r="G505" s="75"/>
      <c r="H505" s="75"/>
      <c r="I505" s="29"/>
      <c r="J505" s="76"/>
      <c r="K505" s="76"/>
      <c r="L505" s="66"/>
      <c r="M505" s="66"/>
      <c r="N505" s="66"/>
      <c r="O505" s="66"/>
      <c r="P505" s="66"/>
      <c r="Q505" s="66"/>
      <c r="R505" s="66"/>
      <c r="S505" s="66"/>
      <c r="T505" s="66"/>
      <c r="U505" s="66"/>
      <c r="V505" s="66"/>
      <c r="W505" s="66"/>
      <c r="X505" s="66"/>
      <c r="Y505" s="66"/>
    </row>
    <row r="506">
      <c r="A506" s="71"/>
      <c r="B506" s="71"/>
      <c r="C506" s="73"/>
      <c r="D506" s="73"/>
      <c r="E506" s="75"/>
      <c r="F506" s="75"/>
      <c r="G506" s="75"/>
      <c r="H506" s="75"/>
      <c r="I506" s="29"/>
      <c r="J506" s="76"/>
      <c r="K506" s="76"/>
      <c r="L506" s="66"/>
      <c r="M506" s="66"/>
      <c r="N506" s="66"/>
      <c r="O506" s="66"/>
      <c r="P506" s="66"/>
      <c r="Q506" s="66"/>
      <c r="R506" s="66"/>
      <c r="S506" s="66"/>
      <c r="T506" s="66"/>
      <c r="U506" s="66"/>
      <c r="V506" s="66"/>
      <c r="W506" s="66"/>
      <c r="X506" s="66"/>
      <c r="Y506" s="66"/>
    </row>
    <row r="507">
      <c r="A507" s="71"/>
      <c r="B507" s="71"/>
      <c r="C507" s="73"/>
      <c r="D507" s="73"/>
      <c r="E507" s="75"/>
      <c r="F507" s="75"/>
      <c r="G507" s="75"/>
      <c r="H507" s="75"/>
      <c r="I507" s="29"/>
      <c r="J507" s="76"/>
      <c r="K507" s="76"/>
      <c r="L507" s="66"/>
      <c r="M507" s="66"/>
      <c r="N507" s="66"/>
      <c r="O507" s="66"/>
      <c r="P507" s="66"/>
      <c r="Q507" s="66"/>
      <c r="R507" s="66"/>
      <c r="S507" s="66"/>
      <c r="T507" s="66"/>
      <c r="U507" s="66"/>
      <c r="V507" s="66"/>
      <c r="W507" s="66"/>
      <c r="X507" s="66"/>
      <c r="Y507" s="66"/>
    </row>
    <row r="508">
      <c r="A508" s="71"/>
      <c r="B508" s="71"/>
      <c r="C508" s="73"/>
      <c r="D508" s="73"/>
      <c r="E508" s="75"/>
      <c r="F508" s="75"/>
      <c r="G508" s="75"/>
      <c r="H508" s="75"/>
      <c r="I508" s="29"/>
      <c r="J508" s="76"/>
      <c r="K508" s="76"/>
      <c r="L508" s="66"/>
      <c r="M508" s="66"/>
      <c r="N508" s="66"/>
      <c r="O508" s="66"/>
      <c r="P508" s="66"/>
      <c r="Q508" s="66"/>
      <c r="R508" s="66"/>
      <c r="S508" s="66"/>
      <c r="T508" s="66"/>
      <c r="U508" s="66"/>
      <c r="V508" s="66"/>
      <c r="W508" s="66"/>
      <c r="X508" s="66"/>
      <c r="Y508" s="66"/>
    </row>
    <row r="509">
      <c r="A509" s="71"/>
      <c r="B509" s="71"/>
      <c r="C509" s="73"/>
      <c r="D509" s="73"/>
      <c r="E509" s="75"/>
      <c r="F509" s="75"/>
      <c r="G509" s="75"/>
      <c r="H509" s="75"/>
      <c r="I509" s="29"/>
      <c r="J509" s="76"/>
      <c r="K509" s="76"/>
      <c r="L509" s="66"/>
      <c r="M509" s="66"/>
      <c r="N509" s="66"/>
      <c r="O509" s="66"/>
      <c r="P509" s="66"/>
      <c r="Q509" s="66"/>
      <c r="R509" s="66"/>
      <c r="S509" s="66"/>
      <c r="T509" s="66"/>
      <c r="U509" s="66"/>
      <c r="V509" s="66"/>
      <c r="W509" s="66"/>
      <c r="X509" s="66"/>
      <c r="Y509" s="66"/>
    </row>
    <row r="510">
      <c r="A510" s="71"/>
      <c r="B510" s="71"/>
      <c r="C510" s="73"/>
      <c r="D510" s="73"/>
      <c r="E510" s="75"/>
      <c r="F510" s="75"/>
      <c r="G510" s="75"/>
      <c r="H510" s="75"/>
      <c r="I510" s="29"/>
      <c r="J510" s="76"/>
      <c r="K510" s="76"/>
      <c r="L510" s="66"/>
      <c r="M510" s="66"/>
      <c r="N510" s="66"/>
      <c r="O510" s="66"/>
      <c r="P510" s="66"/>
      <c r="Q510" s="66"/>
      <c r="R510" s="66"/>
      <c r="S510" s="66"/>
      <c r="T510" s="66"/>
      <c r="U510" s="66"/>
      <c r="V510" s="66"/>
      <c r="W510" s="66"/>
      <c r="X510" s="66"/>
      <c r="Y510" s="66"/>
    </row>
    <row r="511">
      <c r="A511" s="71"/>
      <c r="B511" s="71"/>
      <c r="C511" s="73"/>
      <c r="D511" s="73"/>
      <c r="E511" s="75"/>
      <c r="F511" s="75"/>
      <c r="G511" s="75"/>
      <c r="H511" s="75"/>
      <c r="I511" s="29"/>
      <c r="J511" s="76"/>
      <c r="K511" s="76"/>
      <c r="L511" s="66"/>
      <c r="M511" s="66"/>
      <c r="N511" s="66"/>
      <c r="O511" s="66"/>
      <c r="P511" s="66"/>
      <c r="Q511" s="66"/>
      <c r="R511" s="66"/>
      <c r="S511" s="66"/>
      <c r="T511" s="66"/>
      <c r="U511" s="66"/>
      <c r="V511" s="66"/>
      <c r="W511" s="66"/>
      <c r="X511" s="66"/>
      <c r="Y511" s="66"/>
    </row>
    <row r="512">
      <c r="A512" s="71"/>
      <c r="B512" s="71"/>
      <c r="C512" s="73"/>
      <c r="D512" s="73"/>
      <c r="E512" s="75"/>
      <c r="F512" s="75"/>
      <c r="G512" s="75"/>
      <c r="H512" s="75"/>
      <c r="I512" s="29"/>
      <c r="J512" s="76"/>
      <c r="K512" s="76"/>
      <c r="L512" s="66"/>
      <c r="M512" s="66"/>
      <c r="N512" s="66"/>
      <c r="O512" s="66"/>
      <c r="P512" s="66"/>
      <c r="Q512" s="66"/>
      <c r="R512" s="66"/>
      <c r="S512" s="66"/>
      <c r="T512" s="66"/>
      <c r="U512" s="66"/>
      <c r="V512" s="66"/>
      <c r="W512" s="66"/>
      <c r="X512" s="66"/>
      <c r="Y512" s="66"/>
    </row>
    <row r="513">
      <c r="A513" s="71"/>
      <c r="B513" s="71"/>
      <c r="C513" s="73"/>
      <c r="D513" s="73"/>
      <c r="E513" s="75"/>
      <c r="F513" s="75"/>
      <c r="G513" s="75"/>
      <c r="H513" s="75"/>
      <c r="I513" s="29"/>
      <c r="J513" s="76"/>
      <c r="K513" s="76"/>
      <c r="L513" s="66"/>
      <c r="M513" s="66"/>
      <c r="N513" s="66"/>
      <c r="O513" s="66"/>
      <c r="P513" s="66"/>
      <c r="Q513" s="66"/>
      <c r="R513" s="66"/>
      <c r="S513" s="66"/>
      <c r="T513" s="66"/>
      <c r="U513" s="66"/>
      <c r="V513" s="66"/>
      <c r="W513" s="66"/>
      <c r="X513" s="66"/>
      <c r="Y513" s="66"/>
    </row>
    <row r="514">
      <c r="A514" s="71"/>
      <c r="B514" s="71"/>
      <c r="C514" s="73"/>
      <c r="D514" s="73"/>
      <c r="E514" s="75"/>
      <c r="F514" s="75"/>
      <c r="G514" s="75"/>
      <c r="H514" s="75"/>
      <c r="I514" s="29"/>
      <c r="J514" s="76"/>
      <c r="K514" s="76"/>
      <c r="L514" s="66"/>
      <c r="M514" s="66"/>
      <c r="N514" s="66"/>
      <c r="O514" s="66"/>
      <c r="P514" s="66"/>
      <c r="Q514" s="66"/>
      <c r="R514" s="66"/>
      <c r="S514" s="66"/>
      <c r="T514" s="66"/>
      <c r="U514" s="66"/>
      <c r="V514" s="66"/>
      <c r="W514" s="66"/>
      <c r="X514" s="66"/>
      <c r="Y514" s="66"/>
    </row>
    <row r="515">
      <c r="A515" s="71"/>
      <c r="B515" s="71"/>
      <c r="C515" s="73"/>
      <c r="D515" s="73"/>
      <c r="E515" s="75"/>
      <c r="F515" s="75"/>
      <c r="G515" s="75"/>
      <c r="H515" s="75"/>
      <c r="I515" s="29"/>
      <c r="J515" s="76"/>
      <c r="K515" s="76"/>
      <c r="L515" s="66"/>
      <c r="M515" s="66"/>
      <c r="N515" s="66"/>
      <c r="O515" s="66"/>
      <c r="P515" s="66"/>
      <c r="Q515" s="66"/>
      <c r="R515" s="66"/>
      <c r="S515" s="66"/>
      <c r="T515" s="66"/>
      <c r="U515" s="66"/>
      <c r="V515" s="66"/>
      <c r="W515" s="66"/>
      <c r="X515" s="66"/>
      <c r="Y515" s="66"/>
    </row>
    <row r="516">
      <c r="A516" s="71"/>
      <c r="B516" s="71"/>
      <c r="C516" s="73"/>
      <c r="D516" s="73"/>
      <c r="E516" s="75"/>
      <c r="F516" s="75"/>
      <c r="G516" s="75"/>
      <c r="H516" s="75"/>
      <c r="I516" s="29"/>
      <c r="J516" s="76"/>
      <c r="K516" s="76"/>
      <c r="L516" s="66"/>
      <c r="M516" s="66"/>
      <c r="N516" s="66"/>
      <c r="O516" s="66"/>
      <c r="P516" s="66"/>
      <c r="Q516" s="66"/>
      <c r="R516" s="66"/>
      <c r="S516" s="66"/>
      <c r="T516" s="66"/>
      <c r="U516" s="66"/>
      <c r="V516" s="66"/>
      <c r="W516" s="66"/>
      <c r="X516" s="66"/>
      <c r="Y516" s="66"/>
    </row>
    <row r="517">
      <c r="A517" s="71"/>
      <c r="B517" s="71"/>
      <c r="C517" s="73"/>
      <c r="D517" s="73"/>
      <c r="E517" s="75"/>
      <c r="F517" s="75"/>
      <c r="G517" s="75"/>
      <c r="H517" s="75"/>
      <c r="I517" s="29"/>
      <c r="J517" s="76"/>
      <c r="K517" s="76"/>
      <c r="L517" s="66"/>
      <c r="M517" s="66"/>
      <c r="N517" s="66"/>
      <c r="O517" s="66"/>
      <c r="P517" s="66"/>
      <c r="Q517" s="66"/>
      <c r="R517" s="66"/>
      <c r="S517" s="66"/>
      <c r="T517" s="66"/>
      <c r="U517" s="66"/>
      <c r="V517" s="66"/>
      <c r="W517" s="66"/>
      <c r="X517" s="66"/>
      <c r="Y517" s="66"/>
    </row>
    <row r="518">
      <c r="A518" s="71"/>
      <c r="B518" s="71"/>
      <c r="C518" s="73"/>
      <c r="D518" s="73"/>
      <c r="E518" s="75"/>
      <c r="F518" s="75"/>
      <c r="G518" s="75"/>
      <c r="H518" s="75"/>
      <c r="I518" s="29"/>
      <c r="J518" s="76"/>
      <c r="K518" s="76"/>
      <c r="L518" s="66"/>
      <c r="M518" s="66"/>
      <c r="N518" s="66"/>
      <c r="O518" s="66"/>
      <c r="P518" s="66"/>
      <c r="Q518" s="66"/>
      <c r="R518" s="66"/>
      <c r="S518" s="66"/>
      <c r="T518" s="66"/>
      <c r="U518" s="66"/>
      <c r="V518" s="66"/>
      <c r="W518" s="66"/>
      <c r="X518" s="66"/>
      <c r="Y518" s="66"/>
    </row>
    <row r="519">
      <c r="A519" s="71"/>
      <c r="B519" s="71"/>
      <c r="C519" s="73"/>
      <c r="D519" s="73"/>
      <c r="E519" s="75"/>
      <c r="F519" s="75"/>
      <c r="G519" s="75"/>
      <c r="H519" s="75"/>
      <c r="I519" s="29"/>
      <c r="J519" s="76"/>
      <c r="K519" s="76"/>
      <c r="L519" s="66"/>
      <c r="M519" s="66"/>
      <c r="N519" s="66"/>
      <c r="O519" s="66"/>
      <c r="P519" s="66"/>
      <c r="Q519" s="66"/>
      <c r="R519" s="66"/>
      <c r="S519" s="66"/>
      <c r="T519" s="66"/>
      <c r="U519" s="66"/>
      <c r="V519" s="66"/>
      <c r="W519" s="66"/>
      <c r="X519" s="66"/>
      <c r="Y519" s="66"/>
    </row>
    <row r="520">
      <c r="A520" s="71"/>
      <c r="B520" s="71"/>
      <c r="C520" s="73"/>
      <c r="D520" s="73"/>
      <c r="E520" s="75"/>
      <c r="F520" s="75"/>
      <c r="G520" s="75"/>
      <c r="H520" s="75"/>
      <c r="I520" s="29"/>
      <c r="J520" s="76"/>
      <c r="K520" s="76"/>
      <c r="L520" s="66"/>
      <c r="M520" s="66"/>
      <c r="N520" s="66"/>
      <c r="O520" s="66"/>
      <c r="P520" s="66"/>
      <c r="Q520" s="66"/>
      <c r="R520" s="66"/>
      <c r="S520" s="66"/>
      <c r="T520" s="66"/>
      <c r="U520" s="66"/>
      <c r="V520" s="66"/>
      <c r="W520" s="66"/>
      <c r="X520" s="66"/>
      <c r="Y520" s="66"/>
    </row>
    <row r="521">
      <c r="A521" s="71"/>
      <c r="B521" s="71"/>
      <c r="C521" s="73"/>
      <c r="D521" s="73"/>
      <c r="E521" s="75"/>
      <c r="F521" s="75"/>
      <c r="G521" s="75"/>
      <c r="H521" s="75"/>
      <c r="I521" s="29"/>
      <c r="J521" s="76"/>
      <c r="K521" s="76"/>
      <c r="L521" s="66"/>
      <c r="M521" s="66"/>
      <c r="N521" s="66"/>
      <c r="O521" s="66"/>
      <c r="P521" s="66"/>
      <c r="Q521" s="66"/>
      <c r="R521" s="66"/>
      <c r="S521" s="66"/>
      <c r="T521" s="66"/>
      <c r="U521" s="66"/>
      <c r="V521" s="66"/>
      <c r="W521" s="66"/>
      <c r="X521" s="66"/>
      <c r="Y521" s="66"/>
    </row>
    <row r="522">
      <c r="A522" s="71"/>
      <c r="B522" s="71"/>
      <c r="C522" s="73"/>
      <c r="D522" s="73"/>
      <c r="E522" s="75"/>
      <c r="F522" s="75"/>
      <c r="G522" s="75"/>
      <c r="H522" s="75"/>
      <c r="I522" s="29"/>
      <c r="J522" s="76"/>
      <c r="K522" s="76"/>
      <c r="L522" s="66"/>
      <c r="M522" s="66"/>
      <c r="N522" s="66"/>
      <c r="O522" s="66"/>
      <c r="P522" s="66"/>
      <c r="Q522" s="66"/>
      <c r="R522" s="66"/>
      <c r="S522" s="66"/>
      <c r="T522" s="66"/>
      <c r="U522" s="66"/>
      <c r="V522" s="66"/>
      <c r="W522" s="66"/>
      <c r="X522" s="66"/>
      <c r="Y522" s="66"/>
    </row>
    <row r="523">
      <c r="A523" s="71"/>
      <c r="B523" s="71"/>
      <c r="C523" s="73"/>
      <c r="D523" s="73"/>
      <c r="E523" s="75"/>
      <c r="F523" s="75"/>
      <c r="G523" s="75"/>
      <c r="H523" s="75"/>
      <c r="I523" s="29"/>
      <c r="J523" s="76"/>
      <c r="K523" s="76"/>
      <c r="L523" s="66"/>
      <c r="M523" s="66"/>
      <c r="N523" s="66"/>
      <c r="O523" s="66"/>
      <c r="P523" s="66"/>
      <c r="Q523" s="66"/>
      <c r="R523" s="66"/>
      <c r="S523" s="66"/>
      <c r="T523" s="66"/>
      <c r="U523" s="66"/>
      <c r="V523" s="66"/>
      <c r="W523" s="66"/>
      <c r="X523" s="66"/>
      <c r="Y523" s="66"/>
    </row>
    <row r="524">
      <c r="A524" s="71"/>
      <c r="B524" s="71"/>
      <c r="C524" s="73"/>
      <c r="D524" s="73"/>
      <c r="E524" s="75"/>
      <c r="F524" s="75"/>
      <c r="G524" s="75"/>
      <c r="H524" s="75"/>
      <c r="I524" s="29"/>
      <c r="J524" s="76"/>
      <c r="K524" s="76"/>
      <c r="L524" s="66"/>
      <c r="M524" s="66"/>
      <c r="N524" s="66"/>
      <c r="O524" s="66"/>
      <c r="P524" s="66"/>
      <c r="Q524" s="66"/>
      <c r="R524" s="66"/>
      <c r="S524" s="66"/>
      <c r="T524" s="66"/>
      <c r="U524" s="66"/>
      <c r="V524" s="66"/>
      <c r="W524" s="66"/>
      <c r="X524" s="66"/>
      <c r="Y524" s="66"/>
    </row>
    <row r="525">
      <c r="A525" s="71"/>
      <c r="B525" s="71"/>
      <c r="C525" s="73"/>
      <c r="D525" s="73"/>
      <c r="E525" s="75"/>
      <c r="F525" s="75"/>
      <c r="G525" s="75"/>
      <c r="H525" s="75"/>
      <c r="I525" s="29"/>
      <c r="J525" s="76"/>
      <c r="K525" s="76"/>
      <c r="L525" s="66"/>
      <c r="M525" s="66"/>
      <c r="N525" s="66"/>
      <c r="O525" s="66"/>
      <c r="P525" s="66"/>
      <c r="Q525" s="66"/>
      <c r="R525" s="66"/>
      <c r="S525" s="66"/>
      <c r="T525" s="66"/>
      <c r="U525" s="66"/>
      <c r="V525" s="66"/>
      <c r="W525" s="66"/>
      <c r="X525" s="66"/>
      <c r="Y525" s="66"/>
    </row>
    <row r="526">
      <c r="A526" s="71"/>
      <c r="B526" s="71"/>
      <c r="C526" s="73"/>
      <c r="D526" s="73"/>
      <c r="E526" s="75"/>
      <c r="F526" s="75"/>
      <c r="G526" s="75"/>
      <c r="H526" s="75"/>
      <c r="I526" s="29"/>
      <c r="J526" s="76"/>
      <c r="K526" s="76"/>
      <c r="L526" s="66"/>
      <c r="M526" s="66"/>
      <c r="N526" s="66"/>
      <c r="O526" s="66"/>
      <c r="P526" s="66"/>
      <c r="Q526" s="66"/>
      <c r="R526" s="66"/>
      <c r="S526" s="66"/>
      <c r="T526" s="66"/>
      <c r="U526" s="66"/>
      <c r="V526" s="66"/>
      <c r="W526" s="66"/>
      <c r="X526" s="66"/>
      <c r="Y526" s="66"/>
    </row>
    <row r="527">
      <c r="A527" s="71"/>
      <c r="B527" s="71"/>
      <c r="C527" s="73"/>
      <c r="D527" s="73"/>
      <c r="E527" s="75"/>
      <c r="F527" s="75"/>
      <c r="G527" s="75"/>
      <c r="H527" s="75"/>
      <c r="I527" s="29"/>
      <c r="J527" s="76"/>
      <c r="K527" s="76"/>
      <c r="L527" s="66"/>
      <c r="M527" s="66"/>
      <c r="N527" s="66"/>
      <c r="O527" s="66"/>
      <c r="P527" s="66"/>
      <c r="Q527" s="66"/>
      <c r="R527" s="66"/>
      <c r="S527" s="66"/>
      <c r="T527" s="66"/>
      <c r="U527" s="66"/>
      <c r="V527" s="66"/>
      <c r="W527" s="66"/>
      <c r="X527" s="66"/>
      <c r="Y527" s="66"/>
    </row>
    <row r="528">
      <c r="A528" s="71"/>
      <c r="B528" s="71"/>
      <c r="C528" s="73"/>
      <c r="D528" s="73"/>
      <c r="E528" s="75"/>
      <c r="F528" s="75"/>
      <c r="G528" s="75"/>
      <c r="H528" s="75"/>
      <c r="I528" s="29"/>
      <c r="J528" s="76"/>
      <c r="K528" s="76"/>
      <c r="L528" s="66"/>
      <c r="M528" s="66"/>
      <c r="N528" s="66"/>
      <c r="O528" s="66"/>
      <c r="P528" s="66"/>
      <c r="Q528" s="66"/>
      <c r="R528" s="66"/>
      <c r="S528" s="66"/>
      <c r="T528" s="66"/>
      <c r="U528" s="66"/>
      <c r="V528" s="66"/>
      <c r="W528" s="66"/>
      <c r="X528" s="66"/>
      <c r="Y528" s="66"/>
    </row>
    <row r="529">
      <c r="A529" s="71"/>
      <c r="B529" s="71"/>
      <c r="C529" s="73"/>
      <c r="D529" s="73"/>
      <c r="E529" s="75"/>
      <c r="F529" s="75"/>
      <c r="G529" s="75"/>
      <c r="H529" s="75"/>
      <c r="I529" s="29"/>
      <c r="J529" s="76"/>
      <c r="K529" s="76"/>
      <c r="L529" s="66"/>
      <c r="M529" s="66"/>
      <c r="N529" s="66"/>
      <c r="O529" s="66"/>
      <c r="P529" s="66"/>
      <c r="Q529" s="66"/>
      <c r="R529" s="66"/>
      <c r="S529" s="66"/>
      <c r="T529" s="66"/>
      <c r="U529" s="66"/>
      <c r="V529" s="66"/>
      <c r="W529" s="66"/>
      <c r="X529" s="66"/>
      <c r="Y529" s="66"/>
    </row>
    <row r="530">
      <c r="A530" s="71"/>
      <c r="B530" s="71"/>
      <c r="C530" s="73"/>
      <c r="D530" s="73"/>
      <c r="E530" s="75"/>
      <c r="F530" s="75"/>
      <c r="G530" s="75"/>
      <c r="H530" s="75"/>
      <c r="I530" s="29"/>
      <c r="J530" s="76"/>
      <c r="K530" s="76"/>
      <c r="L530" s="66"/>
      <c r="M530" s="66"/>
      <c r="N530" s="66"/>
      <c r="O530" s="66"/>
      <c r="P530" s="66"/>
      <c r="Q530" s="66"/>
      <c r="R530" s="66"/>
      <c r="S530" s="66"/>
      <c r="T530" s="66"/>
      <c r="U530" s="66"/>
      <c r="V530" s="66"/>
      <c r="W530" s="66"/>
      <c r="X530" s="66"/>
      <c r="Y530" s="66"/>
    </row>
    <row r="531">
      <c r="A531" s="71"/>
      <c r="B531" s="71"/>
      <c r="C531" s="73"/>
      <c r="D531" s="73"/>
      <c r="E531" s="75"/>
      <c r="F531" s="75"/>
      <c r="G531" s="75"/>
      <c r="H531" s="75"/>
      <c r="I531" s="29"/>
      <c r="J531" s="76"/>
      <c r="K531" s="76"/>
      <c r="L531" s="66"/>
      <c r="M531" s="66"/>
      <c r="N531" s="66"/>
      <c r="O531" s="66"/>
      <c r="P531" s="66"/>
      <c r="Q531" s="66"/>
      <c r="R531" s="66"/>
      <c r="S531" s="66"/>
      <c r="T531" s="66"/>
      <c r="U531" s="66"/>
      <c r="V531" s="66"/>
      <c r="W531" s="66"/>
      <c r="X531" s="66"/>
      <c r="Y531" s="66"/>
    </row>
    <row r="532">
      <c r="A532" s="71"/>
      <c r="B532" s="71"/>
      <c r="C532" s="73"/>
      <c r="D532" s="73"/>
      <c r="E532" s="75"/>
      <c r="F532" s="75"/>
      <c r="G532" s="75"/>
      <c r="H532" s="75"/>
      <c r="I532" s="29"/>
      <c r="J532" s="76"/>
      <c r="K532" s="76"/>
      <c r="L532" s="66"/>
      <c r="M532" s="66"/>
      <c r="N532" s="66"/>
      <c r="O532" s="66"/>
      <c r="P532" s="66"/>
      <c r="Q532" s="66"/>
      <c r="R532" s="66"/>
      <c r="S532" s="66"/>
      <c r="T532" s="66"/>
      <c r="U532" s="66"/>
      <c r="V532" s="66"/>
      <c r="W532" s="66"/>
      <c r="X532" s="66"/>
      <c r="Y532" s="66"/>
    </row>
    <row r="533">
      <c r="A533" s="71"/>
      <c r="B533" s="71"/>
      <c r="C533" s="73"/>
      <c r="D533" s="73"/>
      <c r="E533" s="75"/>
      <c r="F533" s="75"/>
      <c r="G533" s="75"/>
      <c r="H533" s="75"/>
      <c r="I533" s="29"/>
      <c r="J533" s="76"/>
      <c r="K533" s="76"/>
      <c r="L533" s="66"/>
      <c r="M533" s="66"/>
      <c r="N533" s="66"/>
      <c r="O533" s="66"/>
      <c r="P533" s="66"/>
      <c r="Q533" s="66"/>
      <c r="R533" s="66"/>
      <c r="S533" s="66"/>
      <c r="T533" s="66"/>
      <c r="U533" s="66"/>
      <c r="V533" s="66"/>
      <c r="W533" s="66"/>
      <c r="X533" s="66"/>
      <c r="Y533" s="66"/>
    </row>
    <row r="534">
      <c r="A534" s="71"/>
      <c r="B534" s="71"/>
      <c r="C534" s="73"/>
      <c r="D534" s="73"/>
      <c r="E534" s="75"/>
      <c r="F534" s="75"/>
      <c r="G534" s="75"/>
      <c r="H534" s="75"/>
      <c r="I534" s="29"/>
      <c r="J534" s="76"/>
      <c r="K534" s="76"/>
      <c r="L534" s="66"/>
      <c r="M534" s="66"/>
      <c r="N534" s="66"/>
      <c r="O534" s="66"/>
      <c r="P534" s="66"/>
      <c r="Q534" s="66"/>
      <c r="R534" s="66"/>
      <c r="S534" s="66"/>
      <c r="T534" s="66"/>
      <c r="U534" s="66"/>
      <c r="V534" s="66"/>
      <c r="W534" s="66"/>
      <c r="X534" s="66"/>
      <c r="Y534" s="66"/>
    </row>
    <row r="535">
      <c r="A535" s="71"/>
      <c r="B535" s="71"/>
      <c r="C535" s="73"/>
      <c r="D535" s="73"/>
      <c r="E535" s="75"/>
      <c r="F535" s="75"/>
      <c r="G535" s="75"/>
      <c r="H535" s="75"/>
      <c r="I535" s="29"/>
      <c r="J535" s="76"/>
      <c r="K535" s="76"/>
      <c r="L535" s="66"/>
      <c r="M535" s="66"/>
      <c r="N535" s="66"/>
      <c r="O535" s="66"/>
      <c r="P535" s="66"/>
      <c r="Q535" s="66"/>
      <c r="R535" s="66"/>
      <c r="S535" s="66"/>
      <c r="T535" s="66"/>
      <c r="U535" s="66"/>
      <c r="V535" s="66"/>
      <c r="W535" s="66"/>
      <c r="X535" s="66"/>
      <c r="Y535" s="66"/>
    </row>
    <row r="536">
      <c r="A536" s="71"/>
      <c r="B536" s="71"/>
      <c r="C536" s="73"/>
      <c r="D536" s="73"/>
      <c r="E536" s="75"/>
      <c r="F536" s="75"/>
      <c r="G536" s="75"/>
      <c r="H536" s="75"/>
      <c r="I536" s="29"/>
      <c r="J536" s="76"/>
      <c r="K536" s="76"/>
      <c r="L536" s="66"/>
      <c r="M536" s="66"/>
      <c r="N536" s="66"/>
      <c r="O536" s="66"/>
      <c r="P536" s="66"/>
      <c r="Q536" s="66"/>
      <c r="R536" s="66"/>
      <c r="S536" s="66"/>
      <c r="T536" s="66"/>
      <c r="U536" s="66"/>
      <c r="V536" s="66"/>
      <c r="W536" s="66"/>
      <c r="X536" s="66"/>
      <c r="Y536" s="66"/>
    </row>
    <row r="537">
      <c r="A537" s="71"/>
      <c r="B537" s="71"/>
      <c r="C537" s="73"/>
      <c r="D537" s="73"/>
      <c r="E537" s="75"/>
      <c r="F537" s="75"/>
      <c r="G537" s="75"/>
      <c r="H537" s="75"/>
      <c r="I537" s="29"/>
      <c r="J537" s="76"/>
      <c r="K537" s="76"/>
      <c r="L537" s="66"/>
      <c r="M537" s="66"/>
      <c r="N537" s="66"/>
      <c r="O537" s="66"/>
      <c r="P537" s="66"/>
      <c r="Q537" s="66"/>
      <c r="R537" s="66"/>
      <c r="S537" s="66"/>
      <c r="T537" s="66"/>
      <c r="U537" s="66"/>
      <c r="V537" s="66"/>
      <c r="W537" s="66"/>
      <c r="X537" s="66"/>
      <c r="Y537" s="66"/>
    </row>
    <row r="538">
      <c r="A538" s="71"/>
      <c r="B538" s="71"/>
      <c r="C538" s="73"/>
      <c r="D538" s="73"/>
      <c r="E538" s="75"/>
      <c r="F538" s="75"/>
      <c r="G538" s="75"/>
      <c r="H538" s="75"/>
      <c r="I538" s="29"/>
      <c r="J538" s="76"/>
      <c r="K538" s="76"/>
      <c r="L538" s="66"/>
      <c r="M538" s="66"/>
      <c r="N538" s="66"/>
      <c r="O538" s="66"/>
      <c r="P538" s="66"/>
      <c r="Q538" s="66"/>
      <c r="R538" s="66"/>
      <c r="S538" s="66"/>
      <c r="T538" s="66"/>
      <c r="U538" s="66"/>
      <c r="V538" s="66"/>
      <c r="W538" s="66"/>
      <c r="X538" s="66"/>
      <c r="Y538" s="66"/>
    </row>
    <row r="539">
      <c r="A539" s="71"/>
      <c r="B539" s="71"/>
      <c r="C539" s="73"/>
      <c r="D539" s="73"/>
      <c r="E539" s="75"/>
      <c r="F539" s="75"/>
      <c r="G539" s="75"/>
      <c r="H539" s="75"/>
      <c r="I539" s="29"/>
      <c r="J539" s="76"/>
      <c r="K539" s="76"/>
      <c r="L539" s="66"/>
      <c r="M539" s="66"/>
      <c r="N539" s="66"/>
      <c r="O539" s="66"/>
      <c r="P539" s="66"/>
      <c r="Q539" s="66"/>
      <c r="R539" s="66"/>
      <c r="S539" s="66"/>
      <c r="T539" s="66"/>
      <c r="U539" s="66"/>
      <c r="V539" s="66"/>
      <c r="W539" s="66"/>
      <c r="X539" s="66"/>
      <c r="Y539" s="66"/>
    </row>
    <row r="540">
      <c r="A540" s="71"/>
      <c r="B540" s="71"/>
      <c r="C540" s="73"/>
      <c r="D540" s="73"/>
      <c r="E540" s="75"/>
      <c r="F540" s="75"/>
      <c r="G540" s="75"/>
      <c r="H540" s="75"/>
      <c r="I540" s="29"/>
      <c r="J540" s="76"/>
      <c r="K540" s="76"/>
      <c r="L540" s="66"/>
      <c r="M540" s="66"/>
      <c r="N540" s="66"/>
      <c r="O540" s="66"/>
      <c r="P540" s="66"/>
      <c r="Q540" s="66"/>
      <c r="R540" s="66"/>
      <c r="S540" s="66"/>
      <c r="T540" s="66"/>
      <c r="U540" s="66"/>
      <c r="V540" s="66"/>
      <c r="W540" s="66"/>
      <c r="X540" s="66"/>
      <c r="Y540" s="66"/>
    </row>
    <row r="541">
      <c r="A541" s="71"/>
      <c r="B541" s="71"/>
      <c r="C541" s="73"/>
      <c r="D541" s="73"/>
      <c r="E541" s="75"/>
      <c r="F541" s="75"/>
      <c r="G541" s="75"/>
      <c r="H541" s="75"/>
      <c r="I541" s="29"/>
      <c r="J541" s="76"/>
      <c r="K541" s="76"/>
      <c r="L541" s="66"/>
      <c r="M541" s="66"/>
      <c r="N541" s="66"/>
      <c r="O541" s="66"/>
      <c r="P541" s="66"/>
      <c r="Q541" s="66"/>
      <c r="R541" s="66"/>
      <c r="S541" s="66"/>
      <c r="T541" s="66"/>
      <c r="U541" s="66"/>
      <c r="V541" s="66"/>
      <c r="W541" s="66"/>
      <c r="X541" s="66"/>
      <c r="Y541" s="66"/>
    </row>
    <row r="542">
      <c r="A542" s="71"/>
      <c r="B542" s="71"/>
      <c r="C542" s="73"/>
      <c r="D542" s="73"/>
      <c r="E542" s="75"/>
      <c r="F542" s="75"/>
      <c r="G542" s="75"/>
      <c r="H542" s="75"/>
      <c r="I542" s="29"/>
      <c r="J542" s="76"/>
      <c r="K542" s="76"/>
      <c r="L542" s="66"/>
      <c r="M542" s="66"/>
      <c r="N542" s="66"/>
      <c r="O542" s="66"/>
      <c r="P542" s="66"/>
      <c r="Q542" s="66"/>
      <c r="R542" s="66"/>
      <c r="S542" s="66"/>
      <c r="T542" s="66"/>
      <c r="U542" s="66"/>
      <c r="V542" s="66"/>
      <c r="W542" s="66"/>
      <c r="X542" s="66"/>
      <c r="Y542" s="66"/>
    </row>
    <row r="543">
      <c r="A543" s="71"/>
      <c r="B543" s="71"/>
      <c r="C543" s="73"/>
      <c r="D543" s="73"/>
      <c r="E543" s="75"/>
      <c r="F543" s="75"/>
      <c r="G543" s="75"/>
      <c r="H543" s="75"/>
      <c r="I543" s="29"/>
      <c r="J543" s="76"/>
      <c r="K543" s="76"/>
      <c r="L543" s="66"/>
      <c r="M543" s="66"/>
      <c r="N543" s="66"/>
      <c r="O543" s="66"/>
      <c r="P543" s="66"/>
      <c r="Q543" s="66"/>
      <c r="R543" s="66"/>
      <c r="S543" s="66"/>
      <c r="T543" s="66"/>
      <c r="U543" s="66"/>
      <c r="V543" s="66"/>
      <c r="W543" s="66"/>
      <c r="X543" s="66"/>
      <c r="Y543" s="66"/>
    </row>
    <row r="544">
      <c r="A544" s="71"/>
      <c r="B544" s="71"/>
      <c r="C544" s="73"/>
      <c r="D544" s="73"/>
      <c r="E544" s="75"/>
      <c r="F544" s="75"/>
      <c r="G544" s="75"/>
      <c r="H544" s="75"/>
      <c r="I544" s="29"/>
      <c r="J544" s="76"/>
      <c r="K544" s="76"/>
      <c r="L544" s="66"/>
      <c r="M544" s="66"/>
      <c r="N544" s="66"/>
      <c r="O544" s="66"/>
      <c r="P544" s="66"/>
      <c r="Q544" s="66"/>
      <c r="R544" s="66"/>
      <c r="S544" s="66"/>
      <c r="T544" s="66"/>
      <c r="U544" s="66"/>
      <c r="V544" s="66"/>
      <c r="W544" s="66"/>
      <c r="X544" s="66"/>
      <c r="Y544" s="66"/>
    </row>
    <row r="545">
      <c r="A545" s="71"/>
      <c r="B545" s="71"/>
      <c r="C545" s="73"/>
      <c r="D545" s="73"/>
      <c r="E545" s="75"/>
      <c r="F545" s="75"/>
      <c r="G545" s="75"/>
      <c r="H545" s="75"/>
      <c r="I545" s="29"/>
      <c r="J545" s="76"/>
      <c r="K545" s="76"/>
      <c r="L545" s="66"/>
      <c r="M545" s="66"/>
      <c r="N545" s="66"/>
      <c r="O545" s="66"/>
      <c r="P545" s="66"/>
      <c r="Q545" s="66"/>
      <c r="R545" s="66"/>
      <c r="S545" s="66"/>
      <c r="T545" s="66"/>
      <c r="U545" s="66"/>
      <c r="V545" s="66"/>
      <c r="W545" s="66"/>
      <c r="X545" s="66"/>
      <c r="Y545" s="66"/>
    </row>
    <row r="546">
      <c r="A546" s="71"/>
      <c r="B546" s="71"/>
      <c r="C546" s="73"/>
      <c r="D546" s="73"/>
      <c r="E546" s="75"/>
      <c r="F546" s="75"/>
      <c r="G546" s="75"/>
      <c r="H546" s="75"/>
      <c r="I546" s="29"/>
      <c r="J546" s="76"/>
      <c r="K546" s="76"/>
      <c r="L546" s="66"/>
      <c r="M546" s="66"/>
      <c r="N546" s="66"/>
      <c r="O546" s="66"/>
      <c r="P546" s="66"/>
      <c r="Q546" s="66"/>
      <c r="R546" s="66"/>
      <c r="S546" s="66"/>
      <c r="T546" s="66"/>
      <c r="U546" s="66"/>
      <c r="V546" s="66"/>
      <c r="W546" s="66"/>
      <c r="X546" s="66"/>
      <c r="Y546" s="66"/>
    </row>
    <row r="547">
      <c r="A547" s="71"/>
      <c r="B547" s="71"/>
      <c r="C547" s="73"/>
      <c r="D547" s="73"/>
      <c r="E547" s="75"/>
      <c r="F547" s="75"/>
      <c r="G547" s="75"/>
      <c r="H547" s="75"/>
      <c r="I547" s="29"/>
      <c r="J547" s="76"/>
      <c r="K547" s="76"/>
      <c r="L547" s="66"/>
      <c r="M547" s="66"/>
      <c r="N547" s="66"/>
      <c r="O547" s="66"/>
      <c r="P547" s="66"/>
      <c r="Q547" s="66"/>
      <c r="R547" s="66"/>
      <c r="S547" s="66"/>
      <c r="T547" s="66"/>
      <c r="U547" s="66"/>
      <c r="V547" s="66"/>
      <c r="W547" s="66"/>
      <c r="X547" s="66"/>
      <c r="Y547" s="66"/>
    </row>
    <row r="548">
      <c r="A548" s="71"/>
      <c r="B548" s="71"/>
      <c r="C548" s="73"/>
      <c r="D548" s="73"/>
      <c r="E548" s="75"/>
      <c r="F548" s="75"/>
      <c r="G548" s="75"/>
      <c r="H548" s="75"/>
      <c r="I548" s="29"/>
      <c r="J548" s="76"/>
      <c r="K548" s="76"/>
      <c r="L548" s="66"/>
      <c r="M548" s="66"/>
      <c r="N548" s="66"/>
      <c r="O548" s="66"/>
      <c r="P548" s="66"/>
      <c r="Q548" s="66"/>
      <c r="R548" s="66"/>
      <c r="S548" s="66"/>
      <c r="T548" s="66"/>
      <c r="U548" s="66"/>
      <c r="V548" s="66"/>
      <c r="W548" s="66"/>
      <c r="X548" s="66"/>
      <c r="Y548" s="66"/>
    </row>
    <row r="549">
      <c r="A549" s="71"/>
      <c r="B549" s="71"/>
      <c r="C549" s="73"/>
      <c r="D549" s="73"/>
      <c r="E549" s="75"/>
      <c r="F549" s="75"/>
      <c r="G549" s="75"/>
      <c r="H549" s="75"/>
      <c r="I549" s="29"/>
      <c r="J549" s="76"/>
      <c r="K549" s="76"/>
      <c r="L549" s="66"/>
      <c r="M549" s="66"/>
      <c r="N549" s="66"/>
      <c r="O549" s="66"/>
      <c r="P549" s="66"/>
      <c r="Q549" s="66"/>
      <c r="R549" s="66"/>
      <c r="S549" s="66"/>
      <c r="T549" s="66"/>
      <c r="U549" s="66"/>
      <c r="V549" s="66"/>
      <c r="W549" s="66"/>
      <c r="X549" s="66"/>
      <c r="Y549" s="66"/>
    </row>
    <row r="550">
      <c r="A550" s="71"/>
      <c r="B550" s="71"/>
      <c r="C550" s="73"/>
      <c r="D550" s="73"/>
      <c r="E550" s="75"/>
      <c r="F550" s="75"/>
      <c r="G550" s="75"/>
      <c r="H550" s="75"/>
      <c r="I550" s="29"/>
      <c r="J550" s="76"/>
      <c r="K550" s="76"/>
      <c r="L550" s="66"/>
      <c r="M550" s="66"/>
      <c r="N550" s="66"/>
      <c r="O550" s="66"/>
      <c r="P550" s="66"/>
      <c r="Q550" s="66"/>
      <c r="R550" s="66"/>
      <c r="S550" s="66"/>
      <c r="T550" s="66"/>
      <c r="U550" s="66"/>
      <c r="V550" s="66"/>
      <c r="W550" s="66"/>
      <c r="X550" s="66"/>
      <c r="Y550" s="66"/>
    </row>
    <row r="551">
      <c r="A551" s="71"/>
      <c r="B551" s="71"/>
      <c r="C551" s="73"/>
      <c r="D551" s="73"/>
      <c r="E551" s="75"/>
      <c r="F551" s="75"/>
      <c r="G551" s="75"/>
      <c r="H551" s="75"/>
      <c r="I551" s="29"/>
      <c r="J551" s="76"/>
      <c r="K551" s="76"/>
      <c r="L551" s="66"/>
      <c r="M551" s="66"/>
      <c r="N551" s="66"/>
      <c r="O551" s="66"/>
      <c r="P551" s="66"/>
      <c r="Q551" s="66"/>
      <c r="R551" s="66"/>
      <c r="S551" s="66"/>
      <c r="T551" s="66"/>
      <c r="U551" s="66"/>
      <c r="V551" s="66"/>
      <c r="W551" s="66"/>
      <c r="X551" s="66"/>
      <c r="Y551" s="66"/>
    </row>
    <row r="552">
      <c r="A552" s="71"/>
      <c r="B552" s="71"/>
      <c r="C552" s="73"/>
      <c r="D552" s="73"/>
      <c r="E552" s="75"/>
      <c r="F552" s="75"/>
      <c r="G552" s="75"/>
      <c r="H552" s="75"/>
      <c r="I552" s="29"/>
      <c r="J552" s="76"/>
      <c r="K552" s="76"/>
      <c r="L552" s="66"/>
      <c r="M552" s="66"/>
      <c r="N552" s="66"/>
      <c r="O552" s="66"/>
      <c r="P552" s="66"/>
      <c r="Q552" s="66"/>
      <c r="R552" s="66"/>
      <c r="S552" s="66"/>
      <c r="T552" s="66"/>
      <c r="U552" s="66"/>
      <c r="V552" s="66"/>
      <c r="W552" s="66"/>
      <c r="X552" s="66"/>
      <c r="Y552" s="66"/>
    </row>
    <row r="553">
      <c r="A553" s="71"/>
      <c r="B553" s="71"/>
      <c r="C553" s="73"/>
      <c r="D553" s="73"/>
      <c r="E553" s="75"/>
      <c r="F553" s="75"/>
      <c r="G553" s="75"/>
      <c r="H553" s="75"/>
      <c r="I553" s="29"/>
      <c r="J553" s="76"/>
      <c r="K553" s="76"/>
      <c r="L553" s="66"/>
      <c r="M553" s="66"/>
      <c r="N553" s="66"/>
      <c r="O553" s="66"/>
      <c r="P553" s="66"/>
      <c r="Q553" s="66"/>
      <c r="R553" s="66"/>
      <c r="S553" s="66"/>
      <c r="T553" s="66"/>
      <c r="U553" s="66"/>
      <c r="V553" s="66"/>
      <c r="W553" s="66"/>
      <c r="X553" s="66"/>
      <c r="Y553" s="66"/>
    </row>
    <row r="554">
      <c r="A554" s="71"/>
      <c r="B554" s="71"/>
      <c r="C554" s="73"/>
      <c r="D554" s="73"/>
      <c r="E554" s="75"/>
      <c r="F554" s="75"/>
      <c r="G554" s="75"/>
      <c r="H554" s="75"/>
      <c r="I554" s="29"/>
      <c r="J554" s="76"/>
      <c r="K554" s="76"/>
      <c r="L554" s="66"/>
      <c r="M554" s="66"/>
      <c r="N554" s="66"/>
      <c r="O554" s="66"/>
      <c r="P554" s="66"/>
      <c r="Q554" s="66"/>
      <c r="R554" s="66"/>
      <c r="S554" s="66"/>
      <c r="T554" s="66"/>
      <c r="U554" s="66"/>
      <c r="V554" s="66"/>
      <c r="W554" s="66"/>
      <c r="X554" s="66"/>
      <c r="Y554" s="66"/>
    </row>
    <row r="555">
      <c r="A555" s="71"/>
      <c r="B555" s="71"/>
      <c r="C555" s="73"/>
      <c r="D555" s="73"/>
      <c r="E555" s="75"/>
      <c r="F555" s="75"/>
      <c r="G555" s="75"/>
      <c r="H555" s="75"/>
      <c r="I555" s="29"/>
      <c r="J555" s="76"/>
      <c r="K555" s="76"/>
      <c r="L555" s="66"/>
      <c r="M555" s="66"/>
      <c r="N555" s="66"/>
      <c r="O555" s="66"/>
      <c r="P555" s="66"/>
      <c r="Q555" s="66"/>
      <c r="R555" s="66"/>
      <c r="S555" s="66"/>
      <c r="T555" s="66"/>
      <c r="U555" s="66"/>
      <c r="V555" s="66"/>
      <c r="W555" s="66"/>
      <c r="X555" s="66"/>
      <c r="Y555" s="66"/>
    </row>
    <row r="556">
      <c r="A556" s="71"/>
      <c r="B556" s="71"/>
      <c r="C556" s="73"/>
      <c r="D556" s="73"/>
      <c r="E556" s="75"/>
      <c r="F556" s="75"/>
      <c r="G556" s="75"/>
      <c r="H556" s="75"/>
      <c r="I556" s="29"/>
      <c r="J556" s="76"/>
      <c r="K556" s="76"/>
      <c r="L556" s="66"/>
      <c r="M556" s="66"/>
      <c r="N556" s="66"/>
      <c r="O556" s="66"/>
      <c r="P556" s="66"/>
      <c r="Q556" s="66"/>
      <c r="R556" s="66"/>
      <c r="S556" s="66"/>
      <c r="T556" s="66"/>
      <c r="U556" s="66"/>
      <c r="V556" s="66"/>
      <c r="W556" s="66"/>
      <c r="X556" s="66"/>
      <c r="Y556" s="66"/>
    </row>
    <row r="557">
      <c r="A557" s="71"/>
      <c r="B557" s="71"/>
      <c r="C557" s="73"/>
      <c r="D557" s="73"/>
      <c r="E557" s="75"/>
      <c r="F557" s="75"/>
      <c r="G557" s="75"/>
      <c r="H557" s="75"/>
      <c r="I557" s="29"/>
      <c r="J557" s="76"/>
      <c r="K557" s="76"/>
      <c r="L557" s="66"/>
      <c r="M557" s="66"/>
      <c r="N557" s="66"/>
      <c r="O557" s="66"/>
      <c r="P557" s="66"/>
      <c r="Q557" s="66"/>
      <c r="R557" s="66"/>
      <c r="S557" s="66"/>
      <c r="T557" s="66"/>
      <c r="U557" s="66"/>
      <c r="V557" s="66"/>
      <c r="W557" s="66"/>
      <c r="X557" s="66"/>
      <c r="Y557" s="66"/>
    </row>
    <row r="558">
      <c r="A558" s="71"/>
      <c r="B558" s="71"/>
      <c r="C558" s="73"/>
      <c r="D558" s="73"/>
      <c r="E558" s="75"/>
      <c r="F558" s="75"/>
      <c r="G558" s="75"/>
      <c r="H558" s="75"/>
      <c r="I558" s="29"/>
      <c r="J558" s="76"/>
      <c r="K558" s="76"/>
      <c r="L558" s="66"/>
      <c r="M558" s="66"/>
      <c r="N558" s="66"/>
      <c r="O558" s="66"/>
      <c r="P558" s="66"/>
      <c r="Q558" s="66"/>
      <c r="R558" s="66"/>
      <c r="S558" s="66"/>
      <c r="T558" s="66"/>
      <c r="U558" s="66"/>
      <c r="V558" s="66"/>
      <c r="W558" s="66"/>
      <c r="X558" s="66"/>
      <c r="Y558" s="66"/>
    </row>
    <row r="559">
      <c r="A559" s="71"/>
      <c r="B559" s="71"/>
      <c r="C559" s="73"/>
      <c r="D559" s="73"/>
      <c r="E559" s="75"/>
      <c r="F559" s="75"/>
      <c r="G559" s="75"/>
      <c r="H559" s="75"/>
      <c r="I559" s="29"/>
      <c r="J559" s="76"/>
      <c r="K559" s="76"/>
      <c r="L559" s="66"/>
      <c r="M559" s="66"/>
      <c r="N559" s="66"/>
      <c r="O559" s="66"/>
      <c r="P559" s="66"/>
      <c r="Q559" s="66"/>
      <c r="R559" s="66"/>
      <c r="S559" s="66"/>
      <c r="T559" s="66"/>
      <c r="U559" s="66"/>
      <c r="V559" s="66"/>
      <c r="W559" s="66"/>
      <c r="X559" s="66"/>
      <c r="Y559" s="66"/>
    </row>
    <row r="560">
      <c r="A560" s="71"/>
      <c r="B560" s="71"/>
      <c r="C560" s="73"/>
      <c r="D560" s="73"/>
      <c r="E560" s="75"/>
      <c r="F560" s="75"/>
      <c r="G560" s="75"/>
      <c r="H560" s="75"/>
      <c r="I560" s="29"/>
      <c r="J560" s="76"/>
      <c r="K560" s="76"/>
      <c r="L560" s="66"/>
      <c r="M560" s="66"/>
      <c r="N560" s="66"/>
      <c r="O560" s="66"/>
      <c r="P560" s="66"/>
      <c r="Q560" s="66"/>
      <c r="R560" s="66"/>
      <c r="S560" s="66"/>
      <c r="T560" s="66"/>
      <c r="U560" s="66"/>
      <c r="V560" s="66"/>
      <c r="W560" s="66"/>
      <c r="X560" s="66"/>
      <c r="Y560" s="66"/>
    </row>
    <row r="561">
      <c r="A561" s="71"/>
      <c r="B561" s="71"/>
      <c r="C561" s="73"/>
      <c r="D561" s="73"/>
      <c r="E561" s="75"/>
      <c r="F561" s="75"/>
      <c r="G561" s="75"/>
      <c r="H561" s="75"/>
      <c r="I561" s="29"/>
      <c r="J561" s="76"/>
      <c r="K561" s="76"/>
      <c r="L561" s="66"/>
      <c r="M561" s="66"/>
      <c r="N561" s="66"/>
      <c r="O561" s="66"/>
      <c r="P561" s="66"/>
      <c r="Q561" s="66"/>
      <c r="R561" s="66"/>
      <c r="S561" s="66"/>
      <c r="T561" s="66"/>
      <c r="U561" s="66"/>
      <c r="V561" s="66"/>
      <c r="W561" s="66"/>
      <c r="X561" s="66"/>
      <c r="Y561" s="66"/>
    </row>
    <row r="562">
      <c r="A562" s="71"/>
      <c r="B562" s="71"/>
      <c r="C562" s="73"/>
      <c r="D562" s="73"/>
      <c r="E562" s="75"/>
      <c r="F562" s="75"/>
      <c r="G562" s="75"/>
      <c r="H562" s="75"/>
      <c r="I562" s="29"/>
      <c r="J562" s="76"/>
      <c r="K562" s="76"/>
      <c r="L562" s="66"/>
      <c r="M562" s="66"/>
      <c r="N562" s="66"/>
      <c r="O562" s="66"/>
      <c r="P562" s="66"/>
      <c r="Q562" s="66"/>
      <c r="R562" s="66"/>
      <c r="S562" s="66"/>
      <c r="T562" s="66"/>
      <c r="U562" s="66"/>
      <c r="V562" s="66"/>
      <c r="W562" s="66"/>
      <c r="X562" s="66"/>
      <c r="Y562" s="66"/>
    </row>
    <row r="563">
      <c r="A563" s="71"/>
      <c r="B563" s="71"/>
      <c r="C563" s="73"/>
      <c r="D563" s="73"/>
      <c r="E563" s="75"/>
      <c r="F563" s="75"/>
      <c r="G563" s="75"/>
      <c r="H563" s="75"/>
      <c r="I563" s="29"/>
      <c r="J563" s="76"/>
      <c r="K563" s="76"/>
      <c r="L563" s="66"/>
      <c r="M563" s="66"/>
      <c r="N563" s="66"/>
      <c r="O563" s="66"/>
      <c r="P563" s="66"/>
      <c r="Q563" s="66"/>
      <c r="R563" s="66"/>
      <c r="S563" s="66"/>
      <c r="T563" s="66"/>
      <c r="U563" s="66"/>
      <c r="V563" s="66"/>
      <c r="W563" s="66"/>
      <c r="X563" s="66"/>
      <c r="Y563" s="66"/>
    </row>
    <row r="564">
      <c r="A564" s="71"/>
      <c r="B564" s="71"/>
      <c r="C564" s="73"/>
      <c r="D564" s="73"/>
      <c r="E564" s="75"/>
      <c r="F564" s="75"/>
      <c r="G564" s="75"/>
      <c r="H564" s="75"/>
      <c r="I564" s="29"/>
      <c r="J564" s="76"/>
      <c r="K564" s="76"/>
      <c r="L564" s="66"/>
      <c r="M564" s="66"/>
      <c r="N564" s="66"/>
      <c r="O564" s="66"/>
      <c r="P564" s="66"/>
      <c r="Q564" s="66"/>
      <c r="R564" s="66"/>
      <c r="S564" s="66"/>
      <c r="T564" s="66"/>
      <c r="U564" s="66"/>
      <c r="V564" s="66"/>
      <c r="W564" s="66"/>
      <c r="X564" s="66"/>
      <c r="Y564" s="66"/>
    </row>
    <row r="565">
      <c r="A565" s="71"/>
      <c r="B565" s="71"/>
      <c r="C565" s="73"/>
      <c r="D565" s="73"/>
      <c r="E565" s="75"/>
      <c r="F565" s="75"/>
      <c r="G565" s="75"/>
      <c r="H565" s="75"/>
      <c r="I565" s="29"/>
      <c r="J565" s="76"/>
      <c r="K565" s="76"/>
      <c r="L565" s="66"/>
      <c r="M565" s="66"/>
      <c r="N565" s="66"/>
      <c r="O565" s="66"/>
      <c r="P565" s="66"/>
      <c r="Q565" s="66"/>
      <c r="R565" s="66"/>
      <c r="S565" s="66"/>
      <c r="T565" s="66"/>
      <c r="U565" s="66"/>
      <c r="V565" s="66"/>
      <c r="W565" s="66"/>
      <c r="X565" s="66"/>
      <c r="Y565" s="66"/>
    </row>
    <row r="566">
      <c r="A566" s="71"/>
      <c r="B566" s="71"/>
      <c r="C566" s="73"/>
      <c r="D566" s="73"/>
      <c r="E566" s="75"/>
      <c r="F566" s="75"/>
      <c r="G566" s="75"/>
      <c r="H566" s="75"/>
      <c r="I566" s="29"/>
      <c r="J566" s="76"/>
      <c r="K566" s="76"/>
      <c r="L566" s="66"/>
      <c r="M566" s="66"/>
      <c r="N566" s="66"/>
      <c r="O566" s="66"/>
      <c r="P566" s="66"/>
      <c r="Q566" s="66"/>
      <c r="R566" s="66"/>
      <c r="S566" s="66"/>
      <c r="T566" s="66"/>
      <c r="U566" s="66"/>
      <c r="V566" s="66"/>
      <c r="W566" s="66"/>
      <c r="X566" s="66"/>
      <c r="Y566" s="66"/>
    </row>
    <row r="567">
      <c r="A567" s="71"/>
      <c r="B567" s="71"/>
      <c r="C567" s="73"/>
      <c r="D567" s="73"/>
      <c r="E567" s="75"/>
      <c r="F567" s="75"/>
      <c r="G567" s="75"/>
      <c r="H567" s="75"/>
      <c r="I567" s="29"/>
      <c r="J567" s="76"/>
      <c r="K567" s="76"/>
      <c r="L567" s="66"/>
      <c r="M567" s="66"/>
      <c r="N567" s="66"/>
      <c r="O567" s="66"/>
      <c r="P567" s="66"/>
      <c r="Q567" s="66"/>
      <c r="R567" s="66"/>
      <c r="S567" s="66"/>
      <c r="T567" s="66"/>
      <c r="U567" s="66"/>
      <c r="V567" s="66"/>
      <c r="W567" s="66"/>
      <c r="X567" s="66"/>
      <c r="Y567" s="66"/>
    </row>
    <row r="568">
      <c r="A568" s="71"/>
      <c r="B568" s="71"/>
      <c r="C568" s="73"/>
      <c r="D568" s="73"/>
      <c r="E568" s="75"/>
      <c r="F568" s="75"/>
      <c r="G568" s="75"/>
      <c r="H568" s="75"/>
      <c r="I568" s="29"/>
      <c r="J568" s="76"/>
      <c r="K568" s="76"/>
      <c r="L568" s="66"/>
      <c r="M568" s="66"/>
      <c r="N568" s="66"/>
      <c r="O568" s="66"/>
      <c r="P568" s="66"/>
      <c r="Q568" s="66"/>
      <c r="R568" s="66"/>
      <c r="S568" s="66"/>
      <c r="T568" s="66"/>
      <c r="U568" s="66"/>
      <c r="V568" s="66"/>
      <c r="W568" s="66"/>
      <c r="X568" s="66"/>
      <c r="Y568" s="66"/>
    </row>
    <row r="569">
      <c r="A569" s="71"/>
      <c r="B569" s="71"/>
      <c r="C569" s="73"/>
      <c r="D569" s="73"/>
      <c r="E569" s="75"/>
      <c r="F569" s="75"/>
      <c r="G569" s="75"/>
      <c r="H569" s="75"/>
      <c r="I569" s="29"/>
      <c r="J569" s="76"/>
      <c r="K569" s="76"/>
      <c r="L569" s="66"/>
      <c r="M569" s="66"/>
      <c r="N569" s="66"/>
      <c r="O569" s="66"/>
      <c r="P569" s="66"/>
      <c r="Q569" s="66"/>
      <c r="R569" s="66"/>
      <c r="S569" s="66"/>
      <c r="T569" s="66"/>
      <c r="U569" s="66"/>
      <c r="V569" s="66"/>
      <c r="W569" s="66"/>
      <c r="X569" s="66"/>
      <c r="Y569" s="66"/>
    </row>
    <row r="570">
      <c r="A570" s="71"/>
      <c r="B570" s="71"/>
      <c r="C570" s="73"/>
      <c r="D570" s="73"/>
      <c r="E570" s="75"/>
      <c r="F570" s="75"/>
      <c r="G570" s="75"/>
      <c r="H570" s="75"/>
      <c r="I570" s="29"/>
      <c r="J570" s="76"/>
      <c r="K570" s="76"/>
      <c r="L570" s="66"/>
      <c r="M570" s="66"/>
      <c r="N570" s="66"/>
      <c r="O570" s="66"/>
      <c r="P570" s="66"/>
      <c r="Q570" s="66"/>
      <c r="R570" s="66"/>
      <c r="S570" s="66"/>
      <c r="T570" s="66"/>
      <c r="U570" s="66"/>
      <c r="V570" s="66"/>
      <c r="W570" s="66"/>
      <c r="X570" s="66"/>
      <c r="Y570" s="66"/>
    </row>
    <row r="571">
      <c r="A571" s="71"/>
      <c r="B571" s="71"/>
      <c r="C571" s="73"/>
      <c r="D571" s="73"/>
      <c r="E571" s="75"/>
      <c r="F571" s="75"/>
      <c r="G571" s="75"/>
      <c r="H571" s="75"/>
      <c r="I571" s="29"/>
      <c r="J571" s="76"/>
      <c r="K571" s="76"/>
      <c r="L571" s="66"/>
      <c r="M571" s="66"/>
      <c r="N571" s="66"/>
      <c r="O571" s="66"/>
      <c r="P571" s="66"/>
      <c r="Q571" s="66"/>
      <c r="R571" s="66"/>
      <c r="S571" s="66"/>
      <c r="T571" s="66"/>
      <c r="U571" s="66"/>
      <c r="V571" s="66"/>
      <c r="W571" s="66"/>
      <c r="X571" s="66"/>
      <c r="Y571" s="66"/>
    </row>
    <row r="572">
      <c r="A572" s="71"/>
      <c r="B572" s="71"/>
      <c r="C572" s="73"/>
      <c r="D572" s="73"/>
      <c r="E572" s="75"/>
      <c r="F572" s="75"/>
      <c r="G572" s="75"/>
      <c r="H572" s="75"/>
      <c r="I572" s="29"/>
      <c r="J572" s="76"/>
      <c r="K572" s="76"/>
      <c r="L572" s="66"/>
      <c r="M572" s="66"/>
      <c r="N572" s="66"/>
      <c r="O572" s="66"/>
      <c r="P572" s="66"/>
      <c r="Q572" s="66"/>
      <c r="R572" s="66"/>
      <c r="S572" s="66"/>
      <c r="T572" s="66"/>
      <c r="U572" s="66"/>
      <c r="V572" s="66"/>
      <c r="W572" s="66"/>
      <c r="X572" s="66"/>
      <c r="Y572" s="66"/>
    </row>
    <row r="573">
      <c r="A573" s="71"/>
      <c r="B573" s="71"/>
      <c r="C573" s="73"/>
      <c r="D573" s="73"/>
      <c r="E573" s="75"/>
      <c r="F573" s="75"/>
      <c r="G573" s="75"/>
      <c r="H573" s="75"/>
      <c r="I573" s="29"/>
      <c r="J573" s="76"/>
      <c r="K573" s="76"/>
      <c r="L573" s="66"/>
      <c r="M573" s="66"/>
      <c r="N573" s="66"/>
      <c r="O573" s="66"/>
      <c r="P573" s="66"/>
      <c r="Q573" s="66"/>
      <c r="R573" s="66"/>
      <c r="S573" s="66"/>
      <c r="T573" s="66"/>
      <c r="U573" s="66"/>
      <c r="V573" s="66"/>
      <c r="W573" s="66"/>
      <c r="X573" s="66"/>
      <c r="Y573" s="66"/>
    </row>
    <row r="574">
      <c r="A574" s="71"/>
      <c r="B574" s="71"/>
      <c r="C574" s="73"/>
      <c r="D574" s="73"/>
      <c r="E574" s="75"/>
      <c r="F574" s="75"/>
      <c r="G574" s="75"/>
      <c r="H574" s="75"/>
      <c r="I574" s="29"/>
      <c r="J574" s="76"/>
      <c r="K574" s="76"/>
      <c r="L574" s="66"/>
      <c r="M574" s="66"/>
      <c r="N574" s="66"/>
      <c r="O574" s="66"/>
      <c r="P574" s="66"/>
      <c r="Q574" s="66"/>
      <c r="R574" s="66"/>
      <c r="S574" s="66"/>
      <c r="T574" s="66"/>
      <c r="U574" s="66"/>
      <c r="V574" s="66"/>
      <c r="W574" s="66"/>
      <c r="X574" s="66"/>
      <c r="Y574" s="66"/>
    </row>
    <row r="575">
      <c r="A575" s="71"/>
      <c r="B575" s="71"/>
      <c r="C575" s="73"/>
      <c r="D575" s="73"/>
      <c r="E575" s="75"/>
      <c r="F575" s="75"/>
      <c r="G575" s="75"/>
      <c r="H575" s="75"/>
      <c r="I575" s="29"/>
      <c r="J575" s="76"/>
      <c r="K575" s="76"/>
      <c r="L575" s="66"/>
      <c r="M575" s="66"/>
      <c r="N575" s="66"/>
      <c r="O575" s="66"/>
      <c r="P575" s="66"/>
      <c r="Q575" s="66"/>
      <c r="R575" s="66"/>
      <c r="S575" s="66"/>
      <c r="T575" s="66"/>
      <c r="U575" s="66"/>
      <c r="V575" s="66"/>
      <c r="W575" s="66"/>
      <c r="X575" s="66"/>
      <c r="Y575" s="66"/>
    </row>
    <row r="576">
      <c r="A576" s="71"/>
      <c r="B576" s="71"/>
      <c r="C576" s="73"/>
      <c r="D576" s="73"/>
      <c r="E576" s="75"/>
      <c r="F576" s="75"/>
      <c r="G576" s="75"/>
      <c r="H576" s="75"/>
      <c r="I576" s="29"/>
      <c r="J576" s="76"/>
      <c r="K576" s="76"/>
      <c r="L576" s="66"/>
      <c r="M576" s="66"/>
      <c r="N576" s="66"/>
      <c r="O576" s="66"/>
      <c r="P576" s="66"/>
      <c r="Q576" s="66"/>
      <c r="R576" s="66"/>
      <c r="S576" s="66"/>
      <c r="T576" s="66"/>
      <c r="U576" s="66"/>
      <c r="V576" s="66"/>
      <c r="W576" s="66"/>
      <c r="X576" s="66"/>
      <c r="Y576" s="66"/>
    </row>
    <row r="577">
      <c r="A577" s="71"/>
      <c r="B577" s="71"/>
      <c r="C577" s="73"/>
      <c r="D577" s="73"/>
      <c r="E577" s="75"/>
      <c r="F577" s="75"/>
      <c r="G577" s="75"/>
      <c r="H577" s="75"/>
      <c r="I577" s="29"/>
      <c r="J577" s="76"/>
      <c r="K577" s="76"/>
      <c r="L577" s="66"/>
      <c r="M577" s="66"/>
      <c r="N577" s="66"/>
      <c r="O577" s="66"/>
      <c r="P577" s="66"/>
      <c r="Q577" s="66"/>
      <c r="R577" s="66"/>
      <c r="S577" s="66"/>
      <c r="T577" s="66"/>
      <c r="U577" s="66"/>
      <c r="V577" s="66"/>
      <c r="W577" s="66"/>
      <c r="X577" s="66"/>
      <c r="Y577" s="66"/>
    </row>
    <row r="578">
      <c r="A578" s="71"/>
      <c r="B578" s="71"/>
      <c r="C578" s="73"/>
      <c r="D578" s="73"/>
      <c r="E578" s="75"/>
      <c r="F578" s="75"/>
      <c r="G578" s="75"/>
      <c r="H578" s="75"/>
      <c r="I578" s="29"/>
      <c r="J578" s="76"/>
      <c r="K578" s="76"/>
      <c r="L578" s="66"/>
      <c r="M578" s="66"/>
      <c r="N578" s="66"/>
      <c r="O578" s="66"/>
      <c r="P578" s="66"/>
      <c r="Q578" s="66"/>
      <c r="R578" s="66"/>
      <c r="S578" s="66"/>
      <c r="T578" s="66"/>
      <c r="U578" s="66"/>
      <c r="V578" s="66"/>
      <c r="W578" s="66"/>
      <c r="X578" s="66"/>
      <c r="Y578" s="66"/>
    </row>
    <row r="579">
      <c r="A579" s="71"/>
      <c r="B579" s="71"/>
      <c r="C579" s="73"/>
      <c r="D579" s="73"/>
      <c r="E579" s="75"/>
      <c r="F579" s="75"/>
      <c r="G579" s="75"/>
      <c r="H579" s="75"/>
      <c r="I579" s="29"/>
      <c r="J579" s="76"/>
      <c r="K579" s="76"/>
      <c r="L579" s="66"/>
      <c r="M579" s="66"/>
      <c r="N579" s="66"/>
      <c r="O579" s="66"/>
      <c r="P579" s="66"/>
      <c r="Q579" s="66"/>
      <c r="R579" s="66"/>
      <c r="S579" s="66"/>
      <c r="T579" s="66"/>
      <c r="U579" s="66"/>
      <c r="V579" s="66"/>
      <c r="W579" s="66"/>
      <c r="X579" s="66"/>
      <c r="Y579" s="66"/>
    </row>
    <row r="580">
      <c r="A580" s="71"/>
      <c r="B580" s="71"/>
      <c r="C580" s="73"/>
      <c r="D580" s="73"/>
      <c r="E580" s="75"/>
      <c r="F580" s="75"/>
      <c r="G580" s="75"/>
      <c r="H580" s="75"/>
      <c r="I580" s="29"/>
      <c r="J580" s="76"/>
      <c r="K580" s="76"/>
      <c r="L580" s="66"/>
      <c r="M580" s="66"/>
      <c r="N580" s="66"/>
      <c r="O580" s="66"/>
      <c r="P580" s="66"/>
      <c r="Q580" s="66"/>
      <c r="R580" s="66"/>
      <c r="S580" s="66"/>
      <c r="T580" s="66"/>
      <c r="U580" s="66"/>
      <c r="V580" s="66"/>
      <c r="W580" s="66"/>
      <c r="X580" s="66"/>
      <c r="Y580" s="66"/>
    </row>
    <row r="581">
      <c r="A581" s="71"/>
      <c r="B581" s="71"/>
      <c r="C581" s="73"/>
      <c r="D581" s="73"/>
      <c r="E581" s="75"/>
      <c r="F581" s="75"/>
      <c r="G581" s="75"/>
      <c r="H581" s="75"/>
      <c r="I581" s="29"/>
      <c r="J581" s="76"/>
      <c r="K581" s="76"/>
      <c r="L581" s="66"/>
      <c r="M581" s="66"/>
      <c r="N581" s="66"/>
      <c r="O581" s="66"/>
      <c r="P581" s="66"/>
      <c r="Q581" s="66"/>
      <c r="R581" s="66"/>
      <c r="S581" s="66"/>
      <c r="T581" s="66"/>
      <c r="U581" s="66"/>
      <c r="V581" s="66"/>
      <c r="W581" s="66"/>
      <c r="X581" s="66"/>
      <c r="Y581" s="66"/>
    </row>
    <row r="582">
      <c r="A582" s="71"/>
      <c r="B582" s="71"/>
      <c r="C582" s="73"/>
      <c r="D582" s="73"/>
      <c r="E582" s="75"/>
      <c r="F582" s="75"/>
      <c r="G582" s="75"/>
      <c r="H582" s="75"/>
      <c r="I582" s="29"/>
      <c r="J582" s="76"/>
      <c r="K582" s="76"/>
      <c r="L582" s="66"/>
      <c r="M582" s="66"/>
      <c r="N582" s="66"/>
      <c r="O582" s="66"/>
      <c r="P582" s="66"/>
      <c r="Q582" s="66"/>
      <c r="R582" s="66"/>
      <c r="S582" s="66"/>
      <c r="T582" s="66"/>
      <c r="U582" s="66"/>
      <c r="V582" s="66"/>
      <c r="W582" s="66"/>
      <c r="X582" s="66"/>
      <c r="Y582" s="66"/>
    </row>
    <row r="583">
      <c r="A583" s="71"/>
      <c r="B583" s="71"/>
      <c r="C583" s="73"/>
      <c r="D583" s="73"/>
      <c r="E583" s="75"/>
      <c r="F583" s="75"/>
      <c r="G583" s="75"/>
      <c r="H583" s="75"/>
      <c r="I583" s="29"/>
      <c r="J583" s="76"/>
      <c r="K583" s="76"/>
      <c r="L583" s="66"/>
      <c r="M583" s="66"/>
      <c r="N583" s="66"/>
      <c r="O583" s="66"/>
      <c r="P583" s="66"/>
      <c r="Q583" s="66"/>
      <c r="R583" s="66"/>
      <c r="S583" s="66"/>
      <c r="T583" s="66"/>
      <c r="U583" s="66"/>
      <c r="V583" s="66"/>
      <c r="W583" s="66"/>
      <c r="X583" s="66"/>
      <c r="Y583" s="66"/>
    </row>
    <row r="584">
      <c r="A584" s="71"/>
      <c r="B584" s="71"/>
      <c r="C584" s="73"/>
      <c r="D584" s="73"/>
      <c r="E584" s="75"/>
      <c r="F584" s="75"/>
      <c r="G584" s="75"/>
      <c r="H584" s="75"/>
      <c r="I584" s="29"/>
      <c r="J584" s="76"/>
      <c r="K584" s="76"/>
      <c r="L584" s="66"/>
      <c r="M584" s="66"/>
      <c r="N584" s="66"/>
      <c r="O584" s="66"/>
      <c r="P584" s="66"/>
      <c r="Q584" s="66"/>
      <c r="R584" s="66"/>
      <c r="S584" s="66"/>
      <c r="T584" s="66"/>
      <c r="U584" s="66"/>
      <c r="V584" s="66"/>
      <c r="W584" s="66"/>
      <c r="X584" s="66"/>
      <c r="Y584" s="66"/>
    </row>
    <row r="585">
      <c r="A585" s="71"/>
      <c r="B585" s="71"/>
      <c r="C585" s="73"/>
      <c r="D585" s="73"/>
      <c r="E585" s="75"/>
      <c r="F585" s="75"/>
      <c r="G585" s="75"/>
      <c r="H585" s="75"/>
      <c r="I585" s="29"/>
      <c r="J585" s="76"/>
      <c r="K585" s="76"/>
      <c r="L585" s="66"/>
      <c r="M585" s="66"/>
      <c r="N585" s="66"/>
      <c r="O585" s="66"/>
      <c r="P585" s="66"/>
      <c r="Q585" s="66"/>
      <c r="R585" s="66"/>
      <c r="S585" s="66"/>
      <c r="T585" s="66"/>
      <c r="U585" s="66"/>
      <c r="V585" s="66"/>
      <c r="W585" s="66"/>
      <c r="X585" s="66"/>
      <c r="Y585" s="66"/>
    </row>
    <row r="586">
      <c r="A586" s="71"/>
      <c r="B586" s="71"/>
      <c r="C586" s="73"/>
      <c r="D586" s="73"/>
      <c r="E586" s="75"/>
      <c r="F586" s="75"/>
      <c r="G586" s="75"/>
      <c r="H586" s="75"/>
      <c r="I586" s="29"/>
      <c r="J586" s="76"/>
      <c r="K586" s="76"/>
      <c r="L586" s="66"/>
      <c r="M586" s="66"/>
      <c r="N586" s="66"/>
      <c r="O586" s="66"/>
      <c r="P586" s="66"/>
      <c r="Q586" s="66"/>
      <c r="R586" s="66"/>
      <c r="S586" s="66"/>
      <c r="T586" s="66"/>
      <c r="U586" s="66"/>
      <c r="V586" s="66"/>
      <c r="W586" s="66"/>
      <c r="X586" s="66"/>
      <c r="Y586" s="66"/>
    </row>
    <row r="587">
      <c r="A587" s="71"/>
      <c r="B587" s="71"/>
      <c r="C587" s="73"/>
      <c r="D587" s="73"/>
      <c r="E587" s="75"/>
      <c r="F587" s="75"/>
      <c r="G587" s="75"/>
      <c r="H587" s="75"/>
      <c r="I587" s="29"/>
      <c r="J587" s="76"/>
      <c r="K587" s="76"/>
      <c r="L587" s="66"/>
      <c r="M587" s="66"/>
      <c r="N587" s="66"/>
      <c r="O587" s="66"/>
      <c r="P587" s="66"/>
      <c r="Q587" s="66"/>
      <c r="R587" s="66"/>
      <c r="S587" s="66"/>
      <c r="T587" s="66"/>
      <c r="U587" s="66"/>
      <c r="V587" s="66"/>
      <c r="W587" s="66"/>
      <c r="X587" s="66"/>
      <c r="Y587" s="66"/>
    </row>
    <row r="588">
      <c r="A588" s="71"/>
      <c r="B588" s="71"/>
      <c r="C588" s="73"/>
      <c r="D588" s="73"/>
      <c r="E588" s="75"/>
      <c r="F588" s="75"/>
      <c r="G588" s="75"/>
      <c r="H588" s="75"/>
      <c r="I588" s="29"/>
      <c r="J588" s="76"/>
      <c r="K588" s="76"/>
      <c r="L588" s="66"/>
      <c r="M588" s="66"/>
      <c r="N588" s="66"/>
      <c r="O588" s="66"/>
      <c r="P588" s="66"/>
      <c r="Q588" s="66"/>
      <c r="R588" s="66"/>
      <c r="S588" s="66"/>
      <c r="T588" s="66"/>
      <c r="U588" s="66"/>
      <c r="V588" s="66"/>
      <c r="W588" s="66"/>
      <c r="X588" s="66"/>
      <c r="Y588" s="66"/>
    </row>
    <row r="589">
      <c r="A589" s="71"/>
      <c r="B589" s="71"/>
      <c r="C589" s="73"/>
      <c r="D589" s="73"/>
      <c r="E589" s="75"/>
      <c r="F589" s="75"/>
      <c r="G589" s="75"/>
      <c r="H589" s="75"/>
      <c r="I589" s="29"/>
      <c r="J589" s="76"/>
      <c r="K589" s="76"/>
      <c r="L589" s="66"/>
      <c r="M589" s="66"/>
      <c r="N589" s="66"/>
      <c r="O589" s="66"/>
      <c r="P589" s="66"/>
      <c r="Q589" s="66"/>
      <c r="R589" s="66"/>
      <c r="S589" s="66"/>
      <c r="T589" s="66"/>
      <c r="U589" s="66"/>
      <c r="V589" s="66"/>
      <c r="W589" s="66"/>
      <c r="X589" s="66"/>
      <c r="Y589" s="66"/>
    </row>
    <row r="590">
      <c r="A590" s="71"/>
      <c r="B590" s="71"/>
      <c r="C590" s="73"/>
      <c r="D590" s="73"/>
      <c r="E590" s="75"/>
      <c r="F590" s="75"/>
      <c r="G590" s="75"/>
      <c r="H590" s="75"/>
      <c r="I590" s="29"/>
      <c r="J590" s="76"/>
      <c r="K590" s="76"/>
      <c r="L590" s="66"/>
      <c r="M590" s="66"/>
      <c r="N590" s="66"/>
      <c r="O590" s="66"/>
      <c r="P590" s="66"/>
      <c r="Q590" s="66"/>
      <c r="R590" s="66"/>
      <c r="S590" s="66"/>
      <c r="T590" s="66"/>
      <c r="U590" s="66"/>
      <c r="V590" s="66"/>
      <c r="W590" s="66"/>
      <c r="X590" s="66"/>
      <c r="Y590" s="66"/>
    </row>
    <row r="591">
      <c r="A591" s="71"/>
      <c r="B591" s="71"/>
      <c r="C591" s="73"/>
      <c r="D591" s="73"/>
      <c r="E591" s="75"/>
      <c r="F591" s="75"/>
      <c r="G591" s="75"/>
      <c r="H591" s="75"/>
      <c r="I591" s="29"/>
      <c r="J591" s="76"/>
      <c r="K591" s="76"/>
      <c r="L591" s="66"/>
      <c r="M591" s="66"/>
      <c r="N591" s="66"/>
      <c r="O591" s="66"/>
      <c r="P591" s="66"/>
      <c r="Q591" s="66"/>
      <c r="R591" s="66"/>
      <c r="S591" s="66"/>
      <c r="T591" s="66"/>
      <c r="U591" s="66"/>
      <c r="V591" s="66"/>
      <c r="W591" s="66"/>
      <c r="X591" s="66"/>
      <c r="Y591" s="66"/>
    </row>
    <row r="592">
      <c r="A592" s="71"/>
      <c r="B592" s="71"/>
      <c r="C592" s="73"/>
      <c r="D592" s="73"/>
      <c r="E592" s="75"/>
      <c r="F592" s="75"/>
      <c r="G592" s="75"/>
      <c r="H592" s="75"/>
      <c r="I592" s="29"/>
      <c r="J592" s="76"/>
      <c r="K592" s="76"/>
      <c r="L592" s="66"/>
      <c r="M592" s="66"/>
      <c r="N592" s="66"/>
      <c r="O592" s="66"/>
      <c r="P592" s="66"/>
      <c r="Q592" s="66"/>
      <c r="R592" s="66"/>
      <c r="S592" s="66"/>
      <c r="T592" s="66"/>
      <c r="U592" s="66"/>
      <c r="V592" s="66"/>
      <c r="W592" s="66"/>
      <c r="X592" s="66"/>
      <c r="Y592" s="66"/>
    </row>
    <row r="593">
      <c r="A593" s="71"/>
      <c r="B593" s="71"/>
      <c r="C593" s="73"/>
      <c r="D593" s="73"/>
      <c r="E593" s="75"/>
      <c r="F593" s="75"/>
      <c r="G593" s="75"/>
      <c r="H593" s="75"/>
      <c r="I593" s="29"/>
      <c r="J593" s="76"/>
      <c r="K593" s="76"/>
      <c r="L593" s="66"/>
      <c r="M593" s="66"/>
      <c r="N593" s="66"/>
      <c r="O593" s="66"/>
      <c r="P593" s="66"/>
      <c r="Q593" s="66"/>
      <c r="R593" s="66"/>
      <c r="S593" s="66"/>
      <c r="T593" s="66"/>
      <c r="U593" s="66"/>
      <c r="V593" s="66"/>
      <c r="W593" s="66"/>
      <c r="X593" s="66"/>
      <c r="Y593" s="66"/>
    </row>
    <row r="594">
      <c r="A594" s="71"/>
      <c r="B594" s="71"/>
      <c r="C594" s="73"/>
      <c r="D594" s="73"/>
      <c r="E594" s="75"/>
      <c r="F594" s="75"/>
      <c r="G594" s="75"/>
      <c r="H594" s="75"/>
      <c r="I594" s="29"/>
      <c r="J594" s="76"/>
      <c r="K594" s="76"/>
      <c r="L594" s="66"/>
      <c r="M594" s="66"/>
      <c r="N594" s="66"/>
      <c r="O594" s="66"/>
      <c r="P594" s="66"/>
      <c r="Q594" s="66"/>
      <c r="R594" s="66"/>
      <c r="S594" s="66"/>
      <c r="T594" s="66"/>
      <c r="U594" s="66"/>
      <c r="V594" s="66"/>
      <c r="W594" s="66"/>
      <c r="X594" s="66"/>
      <c r="Y594" s="66"/>
    </row>
    <row r="595">
      <c r="A595" s="71"/>
      <c r="B595" s="71"/>
      <c r="C595" s="73"/>
      <c r="D595" s="73"/>
      <c r="E595" s="75"/>
      <c r="F595" s="75"/>
      <c r="G595" s="75"/>
      <c r="H595" s="75"/>
      <c r="I595" s="29"/>
      <c r="J595" s="76"/>
      <c r="K595" s="76"/>
      <c r="L595" s="66"/>
      <c r="M595" s="66"/>
      <c r="N595" s="66"/>
      <c r="O595" s="66"/>
      <c r="P595" s="66"/>
      <c r="Q595" s="66"/>
      <c r="R595" s="66"/>
      <c r="S595" s="66"/>
      <c r="T595" s="66"/>
      <c r="U595" s="66"/>
      <c r="V595" s="66"/>
      <c r="W595" s="66"/>
      <c r="X595" s="66"/>
      <c r="Y595" s="66"/>
    </row>
    <row r="596">
      <c r="A596" s="71"/>
      <c r="B596" s="71"/>
      <c r="C596" s="73"/>
      <c r="D596" s="73"/>
      <c r="E596" s="75"/>
      <c r="F596" s="75"/>
      <c r="G596" s="75"/>
      <c r="H596" s="75"/>
      <c r="I596" s="29"/>
      <c r="J596" s="76"/>
      <c r="K596" s="76"/>
      <c r="L596" s="66"/>
      <c r="M596" s="66"/>
      <c r="N596" s="66"/>
      <c r="O596" s="66"/>
      <c r="P596" s="66"/>
      <c r="Q596" s="66"/>
      <c r="R596" s="66"/>
      <c r="S596" s="66"/>
      <c r="T596" s="66"/>
      <c r="U596" s="66"/>
      <c r="V596" s="66"/>
      <c r="W596" s="66"/>
      <c r="X596" s="66"/>
      <c r="Y596" s="66"/>
    </row>
    <row r="597">
      <c r="A597" s="71"/>
      <c r="B597" s="71"/>
      <c r="C597" s="73"/>
      <c r="D597" s="73"/>
      <c r="E597" s="75"/>
      <c r="F597" s="75"/>
      <c r="G597" s="75"/>
      <c r="H597" s="75"/>
      <c r="I597" s="29"/>
      <c r="J597" s="76"/>
      <c r="K597" s="76"/>
      <c r="L597" s="66"/>
      <c r="M597" s="66"/>
      <c r="N597" s="66"/>
      <c r="O597" s="66"/>
      <c r="P597" s="66"/>
      <c r="Q597" s="66"/>
      <c r="R597" s="66"/>
      <c r="S597" s="66"/>
      <c r="T597" s="66"/>
      <c r="U597" s="66"/>
      <c r="V597" s="66"/>
      <c r="W597" s="66"/>
      <c r="X597" s="66"/>
      <c r="Y597" s="66"/>
    </row>
    <row r="598">
      <c r="A598" s="71"/>
      <c r="B598" s="71"/>
      <c r="C598" s="73"/>
      <c r="D598" s="73"/>
      <c r="E598" s="75"/>
      <c r="F598" s="75"/>
      <c r="G598" s="75"/>
      <c r="H598" s="75"/>
      <c r="I598" s="29"/>
      <c r="J598" s="76"/>
      <c r="K598" s="76"/>
      <c r="L598" s="66"/>
      <c r="M598" s="66"/>
      <c r="N598" s="66"/>
      <c r="O598" s="66"/>
      <c r="P598" s="66"/>
      <c r="Q598" s="66"/>
      <c r="R598" s="66"/>
      <c r="S598" s="66"/>
      <c r="T598" s="66"/>
      <c r="U598" s="66"/>
      <c r="V598" s="66"/>
      <c r="W598" s="66"/>
      <c r="X598" s="66"/>
      <c r="Y598" s="66"/>
    </row>
    <row r="599">
      <c r="A599" s="71"/>
      <c r="B599" s="71"/>
      <c r="C599" s="73"/>
      <c r="D599" s="73"/>
      <c r="E599" s="75"/>
      <c r="F599" s="75"/>
      <c r="G599" s="75"/>
      <c r="H599" s="75"/>
      <c r="I599" s="29"/>
      <c r="J599" s="76"/>
      <c r="K599" s="76"/>
      <c r="L599" s="66"/>
      <c r="M599" s="66"/>
      <c r="N599" s="66"/>
      <c r="O599" s="66"/>
      <c r="P599" s="66"/>
      <c r="Q599" s="66"/>
      <c r="R599" s="66"/>
      <c r="S599" s="66"/>
      <c r="T599" s="66"/>
      <c r="U599" s="66"/>
      <c r="V599" s="66"/>
      <c r="W599" s="66"/>
      <c r="X599" s="66"/>
      <c r="Y599" s="66"/>
    </row>
    <row r="600">
      <c r="A600" s="71"/>
      <c r="B600" s="71"/>
      <c r="C600" s="73"/>
      <c r="D600" s="73"/>
      <c r="E600" s="75"/>
      <c r="F600" s="75"/>
      <c r="G600" s="75"/>
      <c r="H600" s="75"/>
      <c r="I600" s="29"/>
      <c r="J600" s="76"/>
      <c r="K600" s="76"/>
      <c r="L600" s="66"/>
      <c r="M600" s="66"/>
      <c r="N600" s="66"/>
      <c r="O600" s="66"/>
      <c r="P600" s="66"/>
      <c r="Q600" s="66"/>
      <c r="R600" s="66"/>
      <c r="S600" s="66"/>
      <c r="T600" s="66"/>
      <c r="U600" s="66"/>
      <c r="V600" s="66"/>
      <c r="W600" s="66"/>
      <c r="X600" s="66"/>
      <c r="Y600" s="66"/>
    </row>
    <row r="601">
      <c r="A601" s="71"/>
      <c r="B601" s="71"/>
      <c r="C601" s="73"/>
      <c r="D601" s="73"/>
      <c r="E601" s="75"/>
      <c r="F601" s="75"/>
      <c r="G601" s="75"/>
      <c r="H601" s="75"/>
      <c r="I601" s="29"/>
      <c r="J601" s="76"/>
      <c r="K601" s="76"/>
      <c r="L601" s="66"/>
      <c r="M601" s="66"/>
      <c r="N601" s="66"/>
      <c r="O601" s="66"/>
      <c r="P601" s="66"/>
      <c r="Q601" s="66"/>
      <c r="R601" s="66"/>
      <c r="S601" s="66"/>
      <c r="T601" s="66"/>
      <c r="U601" s="66"/>
      <c r="V601" s="66"/>
      <c r="W601" s="66"/>
      <c r="X601" s="66"/>
      <c r="Y601" s="66"/>
    </row>
    <row r="602">
      <c r="A602" s="71"/>
      <c r="B602" s="71"/>
      <c r="C602" s="73"/>
      <c r="D602" s="73"/>
      <c r="E602" s="75"/>
      <c r="F602" s="75"/>
      <c r="G602" s="75"/>
      <c r="H602" s="75"/>
      <c r="I602" s="29"/>
      <c r="J602" s="76"/>
      <c r="K602" s="76"/>
      <c r="L602" s="66"/>
      <c r="M602" s="66"/>
      <c r="N602" s="66"/>
      <c r="O602" s="66"/>
      <c r="P602" s="66"/>
      <c r="Q602" s="66"/>
      <c r="R602" s="66"/>
      <c r="S602" s="66"/>
      <c r="T602" s="66"/>
      <c r="U602" s="66"/>
      <c r="V602" s="66"/>
      <c r="W602" s="66"/>
      <c r="X602" s="66"/>
      <c r="Y602" s="66"/>
    </row>
    <row r="603">
      <c r="A603" s="71"/>
      <c r="B603" s="71"/>
      <c r="C603" s="73"/>
      <c r="D603" s="73"/>
      <c r="E603" s="75"/>
      <c r="F603" s="75"/>
      <c r="G603" s="75"/>
      <c r="H603" s="75"/>
      <c r="I603" s="29"/>
      <c r="J603" s="76"/>
      <c r="K603" s="76"/>
      <c r="L603" s="66"/>
      <c r="M603" s="66"/>
      <c r="N603" s="66"/>
      <c r="O603" s="66"/>
      <c r="P603" s="66"/>
      <c r="Q603" s="66"/>
      <c r="R603" s="66"/>
      <c r="S603" s="66"/>
      <c r="T603" s="66"/>
      <c r="U603" s="66"/>
      <c r="V603" s="66"/>
      <c r="W603" s="66"/>
      <c r="X603" s="66"/>
      <c r="Y603" s="66"/>
    </row>
    <row r="604">
      <c r="A604" s="71"/>
      <c r="B604" s="71"/>
      <c r="C604" s="73"/>
      <c r="D604" s="73"/>
      <c r="E604" s="75"/>
      <c r="F604" s="75"/>
      <c r="G604" s="75"/>
      <c r="H604" s="75"/>
      <c r="I604" s="29"/>
      <c r="J604" s="76"/>
      <c r="K604" s="76"/>
      <c r="L604" s="66"/>
      <c r="M604" s="66"/>
      <c r="N604" s="66"/>
      <c r="O604" s="66"/>
      <c r="P604" s="66"/>
      <c r="Q604" s="66"/>
      <c r="R604" s="66"/>
      <c r="S604" s="66"/>
      <c r="T604" s="66"/>
      <c r="U604" s="66"/>
      <c r="V604" s="66"/>
      <c r="W604" s="66"/>
      <c r="X604" s="66"/>
      <c r="Y604" s="66"/>
    </row>
    <row r="605">
      <c r="A605" s="71"/>
      <c r="B605" s="71"/>
      <c r="C605" s="73"/>
      <c r="D605" s="73"/>
      <c r="E605" s="75"/>
      <c r="F605" s="75"/>
      <c r="G605" s="75"/>
      <c r="H605" s="75"/>
      <c r="I605" s="29"/>
      <c r="J605" s="76"/>
      <c r="K605" s="76"/>
      <c r="L605" s="66"/>
      <c r="M605" s="66"/>
      <c r="N605" s="66"/>
      <c r="O605" s="66"/>
      <c r="P605" s="66"/>
      <c r="Q605" s="66"/>
      <c r="R605" s="66"/>
      <c r="S605" s="66"/>
      <c r="T605" s="66"/>
      <c r="U605" s="66"/>
      <c r="V605" s="66"/>
      <c r="W605" s="66"/>
      <c r="X605" s="66"/>
      <c r="Y605" s="66"/>
    </row>
    <row r="606">
      <c r="A606" s="71"/>
      <c r="B606" s="71"/>
      <c r="C606" s="73"/>
      <c r="D606" s="73"/>
      <c r="E606" s="75"/>
      <c r="F606" s="75"/>
      <c r="G606" s="75"/>
      <c r="H606" s="75"/>
      <c r="I606" s="29"/>
      <c r="J606" s="76"/>
      <c r="K606" s="76"/>
      <c r="L606" s="66"/>
      <c r="M606" s="66"/>
      <c r="N606" s="66"/>
      <c r="O606" s="66"/>
      <c r="P606" s="66"/>
      <c r="Q606" s="66"/>
      <c r="R606" s="66"/>
      <c r="S606" s="66"/>
      <c r="T606" s="66"/>
      <c r="U606" s="66"/>
      <c r="V606" s="66"/>
      <c r="W606" s="66"/>
      <c r="X606" s="66"/>
      <c r="Y606" s="66"/>
    </row>
    <row r="607">
      <c r="A607" s="71"/>
      <c r="B607" s="71"/>
      <c r="C607" s="73"/>
      <c r="D607" s="73"/>
      <c r="E607" s="75"/>
      <c r="F607" s="75"/>
      <c r="G607" s="75"/>
      <c r="H607" s="75"/>
      <c r="I607" s="29"/>
      <c r="J607" s="76"/>
      <c r="K607" s="76"/>
      <c r="L607" s="66"/>
      <c r="M607" s="66"/>
      <c r="N607" s="66"/>
      <c r="O607" s="66"/>
      <c r="P607" s="66"/>
      <c r="Q607" s="66"/>
      <c r="R607" s="66"/>
      <c r="S607" s="66"/>
      <c r="T607" s="66"/>
      <c r="U607" s="66"/>
      <c r="V607" s="66"/>
      <c r="W607" s="66"/>
      <c r="X607" s="66"/>
      <c r="Y607" s="66"/>
    </row>
    <row r="608">
      <c r="A608" s="71"/>
      <c r="B608" s="71"/>
      <c r="C608" s="73"/>
      <c r="D608" s="73"/>
      <c r="E608" s="75"/>
      <c r="F608" s="75"/>
      <c r="G608" s="75"/>
      <c r="H608" s="75"/>
      <c r="I608" s="29"/>
      <c r="J608" s="76"/>
      <c r="K608" s="76"/>
      <c r="L608" s="66"/>
      <c r="M608" s="66"/>
      <c r="N608" s="66"/>
      <c r="O608" s="66"/>
      <c r="P608" s="66"/>
      <c r="Q608" s="66"/>
      <c r="R608" s="66"/>
      <c r="S608" s="66"/>
      <c r="T608" s="66"/>
      <c r="U608" s="66"/>
      <c r="V608" s="66"/>
      <c r="W608" s="66"/>
      <c r="X608" s="66"/>
      <c r="Y608" s="66"/>
    </row>
    <row r="609">
      <c r="A609" s="71"/>
      <c r="B609" s="71"/>
      <c r="C609" s="73"/>
      <c r="D609" s="73"/>
      <c r="E609" s="75"/>
      <c r="F609" s="75"/>
      <c r="G609" s="75"/>
      <c r="H609" s="75"/>
      <c r="I609" s="29"/>
      <c r="J609" s="76"/>
      <c r="K609" s="76"/>
      <c r="L609" s="66"/>
      <c r="M609" s="66"/>
      <c r="N609" s="66"/>
      <c r="O609" s="66"/>
      <c r="P609" s="66"/>
      <c r="Q609" s="66"/>
      <c r="R609" s="66"/>
      <c r="S609" s="66"/>
      <c r="T609" s="66"/>
      <c r="U609" s="66"/>
      <c r="V609" s="66"/>
      <c r="W609" s="66"/>
      <c r="X609" s="66"/>
      <c r="Y609" s="66"/>
    </row>
    <row r="610">
      <c r="A610" s="71"/>
      <c r="B610" s="71"/>
      <c r="C610" s="73"/>
      <c r="D610" s="73"/>
      <c r="E610" s="75"/>
      <c r="F610" s="75"/>
      <c r="G610" s="75"/>
      <c r="H610" s="75"/>
      <c r="I610" s="29"/>
      <c r="J610" s="76"/>
      <c r="K610" s="76"/>
      <c r="L610" s="66"/>
      <c r="M610" s="66"/>
      <c r="N610" s="66"/>
      <c r="O610" s="66"/>
      <c r="P610" s="66"/>
      <c r="Q610" s="66"/>
      <c r="R610" s="66"/>
      <c r="S610" s="66"/>
      <c r="T610" s="66"/>
      <c r="U610" s="66"/>
      <c r="V610" s="66"/>
      <c r="W610" s="66"/>
      <c r="X610" s="66"/>
      <c r="Y610" s="66"/>
    </row>
    <row r="611">
      <c r="A611" s="71"/>
      <c r="B611" s="71"/>
      <c r="C611" s="73"/>
      <c r="D611" s="73"/>
      <c r="E611" s="75"/>
      <c r="F611" s="75"/>
      <c r="G611" s="75"/>
      <c r="H611" s="75"/>
      <c r="I611" s="29"/>
      <c r="J611" s="76"/>
      <c r="K611" s="76"/>
      <c r="L611" s="66"/>
      <c r="M611" s="66"/>
      <c r="N611" s="66"/>
      <c r="O611" s="66"/>
      <c r="P611" s="66"/>
      <c r="Q611" s="66"/>
      <c r="R611" s="66"/>
      <c r="S611" s="66"/>
      <c r="T611" s="66"/>
      <c r="U611" s="66"/>
      <c r="V611" s="66"/>
      <c r="W611" s="66"/>
      <c r="X611" s="66"/>
      <c r="Y611" s="66"/>
    </row>
    <row r="612">
      <c r="A612" s="71"/>
      <c r="B612" s="71"/>
      <c r="C612" s="73"/>
      <c r="D612" s="73"/>
      <c r="E612" s="75"/>
      <c r="F612" s="75"/>
      <c r="G612" s="75"/>
      <c r="H612" s="75"/>
      <c r="I612" s="29"/>
      <c r="J612" s="76"/>
      <c r="K612" s="76"/>
      <c r="L612" s="66"/>
      <c r="M612" s="66"/>
      <c r="N612" s="66"/>
      <c r="O612" s="66"/>
      <c r="P612" s="66"/>
      <c r="Q612" s="66"/>
      <c r="R612" s="66"/>
      <c r="S612" s="66"/>
      <c r="T612" s="66"/>
      <c r="U612" s="66"/>
      <c r="V612" s="66"/>
      <c r="W612" s="66"/>
      <c r="X612" s="66"/>
      <c r="Y612" s="66"/>
    </row>
    <row r="613">
      <c r="A613" s="71"/>
      <c r="B613" s="71"/>
      <c r="C613" s="73"/>
      <c r="D613" s="73"/>
      <c r="E613" s="75"/>
      <c r="F613" s="75"/>
      <c r="G613" s="75"/>
      <c r="H613" s="75"/>
      <c r="I613" s="29"/>
      <c r="J613" s="76"/>
      <c r="K613" s="76"/>
      <c r="L613" s="66"/>
      <c r="M613" s="66"/>
      <c r="N613" s="66"/>
      <c r="O613" s="66"/>
      <c r="P613" s="66"/>
      <c r="Q613" s="66"/>
      <c r="R613" s="66"/>
      <c r="S613" s="66"/>
      <c r="T613" s="66"/>
      <c r="U613" s="66"/>
      <c r="V613" s="66"/>
      <c r="W613" s="66"/>
      <c r="X613" s="66"/>
      <c r="Y613" s="66"/>
    </row>
    <row r="614">
      <c r="A614" s="71"/>
      <c r="B614" s="71"/>
      <c r="C614" s="73"/>
      <c r="D614" s="73"/>
      <c r="E614" s="75"/>
      <c r="F614" s="75"/>
      <c r="G614" s="75"/>
      <c r="H614" s="75"/>
      <c r="I614" s="29"/>
      <c r="J614" s="76"/>
      <c r="K614" s="76"/>
      <c r="L614" s="66"/>
      <c r="M614" s="66"/>
      <c r="N614" s="66"/>
      <c r="O614" s="66"/>
      <c r="P614" s="66"/>
      <c r="Q614" s="66"/>
      <c r="R614" s="66"/>
      <c r="S614" s="66"/>
      <c r="T614" s="66"/>
      <c r="U614" s="66"/>
      <c r="V614" s="66"/>
      <c r="W614" s="66"/>
      <c r="X614" s="66"/>
      <c r="Y614" s="66"/>
    </row>
    <row r="615">
      <c r="A615" s="71"/>
      <c r="B615" s="71"/>
      <c r="C615" s="73"/>
      <c r="D615" s="73"/>
      <c r="E615" s="75"/>
      <c r="F615" s="75"/>
      <c r="G615" s="75"/>
      <c r="H615" s="75"/>
      <c r="I615" s="29"/>
      <c r="J615" s="76"/>
      <c r="K615" s="76"/>
      <c r="L615" s="66"/>
      <c r="M615" s="66"/>
      <c r="N615" s="66"/>
      <c r="O615" s="66"/>
      <c r="P615" s="66"/>
      <c r="Q615" s="66"/>
      <c r="R615" s="66"/>
      <c r="S615" s="66"/>
      <c r="T615" s="66"/>
      <c r="U615" s="66"/>
      <c r="V615" s="66"/>
      <c r="W615" s="66"/>
      <c r="X615" s="66"/>
      <c r="Y615" s="66"/>
    </row>
    <row r="616">
      <c r="A616" s="71"/>
      <c r="B616" s="71"/>
      <c r="C616" s="73"/>
      <c r="D616" s="73"/>
      <c r="E616" s="75"/>
      <c r="F616" s="75"/>
      <c r="G616" s="75"/>
      <c r="H616" s="75"/>
      <c r="I616" s="29"/>
      <c r="J616" s="76"/>
      <c r="K616" s="76"/>
      <c r="L616" s="66"/>
      <c r="M616" s="66"/>
      <c r="N616" s="66"/>
      <c r="O616" s="66"/>
      <c r="P616" s="66"/>
      <c r="Q616" s="66"/>
      <c r="R616" s="66"/>
      <c r="S616" s="66"/>
      <c r="T616" s="66"/>
      <c r="U616" s="66"/>
      <c r="V616" s="66"/>
      <c r="W616" s="66"/>
      <c r="X616" s="66"/>
      <c r="Y616" s="66"/>
    </row>
    <row r="617">
      <c r="A617" s="71"/>
      <c r="B617" s="71"/>
      <c r="C617" s="73"/>
      <c r="D617" s="73"/>
      <c r="E617" s="75"/>
      <c r="F617" s="75"/>
      <c r="G617" s="75"/>
      <c r="H617" s="75"/>
      <c r="I617" s="29"/>
      <c r="J617" s="76"/>
      <c r="K617" s="76"/>
      <c r="L617" s="66"/>
      <c r="M617" s="66"/>
      <c r="N617" s="66"/>
      <c r="O617" s="66"/>
      <c r="P617" s="66"/>
      <c r="Q617" s="66"/>
      <c r="R617" s="66"/>
      <c r="S617" s="66"/>
      <c r="T617" s="66"/>
      <c r="U617" s="66"/>
      <c r="V617" s="66"/>
      <c r="W617" s="66"/>
      <c r="X617" s="66"/>
      <c r="Y617" s="66"/>
    </row>
    <row r="618">
      <c r="A618" s="71"/>
      <c r="B618" s="71"/>
      <c r="C618" s="73"/>
      <c r="D618" s="73"/>
      <c r="E618" s="75"/>
      <c r="F618" s="75"/>
      <c r="G618" s="75"/>
      <c r="H618" s="75"/>
      <c r="I618" s="29"/>
      <c r="J618" s="76"/>
      <c r="K618" s="76"/>
      <c r="L618" s="66"/>
      <c r="M618" s="66"/>
      <c r="N618" s="66"/>
      <c r="O618" s="66"/>
      <c r="P618" s="66"/>
      <c r="Q618" s="66"/>
      <c r="R618" s="66"/>
      <c r="S618" s="66"/>
      <c r="T618" s="66"/>
      <c r="U618" s="66"/>
      <c r="V618" s="66"/>
      <c r="W618" s="66"/>
      <c r="X618" s="66"/>
      <c r="Y618" s="66"/>
    </row>
    <row r="619">
      <c r="A619" s="71"/>
      <c r="B619" s="71"/>
      <c r="C619" s="73"/>
      <c r="D619" s="73"/>
      <c r="E619" s="75"/>
      <c r="F619" s="75"/>
      <c r="G619" s="75"/>
      <c r="H619" s="75"/>
      <c r="I619" s="29"/>
      <c r="J619" s="76"/>
      <c r="K619" s="76"/>
      <c r="L619" s="66"/>
      <c r="M619" s="66"/>
      <c r="N619" s="66"/>
      <c r="O619" s="66"/>
      <c r="P619" s="66"/>
      <c r="Q619" s="66"/>
      <c r="R619" s="66"/>
      <c r="S619" s="66"/>
      <c r="T619" s="66"/>
      <c r="U619" s="66"/>
      <c r="V619" s="66"/>
      <c r="W619" s="66"/>
      <c r="X619" s="66"/>
      <c r="Y619" s="66"/>
    </row>
    <row r="620">
      <c r="A620" s="71"/>
      <c r="B620" s="71"/>
      <c r="C620" s="73"/>
      <c r="D620" s="73"/>
      <c r="E620" s="75"/>
      <c r="F620" s="75"/>
      <c r="G620" s="75"/>
      <c r="H620" s="75"/>
      <c r="I620" s="29"/>
      <c r="J620" s="76"/>
      <c r="K620" s="76"/>
      <c r="L620" s="66"/>
      <c r="M620" s="66"/>
      <c r="N620" s="66"/>
      <c r="O620" s="66"/>
      <c r="P620" s="66"/>
      <c r="Q620" s="66"/>
      <c r="R620" s="66"/>
      <c r="S620" s="66"/>
      <c r="T620" s="66"/>
      <c r="U620" s="66"/>
      <c r="V620" s="66"/>
      <c r="W620" s="66"/>
      <c r="X620" s="66"/>
      <c r="Y620" s="66"/>
    </row>
    <row r="621">
      <c r="A621" s="71"/>
      <c r="B621" s="71"/>
      <c r="C621" s="73"/>
      <c r="D621" s="73"/>
      <c r="E621" s="75"/>
      <c r="F621" s="75"/>
      <c r="G621" s="75"/>
      <c r="H621" s="75"/>
      <c r="I621" s="29"/>
      <c r="J621" s="76"/>
      <c r="K621" s="76"/>
      <c r="L621" s="66"/>
      <c r="M621" s="66"/>
      <c r="N621" s="66"/>
      <c r="O621" s="66"/>
      <c r="P621" s="66"/>
      <c r="Q621" s="66"/>
      <c r="R621" s="66"/>
      <c r="S621" s="66"/>
      <c r="T621" s="66"/>
      <c r="U621" s="66"/>
      <c r="V621" s="66"/>
      <c r="W621" s="66"/>
      <c r="X621" s="66"/>
      <c r="Y621" s="66"/>
    </row>
    <row r="622">
      <c r="A622" s="71"/>
      <c r="B622" s="71"/>
      <c r="C622" s="73"/>
      <c r="D622" s="73"/>
      <c r="E622" s="75"/>
      <c r="F622" s="75"/>
      <c r="G622" s="75"/>
      <c r="H622" s="75"/>
      <c r="I622" s="29"/>
      <c r="J622" s="76"/>
      <c r="K622" s="76"/>
      <c r="L622" s="66"/>
      <c r="M622" s="66"/>
      <c r="N622" s="66"/>
      <c r="O622" s="66"/>
      <c r="P622" s="66"/>
      <c r="Q622" s="66"/>
      <c r="R622" s="66"/>
      <c r="S622" s="66"/>
      <c r="T622" s="66"/>
      <c r="U622" s="66"/>
      <c r="V622" s="66"/>
      <c r="W622" s="66"/>
      <c r="X622" s="66"/>
      <c r="Y622" s="66"/>
    </row>
    <row r="623">
      <c r="A623" s="71"/>
      <c r="B623" s="71"/>
      <c r="C623" s="73"/>
      <c r="D623" s="73"/>
      <c r="E623" s="75"/>
      <c r="F623" s="75"/>
      <c r="G623" s="75"/>
      <c r="H623" s="75"/>
      <c r="I623" s="29"/>
      <c r="J623" s="76"/>
      <c r="K623" s="76"/>
      <c r="L623" s="66"/>
      <c r="M623" s="66"/>
      <c r="N623" s="66"/>
      <c r="O623" s="66"/>
      <c r="P623" s="66"/>
      <c r="Q623" s="66"/>
      <c r="R623" s="66"/>
      <c r="S623" s="66"/>
      <c r="T623" s="66"/>
      <c r="U623" s="66"/>
      <c r="V623" s="66"/>
      <c r="W623" s="66"/>
      <c r="X623" s="66"/>
      <c r="Y623" s="66"/>
    </row>
    <row r="624">
      <c r="A624" s="71"/>
      <c r="B624" s="71"/>
      <c r="C624" s="73"/>
      <c r="D624" s="73"/>
      <c r="E624" s="75"/>
      <c r="F624" s="75"/>
      <c r="G624" s="75"/>
      <c r="H624" s="75"/>
      <c r="I624" s="29"/>
      <c r="J624" s="76"/>
      <c r="K624" s="76"/>
      <c r="L624" s="66"/>
      <c r="M624" s="66"/>
      <c r="N624" s="66"/>
      <c r="O624" s="66"/>
      <c r="P624" s="66"/>
      <c r="Q624" s="66"/>
      <c r="R624" s="66"/>
      <c r="S624" s="66"/>
      <c r="T624" s="66"/>
      <c r="U624" s="66"/>
      <c r="V624" s="66"/>
      <c r="W624" s="66"/>
      <c r="X624" s="66"/>
      <c r="Y624" s="66"/>
    </row>
    <row r="625">
      <c r="A625" s="71"/>
      <c r="B625" s="71"/>
      <c r="C625" s="73"/>
      <c r="D625" s="73"/>
      <c r="E625" s="75"/>
      <c r="F625" s="75"/>
      <c r="G625" s="75"/>
      <c r="H625" s="75"/>
      <c r="I625" s="29"/>
      <c r="J625" s="76"/>
      <c r="K625" s="76"/>
      <c r="L625" s="66"/>
      <c r="M625" s="66"/>
      <c r="N625" s="66"/>
      <c r="O625" s="66"/>
      <c r="P625" s="66"/>
      <c r="Q625" s="66"/>
      <c r="R625" s="66"/>
      <c r="S625" s="66"/>
      <c r="T625" s="66"/>
      <c r="U625" s="66"/>
      <c r="V625" s="66"/>
      <c r="W625" s="66"/>
      <c r="X625" s="66"/>
      <c r="Y625" s="66"/>
    </row>
    <row r="626">
      <c r="A626" s="71"/>
      <c r="B626" s="71"/>
      <c r="C626" s="73"/>
      <c r="D626" s="73"/>
      <c r="E626" s="75"/>
      <c r="F626" s="75"/>
      <c r="G626" s="75"/>
      <c r="H626" s="75"/>
      <c r="I626" s="29"/>
      <c r="J626" s="76"/>
      <c r="K626" s="76"/>
      <c r="L626" s="66"/>
      <c r="M626" s="66"/>
      <c r="N626" s="66"/>
      <c r="O626" s="66"/>
      <c r="P626" s="66"/>
      <c r="Q626" s="66"/>
      <c r="R626" s="66"/>
      <c r="S626" s="66"/>
      <c r="T626" s="66"/>
      <c r="U626" s="66"/>
      <c r="V626" s="66"/>
      <c r="W626" s="66"/>
      <c r="X626" s="66"/>
      <c r="Y626" s="66"/>
    </row>
    <row r="627">
      <c r="A627" s="71"/>
      <c r="B627" s="71"/>
      <c r="C627" s="73"/>
      <c r="D627" s="73"/>
      <c r="E627" s="75"/>
      <c r="F627" s="75"/>
      <c r="G627" s="75"/>
      <c r="H627" s="75"/>
      <c r="I627" s="29"/>
      <c r="J627" s="76"/>
      <c r="K627" s="76"/>
      <c r="L627" s="66"/>
      <c r="M627" s="66"/>
      <c r="N627" s="66"/>
      <c r="O627" s="66"/>
      <c r="P627" s="66"/>
      <c r="Q627" s="66"/>
      <c r="R627" s="66"/>
      <c r="S627" s="66"/>
      <c r="T627" s="66"/>
      <c r="U627" s="66"/>
      <c r="V627" s="66"/>
      <c r="W627" s="66"/>
      <c r="X627" s="66"/>
      <c r="Y627" s="66"/>
    </row>
    <row r="628">
      <c r="A628" s="71"/>
      <c r="B628" s="71"/>
      <c r="C628" s="73"/>
      <c r="D628" s="73"/>
      <c r="E628" s="75"/>
      <c r="F628" s="75"/>
      <c r="G628" s="75"/>
      <c r="H628" s="75"/>
      <c r="I628" s="29"/>
      <c r="J628" s="76"/>
      <c r="K628" s="76"/>
      <c r="L628" s="66"/>
      <c r="M628" s="66"/>
      <c r="N628" s="66"/>
      <c r="O628" s="66"/>
      <c r="P628" s="66"/>
      <c r="Q628" s="66"/>
      <c r="R628" s="66"/>
      <c r="S628" s="66"/>
      <c r="T628" s="66"/>
      <c r="U628" s="66"/>
      <c r="V628" s="66"/>
      <c r="W628" s="66"/>
      <c r="X628" s="66"/>
      <c r="Y628" s="66"/>
    </row>
    <row r="629">
      <c r="A629" s="71"/>
      <c r="B629" s="71"/>
      <c r="C629" s="73"/>
      <c r="D629" s="73"/>
      <c r="E629" s="75"/>
      <c r="F629" s="75"/>
      <c r="G629" s="75"/>
      <c r="H629" s="75"/>
      <c r="I629" s="29"/>
      <c r="J629" s="76"/>
      <c r="K629" s="76"/>
      <c r="L629" s="66"/>
      <c r="M629" s="66"/>
      <c r="N629" s="66"/>
      <c r="O629" s="66"/>
      <c r="P629" s="66"/>
      <c r="Q629" s="66"/>
      <c r="R629" s="66"/>
      <c r="S629" s="66"/>
      <c r="T629" s="66"/>
      <c r="U629" s="66"/>
      <c r="V629" s="66"/>
      <c r="W629" s="66"/>
      <c r="X629" s="66"/>
      <c r="Y629" s="66"/>
    </row>
    <row r="630">
      <c r="A630" s="71"/>
      <c r="B630" s="71"/>
      <c r="C630" s="73"/>
      <c r="D630" s="73"/>
      <c r="E630" s="75"/>
      <c r="F630" s="75"/>
      <c r="G630" s="75"/>
      <c r="H630" s="75"/>
      <c r="I630" s="29"/>
      <c r="J630" s="76"/>
      <c r="K630" s="76"/>
      <c r="L630" s="66"/>
      <c r="M630" s="66"/>
      <c r="N630" s="66"/>
      <c r="O630" s="66"/>
      <c r="P630" s="66"/>
      <c r="Q630" s="66"/>
      <c r="R630" s="66"/>
      <c r="S630" s="66"/>
      <c r="T630" s="66"/>
      <c r="U630" s="66"/>
      <c r="V630" s="66"/>
      <c r="W630" s="66"/>
      <c r="X630" s="66"/>
      <c r="Y630" s="66"/>
    </row>
    <row r="631">
      <c r="A631" s="71"/>
      <c r="B631" s="71"/>
      <c r="C631" s="73"/>
      <c r="D631" s="73"/>
      <c r="E631" s="75"/>
      <c r="F631" s="75"/>
      <c r="G631" s="75"/>
      <c r="H631" s="75"/>
      <c r="I631" s="29"/>
      <c r="J631" s="76"/>
      <c r="K631" s="76"/>
      <c r="L631" s="66"/>
      <c r="M631" s="66"/>
      <c r="N631" s="66"/>
      <c r="O631" s="66"/>
      <c r="P631" s="66"/>
      <c r="Q631" s="66"/>
      <c r="R631" s="66"/>
      <c r="S631" s="66"/>
      <c r="T631" s="66"/>
      <c r="U631" s="66"/>
      <c r="V631" s="66"/>
      <c r="W631" s="66"/>
      <c r="X631" s="66"/>
      <c r="Y631" s="66"/>
    </row>
    <row r="632">
      <c r="A632" s="71"/>
      <c r="B632" s="71"/>
      <c r="C632" s="73"/>
      <c r="D632" s="73"/>
      <c r="E632" s="75"/>
      <c r="F632" s="75"/>
      <c r="G632" s="75"/>
      <c r="H632" s="75"/>
      <c r="I632" s="29"/>
      <c r="J632" s="76"/>
      <c r="K632" s="76"/>
      <c r="L632" s="66"/>
      <c r="M632" s="66"/>
      <c r="N632" s="66"/>
      <c r="O632" s="66"/>
      <c r="P632" s="66"/>
      <c r="Q632" s="66"/>
      <c r="R632" s="66"/>
      <c r="S632" s="66"/>
      <c r="T632" s="66"/>
      <c r="U632" s="66"/>
      <c r="V632" s="66"/>
      <c r="W632" s="66"/>
      <c r="X632" s="66"/>
      <c r="Y632" s="66"/>
    </row>
    <row r="633">
      <c r="A633" s="71"/>
      <c r="B633" s="71"/>
      <c r="C633" s="73"/>
      <c r="D633" s="73"/>
      <c r="E633" s="75"/>
      <c r="F633" s="75"/>
      <c r="G633" s="75"/>
      <c r="H633" s="75"/>
      <c r="I633" s="29"/>
      <c r="J633" s="76"/>
      <c r="K633" s="76"/>
      <c r="L633" s="66"/>
      <c r="M633" s="66"/>
      <c r="N633" s="66"/>
      <c r="O633" s="66"/>
      <c r="P633" s="66"/>
      <c r="Q633" s="66"/>
      <c r="R633" s="66"/>
      <c r="S633" s="66"/>
      <c r="T633" s="66"/>
      <c r="U633" s="66"/>
      <c r="V633" s="66"/>
      <c r="W633" s="66"/>
      <c r="X633" s="66"/>
      <c r="Y633" s="66"/>
    </row>
    <row r="634">
      <c r="A634" s="71"/>
      <c r="B634" s="71"/>
      <c r="C634" s="73"/>
      <c r="D634" s="73"/>
      <c r="E634" s="75"/>
      <c r="F634" s="75"/>
      <c r="G634" s="75"/>
      <c r="H634" s="75"/>
      <c r="I634" s="29"/>
      <c r="J634" s="76"/>
      <c r="K634" s="76"/>
      <c r="L634" s="66"/>
      <c r="M634" s="66"/>
      <c r="N634" s="66"/>
      <c r="O634" s="66"/>
      <c r="P634" s="66"/>
      <c r="Q634" s="66"/>
      <c r="R634" s="66"/>
      <c r="S634" s="66"/>
      <c r="T634" s="66"/>
      <c r="U634" s="66"/>
      <c r="V634" s="66"/>
      <c r="W634" s="66"/>
      <c r="X634" s="66"/>
      <c r="Y634" s="66"/>
    </row>
    <row r="635">
      <c r="A635" s="71"/>
      <c r="B635" s="71"/>
      <c r="C635" s="73"/>
      <c r="D635" s="73"/>
      <c r="E635" s="75"/>
      <c r="F635" s="75"/>
      <c r="G635" s="75"/>
      <c r="H635" s="75"/>
      <c r="I635" s="29"/>
      <c r="J635" s="76"/>
      <c r="K635" s="76"/>
      <c r="L635" s="66"/>
      <c r="M635" s="66"/>
      <c r="N635" s="66"/>
      <c r="O635" s="66"/>
      <c r="P635" s="66"/>
      <c r="Q635" s="66"/>
      <c r="R635" s="66"/>
      <c r="S635" s="66"/>
      <c r="T635" s="66"/>
      <c r="U635" s="66"/>
      <c r="V635" s="66"/>
      <c r="W635" s="66"/>
      <c r="X635" s="66"/>
      <c r="Y635" s="66"/>
    </row>
    <row r="636">
      <c r="A636" s="71"/>
      <c r="B636" s="71"/>
      <c r="C636" s="73"/>
      <c r="D636" s="73"/>
      <c r="E636" s="75"/>
      <c r="F636" s="75"/>
      <c r="G636" s="75"/>
      <c r="H636" s="75"/>
      <c r="I636" s="29"/>
      <c r="J636" s="76"/>
      <c r="K636" s="76"/>
      <c r="L636" s="66"/>
      <c r="M636" s="66"/>
      <c r="N636" s="66"/>
      <c r="O636" s="66"/>
      <c r="P636" s="66"/>
      <c r="Q636" s="66"/>
      <c r="R636" s="66"/>
      <c r="S636" s="66"/>
      <c r="T636" s="66"/>
      <c r="U636" s="66"/>
      <c r="V636" s="66"/>
      <c r="W636" s="66"/>
      <c r="X636" s="66"/>
      <c r="Y636" s="66"/>
    </row>
    <row r="637">
      <c r="A637" s="71"/>
      <c r="B637" s="71"/>
      <c r="C637" s="73"/>
      <c r="D637" s="73"/>
      <c r="E637" s="75"/>
      <c r="F637" s="75"/>
      <c r="G637" s="75"/>
      <c r="H637" s="75"/>
      <c r="I637" s="29"/>
      <c r="J637" s="76"/>
      <c r="K637" s="76"/>
      <c r="L637" s="66"/>
      <c r="M637" s="66"/>
      <c r="N637" s="66"/>
      <c r="O637" s="66"/>
      <c r="P637" s="66"/>
      <c r="Q637" s="66"/>
      <c r="R637" s="66"/>
      <c r="S637" s="66"/>
      <c r="T637" s="66"/>
      <c r="U637" s="66"/>
      <c r="V637" s="66"/>
      <c r="W637" s="66"/>
      <c r="X637" s="66"/>
      <c r="Y637" s="66"/>
    </row>
    <row r="638">
      <c r="A638" s="71"/>
      <c r="B638" s="71"/>
      <c r="C638" s="73"/>
      <c r="D638" s="73"/>
      <c r="E638" s="75"/>
      <c r="F638" s="75"/>
      <c r="G638" s="75"/>
      <c r="H638" s="75"/>
      <c r="I638" s="29"/>
      <c r="J638" s="76"/>
      <c r="K638" s="76"/>
      <c r="L638" s="66"/>
      <c r="M638" s="66"/>
      <c r="N638" s="66"/>
      <c r="O638" s="66"/>
      <c r="P638" s="66"/>
      <c r="Q638" s="66"/>
      <c r="R638" s="66"/>
      <c r="S638" s="66"/>
      <c r="T638" s="66"/>
      <c r="U638" s="66"/>
      <c r="V638" s="66"/>
      <c r="W638" s="66"/>
      <c r="X638" s="66"/>
      <c r="Y638" s="66"/>
    </row>
    <row r="639">
      <c r="A639" s="71"/>
      <c r="B639" s="71"/>
      <c r="C639" s="73"/>
      <c r="D639" s="73"/>
      <c r="E639" s="75"/>
      <c r="F639" s="75"/>
      <c r="G639" s="75"/>
      <c r="H639" s="75"/>
      <c r="I639" s="29"/>
      <c r="J639" s="76"/>
      <c r="K639" s="76"/>
      <c r="L639" s="66"/>
      <c r="M639" s="66"/>
      <c r="N639" s="66"/>
      <c r="O639" s="66"/>
      <c r="P639" s="66"/>
      <c r="Q639" s="66"/>
      <c r="R639" s="66"/>
      <c r="S639" s="66"/>
      <c r="T639" s="66"/>
      <c r="U639" s="66"/>
      <c r="V639" s="66"/>
      <c r="W639" s="66"/>
      <c r="X639" s="66"/>
      <c r="Y639" s="66"/>
    </row>
    <row r="640">
      <c r="A640" s="71"/>
      <c r="B640" s="71"/>
      <c r="C640" s="73"/>
      <c r="D640" s="73"/>
      <c r="E640" s="75"/>
      <c r="F640" s="75"/>
      <c r="G640" s="75"/>
      <c r="H640" s="75"/>
      <c r="I640" s="29"/>
      <c r="J640" s="76"/>
      <c r="K640" s="76"/>
      <c r="L640" s="66"/>
      <c r="M640" s="66"/>
      <c r="N640" s="66"/>
      <c r="O640" s="66"/>
      <c r="P640" s="66"/>
      <c r="Q640" s="66"/>
      <c r="R640" s="66"/>
      <c r="S640" s="66"/>
      <c r="T640" s="66"/>
      <c r="U640" s="66"/>
      <c r="V640" s="66"/>
      <c r="W640" s="66"/>
      <c r="X640" s="66"/>
      <c r="Y640" s="66"/>
    </row>
    <row r="641">
      <c r="A641" s="71"/>
      <c r="B641" s="71"/>
      <c r="C641" s="73"/>
      <c r="D641" s="73"/>
      <c r="E641" s="75"/>
      <c r="F641" s="75"/>
      <c r="G641" s="75"/>
      <c r="H641" s="75"/>
      <c r="I641" s="29"/>
      <c r="J641" s="76"/>
      <c r="K641" s="76"/>
      <c r="L641" s="66"/>
      <c r="M641" s="66"/>
      <c r="N641" s="66"/>
      <c r="O641" s="66"/>
      <c r="P641" s="66"/>
      <c r="Q641" s="66"/>
      <c r="R641" s="66"/>
      <c r="S641" s="66"/>
      <c r="T641" s="66"/>
      <c r="U641" s="66"/>
      <c r="V641" s="66"/>
      <c r="W641" s="66"/>
      <c r="X641" s="66"/>
      <c r="Y641" s="66"/>
    </row>
    <row r="642">
      <c r="A642" s="71"/>
      <c r="B642" s="71"/>
      <c r="C642" s="73"/>
      <c r="D642" s="73"/>
      <c r="E642" s="75"/>
      <c r="F642" s="75"/>
      <c r="G642" s="75"/>
      <c r="H642" s="75"/>
      <c r="I642" s="29"/>
      <c r="J642" s="76"/>
      <c r="K642" s="76"/>
      <c r="L642" s="66"/>
      <c r="M642" s="66"/>
      <c r="N642" s="66"/>
      <c r="O642" s="66"/>
      <c r="P642" s="66"/>
      <c r="Q642" s="66"/>
      <c r="R642" s="66"/>
      <c r="S642" s="66"/>
      <c r="T642" s="66"/>
      <c r="U642" s="66"/>
      <c r="V642" s="66"/>
      <c r="W642" s="66"/>
      <c r="X642" s="66"/>
      <c r="Y642" s="66"/>
    </row>
    <row r="643">
      <c r="A643" s="71"/>
      <c r="B643" s="71"/>
      <c r="C643" s="73"/>
      <c r="D643" s="73"/>
      <c r="E643" s="75"/>
      <c r="F643" s="75"/>
      <c r="G643" s="75"/>
      <c r="H643" s="75"/>
      <c r="I643" s="29"/>
      <c r="J643" s="76"/>
      <c r="K643" s="76"/>
      <c r="L643" s="66"/>
      <c r="M643" s="66"/>
      <c r="N643" s="66"/>
      <c r="O643" s="66"/>
      <c r="P643" s="66"/>
      <c r="Q643" s="66"/>
      <c r="R643" s="66"/>
      <c r="S643" s="66"/>
      <c r="T643" s="66"/>
      <c r="U643" s="66"/>
      <c r="V643" s="66"/>
      <c r="W643" s="66"/>
      <c r="X643" s="66"/>
      <c r="Y643" s="66"/>
    </row>
    <row r="644">
      <c r="A644" s="71"/>
      <c r="B644" s="71"/>
      <c r="C644" s="73"/>
      <c r="D644" s="73"/>
      <c r="E644" s="75"/>
      <c r="F644" s="75"/>
      <c r="G644" s="75"/>
      <c r="H644" s="75"/>
      <c r="I644" s="29"/>
      <c r="J644" s="76"/>
      <c r="K644" s="76"/>
      <c r="L644" s="66"/>
      <c r="M644" s="66"/>
      <c r="N644" s="66"/>
      <c r="O644" s="66"/>
      <c r="P644" s="66"/>
      <c r="Q644" s="66"/>
      <c r="R644" s="66"/>
      <c r="S644" s="66"/>
      <c r="T644" s="66"/>
      <c r="U644" s="66"/>
      <c r="V644" s="66"/>
      <c r="W644" s="66"/>
      <c r="X644" s="66"/>
      <c r="Y644" s="66"/>
    </row>
    <row r="645">
      <c r="A645" s="71"/>
      <c r="B645" s="71"/>
      <c r="C645" s="73"/>
      <c r="D645" s="73"/>
      <c r="E645" s="75"/>
      <c r="F645" s="75"/>
      <c r="G645" s="75"/>
      <c r="H645" s="75"/>
      <c r="I645" s="29"/>
      <c r="J645" s="76"/>
      <c r="K645" s="76"/>
      <c r="L645" s="66"/>
      <c r="M645" s="66"/>
      <c r="N645" s="66"/>
      <c r="O645" s="66"/>
      <c r="P645" s="66"/>
      <c r="Q645" s="66"/>
      <c r="R645" s="66"/>
      <c r="S645" s="66"/>
      <c r="T645" s="66"/>
      <c r="U645" s="66"/>
      <c r="V645" s="66"/>
      <c r="W645" s="66"/>
      <c r="X645" s="66"/>
      <c r="Y645" s="66"/>
    </row>
    <row r="646">
      <c r="A646" s="71"/>
      <c r="B646" s="71"/>
      <c r="C646" s="73"/>
      <c r="D646" s="73"/>
      <c r="E646" s="75"/>
      <c r="F646" s="75"/>
      <c r="G646" s="75"/>
      <c r="H646" s="75"/>
      <c r="I646" s="29"/>
      <c r="J646" s="76"/>
      <c r="K646" s="76"/>
      <c r="L646" s="66"/>
      <c r="M646" s="66"/>
      <c r="N646" s="66"/>
      <c r="O646" s="66"/>
      <c r="P646" s="66"/>
      <c r="Q646" s="66"/>
      <c r="R646" s="66"/>
      <c r="S646" s="66"/>
      <c r="T646" s="66"/>
      <c r="U646" s="66"/>
      <c r="V646" s="66"/>
      <c r="W646" s="66"/>
      <c r="X646" s="66"/>
      <c r="Y646" s="66"/>
    </row>
    <row r="647">
      <c r="A647" s="71"/>
      <c r="B647" s="71"/>
      <c r="C647" s="73"/>
      <c r="D647" s="73"/>
      <c r="E647" s="75"/>
      <c r="F647" s="75"/>
      <c r="G647" s="75"/>
      <c r="H647" s="75"/>
      <c r="I647" s="29"/>
      <c r="J647" s="76"/>
      <c r="K647" s="76"/>
      <c r="L647" s="66"/>
      <c r="M647" s="66"/>
      <c r="N647" s="66"/>
      <c r="O647" s="66"/>
      <c r="P647" s="66"/>
      <c r="Q647" s="66"/>
      <c r="R647" s="66"/>
      <c r="S647" s="66"/>
      <c r="T647" s="66"/>
      <c r="U647" s="66"/>
      <c r="V647" s="66"/>
      <c r="W647" s="66"/>
      <c r="X647" s="66"/>
      <c r="Y647" s="66"/>
    </row>
    <row r="648">
      <c r="A648" s="71"/>
      <c r="B648" s="71"/>
      <c r="C648" s="73"/>
      <c r="D648" s="73"/>
      <c r="E648" s="75"/>
      <c r="F648" s="75"/>
      <c r="G648" s="75"/>
      <c r="H648" s="75"/>
      <c r="I648" s="29"/>
      <c r="J648" s="76"/>
      <c r="K648" s="76"/>
      <c r="L648" s="66"/>
      <c r="M648" s="66"/>
      <c r="N648" s="66"/>
      <c r="O648" s="66"/>
      <c r="P648" s="66"/>
      <c r="Q648" s="66"/>
      <c r="R648" s="66"/>
      <c r="S648" s="66"/>
      <c r="T648" s="66"/>
      <c r="U648" s="66"/>
      <c r="V648" s="66"/>
      <c r="W648" s="66"/>
      <c r="X648" s="66"/>
      <c r="Y648" s="66"/>
    </row>
    <row r="649">
      <c r="A649" s="71"/>
      <c r="B649" s="71"/>
      <c r="C649" s="73"/>
      <c r="D649" s="73"/>
      <c r="E649" s="75"/>
      <c r="F649" s="75"/>
      <c r="G649" s="75"/>
      <c r="H649" s="75"/>
      <c r="I649" s="29"/>
      <c r="J649" s="76"/>
      <c r="K649" s="76"/>
      <c r="L649" s="66"/>
      <c r="M649" s="66"/>
      <c r="N649" s="66"/>
      <c r="O649" s="66"/>
      <c r="P649" s="66"/>
      <c r="Q649" s="66"/>
      <c r="R649" s="66"/>
      <c r="S649" s="66"/>
      <c r="T649" s="66"/>
      <c r="U649" s="66"/>
      <c r="V649" s="66"/>
      <c r="W649" s="66"/>
      <c r="X649" s="66"/>
      <c r="Y649" s="66"/>
    </row>
    <row r="650">
      <c r="A650" s="71"/>
      <c r="B650" s="71"/>
      <c r="C650" s="73"/>
      <c r="D650" s="73"/>
      <c r="E650" s="75"/>
      <c r="F650" s="75"/>
      <c r="G650" s="75"/>
      <c r="H650" s="75"/>
      <c r="I650" s="29"/>
      <c r="J650" s="76"/>
      <c r="K650" s="76"/>
      <c r="L650" s="66"/>
      <c r="M650" s="66"/>
      <c r="N650" s="66"/>
      <c r="O650" s="66"/>
      <c r="P650" s="66"/>
      <c r="Q650" s="66"/>
      <c r="R650" s="66"/>
      <c r="S650" s="66"/>
      <c r="T650" s="66"/>
      <c r="U650" s="66"/>
      <c r="V650" s="66"/>
      <c r="W650" s="66"/>
      <c r="X650" s="66"/>
      <c r="Y650" s="66"/>
    </row>
    <row r="651">
      <c r="A651" s="71"/>
      <c r="B651" s="71"/>
      <c r="C651" s="73"/>
      <c r="D651" s="73"/>
      <c r="E651" s="75"/>
      <c r="F651" s="75"/>
      <c r="G651" s="75"/>
      <c r="H651" s="75"/>
      <c r="I651" s="29"/>
      <c r="J651" s="76"/>
      <c r="K651" s="76"/>
      <c r="L651" s="66"/>
      <c r="M651" s="66"/>
      <c r="N651" s="66"/>
      <c r="O651" s="66"/>
      <c r="P651" s="66"/>
      <c r="Q651" s="66"/>
      <c r="R651" s="66"/>
      <c r="S651" s="66"/>
      <c r="T651" s="66"/>
      <c r="U651" s="66"/>
      <c r="V651" s="66"/>
      <c r="W651" s="66"/>
      <c r="X651" s="66"/>
      <c r="Y651" s="66"/>
    </row>
    <row r="652">
      <c r="A652" s="71"/>
      <c r="B652" s="71"/>
      <c r="C652" s="73"/>
      <c r="D652" s="73"/>
      <c r="E652" s="75"/>
      <c r="F652" s="75"/>
      <c r="G652" s="75"/>
      <c r="H652" s="75"/>
      <c r="I652" s="29"/>
      <c r="J652" s="76"/>
      <c r="K652" s="76"/>
      <c r="L652" s="66"/>
      <c r="M652" s="66"/>
      <c r="N652" s="66"/>
      <c r="O652" s="66"/>
      <c r="P652" s="66"/>
      <c r="Q652" s="66"/>
      <c r="R652" s="66"/>
      <c r="S652" s="66"/>
      <c r="T652" s="66"/>
      <c r="U652" s="66"/>
      <c r="V652" s="66"/>
      <c r="W652" s="66"/>
      <c r="X652" s="66"/>
      <c r="Y652" s="66"/>
    </row>
    <row r="653">
      <c r="A653" s="71"/>
      <c r="B653" s="71"/>
      <c r="C653" s="73"/>
      <c r="D653" s="73"/>
      <c r="E653" s="75"/>
      <c r="F653" s="75"/>
      <c r="G653" s="75"/>
      <c r="H653" s="75"/>
      <c r="I653" s="29"/>
      <c r="J653" s="76"/>
      <c r="K653" s="76"/>
      <c r="L653" s="66"/>
      <c r="M653" s="66"/>
      <c r="N653" s="66"/>
      <c r="O653" s="66"/>
      <c r="P653" s="66"/>
      <c r="Q653" s="66"/>
      <c r="R653" s="66"/>
      <c r="S653" s="66"/>
      <c r="T653" s="66"/>
      <c r="U653" s="66"/>
      <c r="V653" s="66"/>
      <c r="W653" s="66"/>
      <c r="X653" s="66"/>
      <c r="Y653" s="66"/>
    </row>
    <row r="654">
      <c r="A654" s="71"/>
      <c r="B654" s="71"/>
      <c r="C654" s="73"/>
      <c r="D654" s="73"/>
      <c r="E654" s="75"/>
      <c r="F654" s="75"/>
      <c r="G654" s="75"/>
      <c r="H654" s="75"/>
      <c r="I654" s="29"/>
      <c r="J654" s="76"/>
      <c r="K654" s="76"/>
      <c r="L654" s="66"/>
      <c r="M654" s="66"/>
      <c r="N654" s="66"/>
      <c r="O654" s="66"/>
      <c r="P654" s="66"/>
      <c r="Q654" s="66"/>
      <c r="R654" s="66"/>
      <c r="S654" s="66"/>
      <c r="T654" s="66"/>
      <c r="U654" s="66"/>
      <c r="V654" s="66"/>
      <c r="W654" s="66"/>
      <c r="X654" s="66"/>
      <c r="Y654" s="66"/>
    </row>
    <row r="655">
      <c r="A655" s="71"/>
      <c r="B655" s="71"/>
      <c r="C655" s="73"/>
      <c r="D655" s="73"/>
      <c r="E655" s="75"/>
      <c r="F655" s="75"/>
      <c r="G655" s="75"/>
      <c r="H655" s="75"/>
      <c r="I655" s="29"/>
      <c r="J655" s="76"/>
      <c r="K655" s="76"/>
      <c r="L655" s="66"/>
      <c r="M655" s="66"/>
      <c r="N655" s="66"/>
      <c r="O655" s="66"/>
      <c r="P655" s="66"/>
      <c r="Q655" s="66"/>
      <c r="R655" s="66"/>
      <c r="S655" s="66"/>
      <c r="T655" s="66"/>
      <c r="U655" s="66"/>
      <c r="V655" s="66"/>
      <c r="W655" s="66"/>
      <c r="X655" s="66"/>
      <c r="Y655" s="66"/>
    </row>
    <row r="656">
      <c r="A656" s="71"/>
      <c r="B656" s="71"/>
      <c r="C656" s="73"/>
      <c r="D656" s="73"/>
      <c r="E656" s="75"/>
      <c r="F656" s="75"/>
      <c r="G656" s="75"/>
      <c r="H656" s="75"/>
      <c r="I656" s="29"/>
      <c r="J656" s="76"/>
      <c r="K656" s="76"/>
      <c r="L656" s="66"/>
      <c r="M656" s="66"/>
      <c r="N656" s="66"/>
      <c r="O656" s="66"/>
      <c r="P656" s="66"/>
      <c r="Q656" s="66"/>
      <c r="R656" s="66"/>
      <c r="S656" s="66"/>
      <c r="T656" s="66"/>
      <c r="U656" s="66"/>
      <c r="V656" s="66"/>
      <c r="W656" s="66"/>
      <c r="X656" s="66"/>
      <c r="Y656" s="66"/>
    </row>
    <row r="657">
      <c r="A657" s="71"/>
      <c r="B657" s="71"/>
      <c r="C657" s="73"/>
      <c r="D657" s="73"/>
      <c r="E657" s="75"/>
      <c r="F657" s="75"/>
      <c r="G657" s="75"/>
      <c r="H657" s="75"/>
      <c r="I657" s="29"/>
      <c r="J657" s="76"/>
      <c r="K657" s="76"/>
      <c r="L657" s="66"/>
      <c r="M657" s="66"/>
      <c r="N657" s="66"/>
      <c r="O657" s="66"/>
      <c r="P657" s="66"/>
      <c r="Q657" s="66"/>
      <c r="R657" s="66"/>
      <c r="S657" s="66"/>
      <c r="T657" s="66"/>
      <c r="U657" s="66"/>
      <c r="V657" s="66"/>
      <c r="W657" s="66"/>
      <c r="X657" s="66"/>
      <c r="Y657" s="66"/>
    </row>
    <row r="658">
      <c r="A658" s="71"/>
      <c r="B658" s="71"/>
      <c r="C658" s="73"/>
      <c r="D658" s="73"/>
      <c r="E658" s="75"/>
      <c r="F658" s="75"/>
      <c r="G658" s="75"/>
      <c r="H658" s="75"/>
      <c r="I658" s="29"/>
      <c r="J658" s="76"/>
      <c r="K658" s="76"/>
      <c r="L658" s="66"/>
      <c r="M658" s="66"/>
      <c r="N658" s="66"/>
      <c r="O658" s="66"/>
      <c r="P658" s="66"/>
      <c r="Q658" s="66"/>
      <c r="R658" s="66"/>
      <c r="S658" s="66"/>
      <c r="T658" s="66"/>
      <c r="U658" s="66"/>
      <c r="V658" s="66"/>
      <c r="W658" s="66"/>
      <c r="X658" s="66"/>
      <c r="Y658" s="66"/>
    </row>
    <row r="659">
      <c r="A659" s="71"/>
      <c r="B659" s="71"/>
      <c r="C659" s="73"/>
      <c r="D659" s="73"/>
      <c r="E659" s="75"/>
      <c r="F659" s="75"/>
      <c r="G659" s="75"/>
      <c r="H659" s="75"/>
      <c r="I659" s="29"/>
      <c r="J659" s="76"/>
      <c r="K659" s="76"/>
      <c r="L659" s="66"/>
      <c r="M659" s="66"/>
      <c r="N659" s="66"/>
      <c r="O659" s="66"/>
      <c r="P659" s="66"/>
      <c r="Q659" s="66"/>
      <c r="R659" s="66"/>
      <c r="S659" s="66"/>
      <c r="T659" s="66"/>
      <c r="U659" s="66"/>
      <c r="V659" s="66"/>
      <c r="W659" s="66"/>
      <c r="X659" s="66"/>
      <c r="Y659" s="66"/>
    </row>
    <row r="660">
      <c r="A660" s="71"/>
      <c r="B660" s="71"/>
      <c r="C660" s="73"/>
      <c r="D660" s="73"/>
      <c r="E660" s="75"/>
      <c r="F660" s="75"/>
      <c r="G660" s="75"/>
      <c r="H660" s="75"/>
      <c r="I660" s="29"/>
      <c r="J660" s="76"/>
      <c r="K660" s="76"/>
      <c r="L660" s="66"/>
      <c r="M660" s="66"/>
      <c r="N660" s="66"/>
      <c r="O660" s="66"/>
      <c r="P660" s="66"/>
      <c r="Q660" s="66"/>
      <c r="R660" s="66"/>
      <c r="S660" s="66"/>
      <c r="T660" s="66"/>
      <c r="U660" s="66"/>
      <c r="V660" s="66"/>
      <c r="W660" s="66"/>
      <c r="X660" s="66"/>
      <c r="Y660" s="66"/>
    </row>
    <row r="661">
      <c r="A661" s="71"/>
      <c r="B661" s="71"/>
      <c r="C661" s="73"/>
      <c r="D661" s="73"/>
      <c r="E661" s="75"/>
      <c r="F661" s="75"/>
      <c r="G661" s="75"/>
      <c r="H661" s="75"/>
      <c r="I661" s="29"/>
      <c r="J661" s="76"/>
      <c r="K661" s="76"/>
      <c r="L661" s="66"/>
      <c r="M661" s="66"/>
      <c r="N661" s="66"/>
      <c r="O661" s="66"/>
      <c r="P661" s="66"/>
      <c r="Q661" s="66"/>
      <c r="R661" s="66"/>
      <c r="S661" s="66"/>
      <c r="T661" s="66"/>
      <c r="U661" s="66"/>
      <c r="V661" s="66"/>
      <c r="W661" s="66"/>
      <c r="X661" s="66"/>
      <c r="Y661" s="66"/>
    </row>
    <row r="662">
      <c r="A662" s="71"/>
      <c r="B662" s="71"/>
      <c r="C662" s="73"/>
      <c r="D662" s="73"/>
      <c r="E662" s="75"/>
      <c r="F662" s="75"/>
      <c r="G662" s="75"/>
      <c r="H662" s="75"/>
      <c r="I662" s="29"/>
      <c r="J662" s="76"/>
      <c r="K662" s="76"/>
      <c r="L662" s="66"/>
      <c r="M662" s="66"/>
      <c r="N662" s="66"/>
      <c r="O662" s="66"/>
      <c r="P662" s="66"/>
      <c r="Q662" s="66"/>
      <c r="R662" s="66"/>
      <c r="S662" s="66"/>
      <c r="T662" s="66"/>
      <c r="U662" s="66"/>
      <c r="V662" s="66"/>
      <c r="W662" s="66"/>
      <c r="X662" s="66"/>
      <c r="Y662" s="66"/>
    </row>
    <row r="663">
      <c r="A663" s="71"/>
      <c r="B663" s="71"/>
      <c r="C663" s="73"/>
      <c r="D663" s="73"/>
      <c r="E663" s="75"/>
      <c r="F663" s="75"/>
      <c r="G663" s="75"/>
      <c r="H663" s="75"/>
      <c r="I663" s="29"/>
      <c r="J663" s="76"/>
      <c r="K663" s="76"/>
      <c r="L663" s="66"/>
      <c r="M663" s="66"/>
      <c r="N663" s="66"/>
      <c r="O663" s="66"/>
      <c r="P663" s="66"/>
      <c r="Q663" s="66"/>
      <c r="R663" s="66"/>
      <c r="S663" s="66"/>
      <c r="T663" s="66"/>
      <c r="U663" s="66"/>
      <c r="V663" s="66"/>
      <c r="W663" s="66"/>
      <c r="X663" s="66"/>
      <c r="Y663" s="66"/>
    </row>
    <row r="664">
      <c r="A664" s="71"/>
      <c r="B664" s="71"/>
      <c r="C664" s="73"/>
      <c r="D664" s="73"/>
      <c r="E664" s="75"/>
      <c r="F664" s="75"/>
      <c r="G664" s="75"/>
      <c r="H664" s="75"/>
      <c r="I664" s="29"/>
      <c r="J664" s="76"/>
      <c r="K664" s="76"/>
      <c r="L664" s="66"/>
      <c r="M664" s="66"/>
      <c r="N664" s="66"/>
      <c r="O664" s="66"/>
      <c r="P664" s="66"/>
      <c r="Q664" s="66"/>
      <c r="R664" s="66"/>
      <c r="S664" s="66"/>
      <c r="T664" s="66"/>
      <c r="U664" s="66"/>
      <c r="V664" s="66"/>
      <c r="W664" s="66"/>
      <c r="X664" s="66"/>
      <c r="Y664" s="66"/>
    </row>
    <row r="665">
      <c r="A665" s="71"/>
      <c r="B665" s="71"/>
      <c r="C665" s="73"/>
      <c r="D665" s="73"/>
      <c r="E665" s="75"/>
      <c r="F665" s="75"/>
      <c r="G665" s="75"/>
      <c r="H665" s="75"/>
      <c r="I665" s="29"/>
      <c r="J665" s="76"/>
      <c r="K665" s="76"/>
      <c r="L665" s="66"/>
      <c r="M665" s="66"/>
      <c r="N665" s="66"/>
      <c r="O665" s="66"/>
      <c r="P665" s="66"/>
      <c r="Q665" s="66"/>
      <c r="R665" s="66"/>
      <c r="S665" s="66"/>
      <c r="T665" s="66"/>
      <c r="U665" s="66"/>
      <c r="V665" s="66"/>
      <c r="W665" s="66"/>
      <c r="X665" s="66"/>
      <c r="Y665" s="66"/>
    </row>
    <row r="666">
      <c r="A666" s="71"/>
      <c r="B666" s="71"/>
      <c r="C666" s="73"/>
      <c r="D666" s="73"/>
      <c r="E666" s="75"/>
      <c r="F666" s="75"/>
      <c r="G666" s="75"/>
      <c r="H666" s="75"/>
      <c r="I666" s="29"/>
      <c r="J666" s="76"/>
      <c r="K666" s="76"/>
      <c r="L666" s="66"/>
      <c r="M666" s="66"/>
      <c r="N666" s="66"/>
      <c r="O666" s="66"/>
      <c r="P666" s="66"/>
      <c r="Q666" s="66"/>
      <c r="R666" s="66"/>
      <c r="S666" s="66"/>
      <c r="T666" s="66"/>
      <c r="U666" s="66"/>
      <c r="V666" s="66"/>
      <c r="W666" s="66"/>
      <c r="X666" s="66"/>
      <c r="Y666" s="66"/>
    </row>
    <row r="667">
      <c r="A667" s="71"/>
      <c r="B667" s="71"/>
      <c r="C667" s="73"/>
      <c r="D667" s="73"/>
      <c r="E667" s="75"/>
      <c r="F667" s="75"/>
      <c r="G667" s="75"/>
      <c r="H667" s="75"/>
      <c r="I667" s="29"/>
      <c r="J667" s="76"/>
      <c r="K667" s="76"/>
      <c r="L667" s="66"/>
      <c r="M667" s="66"/>
      <c r="N667" s="66"/>
      <c r="O667" s="66"/>
      <c r="P667" s="66"/>
      <c r="Q667" s="66"/>
      <c r="R667" s="66"/>
      <c r="S667" s="66"/>
      <c r="T667" s="66"/>
      <c r="U667" s="66"/>
      <c r="V667" s="66"/>
      <c r="W667" s="66"/>
      <c r="X667" s="66"/>
      <c r="Y667" s="66"/>
    </row>
    <row r="668">
      <c r="A668" s="71"/>
      <c r="B668" s="71"/>
      <c r="C668" s="73"/>
      <c r="D668" s="73"/>
      <c r="E668" s="75"/>
      <c r="F668" s="75"/>
      <c r="G668" s="75"/>
      <c r="H668" s="75"/>
      <c r="I668" s="29"/>
      <c r="J668" s="76"/>
      <c r="K668" s="76"/>
      <c r="L668" s="66"/>
      <c r="M668" s="66"/>
      <c r="N668" s="66"/>
      <c r="O668" s="66"/>
      <c r="P668" s="66"/>
      <c r="Q668" s="66"/>
      <c r="R668" s="66"/>
      <c r="S668" s="66"/>
      <c r="T668" s="66"/>
      <c r="U668" s="66"/>
      <c r="V668" s="66"/>
      <c r="W668" s="66"/>
      <c r="X668" s="66"/>
      <c r="Y668" s="66"/>
    </row>
    <row r="669">
      <c r="A669" s="71"/>
      <c r="B669" s="71"/>
      <c r="C669" s="73"/>
      <c r="D669" s="73"/>
      <c r="E669" s="75"/>
      <c r="F669" s="75"/>
      <c r="G669" s="75"/>
      <c r="H669" s="75"/>
      <c r="I669" s="29"/>
      <c r="J669" s="76"/>
      <c r="K669" s="76"/>
      <c r="L669" s="66"/>
      <c r="M669" s="66"/>
      <c r="N669" s="66"/>
      <c r="O669" s="66"/>
      <c r="P669" s="66"/>
      <c r="Q669" s="66"/>
      <c r="R669" s="66"/>
      <c r="S669" s="66"/>
      <c r="T669" s="66"/>
      <c r="U669" s="66"/>
      <c r="V669" s="66"/>
      <c r="W669" s="66"/>
      <c r="X669" s="66"/>
      <c r="Y669" s="66"/>
    </row>
    <row r="670">
      <c r="A670" s="71"/>
      <c r="B670" s="71"/>
      <c r="C670" s="73"/>
      <c r="D670" s="73"/>
      <c r="E670" s="75"/>
      <c r="F670" s="75"/>
      <c r="G670" s="75"/>
      <c r="H670" s="75"/>
      <c r="I670" s="29"/>
      <c r="J670" s="76"/>
      <c r="K670" s="76"/>
      <c r="L670" s="66"/>
      <c r="M670" s="66"/>
      <c r="N670" s="66"/>
      <c r="O670" s="66"/>
      <c r="P670" s="66"/>
      <c r="Q670" s="66"/>
      <c r="R670" s="66"/>
      <c r="S670" s="66"/>
      <c r="T670" s="66"/>
      <c r="U670" s="66"/>
      <c r="V670" s="66"/>
      <c r="W670" s="66"/>
      <c r="X670" s="66"/>
      <c r="Y670" s="66"/>
    </row>
    <row r="671">
      <c r="A671" s="71"/>
      <c r="B671" s="71"/>
      <c r="C671" s="73"/>
      <c r="D671" s="73"/>
      <c r="E671" s="75"/>
      <c r="F671" s="75"/>
      <c r="G671" s="75"/>
      <c r="H671" s="75"/>
      <c r="I671" s="29"/>
      <c r="J671" s="76"/>
      <c r="K671" s="76"/>
      <c r="L671" s="66"/>
      <c r="M671" s="66"/>
      <c r="N671" s="66"/>
      <c r="O671" s="66"/>
      <c r="P671" s="66"/>
      <c r="Q671" s="66"/>
      <c r="R671" s="66"/>
      <c r="S671" s="66"/>
      <c r="T671" s="66"/>
      <c r="U671" s="66"/>
      <c r="V671" s="66"/>
      <c r="W671" s="66"/>
      <c r="X671" s="66"/>
      <c r="Y671" s="66"/>
    </row>
    <row r="672">
      <c r="A672" s="71"/>
      <c r="B672" s="71"/>
      <c r="C672" s="73"/>
      <c r="D672" s="73"/>
      <c r="E672" s="75"/>
      <c r="F672" s="75"/>
      <c r="G672" s="75"/>
      <c r="H672" s="75"/>
      <c r="I672" s="29"/>
      <c r="J672" s="76"/>
      <c r="K672" s="76"/>
      <c r="L672" s="66"/>
      <c r="M672" s="66"/>
      <c r="N672" s="66"/>
      <c r="O672" s="66"/>
      <c r="P672" s="66"/>
      <c r="Q672" s="66"/>
      <c r="R672" s="66"/>
      <c r="S672" s="66"/>
      <c r="T672" s="66"/>
      <c r="U672" s="66"/>
      <c r="V672" s="66"/>
      <c r="W672" s="66"/>
      <c r="X672" s="66"/>
      <c r="Y672" s="66"/>
    </row>
    <row r="673">
      <c r="A673" s="71"/>
      <c r="B673" s="71"/>
      <c r="C673" s="73"/>
      <c r="D673" s="73"/>
      <c r="E673" s="75"/>
      <c r="F673" s="75"/>
      <c r="G673" s="75"/>
      <c r="H673" s="75"/>
      <c r="I673" s="29"/>
      <c r="J673" s="76"/>
      <c r="K673" s="76"/>
      <c r="L673" s="66"/>
      <c r="M673" s="66"/>
      <c r="N673" s="66"/>
      <c r="O673" s="66"/>
      <c r="P673" s="66"/>
      <c r="Q673" s="66"/>
      <c r="R673" s="66"/>
      <c r="S673" s="66"/>
      <c r="T673" s="66"/>
      <c r="U673" s="66"/>
      <c r="V673" s="66"/>
      <c r="W673" s="66"/>
      <c r="X673" s="66"/>
      <c r="Y673" s="66"/>
    </row>
    <row r="674">
      <c r="A674" s="71"/>
      <c r="B674" s="71"/>
      <c r="C674" s="73"/>
      <c r="D674" s="73"/>
      <c r="E674" s="75"/>
      <c r="F674" s="75"/>
      <c r="G674" s="75"/>
      <c r="H674" s="75"/>
      <c r="I674" s="29"/>
      <c r="J674" s="76"/>
      <c r="K674" s="76"/>
      <c r="L674" s="66"/>
      <c r="M674" s="66"/>
      <c r="N674" s="66"/>
      <c r="O674" s="66"/>
      <c r="P674" s="66"/>
      <c r="Q674" s="66"/>
      <c r="R674" s="66"/>
      <c r="S674" s="66"/>
      <c r="T674" s="66"/>
      <c r="U674" s="66"/>
      <c r="V674" s="66"/>
      <c r="W674" s="66"/>
      <c r="X674" s="66"/>
      <c r="Y674" s="66"/>
    </row>
    <row r="675">
      <c r="A675" s="71"/>
      <c r="B675" s="71"/>
      <c r="C675" s="73"/>
      <c r="D675" s="73"/>
      <c r="E675" s="75"/>
      <c r="F675" s="75"/>
      <c r="G675" s="75"/>
      <c r="H675" s="75"/>
      <c r="I675" s="29"/>
      <c r="J675" s="76"/>
      <c r="K675" s="76"/>
      <c r="L675" s="66"/>
      <c r="M675" s="66"/>
      <c r="N675" s="66"/>
      <c r="O675" s="66"/>
      <c r="P675" s="66"/>
      <c r="Q675" s="66"/>
      <c r="R675" s="66"/>
      <c r="S675" s="66"/>
      <c r="T675" s="66"/>
      <c r="U675" s="66"/>
      <c r="V675" s="66"/>
      <c r="W675" s="66"/>
      <c r="X675" s="66"/>
      <c r="Y675" s="66"/>
    </row>
    <row r="676">
      <c r="A676" s="71"/>
      <c r="B676" s="71"/>
      <c r="C676" s="73"/>
      <c r="D676" s="73"/>
      <c r="E676" s="75"/>
      <c r="F676" s="75"/>
      <c r="G676" s="75"/>
      <c r="H676" s="75"/>
      <c r="I676" s="29"/>
      <c r="J676" s="76"/>
      <c r="K676" s="76"/>
      <c r="L676" s="66"/>
      <c r="M676" s="66"/>
      <c r="N676" s="66"/>
      <c r="O676" s="66"/>
      <c r="P676" s="66"/>
      <c r="Q676" s="66"/>
      <c r="R676" s="66"/>
      <c r="S676" s="66"/>
      <c r="T676" s="66"/>
      <c r="U676" s="66"/>
      <c r="V676" s="66"/>
      <c r="W676" s="66"/>
      <c r="X676" s="66"/>
      <c r="Y676" s="66"/>
    </row>
    <row r="677">
      <c r="A677" s="71"/>
      <c r="B677" s="71"/>
      <c r="C677" s="73"/>
      <c r="D677" s="73"/>
      <c r="E677" s="75"/>
      <c r="F677" s="75"/>
      <c r="G677" s="75"/>
      <c r="H677" s="75"/>
      <c r="I677" s="29"/>
      <c r="J677" s="76"/>
      <c r="K677" s="76"/>
      <c r="L677" s="66"/>
      <c r="M677" s="66"/>
      <c r="N677" s="66"/>
      <c r="O677" s="66"/>
      <c r="P677" s="66"/>
      <c r="Q677" s="66"/>
      <c r="R677" s="66"/>
      <c r="S677" s="66"/>
      <c r="T677" s="66"/>
      <c r="U677" s="66"/>
      <c r="V677" s="66"/>
      <c r="W677" s="66"/>
      <c r="X677" s="66"/>
      <c r="Y677" s="66"/>
    </row>
    <row r="678">
      <c r="A678" s="71"/>
      <c r="B678" s="71"/>
      <c r="C678" s="73"/>
      <c r="D678" s="73"/>
      <c r="E678" s="75"/>
      <c r="F678" s="75"/>
      <c r="G678" s="75"/>
      <c r="H678" s="75"/>
      <c r="I678" s="29"/>
      <c r="J678" s="76"/>
      <c r="K678" s="76"/>
      <c r="L678" s="66"/>
      <c r="M678" s="66"/>
      <c r="N678" s="66"/>
      <c r="O678" s="66"/>
      <c r="P678" s="66"/>
      <c r="Q678" s="66"/>
      <c r="R678" s="66"/>
      <c r="S678" s="66"/>
      <c r="T678" s="66"/>
      <c r="U678" s="66"/>
      <c r="V678" s="66"/>
      <c r="W678" s="66"/>
      <c r="X678" s="66"/>
      <c r="Y678" s="66"/>
    </row>
    <row r="679">
      <c r="A679" s="71"/>
      <c r="B679" s="71"/>
      <c r="C679" s="73"/>
      <c r="D679" s="73"/>
      <c r="E679" s="75"/>
      <c r="F679" s="75"/>
      <c r="G679" s="75"/>
      <c r="H679" s="75"/>
      <c r="I679" s="29"/>
      <c r="J679" s="76"/>
      <c r="K679" s="76"/>
      <c r="L679" s="66"/>
      <c r="M679" s="66"/>
      <c r="N679" s="66"/>
      <c r="O679" s="66"/>
      <c r="P679" s="66"/>
      <c r="Q679" s="66"/>
      <c r="R679" s="66"/>
      <c r="S679" s="66"/>
      <c r="T679" s="66"/>
      <c r="U679" s="66"/>
      <c r="V679" s="66"/>
      <c r="W679" s="66"/>
      <c r="X679" s="66"/>
      <c r="Y679" s="66"/>
    </row>
    <row r="680">
      <c r="A680" s="71"/>
      <c r="B680" s="71"/>
      <c r="C680" s="73"/>
      <c r="D680" s="73"/>
      <c r="E680" s="75"/>
      <c r="F680" s="75"/>
      <c r="G680" s="75"/>
      <c r="H680" s="75"/>
      <c r="I680" s="29"/>
      <c r="J680" s="76"/>
      <c r="K680" s="76"/>
      <c r="L680" s="66"/>
      <c r="M680" s="66"/>
      <c r="N680" s="66"/>
      <c r="O680" s="66"/>
      <c r="P680" s="66"/>
      <c r="Q680" s="66"/>
      <c r="R680" s="66"/>
      <c r="S680" s="66"/>
      <c r="T680" s="66"/>
      <c r="U680" s="66"/>
      <c r="V680" s="66"/>
      <c r="W680" s="66"/>
      <c r="X680" s="66"/>
      <c r="Y680" s="66"/>
    </row>
    <row r="681">
      <c r="A681" s="71"/>
      <c r="B681" s="71"/>
      <c r="C681" s="73"/>
      <c r="D681" s="73"/>
      <c r="E681" s="75"/>
      <c r="F681" s="75"/>
      <c r="G681" s="75"/>
      <c r="H681" s="75"/>
      <c r="I681" s="29"/>
      <c r="J681" s="76"/>
      <c r="K681" s="76"/>
      <c r="L681" s="66"/>
      <c r="M681" s="66"/>
      <c r="N681" s="66"/>
      <c r="O681" s="66"/>
      <c r="P681" s="66"/>
      <c r="Q681" s="66"/>
      <c r="R681" s="66"/>
      <c r="S681" s="66"/>
      <c r="T681" s="66"/>
      <c r="U681" s="66"/>
      <c r="V681" s="66"/>
      <c r="W681" s="66"/>
      <c r="X681" s="66"/>
      <c r="Y681" s="66"/>
    </row>
    <row r="682">
      <c r="A682" s="71"/>
      <c r="B682" s="71"/>
      <c r="C682" s="73"/>
      <c r="D682" s="73"/>
      <c r="E682" s="75"/>
      <c r="F682" s="75"/>
      <c r="G682" s="75"/>
      <c r="H682" s="75"/>
      <c r="I682" s="29"/>
      <c r="J682" s="76"/>
      <c r="K682" s="76"/>
      <c r="L682" s="66"/>
      <c r="M682" s="66"/>
      <c r="N682" s="66"/>
      <c r="O682" s="66"/>
      <c r="P682" s="66"/>
      <c r="Q682" s="66"/>
      <c r="R682" s="66"/>
      <c r="S682" s="66"/>
      <c r="T682" s="66"/>
      <c r="U682" s="66"/>
      <c r="V682" s="66"/>
      <c r="W682" s="66"/>
      <c r="X682" s="66"/>
      <c r="Y682" s="66"/>
    </row>
    <row r="683">
      <c r="A683" s="71"/>
      <c r="B683" s="71"/>
      <c r="C683" s="73"/>
      <c r="D683" s="73"/>
      <c r="E683" s="75"/>
      <c r="F683" s="75"/>
      <c r="G683" s="75"/>
      <c r="H683" s="75"/>
      <c r="I683" s="29"/>
      <c r="J683" s="76"/>
      <c r="K683" s="76"/>
      <c r="L683" s="66"/>
      <c r="M683" s="66"/>
      <c r="N683" s="66"/>
      <c r="O683" s="66"/>
      <c r="P683" s="66"/>
      <c r="Q683" s="66"/>
      <c r="R683" s="66"/>
      <c r="S683" s="66"/>
      <c r="T683" s="66"/>
      <c r="U683" s="66"/>
      <c r="V683" s="66"/>
      <c r="W683" s="66"/>
      <c r="X683" s="66"/>
      <c r="Y683" s="66"/>
    </row>
    <row r="684">
      <c r="A684" s="71"/>
      <c r="B684" s="71"/>
      <c r="C684" s="73"/>
      <c r="D684" s="73"/>
      <c r="E684" s="75"/>
      <c r="F684" s="75"/>
      <c r="G684" s="75"/>
      <c r="H684" s="75"/>
      <c r="I684" s="29"/>
      <c r="J684" s="76"/>
      <c r="K684" s="76"/>
      <c r="L684" s="66"/>
      <c r="M684" s="66"/>
      <c r="N684" s="66"/>
      <c r="O684" s="66"/>
      <c r="P684" s="66"/>
      <c r="Q684" s="66"/>
      <c r="R684" s="66"/>
      <c r="S684" s="66"/>
      <c r="T684" s="66"/>
      <c r="U684" s="66"/>
      <c r="V684" s="66"/>
      <c r="W684" s="66"/>
      <c r="X684" s="66"/>
      <c r="Y684" s="66"/>
    </row>
    <row r="685">
      <c r="A685" s="71"/>
      <c r="B685" s="71"/>
      <c r="C685" s="73"/>
      <c r="D685" s="73"/>
      <c r="E685" s="75"/>
      <c r="F685" s="75"/>
      <c r="G685" s="75"/>
      <c r="H685" s="75"/>
      <c r="I685" s="29"/>
      <c r="J685" s="76"/>
      <c r="K685" s="76"/>
      <c r="L685" s="66"/>
      <c r="M685" s="66"/>
      <c r="N685" s="66"/>
      <c r="O685" s="66"/>
      <c r="P685" s="66"/>
      <c r="Q685" s="66"/>
      <c r="R685" s="66"/>
      <c r="S685" s="66"/>
      <c r="T685" s="66"/>
      <c r="U685" s="66"/>
      <c r="V685" s="66"/>
      <c r="W685" s="66"/>
      <c r="X685" s="66"/>
      <c r="Y685" s="66"/>
    </row>
    <row r="686">
      <c r="A686" s="71"/>
      <c r="B686" s="71"/>
      <c r="C686" s="73"/>
      <c r="D686" s="73"/>
      <c r="E686" s="75"/>
      <c r="F686" s="75"/>
      <c r="G686" s="75"/>
      <c r="H686" s="75"/>
      <c r="I686" s="29"/>
      <c r="J686" s="76"/>
      <c r="K686" s="76"/>
      <c r="L686" s="66"/>
      <c r="M686" s="66"/>
      <c r="N686" s="66"/>
      <c r="O686" s="66"/>
      <c r="P686" s="66"/>
      <c r="Q686" s="66"/>
      <c r="R686" s="66"/>
      <c r="S686" s="66"/>
      <c r="T686" s="66"/>
      <c r="U686" s="66"/>
      <c r="V686" s="66"/>
      <c r="W686" s="66"/>
      <c r="X686" s="66"/>
      <c r="Y686" s="66"/>
    </row>
    <row r="687">
      <c r="A687" s="71"/>
      <c r="B687" s="71"/>
      <c r="C687" s="73"/>
      <c r="D687" s="73"/>
      <c r="E687" s="75"/>
      <c r="F687" s="75"/>
      <c r="G687" s="75"/>
      <c r="H687" s="75"/>
      <c r="I687" s="29"/>
      <c r="J687" s="76"/>
      <c r="K687" s="76"/>
      <c r="L687" s="66"/>
      <c r="M687" s="66"/>
      <c r="N687" s="66"/>
      <c r="O687" s="66"/>
      <c r="P687" s="66"/>
      <c r="Q687" s="66"/>
      <c r="R687" s="66"/>
      <c r="S687" s="66"/>
      <c r="T687" s="66"/>
      <c r="U687" s="66"/>
      <c r="V687" s="66"/>
      <c r="W687" s="66"/>
      <c r="X687" s="66"/>
      <c r="Y687" s="66"/>
    </row>
    <row r="688">
      <c r="A688" s="71"/>
      <c r="B688" s="71"/>
      <c r="C688" s="73"/>
      <c r="D688" s="73"/>
      <c r="E688" s="75"/>
      <c r="F688" s="75"/>
      <c r="G688" s="75"/>
      <c r="H688" s="75"/>
      <c r="I688" s="29"/>
      <c r="J688" s="76"/>
      <c r="K688" s="76"/>
      <c r="L688" s="66"/>
      <c r="M688" s="66"/>
      <c r="N688" s="66"/>
      <c r="O688" s="66"/>
      <c r="P688" s="66"/>
      <c r="Q688" s="66"/>
      <c r="R688" s="66"/>
      <c r="S688" s="66"/>
      <c r="T688" s="66"/>
      <c r="U688" s="66"/>
      <c r="V688" s="66"/>
      <c r="W688" s="66"/>
      <c r="X688" s="66"/>
      <c r="Y688" s="66"/>
    </row>
    <row r="689">
      <c r="A689" s="71"/>
      <c r="B689" s="71"/>
      <c r="C689" s="73"/>
      <c r="D689" s="73"/>
      <c r="E689" s="75"/>
      <c r="F689" s="75"/>
      <c r="G689" s="75"/>
      <c r="H689" s="75"/>
      <c r="I689" s="29"/>
      <c r="J689" s="76"/>
      <c r="K689" s="76"/>
      <c r="L689" s="66"/>
      <c r="M689" s="66"/>
      <c r="N689" s="66"/>
      <c r="O689" s="66"/>
      <c r="P689" s="66"/>
      <c r="Q689" s="66"/>
      <c r="R689" s="66"/>
      <c r="S689" s="66"/>
      <c r="T689" s="66"/>
      <c r="U689" s="66"/>
      <c r="V689" s="66"/>
      <c r="W689" s="66"/>
      <c r="X689" s="66"/>
      <c r="Y689" s="66"/>
    </row>
    <row r="690">
      <c r="A690" s="71"/>
      <c r="B690" s="71"/>
      <c r="C690" s="73"/>
      <c r="D690" s="73"/>
      <c r="E690" s="75"/>
      <c r="F690" s="75"/>
      <c r="G690" s="75"/>
      <c r="H690" s="75"/>
      <c r="I690" s="29"/>
      <c r="J690" s="76"/>
      <c r="K690" s="76"/>
      <c r="L690" s="66"/>
      <c r="M690" s="66"/>
      <c r="N690" s="66"/>
      <c r="O690" s="66"/>
      <c r="P690" s="66"/>
      <c r="Q690" s="66"/>
      <c r="R690" s="66"/>
      <c r="S690" s="66"/>
      <c r="T690" s="66"/>
      <c r="U690" s="66"/>
      <c r="V690" s="66"/>
      <c r="W690" s="66"/>
      <c r="X690" s="66"/>
      <c r="Y690" s="66"/>
    </row>
    <row r="691">
      <c r="A691" s="71"/>
      <c r="B691" s="71"/>
      <c r="C691" s="73"/>
      <c r="D691" s="73"/>
      <c r="E691" s="75"/>
      <c r="F691" s="75"/>
      <c r="G691" s="75"/>
      <c r="H691" s="75"/>
      <c r="I691" s="29"/>
      <c r="J691" s="76"/>
      <c r="K691" s="76"/>
      <c r="L691" s="66"/>
      <c r="M691" s="66"/>
      <c r="N691" s="66"/>
      <c r="O691" s="66"/>
      <c r="P691" s="66"/>
      <c r="Q691" s="66"/>
      <c r="R691" s="66"/>
      <c r="S691" s="66"/>
      <c r="T691" s="66"/>
      <c r="U691" s="66"/>
      <c r="V691" s="66"/>
      <c r="W691" s="66"/>
      <c r="X691" s="66"/>
      <c r="Y691" s="66"/>
    </row>
    <row r="692">
      <c r="A692" s="71"/>
      <c r="B692" s="71"/>
      <c r="C692" s="73"/>
      <c r="D692" s="73"/>
      <c r="E692" s="75"/>
      <c r="F692" s="75"/>
      <c r="G692" s="75"/>
      <c r="H692" s="75"/>
      <c r="I692" s="29"/>
      <c r="J692" s="76"/>
      <c r="K692" s="76"/>
      <c r="L692" s="66"/>
      <c r="M692" s="66"/>
      <c r="N692" s="66"/>
      <c r="O692" s="66"/>
      <c r="P692" s="66"/>
      <c r="Q692" s="66"/>
      <c r="R692" s="66"/>
      <c r="S692" s="66"/>
      <c r="T692" s="66"/>
      <c r="U692" s="66"/>
      <c r="V692" s="66"/>
      <c r="W692" s="66"/>
      <c r="X692" s="66"/>
      <c r="Y692" s="66"/>
    </row>
    <row r="693">
      <c r="A693" s="71"/>
      <c r="B693" s="71"/>
      <c r="C693" s="73"/>
      <c r="D693" s="73"/>
      <c r="E693" s="75"/>
      <c r="F693" s="75"/>
      <c r="G693" s="75"/>
      <c r="H693" s="75"/>
      <c r="I693" s="29"/>
      <c r="J693" s="76"/>
      <c r="K693" s="76"/>
      <c r="L693" s="66"/>
      <c r="M693" s="66"/>
      <c r="N693" s="66"/>
      <c r="O693" s="66"/>
      <c r="P693" s="66"/>
      <c r="Q693" s="66"/>
      <c r="R693" s="66"/>
      <c r="S693" s="66"/>
      <c r="T693" s="66"/>
      <c r="U693" s="66"/>
      <c r="V693" s="66"/>
      <c r="W693" s="66"/>
      <c r="X693" s="66"/>
      <c r="Y693" s="66"/>
    </row>
    <row r="694">
      <c r="A694" s="71"/>
      <c r="B694" s="71"/>
      <c r="C694" s="73"/>
      <c r="D694" s="73"/>
      <c r="E694" s="75"/>
      <c r="F694" s="75"/>
      <c r="G694" s="75"/>
      <c r="H694" s="75"/>
      <c r="I694" s="29"/>
      <c r="J694" s="76"/>
      <c r="K694" s="76"/>
      <c r="L694" s="66"/>
      <c r="M694" s="66"/>
      <c r="N694" s="66"/>
      <c r="O694" s="66"/>
      <c r="P694" s="66"/>
      <c r="Q694" s="66"/>
      <c r="R694" s="66"/>
      <c r="S694" s="66"/>
      <c r="T694" s="66"/>
      <c r="U694" s="66"/>
      <c r="V694" s="66"/>
      <c r="W694" s="66"/>
      <c r="X694" s="66"/>
      <c r="Y694" s="66"/>
    </row>
    <row r="695">
      <c r="A695" s="71"/>
      <c r="B695" s="71"/>
      <c r="C695" s="73"/>
      <c r="D695" s="73"/>
      <c r="E695" s="75"/>
      <c r="F695" s="75"/>
      <c r="G695" s="75"/>
      <c r="H695" s="75"/>
      <c r="I695" s="29"/>
      <c r="J695" s="76"/>
      <c r="K695" s="76"/>
      <c r="L695" s="66"/>
      <c r="M695" s="66"/>
      <c r="N695" s="66"/>
      <c r="O695" s="66"/>
      <c r="P695" s="66"/>
      <c r="Q695" s="66"/>
      <c r="R695" s="66"/>
      <c r="S695" s="66"/>
      <c r="T695" s="66"/>
      <c r="U695" s="66"/>
      <c r="V695" s="66"/>
      <c r="W695" s="66"/>
      <c r="X695" s="66"/>
      <c r="Y695" s="66"/>
    </row>
    <row r="696">
      <c r="A696" s="71"/>
      <c r="B696" s="71"/>
      <c r="C696" s="73"/>
      <c r="D696" s="73"/>
      <c r="E696" s="75"/>
      <c r="F696" s="75"/>
      <c r="G696" s="75"/>
      <c r="H696" s="75"/>
      <c r="I696" s="29"/>
      <c r="J696" s="76"/>
      <c r="K696" s="76"/>
      <c r="L696" s="66"/>
      <c r="M696" s="66"/>
      <c r="N696" s="66"/>
      <c r="O696" s="66"/>
      <c r="P696" s="66"/>
      <c r="Q696" s="66"/>
      <c r="R696" s="66"/>
      <c r="S696" s="66"/>
      <c r="T696" s="66"/>
      <c r="U696" s="66"/>
      <c r="V696" s="66"/>
      <c r="W696" s="66"/>
      <c r="X696" s="66"/>
      <c r="Y696" s="66"/>
    </row>
    <row r="697">
      <c r="A697" s="71"/>
      <c r="B697" s="71"/>
      <c r="C697" s="73"/>
      <c r="D697" s="73"/>
      <c r="E697" s="75"/>
      <c r="F697" s="75"/>
      <c r="G697" s="75"/>
      <c r="H697" s="75"/>
      <c r="I697" s="29"/>
      <c r="J697" s="76"/>
      <c r="K697" s="76"/>
      <c r="L697" s="66"/>
      <c r="M697" s="66"/>
      <c r="N697" s="66"/>
      <c r="O697" s="66"/>
      <c r="P697" s="66"/>
      <c r="Q697" s="66"/>
      <c r="R697" s="66"/>
      <c r="S697" s="66"/>
      <c r="T697" s="66"/>
      <c r="U697" s="66"/>
      <c r="V697" s="66"/>
      <c r="W697" s="66"/>
      <c r="X697" s="66"/>
      <c r="Y697" s="66"/>
    </row>
    <row r="698">
      <c r="A698" s="71"/>
      <c r="B698" s="71"/>
      <c r="C698" s="73"/>
      <c r="D698" s="73"/>
      <c r="E698" s="75"/>
      <c r="F698" s="75"/>
      <c r="G698" s="75"/>
      <c r="H698" s="75"/>
      <c r="I698" s="29"/>
      <c r="J698" s="76"/>
      <c r="K698" s="76"/>
      <c r="L698" s="66"/>
      <c r="M698" s="66"/>
      <c r="N698" s="66"/>
      <c r="O698" s="66"/>
      <c r="P698" s="66"/>
      <c r="Q698" s="66"/>
      <c r="R698" s="66"/>
      <c r="S698" s="66"/>
      <c r="T698" s="66"/>
      <c r="U698" s="66"/>
      <c r="V698" s="66"/>
      <c r="W698" s="66"/>
      <c r="X698" s="66"/>
      <c r="Y698" s="66"/>
    </row>
    <row r="699">
      <c r="A699" s="71"/>
      <c r="B699" s="71"/>
      <c r="C699" s="73"/>
      <c r="D699" s="73"/>
      <c r="E699" s="75"/>
      <c r="F699" s="75"/>
      <c r="G699" s="75"/>
      <c r="H699" s="75"/>
      <c r="I699" s="29"/>
      <c r="J699" s="76"/>
      <c r="K699" s="76"/>
      <c r="L699" s="66"/>
      <c r="M699" s="66"/>
      <c r="N699" s="66"/>
      <c r="O699" s="66"/>
      <c r="P699" s="66"/>
      <c r="Q699" s="66"/>
      <c r="R699" s="66"/>
      <c r="S699" s="66"/>
      <c r="T699" s="66"/>
      <c r="U699" s="66"/>
      <c r="V699" s="66"/>
      <c r="W699" s="66"/>
      <c r="X699" s="66"/>
      <c r="Y699" s="66"/>
    </row>
    <row r="700">
      <c r="A700" s="71"/>
      <c r="B700" s="71"/>
      <c r="C700" s="73"/>
      <c r="D700" s="73"/>
      <c r="E700" s="75"/>
      <c r="F700" s="75"/>
      <c r="G700" s="75"/>
      <c r="H700" s="75"/>
      <c r="I700" s="29"/>
      <c r="J700" s="76"/>
      <c r="K700" s="76"/>
      <c r="L700" s="66"/>
      <c r="M700" s="66"/>
      <c r="N700" s="66"/>
      <c r="O700" s="66"/>
      <c r="P700" s="66"/>
      <c r="Q700" s="66"/>
      <c r="R700" s="66"/>
      <c r="S700" s="66"/>
      <c r="T700" s="66"/>
      <c r="U700" s="66"/>
      <c r="V700" s="66"/>
      <c r="W700" s="66"/>
      <c r="X700" s="66"/>
      <c r="Y700" s="66"/>
    </row>
    <row r="701">
      <c r="A701" s="71"/>
      <c r="B701" s="71"/>
      <c r="C701" s="73"/>
      <c r="D701" s="73"/>
      <c r="E701" s="75"/>
      <c r="F701" s="75"/>
      <c r="G701" s="75"/>
      <c r="H701" s="75"/>
      <c r="I701" s="29"/>
      <c r="J701" s="76"/>
      <c r="K701" s="76"/>
      <c r="L701" s="66"/>
      <c r="M701" s="66"/>
      <c r="N701" s="66"/>
      <c r="O701" s="66"/>
      <c r="P701" s="66"/>
      <c r="Q701" s="66"/>
      <c r="R701" s="66"/>
      <c r="S701" s="66"/>
      <c r="T701" s="66"/>
      <c r="U701" s="66"/>
      <c r="V701" s="66"/>
      <c r="W701" s="66"/>
      <c r="X701" s="66"/>
      <c r="Y701" s="66"/>
    </row>
    <row r="702">
      <c r="A702" s="71"/>
      <c r="B702" s="71"/>
      <c r="C702" s="73"/>
      <c r="D702" s="73"/>
      <c r="E702" s="75"/>
      <c r="F702" s="75"/>
      <c r="G702" s="75"/>
      <c r="H702" s="75"/>
      <c r="I702" s="29"/>
      <c r="J702" s="76"/>
      <c r="K702" s="76"/>
      <c r="L702" s="66"/>
      <c r="M702" s="66"/>
      <c r="N702" s="66"/>
      <c r="O702" s="66"/>
      <c r="P702" s="66"/>
      <c r="Q702" s="66"/>
      <c r="R702" s="66"/>
      <c r="S702" s="66"/>
      <c r="T702" s="66"/>
      <c r="U702" s="66"/>
      <c r="V702" s="66"/>
      <c r="W702" s="66"/>
      <c r="X702" s="66"/>
      <c r="Y702" s="66"/>
    </row>
    <row r="703">
      <c r="A703" s="71"/>
      <c r="B703" s="71"/>
      <c r="C703" s="73"/>
      <c r="D703" s="73"/>
      <c r="E703" s="75"/>
      <c r="F703" s="75"/>
      <c r="G703" s="75"/>
      <c r="H703" s="75"/>
      <c r="I703" s="29"/>
      <c r="J703" s="76"/>
      <c r="K703" s="76"/>
      <c r="L703" s="66"/>
      <c r="M703" s="66"/>
      <c r="N703" s="66"/>
      <c r="O703" s="66"/>
      <c r="P703" s="66"/>
      <c r="Q703" s="66"/>
      <c r="R703" s="66"/>
      <c r="S703" s="66"/>
      <c r="T703" s="66"/>
      <c r="U703" s="66"/>
      <c r="V703" s="66"/>
      <c r="W703" s="66"/>
      <c r="X703" s="66"/>
      <c r="Y703" s="66"/>
    </row>
    <row r="704">
      <c r="A704" s="71"/>
      <c r="B704" s="71"/>
      <c r="C704" s="73"/>
      <c r="D704" s="73"/>
      <c r="E704" s="75"/>
      <c r="F704" s="75"/>
      <c r="G704" s="75"/>
      <c r="H704" s="75"/>
      <c r="I704" s="29"/>
      <c r="J704" s="76"/>
      <c r="K704" s="76"/>
      <c r="L704" s="66"/>
      <c r="M704" s="66"/>
      <c r="N704" s="66"/>
      <c r="O704" s="66"/>
      <c r="P704" s="66"/>
      <c r="Q704" s="66"/>
      <c r="R704" s="66"/>
      <c r="S704" s="66"/>
      <c r="T704" s="66"/>
      <c r="U704" s="66"/>
      <c r="V704" s="66"/>
      <c r="W704" s="66"/>
      <c r="X704" s="66"/>
      <c r="Y704" s="66"/>
    </row>
    <row r="705">
      <c r="A705" s="71"/>
      <c r="B705" s="71"/>
      <c r="C705" s="73"/>
      <c r="D705" s="73"/>
      <c r="E705" s="75"/>
      <c r="F705" s="75"/>
      <c r="G705" s="75"/>
      <c r="H705" s="75"/>
      <c r="I705" s="29"/>
      <c r="J705" s="76"/>
      <c r="K705" s="76"/>
      <c r="L705" s="66"/>
      <c r="M705" s="66"/>
      <c r="N705" s="66"/>
      <c r="O705" s="66"/>
      <c r="P705" s="66"/>
      <c r="Q705" s="66"/>
      <c r="R705" s="66"/>
      <c r="S705" s="66"/>
      <c r="T705" s="66"/>
      <c r="U705" s="66"/>
      <c r="V705" s="66"/>
      <c r="W705" s="66"/>
      <c r="X705" s="66"/>
      <c r="Y705" s="66"/>
    </row>
    <row r="706">
      <c r="A706" s="71"/>
      <c r="B706" s="71"/>
      <c r="C706" s="73"/>
      <c r="D706" s="73"/>
      <c r="E706" s="75"/>
      <c r="F706" s="75"/>
      <c r="G706" s="75"/>
      <c r="H706" s="75"/>
      <c r="I706" s="29"/>
      <c r="J706" s="76"/>
      <c r="K706" s="76"/>
      <c r="L706" s="66"/>
      <c r="M706" s="66"/>
      <c r="N706" s="66"/>
      <c r="O706" s="66"/>
      <c r="P706" s="66"/>
      <c r="Q706" s="66"/>
      <c r="R706" s="66"/>
      <c r="S706" s="66"/>
      <c r="T706" s="66"/>
      <c r="U706" s="66"/>
      <c r="V706" s="66"/>
      <c r="W706" s="66"/>
      <c r="X706" s="66"/>
      <c r="Y706" s="66"/>
    </row>
    <row r="707">
      <c r="A707" s="71"/>
      <c r="B707" s="71"/>
      <c r="C707" s="73"/>
      <c r="D707" s="73"/>
      <c r="E707" s="75"/>
      <c r="F707" s="75"/>
      <c r="G707" s="75"/>
      <c r="H707" s="75"/>
      <c r="I707" s="29"/>
      <c r="J707" s="76"/>
      <c r="K707" s="76"/>
      <c r="L707" s="66"/>
      <c r="M707" s="66"/>
      <c r="N707" s="66"/>
      <c r="O707" s="66"/>
      <c r="P707" s="66"/>
      <c r="Q707" s="66"/>
      <c r="R707" s="66"/>
      <c r="S707" s="66"/>
      <c r="T707" s="66"/>
      <c r="U707" s="66"/>
      <c r="V707" s="66"/>
      <c r="W707" s="66"/>
      <c r="X707" s="66"/>
      <c r="Y707" s="66"/>
    </row>
    <row r="708">
      <c r="A708" s="71"/>
      <c r="B708" s="71"/>
      <c r="C708" s="73"/>
      <c r="D708" s="73"/>
      <c r="E708" s="75"/>
      <c r="F708" s="75"/>
      <c r="G708" s="75"/>
      <c r="H708" s="75"/>
      <c r="I708" s="29"/>
      <c r="J708" s="76"/>
      <c r="K708" s="76"/>
      <c r="L708" s="66"/>
      <c r="M708" s="66"/>
      <c r="N708" s="66"/>
      <c r="O708" s="66"/>
      <c r="P708" s="66"/>
      <c r="Q708" s="66"/>
      <c r="R708" s="66"/>
      <c r="S708" s="66"/>
      <c r="T708" s="66"/>
      <c r="U708" s="66"/>
      <c r="V708" s="66"/>
      <c r="W708" s="66"/>
      <c r="X708" s="66"/>
      <c r="Y708" s="66"/>
    </row>
    <row r="709">
      <c r="A709" s="71"/>
      <c r="B709" s="71"/>
      <c r="C709" s="73"/>
      <c r="D709" s="73"/>
      <c r="E709" s="75"/>
      <c r="F709" s="75"/>
      <c r="G709" s="75"/>
      <c r="H709" s="75"/>
      <c r="I709" s="29"/>
      <c r="J709" s="76"/>
      <c r="K709" s="76"/>
      <c r="L709" s="66"/>
      <c r="M709" s="66"/>
      <c r="N709" s="66"/>
      <c r="O709" s="66"/>
      <c r="P709" s="66"/>
      <c r="Q709" s="66"/>
      <c r="R709" s="66"/>
      <c r="S709" s="66"/>
      <c r="T709" s="66"/>
      <c r="U709" s="66"/>
      <c r="V709" s="66"/>
      <c r="W709" s="66"/>
      <c r="X709" s="66"/>
      <c r="Y709" s="66"/>
    </row>
    <row r="710">
      <c r="A710" s="71"/>
      <c r="B710" s="71"/>
      <c r="C710" s="73"/>
      <c r="D710" s="73"/>
      <c r="E710" s="75"/>
      <c r="F710" s="75"/>
      <c r="G710" s="75"/>
      <c r="H710" s="75"/>
      <c r="I710" s="29"/>
      <c r="J710" s="76"/>
      <c r="K710" s="76"/>
      <c r="L710" s="66"/>
      <c r="M710" s="66"/>
      <c r="N710" s="66"/>
      <c r="O710" s="66"/>
      <c r="P710" s="66"/>
      <c r="Q710" s="66"/>
      <c r="R710" s="66"/>
      <c r="S710" s="66"/>
      <c r="T710" s="66"/>
      <c r="U710" s="66"/>
      <c r="V710" s="66"/>
      <c r="W710" s="66"/>
      <c r="X710" s="66"/>
      <c r="Y710" s="66"/>
    </row>
    <row r="711">
      <c r="A711" s="71"/>
      <c r="B711" s="71"/>
      <c r="C711" s="73"/>
      <c r="D711" s="73"/>
      <c r="E711" s="75"/>
      <c r="F711" s="75"/>
      <c r="G711" s="75"/>
      <c r="H711" s="75"/>
      <c r="I711" s="29"/>
      <c r="J711" s="76"/>
      <c r="K711" s="76"/>
      <c r="L711" s="66"/>
      <c r="M711" s="66"/>
      <c r="N711" s="66"/>
      <c r="O711" s="66"/>
      <c r="P711" s="66"/>
      <c r="Q711" s="66"/>
      <c r="R711" s="66"/>
      <c r="S711" s="66"/>
      <c r="T711" s="66"/>
      <c r="U711" s="66"/>
      <c r="V711" s="66"/>
      <c r="W711" s="66"/>
      <c r="X711" s="66"/>
      <c r="Y711" s="66"/>
    </row>
    <row r="712">
      <c r="A712" s="71"/>
      <c r="B712" s="71"/>
      <c r="C712" s="73"/>
      <c r="D712" s="73"/>
      <c r="E712" s="75"/>
      <c r="F712" s="75"/>
      <c r="G712" s="75"/>
      <c r="H712" s="75"/>
      <c r="I712" s="29"/>
      <c r="J712" s="76"/>
      <c r="K712" s="76"/>
      <c r="L712" s="66"/>
      <c r="M712" s="66"/>
      <c r="N712" s="66"/>
      <c r="O712" s="66"/>
      <c r="P712" s="66"/>
      <c r="Q712" s="66"/>
      <c r="R712" s="66"/>
      <c r="S712" s="66"/>
      <c r="T712" s="66"/>
      <c r="U712" s="66"/>
      <c r="V712" s="66"/>
      <c r="W712" s="66"/>
      <c r="X712" s="66"/>
      <c r="Y712" s="66"/>
    </row>
    <row r="713">
      <c r="A713" s="71"/>
      <c r="B713" s="71"/>
      <c r="C713" s="73"/>
      <c r="D713" s="73"/>
      <c r="E713" s="75"/>
      <c r="F713" s="75"/>
      <c r="G713" s="75"/>
      <c r="H713" s="75"/>
      <c r="I713" s="29"/>
      <c r="J713" s="76"/>
      <c r="K713" s="76"/>
      <c r="L713" s="66"/>
      <c r="M713" s="66"/>
      <c r="N713" s="66"/>
      <c r="O713" s="66"/>
      <c r="P713" s="66"/>
      <c r="Q713" s="66"/>
      <c r="R713" s="66"/>
      <c r="S713" s="66"/>
      <c r="T713" s="66"/>
      <c r="U713" s="66"/>
      <c r="V713" s="66"/>
      <c r="W713" s="66"/>
      <c r="X713" s="66"/>
      <c r="Y713" s="66"/>
    </row>
    <row r="714">
      <c r="A714" s="71"/>
      <c r="B714" s="71"/>
      <c r="C714" s="73"/>
      <c r="D714" s="73"/>
      <c r="E714" s="75"/>
      <c r="F714" s="75"/>
      <c r="G714" s="75"/>
      <c r="H714" s="75"/>
      <c r="I714" s="29"/>
      <c r="J714" s="76"/>
      <c r="K714" s="76"/>
      <c r="L714" s="66"/>
      <c r="M714" s="66"/>
      <c r="N714" s="66"/>
      <c r="O714" s="66"/>
      <c r="P714" s="66"/>
      <c r="Q714" s="66"/>
      <c r="R714" s="66"/>
      <c r="S714" s="66"/>
      <c r="T714" s="66"/>
      <c r="U714" s="66"/>
      <c r="V714" s="66"/>
      <c r="W714" s="66"/>
      <c r="X714" s="66"/>
      <c r="Y714" s="66"/>
    </row>
    <row r="715">
      <c r="A715" s="71"/>
      <c r="B715" s="71"/>
      <c r="C715" s="73"/>
      <c r="D715" s="73"/>
      <c r="E715" s="75"/>
      <c r="F715" s="75"/>
      <c r="G715" s="75"/>
      <c r="H715" s="75"/>
      <c r="I715" s="29"/>
      <c r="J715" s="76"/>
      <c r="K715" s="76"/>
      <c r="L715" s="66"/>
      <c r="M715" s="66"/>
      <c r="N715" s="66"/>
      <c r="O715" s="66"/>
      <c r="P715" s="66"/>
      <c r="Q715" s="66"/>
      <c r="R715" s="66"/>
      <c r="S715" s="66"/>
      <c r="T715" s="66"/>
      <c r="U715" s="66"/>
      <c r="V715" s="66"/>
      <c r="W715" s="66"/>
      <c r="X715" s="66"/>
      <c r="Y715" s="66"/>
    </row>
    <row r="716">
      <c r="A716" s="71"/>
      <c r="B716" s="71"/>
      <c r="C716" s="73"/>
      <c r="D716" s="73"/>
      <c r="E716" s="75"/>
      <c r="F716" s="75"/>
      <c r="G716" s="75"/>
      <c r="H716" s="75"/>
      <c r="I716" s="29"/>
      <c r="J716" s="76"/>
      <c r="K716" s="76"/>
      <c r="L716" s="66"/>
      <c r="M716" s="66"/>
      <c r="N716" s="66"/>
      <c r="O716" s="66"/>
      <c r="P716" s="66"/>
      <c r="Q716" s="66"/>
      <c r="R716" s="66"/>
      <c r="S716" s="66"/>
      <c r="T716" s="66"/>
      <c r="U716" s="66"/>
      <c r="V716" s="66"/>
      <c r="W716" s="66"/>
      <c r="X716" s="66"/>
      <c r="Y716" s="66"/>
    </row>
    <row r="717">
      <c r="A717" s="71"/>
      <c r="B717" s="71"/>
      <c r="C717" s="73"/>
      <c r="D717" s="73"/>
      <c r="E717" s="75"/>
      <c r="F717" s="75"/>
      <c r="G717" s="75"/>
      <c r="H717" s="75"/>
      <c r="I717" s="29"/>
      <c r="J717" s="76"/>
      <c r="K717" s="76"/>
      <c r="L717" s="66"/>
      <c r="M717" s="66"/>
      <c r="N717" s="66"/>
      <c r="O717" s="66"/>
      <c r="P717" s="66"/>
      <c r="Q717" s="66"/>
      <c r="R717" s="66"/>
      <c r="S717" s="66"/>
      <c r="T717" s="66"/>
      <c r="U717" s="66"/>
      <c r="V717" s="66"/>
      <c r="W717" s="66"/>
      <c r="X717" s="66"/>
      <c r="Y717" s="66"/>
    </row>
    <row r="718">
      <c r="A718" s="71"/>
      <c r="B718" s="71"/>
      <c r="C718" s="73"/>
      <c r="D718" s="73"/>
      <c r="E718" s="75"/>
      <c r="F718" s="75"/>
      <c r="G718" s="75"/>
      <c r="H718" s="75"/>
      <c r="I718" s="29"/>
      <c r="J718" s="76"/>
      <c r="K718" s="76"/>
      <c r="L718" s="66"/>
      <c r="M718" s="66"/>
      <c r="N718" s="66"/>
      <c r="O718" s="66"/>
      <c r="P718" s="66"/>
      <c r="Q718" s="66"/>
      <c r="R718" s="66"/>
      <c r="S718" s="66"/>
      <c r="T718" s="66"/>
      <c r="U718" s="66"/>
      <c r="V718" s="66"/>
      <c r="W718" s="66"/>
      <c r="X718" s="66"/>
      <c r="Y718" s="66"/>
    </row>
    <row r="719">
      <c r="A719" s="71"/>
      <c r="B719" s="71"/>
      <c r="C719" s="73"/>
      <c r="D719" s="73"/>
      <c r="E719" s="75"/>
      <c r="F719" s="75"/>
      <c r="G719" s="75"/>
      <c r="H719" s="75"/>
      <c r="I719" s="29"/>
      <c r="J719" s="76"/>
      <c r="K719" s="76"/>
      <c r="L719" s="66"/>
      <c r="M719" s="66"/>
      <c r="N719" s="66"/>
      <c r="O719" s="66"/>
      <c r="P719" s="66"/>
      <c r="Q719" s="66"/>
      <c r="R719" s="66"/>
      <c r="S719" s="66"/>
      <c r="T719" s="66"/>
      <c r="U719" s="66"/>
      <c r="V719" s="66"/>
      <c r="W719" s="66"/>
      <c r="X719" s="66"/>
      <c r="Y719" s="66"/>
    </row>
    <row r="720">
      <c r="A720" s="71"/>
      <c r="B720" s="71"/>
      <c r="C720" s="73"/>
      <c r="D720" s="73"/>
      <c r="E720" s="75"/>
      <c r="F720" s="75"/>
      <c r="G720" s="75"/>
      <c r="H720" s="75"/>
      <c r="I720" s="29"/>
      <c r="J720" s="76"/>
      <c r="K720" s="76"/>
      <c r="L720" s="66"/>
      <c r="M720" s="66"/>
      <c r="N720" s="66"/>
      <c r="O720" s="66"/>
      <c r="P720" s="66"/>
      <c r="Q720" s="66"/>
      <c r="R720" s="66"/>
      <c r="S720" s="66"/>
      <c r="T720" s="66"/>
      <c r="U720" s="66"/>
      <c r="V720" s="66"/>
      <c r="W720" s="66"/>
      <c r="X720" s="66"/>
      <c r="Y720" s="66"/>
    </row>
    <row r="721">
      <c r="A721" s="71"/>
      <c r="B721" s="71"/>
      <c r="C721" s="73"/>
      <c r="D721" s="73"/>
      <c r="E721" s="75"/>
      <c r="F721" s="75"/>
      <c r="G721" s="75"/>
      <c r="H721" s="75"/>
      <c r="I721" s="29"/>
      <c r="J721" s="76"/>
      <c r="K721" s="76"/>
      <c r="L721" s="66"/>
      <c r="M721" s="66"/>
      <c r="N721" s="66"/>
      <c r="O721" s="66"/>
      <c r="P721" s="66"/>
      <c r="Q721" s="66"/>
      <c r="R721" s="66"/>
      <c r="S721" s="66"/>
      <c r="T721" s="66"/>
      <c r="U721" s="66"/>
      <c r="V721" s="66"/>
      <c r="W721" s="66"/>
      <c r="X721" s="66"/>
      <c r="Y721" s="66"/>
    </row>
    <row r="722">
      <c r="A722" s="71"/>
      <c r="B722" s="71"/>
      <c r="C722" s="73"/>
      <c r="D722" s="73"/>
      <c r="E722" s="75"/>
      <c r="F722" s="75"/>
      <c r="G722" s="75"/>
      <c r="H722" s="75"/>
      <c r="I722" s="29"/>
      <c r="J722" s="76"/>
      <c r="K722" s="76"/>
      <c r="L722" s="66"/>
      <c r="M722" s="66"/>
      <c r="N722" s="66"/>
      <c r="O722" s="66"/>
      <c r="P722" s="66"/>
      <c r="Q722" s="66"/>
      <c r="R722" s="66"/>
      <c r="S722" s="66"/>
      <c r="T722" s="66"/>
      <c r="U722" s="66"/>
      <c r="V722" s="66"/>
      <c r="W722" s="66"/>
      <c r="X722" s="66"/>
      <c r="Y722" s="66"/>
    </row>
    <row r="723">
      <c r="A723" s="71"/>
      <c r="B723" s="71"/>
      <c r="C723" s="73"/>
      <c r="D723" s="73"/>
      <c r="E723" s="75"/>
      <c r="F723" s="75"/>
      <c r="G723" s="75"/>
      <c r="H723" s="75"/>
      <c r="I723" s="29"/>
      <c r="J723" s="76"/>
      <c r="K723" s="76"/>
      <c r="L723" s="66"/>
      <c r="M723" s="66"/>
      <c r="N723" s="66"/>
      <c r="O723" s="66"/>
      <c r="P723" s="66"/>
      <c r="Q723" s="66"/>
      <c r="R723" s="66"/>
      <c r="S723" s="66"/>
      <c r="T723" s="66"/>
      <c r="U723" s="66"/>
      <c r="V723" s="66"/>
      <c r="W723" s="66"/>
      <c r="X723" s="66"/>
      <c r="Y723" s="66"/>
    </row>
    <row r="724">
      <c r="A724" s="71"/>
      <c r="B724" s="71"/>
      <c r="C724" s="73"/>
      <c r="D724" s="73"/>
      <c r="E724" s="75"/>
      <c r="F724" s="75"/>
      <c r="G724" s="75"/>
      <c r="H724" s="75"/>
      <c r="I724" s="29"/>
      <c r="J724" s="76"/>
      <c r="K724" s="76"/>
      <c r="L724" s="66"/>
      <c r="M724" s="66"/>
      <c r="N724" s="66"/>
      <c r="O724" s="66"/>
      <c r="P724" s="66"/>
      <c r="Q724" s="66"/>
      <c r="R724" s="66"/>
      <c r="S724" s="66"/>
      <c r="T724" s="66"/>
      <c r="U724" s="66"/>
      <c r="V724" s="66"/>
      <c r="W724" s="66"/>
      <c r="X724" s="66"/>
      <c r="Y724" s="66"/>
    </row>
    <row r="725">
      <c r="A725" s="71"/>
      <c r="B725" s="71"/>
      <c r="C725" s="73"/>
      <c r="D725" s="73"/>
      <c r="E725" s="75"/>
      <c r="F725" s="75"/>
      <c r="G725" s="75"/>
      <c r="H725" s="75"/>
      <c r="I725" s="29"/>
      <c r="J725" s="76"/>
      <c r="K725" s="76"/>
      <c r="L725" s="66"/>
      <c r="M725" s="66"/>
      <c r="N725" s="66"/>
      <c r="O725" s="66"/>
      <c r="P725" s="66"/>
      <c r="Q725" s="66"/>
      <c r="R725" s="66"/>
      <c r="S725" s="66"/>
      <c r="T725" s="66"/>
      <c r="U725" s="66"/>
      <c r="V725" s="66"/>
      <c r="W725" s="66"/>
      <c r="X725" s="66"/>
      <c r="Y725" s="66"/>
    </row>
    <row r="726">
      <c r="A726" s="71"/>
      <c r="B726" s="71"/>
      <c r="C726" s="73"/>
      <c r="D726" s="73"/>
      <c r="E726" s="75"/>
      <c r="F726" s="75"/>
      <c r="G726" s="75"/>
      <c r="H726" s="75"/>
      <c r="I726" s="29"/>
      <c r="J726" s="76"/>
      <c r="K726" s="76"/>
      <c r="L726" s="66"/>
      <c r="M726" s="66"/>
      <c r="N726" s="66"/>
      <c r="O726" s="66"/>
      <c r="P726" s="66"/>
      <c r="Q726" s="66"/>
      <c r="R726" s="66"/>
      <c r="S726" s="66"/>
      <c r="T726" s="66"/>
      <c r="U726" s="66"/>
      <c r="V726" s="66"/>
      <c r="W726" s="66"/>
      <c r="X726" s="66"/>
      <c r="Y726" s="66"/>
    </row>
    <row r="727">
      <c r="A727" s="71"/>
      <c r="B727" s="71"/>
      <c r="C727" s="73"/>
      <c r="D727" s="73"/>
      <c r="E727" s="75"/>
      <c r="F727" s="75"/>
      <c r="G727" s="75"/>
      <c r="H727" s="75"/>
      <c r="I727" s="29"/>
      <c r="J727" s="76"/>
      <c r="K727" s="76"/>
      <c r="L727" s="66"/>
      <c r="M727" s="66"/>
      <c r="N727" s="66"/>
      <c r="O727" s="66"/>
      <c r="P727" s="66"/>
      <c r="Q727" s="66"/>
      <c r="R727" s="66"/>
      <c r="S727" s="66"/>
      <c r="T727" s="66"/>
      <c r="U727" s="66"/>
      <c r="V727" s="66"/>
      <c r="W727" s="66"/>
      <c r="X727" s="66"/>
      <c r="Y727" s="66"/>
    </row>
    <row r="728">
      <c r="A728" s="71"/>
      <c r="B728" s="71"/>
      <c r="C728" s="73"/>
      <c r="D728" s="73"/>
      <c r="E728" s="75"/>
      <c r="F728" s="75"/>
      <c r="G728" s="75"/>
      <c r="H728" s="75"/>
      <c r="I728" s="29"/>
      <c r="J728" s="76"/>
      <c r="K728" s="76"/>
      <c r="L728" s="66"/>
      <c r="M728" s="66"/>
      <c r="N728" s="66"/>
      <c r="O728" s="66"/>
      <c r="P728" s="66"/>
      <c r="Q728" s="66"/>
      <c r="R728" s="66"/>
      <c r="S728" s="66"/>
      <c r="T728" s="66"/>
      <c r="U728" s="66"/>
      <c r="V728" s="66"/>
      <c r="W728" s="66"/>
      <c r="X728" s="66"/>
      <c r="Y728" s="66"/>
    </row>
    <row r="729">
      <c r="A729" s="71"/>
      <c r="B729" s="71"/>
      <c r="C729" s="73"/>
      <c r="D729" s="73"/>
      <c r="E729" s="75"/>
      <c r="F729" s="75"/>
      <c r="G729" s="75"/>
      <c r="H729" s="75"/>
      <c r="I729" s="29"/>
      <c r="J729" s="76"/>
      <c r="K729" s="76"/>
      <c r="L729" s="66"/>
      <c r="M729" s="66"/>
      <c r="N729" s="66"/>
      <c r="O729" s="66"/>
      <c r="P729" s="66"/>
      <c r="Q729" s="66"/>
      <c r="R729" s="66"/>
      <c r="S729" s="66"/>
      <c r="T729" s="66"/>
      <c r="U729" s="66"/>
      <c r="V729" s="66"/>
      <c r="W729" s="66"/>
      <c r="X729" s="66"/>
      <c r="Y729" s="66"/>
    </row>
    <row r="730">
      <c r="A730" s="71"/>
      <c r="B730" s="71"/>
      <c r="C730" s="73"/>
      <c r="D730" s="73"/>
      <c r="E730" s="75"/>
      <c r="F730" s="75"/>
      <c r="G730" s="75"/>
      <c r="H730" s="75"/>
      <c r="I730" s="29"/>
      <c r="J730" s="76"/>
      <c r="K730" s="76"/>
      <c r="L730" s="66"/>
      <c r="M730" s="66"/>
      <c r="N730" s="66"/>
      <c r="O730" s="66"/>
      <c r="P730" s="66"/>
      <c r="Q730" s="66"/>
      <c r="R730" s="66"/>
      <c r="S730" s="66"/>
      <c r="T730" s="66"/>
      <c r="U730" s="66"/>
      <c r="V730" s="66"/>
      <c r="W730" s="66"/>
      <c r="X730" s="66"/>
      <c r="Y730" s="66"/>
    </row>
    <row r="731">
      <c r="A731" s="71"/>
      <c r="B731" s="71"/>
      <c r="C731" s="73"/>
      <c r="D731" s="73"/>
      <c r="E731" s="75"/>
      <c r="F731" s="75"/>
      <c r="G731" s="75"/>
      <c r="H731" s="75"/>
      <c r="I731" s="29"/>
      <c r="J731" s="76"/>
      <c r="K731" s="76"/>
      <c r="L731" s="66"/>
      <c r="M731" s="66"/>
      <c r="N731" s="66"/>
      <c r="O731" s="66"/>
      <c r="P731" s="66"/>
      <c r="Q731" s="66"/>
      <c r="R731" s="66"/>
      <c r="S731" s="66"/>
      <c r="T731" s="66"/>
      <c r="U731" s="66"/>
      <c r="V731" s="66"/>
      <c r="W731" s="66"/>
      <c r="X731" s="66"/>
      <c r="Y731" s="66"/>
    </row>
    <row r="732">
      <c r="A732" s="71"/>
      <c r="B732" s="71"/>
      <c r="C732" s="73"/>
      <c r="D732" s="73"/>
      <c r="E732" s="75"/>
      <c r="F732" s="75"/>
      <c r="G732" s="75"/>
      <c r="H732" s="75"/>
      <c r="I732" s="29"/>
      <c r="J732" s="76"/>
      <c r="K732" s="76"/>
      <c r="L732" s="66"/>
      <c r="M732" s="66"/>
      <c r="N732" s="66"/>
      <c r="O732" s="66"/>
      <c r="P732" s="66"/>
      <c r="Q732" s="66"/>
      <c r="R732" s="66"/>
      <c r="S732" s="66"/>
      <c r="T732" s="66"/>
      <c r="U732" s="66"/>
      <c r="V732" s="66"/>
      <c r="W732" s="66"/>
      <c r="X732" s="66"/>
      <c r="Y732" s="66"/>
    </row>
    <row r="733">
      <c r="A733" s="71"/>
      <c r="B733" s="71"/>
      <c r="C733" s="73"/>
      <c r="D733" s="73"/>
      <c r="E733" s="75"/>
      <c r="F733" s="75"/>
      <c r="G733" s="75"/>
      <c r="H733" s="75"/>
      <c r="I733" s="29"/>
      <c r="J733" s="76"/>
      <c r="K733" s="76"/>
      <c r="L733" s="66"/>
      <c r="M733" s="66"/>
      <c r="N733" s="66"/>
      <c r="O733" s="66"/>
      <c r="P733" s="66"/>
      <c r="Q733" s="66"/>
      <c r="R733" s="66"/>
      <c r="S733" s="66"/>
      <c r="T733" s="66"/>
      <c r="U733" s="66"/>
      <c r="V733" s="66"/>
      <c r="W733" s="66"/>
      <c r="X733" s="66"/>
      <c r="Y733" s="66"/>
    </row>
    <row r="734">
      <c r="A734" s="71"/>
      <c r="B734" s="71"/>
      <c r="C734" s="73"/>
      <c r="D734" s="73"/>
      <c r="E734" s="75"/>
      <c r="F734" s="75"/>
      <c r="G734" s="75"/>
      <c r="H734" s="75"/>
      <c r="I734" s="29"/>
      <c r="J734" s="76"/>
      <c r="K734" s="76"/>
      <c r="L734" s="66"/>
      <c r="M734" s="66"/>
      <c r="N734" s="66"/>
      <c r="O734" s="66"/>
      <c r="P734" s="66"/>
      <c r="Q734" s="66"/>
      <c r="R734" s="66"/>
      <c r="S734" s="66"/>
      <c r="T734" s="66"/>
      <c r="U734" s="66"/>
      <c r="V734" s="66"/>
      <c r="W734" s="66"/>
      <c r="X734" s="66"/>
      <c r="Y734" s="66"/>
    </row>
    <row r="735">
      <c r="A735" s="71"/>
      <c r="B735" s="71"/>
      <c r="C735" s="73"/>
      <c r="D735" s="73"/>
      <c r="E735" s="75"/>
      <c r="F735" s="75"/>
      <c r="G735" s="75"/>
      <c r="H735" s="75"/>
      <c r="I735" s="29"/>
      <c r="J735" s="76"/>
      <c r="K735" s="76"/>
      <c r="L735" s="66"/>
      <c r="M735" s="66"/>
      <c r="N735" s="66"/>
      <c r="O735" s="66"/>
      <c r="P735" s="66"/>
      <c r="Q735" s="66"/>
      <c r="R735" s="66"/>
      <c r="S735" s="66"/>
      <c r="T735" s="66"/>
      <c r="U735" s="66"/>
      <c r="V735" s="66"/>
      <c r="W735" s="66"/>
      <c r="X735" s="66"/>
      <c r="Y735" s="66"/>
    </row>
    <row r="736">
      <c r="A736" s="71"/>
      <c r="B736" s="71"/>
      <c r="C736" s="73"/>
      <c r="D736" s="73"/>
      <c r="E736" s="75"/>
      <c r="F736" s="75"/>
      <c r="G736" s="75"/>
      <c r="H736" s="75"/>
      <c r="I736" s="29"/>
      <c r="J736" s="76"/>
      <c r="K736" s="76"/>
      <c r="L736" s="66"/>
      <c r="M736" s="66"/>
      <c r="N736" s="66"/>
      <c r="O736" s="66"/>
      <c r="P736" s="66"/>
      <c r="Q736" s="66"/>
      <c r="R736" s="66"/>
      <c r="S736" s="66"/>
      <c r="T736" s="66"/>
      <c r="U736" s="66"/>
      <c r="V736" s="66"/>
      <c r="W736" s="66"/>
      <c r="X736" s="66"/>
      <c r="Y736" s="66"/>
    </row>
    <row r="737">
      <c r="A737" s="71"/>
      <c r="B737" s="71"/>
      <c r="C737" s="73"/>
      <c r="D737" s="73"/>
      <c r="E737" s="75"/>
      <c r="F737" s="75"/>
      <c r="G737" s="75"/>
      <c r="H737" s="75"/>
      <c r="I737" s="29"/>
      <c r="J737" s="76"/>
      <c r="K737" s="76"/>
      <c r="L737" s="66"/>
      <c r="M737" s="66"/>
      <c r="N737" s="66"/>
      <c r="O737" s="66"/>
      <c r="P737" s="66"/>
      <c r="Q737" s="66"/>
      <c r="R737" s="66"/>
      <c r="S737" s="66"/>
      <c r="T737" s="66"/>
      <c r="U737" s="66"/>
      <c r="V737" s="66"/>
      <c r="W737" s="66"/>
      <c r="X737" s="66"/>
      <c r="Y737" s="66"/>
    </row>
    <row r="738">
      <c r="A738" s="71"/>
      <c r="B738" s="71"/>
      <c r="C738" s="73"/>
      <c r="D738" s="73"/>
      <c r="E738" s="75"/>
      <c r="F738" s="75"/>
      <c r="G738" s="75"/>
      <c r="H738" s="75"/>
      <c r="I738" s="29"/>
      <c r="J738" s="76"/>
      <c r="K738" s="76"/>
      <c r="L738" s="66"/>
      <c r="M738" s="66"/>
      <c r="N738" s="66"/>
      <c r="O738" s="66"/>
      <c r="P738" s="66"/>
      <c r="Q738" s="66"/>
      <c r="R738" s="66"/>
      <c r="S738" s="66"/>
      <c r="T738" s="66"/>
      <c r="U738" s="66"/>
      <c r="V738" s="66"/>
      <c r="W738" s="66"/>
      <c r="X738" s="66"/>
      <c r="Y738" s="66"/>
    </row>
    <row r="739">
      <c r="A739" s="71"/>
      <c r="B739" s="71"/>
      <c r="C739" s="73"/>
      <c r="D739" s="73"/>
      <c r="E739" s="75"/>
      <c r="F739" s="75"/>
      <c r="G739" s="75"/>
      <c r="H739" s="75"/>
      <c r="I739" s="29"/>
      <c r="J739" s="76"/>
      <c r="K739" s="76"/>
      <c r="L739" s="66"/>
      <c r="M739" s="66"/>
      <c r="N739" s="66"/>
      <c r="O739" s="66"/>
      <c r="P739" s="66"/>
      <c r="Q739" s="66"/>
      <c r="R739" s="66"/>
      <c r="S739" s="66"/>
      <c r="T739" s="66"/>
      <c r="U739" s="66"/>
      <c r="V739" s="66"/>
      <c r="W739" s="66"/>
      <c r="X739" s="66"/>
      <c r="Y739" s="66"/>
    </row>
    <row r="740">
      <c r="A740" s="71"/>
      <c r="B740" s="71"/>
      <c r="C740" s="73"/>
      <c r="D740" s="73"/>
      <c r="E740" s="75"/>
      <c r="F740" s="75"/>
      <c r="G740" s="75"/>
      <c r="H740" s="75"/>
      <c r="I740" s="29"/>
      <c r="J740" s="76"/>
      <c r="K740" s="76"/>
      <c r="L740" s="66"/>
      <c r="M740" s="66"/>
      <c r="N740" s="66"/>
      <c r="O740" s="66"/>
      <c r="P740" s="66"/>
      <c r="Q740" s="66"/>
      <c r="R740" s="66"/>
      <c r="S740" s="66"/>
      <c r="T740" s="66"/>
      <c r="U740" s="66"/>
      <c r="V740" s="66"/>
      <c r="W740" s="66"/>
      <c r="X740" s="66"/>
      <c r="Y740" s="66"/>
    </row>
    <row r="741">
      <c r="A741" s="71"/>
      <c r="B741" s="71"/>
      <c r="C741" s="73"/>
      <c r="D741" s="73"/>
      <c r="E741" s="75"/>
      <c r="F741" s="75"/>
      <c r="G741" s="75"/>
      <c r="H741" s="75"/>
      <c r="I741" s="29"/>
      <c r="J741" s="76"/>
      <c r="K741" s="76"/>
      <c r="L741" s="66"/>
      <c r="M741" s="66"/>
      <c r="N741" s="66"/>
      <c r="O741" s="66"/>
      <c r="P741" s="66"/>
      <c r="Q741" s="66"/>
      <c r="R741" s="66"/>
      <c r="S741" s="66"/>
      <c r="T741" s="66"/>
      <c r="U741" s="66"/>
      <c r="V741" s="66"/>
      <c r="W741" s="66"/>
      <c r="X741" s="66"/>
      <c r="Y741" s="66"/>
    </row>
    <row r="742">
      <c r="A742" s="71"/>
      <c r="B742" s="71"/>
      <c r="C742" s="73"/>
      <c r="D742" s="73"/>
      <c r="E742" s="75"/>
      <c r="F742" s="75"/>
      <c r="G742" s="75"/>
      <c r="H742" s="75"/>
      <c r="I742" s="29"/>
      <c r="J742" s="76"/>
      <c r="K742" s="76"/>
      <c r="L742" s="66"/>
      <c r="M742" s="66"/>
      <c r="N742" s="66"/>
      <c r="O742" s="66"/>
      <c r="P742" s="66"/>
      <c r="Q742" s="66"/>
      <c r="R742" s="66"/>
      <c r="S742" s="66"/>
      <c r="T742" s="66"/>
      <c r="U742" s="66"/>
      <c r="V742" s="66"/>
      <c r="W742" s="66"/>
      <c r="X742" s="66"/>
      <c r="Y742" s="66"/>
    </row>
    <row r="743">
      <c r="A743" s="71"/>
      <c r="B743" s="71"/>
      <c r="C743" s="73"/>
      <c r="D743" s="73"/>
      <c r="E743" s="75"/>
      <c r="F743" s="75"/>
      <c r="G743" s="75"/>
      <c r="H743" s="75"/>
      <c r="I743" s="29"/>
      <c r="J743" s="76"/>
      <c r="K743" s="76"/>
      <c r="L743" s="66"/>
      <c r="M743" s="66"/>
      <c r="N743" s="66"/>
      <c r="O743" s="66"/>
      <c r="P743" s="66"/>
      <c r="Q743" s="66"/>
      <c r="R743" s="66"/>
      <c r="S743" s="66"/>
      <c r="T743" s="66"/>
      <c r="U743" s="66"/>
      <c r="V743" s="66"/>
      <c r="W743" s="66"/>
      <c r="X743" s="66"/>
      <c r="Y743" s="66"/>
    </row>
    <row r="744">
      <c r="A744" s="71"/>
      <c r="B744" s="71"/>
      <c r="C744" s="73"/>
      <c r="D744" s="73"/>
      <c r="E744" s="75"/>
      <c r="F744" s="75"/>
      <c r="G744" s="75"/>
      <c r="H744" s="75"/>
      <c r="I744" s="29"/>
      <c r="J744" s="76"/>
      <c r="K744" s="76"/>
      <c r="L744" s="66"/>
      <c r="M744" s="66"/>
      <c r="N744" s="66"/>
      <c r="O744" s="66"/>
      <c r="P744" s="66"/>
      <c r="Q744" s="66"/>
      <c r="R744" s="66"/>
      <c r="S744" s="66"/>
      <c r="T744" s="66"/>
      <c r="U744" s="66"/>
      <c r="V744" s="66"/>
      <c r="W744" s="66"/>
      <c r="X744" s="66"/>
      <c r="Y744" s="66"/>
    </row>
    <row r="745">
      <c r="A745" s="71"/>
      <c r="B745" s="71"/>
      <c r="C745" s="73"/>
      <c r="D745" s="73"/>
      <c r="E745" s="75"/>
      <c r="F745" s="75"/>
      <c r="G745" s="75"/>
      <c r="H745" s="75"/>
      <c r="I745" s="29"/>
      <c r="J745" s="76"/>
      <c r="K745" s="76"/>
      <c r="L745" s="66"/>
      <c r="M745" s="66"/>
      <c r="N745" s="66"/>
      <c r="O745" s="66"/>
      <c r="P745" s="66"/>
      <c r="Q745" s="66"/>
      <c r="R745" s="66"/>
      <c r="S745" s="66"/>
      <c r="T745" s="66"/>
      <c r="U745" s="66"/>
      <c r="V745" s="66"/>
      <c r="W745" s="66"/>
      <c r="X745" s="66"/>
      <c r="Y745" s="66"/>
    </row>
    <row r="746">
      <c r="A746" s="71"/>
      <c r="B746" s="71"/>
      <c r="C746" s="73"/>
      <c r="D746" s="73"/>
      <c r="E746" s="75"/>
      <c r="F746" s="75"/>
      <c r="G746" s="75"/>
      <c r="H746" s="75"/>
      <c r="I746" s="29"/>
      <c r="J746" s="76"/>
      <c r="K746" s="76"/>
      <c r="L746" s="66"/>
      <c r="M746" s="66"/>
      <c r="N746" s="66"/>
      <c r="O746" s="66"/>
      <c r="P746" s="66"/>
      <c r="Q746" s="66"/>
      <c r="R746" s="66"/>
      <c r="S746" s="66"/>
      <c r="T746" s="66"/>
      <c r="U746" s="66"/>
      <c r="V746" s="66"/>
      <c r="W746" s="66"/>
      <c r="X746" s="66"/>
      <c r="Y746" s="66"/>
    </row>
    <row r="747">
      <c r="A747" s="71"/>
      <c r="B747" s="71"/>
      <c r="C747" s="73"/>
      <c r="D747" s="73"/>
      <c r="E747" s="75"/>
      <c r="F747" s="75"/>
      <c r="G747" s="75"/>
      <c r="H747" s="75"/>
      <c r="I747" s="29"/>
      <c r="J747" s="76"/>
      <c r="K747" s="76"/>
      <c r="L747" s="66"/>
      <c r="M747" s="66"/>
      <c r="N747" s="66"/>
      <c r="O747" s="66"/>
      <c r="P747" s="66"/>
      <c r="Q747" s="66"/>
      <c r="R747" s="66"/>
      <c r="S747" s="66"/>
      <c r="T747" s="66"/>
      <c r="U747" s="66"/>
      <c r="V747" s="66"/>
      <c r="W747" s="66"/>
      <c r="X747" s="66"/>
      <c r="Y747" s="66"/>
    </row>
    <row r="748">
      <c r="A748" s="71"/>
      <c r="B748" s="71"/>
      <c r="C748" s="73"/>
      <c r="D748" s="73"/>
      <c r="E748" s="75"/>
      <c r="F748" s="75"/>
      <c r="G748" s="75"/>
      <c r="H748" s="75"/>
      <c r="I748" s="29"/>
      <c r="J748" s="76"/>
      <c r="K748" s="76"/>
      <c r="L748" s="66"/>
      <c r="M748" s="66"/>
      <c r="N748" s="66"/>
      <c r="O748" s="66"/>
      <c r="P748" s="66"/>
      <c r="Q748" s="66"/>
      <c r="R748" s="66"/>
      <c r="S748" s="66"/>
      <c r="T748" s="66"/>
      <c r="U748" s="66"/>
      <c r="V748" s="66"/>
      <c r="W748" s="66"/>
      <c r="X748" s="66"/>
      <c r="Y748" s="66"/>
    </row>
    <row r="749">
      <c r="A749" s="71"/>
      <c r="B749" s="71"/>
      <c r="C749" s="73"/>
      <c r="D749" s="73"/>
      <c r="E749" s="75"/>
      <c r="F749" s="75"/>
      <c r="G749" s="75"/>
      <c r="H749" s="75"/>
      <c r="I749" s="29"/>
      <c r="J749" s="76"/>
      <c r="K749" s="76"/>
      <c r="L749" s="66"/>
      <c r="M749" s="66"/>
      <c r="N749" s="66"/>
      <c r="O749" s="66"/>
      <c r="P749" s="66"/>
      <c r="Q749" s="66"/>
      <c r="R749" s="66"/>
      <c r="S749" s="66"/>
      <c r="T749" s="66"/>
      <c r="U749" s="66"/>
      <c r="V749" s="66"/>
      <c r="W749" s="66"/>
      <c r="X749" s="66"/>
      <c r="Y749" s="66"/>
    </row>
    <row r="750">
      <c r="A750" s="71"/>
      <c r="B750" s="71"/>
      <c r="C750" s="73"/>
      <c r="D750" s="73"/>
      <c r="E750" s="75"/>
      <c r="F750" s="75"/>
      <c r="G750" s="75"/>
      <c r="H750" s="75"/>
      <c r="I750" s="29"/>
      <c r="J750" s="76"/>
      <c r="K750" s="76"/>
      <c r="L750" s="66"/>
      <c r="M750" s="66"/>
      <c r="N750" s="66"/>
      <c r="O750" s="66"/>
      <c r="P750" s="66"/>
      <c r="Q750" s="66"/>
      <c r="R750" s="66"/>
      <c r="S750" s="66"/>
      <c r="T750" s="66"/>
      <c r="U750" s="66"/>
      <c r="V750" s="66"/>
      <c r="W750" s="66"/>
      <c r="X750" s="66"/>
      <c r="Y750" s="66"/>
    </row>
    <row r="751">
      <c r="A751" s="71"/>
      <c r="B751" s="71"/>
      <c r="C751" s="73"/>
      <c r="D751" s="73"/>
      <c r="E751" s="75"/>
      <c r="F751" s="75"/>
      <c r="G751" s="75"/>
      <c r="H751" s="75"/>
      <c r="I751" s="29"/>
      <c r="J751" s="76"/>
      <c r="K751" s="76"/>
      <c r="L751" s="66"/>
      <c r="M751" s="66"/>
      <c r="N751" s="66"/>
      <c r="O751" s="66"/>
      <c r="P751" s="66"/>
      <c r="Q751" s="66"/>
      <c r="R751" s="66"/>
      <c r="S751" s="66"/>
      <c r="T751" s="66"/>
      <c r="U751" s="66"/>
      <c r="V751" s="66"/>
      <c r="W751" s="66"/>
      <c r="X751" s="66"/>
      <c r="Y751" s="66"/>
    </row>
    <row r="752">
      <c r="A752" s="71"/>
      <c r="B752" s="71"/>
      <c r="C752" s="73"/>
      <c r="D752" s="73"/>
      <c r="E752" s="75"/>
      <c r="F752" s="75"/>
      <c r="G752" s="75"/>
      <c r="H752" s="75"/>
      <c r="I752" s="29"/>
      <c r="J752" s="76"/>
      <c r="K752" s="76"/>
      <c r="L752" s="66"/>
      <c r="M752" s="66"/>
      <c r="N752" s="66"/>
      <c r="O752" s="66"/>
      <c r="P752" s="66"/>
      <c r="Q752" s="66"/>
      <c r="R752" s="66"/>
      <c r="S752" s="66"/>
      <c r="T752" s="66"/>
      <c r="U752" s="66"/>
      <c r="V752" s="66"/>
      <c r="W752" s="66"/>
      <c r="X752" s="66"/>
      <c r="Y752" s="66"/>
    </row>
    <row r="753">
      <c r="A753" s="71"/>
      <c r="B753" s="71"/>
      <c r="C753" s="73"/>
      <c r="D753" s="73"/>
      <c r="E753" s="75"/>
      <c r="F753" s="75"/>
      <c r="G753" s="75"/>
      <c r="H753" s="75"/>
      <c r="I753" s="29"/>
      <c r="J753" s="76"/>
      <c r="K753" s="76"/>
      <c r="L753" s="66"/>
      <c r="M753" s="66"/>
      <c r="N753" s="66"/>
      <c r="O753" s="66"/>
      <c r="P753" s="66"/>
      <c r="Q753" s="66"/>
      <c r="R753" s="66"/>
      <c r="S753" s="66"/>
      <c r="T753" s="66"/>
      <c r="U753" s="66"/>
      <c r="V753" s="66"/>
      <c r="W753" s="66"/>
      <c r="X753" s="66"/>
      <c r="Y753" s="66"/>
    </row>
    <row r="754">
      <c r="A754" s="71"/>
      <c r="B754" s="71"/>
      <c r="C754" s="73"/>
      <c r="D754" s="73"/>
      <c r="E754" s="75"/>
      <c r="F754" s="75"/>
      <c r="G754" s="75"/>
      <c r="H754" s="75"/>
      <c r="I754" s="29"/>
      <c r="J754" s="76"/>
      <c r="K754" s="76"/>
      <c r="L754" s="66"/>
      <c r="M754" s="66"/>
      <c r="N754" s="66"/>
      <c r="O754" s="66"/>
      <c r="P754" s="66"/>
      <c r="Q754" s="66"/>
      <c r="R754" s="66"/>
      <c r="S754" s="66"/>
      <c r="T754" s="66"/>
      <c r="U754" s="66"/>
      <c r="V754" s="66"/>
      <c r="W754" s="66"/>
      <c r="X754" s="66"/>
      <c r="Y754" s="66"/>
    </row>
    <row r="755">
      <c r="A755" s="71"/>
      <c r="B755" s="71"/>
      <c r="C755" s="73"/>
      <c r="D755" s="73"/>
      <c r="E755" s="75"/>
      <c r="F755" s="75"/>
      <c r="G755" s="75"/>
      <c r="H755" s="75"/>
      <c r="I755" s="29"/>
      <c r="J755" s="76"/>
      <c r="K755" s="76"/>
      <c r="L755" s="66"/>
      <c r="M755" s="66"/>
      <c r="N755" s="66"/>
      <c r="O755" s="66"/>
      <c r="P755" s="66"/>
      <c r="Q755" s="66"/>
      <c r="R755" s="66"/>
      <c r="S755" s="66"/>
      <c r="T755" s="66"/>
      <c r="U755" s="66"/>
      <c r="V755" s="66"/>
      <c r="W755" s="66"/>
      <c r="X755" s="66"/>
      <c r="Y755" s="66"/>
    </row>
    <row r="756">
      <c r="A756" s="71"/>
      <c r="B756" s="71"/>
      <c r="C756" s="73"/>
      <c r="D756" s="73"/>
      <c r="E756" s="75"/>
      <c r="F756" s="75"/>
      <c r="G756" s="75"/>
      <c r="H756" s="75"/>
      <c r="I756" s="29"/>
      <c r="J756" s="76"/>
      <c r="K756" s="76"/>
      <c r="L756" s="66"/>
      <c r="M756" s="66"/>
      <c r="N756" s="66"/>
      <c r="O756" s="66"/>
      <c r="P756" s="66"/>
      <c r="Q756" s="66"/>
      <c r="R756" s="66"/>
      <c r="S756" s="66"/>
      <c r="T756" s="66"/>
      <c r="U756" s="66"/>
      <c r="V756" s="66"/>
      <c r="W756" s="66"/>
      <c r="X756" s="66"/>
      <c r="Y756" s="66"/>
    </row>
    <row r="757">
      <c r="A757" s="71"/>
      <c r="B757" s="71"/>
      <c r="C757" s="73"/>
      <c r="D757" s="73"/>
      <c r="E757" s="75"/>
      <c r="F757" s="75"/>
      <c r="G757" s="75"/>
      <c r="H757" s="75"/>
      <c r="I757" s="29"/>
      <c r="J757" s="76"/>
      <c r="K757" s="76"/>
      <c r="L757" s="66"/>
      <c r="M757" s="66"/>
      <c r="N757" s="66"/>
      <c r="O757" s="66"/>
      <c r="P757" s="66"/>
      <c r="Q757" s="66"/>
      <c r="R757" s="66"/>
      <c r="S757" s="66"/>
      <c r="T757" s="66"/>
      <c r="U757" s="66"/>
      <c r="V757" s="66"/>
      <c r="W757" s="66"/>
      <c r="X757" s="66"/>
      <c r="Y757" s="66"/>
    </row>
    <row r="758">
      <c r="A758" s="71"/>
      <c r="B758" s="71"/>
      <c r="C758" s="73"/>
      <c r="D758" s="73"/>
      <c r="E758" s="75"/>
      <c r="F758" s="75"/>
      <c r="G758" s="75"/>
      <c r="H758" s="75"/>
      <c r="I758" s="29"/>
      <c r="J758" s="76"/>
      <c r="K758" s="76"/>
      <c r="L758" s="66"/>
      <c r="M758" s="66"/>
      <c r="N758" s="66"/>
      <c r="O758" s="66"/>
      <c r="P758" s="66"/>
      <c r="Q758" s="66"/>
      <c r="R758" s="66"/>
      <c r="S758" s="66"/>
      <c r="T758" s="66"/>
      <c r="U758" s="66"/>
      <c r="V758" s="66"/>
      <c r="W758" s="66"/>
      <c r="X758" s="66"/>
      <c r="Y758" s="66"/>
    </row>
    <row r="759">
      <c r="A759" s="71"/>
      <c r="B759" s="71"/>
      <c r="C759" s="73"/>
      <c r="D759" s="73"/>
      <c r="E759" s="75"/>
      <c r="F759" s="75"/>
      <c r="G759" s="75"/>
      <c r="H759" s="75"/>
      <c r="I759" s="29"/>
      <c r="J759" s="76"/>
      <c r="K759" s="76"/>
      <c r="L759" s="66"/>
      <c r="M759" s="66"/>
      <c r="N759" s="66"/>
      <c r="O759" s="66"/>
      <c r="P759" s="66"/>
      <c r="Q759" s="66"/>
      <c r="R759" s="66"/>
      <c r="S759" s="66"/>
      <c r="T759" s="66"/>
      <c r="U759" s="66"/>
      <c r="V759" s="66"/>
      <c r="W759" s="66"/>
      <c r="X759" s="66"/>
      <c r="Y759" s="66"/>
    </row>
    <row r="760">
      <c r="A760" s="71"/>
      <c r="B760" s="71"/>
      <c r="C760" s="73"/>
      <c r="D760" s="73"/>
      <c r="E760" s="75"/>
      <c r="F760" s="75"/>
      <c r="G760" s="75"/>
      <c r="H760" s="75"/>
      <c r="I760" s="29"/>
      <c r="J760" s="76"/>
      <c r="K760" s="76"/>
      <c r="L760" s="66"/>
      <c r="M760" s="66"/>
      <c r="N760" s="66"/>
      <c r="O760" s="66"/>
      <c r="P760" s="66"/>
      <c r="Q760" s="66"/>
      <c r="R760" s="66"/>
      <c r="S760" s="66"/>
      <c r="T760" s="66"/>
      <c r="U760" s="66"/>
      <c r="V760" s="66"/>
      <c r="W760" s="66"/>
      <c r="X760" s="66"/>
      <c r="Y760" s="66"/>
    </row>
    <row r="761">
      <c r="A761" s="71"/>
      <c r="B761" s="71"/>
      <c r="C761" s="73"/>
      <c r="D761" s="73"/>
      <c r="E761" s="75"/>
      <c r="F761" s="75"/>
      <c r="G761" s="75"/>
      <c r="H761" s="75"/>
      <c r="I761" s="29"/>
      <c r="J761" s="76"/>
      <c r="K761" s="76"/>
      <c r="L761" s="66"/>
      <c r="M761" s="66"/>
      <c r="N761" s="66"/>
      <c r="O761" s="66"/>
      <c r="P761" s="66"/>
      <c r="Q761" s="66"/>
      <c r="R761" s="66"/>
      <c r="S761" s="66"/>
      <c r="T761" s="66"/>
      <c r="U761" s="66"/>
      <c r="V761" s="66"/>
      <c r="W761" s="66"/>
      <c r="X761" s="66"/>
      <c r="Y761" s="66"/>
    </row>
    <row r="762">
      <c r="A762" s="71"/>
      <c r="B762" s="71"/>
      <c r="C762" s="73"/>
      <c r="D762" s="73"/>
      <c r="E762" s="75"/>
      <c r="F762" s="75"/>
      <c r="G762" s="75"/>
      <c r="H762" s="75"/>
      <c r="I762" s="29"/>
      <c r="J762" s="76"/>
      <c r="K762" s="76"/>
      <c r="L762" s="66"/>
      <c r="M762" s="66"/>
      <c r="N762" s="66"/>
      <c r="O762" s="66"/>
      <c r="P762" s="66"/>
      <c r="Q762" s="66"/>
      <c r="R762" s="66"/>
      <c r="S762" s="66"/>
      <c r="T762" s="66"/>
      <c r="U762" s="66"/>
      <c r="V762" s="66"/>
      <c r="W762" s="66"/>
      <c r="X762" s="66"/>
      <c r="Y762" s="66"/>
    </row>
    <row r="763">
      <c r="A763" s="71"/>
      <c r="B763" s="71"/>
      <c r="C763" s="73"/>
      <c r="D763" s="73"/>
      <c r="E763" s="75"/>
      <c r="F763" s="75"/>
      <c r="G763" s="75"/>
      <c r="H763" s="75"/>
      <c r="I763" s="29"/>
      <c r="J763" s="76"/>
      <c r="K763" s="76"/>
      <c r="L763" s="66"/>
      <c r="M763" s="66"/>
      <c r="N763" s="66"/>
      <c r="O763" s="66"/>
      <c r="P763" s="66"/>
      <c r="Q763" s="66"/>
      <c r="R763" s="66"/>
      <c r="S763" s="66"/>
      <c r="T763" s="66"/>
      <c r="U763" s="66"/>
      <c r="V763" s="66"/>
      <c r="W763" s="66"/>
      <c r="X763" s="66"/>
      <c r="Y763" s="66"/>
    </row>
    <row r="764">
      <c r="A764" s="71"/>
      <c r="B764" s="71"/>
      <c r="C764" s="73"/>
      <c r="D764" s="73"/>
      <c r="E764" s="75"/>
      <c r="F764" s="75"/>
      <c r="G764" s="75"/>
      <c r="H764" s="75"/>
      <c r="I764" s="29"/>
      <c r="J764" s="76"/>
      <c r="K764" s="76"/>
      <c r="L764" s="66"/>
      <c r="M764" s="66"/>
      <c r="N764" s="66"/>
      <c r="O764" s="66"/>
      <c r="P764" s="66"/>
      <c r="Q764" s="66"/>
      <c r="R764" s="66"/>
      <c r="S764" s="66"/>
      <c r="T764" s="66"/>
      <c r="U764" s="66"/>
      <c r="V764" s="66"/>
      <c r="W764" s="66"/>
      <c r="X764" s="66"/>
      <c r="Y764" s="66"/>
    </row>
    <row r="765">
      <c r="A765" s="71"/>
      <c r="B765" s="71"/>
      <c r="C765" s="73"/>
      <c r="D765" s="73"/>
      <c r="E765" s="75"/>
      <c r="F765" s="75"/>
      <c r="G765" s="75"/>
      <c r="H765" s="75"/>
      <c r="I765" s="29"/>
      <c r="J765" s="76"/>
      <c r="K765" s="76"/>
      <c r="L765" s="66"/>
      <c r="M765" s="66"/>
      <c r="N765" s="66"/>
      <c r="O765" s="66"/>
      <c r="P765" s="66"/>
      <c r="Q765" s="66"/>
      <c r="R765" s="66"/>
      <c r="S765" s="66"/>
      <c r="T765" s="66"/>
      <c r="U765" s="66"/>
      <c r="V765" s="66"/>
      <c r="W765" s="66"/>
      <c r="X765" s="66"/>
      <c r="Y765" s="66"/>
    </row>
    <row r="766">
      <c r="A766" s="71"/>
      <c r="B766" s="71"/>
      <c r="C766" s="73"/>
      <c r="D766" s="73"/>
      <c r="E766" s="75"/>
      <c r="F766" s="75"/>
      <c r="G766" s="75"/>
      <c r="H766" s="75"/>
      <c r="I766" s="29"/>
      <c r="J766" s="76"/>
      <c r="K766" s="76"/>
      <c r="L766" s="66"/>
      <c r="M766" s="66"/>
      <c r="N766" s="66"/>
      <c r="O766" s="66"/>
      <c r="P766" s="66"/>
      <c r="Q766" s="66"/>
      <c r="R766" s="66"/>
      <c r="S766" s="66"/>
      <c r="T766" s="66"/>
      <c r="U766" s="66"/>
      <c r="V766" s="66"/>
      <c r="W766" s="66"/>
      <c r="X766" s="66"/>
      <c r="Y766" s="66"/>
    </row>
    <row r="767">
      <c r="A767" s="71"/>
      <c r="B767" s="71"/>
      <c r="C767" s="73"/>
      <c r="D767" s="73"/>
      <c r="E767" s="75"/>
      <c r="F767" s="75"/>
      <c r="G767" s="75"/>
      <c r="H767" s="75"/>
      <c r="I767" s="29"/>
      <c r="J767" s="76"/>
      <c r="K767" s="76"/>
      <c r="L767" s="66"/>
      <c r="M767" s="66"/>
      <c r="N767" s="66"/>
      <c r="O767" s="66"/>
      <c r="P767" s="66"/>
      <c r="Q767" s="66"/>
      <c r="R767" s="66"/>
      <c r="S767" s="66"/>
      <c r="T767" s="66"/>
      <c r="U767" s="66"/>
      <c r="V767" s="66"/>
      <c r="W767" s="66"/>
      <c r="X767" s="66"/>
      <c r="Y767" s="66"/>
    </row>
    <row r="768">
      <c r="A768" s="71"/>
      <c r="B768" s="71"/>
      <c r="C768" s="73"/>
      <c r="D768" s="73"/>
      <c r="E768" s="75"/>
      <c r="F768" s="75"/>
      <c r="G768" s="75"/>
      <c r="H768" s="75"/>
      <c r="I768" s="29"/>
      <c r="J768" s="76"/>
      <c r="K768" s="76"/>
      <c r="L768" s="66"/>
      <c r="M768" s="66"/>
      <c r="N768" s="66"/>
      <c r="O768" s="66"/>
      <c r="P768" s="66"/>
      <c r="Q768" s="66"/>
      <c r="R768" s="66"/>
      <c r="S768" s="66"/>
      <c r="T768" s="66"/>
      <c r="U768" s="66"/>
      <c r="V768" s="66"/>
      <c r="W768" s="66"/>
      <c r="X768" s="66"/>
      <c r="Y768" s="66"/>
    </row>
    <row r="769">
      <c r="A769" s="71"/>
      <c r="B769" s="71"/>
      <c r="C769" s="73"/>
      <c r="D769" s="73"/>
      <c r="E769" s="75"/>
      <c r="F769" s="75"/>
      <c r="G769" s="75"/>
      <c r="H769" s="75"/>
      <c r="I769" s="29"/>
      <c r="J769" s="76"/>
      <c r="K769" s="76"/>
      <c r="L769" s="66"/>
      <c r="M769" s="66"/>
      <c r="N769" s="66"/>
      <c r="O769" s="66"/>
      <c r="P769" s="66"/>
      <c r="Q769" s="66"/>
      <c r="R769" s="66"/>
      <c r="S769" s="66"/>
      <c r="T769" s="66"/>
      <c r="U769" s="66"/>
      <c r="V769" s="66"/>
      <c r="W769" s="66"/>
      <c r="X769" s="66"/>
      <c r="Y769" s="66"/>
    </row>
    <row r="770">
      <c r="A770" s="71"/>
      <c r="B770" s="71"/>
      <c r="C770" s="73"/>
      <c r="D770" s="73"/>
      <c r="E770" s="75"/>
      <c r="F770" s="75"/>
      <c r="G770" s="75"/>
      <c r="H770" s="75"/>
      <c r="I770" s="29"/>
      <c r="J770" s="76"/>
      <c r="K770" s="76"/>
      <c r="L770" s="66"/>
      <c r="M770" s="66"/>
      <c r="N770" s="66"/>
      <c r="O770" s="66"/>
      <c r="P770" s="66"/>
      <c r="Q770" s="66"/>
      <c r="R770" s="66"/>
      <c r="S770" s="66"/>
      <c r="T770" s="66"/>
      <c r="U770" s="66"/>
      <c r="V770" s="66"/>
      <c r="W770" s="66"/>
      <c r="X770" s="66"/>
      <c r="Y770" s="66"/>
    </row>
    <row r="771">
      <c r="A771" s="71"/>
      <c r="B771" s="71"/>
      <c r="C771" s="73"/>
      <c r="D771" s="73"/>
      <c r="E771" s="75"/>
      <c r="F771" s="75"/>
      <c r="G771" s="75"/>
      <c r="H771" s="75"/>
      <c r="I771" s="29"/>
      <c r="J771" s="76"/>
      <c r="K771" s="76"/>
      <c r="L771" s="66"/>
      <c r="M771" s="66"/>
      <c r="N771" s="66"/>
      <c r="O771" s="66"/>
      <c r="P771" s="66"/>
      <c r="Q771" s="66"/>
      <c r="R771" s="66"/>
      <c r="S771" s="66"/>
      <c r="T771" s="66"/>
      <c r="U771" s="66"/>
      <c r="V771" s="66"/>
      <c r="W771" s="66"/>
      <c r="X771" s="66"/>
      <c r="Y771" s="66"/>
    </row>
    <row r="772">
      <c r="A772" s="71"/>
      <c r="B772" s="71"/>
      <c r="C772" s="73"/>
      <c r="D772" s="73"/>
      <c r="E772" s="75"/>
      <c r="F772" s="75"/>
      <c r="G772" s="75"/>
      <c r="H772" s="75"/>
      <c r="I772" s="29"/>
      <c r="J772" s="76"/>
      <c r="K772" s="76"/>
      <c r="L772" s="66"/>
      <c r="M772" s="66"/>
      <c r="N772" s="66"/>
      <c r="O772" s="66"/>
      <c r="P772" s="66"/>
      <c r="Q772" s="66"/>
      <c r="R772" s="66"/>
      <c r="S772" s="66"/>
      <c r="T772" s="66"/>
      <c r="U772" s="66"/>
      <c r="V772" s="66"/>
      <c r="W772" s="66"/>
      <c r="X772" s="66"/>
      <c r="Y772" s="66"/>
    </row>
    <row r="773">
      <c r="A773" s="71"/>
      <c r="B773" s="71"/>
      <c r="C773" s="73"/>
      <c r="D773" s="73"/>
      <c r="E773" s="75"/>
      <c r="F773" s="75"/>
      <c r="G773" s="75"/>
      <c r="H773" s="75"/>
      <c r="I773" s="29"/>
      <c r="J773" s="76"/>
      <c r="K773" s="76"/>
      <c r="L773" s="66"/>
      <c r="M773" s="66"/>
      <c r="N773" s="66"/>
      <c r="O773" s="66"/>
      <c r="P773" s="66"/>
      <c r="Q773" s="66"/>
      <c r="R773" s="66"/>
      <c r="S773" s="66"/>
      <c r="T773" s="66"/>
      <c r="U773" s="66"/>
      <c r="V773" s="66"/>
      <c r="W773" s="66"/>
      <c r="X773" s="66"/>
      <c r="Y773" s="66"/>
    </row>
    <row r="774">
      <c r="A774" s="71"/>
      <c r="B774" s="71"/>
      <c r="C774" s="73"/>
      <c r="D774" s="73"/>
      <c r="E774" s="75"/>
      <c r="F774" s="75"/>
      <c r="G774" s="75"/>
      <c r="H774" s="75"/>
      <c r="I774" s="29"/>
      <c r="J774" s="76"/>
      <c r="K774" s="76"/>
      <c r="L774" s="66"/>
      <c r="M774" s="66"/>
      <c r="N774" s="66"/>
      <c r="O774" s="66"/>
      <c r="P774" s="66"/>
      <c r="Q774" s="66"/>
      <c r="R774" s="66"/>
      <c r="S774" s="66"/>
      <c r="T774" s="66"/>
      <c r="U774" s="66"/>
      <c r="V774" s="66"/>
      <c r="W774" s="66"/>
      <c r="X774" s="66"/>
      <c r="Y774" s="66"/>
    </row>
    <row r="775">
      <c r="A775" s="71"/>
      <c r="B775" s="71"/>
      <c r="C775" s="73"/>
      <c r="D775" s="73"/>
      <c r="E775" s="75"/>
      <c r="F775" s="75"/>
      <c r="G775" s="75"/>
      <c r="H775" s="75"/>
      <c r="I775" s="29"/>
      <c r="J775" s="76"/>
      <c r="K775" s="76"/>
      <c r="L775" s="66"/>
      <c r="M775" s="66"/>
      <c r="N775" s="66"/>
      <c r="O775" s="66"/>
      <c r="P775" s="66"/>
      <c r="Q775" s="66"/>
      <c r="R775" s="66"/>
      <c r="S775" s="66"/>
      <c r="T775" s="66"/>
      <c r="U775" s="66"/>
      <c r="V775" s="66"/>
      <c r="W775" s="66"/>
      <c r="X775" s="66"/>
      <c r="Y775" s="66"/>
    </row>
    <row r="776">
      <c r="A776" s="71"/>
      <c r="B776" s="71"/>
      <c r="C776" s="73"/>
      <c r="D776" s="73"/>
      <c r="E776" s="75"/>
      <c r="F776" s="75"/>
      <c r="G776" s="75"/>
      <c r="H776" s="75"/>
      <c r="I776" s="29"/>
      <c r="J776" s="76"/>
      <c r="K776" s="76"/>
      <c r="L776" s="66"/>
      <c r="M776" s="66"/>
      <c r="N776" s="66"/>
      <c r="O776" s="66"/>
      <c r="P776" s="66"/>
      <c r="Q776" s="66"/>
      <c r="R776" s="66"/>
      <c r="S776" s="66"/>
      <c r="T776" s="66"/>
      <c r="U776" s="66"/>
      <c r="V776" s="66"/>
      <c r="W776" s="66"/>
      <c r="X776" s="66"/>
      <c r="Y776" s="66"/>
    </row>
    <row r="777">
      <c r="A777" s="71"/>
      <c r="B777" s="71"/>
      <c r="C777" s="73"/>
      <c r="D777" s="73"/>
      <c r="E777" s="75"/>
      <c r="F777" s="75"/>
      <c r="G777" s="75"/>
      <c r="H777" s="75"/>
      <c r="I777" s="29"/>
      <c r="J777" s="76"/>
      <c r="K777" s="76"/>
      <c r="L777" s="66"/>
      <c r="M777" s="66"/>
      <c r="N777" s="66"/>
      <c r="O777" s="66"/>
      <c r="P777" s="66"/>
      <c r="Q777" s="66"/>
      <c r="R777" s="66"/>
      <c r="S777" s="66"/>
      <c r="T777" s="66"/>
      <c r="U777" s="66"/>
      <c r="V777" s="66"/>
      <c r="W777" s="66"/>
      <c r="X777" s="66"/>
      <c r="Y777" s="66"/>
    </row>
    <row r="778">
      <c r="A778" s="71"/>
      <c r="B778" s="71"/>
      <c r="C778" s="73"/>
      <c r="D778" s="73"/>
      <c r="E778" s="75"/>
      <c r="F778" s="75"/>
      <c r="G778" s="75"/>
      <c r="H778" s="75"/>
      <c r="I778" s="29"/>
      <c r="J778" s="76"/>
      <c r="K778" s="76"/>
      <c r="L778" s="66"/>
      <c r="M778" s="66"/>
      <c r="N778" s="66"/>
      <c r="O778" s="66"/>
      <c r="P778" s="66"/>
      <c r="Q778" s="66"/>
      <c r="R778" s="66"/>
      <c r="S778" s="66"/>
      <c r="T778" s="66"/>
      <c r="U778" s="66"/>
      <c r="V778" s="66"/>
      <c r="W778" s="66"/>
      <c r="X778" s="66"/>
      <c r="Y778" s="66"/>
    </row>
    <row r="779">
      <c r="A779" s="71"/>
      <c r="B779" s="71"/>
      <c r="C779" s="73"/>
      <c r="D779" s="73"/>
      <c r="E779" s="75"/>
      <c r="F779" s="75"/>
      <c r="G779" s="75"/>
      <c r="H779" s="75"/>
      <c r="I779" s="29"/>
      <c r="J779" s="76"/>
      <c r="K779" s="76"/>
      <c r="L779" s="66"/>
      <c r="M779" s="66"/>
      <c r="N779" s="66"/>
      <c r="O779" s="66"/>
      <c r="P779" s="66"/>
      <c r="Q779" s="66"/>
      <c r="R779" s="66"/>
      <c r="S779" s="66"/>
      <c r="T779" s="66"/>
      <c r="U779" s="66"/>
      <c r="V779" s="66"/>
      <c r="W779" s="66"/>
      <c r="X779" s="66"/>
      <c r="Y779" s="66"/>
    </row>
    <row r="780">
      <c r="A780" s="71"/>
      <c r="B780" s="71"/>
      <c r="C780" s="73"/>
      <c r="D780" s="73"/>
      <c r="E780" s="75"/>
      <c r="F780" s="75"/>
      <c r="G780" s="75"/>
      <c r="H780" s="75"/>
      <c r="I780" s="29"/>
      <c r="J780" s="76"/>
      <c r="K780" s="76"/>
      <c r="L780" s="66"/>
      <c r="M780" s="66"/>
      <c r="N780" s="66"/>
      <c r="O780" s="66"/>
      <c r="P780" s="66"/>
      <c r="Q780" s="66"/>
      <c r="R780" s="66"/>
      <c r="S780" s="66"/>
      <c r="T780" s="66"/>
      <c r="U780" s="66"/>
      <c r="V780" s="66"/>
      <c r="W780" s="66"/>
      <c r="X780" s="66"/>
      <c r="Y780" s="66"/>
    </row>
    <row r="781">
      <c r="A781" s="71"/>
      <c r="B781" s="71"/>
      <c r="C781" s="73"/>
      <c r="D781" s="73"/>
      <c r="E781" s="75"/>
      <c r="F781" s="75"/>
      <c r="G781" s="75"/>
      <c r="H781" s="75"/>
      <c r="I781" s="29"/>
      <c r="J781" s="76"/>
      <c r="K781" s="76"/>
      <c r="L781" s="66"/>
      <c r="M781" s="66"/>
      <c r="N781" s="66"/>
      <c r="O781" s="66"/>
      <c r="P781" s="66"/>
      <c r="Q781" s="66"/>
      <c r="R781" s="66"/>
      <c r="S781" s="66"/>
      <c r="T781" s="66"/>
      <c r="U781" s="66"/>
      <c r="V781" s="66"/>
      <c r="W781" s="66"/>
      <c r="X781" s="66"/>
      <c r="Y781" s="66"/>
    </row>
    <row r="782">
      <c r="A782" s="71"/>
      <c r="B782" s="71"/>
      <c r="C782" s="73"/>
      <c r="D782" s="73"/>
      <c r="E782" s="75"/>
      <c r="F782" s="75"/>
      <c r="G782" s="75"/>
      <c r="H782" s="75"/>
      <c r="I782" s="29"/>
      <c r="J782" s="76"/>
      <c r="K782" s="76"/>
      <c r="L782" s="66"/>
      <c r="M782" s="66"/>
      <c r="N782" s="66"/>
      <c r="O782" s="66"/>
      <c r="P782" s="66"/>
      <c r="Q782" s="66"/>
      <c r="R782" s="66"/>
      <c r="S782" s="66"/>
      <c r="T782" s="66"/>
      <c r="U782" s="66"/>
      <c r="V782" s="66"/>
      <c r="W782" s="66"/>
      <c r="X782" s="66"/>
      <c r="Y782" s="66"/>
    </row>
    <row r="783">
      <c r="A783" s="71"/>
      <c r="B783" s="71"/>
      <c r="C783" s="73"/>
      <c r="D783" s="73"/>
      <c r="E783" s="75"/>
      <c r="F783" s="75"/>
      <c r="G783" s="75"/>
      <c r="H783" s="75"/>
      <c r="I783" s="29"/>
      <c r="J783" s="76"/>
      <c r="K783" s="76"/>
      <c r="L783" s="66"/>
      <c r="M783" s="66"/>
      <c r="N783" s="66"/>
      <c r="O783" s="66"/>
      <c r="P783" s="66"/>
      <c r="Q783" s="66"/>
      <c r="R783" s="66"/>
      <c r="S783" s="66"/>
      <c r="T783" s="66"/>
      <c r="U783" s="66"/>
      <c r="V783" s="66"/>
      <c r="W783" s="66"/>
      <c r="X783" s="66"/>
      <c r="Y783" s="66"/>
    </row>
    <row r="784">
      <c r="A784" s="71"/>
      <c r="B784" s="71"/>
      <c r="C784" s="73"/>
      <c r="D784" s="73"/>
      <c r="E784" s="75"/>
      <c r="F784" s="75"/>
      <c r="G784" s="75"/>
      <c r="H784" s="75"/>
      <c r="I784" s="29"/>
      <c r="J784" s="76"/>
      <c r="K784" s="76"/>
      <c r="L784" s="66"/>
      <c r="M784" s="66"/>
      <c r="N784" s="66"/>
      <c r="O784" s="66"/>
      <c r="P784" s="66"/>
      <c r="Q784" s="66"/>
      <c r="R784" s="66"/>
      <c r="S784" s="66"/>
      <c r="T784" s="66"/>
      <c r="U784" s="66"/>
      <c r="V784" s="66"/>
      <c r="W784" s="66"/>
      <c r="X784" s="66"/>
      <c r="Y784" s="66"/>
    </row>
    <row r="785">
      <c r="A785" s="71"/>
      <c r="B785" s="71"/>
      <c r="C785" s="73"/>
      <c r="D785" s="73"/>
      <c r="E785" s="75"/>
      <c r="F785" s="75"/>
      <c r="G785" s="75"/>
      <c r="H785" s="75"/>
      <c r="I785" s="29"/>
      <c r="J785" s="76"/>
      <c r="K785" s="76"/>
      <c r="L785" s="66"/>
      <c r="M785" s="66"/>
      <c r="N785" s="66"/>
      <c r="O785" s="66"/>
      <c r="P785" s="66"/>
      <c r="Q785" s="66"/>
      <c r="R785" s="66"/>
      <c r="S785" s="66"/>
      <c r="T785" s="66"/>
      <c r="U785" s="66"/>
      <c r="V785" s="66"/>
      <c r="W785" s="66"/>
      <c r="X785" s="66"/>
      <c r="Y785" s="66"/>
    </row>
    <row r="786">
      <c r="A786" s="71"/>
      <c r="B786" s="71"/>
      <c r="C786" s="73"/>
      <c r="D786" s="73"/>
      <c r="E786" s="75"/>
      <c r="F786" s="75"/>
      <c r="G786" s="75"/>
      <c r="H786" s="75"/>
      <c r="I786" s="29"/>
      <c r="J786" s="76"/>
      <c r="K786" s="76"/>
      <c r="L786" s="66"/>
      <c r="M786" s="66"/>
      <c r="N786" s="66"/>
      <c r="O786" s="66"/>
      <c r="P786" s="66"/>
      <c r="Q786" s="66"/>
      <c r="R786" s="66"/>
      <c r="S786" s="66"/>
      <c r="T786" s="66"/>
      <c r="U786" s="66"/>
      <c r="V786" s="66"/>
      <c r="W786" s="66"/>
      <c r="X786" s="66"/>
      <c r="Y786" s="66"/>
    </row>
    <row r="787">
      <c r="A787" s="71"/>
      <c r="B787" s="71"/>
      <c r="C787" s="73"/>
      <c r="D787" s="73"/>
      <c r="E787" s="75"/>
      <c r="F787" s="75"/>
      <c r="G787" s="75"/>
      <c r="H787" s="75"/>
      <c r="I787" s="29"/>
      <c r="J787" s="76"/>
      <c r="K787" s="76"/>
      <c r="L787" s="66"/>
      <c r="M787" s="66"/>
      <c r="N787" s="66"/>
      <c r="O787" s="66"/>
      <c r="P787" s="66"/>
      <c r="Q787" s="66"/>
      <c r="R787" s="66"/>
      <c r="S787" s="66"/>
      <c r="T787" s="66"/>
      <c r="U787" s="66"/>
      <c r="V787" s="66"/>
      <c r="W787" s="66"/>
      <c r="X787" s="66"/>
      <c r="Y787" s="66"/>
    </row>
    <row r="788">
      <c r="A788" s="71"/>
      <c r="B788" s="71"/>
      <c r="C788" s="73"/>
      <c r="D788" s="73"/>
      <c r="E788" s="75"/>
      <c r="F788" s="75"/>
      <c r="G788" s="75"/>
      <c r="H788" s="75"/>
      <c r="I788" s="29"/>
      <c r="J788" s="76"/>
      <c r="K788" s="76"/>
      <c r="L788" s="66"/>
      <c r="M788" s="66"/>
      <c r="N788" s="66"/>
      <c r="O788" s="66"/>
      <c r="P788" s="66"/>
      <c r="Q788" s="66"/>
      <c r="R788" s="66"/>
      <c r="S788" s="66"/>
      <c r="T788" s="66"/>
      <c r="U788" s="66"/>
      <c r="V788" s="66"/>
      <c r="W788" s="66"/>
      <c r="X788" s="66"/>
      <c r="Y788" s="66"/>
    </row>
    <row r="789">
      <c r="A789" s="71"/>
      <c r="B789" s="71"/>
      <c r="C789" s="73"/>
      <c r="D789" s="73"/>
      <c r="E789" s="75"/>
      <c r="F789" s="75"/>
      <c r="G789" s="75"/>
      <c r="H789" s="75"/>
      <c r="I789" s="29"/>
      <c r="J789" s="76"/>
      <c r="K789" s="76"/>
      <c r="L789" s="66"/>
      <c r="M789" s="66"/>
      <c r="N789" s="66"/>
      <c r="O789" s="66"/>
      <c r="P789" s="66"/>
      <c r="Q789" s="66"/>
      <c r="R789" s="66"/>
      <c r="S789" s="66"/>
      <c r="T789" s="66"/>
      <c r="U789" s="66"/>
      <c r="V789" s="66"/>
      <c r="W789" s="66"/>
      <c r="X789" s="66"/>
      <c r="Y789" s="66"/>
    </row>
    <row r="790">
      <c r="A790" s="71"/>
      <c r="B790" s="71"/>
      <c r="C790" s="73"/>
      <c r="D790" s="73"/>
      <c r="E790" s="75"/>
      <c r="F790" s="75"/>
      <c r="G790" s="75"/>
      <c r="H790" s="75"/>
      <c r="I790" s="29"/>
      <c r="J790" s="76"/>
      <c r="K790" s="76"/>
      <c r="L790" s="66"/>
      <c r="M790" s="66"/>
      <c r="N790" s="66"/>
      <c r="O790" s="66"/>
      <c r="P790" s="66"/>
      <c r="Q790" s="66"/>
      <c r="R790" s="66"/>
      <c r="S790" s="66"/>
      <c r="T790" s="66"/>
      <c r="U790" s="66"/>
      <c r="V790" s="66"/>
      <c r="W790" s="66"/>
      <c r="X790" s="66"/>
      <c r="Y790" s="66"/>
    </row>
    <row r="791">
      <c r="A791" s="71"/>
      <c r="B791" s="71"/>
      <c r="C791" s="73"/>
      <c r="D791" s="73"/>
      <c r="E791" s="75"/>
      <c r="F791" s="75"/>
      <c r="G791" s="75"/>
      <c r="H791" s="75"/>
      <c r="I791" s="29"/>
      <c r="J791" s="76"/>
      <c r="K791" s="76"/>
      <c r="L791" s="66"/>
      <c r="M791" s="66"/>
      <c r="N791" s="66"/>
      <c r="O791" s="66"/>
      <c r="P791" s="66"/>
      <c r="Q791" s="66"/>
      <c r="R791" s="66"/>
      <c r="S791" s="66"/>
      <c r="T791" s="66"/>
      <c r="U791" s="66"/>
      <c r="V791" s="66"/>
      <c r="W791" s="66"/>
      <c r="X791" s="66"/>
      <c r="Y791" s="66"/>
    </row>
    <row r="792">
      <c r="A792" s="71"/>
      <c r="B792" s="71"/>
      <c r="C792" s="73"/>
      <c r="D792" s="73"/>
      <c r="E792" s="75"/>
      <c r="F792" s="75"/>
      <c r="G792" s="75"/>
      <c r="H792" s="75"/>
      <c r="I792" s="29"/>
      <c r="J792" s="76"/>
      <c r="K792" s="76"/>
      <c r="L792" s="66"/>
      <c r="M792" s="66"/>
      <c r="N792" s="66"/>
      <c r="O792" s="66"/>
      <c r="P792" s="66"/>
      <c r="Q792" s="66"/>
      <c r="R792" s="66"/>
      <c r="S792" s="66"/>
      <c r="T792" s="66"/>
      <c r="U792" s="66"/>
      <c r="V792" s="66"/>
      <c r="W792" s="66"/>
      <c r="X792" s="66"/>
      <c r="Y792" s="66"/>
    </row>
    <row r="793">
      <c r="A793" s="71"/>
      <c r="B793" s="71"/>
      <c r="C793" s="73"/>
      <c r="D793" s="73"/>
      <c r="E793" s="75"/>
      <c r="F793" s="75"/>
      <c r="G793" s="75"/>
      <c r="H793" s="75"/>
      <c r="I793" s="29"/>
      <c r="J793" s="76"/>
      <c r="K793" s="76"/>
      <c r="L793" s="66"/>
      <c r="M793" s="66"/>
      <c r="N793" s="66"/>
      <c r="O793" s="66"/>
      <c r="P793" s="66"/>
      <c r="Q793" s="66"/>
      <c r="R793" s="66"/>
      <c r="S793" s="66"/>
      <c r="T793" s="66"/>
      <c r="U793" s="66"/>
      <c r="V793" s="66"/>
      <c r="W793" s="66"/>
      <c r="X793" s="66"/>
      <c r="Y793" s="66"/>
    </row>
    <row r="794">
      <c r="A794" s="71"/>
      <c r="B794" s="71"/>
      <c r="C794" s="73"/>
      <c r="D794" s="73"/>
      <c r="E794" s="75"/>
      <c r="F794" s="75"/>
      <c r="G794" s="75"/>
      <c r="H794" s="75"/>
      <c r="I794" s="29"/>
      <c r="J794" s="76"/>
      <c r="K794" s="76"/>
      <c r="L794" s="66"/>
      <c r="M794" s="66"/>
      <c r="N794" s="66"/>
      <c r="O794" s="66"/>
      <c r="P794" s="66"/>
      <c r="Q794" s="66"/>
      <c r="R794" s="66"/>
      <c r="S794" s="66"/>
      <c r="T794" s="66"/>
      <c r="U794" s="66"/>
      <c r="V794" s="66"/>
      <c r="W794" s="66"/>
      <c r="X794" s="66"/>
      <c r="Y794" s="66"/>
    </row>
    <row r="795">
      <c r="A795" s="71"/>
      <c r="B795" s="71"/>
      <c r="C795" s="73"/>
      <c r="D795" s="73"/>
      <c r="E795" s="75"/>
      <c r="F795" s="75"/>
      <c r="G795" s="75"/>
      <c r="H795" s="75"/>
      <c r="I795" s="29"/>
      <c r="J795" s="76"/>
      <c r="K795" s="76"/>
      <c r="L795" s="66"/>
      <c r="M795" s="66"/>
      <c r="N795" s="66"/>
      <c r="O795" s="66"/>
      <c r="P795" s="66"/>
      <c r="Q795" s="66"/>
      <c r="R795" s="66"/>
      <c r="S795" s="66"/>
      <c r="T795" s="66"/>
      <c r="U795" s="66"/>
      <c r="V795" s="66"/>
      <c r="W795" s="66"/>
      <c r="X795" s="66"/>
      <c r="Y795" s="66"/>
    </row>
    <row r="796">
      <c r="A796" s="71"/>
      <c r="B796" s="71"/>
      <c r="C796" s="73"/>
      <c r="D796" s="73"/>
      <c r="E796" s="75"/>
      <c r="F796" s="75"/>
      <c r="G796" s="75"/>
      <c r="H796" s="75"/>
      <c r="I796" s="29"/>
      <c r="J796" s="76"/>
      <c r="K796" s="76"/>
      <c r="L796" s="66"/>
      <c r="M796" s="66"/>
      <c r="N796" s="66"/>
      <c r="O796" s="66"/>
      <c r="P796" s="66"/>
      <c r="Q796" s="66"/>
      <c r="R796" s="66"/>
      <c r="S796" s="66"/>
      <c r="T796" s="66"/>
      <c r="U796" s="66"/>
      <c r="V796" s="66"/>
      <c r="W796" s="66"/>
      <c r="X796" s="66"/>
      <c r="Y796" s="66"/>
    </row>
    <row r="797">
      <c r="A797" s="71"/>
      <c r="B797" s="71"/>
      <c r="C797" s="73"/>
      <c r="D797" s="73"/>
      <c r="E797" s="75"/>
      <c r="F797" s="75"/>
      <c r="G797" s="75"/>
      <c r="H797" s="75"/>
      <c r="I797" s="29"/>
      <c r="J797" s="76"/>
      <c r="K797" s="76"/>
      <c r="L797" s="66"/>
      <c r="M797" s="66"/>
      <c r="N797" s="66"/>
      <c r="O797" s="66"/>
      <c r="P797" s="66"/>
      <c r="Q797" s="66"/>
      <c r="R797" s="66"/>
      <c r="S797" s="66"/>
      <c r="T797" s="66"/>
      <c r="U797" s="66"/>
      <c r="V797" s="66"/>
      <c r="W797" s="66"/>
      <c r="X797" s="66"/>
      <c r="Y797" s="66"/>
    </row>
    <row r="798">
      <c r="A798" s="71"/>
      <c r="B798" s="71"/>
      <c r="C798" s="73"/>
      <c r="D798" s="73"/>
      <c r="E798" s="75"/>
      <c r="F798" s="75"/>
      <c r="G798" s="75"/>
      <c r="H798" s="75"/>
      <c r="I798" s="29"/>
      <c r="J798" s="76"/>
      <c r="K798" s="76"/>
      <c r="L798" s="66"/>
      <c r="M798" s="66"/>
      <c r="N798" s="66"/>
      <c r="O798" s="66"/>
      <c r="P798" s="66"/>
      <c r="Q798" s="66"/>
      <c r="R798" s="66"/>
      <c r="S798" s="66"/>
      <c r="T798" s="66"/>
      <c r="U798" s="66"/>
      <c r="V798" s="66"/>
      <c r="W798" s="66"/>
      <c r="X798" s="66"/>
      <c r="Y798" s="66"/>
    </row>
    <row r="799">
      <c r="A799" s="71"/>
      <c r="B799" s="71"/>
      <c r="C799" s="73"/>
      <c r="D799" s="73"/>
      <c r="E799" s="75"/>
      <c r="F799" s="75"/>
      <c r="G799" s="75"/>
      <c r="H799" s="75"/>
      <c r="I799" s="29"/>
      <c r="J799" s="76"/>
      <c r="K799" s="76"/>
      <c r="L799" s="66"/>
      <c r="M799" s="66"/>
      <c r="N799" s="66"/>
      <c r="O799" s="66"/>
      <c r="P799" s="66"/>
      <c r="Q799" s="66"/>
      <c r="R799" s="66"/>
      <c r="S799" s="66"/>
      <c r="T799" s="66"/>
      <c r="U799" s="66"/>
      <c r="V799" s="66"/>
      <c r="W799" s="66"/>
      <c r="X799" s="66"/>
      <c r="Y799" s="66"/>
    </row>
    <row r="800">
      <c r="A800" s="71"/>
      <c r="B800" s="71"/>
      <c r="C800" s="73"/>
      <c r="D800" s="73"/>
      <c r="E800" s="75"/>
      <c r="F800" s="75"/>
      <c r="G800" s="75"/>
      <c r="H800" s="75"/>
      <c r="I800" s="29"/>
      <c r="J800" s="76"/>
      <c r="K800" s="76"/>
      <c r="L800" s="66"/>
      <c r="M800" s="66"/>
      <c r="N800" s="66"/>
      <c r="O800" s="66"/>
      <c r="P800" s="66"/>
      <c r="Q800" s="66"/>
      <c r="R800" s="66"/>
      <c r="S800" s="66"/>
      <c r="T800" s="66"/>
      <c r="U800" s="66"/>
      <c r="V800" s="66"/>
      <c r="W800" s="66"/>
      <c r="X800" s="66"/>
      <c r="Y800" s="66"/>
    </row>
    <row r="801">
      <c r="A801" s="71"/>
      <c r="B801" s="71"/>
      <c r="C801" s="73"/>
      <c r="D801" s="73"/>
      <c r="E801" s="75"/>
      <c r="F801" s="75"/>
      <c r="G801" s="75"/>
      <c r="H801" s="75"/>
      <c r="I801" s="29"/>
      <c r="J801" s="76"/>
      <c r="K801" s="76"/>
      <c r="L801" s="66"/>
      <c r="M801" s="66"/>
      <c r="N801" s="66"/>
      <c r="O801" s="66"/>
      <c r="P801" s="66"/>
      <c r="Q801" s="66"/>
      <c r="R801" s="66"/>
      <c r="S801" s="66"/>
      <c r="T801" s="66"/>
      <c r="U801" s="66"/>
      <c r="V801" s="66"/>
      <c r="W801" s="66"/>
      <c r="X801" s="66"/>
      <c r="Y801" s="66"/>
    </row>
    <row r="802">
      <c r="A802" s="71"/>
      <c r="B802" s="71"/>
      <c r="C802" s="73"/>
      <c r="D802" s="73"/>
      <c r="E802" s="75"/>
      <c r="F802" s="75"/>
      <c r="G802" s="75"/>
      <c r="H802" s="75"/>
      <c r="I802" s="29"/>
      <c r="J802" s="76"/>
      <c r="K802" s="76"/>
      <c r="L802" s="66"/>
      <c r="M802" s="66"/>
      <c r="N802" s="66"/>
      <c r="O802" s="66"/>
      <c r="P802" s="66"/>
      <c r="Q802" s="66"/>
      <c r="R802" s="66"/>
      <c r="S802" s="66"/>
      <c r="T802" s="66"/>
      <c r="U802" s="66"/>
      <c r="V802" s="66"/>
      <c r="W802" s="66"/>
      <c r="X802" s="66"/>
      <c r="Y802" s="66"/>
    </row>
    <row r="803">
      <c r="A803" s="71"/>
      <c r="B803" s="71"/>
      <c r="C803" s="73"/>
      <c r="D803" s="73"/>
      <c r="E803" s="75"/>
      <c r="F803" s="75"/>
      <c r="G803" s="75"/>
      <c r="H803" s="75"/>
      <c r="I803" s="29"/>
      <c r="J803" s="76"/>
      <c r="K803" s="76"/>
      <c r="L803" s="66"/>
      <c r="M803" s="66"/>
      <c r="N803" s="66"/>
      <c r="O803" s="66"/>
      <c r="P803" s="66"/>
      <c r="Q803" s="66"/>
      <c r="R803" s="66"/>
      <c r="S803" s="66"/>
      <c r="T803" s="66"/>
      <c r="U803" s="66"/>
      <c r="V803" s="66"/>
      <c r="W803" s="66"/>
      <c r="X803" s="66"/>
      <c r="Y803" s="66"/>
    </row>
    <row r="804">
      <c r="A804" s="71"/>
      <c r="B804" s="71"/>
      <c r="C804" s="73"/>
      <c r="D804" s="73"/>
      <c r="E804" s="75"/>
      <c r="F804" s="75"/>
      <c r="G804" s="75"/>
      <c r="H804" s="75"/>
      <c r="I804" s="29"/>
      <c r="J804" s="76"/>
      <c r="K804" s="76"/>
      <c r="L804" s="66"/>
      <c r="M804" s="66"/>
      <c r="N804" s="66"/>
      <c r="O804" s="66"/>
      <c r="P804" s="66"/>
      <c r="Q804" s="66"/>
      <c r="R804" s="66"/>
      <c r="S804" s="66"/>
      <c r="T804" s="66"/>
      <c r="U804" s="66"/>
      <c r="V804" s="66"/>
      <c r="W804" s="66"/>
      <c r="X804" s="66"/>
      <c r="Y804" s="66"/>
    </row>
    <row r="805">
      <c r="A805" s="71"/>
      <c r="B805" s="71"/>
      <c r="C805" s="73"/>
      <c r="D805" s="73"/>
      <c r="E805" s="75"/>
      <c r="F805" s="75"/>
      <c r="G805" s="75"/>
      <c r="H805" s="75"/>
      <c r="I805" s="29"/>
      <c r="J805" s="76"/>
      <c r="K805" s="76"/>
      <c r="L805" s="66"/>
      <c r="M805" s="66"/>
      <c r="N805" s="66"/>
      <c r="O805" s="66"/>
      <c r="P805" s="66"/>
      <c r="Q805" s="66"/>
      <c r="R805" s="66"/>
      <c r="S805" s="66"/>
      <c r="T805" s="66"/>
      <c r="U805" s="66"/>
      <c r="V805" s="66"/>
      <c r="W805" s="66"/>
      <c r="X805" s="66"/>
      <c r="Y805" s="66"/>
    </row>
    <row r="806">
      <c r="A806" s="71"/>
      <c r="B806" s="71"/>
      <c r="C806" s="73"/>
      <c r="D806" s="73"/>
      <c r="E806" s="75"/>
      <c r="F806" s="75"/>
      <c r="G806" s="75"/>
      <c r="H806" s="75"/>
      <c r="I806" s="29"/>
      <c r="J806" s="76"/>
      <c r="K806" s="76"/>
      <c r="L806" s="66"/>
      <c r="M806" s="66"/>
      <c r="N806" s="66"/>
      <c r="O806" s="66"/>
      <c r="P806" s="66"/>
      <c r="Q806" s="66"/>
      <c r="R806" s="66"/>
      <c r="S806" s="66"/>
      <c r="T806" s="66"/>
      <c r="U806" s="66"/>
      <c r="V806" s="66"/>
      <c r="W806" s="66"/>
      <c r="X806" s="66"/>
      <c r="Y806" s="66"/>
    </row>
    <row r="807">
      <c r="A807" s="71"/>
      <c r="B807" s="71"/>
      <c r="C807" s="73"/>
      <c r="D807" s="73"/>
      <c r="E807" s="75"/>
      <c r="F807" s="75"/>
      <c r="G807" s="75"/>
      <c r="H807" s="75"/>
      <c r="I807" s="29"/>
      <c r="J807" s="76"/>
      <c r="K807" s="76"/>
      <c r="L807" s="66"/>
      <c r="M807" s="66"/>
      <c r="N807" s="66"/>
      <c r="O807" s="66"/>
      <c r="P807" s="66"/>
      <c r="Q807" s="66"/>
      <c r="R807" s="66"/>
      <c r="S807" s="66"/>
      <c r="T807" s="66"/>
      <c r="U807" s="66"/>
      <c r="V807" s="66"/>
      <c r="W807" s="66"/>
      <c r="X807" s="66"/>
      <c r="Y807" s="66"/>
    </row>
    <row r="808">
      <c r="A808" s="71"/>
      <c r="B808" s="71"/>
      <c r="C808" s="73"/>
      <c r="D808" s="73"/>
      <c r="E808" s="75"/>
      <c r="F808" s="75"/>
      <c r="G808" s="75"/>
      <c r="H808" s="75"/>
      <c r="I808" s="29"/>
      <c r="J808" s="76"/>
      <c r="K808" s="76"/>
      <c r="L808" s="66"/>
      <c r="M808" s="66"/>
      <c r="N808" s="66"/>
      <c r="O808" s="66"/>
      <c r="P808" s="66"/>
      <c r="Q808" s="66"/>
      <c r="R808" s="66"/>
      <c r="S808" s="66"/>
      <c r="T808" s="66"/>
      <c r="U808" s="66"/>
      <c r="V808" s="66"/>
      <c r="W808" s="66"/>
      <c r="X808" s="66"/>
      <c r="Y808" s="66"/>
    </row>
    <row r="809">
      <c r="A809" s="71"/>
      <c r="B809" s="71"/>
      <c r="C809" s="73"/>
      <c r="D809" s="73"/>
      <c r="E809" s="75"/>
      <c r="F809" s="75"/>
      <c r="G809" s="75"/>
      <c r="H809" s="75"/>
      <c r="I809" s="29"/>
      <c r="J809" s="76"/>
      <c r="K809" s="76"/>
      <c r="L809" s="66"/>
      <c r="M809" s="66"/>
      <c r="N809" s="66"/>
      <c r="O809" s="66"/>
      <c r="P809" s="66"/>
      <c r="Q809" s="66"/>
      <c r="R809" s="66"/>
      <c r="S809" s="66"/>
      <c r="T809" s="66"/>
      <c r="U809" s="66"/>
      <c r="V809" s="66"/>
      <c r="W809" s="66"/>
      <c r="X809" s="66"/>
      <c r="Y809" s="66"/>
    </row>
    <row r="810">
      <c r="A810" s="71"/>
      <c r="B810" s="71"/>
      <c r="C810" s="73"/>
      <c r="D810" s="73"/>
      <c r="E810" s="75"/>
      <c r="F810" s="75"/>
      <c r="G810" s="75"/>
      <c r="H810" s="75"/>
      <c r="I810" s="29"/>
      <c r="J810" s="76"/>
      <c r="K810" s="76"/>
      <c r="L810" s="66"/>
      <c r="M810" s="66"/>
      <c r="N810" s="66"/>
      <c r="O810" s="66"/>
      <c r="P810" s="66"/>
      <c r="Q810" s="66"/>
      <c r="R810" s="66"/>
      <c r="S810" s="66"/>
      <c r="T810" s="66"/>
      <c r="U810" s="66"/>
      <c r="V810" s="66"/>
      <c r="W810" s="66"/>
      <c r="X810" s="66"/>
      <c r="Y810" s="66"/>
    </row>
    <row r="811">
      <c r="A811" s="71"/>
      <c r="B811" s="71"/>
      <c r="C811" s="73"/>
      <c r="D811" s="73"/>
      <c r="E811" s="75"/>
      <c r="F811" s="75"/>
      <c r="G811" s="75"/>
      <c r="H811" s="75"/>
      <c r="I811" s="29"/>
      <c r="J811" s="76"/>
      <c r="K811" s="76"/>
      <c r="L811" s="66"/>
      <c r="M811" s="66"/>
      <c r="N811" s="66"/>
      <c r="O811" s="66"/>
      <c r="P811" s="66"/>
      <c r="Q811" s="66"/>
      <c r="R811" s="66"/>
      <c r="S811" s="66"/>
      <c r="T811" s="66"/>
      <c r="U811" s="66"/>
      <c r="V811" s="66"/>
      <c r="W811" s="66"/>
      <c r="X811" s="66"/>
      <c r="Y811" s="66"/>
    </row>
    <row r="812">
      <c r="A812" s="71"/>
      <c r="B812" s="71"/>
      <c r="C812" s="73"/>
      <c r="D812" s="73"/>
      <c r="E812" s="75"/>
      <c r="F812" s="75"/>
      <c r="G812" s="75"/>
      <c r="H812" s="75"/>
      <c r="I812" s="29"/>
      <c r="J812" s="76"/>
      <c r="K812" s="76"/>
      <c r="L812" s="66"/>
      <c r="M812" s="66"/>
      <c r="N812" s="66"/>
      <c r="O812" s="66"/>
      <c r="P812" s="66"/>
      <c r="Q812" s="66"/>
      <c r="R812" s="66"/>
      <c r="S812" s="66"/>
      <c r="T812" s="66"/>
      <c r="U812" s="66"/>
      <c r="V812" s="66"/>
      <c r="W812" s="66"/>
      <c r="X812" s="66"/>
      <c r="Y812" s="66"/>
    </row>
    <row r="813">
      <c r="A813" s="71"/>
      <c r="B813" s="71"/>
      <c r="C813" s="73"/>
      <c r="D813" s="73"/>
      <c r="E813" s="75"/>
      <c r="F813" s="75"/>
      <c r="G813" s="75"/>
      <c r="H813" s="75"/>
      <c r="I813" s="29"/>
      <c r="J813" s="76"/>
      <c r="K813" s="76"/>
      <c r="L813" s="66"/>
      <c r="M813" s="66"/>
      <c r="N813" s="66"/>
      <c r="O813" s="66"/>
      <c r="P813" s="66"/>
      <c r="Q813" s="66"/>
      <c r="R813" s="66"/>
      <c r="S813" s="66"/>
      <c r="T813" s="66"/>
      <c r="U813" s="66"/>
      <c r="V813" s="66"/>
      <c r="W813" s="66"/>
      <c r="X813" s="66"/>
      <c r="Y813" s="66"/>
    </row>
    <row r="814">
      <c r="A814" s="71"/>
      <c r="B814" s="71"/>
      <c r="C814" s="73"/>
      <c r="D814" s="73"/>
      <c r="E814" s="75"/>
      <c r="F814" s="75"/>
      <c r="G814" s="75"/>
      <c r="H814" s="75"/>
      <c r="I814" s="29"/>
      <c r="J814" s="76"/>
      <c r="K814" s="76"/>
      <c r="L814" s="66"/>
      <c r="M814" s="66"/>
      <c r="N814" s="66"/>
      <c r="O814" s="66"/>
      <c r="P814" s="66"/>
      <c r="Q814" s="66"/>
      <c r="R814" s="66"/>
      <c r="S814" s="66"/>
      <c r="T814" s="66"/>
      <c r="U814" s="66"/>
      <c r="V814" s="66"/>
      <c r="W814" s="66"/>
      <c r="X814" s="66"/>
      <c r="Y814" s="66"/>
    </row>
    <row r="815">
      <c r="A815" s="71"/>
      <c r="B815" s="71"/>
      <c r="C815" s="73"/>
      <c r="D815" s="73"/>
      <c r="E815" s="75"/>
      <c r="F815" s="75"/>
      <c r="G815" s="75"/>
      <c r="H815" s="75"/>
      <c r="I815" s="29"/>
      <c r="J815" s="76"/>
      <c r="K815" s="76"/>
      <c r="L815" s="66"/>
      <c r="M815" s="66"/>
      <c r="N815" s="66"/>
      <c r="O815" s="66"/>
      <c r="P815" s="66"/>
      <c r="Q815" s="66"/>
      <c r="R815" s="66"/>
      <c r="S815" s="66"/>
      <c r="T815" s="66"/>
      <c r="U815" s="66"/>
      <c r="V815" s="66"/>
      <c r="W815" s="66"/>
      <c r="X815" s="66"/>
      <c r="Y815" s="66"/>
    </row>
    <row r="816">
      <c r="A816" s="71"/>
      <c r="B816" s="71"/>
      <c r="C816" s="73"/>
      <c r="D816" s="73"/>
      <c r="E816" s="75"/>
      <c r="F816" s="75"/>
      <c r="G816" s="75"/>
      <c r="H816" s="75"/>
      <c r="I816" s="29"/>
      <c r="J816" s="76"/>
      <c r="K816" s="76"/>
      <c r="L816" s="66"/>
      <c r="M816" s="66"/>
      <c r="N816" s="66"/>
      <c r="O816" s="66"/>
      <c r="P816" s="66"/>
      <c r="Q816" s="66"/>
      <c r="R816" s="66"/>
      <c r="S816" s="66"/>
      <c r="T816" s="66"/>
      <c r="U816" s="66"/>
      <c r="V816" s="66"/>
      <c r="W816" s="66"/>
      <c r="X816" s="66"/>
      <c r="Y816" s="66"/>
    </row>
    <row r="817">
      <c r="A817" s="71"/>
      <c r="B817" s="71"/>
      <c r="C817" s="73"/>
      <c r="D817" s="73"/>
      <c r="E817" s="75"/>
      <c r="F817" s="75"/>
      <c r="G817" s="75"/>
      <c r="H817" s="75"/>
      <c r="I817" s="29"/>
      <c r="J817" s="76"/>
      <c r="K817" s="76"/>
      <c r="L817" s="66"/>
      <c r="M817" s="66"/>
      <c r="N817" s="66"/>
      <c r="O817" s="66"/>
      <c r="P817" s="66"/>
      <c r="Q817" s="66"/>
      <c r="R817" s="66"/>
      <c r="S817" s="66"/>
      <c r="T817" s="66"/>
      <c r="U817" s="66"/>
      <c r="V817" s="66"/>
      <c r="W817" s="66"/>
      <c r="X817" s="66"/>
      <c r="Y817" s="66"/>
    </row>
    <row r="818">
      <c r="A818" s="71"/>
      <c r="B818" s="71"/>
      <c r="C818" s="73"/>
      <c r="D818" s="73"/>
      <c r="E818" s="75"/>
      <c r="F818" s="75"/>
      <c r="G818" s="75"/>
      <c r="H818" s="75"/>
      <c r="I818" s="29"/>
      <c r="J818" s="76"/>
      <c r="K818" s="76"/>
      <c r="L818" s="66"/>
      <c r="M818" s="66"/>
      <c r="N818" s="66"/>
      <c r="O818" s="66"/>
      <c r="P818" s="66"/>
      <c r="Q818" s="66"/>
      <c r="R818" s="66"/>
      <c r="S818" s="66"/>
      <c r="T818" s="66"/>
      <c r="U818" s="66"/>
      <c r="V818" s="66"/>
      <c r="W818" s="66"/>
      <c r="X818" s="66"/>
      <c r="Y818" s="66"/>
    </row>
    <row r="819">
      <c r="A819" s="71"/>
      <c r="B819" s="71"/>
      <c r="C819" s="73"/>
      <c r="D819" s="73"/>
      <c r="E819" s="75"/>
      <c r="F819" s="75"/>
      <c r="G819" s="75"/>
      <c r="H819" s="75"/>
      <c r="I819" s="29"/>
      <c r="J819" s="76"/>
      <c r="K819" s="76"/>
      <c r="L819" s="66"/>
      <c r="M819" s="66"/>
      <c r="N819" s="66"/>
      <c r="O819" s="66"/>
      <c r="P819" s="66"/>
      <c r="Q819" s="66"/>
      <c r="R819" s="66"/>
      <c r="S819" s="66"/>
      <c r="T819" s="66"/>
      <c r="U819" s="66"/>
      <c r="V819" s="66"/>
      <c r="W819" s="66"/>
      <c r="X819" s="66"/>
      <c r="Y819" s="66"/>
    </row>
    <row r="820">
      <c r="A820" s="71"/>
      <c r="B820" s="71"/>
      <c r="C820" s="73"/>
      <c r="D820" s="73"/>
      <c r="E820" s="75"/>
      <c r="F820" s="75"/>
      <c r="G820" s="75"/>
      <c r="H820" s="75"/>
      <c r="I820" s="29"/>
      <c r="J820" s="76"/>
      <c r="K820" s="76"/>
      <c r="L820" s="66"/>
      <c r="M820" s="66"/>
      <c r="N820" s="66"/>
      <c r="O820" s="66"/>
      <c r="P820" s="66"/>
      <c r="Q820" s="66"/>
      <c r="R820" s="66"/>
      <c r="S820" s="66"/>
      <c r="T820" s="66"/>
      <c r="U820" s="66"/>
      <c r="V820" s="66"/>
      <c r="W820" s="66"/>
      <c r="X820" s="66"/>
      <c r="Y820" s="66"/>
    </row>
    <row r="821">
      <c r="A821" s="71"/>
      <c r="B821" s="71"/>
      <c r="C821" s="73"/>
      <c r="D821" s="73"/>
      <c r="E821" s="75"/>
      <c r="F821" s="75"/>
      <c r="G821" s="75"/>
      <c r="H821" s="75"/>
      <c r="I821" s="29"/>
      <c r="J821" s="76"/>
      <c r="K821" s="76"/>
      <c r="L821" s="66"/>
      <c r="M821" s="66"/>
      <c r="N821" s="66"/>
      <c r="O821" s="66"/>
      <c r="P821" s="66"/>
      <c r="Q821" s="66"/>
      <c r="R821" s="66"/>
      <c r="S821" s="66"/>
      <c r="T821" s="66"/>
      <c r="U821" s="66"/>
      <c r="V821" s="66"/>
      <c r="W821" s="66"/>
      <c r="X821" s="66"/>
      <c r="Y821" s="66"/>
    </row>
    <row r="822">
      <c r="A822" s="71"/>
      <c r="B822" s="71"/>
      <c r="C822" s="73"/>
      <c r="D822" s="73"/>
      <c r="E822" s="75"/>
      <c r="F822" s="75"/>
      <c r="G822" s="75"/>
      <c r="H822" s="75"/>
      <c r="I822" s="29"/>
      <c r="J822" s="76"/>
      <c r="K822" s="76"/>
      <c r="L822" s="66"/>
      <c r="M822" s="66"/>
      <c r="N822" s="66"/>
      <c r="O822" s="66"/>
      <c r="P822" s="66"/>
      <c r="Q822" s="66"/>
      <c r="R822" s="66"/>
      <c r="S822" s="66"/>
      <c r="T822" s="66"/>
      <c r="U822" s="66"/>
      <c r="V822" s="66"/>
      <c r="W822" s="66"/>
      <c r="X822" s="66"/>
      <c r="Y822" s="66"/>
    </row>
    <row r="823">
      <c r="A823" s="71"/>
      <c r="B823" s="71"/>
      <c r="C823" s="73"/>
      <c r="D823" s="73"/>
      <c r="E823" s="75"/>
      <c r="F823" s="75"/>
      <c r="G823" s="75"/>
      <c r="H823" s="75"/>
      <c r="I823" s="29"/>
      <c r="J823" s="76"/>
      <c r="K823" s="76"/>
      <c r="L823" s="66"/>
      <c r="M823" s="66"/>
      <c r="N823" s="66"/>
      <c r="O823" s="66"/>
      <c r="P823" s="66"/>
      <c r="Q823" s="66"/>
      <c r="R823" s="66"/>
      <c r="S823" s="66"/>
      <c r="T823" s="66"/>
      <c r="U823" s="66"/>
      <c r="V823" s="66"/>
      <c r="W823" s="66"/>
      <c r="X823" s="66"/>
      <c r="Y823" s="66"/>
    </row>
    <row r="824">
      <c r="A824" s="71"/>
      <c r="B824" s="71"/>
      <c r="C824" s="73"/>
      <c r="D824" s="73"/>
      <c r="E824" s="75"/>
      <c r="F824" s="75"/>
      <c r="G824" s="75"/>
      <c r="H824" s="75"/>
      <c r="I824" s="29"/>
      <c r="J824" s="76"/>
      <c r="K824" s="76"/>
      <c r="L824" s="66"/>
      <c r="M824" s="66"/>
      <c r="N824" s="66"/>
      <c r="O824" s="66"/>
      <c r="P824" s="66"/>
      <c r="Q824" s="66"/>
      <c r="R824" s="66"/>
      <c r="S824" s="66"/>
      <c r="T824" s="66"/>
      <c r="U824" s="66"/>
      <c r="V824" s="66"/>
      <c r="W824" s="66"/>
      <c r="X824" s="66"/>
      <c r="Y824" s="66"/>
    </row>
    <row r="825">
      <c r="A825" s="71"/>
      <c r="B825" s="71"/>
      <c r="C825" s="73"/>
      <c r="D825" s="73"/>
      <c r="E825" s="75"/>
      <c r="F825" s="75"/>
      <c r="G825" s="75"/>
      <c r="H825" s="75"/>
      <c r="I825" s="29"/>
      <c r="J825" s="76"/>
      <c r="K825" s="76"/>
      <c r="L825" s="66"/>
      <c r="M825" s="66"/>
      <c r="N825" s="66"/>
      <c r="O825" s="66"/>
      <c r="P825" s="66"/>
      <c r="Q825" s="66"/>
      <c r="R825" s="66"/>
      <c r="S825" s="66"/>
      <c r="T825" s="66"/>
      <c r="U825" s="66"/>
      <c r="V825" s="66"/>
      <c r="W825" s="66"/>
      <c r="X825" s="66"/>
      <c r="Y825" s="66"/>
    </row>
    <row r="826">
      <c r="A826" s="71"/>
      <c r="B826" s="71"/>
      <c r="C826" s="73"/>
      <c r="D826" s="73"/>
      <c r="E826" s="75"/>
      <c r="F826" s="75"/>
      <c r="G826" s="75"/>
      <c r="H826" s="75"/>
      <c r="I826" s="29"/>
      <c r="J826" s="76"/>
      <c r="K826" s="76"/>
      <c r="L826" s="66"/>
      <c r="M826" s="66"/>
      <c r="N826" s="66"/>
      <c r="O826" s="66"/>
      <c r="P826" s="66"/>
      <c r="Q826" s="66"/>
      <c r="R826" s="66"/>
      <c r="S826" s="66"/>
      <c r="T826" s="66"/>
      <c r="U826" s="66"/>
      <c r="V826" s="66"/>
      <c r="W826" s="66"/>
      <c r="X826" s="66"/>
      <c r="Y826" s="66"/>
    </row>
    <row r="827">
      <c r="A827" s="71"/>
      <c r="B827" s="71"/>
      <c r="C827" s="73"/>
      <c r="D827" s="73"/>
      <c r="E827" s="75"/>
      <c r="F827" s="75"/>
      <c r="G827" s="75"/>
      <c r="H827" s="75"/>
      <c r="I827" s="29"/>
      <c r="J827" s="76"/>
      <c r="K827" s="76"/>
      <c r="L827" s="66"/>
      <c r="M827" s="66"/>
      <c r="N827" s="66"/>
      <c r="O827" s="66"/>
      <c r="P827" s="66"/>
      <c r="Q827" s="66"/>
      <c r="R827" s="66"/>
      <c r="S827" s="66"/>
      <c r="T827" s="66"/>
      <c r="U827" s="66"/>
      <c r="V827" s="66"/>
      <c r="W827" s="66"/>
      <c r="X827" s="66"/>
      <c r="Y827" s="66"/>
    </row>
    <row r="828">
      <c r="A828" s="71"/>
      <c r="B828" s="71"/>
      <c r="C828" s="73"/>
      <c r="D828" s="73"/>
      <c r="E828" s="75"/>
      <c r="F828" s="75"/>
      <c r="G828" s="75"/>
      <c r="H828" s="75"/>
      <c r="I828" s="29"/>
      <c r="J828" s="76"/>
      <c r="K828" s="76"/>
      <c r="L828" s="66"/>
      <c r="M828" s="66"/>
      <c r="N828" s="66"/>
      <c r="O828" s="66"/>
      <c r="P828" s="66"/>
      <c r="Q828" s="66"/>
      <c r="R828" s="66"/>
      <c r="S828" s="66"/>
      <c r="T828" s="66"/>
      <c r="U828" s="66"/>
      <c r="V828" s="66"/>
      <c r="W828" s="66"/>
      <c r="X828" s="66"/>
      <c r="Y828" s="66"/>
    </row>
    <row r="829">
      <c r="A829" s="71"/>
      <c r="B829" s="71"/>
      <c r="C829" s="73"/>
      <c r="D829" s="73"/>
      <c r="E829" s="75"/>
      <c r="F829" s="75"/>
      <c r="G829" s="75"/>
      <c r="H829" s="75"/>
      <c r="I829" s="29"/>
      <c r="J829" s="76"/>
      <c r="K829" s="76"/>
      <c r="L829" s="66"/>
      <c r="M829" s="66"/>
      <c r="N829" s="66"/>
      <c r="O829" s="66"/>
      <c r="P829" s="66"/>
      <c r="Q829" s="66"/>
      <c r="R829" s="66"/>
      <c r="S829" s="66"/>
      <c r="T829" s="66"/>
      <c r="U829" s="66"/>
      <c r="V829" s="66"/>
      <c r="W829" s="66"/>
      <c r="X829" s="66"/>
      <c r="Y829" s="66"/>
    </row>
    <row r="830">
      <c r="A830" s="71"/>
      <c r="B830" s="71"/>
      <c r="C830" s="73"/>
      <c r="D830" s="73"/>
      <c r="E830" s="75"/>
      <c r="F830" s="75"/>
      <c r="G830" s="75"/>
      <c r="H830" s="75"/>
      <c r="I830" s="29"/>
      <c r="J830" s="76"/>
      <c r="K830" s="76"/>
      <c r="L830" s="66"/>
      <c r="M830" s="66"/>
      <c r="N830" s="66"/>
      <c r="O830" s="66"/>
      <c r="P830" s="66"/>
      <c r="Q830" s="66"/>
      <c r="R830" s="66"/>
      <c r="S830" s="66"/>
      <c r="T830" s="66"/>
      <c r="U830" s="66"/>
      <c r="V830" s="66"/>
      <c r="W830" s="66"/>
      <c r="X830" s="66"/>
      <c r="Y830" s="66"/>
    </row>
    <row r="831">
      <c r="A831" s="71"/>
      <c r="B831" s="71"/>
      <c r="C831" s="73"/>
      <c r="D831" s="73"/>
      <c r="E831" s="75"/>
      <c r="F831" s="75"/>
      <c r="G831" s="75"/>
      <c r="H831" s="75"/>
      <c r="I831" s="29"/>
      <c r="J831" s="76"/>
      <c r="K831" s="76"/>
      <c r="L831" s="66"/>
      <c r="M831" s="66"/>
      <c r="N831" s="66"/>
      <c r="O831" s="66"/>
      <c r="P831" s="66"/>
      <c r="Q831" s="66"/>
      <c r="R831" s="66"/>
      <c r="S831" s="66"/>
      <c r="T831" s="66"/>
      <c r="U831" s="66"/>
      <c r="V831" s="66"/>
      <c r="W831" s="66"/>
      <c r="X831" s="66"/>
      <c r="Y831" s="66"/>
    </row>
    <row r="832">
      <c r="A832" s="71"/>
      <c r="B832" s="71"/>
      <c r="C832" s="73"/>
      <c r="D832" s="73"/>
      <c r="E832" s="75"/>
      <c r="F832" s="75"/>
      <c r="G832" s="75"/>
      <c r="H832" s="75"/>
      <c r="I832" s="29"/>
      <c r="J832" s="76"/>
      <c r="K832" s="76"/>
      <c r="L832" s="66"/>
      <c r="M832" s="66"/>
      <c r="N832" s="66"/>
      <c r="O832" s="66"/>
      <c r="P832" s="66"/>
      <c r="Q832" s="66"/>
      <c r="R832" s="66"/>
      <c r="S832" s="66"/>
      <c r="T832" s="66"/>
      <c r="U832" s="66"/>
      <c r="V832" s="66"/>
      <c r="W832" s="66"/>
      <c r="X832" s="66"/>
      <c r="Y832" s="66"/>
    </row>
    <row r="833">
      <c r="A833" s="71"/>
      <c r="B833" s="71"/>
      <c r="C833" s="73"/>
      <c r="D833" s="73"/>
      <c r="E833" s="75"/>
      <c r="F833" s="75"/>
      <c r="G833" s="75"/>
      <c r="H833" s="75"/>
      <c r="I833" s="29"/>
      <c r="J833" s="76"/>
      <c r="K833" s="76"/>
      <c r="L833" s="66"/>
      <c r="M833" s="66"/>
      <c r="N833" s="66"/>
      <c r="O833" s="66"/>
      <c r="P833" s="66"/>
      <c r="Q833" s="66"/>
      <c r="R833" s="66"/>
      <c r="S833" s="66"/>
      <c r="T833" s="66"/>
      <c r="U833" s="66"/>
      <c r="V833" s="66"/>
      <c r="W833" s="66"/>
      <c r="X833" s="66"/>
      <c r="Y833" s="66"/>
    </row>
    <row r="834">
      <c r="A834" s="71"/>
      <c r="B834" s="71"/>
      <c r="C834" s="73"/>
      <c r="D834" s="73"/>
      <c r="E834" s="75"/>
      <c r="F834" s="75"/>
      <c r="G834" s="75"/>
      <c r="H834" s="75"/>
      <c r="I834" s="29"/>
      <c r="J834" s="76"/>
      <c r="K834" s="76"/>
      <c r="L834" s="66"/>
      <c r="M834" s="66"/>
      <c r="N834" s="66"/>
      <c r="O834" s="66"/>
      <c r="P834" s="66"/>
      <c r="Q834" s="66"/>
      <c r="R834" s="66"/>
      <c r="S834" s="66"/>
      <c r="T834" s="66"/>
      <c r="U834" s="66"/>
      <c r="V834" s="66"/>
      <c r="W834" s="66"/>
      <c r="X834" s="66"/>
      <c r="Y834" s="66"/>
    </row>
    <row r="835">
      <c r="A835" s="71"/>
      <c r="B835" s="71"/>
      <c r="C835" s="73"/>
      <c r="D835" s="73"/>
      <c r="E835" s="75"/>
      <c r="F835" s="75"/>
      <c r="G835" s="75"/>
      <c r="H835" s="75"/>
      <c r="I835" s="29"/>
      <c r="J835" s="76"/>
      <c r="K835" s="76"/>
      <c r="L835" s="66"/>
      <c r="M835" s="66"/>
      <c r="N835" s="66"/>
      <c r="O835" s="66"/>
      <c r="P835" s="66"/>
      <c r="Q835" s="66"/>
      <c r="R835" s="66"/>
      <c r="S835" s="66"/>
      <c r="T835" s="66"/>
      <c r="U835" s="66"/>
      <c r="V835" s="66"/>
      <c r="W835" s="66"/>
      <c r="X835" s="66"/>
      <c r="Y835" s="66"/>
    </row>
    <row r="836">
      <c r="A836" s="71"/>
      <c r="B836" s="71"/>
      <c r="C836" s="73"/>
      <c r="D836" s="73"/>
      <c r="E836" s="75"/>
      <c r="F836" s="75"/>
      <c r="G836" s="75"/>
      <c r="H836" s="75"/>
      <c r="I836" s="29"/>
      <c r="J836" s="76"/>
      <c r="K836" s="76"/>
      <c r="L836" s="66"/>
      <c r="M836" s="66"/>
      <c r="N836" s="66"/>
      <c r="O836" s="66"/>
      <c r="P836" s="66"/>
      <c r="Q836" s="66"/>
      <c r="R836" s="66"/>
      <c r="S836" s="66"/>
      <c r="T836" s="66"/>
      <c r="U836" s="66"/>
      <c r="V836" s="66"/>
      <c r="W836" s="66"/>
      <c r="X836" s="66"/>
      <c r="Y836" s="66"/>
    </row>
    <row r="837">
      <c r="A837" s="71"/>
      <c r="B837" s="71"/>
      <c r="C837" s="73"/>
      <c r="D837" s="73"/>
      <c r="E837" s="75"/>
      <c r="F837" s="75"/>
      <c r="G837" s="75"/>
      <c r="H837" s="75"/>
      <c r="I837" s="29"/>
      <c r="J837" s="76"/>
      <c r="K837" s="76"/>
      <c r="L837" s="66"/>
      <c r="M837" s="66"/>
      <c r="N837" s="66"/>
      <c r="O837" s="66"/>
      <c r="P837" s="66"/>
      <c r="Q837" s="66"/>
      <c r="R837" s="66"/>
      <c r="S837" s="66"/>
      <c r="T837" s="66"/>
      <c r="U837" s="66"/>
      <c r="V837" s="66"/>
      <c r="W837" s="66"/>
      <c r="X837" s="66"/>
      <c r="Y837" s="66"/>
    </row>
    <row r="838">
      <c r="A838" s="71"/>
      <c r="B838" s="71"/>
      <c r="C838" s="73"/>
      <c r="D838" s="73"/>
      <c r="E838" s="75"/>
      <c r="F838" s="75"/>
      <c r="G838" s="75"/>
      <c r="H838" s="75"/>
      <c r="I838" s="29"/>
      <c r="J838" s="76"/>
      <c r="K838" s="76"/>
      <c r="L838" s="66"/>
      <c r="M838" s="66"/>
      <c r="N838" s="66"/>
      <c r="O838" s="66"/>
      <c r="P838" s="66"/>
      <c r="Q838" s="66"/>
      <c r="R838" s="66"/>
      <c r="S838" s="66"/>
      <c r="T838" s="66"/>
      <c r="U838" s="66"/>
      <c r="V838" s="66"/>
      <c r="W838" s="66"/>
      <c r="X838" s="66"/>
      <c r="Y838" s="66"/>
    </row>
    <row r="839">
      <c r="A839" s="71"/>
      <c r="B839" s="71"/>
      <c r="C839" s="73"/>
      <c r="D839" s="73"/>
      <c r="E839" s="75"/>
      <c r="F839" s="75"/>
      <c r="G839" s="75"/>
      <c r="H839" s="75"/>
      <c r="I839" s="29"/>
      <c r="J839" s="76"/>
      <c r="K839" s="76"/>
      <c r="L839" s="66"/>
      <c r="M839" s="66"/>
      <c r="N839" s="66"/>
      <c r="O839" s="66"/>
      <c r="P839" s="66"/>
      <c r="Q839" s="66"/>
      <c r="R839" s="66"/>
      <c r="S839" s="66"/>
      <c r="T839" s="66"/>
      <c r="U839" s="66"/>
      <c r="V839" s="66"/>
      <c r="W839" s="66"/>
      <c r="X839" s="66"/>
      <c r="Y839" s="66"/>
    </row>
    <row r="840">
      <c r="A840" s="71"/>
      <c r="B840" s="71"/>
      <c r="C840" s="73"/>
      <c r="D840" s="73"/>
      <c r="E840" s="75"/>
      <c r="F840" s="75"/>
      <c r="G840" s="75"/>
      <c r="H840" s="75"/>
      <c r="I840" s="29"/>
      <c r="J840" s="76"/>
      <c r="K840" s="76"/>
      <c r="L840" s="66"/>
      <c r="M840" s="66"/>
      <c r="N840" s="66"/>
      <c r="O840" s="66"/>
      <c r="P840" s="66"/>
      <c r="Q840" s="66"/>
      <c r="R840" s="66"/>
      <c r="S840" s="66"/>
      <c r="T840" s="66"/>
      <c r="U840" s="66"/>
      <c r="V840" s="66"/>
      <c r="W840" s="66"/>
      <c r="X840" s="66"/>
      <c r="Y840" s="66"/>
    </row>
    <row r="841">
      <c r="A841" s="71"/>
      <c r="B841" s="71"/>
      <c r="C841" s="73"/>
      <c r="D841" s="73"/>
      <c r="E841" s="75"/>
      <c r="F841" s="75"/>
      <c r="G841" s="75"/>
      <c r="H841" s="75"/>
      <c r="I841" s="29"/>
      <c r="J841" s="76"/>
      <c r="K841" s="76"/>
      <c r="L841" s="66"/>
      <c r="M841" s="66"/>
      <c r="N841" s="66"/>
      <c r="O841" s="66"/>
      <c r="P841" s="66"/>
      <c r="Q841" s="66"/>
      <c r="R841" s="66"/>
      <c r="S841" s="66"/>
      <c r="T841" s="66"/>
      <c r="U841" s="66"/>
      <c r="V841" s="66"/>
      <c r="W841" s="66"/>
      <c r="X841" s="66"/>
      <c r="Y841" s="66"/>
    </row>
    <row r="842">
      <c r="A842" s="71"/>
      <c r="B842" s="71"/>
      <c r="C842" s="73"/>
      <c r="D842" s="73"/>
      <c r="E842" s="75"/>
      <c r="F842" s="75"/>
      <c r="G842" s="75"/>
      <c r="H842" s="75"/>
      <c r="I842" s="29"/>
      <c r="J842" s="76"/>
      <c r="K842" s="76"/>
      <c r="L842" s="66"/>
      <c r="M842" s="66"/>
      <c r="N842" s="66"/>
      <c r="O842" s="66"/>
      <c r="P842" s="66"/>
      <c r="Q842" s="66"/>
      <c r="R842" s="66"/>
      <c r="S842" s="66"/>
      <c r="T842" s="66"/>
      <c r="U842" s="66"/>
      <c r="V842" s="66"/>
      <c r="W842" s="66"/>
      <c r="X842" s="66"/>
      <c r="Y842" s="66"/>
    </row>
    <row r="843">
      <c r="A843" s="71"/>
      <c r="B843" s="71"/>
      <c r="C843" s="73"/>
      <c r="D843" s="73"/>
      <c r="E843" s="75"/>
      <c r="F843" s="75"/>
      <c r="G843" s="75"/>
      <c r="H843" s="75"/>
      <c r="I843" s="29"/>
      <c r="J843" s="76"/>
      <c r="K843" s="76"/>
      <c r="L843" s="66"/>
      <c r="M843" s="66"/>
      <c r="N843" s="66"/>
      <c r="O843" s="66"/>
      <c r="P843" s="66"/>
      <c r="Q843" s="66"/>
      <c r="R843" s="66"/>
      <c r="S843" s="66"/>
      <c r="T843" s="66"/>
      <c r="U843" s="66"/>
      <c r="V843" s="66"/>
      <c r="W843" s="66"/>
      <c r="X843" s="66"/>
      <c r="Y843" s="66"/>
    </row>
    <row r="844">
      <c r="A844" s="71"/>
      <c r="B844" s="71"/>
      <c r="C844" s="73"/>
      <c r="D844" s="73"/>
      <c r="E844" s="75"/>
      <c r="F844" s="75"/>
      <c r="G844" s="75"/>
      <c r="H844" s="75"/>
      <c r="I844" s="29"/>
      <c r="J844" s="76"/>
      <c r="K844" s="76"/>
      <c r="L844" s="66"/>
      <c r="M844" s="66"/>
      <c r="N844" s="66"/>
      <c r="O844" s="66"/>
      <c r="P844" s="66"/>
      <c r="Q844" s="66"/>
      <c r="R844" s="66"/>
      <c r="S844" s="66"/>
      <c r="T844" s="66"/>
      <c r="U844" s="66"/>
      <c r="V844" s="66"/>
      <c r="W844" s="66"/>
      <c r="X844" s="66"/>
      <c r="Y844" s="66"/>
    </row>
    <row r="845">
      <c r="A845" s="71"/>
      <c r="B845" s="71"/>
      <c r="C845" s="73"/>
      <c r="D845" s="73"/>
      <c r="E845" s="75"/>
      <c r="F845" s="75"/>
      <c r="G845" s="75"/>
      <c r="H845" s="75"/>
      <c r="I845" s="29"/>
      <c r="J845" s="76"/>
      <c r="K845" s="76"/>
      <c r="L845" s="66"/>
      <c r="M845" s="66"/>
      <c r="N845" s="66"/>
      <c r="O845" s="66"/>
      <c r="P845" s="66"/>
      <c r="Q845" s="66"/>
      <c r="R845" s="66"/>
      <c r="S845" s="66"/>
      <c r="T845" s="66"/>
      <c r="U845" s="66"/>
      <c r="V845" s="66"/>
      <c r="W845" s="66"/>
      <c r="X845" s="66"/>
      <c r="Y845" s="66"/>
    </row>
    <row r="846">
      <c r="A846" s="71"/>
      <c r="B846" s="71"/>
      <c r="C846" s="73"/>
      <c r="D846" s="73"/>
      <c r="E846" s="75"/>
      <c r="F846" s="75"/>
      <c r="G846" s="75"/>
      <c r="H846" s="75"/>
      <c r="I846" s="29"/>
      <c r="J846" s="76"/>
      <c r="K846" s="76"/>
      <c r="L846" s="66"/>
      <c r="M846" s="66"/>
      <c r="N846" s="66"/>
      <c r="O846" s="66"/>
      <c r="P846" s="66"/>
      <c r="Q846" s="66"/>
      <c r="R846" s="66"/>
      <c r="S846" s="66"/>
      <c r="T846" s="66"/>
      <c r="U846" s="66"/>
      <c r="V846" s="66"/>
      <c r="W846" s="66"/>
      <c r="X846" s="66"/>
      <c r="Y846" s="66"/>
    </row>
    <row r="847">
      <c r="A847" s="71"/>
      <c r="B847" s="71"/>
      <c r="C847" s="73"/>
      <c r="D847" s="73"/>
      <c r="E847" s="75"/>
      <c r="F847" s="75"/>
      <c r="G847" s="75"/>
      <c r="H847" s="75"/>
      <c r="I847" s="29"/>
      <c r="J847" s="76"/>
      <c r="K847" s="76"/>
      <c r="L847" s="66"/>
      <c r="M847" s="66"/>
      <c r="N847" s="66"/>
      <c r="O847" s="66"/>
      <c r="P847" s="66"/>
      <c r="Q847" s="66"/>
      <c r="R847" s="66"/>
      <c r="S847" s="66"/>
      <c r="T847" s="66"/>
      <c r="U847" s="66"/>
      <c r="V847" s="66"/>
      <c r="W847" s="66"/>
      <c r="X847" s="66"/>
      <c r="Y847" s="66"/>
    </row>
    <row r="848">
      <c r="A848" s="71"/>
      <c r="B848" s="71"/>
      <c r="C848" s="73"/>
      <c r="D848" s="73"/>
      <c r="E848" s="75"/>
      <c r="F848" s="75"/>
      <c r="G848" s="75"/>
      <c r="H848" s="75"/>
      <c r="I848" s="29"/>
      <c r="J848" s="76"/>
      <c r="K848" s="76"/>
      <c r="L848" s="66"/>
      <c r="M848" s="66"/>
      <c r="N848" s="66"/>
      <c r="O848" s="66"/>
      <c r="P848" s="66"/>
      <c r="Q848" s="66"/>
      <c r="R848" s="66"/>
      <c r="S848" s="66"/>
      <c r="T848" s="66"/>
      <c r="U848" s="66"/>
      <c r="V848" s="66"/>
      <c r="W848" s="66"/>
      <c r="X848" s="66"/>
      <c r="Y848" s="66"/>
    </row>
    <row r="849">
      <c r="A849" s="71"/>
      <c r="B849" s="71"/>
      <c r="C849" s="73"/>
      <c r="D849" s="73"/>
      <c r="E849" s="75"/>
      <c r="F849" s="75"/>
      <c r="G849" s="75"/>
      <c r="H849" s="75"/>
      <c r="I849" s="29"/>
      <c r="J849" s="76"/>
      <c r="K849" s="76"/>
      <c r="L849" s="66"/>
      <c r="M849" s="66"/>
      <c r="N849" s="66"/>
      <c r="O849" s="66"/>
      <c r="P849" s="66"/>
      <c r="Q849" s="66"/>
      <c r="R849" s="66"/>
      <c r="S849" s="66"/>
      <c r="T849" s="66"/>
      <c r="U849" s="66"/>
      <c r="V849" s="66"/>
      <c r="W849" s="66"/>
      <c r="X849" s="66"/>
      <c r="Y849" s="66"/>
    </row>
    <row r="850">
      <c r="A850" s="71"/>
      <c r="B850" s="71"/>
      <c r="C850" s="73"/>
      <c r="D850" s="73"/>
      <c r="E850" s="75"/>
      <c r="F850" s="75"/>
      <c r="G850" s="75"/>
      <c r="H850" s="75"/>
      <c r="I850" s="29"/>
      <c r="J850" s="76"/>
      <c r="K850" s="76"/>
      <c r="L850" s="66"/>
      <c r="M850" s="66"/>
      <c r="N850" s="66"/>
      <c r="O850" s="66"/>
      <c r="P850" s="66"/>
      <c r="Q850" s="66"/>
      <c r="R850" s="66"/>
      <c r="S850" s="66"/>
      <c r="T850" s="66"/>
      <c r="U850" s="66"/>
      <c r="V850" s="66"/>
      <c r="W850" s="66"/>
      <c r="X850" s="66"/>
      <c r="Y850" s="66"/>
    </row>
    <row r="851">
      <c r="A851" s="71"/>
      <c r="B851" s="71"/>
      <c r="C851" s="73"/>
      <c r="D851" s="73"/>
      <c r="E851" s="75"/>
      <c r="F851" s="75"/>
      <c r="G851" s="75"/>
      <c r="H851" s="75"/>
      <c r="I851" s="29"/>
      <c r="J851" s="76"/>
      <c r="K851" s="76"/>
      <c r="L851" s="66"/>
      <c r="M851" s="66"/>
      <c r="N851" s="66"/>
      <c r="O851" s="66"/>
      <c r="P851" s="66"/>
      <c r="Q851" s="66"/>
      <c r="R851" s="66"/>
      <c r="S851" s="66"/>
      <c r="T851" s="66"/>
      <c r="U851" s="66"/>
      <c r="V851" s="66"/>
      <c r="W851" s="66"/>
      <c r="X851" s="66"/>
      <c r="Y851" s="66"/>
    </row>
    <row r="852">
      <c r="A852" s="71"/>
      <c r="B852" s="71"/>
      <c r="C852" s="73"/>
      <c r="D852" s="73"/>
      <c r="E852" s="75"/>
      <c r="F852" s="75"/>
      <c r="G852" s="75"/>
      <c r="H852" s="75"/>
      <c r="I852" s="29"/>
      <c r="J852" s="76"/>
      <c r="K852" s="76"/>
      <c r="L852" s="66"/>
      <c r="M852" s="66"/>
      <c r="N852" s="66"/>
      <c r="O852" s="66"/>
      <c r="P852" s="66"/>
      <c r="Q852" s="66"/>
      <c r="R852" s="66"/>
      <c r="S852" s="66"/>
      <c r="T852" s="66"/>
      <c r="U852" s="66"/>
      <c r="V852" s="66"/>
      <c r="W852" s="66"/>
      <c r="X852" s="66"/>
      <c r="Y852" s="66"/>
    </row>
    <row r="853">
      <c r="A853" s="71"/>
      <c r="B853" s="71"/>
      <c r="C853" s="73"/>
      <c r="D853" s="73"/>
      <c r="E853" s="75"/>
      <c r="F853" s="75"/>
      <c r="G853" s="75"/>
      <c r="H853" s="75"/>
      <c r="I853" s="29"/>
      <c r="J853" s="76"/>
      <c r="K853" s="76"/>
      <c r="L853" s="66"/>
      <c r="M853" s="66"/>
      <c r="N853" s="66"/>
      <c r="O853" s="66"/>
      <c r="P853" s="66"/>
      <c r="Q853" s="66"/>
      <c r="R853" s="66"/>
      <c r="S853" s="66"/>
      <c r="T853" s="66"/>
      <c r="U853" s="66"/>
      <c r="V853" s="66"/>
      <c r="W853" s="66"/>
      <c r="X853" s="66"/>
      <c r="Y853" s="66"/>
    </row>
    <row r="854">
      <c r="A854" s="71"/>
      <c r="B854" s="71"/>
      <c r="C854" s="73"/>
      <c r="D854" s="73"/>
      <c r="E854" s="75"/>
      <c r="F854" s="75"/>
      <c r="G854" s="75"/>
      <c r="H854" s="75"/>
      <c r="I854" s="29"/>
      <c r="J854" s="76"/>
      <c r="K854" s="76"/>
      <c r="L854" s="66"/>
      <c r="M854" s="66"/>
      <c r="N854" s="66"/>
      <c r="O854" s="66"/>
      <c r="P854" s="66"/>
      <c r="Q854" s="66"/>
      <c r="R854" s="66"/>
      <c r="S854" s="66"/>
      <c r="T854" s="66"/>
      <c r="U854" s="66"/>
      <c r="V854" s="66"/>
      <c r="W854" s="66"/>
      <c r="X854" s="66"/>
      <c r="Y854" s="66"/>
    </row>
    <row r="855">
      <c r="A855" s="71"/>
      <c r="B855" s="71"/>
      <c r="C855" s="73"/>
      <c r="D855" s="73"/>
      <c r="E855" s="75"/>
      <c r="F855" s="75"/>
      <c r="G855" s="75"/>
      <c r="H855" s="75"/>
      <c r="I855" s="29"/>
      <c r="J855" s="76"/>
      <c r="K855" s="76"/>
      <c r="L855" s="66"/>
      <c r="M855" s="66"/>
      <c r="N855" s="66"/>
      <c r="O855" s="66"/>
      <c r="P855" s="66"/>
      <c r="Q855" s="66"/>
      <c r="R855" s="66"/>
      <c r="S855" s="66"/>
      <c r="T855" s="66"/>
      <c r="U855" s="66"/>
      <c r="V855" s="66"/>
      <c r="W855" s="66"/>
      <c r="X855" s="66"/>
      <c r="Y855" s="66"/>
    </row>
    <row r="856">
      <c r="A856" s="71"/>
      <c r="B856" s="71"/>
      <c r="C856" s="73"/>
      <c r="D856" s="73"/>
      <c r="E856" s="75"/>
      <c r="F856" s="75"/>
      <c r="G856" s="75"/>
      <c r="H856" s="75"/>
      <c r="I856" s="29"/>
      <c r="J856" s="76"/>
      <c r="K856" s="76"/>
      <c r="L856" s="66"/>
      <c r="M856" s="66"/>
      <c r="N856" s="66"/>
      <c r="O856" s="66"/>
      <c r="P856" s="66"/>
      <c r="Q856" s="66"/>
      <c r="R856" s="66"/>
      <c r="S856" s="66"/>
      <c r="T856" s="66"/>
      <c r="U856" s="66"/>
      <c r="V856" s="66"/>
      <c r="W856" s="66"/>
      <c r="X856" s="66"/>
      <c r="Y856" s="66"/>
    </row>
    <row r="857">
      <c r="A857" s="71"/>
      <c r="B857" s="71"/>
      <c r="C857" s="73"/>
      <c r="D857" s="73"/>
      <c r="E857" s="75"/>
      <c r="F857" s="75"/>
      <c r="G857" s="75"/>
      <c r="H857" s="75"/>
      <c r="I857" s="29"/>
      <c r="J857" s="76"/>
      <c r="K857" s="76"/>
      <c r="L857" s="66"/>
      <c r="M857" s="66"/>
      <c r="N857" s="66"/>
      <c r="O857" s="66"/>
      <c r="P857" s="66"/>
      <c r="Q857" s="66"/>
      <c r="R857" s="66"/>
      <c r="S857" s="66"/>
      <c r="T857" s="66"/>
      <c r="U857" s="66"/>
      <c r="V857" s="66"/>
      <c r="W857" s="66"/>
      <c r="X857" s="66"/>
      <c r="Y857" s="66"/>
    </row>
    <row r="858">
      <c r="A858" s="71"/>
      <c r="B858" s="71"/>
      <c r="C858" s="73"/>
      <c r="D858" s="73"/>
      <c r="E858" s="75"/>
      <c r="F858" s="75"/>
      <c r="G858" s="75"/>
      <c r="H858" s="75"/>
      <c r="I858" s="29"/>
      <c r="J858" s="76"/>
      <c r="K858" s="76"/>
      <c r="L858" s="66"/>
      <c r="M858" s="66"/>
      <c r="N858" s="66"/>
      <c r="O858" s="66"/>
      <c r="P858" s="66"/>
      <c r="Q858" s="66"/>
      <c r="R858" s="66"/>
      <c r="S858" s="66"/>
      <c r="T858" s="66"/>
      <c r="U858" s="66"/>
      <c r="V858" s="66"/>
      <c r="W858" s="66"/>
      <c r="X858" s="66"/>
      <c r="Y858" s="66"/>
    </row>
    <row r="859">
      <c r="A859" s="71"/>
      <c r="B859" s="71"/>
      <c r="C859" s="73"/>
      <c r="D859" s="73"/>
      <c r="E859" s="75"/>
      <c r="F859" s="75"/>
      <c r="G859" s="75"/>
      <c r="H859" s="75"/>
      <c r="I859" s="29"/>
      <c r="J859" s="76"/>
      <c r="K859" s="76"/>
      <c r="L859" s="66"/>
      <c r="M859" s="66"/>
      <c r="N859" s="66"/>
      <c r="O859" s="66"/>
      <c r="P859" s="66"/>
      <c r="Q859" s="66"/>
      <c r="R859" s="66"/>
      <c r="S859" s="66"/>
      <c r="T859" s="66"/>
      <c r="U859" s="66"/>
      <c r="V859" s="66"/>
      <c r="W859" s="66"/>
      <c r="X859" s="66"/>
      <c r="Y859" s="66"/>
    </row>
    <row r="860">
      <c r="A860" s="71"/>
      <c r="B860" s="71"/>
      <c r="C860" s="73"/>
      <c r="D860" s="73"/>
      <c r="E860" s="75"/>
      <c r="F860" s="75"/>
      <c r="G860" s="75"/>
      <c r="H860" s="75"/>
      <c r="I860" s="29"/>
      <c r="J860" s="76"/>
      <c r="K860" s="76"/>
      <c r="L860" s="66"/>
      <c r="M860" s="66"/>
      <c r="N860" s="66"/>
      <c r="O860" s="66"/>
      <c r="P860" s="66"/>
      <c r="Q860" s="66"/>
      <c r="R860" s="66"/>
      <c r="S860" s="66"/>
      <c r="T860" s="66"/>
      <c r="U860" s="66"/>
      <c r="V860" s="66"/>
      <c r="W860" s="66"/>
      <c r="X860" s="66"/>
      <c r="Y860" s="66"/>
    </row>
    <row r="861">
      <c r="A861" s="71"/>
      <c r="B861" s="71"/>
      <c r="C861" s="73"/>
      <c r="D861" s="73"/>
      <c r="E861" s="75"/>
      <c r="F861" s="75"/>
      <c r="G861" s="75"/>
      <c r="H861" s="75"/>
      <c r="I861" s="29"/>
      <c r="J861" s="76"/>
      <c r="K861" s="76"/>
      <c r="L861" s="66"/>
      <c r="M861" s="66"/>
      <c r="N861" s="66"/>
      <c r="O861" s="66"/>
      <c r="P861" s="66"/>
      <c r="Q861" s="66"/>
      <c r="R861" s="66"/>
      <c r="S861" s="66"/>
      <c r="T861" s="66"/>
      <c r="U861" s="66"/>
      <c r="V861" s="66"/>
      <c r="W861" s="66"/>
      <c r="X861" s="66"/>
      <c r="Y861" s="66"/>
    </row>
    <row r="862">
      <c r="A862" s="71"/>
      <c r="B862" s="71"/>
      <c r="C862" s="73"/>
      <c r="D862" s="73"/>
      <c r="E862" s="75"/>
      <c r="F862" s="75"/>
      <c r="G862" s="75"/>
      <c r="H862" s="75"/>
      <c r="I862" s="29"/>
      <c r="J862" s="76"/>
      <c r="K862" s="76"/>
      <c r="L862" s="66"/>
      <c r="M862" s="66"/>
      <c r="N862" s="66"/>
      <c r="O862" s="66"/>
      <c r="P862" s="66"/>
      <c r="Q862" s="66"/>
      <c r="R862" s="66"/>
      <c r="S862" s="66"/>
      <c r="T862" s="66"/>
      <c r="U862" s="66"/>
      <c r="V862" s="66"/>
      <c r="W862" s="66"/>
      <c r="X862" s="66"/>
      <c r="Y862" s="66"/>
    </row>
    <row r="863">
      <c r="A863" s="71"/>
      <c r="B863" s="71"/>
      <c r="C863" s="73"/>
      <c r="D863" s="73"/>
      <c r="E863" s="75"/>
      <c r="F863" s="75"/>
      <c r="G863" s="75"/>
      <c r="H863" s="75"/>
      <c r="I863" s="29"/>
      <c r="J863" s="76"/>
      <c r="K863" s="76"/>
      <c r="L863" s="66"/>
      <c r="M863" s="66"/>
      <c r="N863" s="66"/>
      <c r="O863" s="66"/>
      <c r="P863" s="66"/>
      <c r="Q863" s="66"/>
      <c r="R863" s="66"/>
      <c r="S863" s="66"/>
      <c r="T863" s="66"/>
      <c r="U863" s="66"/>
      <c r="V863" s="66"/>
      <c r="W863" s="66"/>
      <c r="X863" s="66"/>
      <c r="Y863" s="66"/>
    </row>
    <row r="864">
      <c r="A864" s="71"/>
      <c r="B864" s="71"/>
      <c r="C864" s="73"/>
      <c r="D864" s="73"/>
      <c r="E864" s="75"/>
      <c r="F864" s="75"/>
      <c r="G864" s="75"/>
      <c r="H864" s="75"/>
      <c r="I864" s="29"/>
      <c r="J864" s="76"/>
      <c r="K864" s="76"/>
      <c r="L864" s="66"/>
      <c r="M864" s="66"/>
      <c r="N864" s="66"/>
      <c r="O864" s="66"/>
      <c r="P864" s="66"/>
      <c r="Q864" s="66"/>
      <c r="R864" s="66"/>
      <c r="S864" s="66"/>
      <c r="T864" s="66"/>
      <c r="U864" s="66"/>
      <c r="V864" s="66"/>
      <c r="W864" s="66"/>
      <c r="X864" s="66"/>
      <c r="Y864" s="66"/>
    </row>
    <row r="865">
      <c r="A865" s="71"/>
      <c r="B865" s="71"/>
      <c r="C865" s="73"/>
      <c r="D865" s="73"/>
      <c r="E865" s="75"/>
      <c r="F865" s="75"/>
      <c r="G865" s="75"/>
      <c r="H865" s="75"/>
      <c r="I865" s="29"/>
      <c r="J865" s="76"/>
      <c r="K865" s="76"/>
      <c r="L865" s="66"/>
      <c r="M865" s="66"/>
      <c r="N865" s="66"/>
      <c r="O865" s="66"/>
      <c r="P865" s="66"/>
      <c r="Q865" s="66"/>
      <c r="R865" s="66"/>
      <c r="S865" s="66"/>
      <c r="T865" s="66"/>
      <c r="U865" s="66"/>
      <c r="V865" s="66"/>
      <c r="W865" s="66"/>
      <c r="X865" s="66"/>
      <c r="Y865" s="66"/>
    </row>
    <row r="866">
      <c r="A866" s="71"/>
      <c r="B866" s="71"/>
      <c r="C866" s="73"/>
      <c r="D866" s="73"/>
      <c r="E866" s="75"/>
      <c r="F866" s="75"/>
      <c r="G866" s="75"/>
      <c r="H866" s="75"/>
      <c r="I866" s="29"/>
      <c r="J866" s="76"/>
      <c r="K866" s="76"/>
      <c r="L866" s="66"/>
      <c r="M866" s="66"/>
      <c r="N866" s="66"/>
      <c r="O866" s="66"/>
      <c r="P866" s="66"/>
      <c r="Q866" s="66"/>
      <c r="R866" s="66"/>
      <c r="S866" s="66"/>
      <c r="T866" s="66"/>
      <c r="U866" s="66"/>
      <c r="V866" s="66"/>
      <c r="W866" s="66"/>
      <c r="X866" s="66"/>
      <c r="Y866" s="66"/>
    </row>
    <row r="867">
      <c r="A867" s="71"/>
      <c r="B867" s="71"/>
      <c r="C867" s="73"/>
      <c r="D867" s="73"/>
      <c r="E867" s="75"/>
      <c r="F867" s="75"/>
      <c r="G867" s="75"/>
      <c r="H867" s="75"/>
      <c r="I867" s="29"/>
      <c r="J867" s="76"/>
      <c r="K867" s="76"/>
      <c r="L867" s="66"/>
      <c r="M867" s="66"/>
      <c r="N867" s="66"/>
      <c r="O867" s="66"/>
      <c r="P867" s="66"/>
      <c r="Q867" s="66"/>
      <c r="R867" s="66"/>
      <c r="S867" s="66"/>
      <c r="T867" s="66"/>
      <c r="U867" s="66"/>
      <c r="V867" s="66"/>
      <c r="W867" s="66"/>
      <c r="X867" s="66"/>
      <c r="Y867" s="66"/>
    </row>
    <row r="868">
      <c r="A868" s="71"/>
      <c r="B868" s="71"/>
      <c r="C868" s="73"/>
      <c r="D868" s="73"/>
      <c r="E868" s="75"/>
      <c r="F868" s="75"/>
      <c r="G868" s="75"/>
      <c r="H868" s="75"/>
      <c r="I868" s="29"/>
      <c r="J868" s="76"/>
      <c r="K868" s="76"/>
      <c r="L868" s="66"/>
      <c r="M868" s="66"/>
      <c r="N868" s="66"/>
      <c r="O868" s="66"/>
      <c r="P868" s="66"/>
      <c r="Q868" s="66"/>
      <c r="R868" s="66"/>
      <c r="S868" s="66"/>
      <c r="T868" s="66"/>
      <c r="U868" s="66"/>
      <c r="V868" s="66"/>
      <c r="W868" s="66"/>
      <c r="X868" s="66"/>
      <c r="Y868" s="66"/>
    </row>
    <row r="869">
      <c r="A869" s="71"/>
      <c r="B869" s="71"/>
      <c r="C869" s="73"/>
      <c r="D869" s="73"/>
      <c r="E869" s="75"/>
      <c r="F869" s="75"/>
      <c r="G869" s="75"/>
      <c r="H869" s="75"/>
      <c r="I869" s="29"/>
      <c r="J869" s="76"/>
      <c r="K869" s="76"/>
      <c r="L869" s="66"/>
      <c r="M869" s="66"/>
      <c r="N869" s="66"/>
      <c r="O869" s="66"/>
      <c r="P869" s="66"/>
      <c r="Q869" s="66"/>
      <c r="R869" s="66"/>
      <c r="S869" s="66"/>
      <c r="T869" s="66"/>
      <c r="U869" s="66"/>
      <c r="V869" s="66"/>
      <c r="W869" s="66"/>
      <c r="X869" s="66"/>
      <c r="Y869" s="66"/>
    </row>
    <row r="870">
      <c r="A870" s="71"/>
      <c r="B870" s="71"/>
      <c r="C870" s="73"/>
      <c r="D870" s="73"/>
      <c r="E870" s="75"/>
      <c r="F870" s="75"/>
      <c r="G870" s="75"/>
      <c r="H870" s="75"/>
      <c r="I870" s="29"/>
      <c r="J870" s="76"/>
      <c r="K870" s="76"/>
      <c r="L870" s="66"/>
      <c r="M870" s="66"/>
      <c r="N870" s="66"/>
      <c r="O870" s="66"/>
      <c r="P870" s="66"/>
      <c r="Q870" s="66"/>
      <c r="R870" s="66"/>
      <c r="S870" s="66"/>
      <c r="T870" s="66"/>
      <c r="U870" s="66"/>
      <c r="V870" s="66"/>
      <c r="W870" s="66"/>
      <c r="X870" s="66"/>
      <c r="Y870" s="66"/>
    </row>
    <row r="871">
      <c r="A871" s="71"/>
      <c r="B871" s="71"/>
      <c r="C871" s="73"/>
      <c r="D871" s="73"/>
      <c r="E871" s="75"/>
      <c r="F871" s="75"/>
      <c r="G871" s="75"/>
      <c r="H871" s="75"/>
      <c r="I871" s="29"/>
      <c r="J871" s="76"/>
      <c r="K871" s="76"/>
      <c r="L871" s="66"/>
      <c r="M871" s="66"/>
      <c r="N871" s="66"/>
      <c r="O871" s="66"/>
      <c r="P871" s="66"/>
      <c r="Q871" s="66"/>
      <c r="R871" s="66"/>
      <c r="S871" s="66"/>
      <c r="T871" s="66"/>
      <c r="U871" s="66"/>
      <c r="V871" s="66"/>
      <c r="W871" s="66"/>
      <c r="X871" s="66"/>
      <c r="Y871" s="66"/>
    </row>
    <row r="872">
      <c r="A872" s="71"/>
      <c r="B872" s="71"/>
      <c r="C872" s="73"/>
      <c r="D872" s="73"/>
      <c r="E872" s="75"/>
      <c r="F872" s="75"/>
      <c r="G872" s="75"/>
      <c r="H872" s="75"/>
      <c r="I872" s="29"/>
      <c r="J872" s="76"/>
      <c r="K872" s="76"/>
      <c r="L872" s="66"/>
      <c r="M872" s="66"/>
      <c r="N872" s="66"/>
      <c r="O872" s="66"/>
      <c r="P872" s="66"/>
      <c r="Q872" s="66"/>
      <c r="R872" s="66"/>
      <c r="S872" s="66"/>
      <c r="T872" s="66"/>
      <c r="U872" s="66"/>
      <c r="V872" s="66"/>
      <c r="W872" s="66"/>
      <c r="X872" s="66"/>
      <c r="Y872" s="66"/>
    </row>
    <row r="873">
      <c r="A873" s="71"/>
      <c r="B873" s="71"/>
      <c r="C873" s="73"/>
      <c r="D873" s="73"/>
      <c r="E873" s="75"/>
      <c r="F873" s="75"/>
      <c r="G873" s="75"/>
      <c r="H873" s="75"/>
      <c r="I873" s="29"/>
      <c r="J873" s="76"/>
      <c r="K873" s="76"/>
      <c r="L873" s="66"/>
      <c r="M873" s="66"/>
      <c r="N873" s="66"/>
      <c r="O873" s="66"/>
      <c r="P873" s="66"/>
      <c r="Q873" s="66"/>
      <c r="R873" s="66"/>
      <c r="S873" s="66"/>
      <c r="T873" s="66"/>
      <c r="U873" s="66"/>
      <c r="V873" s="66"/>
      <c r="W873" s="66"/>
      <c r="X873" s="66"/>
      <c r="Y873" s="66"/>
    </row>
    <row r="874">
      <c r="A874" s="71"/>
      <c r="B874" s="71"/>
      <c r="C874" s="73"/>
      <c r="D874" s="73"/>
      <c r="E874" s="75"/>
      <c r="F874" s="75"/>
      <c r="G874" s="75"/>
      <c r="H874" s="75"/>
      <c r="I874" s="29"/>
      <c r="J874" s="76"/>
      <c r="K874" s="76"/>
      <c r="L874" s="66"/>
      <c r="M874" s="66"/>
      <c r="N874" s="66"/>
      <c r="O874" s="66"/>
      <c r="P874" s="66"/>
      <c r="Q874" s="66"/>
      <c r="R874" s="66"/>
      <c r="S874" s="66"/>
      <c r="T874" s="66"/>
      <c r="U874" s="66"/>
      <c r="V874" s="66"/>
      <c r="W874" s="66"/>
      <c r="X874" s="66"/>
      <c r="Y874" s="66"/>
    </row>
    <row r="875">
      <c r="A875" s="71"/>
      <c r="B875" s="71"/>
      <c r="C875" s="73"/>
      <c r="D875" s="73"/>
      <c r="E875" s="75"/>
      <c r="F875" s="75"/>
      <c r="G875" s="75"/>
      <c r="H875" s="75"/>
      <c r="I875" s="29"/>
      <c r="J875" s="76"/>
      <c r="K875" s="76"/>
      <c r="L875" s="66"/>
      <c r="M875" s="66"/>
      <c r="N875" s="66"/>
      <c r="O875" s="66"/>
      <c r="P875" s="66"/>
      <c r="Q875" s="66"/>
      <c r="R875" s="66"/>
      <c r="S875" s="66"/>
      <c r="T875" s="66"/>
      <c r="U875" s="66"/>
      <c r="V875" s="66"/>
      <c r="W875" s="66"/>
      <c r="X875" s="66"/>
      <c r="Y875" s="66"/>
    </row>
    <row r="876">
      <c r="A876" s="71"/>
      <c r="B876" s="71"/>
      <c r="C876" s="73"/>
      <c r="D876" s="73"/>
      <c r="E876" s="75"/>
      <c r="F876" s="75"/>
      <c r="G876" s="75"/>
      <c r="H876" s="75"/>
      <c r="I876" s="29"/>
      <c r="J876" s="76"/>
      <c r="K876" s="76"/>
      <c r="L876" s="66"/>
      <c r="M876" s="66"/>
      <c r="N876" s="66"/>
      <c r="O876" s="66"/>
      <c r="P876" s="66"/>
      <c r="Q876" s="66"/>
      <c r="R876" s="66"/>
      <c r="S876" s="66"/>
      <c r="T876" s="66"/>
      <c r="U876" s="66"/>
      <c r="V876" s="66"/>
      <c r="W876" s="66"/>
      <c r="X876" s="66"/>
      <c r="Y876" s="66"/>
    </row>
    <row r="877">
      <c r="A877" s="71"/>
      <c r="B877" s="71"/>
      <c r="C877" s="73"/>
      <c r="D877" s="73"/>
      <c r="E877" s="75"/>
      <c r="F877" s="75"/>
      <c r="G877" s="75"/>
      <c r="H877" s="75"/>
      <c r="I877" s="29"/>
      <c r="J877" s="76"/>
      <c r="K877" s="76"/>
      <c r="L877" s="66"/>
      <c r="M877" s="66"/>
      <c r="N877" s="66"/>
      <c r="O877" s="66"/>
      <c r="P877" s="66"/>
      <c r="Q877" s="66"/>
      <c r="R877" s="66"/>
      <c r="S877" s="66"/>
      <c r="T877" s="66"/>
      <c r="U877" s="66"/>
      <c r="V877" s="66"/>
      <c r="W877" s="66"/>
      <c r="X877" s="66"/>
      <c r="Y877" s="66"/>
    </row>
    <row r="878">
      <c r="A878" s="71"/>
      <c r="B878" s="71"/>
      <c r="C878" s="73"/>
      <c r="D878" s="73"/>
      <c r="E878" s="75"/>
      <c r="F878" s="75"/>
      <c r="G878" s="75"/>
      <c r="H878" s="75"/>
      <c r="I878" s="29"/>
      <c r="J878" s="76"/>
      <c r="K878" s="76"/>
      <c r="L878" s="66"/>
      <c r="M878" s="66"/>
      <c r="N878" s="66"/>
      <c r="O878" s="66"/>
      <c r="P878" s="66"/>
      <c r="Q878" s="66"/>
      <c r="R878" s="66"/>
      <c r="S878" s="66"/>
      <c r="T878" s="66"/>
      <c r="U878" s="66"/>
      <c r="V878" s="66"/>
      <c r="W878" s="66"/>
      <c r="X878" s="66"/>
      <c r="Y878" s="66"/>
    </row>
    <row r="879">
      <c r="A879" s="71"/>
      <c r="B879" s="71"/>
      <c r="C879" s="73"/>
      <c r="D879" s="73"/>
      <c r="E879" s="75"/>
      <c r="F879" s="75"/>
      <c r="G879" s="75"/>
      <c r="H879" s="75"/>
      <c r="I879" s="29"/>
      <c r="J879" s="76"/>
      <c r="K879" s="76"/>
      <c r="L879" s="66"/>
      <c r="M879" s="66"/>
      <c r="N879" s="66"/>
      <c r="O879" s="66"/>
      <c r="P879" s="66"/>
      <c r="Q879" s="66"/>
      <c r="R879" s="66"/>
      <c r="S879" s="66"/>
      <c r="T879" s="66"/>
      <c r="U879" s="66"/>
      <c r="V879" s="66"/>
      <c r="W879" s="66"/>
      <c r="X879" s="66"/>
      <c r="Y879" s="66"/>
    </row>
    <row r="880">
      <c r="A880" s="71"/>
      <c r="B880" s="71"/>
      <c r="C880" s="73"/>
      <c r="D880" s="73"/>
      <c r="E880" s="75"/>
      <c r="F880" s="75"/>
      <c r="G880" s="75"/>
      <c r="H880" s="75"/>
      <c r="I880" s="29"/>
      <c r="J880" s="76"/>
      <c r="K880" s="76"/>
      <c r="L880" s="66"/>
      <c r="M880" s="66"/>
      <c r="N880" s="66"/>
      <c r="O880" s="66"/>
      <c r="P880" s="66"/>
      <c r="Q880" s="66"/>
      <c r="R880" s="66"/>
      <c r="S880" s="66"/>
      <c r="T880" s="66"/>
      <c r="U880" s="66"/>
      <c r="V880" s="66"/>
      <c r="W880" s="66"/>
      <c r="X880" s="66"/>
      <c r="Y880" s="66"/>
    </row>
    <row r="881">
      <c r="A881" s="71"/>
      <c r="B881" s="71"/>
      <c r="C881" s="73"/>
      <c r="D881" s="73"/>
      <c r="E881" s="75"/>
      <c r="F881" s="75"/>
      <c r="G881" s="75"/>
      <c r="H881" s="75"/>
      <c r="I881" s="29"/>
      <c r="J881" s="76"/>
      <c r="K881" s="76"/>
      <c r="L881" s="66"/>
      <c r="M881" s="66"/>
      <c r="N881" s="66"/>
      <c r="O881" s="66"/>
      <c r="P881" s="66"/>
      <c r="Q881" s="66"/>
      <c r="R881" s="66"/>
      <c r="S881" s="66"/>
      <c r="T881" s="66"/>
      <c r="U881" s="66"/>
      <c r="V881" s="66"/>
      <c r="W881" s="66"/>
      <c r="X881" s="66"/>
      <c r="Y881" s="66"/>
    </row>
    <row r="882">
      <c r="A882" s="71"/>
      <c r="B882" s="71"/>
      <c r="C882" s="73"/>
      <c r="D882" s="73"/>
      <c r="E882" s="75"/>
      <c r="F882" s="75"/>
      <c r="G882" s="75"/>
      <c r="H882" s="75"/>
      <c r="I882" s="29"/>
      <c r="J882" s="76"/>
      <c r="K882" s="76"/>
      <c r="L882" s="66"/>
      <c r="M882" s="66"/>
      <c r="N882" s="66"/>
      <c r="O882" s="66"/>
      <c r="P882" s="66"/>
      <c r="Q882" s="66"/>
      <c r="R882" s="66"/>
      <c r="S882" s="66"/>
      <c r="T882" s="66"/>
      <c r="U882" s="66"/>
      <c r="V882" s="66"/>
      <c r="W882" s="66"/>
      <c r="X882" s="66"/>
      <c r="Y882" s="66"/>
    </row>
    <row r="883">
      <c r="A883" s="71"/>
      <c r="B883" s="71"/>
      <c r="C883" s="73"/>
      <c r="D883" s="73"/>
      <c r="E883" s="75"/>
      <c r="F883" s="75"/>
      <c r="G883" s="75"/>
      <c r="H883" s="75"/>
      <c r="I883" s="29"/>
      <c r="J883" s="76"/>
      <c r="K883" s="76"/>
      <c r="L883" s="66"/>
      <c r="M883" s="66"/>
      <c r="N883" s="66"/>
      <c r="O883" s="66"/>
      <c r="P883" s="66"/>
      <c r="Q883" s="66"/>
      <c r="R883" s="66"/>
      <c r="S883" s="66"/>
      <c r="T883" s="66"/>
      <c r="U883" s="66"/>
      <c r="V883" s="66"/>
      <c r="W883" s="66"/>
      <c r="X883" s="66"/>
      <c r="Y883" s="66"/>
    </row>
    <row r="884">
      <c r="A884" s="71"/>
      <c r="B884" s="71"/>
      <c r="C884" s="73"/>
      <c r="D884" s="73"/>
      <c r="E884" s="75"/>
      <c r="F884" s="75"/>
      <c r="G884" s="75"/>
      <c r="H884" s="75"/>
      <c r="I884" s="29"/>
      <c r="J884" s="76"/>
      <c r="K884" s="76"/>
      <c r="L884" s="66"/>
      <c r="M884" s="66"/>
      <c r="N884" s="66"/>
      <c r="O884" s="66"/>
      <c r="P884" s="66"/>
      <c r="Q884" s="66"/>
      <c r="R884" s="66"/>
      <c r="S884" s="66"/>
      <c r="T884" s="66"/>
      <c r="U884" s="66"/>
      <c r="V884" s="66"/>
      <c r="W884" s="66"/>
      <c r="X884" s="66"/>
      <c r="Y884" s="66"/>
    </row>
    <row r="885">
      <c r="A885" s="71"/>
      <c r="B885" s="71"/>
      <c r="C885" s="73"/>
      <c r="D885" s="73"/>
      <c r="E885" s="75"/>
      <c r="F885" s="75"/>
      <c r="G885" s="75"/>
      <c r="H885" s="75"/>
      <c r="I885" s="29"/>
      <c r="J885" s="76"/>
      <c r="K885" s="76"/>
      <c r="L885" s="66"/>
      <c r="M885" s="66"/>
      <c r="N885" s="66"/>
      <c r="O885" s="66"/>
      <c r="P885" s="66"/>
      <c r="Q885" s="66"/>
      <c r="R885" s="66"/>
      <c r="S885" s="66"/>
      <c r="T885" s="66"/>
      <c r="U885" s="66"/>
      <c r="V885" s="66"/>
      <c r="W885" s="66"/>
      <c r="X885" s="66"/>
      <c r="Y885" s="66"/>
    </row>
    <row r="886">
      <c r="A886" s="71"/>
      <c r="B886" s="71"/>
      <c r="C886" s="73"/>
      <c r="D886" s="73"/>
      <c r="E886" s="75"/>
      <c r="F886" s="75"/>
      <c r="G886" s="75"/>
      <c r="H886" s="75"/>
      <c r="I886" s="29"/>
      <c r="J886" s="76"/>
      <c r="K886" s="76"/>
      <c r="L886" s="66"/>
      <c r="M886" s="66"/>
      <c r="N886" s="66"/>
      <c r="O886" s="66"/>
      <c r="P886" s="66"/>
      <c r="Q886" s="66"/>
      <c r="R886" s="66"/>
      <c r="S886" s="66"/>
      <c r="T886" s="66"/>
      <c r="U886" s="66"/>
      <c r="V886" s="66"/>
      <c r="W886" s="66"/>
      <c r="X886" s="66"/>
      <c r="Y886" s="66"/>
    </row>
    <row r="887">
      <c r="A887" s="71"/>
      <c r="B887" s="71"/>
      <c r="C887" s="73"/>
      <c r="D887" s="73"/>
      <c r="E887" s="75"/>
      <c r="F887" s="75"/>
      <c r="G887" s="75"/>
      <c r="H887" s="75"/>
      <c r="I887" s="29"/>
      <c r="J887" s="76"/>
      <c r="K887" s="76"/>
      <c r="L887" s="66"/>
      <c r="M887" s="66"/>
      <c r="N887" s="66"/>
      <c r="O887" s="66"/>
      <c r="P887" s="66"/>
      <c r="Q887" s="66"/>
      <c r="R887" s="66"/>
      <c r="S887" s="66"/>
      <c r="T887" s="66"/>
      <c r="U887" s="66"/>
      <c r="V887" s="66"/>
      <c r="W887" s="66"/>
      <c r="X887" s="66"/>
      <c r="Y887" s="66"/>
    </row>
    <row r="888">
      <c r="A888" s="71"/>
      <c r="B888" s="71"/>
      <c r="C888" s="73"/>
      <c r="D888" s="73"/>
      <c r="E888" s="75"/>
      <c r="F888" s="75"/>
      <c r="G888" s="75"/>
      <c r="H888" s="75"/>
      <c r="I888" s="29"/>
      <c r="J888" s="76"/>
      <c r="K888" s="76"/>
      <c r="L888" s="66"/>
      <c r="M888" s="66"/>
      <c r="N888" s="66"/>
      <c r="O888" s="66"/>
      <c r="P888" s="66"/>
      <c r="Q888" s="66"/>
      <c r="R888" s="66"/>
      <c r="S888" s="66"/>
      <c r="T888" s="66"/>
      <c r="U888" s="66"/>
      <c r="V888" s="66"/>
      <c r="W888" s="66"/>
      <c r="X888" s="66"/>
      <c r="Y888" s="66"/>
    </row>
    <row r="889">
      <c r="A889" s="71"/>
      <c r="B889" s="71"/>
      <c r="C889" s="73"/>
      <c r="D889" s="73"/>
      <c r="E889" s="75"/>
      <c r="F889" s="75"/>
      <c r="G889" s="75"/>
      <c r="H889" s="75"/>
      <c r="I889" s="29"/>
      <c r="J889" s="76"/>
      <c r="K889" s="76"/>
      <c r="L889" s="66"/>
      <c r="M889" s="66"/>
      <c r="N889" s="66"/>
      <c r="O889" s="66"/>
      <c r="P889" s="66"/>
      <c r="Q889" s="66"/>
      <c r="R889" s="66"/>
      <c r="S889" s="66"/>
      <c r="T889" s="66"/>
      <c r="U889" s="66"/>
      <c r="V889" s="66"/>
      <c r="W889" s="66"/>
      <c r="X889" s="66"/>
      <c r="Y889" s="66"/>
    </row>
    <row r="890">
      <c r="A890" s="71"/>
      <c r="B890" s="71"/>
      <c r="C890" s="73"/>
      <c r="D890" s="73"/>
      <c r="E890" s="75"/>
      <c r="F890" s="75"/>
      <c r="G890" s="75"/>
      <c r="H890" s="75"/>
      <c r="I890" s="29"/>
      <c r="J890" s="76"/>
      <c r="K890" s="76"/>
      <c r="L890" s="66"/>
      <c r="M890" s="66"/>
      <c r="N890" s="66"/>
      <c r="O890" s="66"/>
      <c r="P890" s="66"/>
      <c r="Q890" s="66"/>
      <c r="R890" s="66"/>
      <c r="S890" s="66"/>
      <c r="T890" s="66"/>
      <c r="U890" s="66"/>
      <c r="V890" s="66"/>
      <c r="W890" s="66"/>
      <c r="X890" s="66"/>
      <c r="Y890" s="66"/>
    </row>
    <row r="891">
      <c r="A891" s="71"/>
      <c r="B891" s="71"/>
      <c r="C891" s="73"/>
      <c r="D891" s="73"/>
      <c r="E891" s="75"/>
      <c r="F891" s="75"/>
      <c r="G891" s="75"/>
      <c r="H891" s="75"/>
      <c r="I891" s="29"/>
      <c r="J891" s="76"/>
      <c r="K891" s="76"/>
      <c r="L891" s="66"/>
      <c r="M891" s="66"/>
      <c r="N891" s="66"/>
      <c r="O891" s="66"/>
      <c r="P891" s="66"/>
      <c r="Q891" s="66"/>
      <c r="R891" s="66"/>
      <c r="S891" s="66"/>
      <c r="T891" s="66"/>
      <c r="U891" s="66"/>
      <c r="V891" s="66"/>
      <c r="W891" s="66"/>
      <c r="X891" s="66"/>
      <c r="Y891" s="66"/>
    </row>
    <row r="892">
      <c r="A892" s="71"/>
      <c r="B892" s="71"/>
      <c r="C892" s="73"/>
      <c r="D892" s="73"/>
      <c r="E892" s="75"/>
      <c r="F892" s="75"/>
      <c r="G892" s="75"/>
      <c r="H892" s="75"/>
      <c r="I892" s="29"/>
      <c r="J892" s="76"/>
      <c r="K892" s="76"/>
      <c r="L892" s="66"/>
      <c r="M892" s="66"/>
      <c r="N892" s="66"/>
      <c r="O892" s="66"/>
      <c r="P892" s="66"/>
      <c r="Q892" s="66"/>
      <c r="R892" s="66"/>
      <c r="S892" s="66"/>
      <c r="T892" s="66"/>
      <c r="U892" s="66"/>
      <c r="V892" s="66"/>
      <c r="W892" s="66"/>
      <c r="X892" s="66"/>
      <c r="Y892" s="66"/>
    </row>
    <row r="893">
      <c r="A893" s="71"/>
      <c r="B893" s="71"/>
      <c r="C893" s="73"/>
      <c r="D893" s="73"/>
      <c r="E893" s="75"/>
      <c r="F893" s="75"/>
      <c r="G893" s="75"/>
      <c r="H893" s="75"/>
      <c r="I893" s="29"/>
      <c r="J893" s="76"/>
      <c r="K893" s="76"/>
      <c r="L893" s="66"/>
      <c r="M893" s="66"/>
      <c r="N893" s="66"/>
      <c r="O893" s="66"/>
      <c r="P893" s="66"/>
      <c r="Q893" s="66"/>
      <c r="R893" s="66"/>
      <c r="S893" s="66"/>
      <c r="T893" s="66"/>
      <c r="U893" s="66"/>
      <c r="V893" s="66"/>
      <c r="W893" s="66"/>
      <c r="X893" s="66"/>
      <c r="Y893" s="66"/>
    </row>
    <row r="894">
      <c r="A894" s="71"/>
      <c r="B894" s="71"/>
      <c r="C894" s="73"/>
      <c r="D894" s="73"/>
      <c r="E894" s="75"/>
      <c r="F894" s="75"/>
      <c r="G894" s="75"/>
      <c r="H894" s="75"/>
      <c r="I894" s="29"/>
      <c r="J894" s="76"/>
      <c r="K894" s="76"/>
      <c r="L894" s="66"/>
      <c r="M894" s="66"/>
      <c r="N894" s="66"/>
      <c r="O894" s="66"/>
      <c r="P894" s="66"/>
      <c r="Q894" s="66"/>
      <c r="R894" s="66"/>
      <c r="S894" s="66"/>
      <c r="T894" s="66"/>
      <c r="U894" s="66"/>
      <c r="V894" s="66"/>
      <c r="W894" s="66"/>
      <c r="X894" s="66"/>
      <c r="Y894" s="66"/>
    </row>
    <row r="895">
      <c r="A895" s="71"/>
      <c r="B895" s="71"/>
      <c r="C895" s="73"/>
      <c r="D895" s="73"/>
      <c r="E895" s="75"/>
      <c r="F895" s="75"/>
      <c r="G895" s="75"/>
      <c r="H895" s="75"/>
      <c r="I895" s="29"/>
      <c r="J895" s="76"/>
      <c r="K895" s="76"/>
      <c r="L895" s="66"/>
      <c r="M895" s="66"/>
      <c r="N895" s="66"/>
      <c r="O895" s="66"/>
      <c r="P895" s="66"/>
      <c r="Q895" s="66"/>
      <c r="R895" s="66"/>
      <c r="S895" s="66"/>
      <c r="T895" s="66"/>
      <c r="U895" s="66"/>
      <c r="V895" s="66"/>
      <c r="W895" s="66"/>
      <c r="X895" s="66"/>
      <c r="Y895" s="66"/>
    </row>
    <row r="896">
      <c r="A896" s="71"/>
      <c r="B896" s="71"/>
      <c r="C896" s="73"/>
      <c r="D896" s="73"/>
      <c r="E896" s="75"/>
      <c r="F896" s="75"/>
      <c r="G896" s="75"/>
      <c r="H896" s="75"/>
      <c r="I896" s="29"/>
      <c r="J896" s="76"/>
      <c r="K896" s="76"/>
      <c r="L896" s="66"/>
      <c r="M896" s="66"/>
      <c r="N896" s="66"/>
      <c r="O896" s="66"/>
      <c r="P896" s="66"/>
      <c r="Q896" s="66"/>
      <c r="R896" s="66"/>
      <c r="S896" s="66"/>
      <c r="T896" s="66"/>
      <c r="U896" s="66"/>
      <c r="V896" s="66"/>
      <c r="W896" s="66"/>
      <c r="X896" s="66"/>
      <c r="Y896" s="66"/>
    </row>
    <row r="897">
      <c r="A897" s="71"/>
      <c r="B897" s="71"/>
      <c r="C897" s="73"/>
      <c r="D897" s="73"/>
      <c r="E897" s="75"/>
      <c r="F897" s="75"/>
      <c r="G897" s="75"/>
      <c r="H897" s="75"/>
      <c r="I897" s="29"/>
      <c r="J897" s="76"/>
      <c r="K897" s="76"/>
      <c r="L897" s="66"/>
      <c r="M897" s="66"/>
      <c r="N897" s="66"/>
      <c r="O897" s="66"/>
      <c r="P897" s="66"/>
      <c r="Q897" s="66"/>
      <c r="R897" s="66"/>
      <c r="S897" s="66"/>
      <c r="T897" s="66"/>
      <c r="U897" s="66"/>
      <c r="V897" s="66"/>
      <c r="W897" s="66"/>
      <c r="X897" s="66"/>
      <c r="Y897" s="66"/>
    </row>
    <row r="898">
      <c r="A898" s="71"/>
      <c r="B898" s="71"/>
      <c r="C898" s="73"/>
      <c r="D898" s="73"/>
      <c r="E898" s="75"/>
      <c r="F898" s="75"/>
      <c r="G898" s="75"/>
      <c r="H898" s="75"/>
      <c r="I898" s="29"/>
      <c r="J898" s="76"/>
      <c r="K898" s="76"/>
      <c r="L898" s="66"/>
      <c r="M898" s="66"/>
      <c r="N898" s="66"/>
      <c r="O898" s="66"/>
      <c r="P898" s="66"/>
      <c r="Q898" s="66"/>
      <c r="R898" s="66"/>
      <c r="S898" s="66"/>
      <c r="T898" s="66"/>
      <c r="U898" s="66"/>
      <c r="V898" s="66"/>
      <c r="W898" s="66"/>
      <c r="X898" s="66"/>
      <c r="Y898" s="66"/>
    </row>
    <row r="899">
      <c r="A899" s="71"/>
      <c r="B899" s="71"/>
      <c r="C899" s="73"/>
      <c r="D899" s="73"/>
      <c r="E899" s="75"/>
      <c r="F899" s="75"/>
      <c r="G899" s="75"/>
      <c r="H899" s="75"/>
      <c r="I899" s="29"/>
      <c r="J899" s="76"/>
      <c r="K899" s="76"/>
      <c r="L899" s="66"/>
      <c r="M899" s="66"/>
      <c r="N899" s="66"/>
      <c r="O899" s="66"/>
      <c r="P899" s="66"/>
      <c r="Q899" s="66"/>
      <c r="R899" s="66"/>
      <c r="S899" s="66"/>
      <c r="T899" s="66"/>
      <c r="U899" s="66"/>
      <c r="V899" s="66"/>
      <c r="W899" s="66"/>
      <c r="X899" s="66"/>
      <c r="Y899" s="66"/>
    </row>
    <row r="900">
      <c r="A900" s="71"/>
      <c r="B900" s="71"/>
      <c r="C900" s="73"/>
      <c r="D900" s="73"/>
      <c r="E900" s="75"/>
      <c r="F900" s="75"/>
      <c r="G900" s="75"/>
      <c r="H900" s="75"/>
      <c r="I900" s="29"/>
      <c r="J900" s="76"/>
      <c r="K900" s="76"/>
      <c r="L900" s="66"/>
      <c r="M900" s="66"/>
      <c r="N900" s="66"/>
      <c r="O900" s="66"/>
      <c r="P900" s="66"/>
      <c r="Q900" s="66"/>
      <c r="R900" s="66"/>
      <c r="S900" s="66"/>
      <c r="T900" s="66"/>
      <c r="U900" s="66"/>
      <c r="V900" s="66"/>
      <c r="W900" s="66"/>
      <c r="X900" s="66"/>
      <c r="Y900" s="66"/>
    </row>
    <row r="901">
      <c r="A901" s="71"/>
      <c r="B901" s="71"/>
      <c r="C901" s="73"/>
      <c r="D901" s="73"/>
      <c r="E901" s="75"/>
      <c r="F901" s="75"/>
      <c r="G901" s="75"/>
      <c r="H901" s="75"/>
      <c r="I901" s="29"/>
      <c r="J901" s="76"/>
      <c r="K901" s="76"/>
      <c r="L901" s="66"/>
      <c r="M901" s="66"/>
      <c r="N901" s="66"/>
      <c r="O901" s="66"/>
      <c r="P901" s="66"/>
      <c r="Q901" s="66"/>
      <c r="R901" s="66"/>
      <c r="S901" s="66"/>
      <c r="T901" s="66"/>
      <c r="U901" s="66"/>
      <c r="V901" s="66"/>
      <c r="W901" s="66"/>
      <c r="X901" s="66"/>
      <c r="Y901" s="66"/>
    </row>
    <row r="902">
      <c r="A902" s="71"/>
      <c r="B902" s="71"/>
      <c r="C902" s="73"/>
      <c r="D902" s="73"/>
      <c r="E902" s="75"/>
      <c r="F902" s="75"/>
      <c r="G902" s="75"/>
      <c r="H902" s="75"/>
      <c r="I902" s="29"/>
      <c r="J902" s="76"/>
      <c r="K902" s="76"/>
      <c r="L902" s="66"/>
      <c r="M902" s="66"/>
      <c r="N902" s="66"/>
      <c r="O902" s="66"/>
      <c r="P902" s="66"/>
      <c r="Q902" s="66"/>
      <c r="R902" s="66"/>
      <c r="S902" s="66"/>
      <c r="T902" s="66"/>
      <c r="U902" s="66"/>
      <c r="V902" s="66"/>
      <c r="W902" s="66"/>
      <c r="X902" s="66"/>
      <c r="Y902" s="66"/>
    </row>
    <row r="903">
      <c r="A903" s="71"/>
      <c r="B903" s="71"/>
      <c r="C903" s="73"/>
      <c r="D903" s="73"/>
      <c r="E903" s="75"/>
      <c r="F903" s="75"/>
      <c r="G903" s="75"/>
      <c r="H903" s="75"/>
      <c r="I903" s="29"/>
      <c r="J903" s="76"/>
      <c r="K903" s="76"/>
      <c r="L903" s="66"/>
      <c r="M903" s="66"/>
      <c r="N903" s="66"/>
      <c r="O903" s="66"/>
      <c r="P903" s="66"/>
      <c r="Q903" s="66"/>
      <c r="R903" s="66"/>
      <c r="S903" s="66"/>
      <c r="T903" s="66"/>
      <c r="U903" s="66"/>
      <c r="V903" s="66"/>
      <c r="W903" s="66"/>
      <c r="X903" s="66"/>
      <c r="Y903" s="66"/>
    </row>
    <row r="904">
      <c r="A904" s="71"/>
      <c r="B904" s="71"/>
      <c r="C904" s="73"/>
      <c r="D904" s="73"/>
      <c r="E904" s="75"/>
      <c r="F904" s="75"/>
      <c r="G904" s="75"/>
      <c r="H904" s="75"/>
      <c r="I904" s="29"/>
      <c r="J904" s="76"/>
      <c r="K904" s="76"/>
      <c r="L904" s="66"/>
      <c r="M904" s="66"/>
      <c r="N904" s="66"/>
      <c r="O904" s="66"/>
      <c r="P904" s="66"/>
      <c r="Q904" s="66"/>
      <c r="R904" s="66"/>
      <c r="S904" s="66"/>
      <c r="T904" s="66"/>
      <c r="U904" s="66"/>
      <c r="V904" s="66"/>
      <c r="W904" s="66"/>
      <c r="X904" s="66"/>
      <c r="Y904" s="66"/>
    </row>
    <row r="905">
      <c r="A905" s="71"/>
      <c r="B905" s="71"/>
      <c r="C905" s="73"/>
      <c r="D905" s="73"/>
      <c r="E905" s="75"/>
      <c r="F905" s="75"/>
      <c r="G905" s="75"/>
      <c r="H905" s="75"/>
      <c r="I905" s="29"/>
      <c r="J905" s="76"/>
      <c r="K905" s="76"/>
      <c r="L905" s="66"/>
      <c r="M905" s="66"/>
      <c r="N905" s="66"/>
      <c r="O905" s="66"/>
      <c r="P905" s="66"/>
      <c r="Q905" s="66"/>
      <c r="R905" s="66"/>
      <c r="S905" s="66"/>
      <c r="T905" s="66"/>
      <c r="U905" s="66"/>
      <c r="V905" s="66"/>
      <c r="W905" s="66"/>
      <c r="X905" s="66"/>
      <c r="Y905" s="66"/>
    </row>
    <row r="906">
      <c r="A906" s="71"/>
      <c r="B906" s="71"/>
      <c r="C906" s="73"/>
      <c r="D906" s="73"/>
      <c r="E906" s="75"/>
      <c r="F906" s="75"/>
      <c r="G906" s="75"/>
      <c r="H906" s="75"/>
      <c r="I906" s="29"/>
      <c r="J906" s="76"/>
      <c r="K906" s="76"/>
      <c r="L906" s="66"/>
      <c r="M906" s="66"/>
      <c r="N906" s="66"/>
      <c r="O906" s="66"/>
      <c r="P906" s="66"/>
      <c r="Q906" s="66"/>
      <c r="R906" s="66"/>
      <c r="S906" s="66"/>
      <c r="T906" s="66"/>
      <c r="U906" s="66"/>
      <c r="V906" s="66"/>
      <c r="W906" s="66"/>
      <c r="X906" s="66"/>
      <c r="Y906" s="66"/>
    </row>
    <row r="907">
      <c r="A907" s="71"/>
      <c r="B907" s="71"/>
      <c r="C907" s="73"/>
      <c r="D907" s="73"/>
      <c r="E907" s="75"/>
      <c r="F907" s="75"/>
      <c r="G907" s="75"/>
      <c r="H907" s="75"/>
      <c r="I907" s="29"/>
      <c r="J907" s="76"/>
      <c r="K907" s="76"/>
      <c r="L907" s="66"/>
      <c r="M907" s="66"/>
      <c r="N907" s="66"/>
      <c r="O907" s="66"/>
      <c r="P907" s="66"/>
      <c r="Q907" s="66"/>
      <c r="R907" s="66"/>
      <c r="S907" s="66"/>
      <c r="T907" s="66"/>
      <c r="U907" s="66"/>
      <c r="V907" s="66"/>
      <c r="W907" s="66"/>
      <c r="X907" s="66"/>
      <c r="Y907" s="66"/>
    </row>
    <row r="908">
      <c r="A908" s="71"/>
      <c r="B908" s="71"/>
      <c r="C908" s="73"/>
      <c r="D908" s="73"/>
      <c r="E908" s="75"/>
      <c r="F908" s="75"/>
      <c r="G908" s="75"/>
      <c r="H908" s="75"/>
      <c r="I908" s="29"/>
      <c r="J908" s="76"/>
      <c r="K908" s="76"/>
      <c r="L908" s="66"/>
      <c r="M908" s="66"/>
      <c r="N908" s="66"/>
      <c r="O908" s="66"/>
      <c r="P908" s="66"/>
      <c r="Q908" s="66"/>
      <c r="R908" s="66"/>
      <c r="S908" s="66"/>
      <c r="T908" s="66"/>
      <c r="U908" s="66"/>
      <c r="V908" s="66"/>
      <c r="W908" s="66"/>
      <c r="X908" s="66"/>
      <c r="Y908" s="66"/>
    </row>
    <row r="909">
      <c r="A909" s="71"/>
      <c r="B909" s="71"/>
      <c r="C909" s="73"/>
      <c r="D909" s="73"/>
      <c r="E909" s="75"/>
      <c r="F909" s="75"/>
      <c r="G909" s="75"/>
      <c r="H909" s="75"/>
      <c r="I909" s="29"/>
      <c r="J909" s="76"/>
      <c r="K909" s="76"/>
      <c r="L909" s="66"/>
      <c r="M909" s="66"/>
      <c r="N909" s="66"/>
      <c r="O909" s="66"/>
      <c r="P909" s="66"/>
      <c r="Q909" s="66"/>
      <c r="R909" s="66"/>
      <c r="S909" s="66"/>
      <c r="T909" s="66"/>
      <c r="U909" s="66"/>
      <c r="V909" s="66"/>
      <c r="W909" s="66"/>
      <c r="X909" s="66"/>
      <c r="Y909" s="66"/>
    </row>
    <row r="910">
      <c r="A910" s="71"/>
      <c r="B910" s="71"/>
      <c r="C910" s="73"/>
      <c r="D910" s="73"/>
      <c r="E910" s="75"/>
      <c r="F910" s="75"/>
      <c r="G910" s="75"/>
      <c r="H910" s="75"/>
      <c r="I910" s="29"/>
      <c r="J910" s="76"/>
      <c r="K910" s="76"/>
      <c r="L910" s="66"/>
      <c r="M910" s="66"/>
      <c r="N910" s="66"/>
      <c r="O910" s="66"/>
      <c r="P910" s="66"/>
      <c r="Q910" s="66"/>
      <c r="R910" s="66"/>
      <c r="S910" s="66"/>
      <c r="T910" s="66"/>
      <c r="U910" s="66"/>
      <c r="V910" s="66"/>
      <c r="W910" s="66"/>
      <c r="X910" s="66"/>
      <c r="Y910" s="66"/>
    </row>
    <row r="911">
      <c r="A911" s="71"/>
      <c r="B911" s="71"/>
      <c r="C911" s="73"/>
      <c r="D911" s="73"/>
      <c r="E911" s="75"/>
      <c r="F911" s="75"/>
      <c r="G911" s="75"/>
      <c r="H911" s="75"/>
      <c r="I911" s="29"/>
      <c r="J911" s="76"/>
      <c r="K911" s="76"/>
      <c r="L911" s="66"/>
      <c r="M911" s="66"/>
      <c r="N911" s="66"/>
      <c r="O911" s="66"/>
      <c r="P911" s="66"/>
      <c r="Q911" s="66"/>
      <c r="R911" s="66"/>
      <c r="S911" s="66"/>
      <c r="T911" s="66"/>
      <c r="U911" s="66"/>
      <c r="V911" s="66"/>
      <c r="W911" s="66"/>
      <c r="X911" s="66"/>
      <c r="Y911" s="66"/>
    </row>
    <row r="912">
      <c r="A912" s="71"/>
      <c r="B912" s="71"/>
      <c r="C912" s="73"/>
      <c r="D912" s="73"/>
      <c r="E912" s="75"/>
      <c r="F912" s="75"/>
      <c r="G912" s="75"/>
      <c r="H912" s="75"/>
      <c r="I912" s="29"/>
      <c r="J912" s="76"/>
      <c r="K912" s="76"/>
      <c r="L912" s="66"/>
      <c r="M912" s="66"/>
      <c r="N912" s="66"/>
      <c r="O912" s="66"/>
      <c r="P912" s="66"/>
      <c r="Q912" s="66"/>
      <c r="R912" s="66"/>
      <c r="S912" s="66"/>
      <c r="T912" s="66"/>
      <c r="U912" s="66"/>
      <c r="V912" s="66"/>
      <c r="W912" s="66"/>
      <c r="X912" s="66"/>
      <c r="Y912" s="66"/>
    </row>
    <row r="913">
      <c r="A913" s="71"/>
      <c r="B913" s="71"/>
      <c r="C913" s="73"/>
      <c r="D913" s="73"/>
      <c r="E913" s="75"/>
      <c r="F913" s="75"/>
      <c r="G913" s="75"/>
      <c r="H913" s="75"/>
      <c r="I913" s="29"/>
      <c r="J913" s="76"/>
      <c r="K913" s="76"/>
      <c r="L913" s="66"/>
      <c r="M913" s="66"/>
      <c r="N913" s="66"/>
      <c r="O913" s="66"/>
      <c r="P913" s="66"/>
      <c r="Q913" s="66"/>
      <c r="R913" s="66"/>
      <c r="S913" s="66"/>
      <c r="T913" s="66"/>
      <c r="U913" s="66"/>
      <c r="V913" s="66"/>
      <c r="W913" s="66"/>
      <c r="X913" s="66"/>
      <c r="Y913" s="66"/>
    </row>
    <row r="914">
      <c r="A914" s="71"/>
      <c r="B914" s="71"/>
      <c r="C914" s="73"/>
      <c r="D914" s="73"/>
      <c r="E914" s="75"/>
      <c r="F914" s="75"/>
      <c r="G914" s="75"/>
      <c r="H914" s="75"/>
      <c r="I914" s="29"/>
      <c r="J914" s="76"/>
      <c r="K914" s="76"/>
      <c r="L914" s="66"/>
      <c r="M914" s="66"/>
      <c r="N914" s="66"/>
      <c r="O914" s="66"/>
      <c r="P914" s="66"/>
      <c r="Q914" s="66"/>
      <c r="R914" s="66"/>
      <c r="S914" s="66"/>
      <c r="T914" s="66"/>
      <c r="U914" s="66"/>
      <c r="V914" s="66"/>
      <c r="W914" s="66"/>
      <c r="X914" s="66"/>
      <c r="Y914" s="66"/>
    </row>
    <row r="915">
      <c r="A915" s="71"/>
      <c r="B915" s="71"/>
      <c r="C915" s="73"/>
      <c r="D915" s="73"/>
      <c r="E915" s="75"/>
      <c r="F915" s="75"/>
      <c r="G915" s="75"/>
      <c r="H915" s="75"/>
      <c r="I915" s="29"/>
      <c r="J915" s="76"/>
      <c r="K915" s="76"/>
      <c r="L915" s="66"/>
      <c r="M915" s="66"/>
      <c r="N915" s="66"/>
      <c r="O915" s="66"/>
      <c r="P915" s="66"/>
      <c r="Q915" s="66"/>
      <c r="R915" s="66"/>
      <c r="S915" s="66"/>
      <c r="T915" s="66"/>
      <c r="U915" s="66"/>
      <c r="V915" s="66"/>
      <c r="W915" s="66"/>
      <c r="X915" s="66"/>
      <c r="Y915" s="66"/>
    </row>
    <row r="916">
      <c r="A916" s="71"/>
      <c r="B916" s="71"/>
      <c r="C916" s="73"/>
      <c r="D916" s="73"/>
      <c r="E916" s="75"/>
      <c r="F916" s="75"/>
      <c r="G916" s="75"/>
      <c r="H916" s="75"/>
      <c r="I916" s="29"/>
      <c r="J916" s="76"/>
      <c r="K916" s="76"/>
      <c r="L916" s="66"/>
      <c r="M916" s="66"/>
      <c r="N916" s="66"/>
      <c r="O916" s="66"/>
      <c r="P916" s="66"/>
      <c r="Q916" s="66"/>
      <c r="R916" s="66"/>
      <c r="S916" s="66"/>
      <c r="T916" s="66"/>
      <c r="U916" s="66"/>
      <c r="V916" s="66"/>
      <c r="W916" s="66"/>
      <c r="X916" s="66"/>
      <c r="Y916" s="66"/>
    </row>
    <row r="917">
      <c r="A917" s="71"/>
      <c r="B917" s="71"/>
      <c r="C917" s="73"/>
      <c r="D917" s="73"/>
      <c r="E917" s="75"/>
      <c r="F917" s="75"/>
      <c r="G917" s="75"/>
      <c r="H917" s="75"/>
      <c r="I917" s="29"/>
      <c r="J917" s="76"/>
      <c r="K917" s="76"/>
      <c r="L917" s="66"/>
      <c r="M917" s="66"/>
      <c r="N917" s="66"/>
      <c r="O917" s="66"/>
      <c r="P917" s="66"/>
      <c r="Q917" s="66"/>
      <c r="R917" s="66"/>
      <c r="S917" s="66"/>
      <c r="T917" s="66"/>
      <c r="U917" s="66"/>
      <c r="V917" s="66"/>
      <c r="W917" s="66"/>
      <c r="X917" s="66"/>
      <c r="Y917" s="66"/>
    </row>
    <row r="918">
      <c r="A918" s="71"/>
      <c r="B918" s="71"/>
      <c r="C918" s="73"/>
      <c r="D918" s="73"/>
      <c r="E918" s="75"/>
      <c r="F918" s="75"/>
      <c r="G918" s="75"/>
      <c r="H918" s="75"/>
      <c r="I918" s="29"/>
      <c r="J918" s="76"/>
      <c r="K918" s="76"/>
      <c r="L918" s="66"/>
      <c r="M918" s="66"/>
      <c r="N918" s="66"/>
      <c r="O918" s="66"/>
      <c r="P918" s="66"/>
      <c r="Q918" s="66"/>
      <c r="R918" s="66"/>
      <c r="S918" s="66"/>
      <c r="T918" s="66"/>
      <c r="U918" s="66"/>
      <c r="V918" s="66"/>
      <c r="W918" s="66"/>
      <c r="X918" s="66"/>
      <c r="Y918" s="66"/>
    </row>
    <row r="919">
      <c r="A919" s="71"/>
      <c r="B919" s="71"/>
      <c r="C919" s="73"/>
      <c r="D919" s="73"/>
      <c r="E919" s="75"/>
      <c r="F919" s="75"/>
      <c r="G919" s="75"/>
      <c r="H919" s="75"/>
      <c r="I919" s="29"/>
      <c r="J919" s="76"/>
      <c r="K919" s="76"/>
      <c r="L919" s="66"/>
      <c r="M919" s="66"/>
      <c r="N919" s="66"/>
      <c r="O919" s="66"/>
      <c r="P919" s="66"/>
      <c r="Q919" s="66"/>
      <c r="R919" s="66"/>
      <c r="S919" s="66"/>
      <c r="T919" s="66"/>
      <c r="U919" s="66"/>
      <c r="V919" s="66"/>
      <c r="W919" s="66"/>
      <c r="X919" s="66"/>
      <c r="Y919" s="66"/>
    </row>
    <row r="920">
      <c r="A920" s="71"/>
      <c r="B920" s="71"/>
      <c r="C920" s="73"/>
      <c r="D920" s="73"/>
      <c r="E920" s="75"/>
      <c r="F920" s="75"/>
      <c r="G920" s="75"/>
      <c r="H920" s="75"/>
      <c r="I920" s="29"/>
      <c r="J920" s="76"/>
      <c r="K920" s="76"/>
      <c r="L920" s="66"/>
      <c r="M920" s="66"/>
      <c r="N920" s="66"/>
      <c r="O920" s="66"/>
      <c r="P920" s="66"/>
      <c r="Q920" s="66"/>
      <c r="R920" s="66"/>
      <c r="S920" s="66"/>
      <c r="T920" s="66"/>
      <c r="U920" s="66"/>
      <c r="V920" s="66"/>
      <c r="W920" s="66"/>
      <c r="X920" s="66"/>
      <c r="Y920" s="66"/>
    </row>
    <row r="921">
      <c r="A921" s="71"/>
      <c r="B921" s="71"/>
      <c r="C921" s="73"/>
      <c r="D921" s="73"/>
      <c r="E921" s="75"/>
      <c r="F921" s="75"/>
      <c r="G921" s="75"/>
      <c r="H921" s="75"/>
      <c r="I921" s="29"/>
      <c r="J921" s="76"/>
      <c r="K921" s="76"/>
      <c r="L921" s="66"/>
      <c r="M921" s="66"/>
      <c r="N921" s="66"/>
      <c r="O921" s="66"/>
      <c r="P921" s="66"/>
      <c r="Q921" s="66"/>
      <c r="R921" s="66"/>
      <c r="S921" s="66"/>
      <c r="T921" s="66"/>
      <c r="U921" s="66"/>
      <c r="V921" s="66"/>
      <c r="W921" s="66"/>
      <c r="X921" s="66"/>
      <c r="Y921" s="66"/>
    </row>
    <row r="922">
      <c r="A922" s="71"/>
      <c r="B922" s="71"/>
      <c r="C922" s="73"/>
      <c r="D922" s="73"/>
      <c r="E922" s="75"/>
      <c r="F922" s="75"/>
      <c r="G922" s="75"/>
      <c r="H922" s="75"/>
      <c r="I922" s="29"/>
      <c r="J922" s="76"/>
      <c r="K922" s="76"/>
      <c r="L922" s="66"/>
      <c r="M922" s="66"/>
      <c r="N922" s="66"/>
      <c r="O922" s="66"/>
      <c r="P922" s="66"/>
      <c r="Q922" s="66"/>
      <c r="R922" s="66"/>
      <c r="S922" s="66"/>
      <c r="T922" s="66"/>
      <c r="U922" s="66"/>
      <c r="V922" s="66"/>
      <c r="W922" s="66"/>
      <c r="X922" s="66"/>
      <c r="Y922" s="66"/>
    </row>
    <row r="923">
      <c r="A923" s="71"/>
      <c r="B923" s="71"/>
      <c r="C923" s="73"/>
      <c r="D923" s="73"/>
      <c r="E923" s="75"/>
      <c r="F923" s="75"/>
      <c r="G923" s="75"/>
      <c r="H923" s="75"/>
      <c r="I923" s="29"/>
      <c r="J923" s="76"/>
      <c r="K923" s="76"/>
      <c r="L923" s="66"/>
      <c r="M923" s="66"/>
      <c r="N923" s="66"/>
      <c r="O923" s="66"/>
      <c r="P923" s="66"/>
      <c r="Q923" s="66"/>
      <c r="R923" s="66"/>
      <c r="S923" s="66"/>
      <c r="T923" s="66"/>
      <c r="U923" s="66"/>
      <c r="V923" s="66"/>
      <c r="W923" s="66"/>
      <c r="X923" s="66"/>
      <c r="Y923" s="66"/>
    </row>
    <row r="924">
      <c r="A924" s="71"/>
      <c r="B924" s="71"/>
      <c r="C924" s="73"/>
      <c r="D924" s="73"/>
      <c r="E924" s="75"/>
      <c r="F924" s="75"/>
      <c r="G924" s="75"/>
      <c r="H924" s="75"/>
      <c r="I924" s="29"/>
      <c r="J924" s="76"/>
      <c r="K924" s="76"/>
      <c r="L924" s="66"/>
      <c r="M924" s="66"/>
      <c r="N924" s="66"/>
      <c r="O924" s="66"/>
      <c r="P924" s="66"/>
      <c r="Q924" s="66"/>
      <c r="R924" s="66"/>
      <c r="S924" s="66"/>
      <c r="T924" s="66"/>
      <c r="U924" s="66"/>
      <c r="V924" s="66"/>
      <c r="W924" s="66"/>
      <c r="X924" s="66"/>
      <c r="Y924" s="66"/>
    </row>
    <row r="925">
      <c r="A925" s="71"/>
      <c r="B925" s="71"/>
      <c r="C925" s="73"/>
      <c r="D925" s="73"/>
      <c r="E925" s="75"/>
      <c r="F925" s="75"/>
      <c r="G925" s="75"/>
      <c r="H925" s="75"/>
      <c r="I925" s="29"/>
      <c r="J925" s="76"/>
      <c r="K925" s="76"/>
      <c r="L925" s="66"/>
      <c r="M925" s="66"/>
      <c r="N925" s="66"/>
      <c r="O925" s="66"/>
      <c r="P925" s="66"/>
      <c r="Q925" s="66"/>
      <c r="R925" s="66"/>
      <c r="S925" s="66"/>
      <c r="T925" s="66"/>
      <c r="U925" s="66"/>
      <c r="V925" s="66"/>
      <c r="W925" s="66"/>
      <c r="X925" s="66"/>
      <c r="Y925" s="66"/>
    </row>
    <row r="926">
      <c r="A926" s="71"/>
      <c r="B926" s="71"/>
      <c r="C926" s="73"/>
      <c r="D926" s="73"/>
      <c r="E926" s="75"/>
      <c r="F926" s="75"/>
      <c r="G926" s="75"/>
      <c r="H926" s="75"/>
      <c r="I926" s="29"/>
      <c r="J926" s="76"/>
      <c r="K926" s="76"/>
      <c r="L926" s="66"/>
      <c r="M926" s="66"/>
      <c r="N926" s="66"/>
      <c r="O926" s="66"/>
      <c r="P926" s="66"/>
      <c r="Q926" s="66"/>
      <c r="R926" s="66"/>
      <c r="S926" s="66"/>
      <c r="T926" s="66"/>
      <c r="U926" s="66"/>
      <c r="V926" s="66"/>
      <c r="W926" s="66"/>
      <c r="X926" s="66"/>
      <c r="Y926" s="66"/>
    </row>
    <row r="927">
      <c r="A927" s="71"/>
      <c r="B927" s="71"/>
      <c r="C927" s="73"/>
      <c r="D927" s="73"/>
      <c r="E927" s="75"/>
      <c r="F927" s="75"/>
      <c r="G927" s="75"/>
      <c r="H927" s="75"/>
      <c r="I927" s="29"/>
      <c r="J927" s="76"/>
      <c r="K927" s="76"/>
      <c r="L927" s="66"/>
      <c r="M927" s="66"/>
      <c r="N927" s="66"/>
      <c r="O927" s="66"/>
      <c r="P927" s="66"/>
      <c r="Q927" s="66"/>
      <c r="R927" s="66"/>
      <c r="S927" s="66"/>
      <c r="T927" s="66"/>
      <c r="U927" s="66"/>
      <c r="V927" s="66"/>
      <c r="W927" s="66"/>
      <c r="X927" s="66"/>
      <c r="Y927" s="66"/>
    </row>
    <row r="928">
      <c r="A928" s="71"/>
      <c r="B928" s="71"/>
      <c r="C928" s="73"/>
      <c r="D928" s="73"/>
      <c r="E928" s="75"/>
      <c r="F928" s="75"/>
      <c r="G928" s="75"/>
      <c r="H928" s="75"/>
      <c r="I928" s="29"/>
      <c r="J928" s="76"/>
      <c r="K928" s="76"/>
      <c r="L928" s="66"/>
      <c r="M928" s="66"/>
      <c r="N928" s="66"/>
      <c r="O928" s="66"/>
      <c r="P928" s="66"/>
      <c r="Q928" s="66"/>
      <c r="R928" s="66"/>
      <c r="S928" s="66"/>
      <c r="T928" s="66"/>
      <c r="U928" s="66"/>
      <c r="V928" s="66"/>
      <c r="W928" s="66"/>
      <c r="X928" s="66"/>
      <c r="Y928" s="66"/>
    </row>
    <row r="929">
      <c r="A929" s="71"/>
      <c r="B929" s="71"/>
      <c r="C929" s="73"/>
      <c r="D929" s="73"/>
      <c r="E929" s="75"/>
      <c r="F929" s="75"/>
      <c r="G929" s="75"/>
      <c r="H929" s="75"/>
      <c r="I929" s="29"/>
      <c r="J929" s="76"/>
      <c r="K929" s="76"/>
      <c r="L929" s="66"/>
      <c r="M929" s="66"/>
      <c r="N929" s="66"/>
      <c r="O929" s="66"/>
      <c r="P929" s="66"/>
      <c r="Q929" s="66"/>
      <c r="R929" s="66"/>
      <c r="S929" s="66"/>
      <c r="T929" s="66"/>
      <c r="U929" s="66"/>
      <c r="V929" s="66"/>
      <c r="W929" s="66"/>
      <c r="X929" s="66"/>
      <c r="Y929" s="66"/>
    </row>
    <row r="930">
      <c r="A930" s="71"/>
      <c r="B930" s="71"/>
      <c r="C930" s="73"/>
      <c r="D930" s="73"/>
      <c r="E930" s="75"/>
      <c r="F930" s="75"/>
      <c r="G930" s="75"/>
      <c r="H930" s="75"/>
      <c r="I930" s="29"/>
      <c r="J930" s="76"/>
      <c r="K930" s="76"/>
      <c r="L930" s="66"/>
      <c r="M930" s="66"/>
      <c r="N930" s="66"/>
      <c r="O930" s="66"/>
      <c r="P930" s="66"/>
      <c r="Q930" s="66"/>
      <c r="R930" s="66"/>
      <c r="S930" s="66"/>
      <c r="T930" s="66"/>
      <c r="U930" s="66"/>
      <c r="V930" s="66"/>
      <c r="W930" s="66"/>
      <c r="X930" s="66"/>
      <c r="Y930" s="66"/>
    </row>
    <row r="931">
      <c r="A931" s="71"/>
      <c r="B931" s="71"/>
      <c r="C931" s="73"/>
      <c r="D931" s="73"/>
      <c r="E931" s="75"/>
      <c r="F931" s="75"/>
      <c r="G931" s="75"/>
      <c r="H931" s="75"/>
      <c r="I931" s="29"/>
      <c r="J931" s="76"/>
      <c r="K931" s="76"/>
      <c r="L931" s="66"/>
      <c r="M931" s="66"/>
      <c r="N931" s="66"/>
      <c r="O931" s="66"/>
      <c r="P931" s="66"/>
      <c r="Q931" s="66"/>
      <c r="R931" s="66"/>
      <c r="S931" s="66"/>
      <c r="T931" s="66"/>
      <c r="U931" s="66"/>
      <c r="V931" s="66"/>
      <c r="W931" s="66"/>
      <c r="X931" s="66"/>
      <c r="Y931" s="66"/>
    </row>
    <row r="932">
      <c r="A932" s="71"/>
      <c r="B932" s="71"/>
      <c r="C932" s="73"/>
      <c r="D932" s="73"/>
      <c r="E932" s="75"/>
      <c r="F932" s="75"/>
      <c r="G932" s="75"/>
      <c r="H932" s="75"/>
      <c r="I932" s="29"/>
      <c r="J932" s="76"/>
      <c r="K932" s="76"/>
      <c r="L932" s="66"/>
      <c r="M932" s="66"/>
      <c r="N932" s="66"/>
      <c r="O932" s="66"/>
      <c r="P932" s="66"/>
      <c r="Q932" s="66"/>
      <c r="R932" s="66"/>
      <c r="S932" s="66"/>
      <c r="T932" s="66"/>
      <c r="U932" s="66"/>
      <c r="V932" s="66"/>
      <c r="W932" s="66"/>
      <c r="X932" s="66"/>
      <c r="Y932" s="66"/>
    </row>
    <row r="933">
      <c r="A933" s="71"/>
      <c r="B933" s="71"/>
      <c r="C933" s="73"/>
      <c r="D933" s="73"/>
      <c r="E933" s="75"/>
      <c r="F933" s="75"/>
      <c r="G933" s="75"/>
      <c r="H933" s="75"/>
      <c r="I933" s="29"/>
      <c r="J933" s="76"/>
      <c r="K933" s="76"/>
      <c r="L933" s="66"/>
      <c r="M933" s="66"/>
      <c r="N933" s="66"/>
      <c r="O933" s="66"/>
      <c r="P933" s="66"/>
      <c r="Q933" s="66"/>
      <c r="R933" s="66"/>
      <c r="S933" s="66"/>
      <c r="T933" s="66"/>
      <c r="U933" s="66"/>
      <c r="V933" s="66"/>
      <c r="W933" s="66"/>
      <c r="X933" s="66"/>
      <c r="Y933" s="66"/>
    </row>
    <row r="934">
      <c r="A934" s="71"/>
      <c r="B934" s="71"/>
      <c r="C934" s="73"/>
      <c r="D934" s="73"/>
      <c r="E934" s="75"/>
      <c r="F934" s="75"/>
      <c r="G934" s="75"/>
      <c r="H934" s="75"/>
      <c r="I934" s="29"/>
      <c r="J934" s="76"/>
      <c r="K934" s="76"/>
      <c r="L934" s="66"/>
      <c r="M934" s="66"/>
      <c r="N934" s="66"/>
      <c r="O934" s="66"/>
      <c r="P934" s="66"/>
      <c r="Q934" s="66"/>
      <c r="R934" s="66"/>
      <c r="S934" s="66"/>
      <c r="T934" s="66"/>
      <c r="U934" s="66"/>
      <c r="V934" s="66"/>
      <c r="W934" s="66"/>
      <c r="X934" s="66"/>
      <c r="Y934" s="66"/>
    </row>
    <row r="935">
      <c r="A935" s="71"/>
      <c r="B935" s="71"/>
      <c r="C935" s="73"/>
      <c r="D935" s="73"/>
      <c r="E935" s="75"/>
      <c r="F935" s="75"/>
      <c r="G935" s="75"/>
      <c r="H935" s="75"/>
      <c r="I935" s="29"/>
      <c r="J935" s="76"/>
      <c r="K935" s="76"/>
      <c r="L935" s="66"/>
      <c r="M935" s="66"/>
      <c r="N935" s="66"/>
      <c r="O935" s="66"/>
      <c r="P935" s="66"/>
      <c r="Q935" s="66"/>
      <c r="R935" s="66"/>
      <c r="S935" s="66"/>
      <c r="T935" s="66"/>
      <c r="U935" s="66"/>
      <c r="V935" s="66"/>
      <c r="W935" s="66"/>
      <c r="X935" s="66"/>
      <c r="Y935" s="66"/>
    </row>
    <row r="936">
      <c r="A936" s="71"/>
      <c r="B936" s="71"/>
      <c r="C936" s="73"/>
      <c r="D936" s="73"/>
      <c r="E936" s="75"/>
      <c r="F936" s="75"/>
      <c r="G936" s="75"/>
      <c r="H936" s="75"/>
      <c r="I936" s="29"/>
      <c r="J936" s="76"/>
      <c r="K936" s="76"/>
      <c r="L936" s="66"/>
      <c r="M936" s="66"/>
      <c r="N936" s="66"/>
      <c r="O936" s="66"/>
      <c r="P936" s="66"/>
      <c r="Q936" s="66"/>
      <c r="R936" s="66"/>
      <c r="S936" s="66"/>
      <c r="T936" s="66"/>
      <c r="U936" s="66"/>
      <c r="V936" s="66"/>
      <c r="W936" s="66"/>
      <c r="X936" s="66"/>
      <c r="Y936" s="66"/>
    </row>
    <row r="937">
      <c r="A937" s="71"/>
      <c r="B937" s="71"/>
      <c r="C937" s="73"/>
      <c r="D937" s="73"/>
      <c r="E937" s="75"/>
      <c r="F937" s="75"/>
      <c r="G937" s="75"/>
      <c r="H937" s="75"/>
      <c r="I937" s="29"/>
      <c r="J937" s="76"/>
      <c r="K937" s="76"/>
      <c r="L937" s="66"/>
      <c r="M937" s="66"/>
      <c r="N937" s="66"/>
      <c r="O937" s="66"/>
      <c r="P937" s="66"/>
      <c r="Q937" s="66"/>
      <c r="R937" s="66"/>
      <c r="S937" s="66"/>
      <c r="T937" s="66"/>
      <c r="U937" s="66"/>
      <c r="V937" s="66"/>
      <c r="W937" s="66"/>
      <c r="X937" s="66"/>
      <c r="Y937" s="66"/>
    </row>
    <row r="938">
      <c r="A938" s="71"/>
      <c r="B938" s="71"/>
      <c r="C938" s="73"/>
      <c r="D938" s="73"/>
      <c r="E938" s="75"/>
      <c r="F938" s="75"/>
      <c r="G938" s="75"/>
      <c r="H938" s="75"/>
      <c r="I938" s="29"/>
      <c r="J938" s="76"/>
      <c r="K938" s="76"/>
      <c r="L938" s="66"/>
      <c r="M938" s="66"/>
      <c r="N938" s="66"/>
      <c r="O938" s="66"/>
      <c r="P938" s="66"/>
      <c r="Q938" s="66"/>
      <c r="R938" s="66"/>
      <c r="S938" s="66"/>
      <c r="T938" s="66"/>
      <c r="U938" s="66"/>
      <c r="V938" s="66"/>
      <c r="W938" s="66"/>
      <c r="X938" s="66"/>
      <c r="Y938" s="66"/>
    </row>
    <row r="939">
      <c r="A939" s="71"/>
      <c r="B939" s="71"/>
      <c r="C939" s="73"/>
      <c r="D939" s="73"/>
      <c r="E939" s="75"/>
      <c r="F939" s="75"/>
      <c r="G939" s="75"/>
      <c r="H939" s="75"/>
      <c r="I939" s="29"/>
      <c r="J939" s="76"/>
      <c r="K939" s="76"/>
      <c r="L939" s="66"/>
      <c r="M939" s="66"/>
      <c r="N939" s="66"/>
      <c r="O939" s="66"/>
      <c r="P939" s="66"/>
      <c r="Q939" s="66"/>
      <c r="R939" s="66"/>
      <c r="S939" s="66"/>
      <c r="T939" s="66"/>
      <c r="U939" s="66"/>
      <c r="V939" s="66"/>
      <c r="W939" s="66"/>
      <c r="X939" s="66"/>
      <c r="Y939" s="66"/>
    </row>
    <row r="940">
      <c r="A940" s="71"/>
      <c r="B940" s="71"/>
      <c r="C940" s="73"/>
      <c r="D940" s="73"/>
      <c r="E940" s="75"/>
      <c r="F940" s="75"/>
      <c r="G940" s="75"/>
      <c r="H940" s="75"/>
      <c r="I940" s="29"/>
      <c r="J940" s="76"/>
      <c r="K940" s="76"/>
      <c r="L940" s="66"/>
      <c r="M940" s="66"/>
      <c r="N940" s="66"/>
      <c r="O940" s="66"/>
      <c r="P940" s="66"/>
      <c r="Q940" s="66"/>
      <c r="R940" s="66"/>
      <c r="S940" s="66"/>
      <c r="T940" s="66"/>
      <c r="U940" s="66"/>
      <c r="V940" s="66"/>
      <c r="W940" s="66"/>
      <c r="X940" s="66"/>
      <c r="Y940" s="66"/>
    </row>
    <row r="941">
      <c r="A941" s="71"/>
      <c r="B941" s="71"/>
      <c r="C941" s="73"/>
      <c r="D941" s="73"/>
      <c r="E941" s="75"/>
      <c r="F941" s="75"/>
      <c r="G941" s="75"/>
      <c r="H941" s="75"/>
      <c r="I941" s="29"/>
      <c r="J941" s="76"/>
      <c r="K941" s="76"/>
      <c r="L941" s="66"/>
      <c r="M941" s="66"/>
      <c r="N941" s="66"/>
      <c r="O941" s="66"/>
      <c r="P941" s="66"/>
      <c r="Q941" s="66"/>
      <c r="R941" s="66"/>
      <c r="S941" s="66"/>
      <c r="T941" s="66"/>
      <c r="U941" s="66"/>
      <c r="V941" s="66"/>
      <c r="W941" s="66"/>
      <c r="X941" s="66"/>
      <c r="Y941" s="66"/>
    </row>
    <row r="942">
      <c r="A942" s="71"/>
      <c r="B942" s="71"/>
      <c r="C942" s="73"/>
      <c r="D942" s="73"/>
      <c r="E942" s="75"/>
      <c r="F942" s="75"/>
      <c r="G942" s="75"/>
      <c r="H942" s="75"/>
      <c r="I942" s="29"/>
      <c r="J942" s="76"/>
      <c r="K942" s="76"/>
      <c r="L942" s="66"/>
      <c r="M942" s="66"/>
      <c r="N942" s="66"/>
      <c r="O942" s="66"/>
      <c r="P942" s="66"/>
      <c r="Q942" s="66"/>
      <c r="R942" s="66"/>
      <c r="S942" s="66"/>
      <c r="T942" s="66"/>
      <c r="U942" s="66"/>
      <c r="V942" s="66"/>
      <c r="W942" s="66"/>
      <c r="X942" s="66"/>
      <c r="Y942" s="66"/>
    </row>
    <row r="943">
      <c r="A943" s="71"/>
      <c r="B943" s="71"/>
      <c r="C943" s="73"/>
      <c r="D943" s="73"/>
      <c r="E943" s="75"/>
      <c r="F943" s="75"/>
      <c r="G943" s="75"/>
      <c r="H943" s="75"/>
      <c r="I943" s="29"/>
      <c r="J943" s="76"/>
      <c r="K943" s="76"/>
      <c r="L943" s="66"/>
      <c r="M943" s="66"/>
      <c r="N943" s="66"/>
      <c r="O943" s="66"/>
      <c r="P943" s="66"/>
      <c r="Q943" s="66"/>
      <c r="R943" s="66"/>
      <c r="S943" s="66"/>
      <c r="T943" s="66"/>
      <c r="U943" s="66"/>
      <c r="V943" s="66"/>
      <c r="W943" s="66"/>
      <c r="X943" s="66"/>
      <c r="Y943" s="66"/>
    </row>
    <row r="944">
      <c r="A944" s="71"/>
      <c r="B944" s="71"/>
      <c r="C944" s="73"/>
      <c r="D944" s="73"/>
      <c r="E944" s="75"/>
      <c r="F944" s="75"/>
      <c r="G944" s="75"/>
      <c r="H944" s="75"/>
      <c r="I944" s="29"/>
      <c r="J944" s="76"/>
      <c r="K944" s="76"/>
      <c r="L944" s="66"/>
      <c r="M944" s="66"/>
      <c r="N944" s="66"/>
      <c r="O944" s="66"/>
      <c r="P944" s="66"/>
      <c r="Q944" s="66"/>
      <c r="R944" s="66"/>
      <c r="S944" s="66"/>
      <c r="T944" s="66"/>
      <c r="U944" s="66"/>
      <c r="V944" s="66"/>
      <c r="W944" s="66"/>
      <c r="X944" s="66"/>
      <c r="Y944" s="66"/>
    </row>
    <row r="945">
      <c r="A945" s="71"/>
      <c r="B945" s="71"/>
      <c r="C945" s="73"/>
      <c r="D945" s="73"/>
      <c r="E945" s="75"/>
      <c r="F945" s="75"/>
      <c r="G945" s="75"/>
      <c r="H945" s="75"/>
      <c r="I945" s="29"/>
      <c r="J945" s="76"/>
      <c r="K945" s="76"/>
      <c r="L945" s="66"/>
      <c r="M945" s="66"/>
      <c r="N945" s="66"/>
      <c r="O945" s="66"/>
      <c r="P945" s="66"/>
      <c r="Q945" s="66"/>
      <c r="R945" s="66"/>
      <c r="S945" s="66"/>
      <c r="T945" s="66"/>
      <c r="U945" s="66"/>
      <c r="V945" s="66"/>
      <c r="W945" s="66"/>
      <c r="X945" s="66"/>
      <c r="Y945" s="66"/>
    </row>
    <row r="946">
      <c r="A946" s="71"/>
      <c r="B946" s="71"/>
      <c r="C946" s="73"/>
      <c r="D946" s="73"/>
      <c r="E946" s="75"/>
      <c r="F946" s="75"/>
      <c r="G946" s="75"/>
      <c r="H946" s="75"/>
      <c r="I946" s="29"/>
      <c r="J946" s="76"/>
      <c r="K946" s="76"/>
      <c r="L946" s="66"/>
      <c r="M946" s="66"/>
      <c r="N946" s="66"/>
      <c r="O946" s="66"/>
      <c r="P946" s="66"/>
      <c r="Q946" s="66"/>
      <c r="R946" s="66"/>
      <c r="S946" s="66"/>
      <c r="T946" s="66"/>
      <c r="U946" s="66"/>
      <c r="V946" s="66"/>
      <c r="W946" s="66"/>
      <c r="X946" s="66"/>
      <c r="Y946" s="66"/>
    </row>
    <row r="947">
      <c r="A947" s="71"/>
      <c r="B947" s="71"/>
      <c r="C947" s="73"/>
      <c r="D947" s="73"/>
      <c r="E947" s="75"/>
      <c r="F947" s="75"/>
      <c r="G947" s="75"/>
      <c r="H947" s="75"/>
      <c r="I947" s="29"/>
      <c r="J947" s="76"/>
      <c r="K947" s="76"/>
      <c r="L947" s="66"/>
      <c r="M947" s="66"/>
      <c r="N947" s="66"/>
      <c r="O947" s="66"/>
      <c r="P947" s="66"/>
      <c r="Q947" s="66"/>
      <c r="R947" s="66"/>
      <c r="S947" s="66"/>
      <c r="T947" s="66"/>
      <c r="U947" s="66"/>
      <c r="V947" s="66"/>
      <c r="W947" s="66"/>
      <c r="X947" s="66"/>
      <c r="Y947" s="66"/>
    </row>
    <row r="948">
      <c r="A948" s="71"/>
      <c r="B948" s="71"/>
      <c r="C948" s="73"/>
      <c r="D948" s="73"/>
      <c r="E948" s="75"/>
      <c r="F948" s="75"/>
      <c r="G948" s="75"/>
      <c r="H948" s="75"/>
      <c r="I948" s="29"/>
      <c r="J948" s="76"/>
      <c r="K948" s="76"/>
      <c r="L948" s="66"/>
      <c r="M948" s="66"/>
      <c r="N948" s="66"/>
      <c r="O948" s="66"/>
      <c r="P948" s="66"/>
      <c r="Q948" s="66"/>
      <c r="R948" s="66"/>
      <c r="S948" s="66"/>
      <c r="T948" s="66"/>
      <c r="U948" s="66"/>
      <c r="V948" s="66"/>
      <c r="W948" s="66"/>
      <c r="X948" s="66"/>
      <c r="Y948" s="66"/>
    </row>
    <row r="949">
      <c r="A949" s="71"/>
      <c r="B949" s="71"/>
      <c r="C949" s="73"/>
      <c r="D949" s="73"/>
      <c r="E949" s="75"/>
      <c r="F949" s="75"/>
      <c r="G949" s="75"/>
      <c r="H949" s="75"/>
      <c r="I949" s="29"/>
      <c r="J949" s="76"/>
      <c r="K949" s="76"/>
      <c r="L949" s="66"/>
      <c r="M949" s="66"/>
      <c r="N949" s="66"/>
      <c r="O949" s="66"/>
      <c r="P949" s="66"/>
      <c r="Q949" s="66"/>
      <c r="R949" s="66"/>
      <c r="S949" s="66"/>
      <c r="T949" s="66"/>
      <c r="U949" s="66"/>
      <c r="V949" s="66"/>
      <c r="W949" s="66"/>
      <c r="X949" s="66"/>
      <c r="Y949" s="66"/>
    </row>
    <row r="950">
      <c r="A950" s="71"/>
      <c r="B950" s="71"/>
      <c r="C950" s="73"/>
      <c r="D950" s="73"/>
      <c r="E950" s="75"/>
      <c r="F950" s="75"/>
      <c r="G950" s="75"/>
      <c r="H950" s="75"/>
      <c r="I950" s="29"/>
      <c r="J950" s="76"/>
      <c r="K950" s="76"/>
      <c r="L950" s="66"/>
      <c r="M950" s="66"/>
      <c r="N950" s="66"/>
      <c r="O950" s="66"/>
      <c r="P950" s="66"/>
      <c r="Q950" s="66"/>
      <c r="R950" s="66"/>
      <c r="S950" s="66"/>
      <c r="T950" s="66"/>
      <c r="U950" s="66"/>
      <c r="V950" s="66"/>
      <c r="W950" s="66"/>
      <c r="X950" s="66"/>
      <c r="Y950" s="66"/>
    </row>
    <row r="951">
      <c r="A951" s="71"/>
      <c r="B951" s="71"/>
      <c r="C951" s="73"/>
      <c r="D951" s="73"/>
      <c r="E951" s="75"/>
      <c r="F951" s="75"/>
      <c r="G951" s="75"/>
      <c r="H951" s="75"/>
      <c r="I951" s="29"/>
      <c r="J951" s="76"/>
      <c r="K951" s="76"/>
      <c r="L951" s="66"/>
      <c r="M951" s="66"/>
      <c r="N951" s="66"/>
      <c r="O951" s="66"/>
      <c r="P951" s="66"/>
      <c r="Q951" s="66"/>
      <c r="R951" s="66"/>
      <c r="S951" s="66"/>
      <c r="T951" s="66"/>
      <c r="U951" s="66"/>
      <c r="V951" s="66"/>
      <c r="W951" s="66"/>
      <c r="X951" s="66"/>
      <c r="Y951" s="66"/>
    </row>
    <row r="952">
      <c r="A952" s="71"/>
      <c r="B952" s="71"/>
      <c r="C952" s="73"/>
      <c r="D952" s="73"/>
      <c r="E952" s="75"/>
      <c r="F952" s="75"/>
      <c r="G952" s="75"/>
      <c r="H952" s="75"/>
      <c r="I952" s="29"/>
      <c r="J952" s="76"/>
      <c r="K952" s="76"/>
      <c r="L952" s="66"/>
      <c r="M952" s="66"/>
      <c r="N952" s="66"/>
      <c r="O952" s="66"/>
      <c r="P952" s="66"/>
      <c r="Q952" s="66"/>
      <c r="R952" s="66"/>
      <c r="S952" s="66"/>
      <c r="T952" s="66"/>
      <c r="U952" s="66"/>
      <c r="V952" s="66"/>
      <c r="W952" s="66"/>
      <c r="X952" s="66"/>
      <c r="Y952" s="66"/>
    </row>
    <row r="953">
      <c r="A953" s="71"/>
      <c r="B953" s="71"/>
      <c r="C953" s="73"/>
      <c r="D953" s="73"/>
      <c r="E953" s="75"/>
      <c r="F953" s="75"/>
      <c r="G953" s="75"/>
      <c r="H953" s="75"/>
      <c r="I953" s="29"/>
      <c r="J953" s="76"/>
      <c r="K953" s="76"/>
      <c r="L953" s="66"/>
      <c r="M953" s="66"/>
      <c r="N953" s="66"/>
      <c r="O953" s="66"/>
      <c r="P953" s="66"/>
      <c r="Q953" s="66"/>
      <c r="R953" s="66"/>
      <c r="S953" s="66"/>
      <c r="T953" s="66"/>
      <c r="U953" s="66"/>
      <c r="V953" s="66"/>
      <c r="W953" s="66"/>
      <c r="X953" s="66"/>
      <c r="Y953" s="66"/>
    </row>
    <row r="954">
      <c r="A954" s="71"/>
      <c r="B954" s="71"/>
      <c r="C954" s="73"/>
      <c r="D954" s="73"/>
      <c r="E954" s="75"/>
      <c r="F954" s="75"/>
      <c r="G954" s="75"/>
      <c r="H954" s="75"/>
      <c r="I954" s="29"/>
      <c r="J954" s="76"/>
      <c r="K954" s="76"/>
      <c r="L954" s="66"/>
      <c r="M954" s="66"/>
      <c r="N954" s="66"/>
      <c r="O954" s="66"/>
      <c r="P954" s="66"/>
      <c r="Q954" s="66"/>
      <c r="R954" s="66"/>
      <c r="S954" s="66"/>
      <c r="T954" s="66"/>
      <c r="U954" s="66"/>
      <c r="V954" s="66"/>
      <c r="W954" s="66"/>
      <c r="X954" s="66"/>
      <c r="Y954" s="66"/>
    </row>
    <row r="955">
      <c r="A955" s="71"/>
      <c r="B955" s="71"/>
      <c r="C955" s="73"/>
      <c r="D955" s="73"/>
      <c r="E955" s="75"/>
      <c r="F955" s="75"/>
      <c r="G955" s="75"/>
      <c r="H955" s="75"/>
      <c r="I955" s="29"/>
      <c r="J955" s="76"/>
      <c r="K955" s="76"/>
      <c r="L955" s="66"/>
      <c r="M955" s="66"/>
      <c r="N955" s="66"/>
      <c r="O955" s="66"/>
      <c r="P955" s="66"/>
      <c r="Q955" s="66"/>
      <c r="R955" s="66"/>
      <c r="S955" s="66"/>
      <c r="T955" s="66"/>
      <c r="U955" s="66"/>
      <c r="V955" s="66"/>
      <c r="W955" s="66"/>
      <c r="X955" s="66"/>
      <c r="Y955" s="66"/>
    </row>
    <row r="956">
      <c r="A956" s="71"/>
      <c r="B956" s="71"/>
      <c r="C956" s="73"/>
      <c r="D956" s="73"/>
      <c r="E956" s="75"/>
      <c r="F956" s="75"/>
      <c r="G956" s="75"/>
      <c r="H956" s="75"/>
      <c r="I956" s="29"/>
      <c r="J956" s="76"/>
      <c r="K956" s="76"/>
      <c r="L956" s="66"/>
      <c r="M956" s="66"/>
      <c r="N956" s="66"/>
      <c r="O956" s="66"/>
      <c r="P956" s="66"/>
      <c r="Q956" s="66"/>
      <c r="R956" s="66"/>
      <c r="S956" s="66"/>
      <c r="T956" s="66"/>
      <c r="U956" s="66"/>
      <c r="V956" s="66"/>
      <c r="W956" s="66"/>
      <c r="X956" s="66"/>
      <c r="Y956" s="66"/>
    </row>
    <row r="957">
      <c r="A957" s="71"/>
      <c r="B957" s="71"/>
      <c r="C957" s="73"/>
      <c r="D957" s="73"/>
      <c r="E957" s="75"/>
      <c r="F957" s="75"/>
      <c r="G957" s="75"/>
      <c r="H957" s="75"/>
      <c r="I957" s="29"/>
      <c r="J957" s="76"/>
      <c r="K957" s="76"/>
      <c r="L957" s="66"/>
      <c r="M957" s="66"/>
      <c r="N957" s="66"/>
      <c r="O957" s="66"/>
      <c r="P957" s="66"/>
      <c r="Q957" s="66"/>
      <c r="R957" s="66"/>
      <c r="S957" s="66"/>
      <c r="T957" s="66"/>
      <c r="U957" s="66"/>
      <c r="V957" s="66"/>
      <c r="W957" s="66"/>
      <c r="X957" s="66"/>
      <c r="Y957" s="66"/>
    </row>
    <row r="958">
      <c r="A958" s="71"/>
      <c r="B958" s="71"/>
      <c r="C958" s="73"/>
      <c r="D958" s="73"/>
      <c r="E958" s="75"/>
      <c r="F958" s="75"/>
      <c r="G958" s="75"/>
      <c r="H958" s="75"/>
      <c r="I958" s="29"/>
      <c r="J958" s="76"/>
      <c r="K958" s="76"/>
      <c r="L958" s="66"/>
      <c r="M958" s="66"/>
      <c r="N958" s="66"/>
      <c r="O958" s="66"/>
      <c r="P958" s="66"/>
      <c r="Q958" s="66"/>
      <c r="R958" s="66"/>
      <c r="S958" s="66"/>
      <c r="T958" s="66"/>
      <c r="U958" s="66"/>
      <c r="V958" s="66"/>
      <c r="W958" s="66"/>
      <c r="X958" s="66"/>
      <c r="Y958" s="66"/>
    </row>
    <row r="959">
      <c r="A959" s="71"/>
      <c r="B959" s="71"/>
      <c r="C959" s="73"/>
      <c r="D959" s="73"/>
      <c r="E959" s="75"/>
      <c r="F959" s="75"/>
      <c r="G959" s="75"/>
      <c r="H959" s="75"/>
      <c r="I959" s="29"/>
      <c r="J959" s="76"/>
      <c r="K959" s="76"/>
      <c r="L959" s="66"/>
      <c r="M959" s="66"/>
      <c r="N959" s="66"/>
      <c r="O959" s="66"/>
      <c r="P959" s="66"/>
      <c r="Q959" s="66"/>
      <c r="R959" s="66"/>
      <c r="S959" s="66"/>
      <c r="T959" s="66"/>
      <c r="U959" s="66"/>
      <c r="V959" s="66"/>
      <c r="W959" s="66"/>
      <c r="X959" s="66"/>
      <c r="Y959" s="66"/>
    </row>
    <row r="960">
      <c r="A960" s="71"/>
      <c r="B960" s="71"/>
      <c r="C960" s="73"/>
      <c r="D960" s="73"/>
      <c r="E960" s="75"/>
      <c r="F960" s="75"/>
      <c r="G960" s="75"/>
      <c r="H960" s="75"/>
      <c r="I960" s="29"/>
      <c r="J960" s="76"/>
      <c r="K960" s="76"/>
      <c r="L960" s="66"/>
      <c r="M960" s="66"/>
      <c r="N960" s="66"/>
      <c r="O960" s="66"/>
      <c r="P960" s="66"/>
      <c r="Q960" s="66"/>
      <c r="R960" s="66"/>
      <c r="S960" s="66"/>
      <c r="T960" s="66"/>
      <c r="U960" s="66"/>
      <c r="V960" s="66"/>
      <c r="W960" s="66"/>
      <c r="X960" s="66"/>
      <c r="Y960" s="66"/>
    </row>
    <row r="961">
      <c r="A961" s="71"/>
      <c r="B961" s="71"/>
      <c r="C961" s="73"/>
      <c r="D961" s="73"/>
      <c r="E961" s="75"/>
      <c r="F961" s="75"/>
      <c r="G961" s="75"/>
      <c r="H961" s="75"/>
      <c r="I961" s="29"/>
      <c r="J961" s="76"/>
      <c r="K961" s="76"/>
      <c r="L961" s="66"/>
      <c r="M961" s="66"/>
      <c r="N961" s="66"/>
      <c r="O961" s="66"/>
      <c r="P961" s="66"/>
      <c r="Q961" s="66"/>
      <c r="R961" s="66"/>
      <c r="S961" s="66"/>
      <c r="T961" s="66"/>
      <c r="U961" s="66"/>
      <c r="V961" s="66"/>
      <c r="W961" s="66"/>
      <c r="X961" s="66"/>
      <c r="Y961" s="66"/>
    </row>
    <row r="962">
      <c r="A962" s="71"/>
      <c r="B962" s="71"/>
      <c r="C962" s="73"/>
      <c r="D962" s="73"/>
      <c r="E962" s="75"/>
      <c r="F962" s="75"/>
      <c r="G962" s="75"/>
      <c r="H962" s="75"/>
      <c r="I962" s="29"/>
      <c r="J962" s="76"/>
      <c r="K962" s="76"/>
      <c r="L962" s="66"/>
      <c r="M962" s="66"/>
      <c r="N962" s="66"/>
      <c r="O962" s="66"/>
      <c r="P962" s="66"/>
      <c r="Q962" s="66"/>
      <c r="R962" s="66"/>
      <c r="S962" s="66"/>
      <c r="T962" s="66"/>
      <c r="U962" s="66"/>
      <c r="V962" s="66"/>
      <c r="W962" s="66"/>
      <c r="X962" s="66"/>
      <c r="Y962" s="66"/>
    </row>
    <row r="963">
      <c r="A963" s="71"/>
      <c r="B963" s="71"/>
      <c r="C963" s="73"/>
      <c r="D963" s="73"/>
      <c r="E963" s="75"/>
      <c r="F963" s="75"/>
      <c r="G963" s="75"/>
      <c r="H963" s="75"/>
      <c r="I963" s="29"/>
      <c r="J963" s="76"/>
      <c r="K963" s="76"/>
      <c r="L963" s="66"/>
      <c r="M963" s="66"/>
      <c r="N963" s="66"/>
      <c r="O963" s="66"/>
      <c r="P963" s="66"/>
      <c r="Q963" s="66"/>
      <c r="R963" s="66"/>
      <c r="S963" s="66"/>
      <c r="T963" s="66"/>
      <c r="U963" s="66"/>
      <c r="V963" s="66"/>
      <c r="W963" s="66"/>
      <c r="X963" s="66"/>
      <c r="Y963" s="66"/>
    </row>
    <row r="964">
      <c r="A964" s="71"/>
      <c r="B964" s="71"/>
      <c r="C964" s="73"/>
      <c r="D964" s="73"/>
      <c r="E964" s="75"/>
      <c r="F964" s="75"/>
      <c r="G964" s="75"/>
      <c r="H964" s="75"/>
      <c r="I964" s="29"/>
      <c r="J964" s="76"/>
      <c r="K964" s="76"/>
      <c r="L964" s="66"/>
      <c r="M964" s="66"/>
      <c r="N964" s="66"/>
      <c r="O964" s="66"/>
      <c r="P964" s="66"/>
      <c r="Q964" s="66"/>
      <c r="R964" s="66"/>
      <c r="S964" s="66"/>
      <c r="T964" s="66"/>
      <c r="U964" s="66"/>
      <c r="V964" s="66"/>
      <c r="W964" s="66"/>
      <c r="X964" s="66"/>
      <c r="Y964" s="66"/>
    </row>
    <row r="965">
      <c r="A965" s="71"/>
      <c r="B965" s="71"/>
      <c r="C965" s="73"/>
      <c r="D965" s="73"/>
      <c r="E965" s="75"/>
      <c r="F965" s="75"/>
      <c r="G965" s="75"/>
      <c r="H965" s="75"/>
      <c r="I965" s="29"/>
      <c r="J965" s="76"/>
      <c r="K965" s="76"/>
      <c r="L965" s="66"/>
      <c r="M965" s="66"/>
      <c r="N965" s="66"/>
      <c r="O965" s="66"/>
      <c r="P965" s="66"/>
      <c r="Q965" s="66"/>
      <c r="R965" s="66"/>
      <c r="S965" s="66"/>
      <c r="T965" s="66"/>
      <c r="U965" s="66"/>
      <c r="V965" s="66"/>
      <c r="W965" s="66"/>
      <c r="X965" s="66"/>
      <c r="Y965" s="66"/>
    </row>
    <row r="966">
      <c r="A966" s="71"/>
      <c r="B966" s="71"/>
      <c r="C966" s="73"/>
      <c r="D966" s="73"/>
      <c r="E966" s="75"/>
      <c r="F966" s="75"/>
      <c r="G966" s="75"/>
      <c r="H966" s="75"/>
      <c r="I966" s="29"/>
      <c r="J966" s="76"/>
      <c r="K966" s="76"/>
      <c r="L966" s="66"/>
      <c r="M966" s="66"/>
      <c r="N966" s="66"/>
      <c r="O966" s="66"/>
      <c r="P966" s="66"/>
      <c r="Q966" s="66"/>
      <c r="R966" s="66"/>
      <c r="S966" s="66"/>
      <c r="T966" s="66"/>
      <c r="U966" s="66"/>
      <c r="V966" s="66"/>
      <c r="W966" s="66"/>
      <c r="X966" s="66"/>
      <c r="Y966" s="66"/>
    </row>
    <row r="967">
      <c r="A967" s="71"/>
      <c r="B967" s="71"/>
      <c r="C967" s="73"/>
      <c r="D967" s="73"/>
      <c r="E967" s="75"/>
      <c r="F967" s="75"/>
      <c r="G967" s="75"/>
      <c r="H967" s="75"/>
      <c r="I967" s="29"/>
      <c r="J967" s="76"/>
      <c r="K967" s="76"/>
      <c r="L967" s="66"/>
      <c r="M967" s="66"/>
      <c r="N967" s="66"/>
      <c r="O967" s="66"/>
      <c r="P967" s="66"/>
      <c r="Q967" s="66"/>
      <c r="R967" s="66"/>
      <c r="S967" s="66"/>
      <c r="T967" s="66"/>
      <c r="U967" s="66"/>
      <c r="V967" s="66"/>
      <c r="W967" s="66"/>
      <c r="X967" s="66"/>
      <c r="Y967" s="66"/>
    </row>
    <row r="968">
      <c r="A968" s="71"/>
      <c r="B968" s="71"/>
      <c r="C968" s="73"/>
      <c r="D968" s="73"/>
      <c r="E968" s="75"/>
      <c r="F968" s="75"/>
      <c r="G968" s="75"/>
      <c r="H968" s="75"/>
      <c r="I968" s="29"/>
      <c r="J968" s="76"/>
      <c r="K968" s="76"/>
      <c r="L968" s="66"/>
      <c r="M968" s="66"/>
      <c r="N968" s="66"/>
      <c r="O968" s="66"/>
      <c r="P968" s="66"/>
      <c r="Q968" s="66"/>
      <c r="R968" s="66"/>
      <c r="S968" s="66"/>
      <c r="T968" s="66"/>
      <c r="U968" s="66"/>
      <c r="V968" s="66"/>
      <c r="W968" s="66"/>
      <c r="X968" s="66"/>
      <c r="Y968" s="66"/>
    </row>
    <row r="969">
      <c r="A969" s="71"/>
      <c r="B969" s="71"/>
      <c r="C969" s="73"/>
      <c r="D969" s="73"/>
      <c r="E969" s="75"/>
      <c r="F969" s="75"/>
      <c r="G969" s="75"/>
      <c r="H969" s="75"/>
      <c r="I969" s="29"/>
      <c r="J969" s="76"/>
      <c r="K969" s="76"/>
      <c r="L969" s="66"/>
      <c r="M969" s="66"/>
      <c r="N969" s="66"/>
      <c r="O969" s="66"/>
      <c r="P969" s="66"/>
      <c r="Q969" s="66"/>
      <c r="R969" s="66"/>
      <c r="S969" s="66"/>
      <c r="T969" s="66"/>
      <c r="U969" s="66"/>
      <c r="V969" s="66"/>
      <c r="W969" s="66"/>
      <c r="X969" s="66"/>
      <c r="Y969" s="66"/>
    </row>
    <row r="970">
      <c r="A970" s="71"/>
      <c r="B970" s="71"/>
      <c r="C970" s="73"/>
      <c r="D970" s="73"/>
      <c r="E970" s="75"/>
      <c r="F970" s="75"/>
      <c r="G970" s="75"/>
      <c r="H970" s="75"/>
      <c r="I970" s="29"/>
      <c r="J970" s="76"/>
      <c r="K970" s="76"/>
      <c r="L970" s="66"/>
      <c r="M970" s="66"/>
      <c r="N970" s="66"/>
      <c r="O970" s="66"/>
      <c r="P970" s="66"/>
      <c r="Q970" s="66"/>
      <c r="R970" s="66"/>
      <c r="S970" s="66"/>
      <c r="T970" s="66"/>
      <c r="U970" s="66"/>
      <c r="V970" s="66"/>
      <c r="W970" s="66"/>
      <c r="X970" s="66"/>
      <c r="Y970" s="66"/>
    </row>
    <row r="971">
      <c r="A971" s="71"/>
      <c r="B971" s="71"/>
      <c r="C971" s="73"/>
      <c r="D971" s="73"/>
      <c r="E971" s="75"/>
      <c r="F971" s="75"/>
      <c r="G971" s="75"/>
      <c r="H971" s="75"/>
      <c r="I971" s="29"/>
      <c r="J971" s="76"/>
      <c r="K971" s="76"/>
      <c r="L971" s="66"/>
      <c r="M971" s="66"/>
      <c r="N971" s="66"/>
      <c r="O971" s="66"/>
      <c r="P971" s="66"/>
      <c r="Q971" s="66"/>
      <c r="R971" s="66"/>
      <c r="S971" s="66"/>
      <c r="T971" s="66"/>
      <c r="U971" s="66"/>
      <c r="V971" s="66"/>
      <c r="W971" s="66"/>
      <c r="X971" s="66"/>
      <c r="Y971" s="66"/>
    </row>
    <row r="972">
      <c r="A972" s="71"/>
      <c r="B972" s="71"/>
      <c r="C972" s="73"/>
      <c r="D972" s="73"/>
      <c r="E972" s="75"/>
      <c r="F972" s="75"/>
      <c r="G972" s="75"/>
      <c r="H972" s="75"/>
      <c r="I972" s="29"/>
      <c r="J972" s="76"/>
      <c r="K972" s="76"/>
      <c r="L972" s="66"/>
      <c r="M972" s="66"/>
      <c r="N972" s="66"/>
      <c r="O972" s="66"/>
      <c r="P972" s="66"/>
      <c r="Q972" s="66"/>
      <c r="R972" s="66"/>
      <c r="S972" s="66"/>
      <c r="T972" s="66"/>
      <c r="U972" s="66"/>
      <c r="V972" s="66"/>
      <c r="W972" s="66"/>
      <c r="X972" s="66"/>
      <c r="Y972" s="66"/>
    </row>
    <row r="973">
      <c r="A973" s="71"/>
      <c r="B973" s="71"/>
      <c r="C973" s="73"/>
      <c r="D973" s="73"/>
      <c r="E973" s="75"/>
      <c r="F973" s="75"/>
      <c r="G973" s="75"/>
      <c r="H973" s="75"/>
      <c r="I973" s="29"/>
      <c r="J973" s="76"/>
      <c r="K973" s="76"/>
      <c r="L973" s="66"/>
      <c r="M973" s="66"/>
      <c r="N973" s="66"/>
      <c r="O973" s="66"/>
      <c r="P973" s="66"/>
      <c r="Q973" s="66"/>
      <c r="R973" s="66"/>
      <c r="S973" s="66"/>
      <c r="T973" s="66"/>
      <c r="U973" s="66"/>
      <c r="V973" s="66"/>
      <c r="W973" s="66"/>
      <c r="X973" s="66"/>
      <c r="Y973" s="66"/>
    </row>
    <row r="974">
      <c r="A974" s="71"/>
      <c r="B974" s="71"/>
      <c r="C974" s="73"/>
      <c r="D974" s="73"/>
      <c r="E974" s="75"/>
      <c r="F974" s="75"/>
      <c r="G974" s="75"/>
      <c r="H974" s="75"/>
      <c r="I974" s="29"/>
      <c r="J974" s="76"/>
      <c r="K974" s="76"/>
      <c r="L974" s="66"/>
      <c r="M974" s="66"/>
      <c r="N974" s="66"/>
      <c r="O974" s="66"/>
      <c r="P974" s="66"/>
      <c r="Q974" s="66"/>
      <c r="R974" s="66"/>
      <c r="S974" s="66"/>
      <c r="T974" s="66"/>
      <c r="U974" s="66"/>
      <c r="V974" s="66"/>
      <c r="W974" s="66"/>
      <c r="X974" s="66"/>
      <c r="Y974" s="66"/>
    </row>
    <row r="975">
      <c r="A975" s="71"/>
      <c r="B975" s="71"/>
      <c r="C975" s="73"/>
      <c r="D975" s="73"/>
      <c r="E975" s="75"/>
      <c r="F975" s="75"/>
      <c r="G975" s="75"/>
      <c r="H975" s="75"/>
      <c r="I975" s="29"/>
      <c r="J975" s="76"/>
      <c r="K975" s="76"/>
      <c r="L975" s="66"/>
      <c r="M975" s="66"/>
      <c r="N975" s="66"/>
      <c r="O975" s="66"/>
      <c r="P975" s="66"/>
      <c r="Q975" s="66"/>
      <c r="R975" s="66"/>
      <c r="S975" s="66"/>
      <c r="T975" s="66"/>
      <c r="U975" s="66"/>
      <c r="V975" s="66"/>
      <c r="W975" s="66"/>
      <c r="X975" s="66"/>
      <c r="Y975" s="66"/>
    </row>
    <row r="976">
      <c r="A976" s="71"/>
      <c r="B976" s="71"/>
      <c r="C976" s="73"/>
      <c r="D976" s="73"/>
      <c r="E976" s="75"/>
      <c r="F976" s="75"/>
      <c r="G976" s="75"/>
      <c r="H976" s="75"/>
      <c r="I976" s="29"/>
      <c r="J976" s="76"/>
      <c r="K976" s="76"/>
      <c r="L976" s="66"/>
      <c r="M976" s="66"/>
      <c r="N976" s="66"/>
      <c r="O976" s="66"/>
      <c r="P976" s="66"/>
      <c r="Q976" s="66"/>
      <c r="R976" s="66"/>
      <c r="S976" s="66"/>
      <c r="T976" s="66"/>
      <c r="U976" s="66"/>
      <c r="V976" s="66"/>
      <c r="W976" s="66"/>
      <c r="X976" s="66"/>
      <c r="Y976" s="66"/>
    </row>
    <row r="977">
      <c r="A977" s="71"/>
      <c r="B977" s="71"/>
      <c r="C977" s="73"/>
      <c r="D977" s="73"/>
      <c r="E977" s="75"/>
      <c r="F977" s="75"/>
      <c r="G977" s="75"/>
      <c r="H977" s="75"/>
      <c r="I977" s="29"/>
      <c r="J977" s="76"/>
      <c r="K977" s="76"/>
      <c r="L977" s="66"/>
      <c r="M977" s="66"/>
      <c r="N977" s="66"/>
      <c r="O977" s="66"/>
      <c r="P977" s="66"/>
      <c r="Q977" s="66"/>
      <c r="R977" s="66"/>
      <c r="S977" s="66"/>
      <c r="T977" s="66"/>
      <c r="U977" s="66"/>
      <c r="V977" s="66"/>
      <c r="W977" s="66"/>
      <c r="X977" s="66"/>
      <c r="Y977" s="66"/>
    </row>
    <row r="978">
      <c r="A978" s="71"/>
      <c r="B978" s="71"/>
      <c r="C978" s="73"/>
      <c r="D978" s="73"/>
      <c r="E978" s="75"/>
      <c r="F978" s="75"/>
      <c r="G978" s="75"/>
      <c r="H978" s="75"/>
      <c r="I978" s="29"/>
      <c r="J978" s="76"/>
      <c r="K978" s="76"/>
      <c r="L978" s="66"/>
      <c r="M978" s="66"/>
      <c r="N978" s="66"/>
      <c r="O978" s="66"/>
      <c r="P978" s="66"/>
      <c r="Q978" s="66"/>
      <c r="R978" s="66"/>
      <c r="S978" s="66"/>
      <c r="T978" s="66"/>
      <c r="U978" s="66"/>
      <c r="V978" s="66"/>
      <c r="W978" s="66"/>
      <c r="X978" s="66"/>
      <c r="Y978" s="66"/>
    </row>
    <row r="979">
      <c r="A979" s="71"/>
      <c r="B979" s="71"/>
      <c r="C979" s="73"/>
      <c r="D979" s="73"/>
      <c r="E979" s="75"/>
      <c r="F979" s="75"/>
      <c r="G979" s="75"/>
      <c r="H979" s="75"/>
      <c r="I979" s="29"/>
      <c r="J979" s="76"/>
      <c r="K979" s="76"/>
      <c r="L979" s="66"/>
      <c r="M979" s="66"/>
      <c r="N979" s="66"/>
      <c r="O979" s="66"/>
      <c r="P979" s="66"/>
      <c r="Q979" s="66"/>
      <c r="R979" s="66"/>
      <c r="S979" s="66"/>
      <c r="T979" s="66"/>
      <c r="U979" s="66"/>
      <c r="V979" s="66"/>
      <c r="W979" s="66"/>
      <c r="X979" s="66"/>
      <c r="Y979" s="66"/>
    </row>
    <row r="980">
      <c r="A980" s="71"/>
      <c r="B980" s="71"/>
      <c r="C980" s="73"/>
      <c r="D980" s="73"/>
      <c r="E980" s="75"/>
      <c r="F980" s="75"/>
      <c r="G980" s="75"/>
      <c r="H980" s="75"/>
      <c r="I980" s="29"/>
      <c r="J980" s="76"/>
      <c r="K980" s="76"/>
      <c r="L980" s="66"/>
      <c r="M980" s="66"/>
      <c r="N980" s="66"/>
      <c r="O980" s="66"/>
      <c r="P980" s="66"/>
      <c r="Q980" s="66"/>
      <c r="R980" s="66"/>
      <c r="S980" s="66"/>
      <c r="T980" s="66"/>
      <c r="U980" s="66"/>
      <c r="V980" s="66"/>
      <c r="W980" s="66"/>
      <c r="X980" s="66"/>
      <c r="Y980" s="66"/>
    </row>
    <row r="981">
      <c r="A981" s="71"/>
      <c r="B981" s="71"/>
      <c r="C981" s="73"/>
      <c r="D981" s="73"/>
      <c r="E981" s="75"/>
      <c r="F981" s="75"/>
      <c r="G981" s="75"/>
      <c r="H981" s="75"/>
      <c r="I981" s="29"/>
      <c r="J981" s="76"/>
      <c r="K981" s="76"/>
      <c r="L981" s="66"/>
      <c r="M981" s="66"/>
      <c r="N981" s="66"/>
      <c r="O981" s="66"/>
      <c r="P981" s="66"/>
      <c r="Q981" s="66"/>
      <c r="R981" s="66"/>
      <c r="S981" s="66"/>
      <c r="T981" s="66"/>
      <c r="U981" s="66"/>
      <c r="V981" s="66"/>
      <c r="W981" s="66"/>
      <c r="X981" s="66"/>
      <c r="Y981" s="66"/>
    </row>
    <row r="982">
      <c r="A982" s="71"/>
      <c r="B982" s="71"/>
      <c r="C982" s="73"/>
      <c r="D982" s="73"/>
      <c r="E982" s="75"/>
      <c r="F982" s="75"/>
      <c r="G982" s="75"/>
      <c r="H982" s="75"/>
      <c r="I982" s="29"/>
      <c r="J982" s="76"/>
      <c r="K982" s="76"/>
      <c r="L982" s="66"/>
      <c r="M982" s="66"/>
      <c r="N982" s="66"/>
      <c r="O982" s="66"/>
      <c r="P982" s="66"/>
      <c r="Q982" s="66"/>
      <c r="R982" s="66"/>
      <c r="S982" s="66"/>
      <c r="T982" s="66"/>
      <c r="U982" s="66"/>
      <c r="V982" s="66"/>
      <c r="W982" s="66"/>
      <c r="X982" s="66"/>
      <c r="Y982" s="66"/>
    </row>
    <row r="983">
      <c r="A983" s="71"/>
      <c r="B983" s="71"/>
      <c r="C983" s="73"/>
      <c r="D983" s="73"/>
      <c r="E983" s="75"/>
      <c r="F983" s="75"/>
      <c r="G983" s="75"/>
      <c r="H983" s="75"/>
      <c r="I983" s="29"/>
      <c r="J983" s="76"/>
      <c r="K983" s="76"/>
      <c r="L983" s="66"/>
      <c r="M983" s="66"/>
      <c r="N983" s="66"/>
      <c r="O983" s="66"/>
      <c r="P983" s="66"/>
      <c r="Q983" s="66"/>
      <c r="R983" s="66"/>
      <c r="S983" s="66"/>
      <c r="T983" s="66"/>
      <c r="U983" s="66"/>
      <c r="V983" s="66"/>
      <c r="W983" s="66"/>
      <c r="X983" s="66"/>
      <c r="Y983" s="66"/>
    </row>
    <row r="984">
      <c r="A984" s="71"/>
      <c r="B984" s="71"/>
      <c r="C984" s="73"/>
      <c r="D984" s="73"/>
      <c r="E984" s="75"/>
      <c r="F984" s="75"/>
      <c r="G984" s="75"/>
      <c r="H984" s="75"/>
      <c r="I984" s="29"/>
      <c r="J984" s="76"/>
      <c r="K984" s="76"/>
      <c r="L984" s="66"/>
      <c r="M984" s="66"/>
      <c r="N984" s="66"/>
      <c r="O984" s="66"/>
      <c r="P984" s="66"/>
      <c r="Q984" s="66"/>
      <c r="R984" s="66"/>
      <c r="S984" s="66"/>
      <c r="T984" s="66"/>
      <c r="U984" s="66"/>
      <c r="V984" s="66"/>
      <c r="W984" s="66"/>
      <c r="X984" s="66"/>
      <c r="Y984" s="66"/>
    </row>
    <row r="985">
      <c r="A985" s="71"/>
      <c r="B985" s="71"/>
      <c r="C985" s="73"/>
      <c r="D985" s="73"/>
      <c r="E985" s="75"/>
      <c r="F985" s="75"/>
      <c r="G985" s="75"/>
      <c r="H985" s="75"/>
      <c r="I985" s="29"/>
      <c r="J985" s="76"/>
      <c r="K985" s="76"/>
      <c r="L985" s="66"/>
      <c r="M985" s="66"/>
      <c r="N985" s="66"/>
      <c r="O985" s="66"/>
      <c r="P985" s="66"/>
      <c r="Q985" s="66"/>
      <c r="R985" s="66"/>
      <c r="S985" s="66"/>
      <c r="T985" s="66"/>
      <c r="U985" s="66"/>
      <c r="V985" s="66"/>
      <c r="W985" s="66"/>
      <c r="X985" s="66"/>
      <c r="Y985" s="66"/>
    </row>
    <row r="986">
      <c r="A986" s="71"/>
      <c r="B986" s="71"/>
      <c r="C986" s="73"/>
      <c r="D986" s="73"/>
      <c r="E986" s="75"/>
      <c r="F986" s="75"/>
      <c r="G986" s="75"/>
      <c r="H986" s="75"/>
      <c r="I986" s="29"/>
      <c r="J986" s="76"/>
      <c r="K986" s="76"/>
      <c r="L986" s="66"/>
      <c r="M986" s="66"/>
      <c r="N986" s="66"/>
      <c r="O986" s="66"/>
      <c r="P986" s="66"/>
      <c r="Q986" s="66"/>
      <c r="R986" s="66"/>
      <c r="S986" s="66"/>
      <c r="T986" s="66"/>
      <c r="U986" s="66"/>
      <c r="V986" s="66"/>
      <c r="W986" s="66"/>
      <c r="X986" s="66"/>
      <c r="Y986" s="66"/>
    </row>
    <row r="987">
      <c r="A987" s="71"/>
      <c r="B987" s="71"/>
      <c r="C987" s="73"/>
      <c r="D987" s="73"/>
      <c r="E987" s="75"/>
      <c r="F987" s="75"/>
      <c r="G987" s="75"/>
      <c r="H987" s="75"/>
      <c r="I987" s="29"/>
      <c r="J987" s="76"/>
      <c r="K987" s="76"/>
      <c r="L987" s="66"/>
      <c r="M987" s="66"/>
      <c r="N987" s="66"/>
      <c r="O987" s="66"/>
      <c r="P987" s="66"/>
      <c r="Q987" s="66"/>
      <c r="R987" s="66"/>
      <c r="S987" s="66"/>
      <c r="T987" s="66"/>
      <c r="U987" s="66"/>
      <c r="V987" s="66"/>
      <c r="W987" s="66"/>
      <c r="X987" s="66"/>
      <c r="Y987" s="66"/>
    </row>
    <row r="988">
      <c r="A988" s="71"/>
      <c r="B988" s="71"/>
      <c r="C988" s="73"/>
      <c r="D988" s="73"/>
      <c r="E988" s="75"/>
      <c r="F988" s="75"/>
      <c r="G988" s="75"/>
      <c r="H988" s="75"/>
      <c r="I988" s="29"/>
      <c r="J988" s="76"/>
      <c r="K988" s="76"/>
      <c r="L988" s="66"/>
      <c r="M988" s="66"/>
      <c r="N988" s="66"/>
      <c r="O988" s="66"/>
      <c r="P988" s="66"/>
      <c r="Q988" s="66"/>
      <c r="R988" s="66"/>
      <c r="S988" s="66"/>
      <c r="T988" s="66"/>
      <c r="U988" s="66"/>
      <c r="V988" s="66"/>
      <c r="W988" s="66"/>
      <c r="X988" s="66"/>
      <c r="Y988" s="66"/>
    </row>
    <row r="989">
      <c r="A989" s="71"/>
      <c r="B989" s="71"/>
      <c r="C989" s="73"/>
      <c r="D989" s="73"/>
      <c r="E989" s="75"/>
      <c r="F989" s="75"/>
      <c r="G989" s="75"/>
      <c r="H989" s="75"/>
      <c r="I989" s="29"/>
      <c r="J989" s="76"/>
      <c r="K989" s="76"/>
      <c r="L989" s="66"/>
      <c r="M989" s="66"/>
      <c r="N989" s="66"/>
      <c r="O989" s="66"/>
      <c r="P989" s="66"/>
      <c r="Q989" s="66"/>
      <c r="R989" s="66"/>
      <c r="S989" s="66"/>
      <c r="T989" s="66"/>
      <c r="U989" s="66"/>
      <c r="V989" s="66"/>
      <c r="W989" s="66"/>
      <c r="X989" s="66"/>
      <c r="Y989" s="66"/>
    </row>
    <row r="990">
      <c r="A990" s="71"/>
      <c r="B990" s="71"/>
      <c r="C990" s="73"/>
      <c r="D990" s="73"/>
      <c r="E990" s="75"/>
      <c r="F990" s="75"/>
      <c r="G990" s="75"/>
      <c r="H990" s="75"/>
      <c r="I990" s="29"/>
      <c r="J990" s="76"/>
      <c r="K990" s="76"/>
      <c r="L990" s="66"/>
      <c r="M990" s="66"/>
      <c r="N990" s="66"/>
      <c r="O990" s="66"/>
      <c r="P990" s="66"/>
      <c r="Q990" s="66"/>
      <c r="R990" s="66"/>
      <c r="S990" s="66"/>
      <c r="T990" s="66"/>
      <c r="U990" s="66"/>
      <c r="V990" s="66"/>
      <c r="W990" s="66"/>
      <c r="X990" s="66"/>
      <c r="Y990" s="66"/>
    </row>
    <row r="991">
      <c r="A991" s="71"/>
      <c r="B991" s="71"/>
      <c r="C991" s="73"/>
      <c r="D991" s="73"/>
      <c r="E991" s="75"/>
      <c r="F991" s="75"/>
      <c r="G991" s="75"/>
      <c r="H991" s="75"/>
      <c r="I991" s="29"/>
      <c r="J991" s="76"/>
      <c r="K991" s="76"/>
      <c r="L991" s="66"/>
      <c r="M991" s="66"/>
      <c r="N991" s="66"/>
      <c r="O991" s="66"/>
      <c r="P991" s="66"/>
      <c r="Q991" s="66"/>
      <c r="R991" s="66"/>
      <c r="S991" s="66"/>
      <c r="T991" s="66"/>
      <c r="U991" s="66"/>
      <c r="V991" s="66"/>
      <c r="W991" s="66"/>
      <c r="X991" s="66"/>
      <c r="Y991" s="66"/>
    </row>
    <row r="992">
      <c r="A992" s="71"/>
      <c r="B992" s="71"/>
      <c r="C992" s="73"/>
      <c r="D992" s="73"/>
      <c r="E992" s="75"/>
      <c r="F992" s="75"/>
      <c r="G992" s="75"/>
      <c r="H992" s="75"/>
      <c r="I992" s="29"/>
      <c r="J992" s="76"/>
      <c r="K992" s="76"/>
      <c r="L992" s="66"/>
      <c r="M992" s="66"/>
      <c r="N992" s="66"/>
      <c r="O992" s="66"/>
      <c r="P992" s="66"/>
      <c r="Q992" s="66"/>
      <c r="R992" s="66"/>
      <c r="S992" s="66"/>
      <c r="T992" s="66"/>
      <c r="U992" s="66"/>
      <c r="V992" s="66"/>
      <c r="W992" s="66"/>
      <c r="X992" s="66"/>
      <c r="Y992" s="66"/>
    </row>
    <row r="993">
      <c r="A993" s="71"/>
      <c r="B993" s="71"/>
      <c r="C993" s="73"/>
      <c r="D993" s="73"/>
      <c r="E993" s="75"/>
      <c r="F993" s="75"/>
      <c r="G993" s="75"/>
      <c r="H993" s="75"/>
      <c r="I993" s="29"/>
      <c r="J993" s="76"/>
      <c r="K993" s="76"/>
      <c r="L993" s="66"/>
      <c r="M993" s="66"/>
      <c r="N993" s="66"/>
      <c r="O993" s="66"/>
      <c r="P993" s="66"/>
      <c r="Q993" s="66"/>
      <c r="R993" s="66"/>
      <c r="S993" s="66"/>
      <c r="T993" s="66"/>
      <c r="U993" s="66"/>
      <c r="V993" s="66"/>
      <c r="W993" s="66"/>
      <c r="X993" s="66"/>
      <c r="Y993" s="66"/>
    </row>
    <row r="994">
      <c r="A994" s="71"/>
      <c r="B994" s="71"/>
      <c r="C994" s="73"/>
      <c r="D994" s="73"/>
      <c r="E994" s="75"/>
      <c r="F994" s="75"/>
      <c r="G994" s="75"/>
      <c r="H994" s="75"/>
      <c r="I994" s="29"/>
      <c r="J994" s="76"/>
      <c r="K994" s="76"/>
      <c r="L994" s="66"/>
      <c r="M994" s="66"/>
      <c r="N994" s="66"/>
      <c r="O994" s="66"/>
      <c r="P994" s="66"/>
      <c r="Q994" s="66"/>
      <c r="R994" s="66"/>
      <c r="S994" s="66"/>
      <c r="T994" s="66"/>
      <c r="U994" s="66"/>
      <c r="V994" s="66"/>
      <c r="W994" s="66"/>
      <c r="X994" s="66"/>
      <c r="Y994" s="66"/>
    </row>
    <row r="995">
      <c r="A995" s="71"/>
      <c r="B995" s="71"/>
      <c r="C995" s="73"/>
      <c r="D995" s="73"/>
      <c r="E995" s="75"/>
      <c r="F995" s="75"/>
      <c r="G995" s="75"/>
      <c r="H995" s="75"/>
      <c r="I995" s="29"/>
      <c r="J995" s="76"/>
      <c r="K995" s="76"/>
      <c r="L995" s="66"/>
      <c r="M995" s="66"/>
      <c r="N995" s="66"/>
      <c r="O995" s="66"/>
      <c r="P995" s="66"/>
      <c r="Q995" s="66"/>
      <c r="R995" s="66"/>
      <c r="S995" s="66"/>
      <c r="T995" s="66"/>
      <c r="U995" s="66"/>
      <c r="V995" s="66"/>
      <c r="W995" s="66"/>
      <c r="X995" s="66"/>
      <c r="Y995" s="66"/>
    </row>
    <row r="996">
      <c r="A996" s="71"/>
      <c r="B996" s="71"/>
      <c r="C996" s="73"/>
      <c r="D996" s="73"/>
      <c r="E996" s="75"/>
      <c r="F996" s="75"/>
      <c r="G996" s="75"/>
      <c r="H996" s="75"/>
      <c r="I996" s="29"/>
      <c r="J996" s="76"/>
      <c r="K996" s="76"/>
      <c r="L996" s="66"/>
      <c r="M996" s="66"/>
      <c r="N996" s="66"/>
      <c r="O996" s="66"/>
      <c r="P996" s="66"/>
      <c r="Q996" s="66"/>
      <c r="R996" s="66"/>
      <c r="S996" s="66"/>
      <c r="T996" s="66"/>
      <c r="U996" s="66"/>
      <c r="V996" s="66"/>
      <c r="W996" s="66"/>
      <c r="X996" s="66"/>
      <c r="Y996" s="66"/>
    </row>
    <row r="997">
      <c r="A997" s="71"/>
      <c r="B997" s="71"/>
      <c r="C997" s="73"/>
      <c r="D997" s="73"/>
      <c r="E997" s="75"/>
      <c r="F997" s="75"/>
      <c r="G997" s="75"/>
      <c r="H997" s="75"/>
      <c r="I997" s="29"/>
      <c r="J997" s="76"/>
      <c r="K997" s="76"/>
      <c r="L997" s="66"/>
      <c r="M997" s="66"/>
      <c r="N997" s="66"/>
      <c r="O997" s="66"/>
      <c r="P997" s="66"/>
      <c r="Q997" s="66"/>
      <c r="R997" s="66"/>
      <c r="S997" s="66"/>
      <c r="T997" s="66"/>
      <c r="U997" s="66"/>
      <c r="V997" s="66"/>
      <c r="W997" s="66"/>
      <c r="X997" s="66"/>
      <c r="Y997" s="66"/>
    </row>
    <row r="998">
      <c r="A998" s="71"/>
      <c r="B998" s="71"/>
      <c r="C998" s="73"/>
      <c r="D998" s="73"/>
      <c r="E998" s="75"/>
      <c r="F998" s="75"/>
      <c r="G998" s="75"/>
      <c r="H998" s="75"/>
      <c r="I998" s="29"/>
      <c r="J998" s="76"/>
      <c r="K998" s="76"/>
      <c r="L998" s="66"/>
      <c r="M998" s="66"/>
      <c r="N998" s="66"/>
      <c r="O998" s="66"/>
      <c r="P998" s="66"/>
      <c r="Q998" s="66"/>
      <c r="R998" s="66"/>
      <c r="S998" s="66"/>
      <c r="T998" s="66"/>
      <c r="U998" s="66"/>
      <c r="V998" s="66"/>
      <c r="W998" s="66"/>
      <c r="X998" s="66"/>
      <c r="Y998" s="66"/>
    </row>
    <row r="999">
      <c r="A999" s="71"/>
      <c r="B999" s="71"/>
      <c r="C999" s="73"/>
      <c r="D999" s="73"/>
      <c r="E999" s="75"/>
      <c r="F999" s="75"/>
      <c r="G999" s="75"/>
      <c r="H999" s="75"/>
      <c r="I999" s="29"/>
      <c r="J999" s="76"/>
      <c r="K999" s="76"/>
      <c r="L999" s="66"/>
      <c r="M999" s="66"/>
      <c r="N999" s="66"/>
      <c r="O999" s="66"/>
      <c r="P999" s="66"/>
      <c r="Q999" s="66"/>
      <c r="R999" s="66"/>
      <c r="S999" s="66"/>
      <c r="T999" s="66"/>
      <c r="U999" s="66"/>
      <c r="V999" s="66"/>
      <c r="W999" s="66"/>
      <c r="X999" s="66"/>
      <c r="Y999" s="66"/>
    </row>
    <row r="1000">
      <c r="A1000" s="71"/>
      <c r="B1000" s="71"/>
      <c r="C1000" s="73"/>
      <c r="D1000" s="73"/>
      <c r="E1000" s="75"/>
      <c r="F1000" s="75"/>
      <c r="G1000" s="75"/>
      <c r="H1000" s="75"/>
      <c r="I1000" s="29"/>
      <c r="J1000" s="76"/>
      <c r="K1000" s="76"/>
      <c r="L1000" s="66"/>
      <c r="M1000" s="66"/>
      <c r="N1000" s="66"/>
      <c r="O1000" s="66"/>
      <c r="P1000" s="66"/>
      <c r="Q1000" s="66"/>
      <c r="R1000" s="66"/>
      <c r="S1000" s="66"/>
      <c r="T1000" s="66"/>
      <c r="U1000" s="66"/>
      <c r="V1000" s="66"/>
      <c r="W1000" s="66"/>
      <c r="X1000" s="66"/>
      <c r="Y1000" s="66"/>
    </row>
    <row r="1001">
      <c r="A1001" s="71"/>
      <c r="B1001" s="71"/>
      <c r="C1001" s="73"/>
      <c r="D1001" s="73"/>
      <c r="E1001" s="75"/>
      <c r="F1001" s="75"/>
      <c r="G1001" s="75"/>
      <c r="H1001" s="75"/>
      <c r="I1001" s="29"/>
      <c r="J1001" s="76"/>
      <c r="K1001" s="76"/>
      <c r="L1001" s="66"/>
      <c r="M1001" s="66"/>
      <c r="N1001" s="66"/>
      <c r="O1001" s="66"/>
      <c r="P1001" s="66"/>
      <c r="Q1001" s="66"/>
      <c r="R1001" s="66"/>
      <c r="S1001" s="66"/>
      <c r="T1001" s="66"/>
      <c r="U1001" s="66"/>
      <c r="V1001" s="66"/>
      <c r="W1001" s="66"/>
      <c r="X1001" s="66"/>
      <c r="Y1001" s="66"/>
    </row>
    <row r="1002">
      <c r="A1002" s="71"/>
      <c r="B1002" s="71"/>
      <c r="C1002" s="73"/>
      <c r="D1002" s="73"/>
      <c r="E1002" s="75"/>
      <c r="F1002" s="75"/>
      <c r="G1002" s="75"/>
      <c r="H1002" s="75"/>
      <c r="I1002" s="29"/>
      <c r="J1002" s="76"/>
      <c r="K1002" s="76"/>
      <c r="L1002" s="66"/>
      <c r="M1002" s="66"/>
      <c r="N1002" s="66"/>
      <c r="O1002" s="66"/>
      <c r="P1002" s="66"/>
      <c r="Q1002" s="66"/>
      <c r="R1002" s="66"/>
      <c r="S1002" s="66"/>
      <c r="T1002" s="66"/>
      <c r="U1002" s="66"/>
      <c r="V1002" s="66"/>
      <c r="W1002" s="66"/>
      <c r="X1002" s="66"/>
      <c r="Y1002" s="66"/>
    </row>
    <row r="1003">
      <c r="A1003" s="71"/>
      <c r="B1003" s="71"/>
      <c r="C1003" s="73"/>
      <c r="D1003" s="73"/>
      <c r="E1003" s="75"/>
      <c r="F1003" s="75"/>
      <c r="G1003" s="75"/>
      <c r="H1003" s="75"/>
      <c r="I1003" s="29"/>
      <c r="J1003" s="76"/>
      <c r="K1003" s="76"/>
      <c r="L1003" s="66"/>
      <c r="M1003" s="66"/>
      <c r="N1003" s="66"/>
      <c r="O1003" s="66"/>
      <c r="P1003" s="66"/>
      <c r="Q1003" s="66"/>
      <c r="R1003" s="66"/>
      <c r="S1003" s="66"/>
      <c r="T1003" s="66"/>
      <c r="U1003" s="66"/>
      <c r="V1003" s="66"/>
      <c r="W1003" s="66"/>
      <c r="X1003" s="66"/>
      <c r="Y1003" s="66"/>
    </row>
    <row r="1004">
      <c r="A1004" s="71"/>
      <c r="B1004" s="71"/>
      <c r="C1004" s="73"/>
      <c r="D1004" s="73"/>
      <c r="E1004" s="75"/>
      <c r="F1004" s="75"/>
      <c r="G1004" s="75"/>
      <c r="H1004" s="75"/>
      <c r="I1004" s="29"/>
      <c r="J1004" s="76"/>
      <c r="K1004" s="76"/>
      <c r="L1004" s="66"/>
      <c r="M1004" s="66"/>
      <c r="N1004" s="66"/>
      <c r="O1004" s="66"/>
      <c r="P1004" s="66"/>
      <c r="Q1004" s="66"/>
      <c r="R1004" s="66"/>
      <c r="S1004" s="66"/>
      <c r="T1004" s="66"/>
      <c r="U1004" s="66"/>
      <c r="V1004" s="66"/>
      <c r="W1004" s="66"/>
      <c r="X1004" s="66"/>
      <c r="Y1004" s="66"/>
    </row>
    <row r="1005">
      <c r="A1005" s="71"/>
      <c r="B1005" s="71"/>
      <c r="C1005" s="73"/>
      <c r="D1005" s="73"/>
      <c r="E1005" s="75"/>
      <c r="F1005" s="75"/>
      <c r="G1005" s="75"/>
      <c r="H1005" s="75"/>
      <c r="I1005" s="29"/>
      <c r="J1005" s="76"/>
      <c r="K1005" s="76"/>
      <c r="L1005" s="66"/>
      <c r="M1005" s="66"/>
      <c r="N1005" s="66"/>
      <c r="O1005" s="66"/>
      <c r="P1005" s="66"/>
      <c r="Q1005" s="66"/>
      <c r="R1005" s="66"/>
      <c r="S1005" s="66"/>
      <c r="T1005" s="66"/>
      <c r="U1005" s="66"/>
      <c r="V1005" s="66"/>
      <c r="W1005" s="66"/>
      <c r="X1005" s="66"/>
      <c r="Y1005" s="66"/>
    </row>
    <row r="1006">
      <c r="A1006" s="71"/>
      <c r="B1006" s="71"/>
      <c r="C1006" s="73"/>
      <c r="D1006" s="73"/>
      <c r="E1006" s="75"/>
      <c r="F1006" s="75"/>
      <c r="G1006" s="75"/>
      <c r="H1006" s="75"/>
      <c r="I1006" s="29"/>
      <c r="J1006" s="76"/>
      <c r="K1006" s="76"/>
      <c r="L1006" s="66"/>
      <c r="M1006" s="66"/>
      <c r="N1006" s="66"/>
      <c r="O1006" s="66"/>
      <c r="P1006" s="66"/>
      <c r="Q1006" s="66"/>
      <c r="R1006" s="66"/>
      <c r="S1006" s="66"/>
      <c r="T1006" s="66"/>
      <c r="U1006" s="66"/>
      <c r="V1006" s="66"/>
      <c r="W1006" s="66"/>
      <c r="X1006" s="66"/>
      <c r="Y1006" s="66"/>
    </row>
    <row r="1007">
      <c r="A1007" s="71"/>
      <c r="B1007" s="71"/>
      <c r="C1007" s="73"/>
      <c r="D1007" s="73"/>
      <c r="E1007" s="75"/>
      <c r="F1007" s="75"/>
      <c r="G1007" s="75"/>
      <c r="H1007" s="75"/>
      <c r="I1007" s="29"/>
      <c r="J1007" s="76"/>
      <c r="K1007" s="76"/>
      <c r="L1007" s="66"/>
      <c r="M1007" s="66"/>
      <c r="N1007" s="66"/>
      <c r="O1007" s="66"/>
      <c r="P1007" s="66"/>
      <c r="Q1007" s="66"/>
      <c r="R1007" s="66"/>
      <c r="S1007" s="66"/>
      <c r="T1007" s="66"/>
      <c r="U1007" s="66"/>
      <c r="V1007" s="66"/>
      <c r="W1007" s="66"/>
      <c r="X1007" s="66"/>
      <c r="Y1007" s="66"/>
    </row>
    <row r="1008">
      <c r="A1008" s="71"/>
      <c r="B1008" s="71"/>
      <c r="C1008" s="73"/>
      <c r="D1008" s="73"/>
      <c r="E1008" s="75"/>
      <c r="F1008" s="75"/>
      <c r="G1008" s="75"/>
      <c r="H1008" s="75"/>
      <c r="I1008" s="29"/>
      <c r="J1008" s="76"/>
      <c r="K1008" s="76"/>
      <c r="L1008" s="66"/>
      <c r="M1008" s="66"/>
      <c r="N1008" s="66"/>
      <c r="O1008" s="66"/>
      <c r="P1008" s="66"/>
      <c r="Q1008" s="66"/>
      <c r="R1008" s="66"/>
      <c r="S1008" s="66"/>
      <c r="T1008" s="66"/>
      <c r="U1008" s="66"/>
      <c r="V1008" s="66"/>
      <c r="W1008" s="66"/>
      <c r="X1008" s="66"/>
      <c r="Y1008" s="66"/>
    </row>
    <row r="1009">
      <c r="A1009" s="71"/>
      <c r="B1009" s="71"/>
      <c r="C1009" s="73"/>
      <c r="D1009" s="73"/>
      <c r="E1009" s="75"/>
      <c r="F1009" s="75"/>
      <c r="G1009" s="75"/>
      <c r="H1009" s="75"/>
      <c r="I1009" s="29"/>
      <c r="J1009" s="76"/>
      <c r="K1009" s="76"/>
      <c r="L1009" s="66"/>
      <c r="M1009" s="66"/>
      <c r="N1009" s="66"/>
      <c r="O1009" s="66"/>
      <c r="P1009" s="66"/>
      <c r="Q1009" s="66"/>
      <c r="R1009" s="66"/>
      <c r="S1009" s="66"/>
      <c r="T1009" s="66"/>
      <c r="U1009" s="66"/>
      <c r="V1009" s="66"/>
      <c r="W1009" s="66"/>
      <c r="X1009" s="66"/>
      <c r="Y1009" s="66"/>
    </row>
    <row r="1010">
      <c r="A1010" s="71"/>
      <c r="B1010" s="71"/>
      <c r="C1010" s="73"/>
      <c r="D1010" s="73"/>
      <c r="E1010" s="75"/>
      <c r="F1010" s="75"/>
      <c r="G1010" s="75"/>
      <c r="H1010" s="75"/>
      <c r="I1010" s="29"/>
      <c r="J1010" s="76"/>
      <c r="K1010" s="76"/>
      <c r="L1010" s="66"/>
      <c r="M1010" s="66"/>
      <c r="N1010" s="66"/>
      <c r="O1010" s="66"/>
      <c r="P1010" s="66"/>
      <c r="Q1010" s="66"/>
      <c r="R1010" s="66"/>
      <c r="S1010" s="66"/>
      <c r="T1010" s="66"/>
      <c r="U1010" s="66"/>
      <c r="V1010" s="66"/>
      <c r="W1010" s="66"/>
      <c r="X1010" s="66"/>
      <c r="Y1010" s="66"/>
    </row>
    <row r="1011">
      <c r="A1011" s="71"/>
      <c r="B1011" s="71"/>
      <c r="C1011" s="73"/>
      <c r="D1011" s="73"/>
      <c r="E1011" s="75"/>
      <c r="F1011" s="75"/>
      <c r="G1011" s="75"/>
      <c r="H1011" s="75"/>
      <c r="I1011" s="29"/>
      <c r="J1011" s="76"/>
      <c r="K1011" s="76"/>
      <c r="L1011" s="66"/>
      <c r="M1011" s="66"/>
      <c r="N1011" s="66"/>
      <c r="O1011" s="66"/>
      <c r="P1011" s="66"/>
      <c r="Q1011" s="66"/>
      <c r="R1011" s="66"/>
      <c r="S1011" s="66"/>
      <c r="T1011" s="66"/>
      <c r="U1011" s="66"/>
      <c r="V1011" s="66"/>
      <c r="W1011" s="66"/>
      <c r="X1011" s="66"/>
      <c r="Y1011" s="66"/>
    </row>
    <row r="1012">
      <c r="A1012" s="71"/>
      <c r="B1012" s="71"/>
      <c r="C1012" s="73"/>
      <c r="D1012" s="73"/>
      <c r="E1012" s="75"/>
      <c r="F1012" s="75"/>
      <c r="G1012" s="75"/>
      <c r="H1012" s="75"/>
      <c r="I1012" s="29"/>
      <c r="J1012" s="76"/>
      <c r="K1012" s="76"/>
      <c r="L1012" s="66"/>
      <c r="M1012" s="66"/>
      <c r="N1012" s="66"/>
      <c r="O1012" s="66"/>
      <c r="P1012" s="66"/>
      <c r="Q1012" s="66"/>
      <c r="R1012" s="66"/>
      <c r="S1012" s="66"/>
      <c r="T1012" s="66"/>
      <c r="U1012" s="66"/>
      <c r="V1012" s="66"/>
      <c r="W1012" s="66"/>
      <c r="X1012" s="66"/>
      <c r="Y1012" s="66"/>
    </row>
    <row r="1013">
      <c r="A1013" s="71"/>
      <c r="B1013" s="71"/>
      <c r="C1013" s="73"/>
      <c r="D1013" s="73"/>
      <c r="E1013" s="75"/>
      <c r="F1013" s="75"/>
      <c r="G1013" s="75"/>
      <c r="H1013" s="75"/>
      <c r="I1013" s="29"/>
      <c r="J1013" s="76"/>
      <c r="K1013" s="76"/>
      <c r="L1013" s="66"/>
      <c r="M1013" s="66"/>
      <c r="N1013" s="66"/>
      <c r="O1013" s="66"/>
      <c r="P1013" s="66"/>
      <c r="Q1013" s="66"/>
      <c r="R1013" s="66"/>
      <c r="S1013" s="66"/>
      <c r="T1013" s="66"/>
      <c r="U1013" s="66"/>
      <c r="V1013" s="66"/>
      <c r="W1013" s="66"/>
      <c r="X1013" s="66"/>
      <c r="Y1013" s="66"/>
    </row>
    <row r="1014">
      <c r="A1014" s="71"/>
      <c r="B1014" s="71"/>
      <c r="C1014" s="73"/>
      <c r="D1014" s="73"/>
      <c r="E1014" s="75"/>
      <c r="F1014" s="75"/>
      <c r="G1014" s="75"/>
      <c r="H1014" s="75"/>
      <c r="I1014" s="29"/>
      <c r="J1014" s="76"/>
      <c r="K1014" s="76"/>
      <c r="L1014" s="66"/>
      <c r="M1014" s="66"/>
      <c r="N1014" s="66"/>
      <c r="O1014" s="66"/>
      <c r="P1014" s="66"/>
      <c r="Q1014" s="66"/>
      <c r="R1014" s="66"/>
      <c r="S1014" s="66"/>
      <c r="T1014" s="66"/>
      <c r="U1014" s="66"/>
      <c r="V1014" s="66"/>
      <c r="W1014" s="66"/>
      <c r="X1014" s="66"/>
      <c r="Y1014" s="66"/>
    </row>
    <row r="1015">
      <c r="A1015" s="71"/>
      <c r="B1015" s="71"/>
      <c r="C1015" s="73"/>
      <c r="D1015" s="73"/>
      <c r="E1015" s="75"/>
      <c r="F1015" s="75"/>
      <c r="G1015" s="75"/>
      <c r="H1015" s="75"/>
      <c r="I1015" s="29"/>
      <c r="J1015" s="76"/>
      <c r="K1015" s="76"/>
      <c r="L1015" s="66"/>
      <c r="M1015" s="66"/>
      <c r="N1015" s="66"/>
      <c r="O1015" s="66"/>
      <c r="P1015" s="66"/>
      <c r="Q1015" s="66"/>
      <c r="R1015" s="66"/>
      <c r="S1015" s="66"/>
      <c r="T1015" s="66"/>
      <c r="U1015" s="66"/>
      <c r="V1015" s="66"/>
      <c r="W1015" s="66"/>
      <c r="X1015" s="66"/>
      <c r="Y1015" s="66"/>
    </row>
    <row r="1016">
      <c r="A1016" s="71"/>
      <c r="B1016" s="71"/>
      <c r="C1016" s="73"/>
      <c r="D1016" s="73"/>
      <c r="E1016" s="75"/>
      <c r="F1016" s="75"/>
      <c r="G1016" s="75"/>
      <c r="H1016" s="75"/>
      <c r="I1016" s="29"/>
      <c r="J1016" s="76"/>
      <c r="K1016" s="76"/>
      <c r="L1016" s="66"/>
      <c r="M1016" s="66"/>
      <c r="N1016" s="66"/>
      <c r="O1016" s="66"/>
      <c r="P1016" s="66"/>
      <c r="Q1016" s="66"/>
      <c r="R1016" s="66"/>
      <c r="S1016" s="66"/>
      <c r="T1016" s="66"/>
      <c r="U1016" s="66"/>
      <c r="V1016" s="66"/>
      <c r="W1016" s="66"/>
      <c r="X1016" s="66"/>
      <c r="Y1016" s="66"/>
    </row>
    <row r="1017">
      <c r="A1017" s="71"/>
      <c r="B1017" s="71"/>
      <c r="C1017" s="73"/>
      <c r="D1017" s="73"/>
      <c r="E1017" s="75"/>
      <c r="F1017" s="75"/>
      <c r="G1017" s="75"/>
      <c r="H1017" s="75"/>
      <c r="I1017" s="29"/>
      <c r="J1017" s="76"/>
      <c r="K1017" s="76"/>
      <c r="L1017" s="66"/>
      <c r="M1017" s="66"/>
      <c r="N1017" s="66"/>
      <c r="O1017" s="66"/>
      <c r="P1017" s="66"/>
      <c r="Q1017" s="66"/>
      <c r="R1017" s="66"/>
      <c r="S1017" s="66"/>
      <c r="T1017" s="66"/>
      <c r="U1017" s="66"/>
      <c r="V1017" s="66"/>
      <c r="W1017" s="66"/>
      <c r="X1017" s="66"/>
      <c r="Y1017" s="66"/>
    </row>
    <row r="1018">
      <c r="A1018" s="71"/>
      <c r="B1018" s="71"/>
      <c r="C1018" s="73"/>
      <c r="D1018" s="73"/>
      <c r="E1018" s="75"/>
      <c r="F1018" s="75"/>
      <c r="G1018" s="75"/>
      <c r="H1018" s="75"/>
      <c r="I1018" s="29"/>
      <c r="J1018" s="76"/>
      <c r="K1018" s="76"/>
      <c r="L1018" s="66"/>
      <c r="M1018" s="66"/>
      <c r="N1018" s="66"/>
      <c r="O1018" s="66"/>
      <c r="P1018" s="66"/>
      <c r="Q1018" s="66"/>
      <c r="R1018" s="66"/>
      <c r="S1018" s="66"/>
      <c r="T1018" s="66"/>
      <c r="U1018" s="66"/>
      <c r="V1018" s="66"/>
      <c r="W1018" s="66"/>
      <c r="X1018" s="66"/>
      <c r="Y1018" s="66"/>
    </row>
    <row r="1019">
      <c r="A1019" s="71"/>
      <c r="B1019" s="71"/>
      <c r="C1019" s="73"/>
      <c r="D1019" s="73"/>
      <c r="E1019" s="75"/>
      <c r="F1019" s="75"/>
      <c r="G1019" s="75"/>
      <c r="H1019" s="75"/>
      <c r="I1019" s="29"/>
      <c r="J1019" s="76"/>
      <c r="K1019" s="76"/>
      <c r="L1019" s="66"/>
      <c r="M1019" s="66"/>
      <c r="N1019" s="66"/>
      <c r="O1019" s="66"/>
      <c r="P1019" s="66"/>
      <c r="Q1019" s="66"/>
      <c r="R1019" s="66"/>
      <c r="S1019" s="66"/>
      <c r="T1019" s="66"/>
      <c r="U1019" s="66"/>
      <c r="V1019" s="66"/>
      <c r="W1019" s="66"/>
      <c r="X1019" s="66"/>
      <c r="Y1019" s="66"/>
    </row>
    <row r="1020">
      <c r="A1020" s="71"/>
      <c r="B1020" s="71"/>
      <c r="C1020" s="73"/>
      <c r="D1020" s="73"/>
      <c r="E1020" s="75"/>
      <c r="F1020" s="75"/>
      <c r="G1020" s="75"/>
      <c r="H1020" s="75"/>
      <c r="I1020" s="29"/>
      <c r="J1020" s="76"/>
      <c r="K1020" s="76"/>
      <c r="L1020" s="66"/>
      <c r="M1020" s="66"/>
      <c r="N1020" s="66"/>
      <c r="O1020" s="66"/>
      <c r="P1020" s="66"/>
      <c r="Q1020" s="66"/>
      <c r="R1020" s="66"/>
      <c r="S1020" s="66"/>
      <c r="T1020" s="66"/>
      <c r="U1020" s="66"/>
      <c r="V1020" s="66"/>
      <c r="W1020" s="66"/>
      <c r="X1020" s="66"/>
      <c r="Y1020" s="66"/>
    </row>
    <row r="1021">
      <c r="A1021" s="71"/>
      <c r="B1021" s="71"/>
      <c r="C1021" s="73"/>
      <c r="D1021" s="73"/>
      <c r="E1021" s="75"/>
      <c r="F1021" s="75"/>
      <c r="G1021" s="75"/>
      <c r="H1021" s="75"/>
      <c r="I1021" s="29"/>
      <c r="J1021" s="76"/>
      <c r="K1021" s="76"/>
      <c r="L1021" s="66"/>
      <c r="M1021" s="66"/>
      <c r="N1021" s="66"/>
      <c r="O1021" s="66"/>
      <c r="P1021" s="66"/>
      <c r="Q1021" s="66"/>
      <c r="R1021" s="66"/>
      <c r="S1021" s="66"/>
      <c r="T1021" s="66"/>
      <c r="U1021" s="66"/>
      <c r="V1021" s="66"/>
      <c r="W1021" s="66"/>
      <c r="X1021" s="66"/>
      <c r="Y1021" s="66"/>
    </row>
    <row r="1022">
      <c r="A1022" s="71"/>
      <c r="B1022" s="71"/>
      <c r="C1022" s="73"/>
      <c r="D1022" s="73"/>
      <c r="E1022" s="75"/>
      <c r="F1022" s="75"/>
      <c r="G1022" s="75"/>
      <c r="H1022" s="75"/>
      <c r="I1022" s="29"/>
      <c r="J1022" s="76"/>
      <c r="K1022" s="76"/>
      <c r="L1022" s="66"/>
      <c r="M1022" s="66"/>
      <c r="N1022" s="66"/>
      <c r="O1022" s="66"/>
      <c r="P1022" s="66"/>
      <c r="Q1022" s="66"/>
      <c r="R1022" s="66"/>
      <c r="S1022" s="66"/>
      <c r="T1022" s="66"/>
      <c r="U1022" s="66"/>
      <c r="V1022" s="66"/>
      <c r="W1022" s="66"/>
      <c r="X1022" s="66"/>
      <c r="Y1022" s="66"/>
    </row>
    <row r="1023">
      <c r="A1023" s="71"/>
      <c r="B1023" s="71"/>
      <c r="C1023" s="73"/>
      <c r="D1023" s="73"/>
      <c r="E1023" s="75"/>
      <c r="F1023" s="75"/>
      <c r="G1023" s="75"/>
      <c r="H1023" s="75"/>
      <c r="I1023" s="29"/>
      <c r="J1023" s="76"/>
      <c r="K1023" s="76"/>
      <c r="L1023" s="66"/>
      <c r="M1023" s="66"/>
      <c r="N1023" s="66"/>
      <c r="O1023" s="66"/>
      <c r="P1023" s="66"/>
      <c r="Q1023" s="66"/>
      <c r="R1023" s="66"/>
      <c r="S1023" s="66"/>
      <c r="T1023" s="66"/>
      <c r="U1023" s="66"/>
      <c r="V1023" s="66"/>
      <c r="W1023" s="66"/>
      <c r="X1023" s="66"/>
      <c r="Y1023" s="66"/>
    </row>
    <row r="1024">
      <c r="A1024" s="71"/>
      <c r="B1024" s="71"/>
      <c r="C1024" s="73"/>
      <c r="D1024" s="73"/>
      <c r="E1024" s="75"/>
      <c r="F1024" s="75"/>
      <c r="G1024" s="75"/>
      <c r="H1024" s="75"/>
      <c r="I1024" s="29"/>
      <c r="J1024" s="76"/>
      <c r="K1024" s="76"/>
      <c r="L1024" s="66"/>
      <c r="M1024" s="66"/>
      <c r="N1024" s="66"/>
      <c r="O1024" s="66"/>
      <c r="P1024" s="66"/>
      <c r="Q1024" s="66"/>
      <c r="R1024" s="66"/>
      <c r="S1024" s="66"/>
      <c r="T1024" s="66"/>
      <c r="U1024" s="66"/>
      <c r="V1024" s="66"/>
      <c r="W1024" s="66"/>
      <c r="X1024" s="66"/>
      <c r="Y1024" s="66"/>
    </row>
    <row r="1025">
      <c r="A1025" s="71"/>
      <c r="B1025" s="71"/>
      <c r="C1025" s="73"/>
      <c r="D1025" s="73"/>
      <c r="E1025" s="75"/>
      <c r="F1025" s="75"/>
      <c r="G1025" s="75"/>
      <c r="H1025" s="75"/>
      <c r="I1025" s="29"/>
      <c r="J1025" s="76"/>
      <c r="K1025" s="76"/>
      <c r="L1025" s="66"/>
      <c r="M1025" s="66"/>
      <c r="N1025" s="66"/>
      <c r="O1025" s="66"/>
      <c r="P1025" s="66"/>
      <c r="Q1025" s="66"/>
      <c r="R1025" s="66"/>
      <c r="S1025" s="66"/>
      <c r="T1025" s="66"/>
      <c r="U1025" s="66"/>
      <c r="V1025" s="66"/>
      <c r="W1025" s="66"/>
      <c r="X1025" s="66"/>
      <c r="Y1025" s="66"/>
    </row>
    <row r="1026">
      <c r="A1026" s="71"/>
      <c r="B1026" s="71"/>
      <c r="C1026" s="73"/>
      <c r="D1026" s="73"/>
      <c r="E1026" s="75"/>
      <c r="F1026" s="75"/>
      <c r="G1026" s="75"/>
      <c r="H1026" s="75"/>
      <c r="I1026" s="29"/>
      <c r="J1026" s="76"/>
      <c r="K1026" s="76"/>
      <c r="L1026" s="66"/>
      <c r="M1026" s="66"/>
      <c r="N1026" s="66"/>
      <c r="O1026" s="66"/>
      <c r="P1026" s="66"/>
      <c r="Q1026" s="66"/>
      <c r="R1026" s="66"/>
      <c r="S1026" s="66"/>
      <c r="T1026" s="66"/>
      <c r="U1026" s="66"/>
      <c r="V1026" s="66"/>
      <c r="W1026" s="66"/>
      <c r="X1026" s="66"/>
      <c r="Y1026" s="66"/>
    </row>
    <row r="1027">
      <c r="A1027" s="71"/>
      <c r="B1027" s="71"/>
      <c r="C1027" s="73"/>
      <c r="D1027" s="73"/>
      <c r="E1027" s="75"/>
      <c r="F1027" s="75"/>
      <c r="G1027" s="75"/>
      <c r="H1027" s="75"/>
      <c r="I1027" s="77"/>
      <c r="J1027" s="71"/>
      <c r="K1027" s="71"/>
      <c r="L1027" s="66"/>
      <c r="M1027" s="66"/>
      <c r="N1027" s="66"/>
      <c r="O1027" s="66"/>
      <c r="P1027" s="66"/>
      <c r="Q1027" s="66"/>
      <c r="R1027" s="66"/>
      <c r="S1027" s="66"/>
      <c r="T1027" s="66"/>
      <c r="U1027" s="66"/>
      <c r="V1027" s="66"/>
      <c r="W1027" s="66"/>
      <c r="X1027" s="66"/>
      <c r="Y1027" s="66"/>
    </row>
    <row r="1028">
      <c r="A1028" s="71"/>
      <c r="B1028" s="71"/>
      <c r="C1028" s="73"/>
      <c r="D1028" s="73"/>
      <c r="E1028" s="75"/>
      <c r="F1028" s="75"/>
      <c r="G1028" s="75"/>
      <c r="H1028" s="75"/>
      <c r="I1028" s="77"/>
      <c r="J1028" s="71"/>
      <c r="K1028" s="71"/>
      <c r="L1028" s="66"/>
      <c r="M1028" s="66"/>
      <c r="N1028" s="66"/>
      <c r="O1028" s="66"/>
      <c r="P1028" s="66"/>
      <c r="Q1028" s="66"/>
      <c r="R1028" s="66"/>
      <c r="S1028" s="66"/>
      <c r="T1028" s="66"/>
      <c r="U1028" s="66"/>
      <c r="V1028" s="66"/>
      <c r="W1028" s="66"/>
      <c r="X1028" s="66"/>
      <c r="Y1028" s="66"/>
    </row>
    <row r="1029">
      <c r="A1029" s="71"/>
      <c r="B1029" s="71"/>
      <c r="C1029" s="73"/>
      <c r="D1029" s="73"/>
      <c r="E1029" s="75"/>
      <c r="F1029" s="75"/>
      <c r="G1029" s="75"/>
      <c r="H1029" s="75"/>
      <c r="I1029" s="77"/>
      <c r="J1029" s="71"/>
      <c r="K1029" s="71"/>
      <c r="L1029" s="66"/>
      <c r="M1029" s="66"/>
      <c r="N1029" s="66"/>
      <c r="O1029" s="66"/>
      <c r="P1029" s="66"/>
      <c r="Q1029" s="66"/>
      <c r="R1029" s="66"/>
      <c r="S1029" s="66"/>
      <c r="T1029" s="66"/>
      <c r="U1029" s="66"/>
      <c r="V1029" s="66"/>
      <c r="W1029" s="66"/>
      <c r="X1029" s="66"/>
      <c r="Y1029" s="66"/>
    </row>
    <row r="1030">
      <c r="A1030" s="71"/>
      <c r="B1030" s="71"/>
      <c r="C1030" s="73"/>
      <c r="D1030" s="73"/>
      <c r="E1030" s="75"/>
      <c r="F1030" s="75"/>
      <c r="G1030" s="75"/>
      <c r="H1030" s="75"/>
      <c r="I1030" s="77"/>
      <c r="J1030" s="71"/>
      <c r="K1030" s="71"/>
      <c r="L1030" s="66"/>
      <c r="M1030" s="66"/>
      <c r="N1030" s="66"/>
      <c r="O1030" s="66"/>
      <c r="P1030" s="66"/>
      <c r="Q1030" s="66"/>
      <c r="R1030" s="66"/>
      <c r="S1030" s="66"/>
      <c r="T1030" s="66"/>
      <c r="U1030" s="66"/>
      <c r="V1030" s="66"/>
      <c r="W1030" s="66"/>
      <c r="X1030" s="66"/>
      <c r="Y1030" s="66"/>
    </row>
    <row r="1031">
      <c r="A1031" s="71"/>
      <c r="B1031" s="71"/>
      <c r="C1031" s="73"/>
      <c r="D1031" s="73"/>
      <c r="E1031" s="75"/>
      <c r="F1031" s="75"/>
      <c r="G1031" s="75"/>
      <c r="H1031" s="75"/>
      <c r="I1031" s="77"/>
      <c r="J1031" s="71"/>
      <c r="K1031" s="71"/>
      <c r="L1031" s="66"/>
      <c r="M1031" s="66"/>
      <c r="N1031" s="66"/>
      <c r="O1031" s="66"/>
      <c r="P1031" s="66"/>
      <c r="Q1031" s="66"/>
      <c r="R1031" s="66"/>
      <c r="S1031" s="66"/>
      <c r="T1031" s="66"/>
      <c r="U1031" s="66"/>
      <c r="V1031" s="66"/>
      <c r="W1031" s="66"/>
      <c r="X1031" s="66"/>
      <c r="Y1031" s="66"/>
    </row>
    <row r="1032">
      <c r="A1032" s="71"/>
      <c r="B1032" s="71"/>
      <c r="C1032" s="73"/>
      <c r="D1032" s="73"/>
      <c r="E1032" s="75"/>
      <c r="F1032" s="75"/>
      <c r="G1032" s="75"/>
      <c r="H1032" s="75"/>
      <c r="I1032" s="77"/>
      <c r="J1032" s="71"/>
      <c r="K1032" s="71"/>
      <c r="L1032" s="66"/>
      <c r="M1032" s="66"/>
      <c r="N1032" s="66"/>
      <c r="O1032" s="66"/>
      <c r="P1032" s="66"/>
      <c r="Q1032" s="66"/>
      <c r="R1032" s="66"/>
      <c r="S1032" s="66"/>
      <c r="T1032" s="66"/>
      <c r="U1032" s="66"/>
      <c r="V1032" s="66"/>
      <c r="W1032" s="66"/>
      <c r="X1032" s="66"/>
      <c r="Y1032" s="66"/>
    </row>
    <row r="1033">
      <c r="A1033" s="71"/>
      <c r="B1033" s="71"/>
      <c r="C1033" s="73"/>
      <c r="D1033" s="73"/>
      <c r="E1033" s="75"/>
      <c r="F1033" s="75"/>
      <c r="G1033" s="75"/>
      <c r="H1033" s="75"/>
      <c r="I1033" s="77"/>
      <c r="J1033" s="71"/>
      <c r="K1033" s="71"/>
      <c r="L1033" s="66"/>
      <c r="M1033" s="66"/>
      <c r="N1033" s="66"/>
      <c r="O1033" s="66"/>
      <c r="P1033" s="66"/>
      <c r="Q1033" s="66"/>
      <c r="R1033" s="66"/>
      <c r="S1033" s="66"/>
      <c r="T1033" s="66"/>
      <c r="U1033" s="66"/>
      <c r="V1033" s="66"/>
      <c r="W1033" s="66"/>
      <c r="X1033" s="66"/>
      <c r="Y1033" s="66"/>
    </row>
    <row r="1034">
      <c r="A1034" s="71"/>
      <c r="B1034" s="71"/>
      <c r="C1034" s="73"/>
      <c r="D1034" s="73"/>
      <c r="E1034" s="75"/>
      <c r="F1034" s="75"/>
      <c r="G1034" s="75"/>
      <c r="H1034" s="75"/>
      <c r="I1034" s="77"/>
      <c r="J1034" s="71"/>
      <c r="K1034" s="71"/>
      <c r="L1034" s="66"/>
      <c r="M1034" s="66"/>
      <c r="N1034" s="66"/>
      <c r="O1034" s="66"/>
      <c r="P1034" s="66"/>
      <c r="Q1034" s="66"/>
      <c r="R1034" s="66"/>
      <c r="S1034" s="66"/>
      <c r="T1034" s="66"/>
      <c r="U1034" s="66"/>
      <c r="V1034" s="66"/>
      <c r="W1034" s="66"/>
      <c r="X1034" s="66"/>
      <c r="Y1034" s="66"/>
    </row>
    <row r="1035">
      <c r="A1035" s="71"/>
      <c r="B1035" s="71"/>
      <c r="C1035" s="73"/>
      <c r="D1035" s="73"/>
      <c r="E1035" s="75"/>
      <c r="F1035" s="75"/>
      <c r="G1035" s="75"/>
      <c r="H1035" s="75"/>
      <c r="I1035" s="77"/>
      <c r="J1035" s="71"/>
      <c r="K1035" s="71"/>
      <c r="L1035" s="66"/>
      <c r="M1035" s="66"/>
      <c r="N1035" s="66"/>
      <c r="O1035" s="66"/>
      <c r="P1035" s="66"/>
      <c r="Q1035" s="66"/>
      <c r="R1035" s="66"/>
      <c r="S1035" s="66"/>
      <c r="T1035" s="66"/>
      <c r="U1035" s="66"/>
      <c r="V1035" s="66"/>
      <c r="W1035" s="66"/>
      <c r="X1035" s="66"/>
      <c r="Y1035" s="66"/>
    </row>
    <row r="1036">
      <c r="A1036" s="71"/>
      <c r="B1036" s="71"/>
      <c r="C1036" s="73"/>
      <c r="D1036" s="73"/>
      <c r="E1036" s="75"/>
      <c r="F1036" s="75"/>
      <c r="G1036" s="75"/>
      <c r="H1036" s="75"/>
      <c r="I1036" s="77"/>
      <c r="J1036" s="71"/>
      <c r="K1036" s="71"/>
      <c r="L1036" s="66"/>
      <c r="M1036" s="66"/>
      <c r="N1036" s="66"/>
      <c r="O1036" s="66"/>
      <c r="P1036" s="66"/>
      <c r="Q1036" s="66"/>
      <c r="R1036" s="66"/>
      <c r="S1036" s="66"/>
      <c r="T1036" s="66"/>
      <c r="U1036" s="66"/>
      <c r="V1036" s="66"/>
      <c r="W1036" s="66"/>
      <c r="X1036" s="66"/>
      <c r="Y1036" s="66"/>
    </row>
    <row r="1037">
      <c r="A1037" s="71"/>
      <c r="B1037" s="71"/>
      <c r="C1037" s="73"/>
      <c r="D1037" s="73"/>
      <c r="E1037" s="75"/>
      <c r="F1037" s="75"/>
      <c r="G1037" s="75"/>
      <c r="H1037" s="75"/>
      <c r="I1037" s="77"/>
      <c r="J1037" s="71"/>
      <c r="K1037" s="71"/>
      <c r="L1037" s="66"/>
      <c r="M1037" s="66"/>
      <c r="N1037" s="66"/>
      <c r="O1037" s="66"/>
      <c r="P1037" s="66"/>
      <c r="Q1037" s="66"/>
      <c r="R1037" s="66"/>
      <c r="S1037" s="66"/>
      <c r="T1037" s="66"/>
      <c r="U1037" s="66"/>
      <c r="V1037" s="66"/>
      <c r="W1037" s="66"/>
      <c r="X1037" s="66"/>
      <c r="Y1037" s="66"/>
    </row>
    <row r="1038">
      <c r="A1038" s="71"/>
      <c r="B1038" s="71"/>
      <c r="C1038" s="73"/>
      <c r="D1038" s="73"/>
      <c r="E1038" s="75"/>
      <c r="F1038" s="75"/>
      <c r="G1038" s="75"/>
      <c r="H1038" s="75"/>
      <c r="I1038" s="77"/>
      <c r="J1038" s="71"/>
      <c r="K1038" s="71"/>
      <c r="L1038" s="66"/>
      <c r="M1038" s="66"/>
      <c r="N1038" s="66"/>
      <c r="O1038" s="66"/>
      <c r="P1038" s="66"/>
      <c r="Q1038" s="66"/>
      <c r="R1038" s="66"/>
      <c r="S1038" s="66"/>
      <c r="T1038" s="66"/>
      <c r="U1038" s="66"/>
      <c r="V1038" s="66"/>
      <c r="W1038" s="66"/>
      <c r="X1038" s="66"/>
      <c r="Y1038" s="66"/>
    </row>
    <row r="1039">
      <c r="A1039" s="71"/>
      <c r="B1039" s="71"/>
      <c r="C1039" s="73"/>
      <c r="D1039" s="73"/>
      <c r="E1039" s="75"/>
      <c r="F1039" s="75"/>
      <c r="G1039" s="75"/>
      <c r="H1039" s="75"/>
      <c r="I1039" s="77"/>
      <c r="J1039" s="71"/>
      <c r="K1039" s="71"/>
      <c r="L1039" s="66"/>
      <c r="M1039" s="66"/>
      <c r="N1039" s="66"/>
      <c r="O1039" s="66"/>
      <c r="P1039" s="66"/>
      <c r="Q1039" s="66"/>
      <c r="R1039" s="66"/>
      <c r="S1039" s="66"/>
      <c r="T1039" s="66"/>
      <c r="U1039" s="66"/>
      <c r="V1039" s="66"/>
      <c r="W1039" s="66"/>
      <c r="X1039" s="66"/>
      <c r="Y1039" s="66"/>
    </row>
    <row r="1040">
      <c r="A1040" s="71"/>
      <c r="B1040" s="71"/>
      <c r="C1040" s="73"/>
      <c r="D1040" s="73"/>
      <c r="E1040" s="75"/>
      <c r="F1040" s="75"/>
      <c r="G1040" s="75"/>
      <c r="H1040" s="75"/>
      <c r="I1040" s="77"/>
      <c r="J1040" s="71"/>
      <c r="K1040" s="71"/>
      <c r="L1040" s="66"/>
      <c r="M1040" s="66"/>
      <c r="N1040" s="66"/>
      <c r="O1040" s="66"/>
      <c r="P1040" s="66"/>
      <c r="Q1040" s="66"/>
      <c r="R1040" s="66"/>
      <c r="S1040" s="66"/>
      <c r="T1040" s="66"/>
      <c r="U1040" s="66"/>
      <c r="V1040" s="66"/>
      <c r="W1040" s="66"/>
      <c r="X1040" s="66"/>
      <c r="Y1040" s="66"/>
    </row>
    <row r="1041">
      <c r="A1041" s="71"/>
      <c r="B1041" s="71"/>
      <c r="C1041" s="73"/>
      <c r="D1041" s="73"/>
      <c r="E1041" s="75"/>
      <c r="F1041" s="75"/>
      <c r="G1041" s="75"/>
      <c r="H1041" s="75"/>
      <c r="I1041" s="77"/>
      <c r="J1041" s="71"/>
      <c r="K1041" s="71"/>
      <c r="L1041" s="66"/>
      <c r="M1041" s="66"/>
      <c r="N1041" s="66"/>
      <c r="O1041" s="66"/>
      <c r="P1041" s="66"/>
      <c r="Q1041" s="66"/>
      <c r="R1041" s="66"/>
      <c r="S1041" s="66"/>
      <c r="T1041" s="66"/>
      <c r="U1041" s="66"/>
      <c r="V1041" s="66"/>
      <c r="W1041" s="66"/>
      <c r="X1041" s="66"/>
      <c r="Y1041" s="66"/>
    </row>
    <row r="1042">
      <c r="A1042" s="71"/>
      <c r="B1042" s="71"/>
      <c r="C1042" s="73"/>
      <c r="D1042" s="73"/>
      <c r="E1042" s="75"/>
      <c r="F1042" s="75"/>
      <c r="G1042" s="75"/>
      <c r="H1042" s="75"/>
      <c r="I1042" s="77"/>
      <c r="J1042" s="71"/>
      <c r="K1042" s="71"/>
      <c r="L1042" s="66"/>
      <c r="M1042" s="66"/>
      <c r="N1042" s="66"/>
      <c r="O1042" s="66"/>
      <c r="P1042" s="66"/>
      <c r="Q1042" s="66"/>
      <c r="R1042" s="66"/>
      <c r="S1042" s="66"/>
      <c r="T1042" s="66"/>
      <c r="U1042" s="66"/>
      <c r="V1042" s="66"/>
      <c r="W1042" s="66"/>
      <c r="X1042" s="66"/>
      <c r="Y1042" s="66"/>
    </row>
    <row r="1043">
      <c r="A1043" s="71"/>
      <c r="B1043" s="71"/>
      <c r="C1043" s="73"/>
      <c r="D1043" s="73"/>
      <c r="E1043" s="75"/>
      <c r="F1043" s="75"/>
      <c r="G1043" s="75"/>
      <c r="H1043" s="75"/>
      <c r="I1043" s="77"/>
      <c r="J1043" s="71"/>
      <c r="K1043" s="71"/>
      <c r="L1043" s="66"/>
      <c r="M1043" s="66"/>
      <c r="N1043" s="66"/>
      <c r="O1043" s="66"/>
      <c r="P1043" s="66"/>
      <c r="Q1043" s="66"/>
      <c r="R1043" s="66"/>
      <c r="S1043" s="66"/>
      <c r="T1043" s="66"/>
      <c r="U1043" s="66"/>
      <c r="V1043" s="66"/>
      <c r="W1043" s="66"/>
      <c r="X1043" s="66"/>
      <c r="Y1043" s="66"/>
    </row>
    <row r="1044">
      <c r="A1044" s="71"/>
      <c r="B1044" s="71"/>
      <c r="C1044" s="73"/>
      <c r="D1044" s="73"/>
      <c r="E1044" s="75"/>
      <c r="F1044" s="75"/>
      <c r="G1044" s="75"/>
      <c r="H1044" s="75"/>
      <c r="I1044" s="77"/>
      <c r="J1044" s="71"/>
      <c r="K1044" s="71"/>
      <c r="L1044" s="66"/>
      <c r="M1044" s="66"/>
      <c r="N1044" s="66"/>
      <c r="O1044" s="66"/>
      <c r="P1044" s="66"/>
      <c r="Q1044" s="66"/>
      <c r="R1044" s="66"/>
      <c r="S1044" s="66"/>
      <c r="T1044" s="66"/>
      <c r="U1044" s="66"/>
      <c r="V1044" s="66"/>
      <c r="W1044" s="66"/>
      <c r="X1044" s="66"/>
      <c r="Y1044" s="66"/>
    </row>
    <row r="1045">
      <c r="A1045" s="71"/>
      <c r="B1045" s="71"/>
      <c r="C1045" s="73"/>
      <c r="D1045" s="73"/>
      <c r="E1045" s="75"/>
      <c r="F1045" s="75"/>
      <c r="G1045" s="75"/>
      <c r="H1045" s="75"/>
      <c r="I1045" s="77"/>
      <c r="J1045" s="71"/>
      <c r="K1045" s="71"/>
      <c r="L1045" s="66"/>
      <c r="M1045" s="66"/>
      <c r="N1045" s="66"/>
      <c r="O1045" s="66"/>
      <c r="P1045" s="66"/>
      <c r="Q1045" s="66"/>
      <c r="R1045" s="66"/>
      <c r="S1045" s="66"/>
      <c r="T1045" s="66"/>
      <c r="U1045" s="66"/>
      <c r="V1045" s="66"/>
      <c r="W1045" s="66"/>
      <c r="X1045" s="66"/>
      <c r="Y1045" s="66"/>
    </row>
    <row r="1046">
      <c r="A1046" s="71"/>
      <c r="B1046" s="71"/>
      <c r="C1046" s="73"/>
      <c r="D1046" s="73"/>
      <c r="E1046" s="75"/>
      <c r="F1046" s="75"/>
      <c r="G1046" s="75"/>
      <c r="H1046" s="75"/>
      <c r="I1046" s="77"/>
      <c r="J1046" s="71"/>
      <c r="K1046" s="71"/>
      <c r="L1046" s="66"/>
      <c r="M1046" s="66"/>
      <c r="N1046" s="66"/>
      <c r="O1046" s="66"/>
      <c r="P1046" s="66"/>
      <c r="Q1046" s="66"/>
      <c r="R1046" s="66"/>
      <c r="S1046" s="66"/>
      <c r="T1046" s="66"/>
      <c r="U1046" s="66"/>
      <c r="V1046" s="66"/>
      <c r="W1046" s="66"/>
      <c r="X1046" s="66"/>
      <c r="Y1046" s="66"/>
    </row>
    <row r="1047">
      <c r="A1047" s="71"/>
      <c r="B1047" s="71"/>
      <c r="C1047" s="73"/>
      <c r="D1047" s="73"/>
      <c r="E1047" s="75"/>
      <c r="F1047" s="75"/>
      <c r="G1047" s="75"/>
      <c r="H1047" s="75"/>
      <c r="I1047" s="77"/>
      <c r="J1047" s="71"/>
      <c r="K1047" s="71"/>
      <c r="L1047" s="66"/>
      <c r="M1047" s="66"/>
      <c r="N1047" s="66"/>
      <c r="O1047" s="66"/>
      <c r="P1047" s="66"/>
      <c r="Q1047" s="66"/>
      <c r="R1047" s="66"/>
      <c r="S1047" s="66"/>
      <c r="T1047" s="66"/>
      <c r="U1047" s="66"/>
      <c r="V1047" s="66"/>
      <c r="W1047" s="66"/>
      <c r="X1047" s="66"/>
      <c r="Y1047" s="66"/>
    </row>
    <row r="1048">
      <c r="A1048" s="71"/>
      <c r="B1048" s="71"/>
      <c r="C1048" s="73"/>
      <c r="D1048" s="73"/>
      <c r="E1048" s="75"/>
      <c r="F1048" s="75"/>
      <c r="G1048" s="75"/>
      <c r="H1048" s="75"/>
      <c r="I1048" s="77"/>
      <c r="J1048" s="71"/>
      <c r="K1048" s="71"/>
      <c r="L1048" s="66"/>
      <c r="M1048" s="66"/>
      <c r="N1048" s="66"/>
      <c r="O1048" s="66"/>
      <c r="P1048" s="66"/>
      <c r="Q1048" s="66"/>
      <c r="R1048" s="66"/>
      <c r="S1048" s="66"/>
      <c r="T1048" s="66"/>
      <c r="U1048" s="66"/>
      <c r="V1048" s="66"/>
      <c r="W1048" s="66"/>
      <c r="X1048" s="66"/>
      <c r="Y1048" s="66"/>
    </row>
    <row r="1049">
      <c r="A1049" s="71"/>
      <c r="B1049" s="71"/>
      <c r="C1049" s="73"/>
      <c r="D1049" s="73"/>
      <c r="E1049" s="75"/>
      <c r="F1049" s="75"/>
      <c r="G1049" s="75"/>
      <c r="H1049" s="75"/>
      <c r="I1049" s="77"/>
      <c r="J1049" s="71"/>
      <c r="K1049" s="71"/>
      <c r="L1049" s="66"/>
      <c r="M1049" s="66"/>
      <c r="N1049" s="66"/>
      <c r="O1049" s="66"/>
      <c r="P1049" s="66"/>
      <c r="Q1049" s="66"/>
      <c r="R1049" s="66"/>
      <c r="S1049" s="66"/>
      <c r="T1049" s="66"/>
      <c r="U1049" s="66"/>
      <c r="V1049" s="66"/>
      <c r="W1049" s="66"/>
      <c r="X1049" s="66"/>
      <c r="Y1049" s="66"/>
    </row>
    <row r="1050">
      <c r="A1050" s="71"/>
      <c r="B1050" s="71"/>
      <c r="C1050" s="73"/>
      <c r="D1050" s="73"/>
      <c r="E1050" s="75"/>
      <c r="F1050" s="75"/>
      <c r="G1050" s="75"/>
      <c r="H1050" s="75"/>
      <c r="I1050" s="77"/>
      <c r="J1050" s="71"/>
      <c r="K1050" s="71"/>
      <c r="L1050" s="66"/>
      <c r="M1050" s="66"/>
      <c r="N1050" s="66"/>
      <c r="O1050" s="66"/>
      <c r="P1050" s="66"/>
      <c r="Q1050" s="66"/>
      <c r="R1050" s="66"/>
      <c r="S1050" s="66"/>
      <c r="T1050" s="66"/>
      <c r="U1050" s="66"/>
      <c r="V1050" s="66"/>
      <c r="W1050" s="66"/>
      <c r="X1050" s="66"/>
      <c r="Y1050" s="66"/>
    </row>
    <row r="1051">
      <c r="A1051" s="71"/>
      <c r="B1051" s="71"/>
      <c r="C1051" s="73"/>
      <c r="D1051" s="73"/>
      <c r="E1051" s="75"/>
      <c r="F1051" s="75"/>
      <c r="G1051" s="75"/>
      <c r="H1051" s="75"/>
      <c r="I1051" s="77"/>
      <c r="J1051" s="71"/>
      <c r="K1051" s="71"/>
      <c r="L1051" s="66"/>
      <c r="M1051" s="66"/>
      <c r="N1051" s="66"/>
      <c r="O1051" s="66"/>
      <c r="P1051" s="66"/>
      <c r="Q1051" s="66"/>
      <c r="R1051" s="66"/>
      <c r="S1051" s="66"/>
      <c r="T1051" s="66"/>
      <c r="U1051" s="66"/>
      <c r="V1051" s="66"/>
      <c r="W1051" s="66"/>
      <c r="X1051" s="66"/>
      <c r="Y1051" s="66"/>
    </row>
    <row r="1052">
      <c r="A1052" s="71"/>
      <c r="B1052" s="71"/>
      <c r="C1052" s="73"/>
      <c r="D1052" s="73"/>
      <c r="E1052" s="75"/>
      <c r="F1052" s="75"/>
      <c r="G1052" s="75"/>
      <c r="H1052" s="75"/>
      <c r="I1052" s="77"/>
      <c r="J1052" s="71"/>
      <c r="K1052" s="71"/>
      <c r="L1052" s="66"/>
      <c r="M1052" s="66"/>
      <c r="N1052" s="66"/>
      <c r="O1052" s="66"/>
      <c r="P1052" s="66"/>
      <c r="Q1052" s="66"/>
      <c r="R1052" s="66"/>
      <c r="S1052" s="66"/>
      <c r="T1052" s="66"/>
      <c r="U1052" s="66"/>
      <c r="V1052" s="66"/>
      <c r="W1052" s="66"/>
      <c r="X1052" s="66"/>
      <c r="Y1052" s="66"/>
    </row>
    <row r="1053">
      <c r="A1053" s="71"/>
      <c r="B1053" s="71"/>
      <c r="C1053" s="73"/>
      <c r="D1053" s="73"/>
      <c r="E1053" s="75"/>
      <c r="F1053" s="75"/>
      <c r="G1053" s="75"/>
      <c r="H1053" s="75"/>
      <c r="I1053" s="77"/>
      <c r="J1053" s="71"/>
      <c r="K1053" s="71"/>
      <c r="L1053" s="66"/>
      <c r="M1053" s="66"/>
      <c r="N1053" s="66"/>
      <c r="O1053" s="66"/>
      <c r="P1053" s="66"/>
      <c r="Q1053" s="66"/>
      <c r="R1053" s="66"/>
      <c r="S1053" s="66"/>
      <c r="T1053" s="66"/>
      <c r="U1053" s="66"/>
      <c r="V1053" s="66"/>
      <c r="W1053" s="66"/>
      <c r="X1053" s="66"/>
      <c r="Y1053" s="66"/>
    </row>
    <row r="1054">
      <c r="A1054" s="71"/>
      <c r="B1054" s="71"/>
      <c r="C1054" s="73"/>
      <c r="D1054" s="73"/>
      <c r="E1054" s="75"/>
      <c r="F1054" s="75"/>
      <c r="G1054" s="75"/>
      <c r="H1054" s="75"/>
      <c r="I1054" s="77"/>
      <c r="J1054" s="71"/>
      <c r="K1054" s="71"/>
      <c r="L1054" s="66"/>
      <c r="M1054" s="66"/>
      <c r="N1054" s="66"/>
      <c r="O1054" s="66"/>
      <c r="P1054" s="66"/>
      <c r="Q1054" s="66"/>
      <c r="R1054" s="66"/>
      <c r="S1054" s="66"/>
      <c r="T1054" s="66"/>
      <c r="U1054" s="66"/>
      <c r="V1054" s="66"/>
      <c r="W1054" s="66"/>
      <c r="X1054" s="66"/>
      <c r="Y1054" s="66"/>
    </row>
    <row r="1055">
      <c r="A1055" s="71"/>
      <c r="B1055" s="71"/>
      <c r="C1055" s="73"/>
      <c r="D1055" s="73"/>
      <c r="E1055" s="75"/>
      <c r="F1055" s="75"/>
      <c r="G1055" s="75"/>
      <c r="H1055" s="75"/>
      <c r="I1055" s="77"/>
      <c r="J1055" s="71"/>
      <c r="K1055" s="71"/>
      <c r="L1055" s="66"/>
      <c r="M1055" s="66"/>
      <c r="N1055" s="66"/>
      <c r="O1055" s="66"/>
      <c r="P1055" s="66"/>
      <c r="Q1055" s="66"/>
      <c r="R1055" s="66"/>
      <c r="S1055" s="66"/>
      <c r="T1055" s="66"/>
      <c r="U1055" s="66"/>
      <c r="V1055" s="66"/>
      <c r="W1055" s="66"/>
      <c r="X1055" s="66"/>
      <c r="Y1055" s="66"/>
    </row>
    <row r="1056">
      <c r="A1056" s="71"/>
      <c r="B1056" s="71"/>
      <c r="C1056" s="73"/>
      <c r="D1056" s="73"/>
      <c r="E1056" s="75"/>
      <c r="F1056" s="75"/>
      <c r="G1056" s="75"/>
      <c r="H1056" s="75"/>
      <c r="I1056" s="77"/>
      <c r="J1056" s="71"/>
      <c r="K1056" s="71"/>
      <c r="L1056" s="66"/>
      <c r="M1056" s="66"/>
      <c r="N1056" s="66"/>
      <c r="O1056" s="66"/>
      <c r="P1056" s="66"/>
      <c r="Q1056" s="66"/>
      <c r="R1056" s="66"/>
      <c r="S1056" s="66"/>
      <c r="T1056" s="66"/>
      <c r="U1056" s="66"/>
      <c r="V1056" s="66"/>
      <c r="W1056" s="66"/>
      <c r="X1056" s="66"/>
      <c r="Y1056" s="66"/>
    </row>
    <row r="1057">
      <c r="A1057" s="71"/>
      <c r="B1057" s="71"/>
      <c r="C1057" s="73"/>
      <c r="D1057" s="73"/>
      <c r="E1057" s="75"/>
      <c r="F1057" s="75"/>
      <c r="G1057" s="75"/>
      <c r="H1057" s="75"/>
      <c r="I1057" s="77"/>
      <c r="J1057" s="71"/>
      <c r="K1057" s="71"/>
      <c r="L1057" s="66"/>
      <c r="M1057" s="66"/>
      <c r="N1057" s="66"/>
      <c r="O1057" s="66"/>
      <c r="P1057" s="66"/>
      <c r="Q1057" s="66"/>
      <c r="R1057" s="66"/>
      <c r="S1057" s="66"/>
      <c r="T1057" s="66"/>
      <c r="U1057" s="66"/>
      <c r="V1057" s="66"/>
      <c r="W1057" s="66"/>
      <c r="X1057" s="66"/>
      <c r="Y1057" s="66"/>
    </row>
    <row r="1058">
      <c r="A1058" s="71"/>
      <c r="B1058" s="71"/>
      <c r="C1058" s="73"/>
      <c r="D1058" s="73"/>
      <c r="E1058" s="75"/>
      <c r="F1058" s="75"/>
      <c r="G1058" s="75"/>
      <c r="H1058" s="75"/>
      <c r="I1058" s="77"/>
      <c r="J1058" s="71"/>
      <c r="K1058" s="71"/>
      <c r="L1058" s="66"/>
      <c r="M1058" s="66"/>
      <c r="N1058" s="66"/>
      <c r="O1058" s="66"/>
      <c r="P1058" s="66"/>
      <c r="Q1058" s="66"/>
      <c r="R1058" s="66"/>
      <c r="S1058" s="66"/>
      <c r="T1058" s="66"/>
      <c r="U1058" s="66"/>
      <c r="V1058" s="66"/>
      <c r="W1058" s="66"/>
      <c r="X1058" s="66"/>
      <c r="Y1058" s="66"/>
    </row>
    <row r="1059">
      <c r="A1059" s="71"/>
      <c r="B1059" s="71"/>
      <c r="C1059" s="73"/>
      <c r="D1059" s="73"/>
      <c r="E1059" s="75"/>
      <c r="F1059" s="75"/>
      <c r="G1059" s="75"/>
      <c r="H1059" s="75"/>
      <c r="I1059" s="77"/>
      <c r="J1059" s="71"/>
      <c r="K1059" s="71"/>
      <c r="L1059" s="66"/>
      <c r="M1059" s="66"/>
      <c r="N1059" s="66"/>
      <c r="O1059" s="66"/>
      <c r="P1059" s="66"/>
      <c r="Q1059" s="66"/>
      <c r="R1059" s="66"/>
      <c r="S1059" s="66"/>
      <c r="T1059" s="66"/>
      <c r="U1059" s="66"/>
      <c r="V1059" s="66"/>
      <c r="W1059" s="66"/>
      <c r="X1059" s="66"/>
      <c r="Y1059" s="66"/>
    </row>
    <row r="1060">
      <c r="A1060" s="71"/>
      <c r="B1060" s="71"/>
      <c r="C1060" s="73"/>
      <c r="D1060" s="73"/>
      <c r="E1060" s="75"/>
      <c r="F1060" s="75"/>
      <c r="G1060" s="75"/>
      <c r="H1060" s="75"/>
      <c r="I1060" s="77"/>
      <c r="J1060" s="71"/>
      <c r="K1060" s="71"/>
      <c r="L1060" s="66"/>
      <c r="M1060" s="66"/>
      <c r="N1060" s="66"/>
      <c r="O1060" s="66"/>
      <c r="P1060" s="66"/>
      <c r="Q1060" s="66"/>
      <c r="R1060" s="66"/>
      <c r="S1060" s="66"/>
      <c r="T1060" s="66"/>
      <c r="U1060" s="66"/>
      <c r="V1060" s="66"/>
      <c r="W1060" s="66"/>
      <c r="X1060" s="66"/>
      <c r="Y1060" s="66"/>
    </row>
    <row r="1061">
      <c r="A1061" s="71"/>
      <c r="B1061" s="71"/>
      <c r="C1061" s="73"/>
      <c r="D1061" s="73"/>
      <c r="E1061" s="75"/>
      <c r="F1061" s="75"/>
      <c r="G1061" s="75"/>
      <c r="H1061" s="75"/>
      <c r="I1061" s="77"/>
      <c r="J1061" s="71"/>
      <c r="K1061" s="71"/>
      <c r="L1061" s="66"/>
      <c r="M1061" s="66"/>
      <c r="N1061" s="66"/>
      <c r="O1061" s="66"/>
      <c r="P1061" s="66"/>
      <c r="Q1061" s="66"/>
      <c r="R1061" s="66"/>
      <c r="S1061" s="66"/>
      <c r="T1061" s="66"/>
      <c r="U1061" s="66"/>
      <c r="V1061" s="66"/>
      <c r="W1061" s="66"/>
      <c r="X1061" s="66"/>
      <c r="Y1061" s="66"/>
    </row>
    <row r="1062">
      <c r="A1062" s="71"/>
      <c r="B1062" s="71"/>
      <c r="C1062" s="73"/>
      <c r="D1062" s="73"/>
      <c r="E1062" s="75"/>
      <c r="F1062" s="75"/>
      <c r="G1062" s="75"/>
      <c r="H1062" s="75"/>
      <c r="I1062" s="77"/>
      <c r="J1062" s="71"/>
      <c r="K1062" s="71"/>
      <c r="L1062" s="66"/>
      <c r="M1062" s="66"/>
      <c r="N1062" s="66"/>
      <c r="O1062" s="66"/>
      <c r="P1062" s="66"/>
      <c r="Q1062" s="66"/>
      <c r="R1062" s="66"/>
      <c r="S1062" s="66"/>
      <c r="T1062" s="66"/>
      <c r="U1062" s="66"/>
      <c r="V1062" s="66"/>
      <c r="W1062" s="66"/>
      <c r="X1062" s="66"/>
      <c r="Y1062" s="66"/>
    </row>
    <row r="1063">
      <c r="A1063" s="71"/>
      <c r="B1063" s="71"/>
      <c r="C1063" s="73"/>
      <c r="D1063" s="73"/>
      <c r="E1063" s="75"/>
      <c r="F1063" s="75"/>
      <c r="G1063" s="75"/>
      <c r="H1063" s="75"/>
      <c r="I1063" s="77"/>
      <c r="J1063" s="71"/>
      <c r="K1063" s="71"/>
      <c r="L1063" s="66"/>
      <c r="M1063" s="66"/>
      <c r="N1063" s="66"/>
      <c r="O1063" s="66"/>
      <c r="P1063" s="66"/>
      <c r="Q1063" s="66"/>
      <c r="R1063" s="66"/>
      <c r="S1063" s="66"/>
      <c r="T1063" s="66"/>
      <c r="U1063" s="66"/>
      <c r="V1063" s="66"/>
      <c r="W1063" s="66"/>
      <c r="X1063" s="66"/>
      <c r="Y1063" s="66"/>
    </row>
    <row r="1064">
      <c r="A1064" s="71"/>
      <c r="B1064" s="71"/>
      <c r="C1064" s="73"/>
      <c r="D1064" s="73"/>
      <c r="E1064" s="75"/>
      <c r="F1064" s="75"/>
      <c r="G1064" s="75"/>
      <c r="H1064" s="75"/>
      <c r="I1064" s="77"/>
      <c r="J1064" s="71"/>
      <c r="K1064" s="71"/>
      <c r="L1064" s="66"/>
      <c r="M1064" s="66"/>
      <c r="N1064" s="66"/>
      <c r="O1064" s="66"/>
      <c r="P1064" s="66"/>
      <c r="Q1064" s="66"/>
      <c r="R1064" s="66"/>
      <c r="S1064" s="66"/>
      <c r="T1064" s="66"/>
      <c r="U1064" s="66"/>
      <c r="V1064" s="66"/>
      <c r="W1064" s="66"/>
      <c r="X1064" s="66"/>
      <c r="Y1064" s="66"/>
    </row>
    <row r="1065">
      <c r="A1065" s="71"/>
      <c r="B1065" s="71"/>
      <c r="C1065" s="73"/>
      <c r="D1065" s="73"/>
      <c r="E1065" s="75"/>
      <c r="F1065" s="75"/>
      <c r="G1065" s="75"/>
      <c r="H1065" s="75"/>
      <c r="I1065" s="77"/>
      <c r="J1065" s="71"/>
      <c r="K1065" s="71"/>
      <c r="L1065" s="66"/>
      <c r="M1065" s="66"/>
      <c r="N1065" s="66"/>
      <c r="O1065" s="66"/>
      <c r="P1065" s="66"/>
      <c r="Q1065" s="66"/>
      <c r="R1065" s="66"/>
      <c r="S1065" s="66"/>
      <c r="T1065" s="66"/>
      <c r="U1065" s="66"/>
      <c r="V1065" s="66"/>
      <c r="W1065" s="66"/>
      <c r="X1065" s="66"/>
      <c r="Y1065" s="66"/>
    </row>
    <row r="1066">
      <c r="A1066" s="71"/>
      <c r="B1066" s="71"/>
      <c r="C1066" s="73"/>
      <c r="D1066" s="73"/>
      <c r="E1066" s="75"/>
      <c r="F1066" s="75"/>
      <c r="G1066" s="75"/>
      <c r="H1066" s="75"/>
      <c r="I1066" s="77"/>
      <c r="J1066" s="71"/>
      <c r="K1066" s="71"/>
      <c r="L1066" s="66"/>
      <c r="M1066" s="66"/>
      <c r="N1066" s="66"/>
      <c r="O1066" s="66"/>
      <c r="P1066" s="66"/>
      <c r="Q1066" s="66"/>
      <c r="R1066" s="66"/>
      <c r="S1066" s="66"/>
      <c r="T1066" s="66"/>
      <c r="U1066" s="66"/>
      <c r="V1066" s="66"/>
      <c r="W1066" s="66"/>
      <c r="X1066" s="66"/>
      <c r="Y1066" s="66"/>
    </row>
    <row r="1067">
      <c r="A1067" s="71"/>
      <c r="B1067" s="71"/>
      <c r="C1067" s="73"/>
      <c r="D1067" s="73"/>
      <c r="E1067" s="75"/>
      <c r="F1067" s="75"/>
      <c r="G1067" s="75"/>
      <c r="H1067" s="75"/>
      <c r="I1067" s="77"/>
      <c r="J1067" s="71"/>
      <c r="K1067" s="71"/>
      <c r="L1067" s="66"/>
      <c r="M1067" s="66"/>
      <c r="N1067" s="66"/>
      <c r="O1067" s="66"/>
      <c r="P1067" s="66"/>
      <c r="Q1067" s="66"/>
      <c r="R1067" s="66"/>
      <c r="S1067" s="66"/>
      <c r="T1067" s="66"/>
      <c r="U1067" s="66"/>
      <c r="V1067" s="66"/>
      <c r="W1067" s="66"/>
      <c r="X1067" s="66"/>
      <c r="Y1067" s="66"/>
    </row>
    <row r="1068">
      <c r="A1068" s="71"/>
      <c r="B1068" s="71"/>
      <c r="C1068" s="73"/>
      <c r="D1068" s="73"/>
      <c r="E1068" s="75"/>
      <c r="F1068" s="75"/>
      <c r="G1068" s="75"/>
      <c r="H1068" s="75"/>
      <c r="I1068" s="77"/>
      <c r="J1068" s="71"/>
      <c r="K1068" s="71"/>
      <c r="L1068" s="66"/>
      <c r="M1068" s="66"/>
      <c r="N1068" s="66"/>
      <c r="O1068" s="66"/>
      <c r="P1068" s="66"/>
      <c r="Q1068" s="66"/>
      <c r="R1068" s="66"/>
      <c r="S1068" s="66"/>
      <c r="T1068" s="66"/>
      <c r="U1068" s="66"/>
      <c r="V1068" s="66"/>
      <c r="W1068" s="66"/>
      <c r="X1068" s="66"/>
      <c r="Y1068" s="66"/>
    </row>
    <row r="1069">
      <c r="A1069" s="71"/>
      <c r="B1069" s="71"/>
      <c r="C1069" s="73"/>
      <c r="D1069" s="73"/>
      <c r="E1069" s="75"/>
      <c r="F1069" s="75"/>
      <c r="G1069" s="75"/>
      <c r="H1069" s="75"/>
      <c r="I1069" s="77"/>
      <c r="J1069" s="71"/>
      <c r="K1069" s="71"/>
      <c r="L1069" s="66"/>
      <c r="M1069" s="66"/>
      <c r="N1069" s="66"/>
      <c r="O1069" s="66"/>
      <c r="P1069" s="66"/>
      <c r="Q1069" s="66"/>
      <c r="R1069" s="66"/>
      <c r="S1069" s="66"/>
      <c r="T1069" s="66"/>
      <c r="U1069" s="66"/>
      <c r="V1069" s="66"/>
      <c r="W1069" s="66"/>
      <c r="X1069" s="66"/>
      <c r="Y1069" s="66"/>
    </row>
    <row r="1070">
      <c r="A1070" s="71"/>
      <c r="B1070" s="71"/>
      <c r="C1070" s="73"/>
      <c r="D1070" s="73"/>
      <c r="E1070" s="75"/>
      <c r="F1070" s="75"/>
      <c r="G1070" s="75"/>
      <c r="H1070" s="75"/>
      <c r="I1070" s="77"/>
      <c r="J1070" s="71"/>
      <c r="K1070" s="71"/>
      <c r="L1070" s="66"/>
      <c r="M1070" s="66"/>
      <c r="N1070" s="66"/>
      <c r="O1070" s="66"/>
      <c r="P1070" s="66"/>
      <c r="Q1070" s="66"/>
      <c r="R1070" s="66"/>
      <c r="S1070" s="66"/>
      <c r="T1070" s="66"/>
      <c r="U1070" s="66"/>
      <c r="V1070" s="66"/>
      <c r="W1070" s="66"/>
      <c r="X1070" s="66"/>
      <c r="Y1070" s="66"/>
    </row>
    <row r="1071">
      <c r="A1071" s="71"/>
      <c r="B1071" s="71"/>
      <c r="C1071" s="73"/>
      <c r="D1071" s="73"/>
      <c r="E1071" s="75"/>
      <c r="F1071" s="75"/>
      <c r="G1071" s="75"/>
      <c r="H1071" s="75"/>
      <c r="I1071" s="77"/>
      <c r="J1071" s="71"/>
      <c r="K1071" s="71"/>
      <c r="L1071" s="66"/>
      <c r="M1071" s="66"/>
      <c r="N1071" s="66"/>
      <c r="O1071" s="66"/>
      <c r="P1071" s="66"/>
      <c r="Q1071" s="66"/>
      <c r="R1071" s="66"/>
      <c r="S1071" s="66"/>
      <c r="T1071" s="66"/>
      <c r="U1071" s="66"/>
      <c r="V1071" s="66"/>
      <c r="W1071" s="66"/>
      <c r="X1071" s="66"/>
      <c r="Y1071" s="66"/>
    </row>
    <row r="1072">
      <c r="A1072" s="71"/>
      <c r="B1072" s="71"/>
      <c r="C1072" s="73"/>
      <c r="D1072" s="73"/>
      <c r="E1072" s="75"/>
      <c r="F1072" s="75"/>
      <c r="G1072" s="75"/>
      <c r="H1072" s="75"/>
      <c r="I1072" s="77"/>
      <c r="J1072" s="71"/>
      <c r="K1072" s="71"/>
      <c r="L1072" s="66"/>
      <c r="M1072" s="66"/>
      <c r="N1072" s="66"/>
      <c r="O1072" s="66"/>
      <c r="P1072" s="66"/>
      <c r="Q1072" s="66"/>
      <c r="R1072" s="66"/>
      <c r="S1072" s="66"/>
      <c r="T1072" s="66"/>
      <c r="U1072" s="66"/>
      <c r="V1072" s="66"/>
      <c r="W1072" s="66"/>
      <c r="X1072" s="66"/>
      <c r="Y1072" s="66"/>
    </row>
    <row r="1073">
      <c r="A1073" s="71"/>
      <c r="B1073" s="71"/>
      <c r="C1073" s="73"/>
      <c r="D1073" s="73"/>
      <c r="E1073" s="75"/>
      <c r="F1073" s="75"/>
      <c r="G1073" s="75"/>
      <c r="H1073" s="75"/>
      <c r="I1073" s="77"/>
      <c r="J1073" s="71"/>
      <c r="K1073" s="71"/>
      <c r="L1073" s="66"/>
      <c r="M1073" s="66"/>
      <c r="N1073" s="66"/>
      <c r="O1073" s="66"/>
      <c r="P1073" s="66"/>
      <c r="Q1073" s="66"/>
      <c r="R1073" s="66"/>
      <c r="S1073" s="66"/>
      <c r="T1073" s="66"/>
      <c r="U1073" s="66"/>
      <c r="V1073" s="66"/>
      <c r="W1073" s="66"/>
      <c r="X1073" s="66"/>
      <c r="Y1073" s="66"/>
    </row>
    <row r="1074">
      <c r="A1074" s="71"/>
      <c r="B1074" s="71"/>
      <c r="C1074" s="73"/>
      <c r="D1074" s="73"/>
      <c r="E1074" s="75"/>
      <c r="F1074" s="75"/>
      <c r="G1074" s="75"/>
      <c r="H1074" s="75"/>
      <c r="I1074" s="77"/>
      <c r="J1074" s="71"/>
      <c r="K1074" s="71"/>
      <c r="L1074" s="66"/>
      <c r="M1074" s="66"/>
      <c r="N1074" s="66"/>
      <c r="O1074" s="66"/>
      <c r="P1074" s="66"/>
      <c r="Q1074" s="66"/>
      <c r="R1074" s="66"/>
      <c r="S1074" s="66"/>
      <c r="T1074" s="66"/>
      <c r="U1074" s="66"/>
      <c r="V1074" s="66"/>
      <c r="W1074" s="66"/>
      <c r="X1074" s="66"/>
      <c r="Y1074" s="66"/>
    </row>
    <row r="1075">
      <c r="A1075" s="71"/>
      <c r="B1075" s="71"/>
      <c r="C1075" s="73"/>
      <c r="D1075" s="73"/>
      <c r="E1075" s="75"/>
      <c r="F1075" s="75"/>
      <c r="G1075" s="75"/>
      <c r="H1075" s="75"/>
      <c r="I1075" s="77"/>
      <c r="J1075" s="71"/>
      <c r="K1075" s="71"/>
      <c r="L1075" s="66"/>
      <c r="M1075" s="66"/>
      <c r="N1075" s="66"/>
      <c r="O1075" s="66"/>
      <c r="P1075" s="66"/>
      <c r="Q1075" s="66"/>
      <c r="R1075" s="66"/>
      <c r="S1075" s="66"/>
      <c r="T1075" s="66"/>
      <c r="U1075" s="66"/>
      <c r="V1075" s="66"/>
      <c r="W1075" s="66"/>
      <c r="X1075" s="66"/>
      <c r="Y1075" s="66"/>
    </row>
    <row r="1076">
      <c r="A1076" s="71"/>
      <c r="B1076" s="71"/>
      <c r="C1076" s="73"/>
      <c r="D1076" s="73"/>
      <c r="E1076" s="75"/>
      <c r="F1076" s="75"/>
      <c r="G1076" s="75"/>
      <c r="H1076" s="75"/>
      <c r="I1076" s="77"/>
      <c r="J1076" s="71"/>
      <c r="K1076" s="71"/>
      <c r="L1076" s="66"/>
      <c r="M1076" s="66"/>
      <c r="N1076" s="66"/>
      <c r="O1076" s="66"/>
      <c r="P1076" s="66"/>
      <c r="Q1076" s="66"/>
      <c r="R1076" s="66"/>
      <c r="S1076" s="66"/>
      <c r="T1076" s="66"/>
      <c r="U1076" s="66"/>
      <c r="V1076" s="66"/>
      <c r="W1076" s="66"/>
      <c r="X1076" s="66"/>
      <c r="Y1076" s="66"/>
    </row>
    <row r="1077">
      <c r="A1077" s="71"/>
      <c r="B1077" s="71"/>
      <c r="C1077" s="73"/>
      <c r="D1077" s="73"/>
      <c r="E1077" s="75"/>
      <c r="F1077" s="75"/>
      <c r="G1077" s="75"/>
      <c r="H1077" s="75"/>
      <c r="I1077" s="77"/>
      <c r="J1077" s="71"/>
      <c r="K1077" s="71"/>
      <c r="L1077" s="66"/>
      <c r="M1077" s="66"/>
      <c r="N1077" s="66"/>
      <c r="O1077" s="66"/>
      <c r="P1077" s="66"/>
      <c r="Q1077" s="66"/>
      <c r="R1077" s="66"/>
      <c r="S1077" s="66"/>
      <c r="T1077" s="66"/>
      <c r="U1077" s="66"/>
      <c r="V1077" s="66"/>
      <c r="W1077" s="66"/>
      <c r="X1077" s="66"/>
      <c r="Y1077" s="66"/>
    </row>
    <row r="1078">
      <c r="A1078" s="71"/>
      <c r="B1078" s="71"/>
      <c r="C1078" s="73"/>
      <c r="D1078" s="73"/>
      <c r="E1078" s="75"/>
      <c r="F1078" s="75"/>
      <c r="G1078" s="75"/>
      <c r="H1078" s="75"/>
      <c r="I1078" s="77"/>
      <c r="J1078" s="71"/>
      <c r="K1078" s="71"/>
      <c r="L1078" s="66"/>
      <c r="M1078" s="66"/>
      <c r="N1078" s="66"/>
      <c r="O1078" s="66"/>
      <c r="P1078" s="66"/>
      <c r="Q1078" s="66"/>
      <c r="R1078" s="66"/>
      <c r="S1078" s="66"/>
      <c r="T1078" s="66"/>
      <c r="U1078" s="66"/>
      <c r="V1078" s="66"/>
      <c r="W1078" s="66"/>
      <c r="X1078" s="66"/>
      <c r="Y1078" s="66"/>
    </row>
    <row r="1079">
      <c r="A1079" s="71"/>
      <c r="B1079" s="71"/>
      <c r="C1079" s="73"/>
      <c r="D1079" s="73"/>
      <c r="E1079" s="75"/>
      <c r="F1079" s="75"/>
      <c r="G1079" s="75"/>
      <c r="H1079" s="75"/>
      <c r="I1079" s="77"/>
      <c r="J1079" s="71"/>
      <c r="K1079" s="71"/>
      <c r="L1079" s="66"/>
      <c r="M1079" s="66"/>
      <c r="N1079" s="66"/>
      <c r="O1079" s="66"/>
      <c r="P1079" s="66"/>
      <c r="Q1079" s="66"/>
      <c r="R1079" s="66"/>
      <c r="S1079" s="66"/>
      <c r="T1079" s="66"/>
      <c r="U1079" s="66"/>
      <c r="V1079" s="66"/>
      <c r="W1079" s="66"/>
      <c r="X1079" s="66"/>
      <c r="Y1079" s="66"/>
    </row>
    <row r="1080">
      <c r="A1080" s="71"/>
      <c r="B1080" s="71"/>
      <c r="C1080" s="73"/>
      <c r="D1080" s="73"/>
      <c r="E1080" s="75"/>
      <c r="F1080" s="75"/>
      <c r="G1080" s="75"/>
      <c r="H1080" s="75"/>
      <c r="I1080" s="77"/>
      <c r="J1080" s="71"/>
      <c r="K1080" s="71"/>
      <c r="L1080" s="66"/>
      <c r="M1080" s="66"/>
      <c r="N1080" s="66"/>
      <c r="O1080" s="66"/>
      <c r="P1080" s="66"/>
      <c r="Q1080" s="66"/>
      <c r="R1080" s="66"/>
      <c r="S1080" s="66"/>
      <c r="T1080" s="66"/>
      <c r="U1080" s="66"/>
      <c r="V1080" s="66"/>
      <c r="W1080" s="66"/>
      <c r="X1080" s="66"/>
      <c r="Y1080" s="66"/>
    </row>
    <row r="1081">
      <c r="A1081" s="71"/>
      <c r="B1081" s="71"/>
      <c r="C1081" s="73"/>
      <c r="D1081" s="73"/>
      <c r="E1081" s="75"/>
      <c r="F1081" s="75"/>
      <c r="G1081" s="75"/>
      <c r="H1081" s="75"/>
      <c r="I1081" s="77"/>
      <c r="J1081" s="71"/>
      <c r="K1081" s="71"/>
      <c r="L1081" s="66"/>
      <c r="M1081" s="66"/>
      <c r="N1081" s="66"/>
      <c r="O1081" s="66"/>
      <c r="P1081" s="66"/>
      <c r="Q1081" s="66"/>
      <c r="R1081" s="66"/>
      <c r="S1081" s="66"/>
      <c r="T1081" s="66"/>
      <c r="U1081" s="66"/>
      <c r="V1081" s="66"/>
      <c r="W1081" s="66"/>
      <c r="X1081" s="66"/>
      <c r="Y1081" s="66"/>
    </row>
    <row r="1082">
      <c r="A1082" s="71"/>
      <c r="B1082" s="71"/>
      <c r="C1082" s="73"/>
      <c r="D1082" s="73"/>
      <c r="E1082" s="75"/>
      <c r="F1082" s="75"/>
      <c r="G1082" s="75"/>
      <c r="H1082" s="75"/>
      <c r="I1082" s="77"/>
      <c r="J1082" s="71"/>
      <c r="K1082" s="71"/>
      <c r="L1082" s="66"/>
      <c r="M1082" s="66"/>
      <c r="N1082" s="66"/>
      <c r="O1082" s="66"/>
      <c r="P1082" s="66"/>
      <c r="Q1082" s="66"/>
      <c r="R1082" s="66"/>
      <c r="S1082" s="66"/>
      <c r="T1082" s="66"/>
      <c r="U1082" s="66"/>
      <c r="V1082" s="66"/>
      <c r="W1082" s="66"/>
      <c r="X1082" s="66"/>
      <c r="Y1082" s="66"/>
    </row>
    <row r="1083">
      <c r="A1083" s="71"/>
      <c r="B1083" s="71"/>
      <c r="C1083" s="73"/>
      <c r="D1083" s="73"/>
      <c r="E1083" s="75"/>
      <c r="F1083" s="75"/>
      <c r="G1083" s="75"/>
      <c r="H1083" s="75"/>
      <c r="I1083" s="77"/>
      <c r="J1083" s="71"/>
      <c r="K1083" s="71"/>
      <c r="L1083" s="66"/>
      <c r="M1083" s="66"/>
      <c r="N1083" s="66"/>
      <c r="O1083" s="66"/>
      <c r="P1083" s="66"/>
      <c r="Q1083" s="66"/>
      <c r="R1083" s="66"/>
      <c r="S1083" s="66"/>
      <c r="T1083" s="66"/>
      <c r="U1083" s="66"/>
      <c r="V1083" s="66"/>
      <c r="W1083" s="66"/>
      <c r="X1083" s="66"/>
      <c r="Y1083" s="66"/>
    </row>
    <row r="1084">
      <c r="A1084" s="71"/>
      <c r="B1084" s="71"/>
      <c r="C1084" s="73"/>
      <c r="D1084" s="73"/>
      <c r="E1084" s="75"/>
      <c r="F1084" s="75"/>
      <c r="G1084" s="75"/>
      <c r="H1084" s="75"/>
      <c r="I1084" s="77"/>
      <c r="J1084" s="71"/>
      <c r="K1084" s="71"/>
      <c r="L1084" s="66"/>
      <c r="M1084" s="66"/>
      <c r="N1084" s="66"/>
      <c r="O1084" s="66"/>
      <c r="P1084" s="66"/>
      <c r="Q1084" s="66"/>
      <c r="R1084" s="66"/>
      <c r="S1084" s="66"/>
      <c r="T1084" s="66"/>
      <c r="U1084" s="66"/>
      <c r="V1084" s="66"/>
      <c r="W1084" s="66"/>
      <c r="X1084" s="66"/>
      <c r="Y1084" s="66"/>
    </row>
    <row r="1085">
      <c r="A1085" s="71"/>
      <c r="B1085" s="71"/>
      <c r="C1085" s="73"/>
      <c r="D1085" s="73"/>
      <c r="E1085" s="75"/>
      <c r="F1085" s="75"/>
      <c r="G1085" s="75"/>
      <c r="H1085" s="75"/>
      <c r="I1085" s="77"/>
      <c r="J1085" s="71"/>
      <c r="K1085" s="71"/>
      <c r="L1085" s="66"/>
      <c r="M1085" s="66"/>
      <c r="N1085" s="66"/>
      <c r="O1085" s="66"/>
      <c r="P1085" s="66"/>
      <c r="Q1085" s="66"/>
      <c r="R1085" s="66"/>
      <c r="S1085" s="66"/>
      <c r="T1085" s="66"/>
      <c r="U1085" s="66"/>
      <c r="V1085" s="66"/>
      <c r="W1085" s="66"/>
      <c r="X1085" s="66"/>
      <c r="Y1085" s="66"/>
    </row>
    <row r="1086">
      <c r="A1086" s="71"/>
      <c r="B1086" s="71"/>
      <c r="C1086" s="73"/>
      <c r="D1086" s="73"/>
      <c r="E1086" s="75"/>
      <c r="F1086" s="75"/>
      <c r="G1086" s="75"/>
      <c r="H1086" s="75"/>
      <c r="I1086" s="77"/>
      <c r="J1086" s="71"/>
      <c r="K1086" s="71"/>
      <c r="L1086" s="66"/>
      <c r="M1086" s="66"/>
      <c r="N1086" s="66"/>
      <c r="O1086" s="66"/>
      <c r="P1086" s="66"/>
      <c r="Q1086" s="66"/>
      <c r="R1086" s="66"/>
      <c r="S1086" s="66"/>
      <c r="T1086" s="66"/>
      <c r="U1086" s="66"/>
      <c r="V1086" s="66"/>
      <c r="W1086" s="66"/>
      <c r="X1086" s="66"/>
      <c r="Y1086" s="66"/>
    </row>
    <row r="1087">
      <c r="A1087" s="71"/>
      <c r="B1087" s="71"/>
      <c r="C1087" s="73"/>
      <c r="D1087" s="73"/>
      <c r="E1087" s="75"/>
      <c r="F1087" s="75"/>
      <c r="G1087" s="75"/>
      <c r="H1087" s="75"/>
      <c r="I1087" s="77"/>
      <c r="J1087" s="71"/>
      <c r="K1087" s="71"/>
      <c r="L1087" s="66"/>
      <c r="M1087" s="66"/>
      <c r="N1087" s="66"/>
      <c r="O1087" s="66"/>
      <c r="P1087" s="66"/>
      <c r="Q1087" s="66"/>
      <c r="R1087" s="66"/>
      <c r="S1087" s="66"/>
      <c r="T1087" s="66"/>
      <c r="U1087" s="66"/>
      <c r="V1087" s="66"/>
      <c r="W1087" s="66"/>
      <c r="X1087" s="66"/>
      <c r="Y1087" s="66"/>
    </row>
    <row r="1088">
      <c r="A1088" s="71"/>
      <c r="B1088" s="71"/>
      <c r="C1088" s="73"/>
      <c r="D1088" s="73"/>
      <c r="E1088" s="75"/>
      <c r="F1088" s="75"/>
      <c r="G1088" s="75"/>
      <c r="H1088" s="75"/>
      <c r="I1088" s="77"/>
      <c r="J1088" s="71"/>
      <c r="K1088" s="71"/>
      <c r="L1088" s="66"/>
      <c r="M1088" s="66"/>
      <c r="N1088" s="66"/>
      <c r="O1088" s="66"/>
      <c r="P1088" s="66"/>
      <c r="Q1088" s="66"/>
      <c r="R1088" s="66"/>
      <c r="S1088" s="66"/>
      <c r="T1088" s="66"/>
      <c r="U1088" s="66"/>
      <c r="V1088" s="66"/>
      <c r="W1088" s="66"/>
      <c r="X1088" s="66"/>
      <c r="Y1088" s="66"/>
    </row>
    <row r="1089">
      <c r="A1089" s="71"/>
      <c r="B1089" s="71"/>
      <c r="C1089" s="73"/>
      <c r="D1089" s="73"/>
      <c r="E1089" s="75"/>
      <c r="F1089" s="75"/>
      <c r="G1089" s="75"/>
      <c r="H1089" s="75"/>
      <c r="I1089" s="77"/>
      <c r="J1089" s="71"/>
      <c r="K1089" s="71"/>
      <c r="L1089" s="66"/>
      <c r="M1089" s="66"/>
      <c r="N1089" s="66"/>
      <c r="O1089" s="66"/>
      <c r="P1089" s="66"/>
      <c r="Q1089" s="66"/>
      <c r="R1089" s="66"/>
      <c r="S1089" s="66"/>
      <c r="T1089" s="66"/>
      <c r="U1089" s="66"/>
      <c r="V1089" s="66"/>
      <c r="W1089" s="66"/>
      <c r="X1089" s="66"/>
      <c r="Y1089" s="66"/>
    </row>
    <row r="1090">
      <c r="A1090" s="71"/>
      <c r="B1090" s="71"/>
      <c r="C1090" s="73"/>
      <c r="D1090" s="73"/>
      <c r="E1090" s="75"/>
      <c r="F1090" s="75"/>
      <c r="G1090" s="75"/>
      <c r="H1090" s="75"/>
      <c r="I1090" s="77"/>
      <c r="J1090" s="71"/>
      <c r="K1090" s="71"/>
      <c r="L1090" s="66"/>
      <c r="M1090" s="66"/>
      <c r="N1090" s="66"/>
      <c r="O1090" s="66"/>
      <c r="P1090" s="66"/>
      <c r="Q1090" s="66"/>
      <c r="R1090" s="66"/>
      <c r="S1090" s="66"/>
      <c r="T1090" s="66"/>
      <c r="U1090" s="66"/>
      <c r="V1090" s="66"/>
      <c r="W1090" s="66"/>
      <c r="X1090" s="66"/>
      <c r="Y1090" s="66"/>
    </row>
    <row r="1091">
      <c r="A1091" s="71"/>
      <c r="B1091" s="71"/>
      <c r="C1091" s="73"/>
      <c r="D1091" s="73"/>
      <c r="E1091" s="75"/>
      <c r="F1091" s="75"/>
      <c r="G1091" s="75"/>
      <c r="H1091" s="75"/>
      <c r="I1091" s="77"/>
      <c r="J1091" s="71"/>
      <c r="K1091" s="71"/>
      <c r="L1091" s="66"/>
      <c r="M1091" s="66"/>
      <c r="N1091" s="66"/>
      <c r="O1091" s="66"/>
      <c r="P1091" s="66"/>
      <c r="Q1091" s="66"/>
      <c r="R1091" s="66"/>
      <c r="S1091" s="66"/>
      <c r="T1091" s="66"/>
      <c r="U1091" s="66"/>
      <c r="V1091" s="66"/>
      <c r="W1091" s="66"/>
      <c r="X1091" s="66"/>
      <c r="Y1091" s="66"/>
    </row>
    <row r="1092">
      <c r="A1092" s="71"/>
      <c r="B1092" s="71"/>
      <c r="C1092" s="73"/>
      <c r="D1092" s="73"/>
      <c r="E1092" s="75"/>
      <c r="F1092" s="75"/>
      <c r="G1092" s="75"/>
      <c r="H1092" s="75"/>
      <c r="I1092" s="77"/>
      <c r="J1092" s="71"/>
      <c r="K1092" s="71"/>
      <c r="L1092" s="66"/>
      <c r="M1092" s="66"/>
      <c r="N1092" s="66"/>
      <c r="O1092" s="66"/>
      <c r="P1092" s="66"/>
      <c r="Q1092" s="66"/>
      <c r="R1092" s="66"/>
      <c r="S1092" s="66"/>
      <c r="T1092" s="66"/>
      <c r="U1092" s="66"/>
      <c r="V1092" s="66"/>
      <c r="W1092" s="66"/>
      <c r="X1092" s="66"/>
      <c r="Y1092" s="66"/>
    </row>
    <row r="1093">
      <c r="A1093" s="71"/>
      <c r="B1093" s="71"/>
      <c r="C1093" s="73"/>
      <c r="D1093" s="73"/>
      <c r="E1093" s="75"/>
      <c r="F1093" s="75"/>
      <c r="G1093" s="75"/>
      <c r="H1093" s="75"/>
      <c r="I1093" s="77"/>
      <c r="J1093" s="71"/>
      <c r="K1093" s="71"/>
      <c r="L1093" s="66"/>
      <c r="M1093" s="66"/>
      <c r="N1093" s="66"/>
      <c r="O1093" s="66"/>
      <c r="P1093" s="66"/>
      <c r="Q1093" s="66"/>
      <c r="R1093" s="66"/>
      <c r="S1093" s="66"/>
      <c r="T1093" s="66"/>
      <c r="U1093" s="66"/>
      <c r="V1093" s="66"/>
      <c r="W1093" s="66"/>
      <c r="X1093" s="66"/>
      <c r="Y1093" s="66"/>
    </row>
    <row r="1094">
      <c r="A1094" s="71"/>
      <c r="B1094" s="71"/>
      <c r="C1094" s="73"/>
      <c r="D1094" s="73"/>
      <c r="E1094" s="75"/>
      <c r="F1094" s="75"/>
      <c r="G1094" s="75"/>
      <c r="H1094" s="75"/>
      <c r="I1094" s="77"/>
      <c r="J1094" s="71"/>
      <c r="K1094" s="71"/>
      <c r="L1094" s="66"/>
      <c r="M1094" s="66"/>
      <c r="N1094" s="66"/>
      <c r="O1094" s="66"/>
      <c r="P1094" s="66"/>
      <c r="Q1094" s="66"/>
      <c r="R1094" s="66"/>
      <c r="S1094" s="66"/>
      <c r="T1094" s="66"/>
      <c r="U1094" s="66"/>
      <c r="V1094" s="66"/>
      <c r="W1094" s="66"/>
      <c r="X1094" s="66"/>
      <c r="Y1094" s="66"/>
    </row>
    <row r="1095">
      <c r="A1095" s="71"/>
      <c r="B1095" s="71"/>
      <c r="C1095" s="73"/>
      <c r="D1095" s="73"/>
      <c r="E1095" s="75"/>
      <c r="F1095" s="75"/>
      <c r="G1095" s="75"/>
      <c r="H1095" s="75"/>
      <c r="I1095" s="77"/>
      <c r="J1095" s="71"/>
      <c r="K1095" s="71"/>
      <c r="L1095" s="66"/>
      <c r="M1095" s="66"/>
      <c r="N1095" s="66"/>
      <c r="O1095" s="66"/>
      <c r="P1095" s="66"/>
      <c r="Q1095" s="66"/>
      <c r="R1095" s="66"/>
      <c r="S1095" s="66"/>
      <c r="T1095" s="66"/>
      <c r="U1095" s="66"/>
      <c r="V1095" s="66"/>
      <c r="W1095" s="66"/>
      <c r="X1095" s="66"/>
      <c r="Y1095" s="66"/>
    </row>
    <row r="1096">
      <c r="A1096" s="71"/>
      <c r="B1096" s="71"/>
      <c r="C1096" s="73"/>
      <c r="D1096" s="73"/>
      <c r="E1096" s="75"/>
      <c r="F1096" s="75"/>
      <c r="G1096" s="75"/>
      <c r="H1096" s="75"/>
      <c r="I1096" s="77"/>
      <c r="J1096" s="71"/>
      <c r="K1096" s="71"/>
      <c r="L1096" s="66"/>
      <c r="M1096" s="66"/>
      <c r="N1096" s="66"/>
      <c r="O1096" s="66"/>
      <c r="P1096" s="66"/>
      <c r="Q1096" s="66"/>
      <c r="R1096" s="66"/>
      <c r="S1096" s="66"/>
      <c r="T1096" s="66"/>
      <c r="U1096" s="66"/>
      <c r="V1096" s="66"/>
      <c r="W1096" s="66"/>
      <c r="X1096" s="66"/>
      <c r="Y1096" s="66"/>
    </row>
    <row r="1097">
      <c r="A1097" s="71"/>
      <c r="B1097" s="71"/>
      <c r="C1097" s="73"/>
      <c r="D1097" s="73"/>
      <c r="E1097" s="75"/>
      <c r="F1097" s="75"/>
      <c r="G1097" s="75"/>
      <c r="H1097" s="75"/>
      <c r="I1097" s="77"/>
      <c r="J1097" s="71"/>
      <c r="K1097" s="71"/>
      <c r="L1097" s="66"/>
      <c r="M1097" s="66"/>
      <c r="N1097" s="66"/>
      <c r="O1097" s="66"/>
      <c r="P1097" s="66"/>
      <c r="Q1097" s="66"/>
      <c r="R1097" s="66"/>
      <c r="S1097" s="66"/>
      <c r="T1097" s="66"/>
      <c r="U1097" s="66"/>
      <c r="V1097" s="66"/>
      <c r="W1097" s="66"/>
      <c r="X1097" s="66"/>
      <c r="Y1097" s="66"/>
    </row>
    <row r="1098">
      <c r="A1098" s="71"/>
      <c r="B1098" s="71"/>
      <c r="C1098" s="73"/>
      <c r="D1098" s="73"/>
      <c r="E1098" s="75"/>
      <c r="F1098" s="75"/>
      <c r="G1098" s="75"/>
      <c r="H1098" s="75"/>
      <c r="I1098" s="77"/>
      <c r="J1098" s="71"/>
      <c r="K1098" s="71"/>
      <c r="L1098" s="66"/>
      <c r="M1098" s="66"/>
      <c r="N1098" s="66"/>
      <c r="O1098" s="66"/>
      <c r="P1098" s="66"/>
      <c r="Q1098" s="66"/>
      <c r="R1098" s="66"/>
      <c r="S1098" s="66"/>
      <c r="T1098" s="66"/>
      <c r="U1098" s="66"/>
      <c r="V1098" s="66"/>
      <c r="W1098" s="66"/>
      <c r="X1098" s="66"/>
      <c r="Y1098" s="66"/>
    </row>
    <row r="1099">
      <c r="A1099" s="71"/>
      <c r="B1099" s="71"/>
      <c r="C1099" s="73"/>
      <c r="D1099" s="73"/>
      <c r="E1099" s="75"/>
      <c r="F1099" s="75"/>
      <c r="G1099" s="75"/>
      <c r="H1099" s="75"/>
      <c r="I1099" s="77"/>
      <c r="J1099" s="71"/>
      <c r="K1099" s="71"/>
      <c r="L1099" s="66"/>
      <c r="M1099" s="66"/>
      <c r="N1099" s="66"/>
      <c r="O1099" s="66"/>
      <c r="P1099" s="66"/>
      <c r="Q1099" s="66"/>
      <c r="R1099" s="66"/>
      <c r="S1099" s="66"/>
      <c r="T1099" s="66"/>
      <c r="U1099" s="66"/>
      <c r="V1099" s="66"/>
      <c r="W1099" s="66"/>
      <c r="X1099" s="66"/>
      <c r="Y1099" s="66"/>
    </row>
    <row r="1100">
      <c r="A1100" s="71"/>
      <c r="B1100" s="71"/>
      <c r="C1100" s="73"/>
      <c r="D1100" s="73"/>
      <c r="E1100" s="75"/>
      <c r="F1100" s="75"/>
      <c r="G1100" s="75"/>
      <c r="H1100" s="75"/>
      <c r="I1100" s="77"/>
      <c r="J1100" s="71"/>
      <c r="K1100" s="71"/>
      <c r="L1100" s="66"/>
      <c r="M1100" s="66"/>
      <c r="N1100" s="66"/>
      <c r="O1100" s="66"/>
      <c r="P1100" s="66"/>
      <c r="Q1100" s="66"/>
      <c r="R1100" s="66"/>
      <c r="S1100" s="66"/>
      <c r="T1100" s="66"/>
      <c r="U1100" s="66"/>
      <c r="V1100" s="66"/>
      <c r="W1100" s="66"/>
      <c r="X1100" s="66"/>
      <c r="Y1100" s="66"/>
    </row>
    <row r="1101">
      <c r="A1101" s="71"/>
      <c r="B1101" s="71"/>
      <c r="C1101" s="73"/>
      <c r="D1101" s="73"/>
      <c r="E1101" s="75"/>
      <c r="F1101" s="75"/>
      <c r="G1101" s="75"/>
      <c r="H1101" s="75"/>
      <c r="I1101" s="77"/>
      <c r="J1101" s="71"/>
      <c r="K1101" s="71"/>
      <c r="L1101" s="66"/>
      <c r="M1101" s="66"/>
      <c r="N1101" s="66"/>
      <c r="O1101" s="66"/>
      <c r="P1101" s="66"/>
      <c r="Q1101" s="66"/>
      <c r="R1101" s="66"/>
      <c r="S1101" s="66"/>
      <c r="T1101" s="66"/>
      <c r="U1101" s="66"/>
      <c r="V1101" s="66"/>
      <c r="W1101" s="66"/>
      <c r="X1101" s="66"/>
      <c r="Y1101" s="66"/>
    </row>
    <row r="1102">
      <c r="A1102" s="71"/>
      <c r="B1102" s="71"/>
      <c r="C1102" s="73"/>
      <c r="D1102" s="73"/>
      <c r="E1102" s="75"/>
      <c r="F1102" s="75"/>
      <c r="G1102" s="75"/>
      <c r="H1102" s="75"/>
      <c r="I1102" s="77"/>
      <c r="J1102" s="71"/>
      <c r="K1102" s="71"/>
      <c r="L1102" s="66"/>
      <c r="M1102" s="66"/>
      <c r="N1102" s="66"/>
      <c r="O1102" s="66"/>
      <c r="P1102" s="66"/>
      <c r="Q1102" s="66"/>
      <c r="R1102" s="66"/>
      <c r="S1102" s="66"/>
      <c r="T1102" s="66"/>
      <c r="U1102" s="66"/>
      <c r="V1102" s="66"/>
      <c r="W1102" s="66"/>
      <c r="X1102" s="66"/>
      <c r="Y1102" s="66"/>
    </row>
    <row r="1103">
      <c r="A1103" s="71"/>
      <c r="B1103" s="71"/>
      <c r="C1103" s="73"/>
      <c r="D1103" s="73"/>
      <c r="E1103" s="75"/>
      <c r="F1103" s="75"/>
      <c r="G1103" s="75"/>
      <c r="H1103" s="75"/>
      <c r="I1103" s="77"/>
      <c r="J1103" s="71"/>
      <c r="K1103" s="71"/>
      <c r="L1103" s="66"/>
      <c r="M1103" s="66"/>
      <c r="N1103" s="66"/>
      <c r="O1103" s="66"/>
      <c r="P1103" s="66"/>
      <c r="Q1103" s="66"/>
      <c r="R1103" s="66"/>
      <c r="S1103" s="66"/>
      <c r="T1103" s="66"/>
      <c r="U1103" s="66"/>
      <c r="V1103" s="66"/>
      <c r="W1103" s="66"/>
      <c r="X1103" s="66"/>
      <c r="Y1103" s="66"/>
    </row>
    <row r="1104">
      <c r="A1104" s="71"/>
      <c r="B1104" s="71"/>
      <c r="C1104" s="73"/>
      <c r="D1104" s="73"/>
      <c r="E1104" s="75"/>
      <c r="F1104" s="75"/>
      <c r="G1104" s="75"/>
      <c r="H1104" s="75"/>
      <c r="I1104" s="77"/>
      <c r="J1104" s="71"/>
      <c r="K1104" s="71"/>
      <c r="L1104" s="66"/>
      <c r="M1104" s="66"/>
      <c r="N1104" s="66"/>
      <c r="O1104" s="66"/>
      <c r="P1104" s="66"/>
      <c r="Q1104" s="66"/>
      <c r="R1104" s="66"/>
      <c r="S1104" s="66"/>
      <c r="T1104" s="66"/>
      <c r="U1104" s="66"/>
      <c r="V1104" s="66"/>
      <c r="W1104" s="66"/>
      <c r="X1104" s="66"/>
      <c r="Y1104" s="66"/>
    </row>
    <row r="1105">
      <c r="A1105" s="71"/>
      <c r="B1105" s="71"/>
      <c r="C1105" s="73"/>
      <c r="D1105" s="73"/>
      <c r="E1105" s="75"/>
      <c r="F1105" s="75"/>
      <c r="G1105" s="75"/>
      <c r="H1105" s="75"/>
      <c r="I1105" s="77"/>
      <c r="J1105" s="71"/>
      <c r="K1105" s="71"/>
      <c r="L1105" s="66"/>
      <c r="M1105" s="66"/>
      <c r="N1105" s="66"/>
      <c r="O1105" s="66"/>
      <c r="P1105" s="66"/>
      <c r="Q1105" s="66"/>
      <c r="R1105" s="66"/>
      <c r="S1105" s="66"/>
      <c r="T1105" s="66"/>
      <c r="U1105" s="66"/>
      <c r="V1105" s="66"/>
      <c r="W1105" s="66"/>
      <c r="X1105" s="66"/>
      <c r="Y1105" s="66"/>
    </row>
    <row r="1106">
      <c r="A1106" s="71"/>
      <c r="B1106" s="71"/>
      <c r="C1106" s="73"/>
      <c r="D1106" s="73"/>
      <c r="E1106" s="75"/>
      <c r="F1106" s="75"/>
      <c r="G1106" s="75"/>
      <c r="H1106" s="75"/>
      <c r="I1106" s="77"/>
      <c r="J1106" s="71"/>
      <c r="K1106" s="71"/>
      <c r="L1106" s="66"/>
      <c r="M1106" s="66"/>
      <c r="N1106" s="66"/>
      <c r="O1106" s="66"/>
      <c r="P1106" s="66"/>
      <c r="Q1106" s="66"/>
      <c r="R1106" s="66"/>
      <c r="S1106" s="66"/>
      <c r="T1106" s="66"/>
      <c r="U1106" s="66"/>
      <c r="V1106" s="66"/>
      <c r="W1106" s="66"/>
      <c r="X1106" s="66"/>
      <c r="Y1106" s="66"/>
    </row>
    <row r="1107">
      <c r="A1107" s="71"/>
      <c r="B1107" s="71"/>
      <c r="C1107" s="73"/>
      <c r="D1107" s="73"/>
      <c r="E1107" s="75"/>
      <c r="F1107" s="75"/>
      <c r="G1107" s="75"/>
      <c r="H1107" s="75"/>
      <c r="I1107" s="77"/>
      <c r="J1107" s="71"/>
      <c r="K1107" s="71"/>
      <c r="L1107" s="66"/>
      <c r="M1107" s="66"/>
      <c r="N1107" s="66"/>
      <c r="O1107" s="66"/>
      <c r="P1107" s="66"/>
      <c r="Q1107" s="66"/>
      <c r="R1107" s="66"/>
      <c r="S1107" s="66"/>
      <c r="T1107" s="66"/>
      <c r="U1107" s="66"/>
      <c r="V1107" s="66"/>
      <c r="W1107" s="66"/>
      <c r="X1107" s="66"/>
      <c r="Y1107" s="66"/>
    </row>
    <row r="1108">
      <c r="A1108" s="71"/>
      <c r="B1108" s="71"/>
      <c r="C1108" s="73"/>
      <c r="D1108" s="73"/>
      <c r="E1108" s="75"/>
      <c r="F1108" s="75"/>
      <c r="G1108" s="75"/>
      <c r="H1108" s="75"/>
      <c r="I1108" s="77"/>
      <c r="J1108" s="71"/>
      <c r="K1108" s="71"/>
      <c r="L1108" s="66"/>
      <c r="M1108" s="66"/>
      <c r="N1108" s="66"/>
      <c r="O1108" s="66"/>
      <c r="P1108" s="66"/>
      <c r="Q1108" s="66"/>
      <c r="R1108" s="66"/>
      <c r="S1108" s="66"/>
      <c r="T1108" s="66"/>
      <c r="U1108" s="66"/>
      <c r="V1108" s="66"/>
      <c r="W1108" s="66"/>
      <c r="X1108" s="66"/>
      <c r="Y1108" s="66"/>
    </row>
    <row r="1109">
      <c r="A1109" s="71"/>
      <c r="B1109" s="71"/>
      <c r="C1109" s="73"/>
      <c r="D1109" s="73"/>
      <c r="E1109" s="75"/>
      <c r="F1109" s="75"/>
      <c r="G1109" s="75"/>
      <c r="H1109" s="75"/>
      <c r="I1109" s="77"/>
      <c r="J1109" s="71"/>
      <c r="K1109" s="71"/>
      <c r="L1109" s="66"/>
      <c r="M1109" s="66"/>
      <c r="N1109" s="66"/>
      <c r="O1109" s="66"/>
      <c r="P1109" s="66"/>
      <c r="Q1109" s="66"/>
      <c r="R1109" s="66"/>
      <c r="S1109" s="66"/>
      <c r="T1109" s="66"/>
      <c r="U1109" s="66"/>
      <c r="V1109" s="66"/>
      <c r="W1109" s="66"/>
      <c r="X1109" s="66"/>
      <c r="Y1109" s="66"/>
    </row>
    <row r="1110">
      <c r="A1110" s="71"/>
      <c r="B1110" s="71"/>
      <c r="C1110" s="73"/>
      <c r="D1110" s="73"/>
      <c r="E1110" s="75"/>
      <c r="F1110" s="75"/>
      <c r="G1110" s="75"/>
      <c r="H1110" s="75"/>
      <c r="I1110" s="77"/>
      <c r="J1110" s="71"/>
      <c r="K1110" s="71"/>
      <c r="L1110" s="66"/>
      <c r="M1110" s="66"/>
      <c r="N1110" s="66"/>
      <c r="O1110" s="66"/>
      <c r="P1110" s="66"/>
      <c r="Q1110" s="66"/>
      <c r="R1110" s="66"/>
      <c r="S1110" s="66"/>
      <c r="T1110" s="66"/>
      <c r="U1110" s="66"/>
      <c r="V1110" s="66"/>
      <c r="W1110" s="66"/>
      <c r="X1110" s="66"/>
      <c r="Y1110" s="66"/>
    </row>
    <row r="1111">
      <c r="A1111" s="71"/>
      <c r="B1111" s="71"/>
      <c r="C1111" s="73"/>
      <c r="D1111" s="73"/>
      <c r="E1111" s="75"/>
      <c r="F1111" s="75"/>
      <c r="G1111" s="75"/>
      <c r="H1111" s="75"/>
      <c r="I1111" s="77"/>
      <c r="J1111" s="71"/>
      <c r="K1111" s="71"/>
      <c r="L1111" s="66"/>
      <c r="M1111" s="66"/>
      <c r="N1111" s="66"/>
      <c r="O1111" s="66"/>
      <c r="P1111" s="66"/>
      <c r="Q1111" s="66"/>
      <c r="R1111" s="66"/>
      <c r="S1111" s="66"/>
      <c r="T1111" s="66"/>
      <c r="U1111" s="66"/>
      <c r="V1111" s="66"/>
      <c r="W1111" s="66"/>
      <c r="X1111" s="66"/>
      <c r="Y1111" s="66"/>
    </row>
    <row r="1112">
      <c r="A1112" s="71"/>
      <c r="B1112" s="71"/>
      <c r="C1112" s="73"/>
      <c r="D1112" s="73"/>
      <c r="E1112" s="75"/>
      <c r="F1112" s="75"/>
      <c r="G1112" s="75"/>
      <c r="H1112" s="75"/>
      <c r="I1112" s="77"/>
      <c r="J1112" s="71"/>
      <c r="K1112" s="71"/>
      <c r="L1112" s="66"/>
      <c r="M1112" s="66"/>
      <c r="N1112" s="66"/>
      <c r="O1112" s="66"/>
      <c r="P1112" s="66"/>
      <c r="Q1112" s="66"/>
      <c r="R1112" s="66"/>
      <c r="S1112" s="66"/>
      <c r="T1112" s="66"/>
      <c r="U1112" s="66"/>
      <c r="V1112" s="66"/>
      <c r="W1112" s="66"/>
      <c r="X1112" s="66"/>
      <c r="Y1112" s="66"/>
    </row>
    <row r="1113">
      <c r="A1113" s="71"/>
      <c r="B1113" s="71"/>
      <c r="C1113" s="73"/>
      <c r="D1113" s="73"/>
      <c r="E1113" s="75"/>
      <c r="F1113" s="75"/>
      <c r="G1113" s="75"/>
      <c r="H1113" s="75"/>
      <c r="I1113" s="77"/>
      <c r="J1113" s="71"/>
      <c r="K1113" s="71"/>
      <c r="L1113" s="66"/>
      <c r="M1113" s="66"/>
      <c r="N1113" s="66"/>
      <c r="O1113" s="66"/>
      <c r="P1113" s="66"/>
      <c r="Q1113" s="66"/>
      <c r="R1113" s="66"/>
      <c r="S1113" s="66"/>
      <c r="T1113" s="66"/>
      <c r="U1113" s="66"/>
      <c r="V1113" s="66"/>
      <c r="W1113" s="66"/>
      <c r="X1113" s="66"/>
      <c r="Y1113" s="66"/>
    </row>
    <row r="1114">
      <c r="A1114" s="71"/>
      <c r="B1114" s="71"/>
      <c r="C1114" s="73"/>
      <c r="D1114" s="73"/>
      <c r="E1114" s="75"/>
      <c r="F1114" s="75"/>
      <c r="G1114" s="75"/>
      <c r="H1114" s="75"/>
      <c r="I1114" s="77"/>
      <c r="J1114" s="71"/>
      <c r="K1114" s="71"/>
      <c r="L1114" s="66"/>
      <c r="M1114" s="66"/>
      <c r="N1114" s="66"/>
      <c r="O1114" s="66"/>
      <c r="P1114" s="66"/>
      <c r="Q1114" s="66"/>
      <c r="R1114" s="66"/>
      <c r="S1114" s="66"/>
      <c r="T1114" s="66"/>
      <c r="U1114" s="66"/>
      <c r="V1114" s="66"/>
      <c r="W1114" s="66"/>
      <c r="X1114" s="66"/>
      <c r="Y1114" s="66"/>
    </row>
    <row r="1115">
      <c r="A1115" s="71"/>
      <c r="B1115" s="71"/>
      <c r="C1115" s="73"/>
      <c r="D1115" s="73"/>
      <c r="E1115" s="75"/>
      <c r="F1115" s="75"/>
      <c r="G1115" s="75"/>
      <c r="H1115" s="75"/>
      <c r="I1115" s="77"/>
      <c r="J1115" s="71"/>
      <c r="K1115" s="71"/>
      <c r="L1115" s="66"/>
      <c r="M1115" s="66"/>
      <c r="N1115" s="66"/>
      <c r="O1115" s="66"/>
      <c r="P1115" s="66"/>
      <c r="Q1115" s="66"/>
      <c r="R1115" s="66"/>
      <c r="S1115" s="66"/>
      <c r="T1115" s="66"/>
      <c r="U1115" s="66"/>
      <c r="V1115" s="66"/>
      <c r="W1115" s="66"/>
      <c r="X1115" s="66"/>
      <c r="Y1115" s="66"/>
    </row>
    <row r="1116">
      <c r="A1116" s="71"/>
      <c r="B1116" s="71"/>
      <c r="C1116" s="73"/>
      <c r="D1116" s="73"/>
      <c r="E1116" s="75"/>
      <c r="F1116" s="75"/>
      <c r="G1116" s="75"/>
      <c r="H1116" s="75"/>
      <c r="I1116" s="77"/>
      <c r="J1116" s="71"/>
      <c r="K1116" s="71"/>
      <c r="L1116" s="66"/>
      <c r="M1116" s="66"/>
      <c r="N1116" s="66"/>
      <c r="O1116" s="66"/>
      <c r="P1116" s="66"/>
      <c r="Q1116" s="66"/>
      <c r="R1116" s="66"/>
      <c r="S1116" s="66"/>
      <c r="T1116" s="66"/>
      <c r="U1116" s="66"/>
      <c r="V1116" s="66"/>
      <c r="W1116" s="66"/>
      <c r="X1116" s="66"/>
      <c r="Y1116" s="66"/>
    </row>
    <row r="1117">
      <c r="A1117" s="71"/>
      <c r="B1117" s="71"/>
      <c r="C1117" s="73"/>
      <c r="D1117" s="73"/>
      <c r="E1117" s="75"/>
      <c r="F1117" s="75"/>
      <c r="G1117" s="75"/>
      <c r="H1117" s="75"/>
      <c r="I1117" s="77"/>
      <c r="J1117" s="71"/>
      <c r="K1117" s="71"/>
      <c r="L1117" s="66"/>
      <c r="M1117" s="66"/>
      <c r="N1117" s="66"/>
      <c r="O1117" s="66"/>
      <c r="P1117" s="66"/>
      <c r="Q1117" s="66"/>
      <c r="R1117" s="66"/>
      <c r="S1117" s="66"/>
      <c r="T1117" s="66"/>
      <c r="U1117" s="66"/>
      <c r="V1117" s="66"/>
      <c r="W1117" s="66"/>
      <c r="X1117" s="66"/>
      <c r="Y1117" s="66"/>
    </row>
    <row r="1118">
      <c r="A1118" s="71"/>
      <c r="B1118" s="71"/>
      <c r="C1118" s="73"/>
      <c r="D1118" s="73"/>
      <c r="E1118" s="75"/>
      <c r="F1118" s="75"/>
      <c r="G1118" s="75"/>
      <c r="H1118" s="75"/>
      <c r="I1118" s="77"/>
      <c r="J1118" s="71"/>
      <c r="K1118" s="71"/>
      <c r="L1118" s="66"/>
      <c r="M1118" s="66"/>
      <c r="N1118" s="66"/>
      <c r="O1118" s="66"/>
      <c r="P1118" s="66"/>
      <c r="Q1118" s="66"/>
      <c r="R1118" s="66"/>
      <c r="S1118" s="66"/>
      <c r="T1118" s="66"/>
      <c r="U1118" s="66"/>
      <c r="V1118" s="66"/>
      <c r="W1118" s="66"/>
      <c r="X1118" s="66"/>
      <c r="Y1118" s="66"/>
    </row>
    <row r="1119">
      <c r="A1119" s="71"/>
      <c r="B1119" s="71"/>
      <c r="C1119" s="73"/>
      <c r="D1119" s="73"/>
      <c r="E1119" s="75"/>
      <c r="F1119" s="75"/>
      <c r="G1119" s="75"/>
      <c r="H1119" s="75"/>
      <c r="I1119" s="77"/>
      <c r="J1119" s="71"/>
      <c r="K1119" s="71"/>
      <c r="L1119" s="66"/>
      <c r="M1119" s="66"/>
      <c r="N1119" s="66"/>
      <c r="O1119" s="66"/>
      <c r="P1119" s="66"/>
      <c r="Q1119" s="66"/>
      <c r="R1119" s="66"/>
      <c r="S1119" s="66"/>
      <c r="T1119" s="66"/>
      <c r="U1119" s="66"/>
      <c r="V1119" s="66"/>
      <c r="W1119" s="66"/>
      <c r="X1119" s="66"/>
      <c r="Y1119" s="66"/>
    </row>
    <row r="1120">
      <c r="A1120" s="71"/>
      <c r="B1120" s="71"/>
      <c r="C1120" s="73"/>
      <c r="D1120" s="73"/>
      <c r="E1120" s="75"/>
      <c r="F1120" s="75"/>
      <c r="G1120" s="75"/>
      <c r="H1120" s="75"/>
      <c r="I1120" s="77"/>
      <c r="J1120" s="71"/>
      <c r="K1120" s="71"/>
      <c r="L1120" s="66"/>
      <c r="M1120" s="66"/>
      <c r="N1120" s="66"/>
      <c r="O1120" s="66"/>
      <c r="P1120" s="66"/>
      <c r="Q1120" s="66"/>
      <c r="R1120" s="66"/>
      <c r="S1120" s="66"/>
      <c r="T1120" s="66"/>
      <c r="U1120" s="66"/>
      <c r="V1120" s="66"/>
      <c r="W1120" s="66"/>
      <c r="X1120" s="66"/>
      <c r="Y1120" s="66"/>
    </row>
    <row r="1121">
      <c r="A1121" s="71"/>
      <c r="B1121" s="71"/>
      <c r="C1121" s="73"/>
      <c r="D1121" s="73"/>
      <c r="E1121" s="75"/>
      <c r="F1121" s="75"/>
      <c r="G1121" s="75"/>
      <c r="H1121" s="75"/>
      <c r="I1121" s="77"/>
      <c r="J1121" s="71"/>
      <c r="K1121" s="71"/>
      <c r="L1121" s="66"/>
      <c r="M1121" s="66"/>
      <c r="N1121" s="66"/>
      <c r="O1121" s="66"/>
      <c r="P1121" s="66"/>
      <c r="Q1121" s="66"/>
      <c r="R1121" s="66"/>
      <c r="S1121" s="66"/>
      <c r="T1121" s="66"/>
      <c r="U1121" s="66"/>
      <c r="V1121" s="66"/>
      <c r="W1121" s="66"/>
      <c r="X1121" s="66"/>
      <c r="Y1121" s="66"/>
    </row>
    <row r="1122">
      <c r="A1122" s="71"/>
      <c r="B1122" s="71"/>
      <c r="C1122" s="73"/>
      <c r="D1122" s="73"/>
      <c r="E1122" s="75"/>
      <c r="F1122" s="75"/>
      <c r="G1122" s="75"/>
      <c r="H1122" s="75"/>
      <c r="I1122" s="77"/>
      <c r="J1122" s="71"/>
      <c r="K1122" s="71"/>
      <c r="L1122" s="66"/>
      <c r="M1122" s="66"/>
      <c r="N1122" s="66"/>
      <c r="O1122" s="66"/>
      <c r="P1122" s="66"/>
      <c r="Q1122" s="66"/>
      <c r="R1122" s="66"/>
      <c r="S1122" s="66"/>
      <c r="T1122" s="66"/>
      <c r="U1122" s="66"/>
      <c r="V1122" s="66"/>
      <c r="W1122" s="66"/>
      <c r="X1122" s="66"/>
      <c r="Y1122" s="66"/>
    </row>
    <row r="1123">
      <c r="A1123" s="71"/>
      <c r="B1123" s="71"/>
      <c r="C1123" s="73"/>
      <c r="D1123" s="73"/>
      <c r="E1123" s="75"/>
      <c r="F1123" s="75"/>
      <c r="G1123" s="75"/>
      <c r="H1123" s="75"/>
      <c r="I1123" s="77"/>
      <c r="J1123" s="71"/>
      <c r="K1123" s="71"/>
      <c r="L1123" s="66"/>
      <c r="M1123" s="66"/>
      <c r="N1123" s="66"/>
      <c r="O1123" s="66"/>
      <c r="P1123" s="66"/>
      <c r="Q1123" s="66"/>
      <c r="R1123" s="66"/>
      <c r="S1123" s="66"/>
      <c r="T1123" s="66"/>
      <c r="U1123" s="66"/>
      <c r="V1123" s="66"/>
      <c r="W1123" s="66"/>
      <c r="X1123" s="66"/>
      <c r="Y1123" s="66"/>
    </row>
    <row r="1124">
      <c r="A1124" s="71"/>
      <c r="B1124" s="71"/>
      <c r="C1124" s="73"/>
      <c r="D1124" s="73"/>
      <c r="E1124" s="75"/>
      <c r="F1124" s="75"/>
      <c r="G1124" s="75"/>
      <c r="H1124" s="75"/>
      <c r="I1124" s="77"/>
      <c r="J1124" s="71"/>
      <c r="K1124" s="71"/>
      <c r="L1124" s="66"/>
      <c r="M1124" s="66"/>
      <c r="N1124" s="66"/>
      <c r="O1124" s="66"/>
      <c r="P1124" s="66"/>
      <c r="Q1124" s="66"/>
      <c r="R1124" s="66"/>
      <c r="S1124" s="66"/>
      <c r="T1124" s="66"/>
      <c r="U1124" s="66"/>
      <c r="V1124" s="66"/>
      <c r="W1124" s="66"/>
      <c r="X1124" s="66"/>
      <c r="Y1124" s="66"/>
    </row>
    <row r="1125">
      <c r="A1125" s="71"/>
      <c r="B1125" s="71"/>
      <c r="C1125" s="73"/>
      <c r="D1125" s="73"/>
      <c r="E1125" s="75"/>
      <c r="F1125" s="75"/>
      <c r="G1125" s="75"/>
      <c r="H1125" s="75"/>
      <c r="I1125" s="77"/>
      <c r="J1125" s="71"/>
      <c r="K1125" s="71"/>
      <c r="L1125" s="66"/>
      <c r="M1125" s="66"/>
      <c r="N1125" s="66"/>
      <c r="O1125" s="66"/>
      <c r="P1125" s="66"/>
      <c r="Q1125" s="66"/>
      <c r="R1125" s="66"/>
      <c r="S1125" s="66"/>
      <c r="T1125" s="66"/>
      <c r="U1125" s="66"/>
      <c r="V1125" s="66"/>
      <c r="W1125" s="66"/>
      <c r="X1125" s="66"/>
      <c r="Y1125" s="66"/>
    </row>
    <row r="1126">
      <c r="A1126" s="71"/>
      <c r="B1126" s="71"/>
      <c r="C1126" s="73"/>
      <c r="D1126" s="73"/>
      <c r="E1126" s="75"/>
      <c r="F1126" s="75"/>
      <c r="G1126" s="75"/>
      <c r="H1126" s="75"/>
      <c r="I1126" s="77"/>
      <c r="J1126" s="71"/>
      <c r="K1126" s="71"/>
      <c r="L1126" s="66"/>
      <c r="M1126" s="66"/>
      <c r="N1126" s="66"/>
      <c r="O1126" s="66"/>
      <c r="P1126" s="66"/>
      <c r="Q1126" s="66"/>
      <c r="R1126" s="66"/>
      <c r="S1126" s="66"/>
      <c r="T1126" s="66"/>
      <c r="U1126" s="66"/>
      <c r="V1126" s="66"/>
      <c r="W1126" s="66"/>
      <c r="X1126" s="66"/>
      <c r="Y1126" s="66"/>
    </row>
  </sheetData>
  <hyperlinks>
    <hyperlink r:id="rId1" ref="A2"/>
    <hyperlink r:id="rId2" ref="B2"/>
    <hyperlink r:id="rId3" ref="C2"/>
    <hyperlink r:id="rId4" ref="D2"/>
    <hyperlink r:id="rId5" ref="E2"/>
    <hyperlink r:id="rId6" ref="F2"/>
    <hyperlink r:id="rId7" ref="G2"/>
    <hyperlink r:id="rId8" ref="H2"/>
    <hyperlink r:id="rId9" ref="I2"/>
    <hyperlink r:id="rId10" ref="J2"/>
    <hyperlink r:id="rId11" ref="K2"/>
    <hyperlink r:id="rId12" ref="A5"/>
    <hyperlink r:id="rId13" ref="B5"/>
    <hyperlink r:id="rId14" ref="C5"/>
    <hyperlink r:id="rId15" ref="D5"/>
    <hyperlink r:id="rId16" ref="E5"/>
    <hyperlink r:id="rId17" ref="F5"/>
    <hyperlink r:id="rId18" ref="G5"/>
    <hyperlink r:id="rId19" ref="H5"/>
    <hyperlink r:id="rId20" ref="I5"/>
    <hyperlink r:id="rId21" ref="J5"/>
    <hyperlink r:id="rId22" ref="K5"/>
    <hyperlink r:id="rId23" ref="A7"/>
    <hyperlink r:id="rId24" ref="B7"/>
    <hyperlink r:id="rId25" ref="C7"/>
    <hyperlink r:id="rId26" ref="D7"/>
    <hyperlink r:id="rId27" ref="E7"/>
    <hyperlink r:id="rId28" ref="F7"/>
    <hyperlink r:id="rId29" ref="G7"/>
    <hyperlink r:id="rId30" ref="H7"/>
    <hyperlink r:id="rId31" ref="I7"/>
    <hyperlink r:id="rId32" ref="J7"/>
    <hyperlink r:id="rId33" ref="K7"/>
    <hyperlink r:id="rId34" ref="A8"/>
    <hyperlink r:id="rId35" ref="B8"/>
    <hyperlink r:id="rId36" ref="C8"/>
    <hyperlink r:id="rId37" ref="D8"/>
    <hyperlink r:id="rId38" ref="E8"/>
    <hyperlink r:id="rId39" ref="F8"/>
    <hyperlink r:id="rId40" ref="G8"/>
    <hyperlink r:id="rId41" ref="H8"/>
    <hyperlink r:id="rId42" ref="I8"/>
    <hyperlink r:id="rId43" ref="J8"/>
    <hyperlink r:id="rId44" ref="K8"/>
    <hyperlink r:id="rId45" ref="A9"/>
    <hyperlink r:id="rId46" ref="B9"/>
    <hyperlink r:id="rId47" ref="C9"/>
    <hyperlink r:id="rId48" ref="D9"/>
    <hyperlink r:id="rId49" ref="E9"/>
    <hyperlink r:id="rId50" ref="F9"/>
    <hyperlink r:id="rId51" ref="G9"/>
    <hyperlink r:id="rId52" ref="H9"/>
    <hyperlink r:id="rId53" ref="I9"/>
    <hyperlink r:id="rId54" ref="J9"/>
    <hyperlink r:id="rId55" ref="K9"/>
    <hyperlink r:id="rId56" ref="A10"/>
    <hyperlink r:id="rId57" ref="B10"/>
    <hyperlink r:id="rId58" ref="C10"/>
    <hyperlink r:id="rId59" ref="D10"/>
    <hyperlink r:id="rId60" ref="E10"/>
    <hyperlink r:id="rId61" ref="F10"/>
    <hyperlink r:id="rId62" ref="G10"/>
    <hyperlink r:id="rId63" ref="K10"/>
    <hyperlink r:id="rId64" ref="A11"/>
    <hyperlink r:id="rId65" ref="B11"/>
    <hyperlink r:id="rId66" ref="C11"/>
    <hyperlink r:id="rId67" ref="D11"/>
    <hyperlink r:id="rId68" ref="E11"/>
    <hyperlink r:id="rId69" ref="F11"/>
    <hyperlink r:id="rId70" ref="G11"/>
    <hyperlink r:id="rId71" ref="H11"/>
    <hyperlink r:id="rId72" ref="I11"/>
    <hyperlink r:id="rId73" ref="K11"/>
    <hyperlink r:id="rId74" ref="A12"/>
    <hyperlink r:id="rId75" ref="B12"/>
    <hyperlink r:id="rId76" ref="C12"/>
    <hyperlink r:id="rId77" ref="D12"/>
    <hyperlink r:id="rId78" ref="E12"/>
    <hyperlink r:id="rId79" ref="F12"/>
    <hyperlink r:id="rId80" ref="G12"/>
    <hyperlink r:id="rId81" ref="H12"/>
    <hyperlink r:id="rId82" ref="I12"/>
    <hyperlink r:id="rId83" ref="K12"/>
    <hyperlink r:id="rId84" ref="A13"/>
    <hyperlink r:id="rId85" ref="B13"/>
    <hyperlink r:id="rId86" ref="C13"/>
    <hyperlink r:id="rId87" ref="D13"/>
    <hyperlink r:id="rId88" ref="F13"/>
    <hyperlink r:id="rId89" ref="G13"/>
    <hyperlink r:id="rId90" ref="H13"/>
    <hyperlink r:id="rId91" ref="J13"/>
    <hyperlink r:id="rId92" ref="K13"/>
    <hyperlink r:id="rId93"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6"/>
    <hyperlink r:id="rId94" ref="K16"/>
    <hyperlink r:id="rId95" ref="C89"/>
    <hyperlink r:id="rId96" ref="J89"/>
    <hyperlink r:id="rId97" ref="J104"/>
  </hyperlinks>
  <drawing r:id="rId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8.75"/>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6" width="23.75"/>
  </cols>
  <sheetData>
    <row r="1">
      <c r="A1" s="78" t="s">
        <v>564</v>
      </c>
      <c r="B1" s="79" t="s">
        <v>565</v>
      </c>
      <c r="C1" s="80" t="s">
        <v>566</v>
      </c>
      <c r="D1" s="81" t="s">
        <v>567</v>
      </c>
      <c r="E1" s="78" t="s">
        <v>564</v>
      </c>
      <c r="F1" s="82" t="s">
        <v>568</v>
      </c>
      <c r="G1" s="83" t="s">
        <v>569</v>
      </c>
      <c r="H1" s="84" t="s">
        <v>567</v>
      </c>
      <c r="I1" s="78" t="s">
        <v>564</v>
      </c>
      <c r="J1" s="82" t="s">
        <v>570</v>
      </c>
      <c r="K1" s="80" t="s">
        <v>571</v>
      </c>
      <c r="L1" s="81" t="s">
        <v>572</v>
      </c>
      <c r="M1" s="85" t="str">
        <f>IFERROR(__xludf.DUMMYFUNCTION("GOOGLETRANSLATE(E1,""zh-tw"",""en"")"),"NO.")</f>
        <v>NO.</v>
      </c>
      <c r="N1" s="86" t="str">
        <f>IFERROR(__xludf.DUMMYFUNCTION("GOOGLETRANSLATE(B1,""zh-tw"",""zh"")"),"SLG事件")</f>
        <v>SLG事件</v>
      </c>
      <c r="O1" s="87" t="str">
        <f>IFERROR(__xludf.DUMMYFUNCTION("GOOGLETRANSLATE(C1,""zh-tw"",""zh"")"),"说明")</f>
        <v>说明</v>
      </c>
      <c r="P1" s="88" t="str">
        <f>IFERROR(__xludf.DUMMYFUNCTION("GOOGLETRANSLATE(D1,""zh-tw"",""zh"")"),"结果")</f>
        <v>结果</v>
      </c>
      <c r="Q1" s="85" t="s">
        <v>564</v>
      </c>
      <c r="R1" s="82" t="s">
        <v>573</v>
      </c>
      <c r="S1" s="83" t="s">
        <v>574</v>
      </c>
      <c r="T1" s="84" t="s">
        <v>575</v>
      </c>
      <c r="U1" s="85" t="s">
        <v>564</v>
      </c>
      <c r="V1" s="86" t="str">
        <f>IFERROR(__xludf.DUMMYFUNCTION("GOOGLETRANSLATE(B1,""zh-tw"",""KO"")"),"SLG 사건")</f>
        <v>SLG 사건</v>
      </c>
      <c r="W1" s="87" t="str">
        <f>IFERROR(__xludf.DUMMYFUNCTION("GOOGLETRANSLATE(C1,""zh-tw"",""KO"")"),"설명하다")</f>
        <v>설명하다</v>
      </c>
      <c r="X1" s="88" t="str">
        <f>IFERROR(__xludf.DUMMYFUNCTION("GOOGLETRANSLATE(D1,""zh-tw"",""KO"")"),"결과")</f>
        <v>결과</v>
      </c>
      <c r="Y1" s="78" t="s">
        <v>564</v>
      </c>
      <c r="Z1" s="79" t="s">
        <v>576</v>
      </c>
      <c r="AA1" s="80" t="s">
        <v>577</v>
      </c>
      <c r="AB1" s="81" t="s">
        <v>578</v>
      </c>
      <c r="AC1" s="78" t="s">
        <v>564</v>
      </c>
      <c r="AD1" s="82" t="s">
        <v>579</v>
      </c>
      <c r="AE1" s="80" t="s">
        <v>580</v>
      </c>
      <c r="AF1" s="84" t="s">
        <v>581</v>
      </c>
      <c r="AG1" s="89" t="s">
        <v>582</v>
      </c>
      <c r="AH1" s="90" t="s">
        <v>583</v>
      </c>
      <c r="AI1" s="91" t="s">
        <v>584</v>
      </c>
      <c r="AJ1" s="92" t="s">
        <v>585</v>
      </c>
      <c r="AK1" s="78" t="s">
        <v>564</v>
      </c>
      <c r="AL1" s="79" t="s">
        <v>586</v>
      </c>
      <c r="AM1" s="80" t="s">
        <v>587</v>
      </c>
      <c r="AN1" s="81" t="s">
        <v>575</v>
      </c>
      <c r="AO1" s="93" t="s">
        <v>588</v>
      </c>
      <c r="AP1" s="82" t="s">
        <v>589</v>
      </c>
      <c r="AQ1" s="83" t="s">
        <v>590</v>
      </c>
      <c r="AR1" s="84" t="s">
        <v>591</v>
      </c>
      <c r="AS1" s="81"/>
      <c r="AT1" s="81"/>
    </row>
    <row r="2">
      <c r="A2" s="94"/>
      <c r="B2" s="95"/>
      <c r="C2" s="95"/>
      <c r="D2" s="95"/>
      <c r="E2" s="94"/>
      <c r="F2" s="95"/>
      <c r="G2" s="95"/>
      <c r="H2" s="95"/>
      <c r="I2" s="94"/>
      <c r="J2" s="95"/>
      <c r="K2" s="95"/>
      <c r="L2" s="95"/>
      <c r="M2" s="96"/>
      <c r="N2" s="97"/>
      <c r="O2" s="97"/>
      <c r="P2" s="95"/>
      <c r="Q2" s="96"/>
      <c r="R2" s="95"/>
      <c r="S2" s="97"/>
      <c r="T2" s="97"/>
      <c r="U2" s="96"/>
      <c r="V2" s="95"/>
      <c r="W2" s="95"/>
      <c r="X2" s="95"/>
      <c r="Y2" s="98"/>
      <c r="Z2" s="99"/>
      <c r="AA2" s="99"/>
      <c r="AB2" s="99"/>
      <c r="AC2" s="94"/>
      <c r="AD2" s="95"/>
      <c r="AE2" s="95"/>
      <c r="AF2" s="95"/>
      <c r="AG2" s="100"/>
      <c r="AH2" s="101"/>
      <c r="AI2" s="100"/>
      <c r="AJ2" s="100"/>
      <c r="AK2" s="102"/>
      <c r="AL2" s="102"/>
      <c r="AM2" s="102"/>
      <c r="AN2" s="102"/>
      <c r="AO2" s="102"/>
      <c r="AP2" s="102"/>
      <c r="AQ2" s="102"/>
      <c r="AR2" s="102"/>
      <c r="AS2" s="95"/>
      <c r="AT2" s="95"/>
    </row>
    <row r="3">
      <c r="A3" s="103" t="s">
        <v>592</v>
      </c>
      <c r="B3" s="103" t="s">
        <v>593</v>
      </c>
      <c r="E3" s="103" t="s">
        <v>592</v>
      </c>
      <c r="F3" s="103" t="s">
        <v>594</v>
      </c>
      <c r="I3" s="103" t="s">
        <v>592</v>
      </c>
      <c r="J3" s="103" t="s">
        <v>595</v>
      </c>
      <c r="M3" s="103" t="s">
        <v>592</v>
      </c>
      <c r="N3" s="104" t="str">
        <f>IFERROR(__xludf.DUMMYFUNCTION("GOOGLETRANSLATE(B3,""zh-tw"",""zh"")"),"平时相关")</f>
        <v>平时相关</v>
      </c>
      <c r="Q3" s="103" t="s">
        <v>592</v>
      </c>
      <c r="R3" s="103" t="s">
        <v>596</v>
      </c>
      <c r="U3" s="103" t="s">
        <v>592</v>
      </c>
      <c r="V3" s="103" t="s">
        <v>597</v>
      </c>
      <c r="Y3" s="104" t="s">
        <v>592</v>
      </c>
      <c r="Z3" s="104" t="s">
        <v>598</v>
      </c>
      <c r="AC3" s="103" t="s">
        <v>592</v>
      </c>
      <c r="AD3" s="103" t="s">
        <v>599</v>
      </c>
      <c r="AG3" s="105" t="s">
        <v>592</v>
      </c>
      <c r="AH3" s="106" t="s">
        <v>600</v>
      </c>
      <c r="AK3" s="104" t="s">
        <v>592</v>
      </c>
      <c r="AL3" s="104" t="s">
        <v>601</v>
      </c>
      <c r="AO3" s="103" t="s">
        <v>592</v>
      </c>
      <c r="AP3" s="103" t="s">
        <v>602</v>
      </c>
      <c r="AS3" s="104"/>
      <c r="AT3" s="104"/>
    </row>
    <row r="4">
      <c r="A4" s="107">
        <v>1.0</v>
      </c>
      <c r="B4" s="108" t="s">
        <v>603</v>
      </c>
      <c r="C4" s="109" t="s">
        <v>604</v>
      </c>
      <c r="D4" s="110" t="s">
        <v>605</v>
      </c>
      <c r="E4" s="107">
        <v>1.0</v>
      </c>
      <c r="F4" s="108" t="s">
        <v>606</v>
      </c>
      <c r="G4" s="111" t="s">
        <v>607</v>
      </c>
      <c r="H4" s="110" t="s">
        <v>608</v>
      </c>
      <c r="I4" s="107">
        <v>1.0</v>
      </c>
      <c r="J4" s="108" t="s">
        <v>609</v>
      </c>
      <c r="K4" s="109" t="s">
        <v>610</v>
      </c>
      <c r="L4" s="110" t="s">
        <v>611</v>
      </c>
      <c r="M4" s="107">
        <v>1.0</v>
      </c>
      <c r="N4" s="112" t="s">
        <v>612</v>
      </c>
      <c r="O4" s="111" t="s">
        <v>604</v>
      </c>
      <c r="P4" s="75" t="s">
        <v>613</v>
      </c>
      <c r="Q4" s="107">
        <v>1.0</v>
      </c>
      <c r="R4" s="108" t="s">
        <v>614</v>
      </c>
      <c r="S4" s="113" t="str">
        <f>IFERROR(__xludf.DUMMYFUNCTION("GOOGLETRANSLATE(C4,""zh-tw"",""es-MX"")"),"Abraza a mi hermana")</f>
        <v>Abraza a mi hermana</v>
      </c>
      <c r="T4" s="72" t="s">
        <v>615</v>
      </c>
      <c r="U4" s="107">
        <v>1.0</v>
      </c>
      <c r="V4" s="108" t="s">
        <v>616</v>
      </c>
      <c r="W4" s="109" t="s">
        <v>617</v>
      </c>
      <c r="X4" s="110" t="s">
        <v>618</v>
      </c>
      <c r="Y4" s="107">
        <v>1.0</v>
      </c>
      <c r="Z4" s="114" t="s">
        <v>619</v>
      </c>
      <c r="AA4" s="115" t="s">
        <v>620</v>
      </c>
      <c r="AB4" s="116" t="s">
        <v>621</v>
      </c>
      <c r="AC4" s="107">
        <v>1.0</v>
      </c>
      <c r="AD4" s="108" t="s">
        <v>622</v>
      </c>
      <c r="AE4" s="109" t="s">
        <v>623</v>
      </c>
      <c r="AF4" s="110" t="s">
        <v>624</v>
      </c>
      <c r="AG4" s="117">
        <v>1.0</v>
      </c>
      <c r="AH4" s="118" t="s">
        <v>625</v>
      </c>
      <c r="AI4" s="119" t="s">
        <v>626</v>
      </c>
      <c r="AJ4" s="120" t="s">
        <v>627</v>
      </c>
      <c r="AK4" s="107">
        <v>1.0</v>
      </c>
      <c r="AL4" s="121" t="s">
        <v>628</v>
      </c>
      <c r="AM4" s="122" t="s">
        <v>629</v>
      </c>
      <c r="AN4" s="123" t="s">
        <v>630</v>
      </c>
      <c r="AO4" s="107">
        <v>1.0</v>
      </c>
      <c r="AP4" s="112" t="s">
        <v>631</v>
      </c>
      <c r="AQ4" s="111" t="s">
        <v>632</v>
      </c>
      <c r="AR4" s="72" t="s">
        <v>633</v>
      </c>
      <c r="AS4" s="110"/>
      <c r="AT4" s="110"/>
    </row>
    <row r="5">
      <c r="C5" s="109" t="s">
        <v>634</v>
      </c>
      <c r="D5" s="110" t="s">
        <v>635</v>
      </c>
      <c r="G5" s="109" t="s">
        <v>636</v>
      </c>
      <c r="H5" s="110" t="s">
        <v>637</v>
      </c>
      <c r="K5" s="109" t="s">
        <v>638</v>
      </c>
      <c r="L5" s="110" t="s">
        <v>639</v>
      </c>
      <c r="O5" s="113" t="str">
        <f>IFERROR(__xludf.DUMMYFUNCTION("GOOGLETRANSLATE(C5,""zh-tw"",""zh"")"),"没事-&gt;小时候")</f>
        <v>没事-&gt;小时候</v>
      </c>
      <c r="P5" s="72" t="s">
        <v>640</v>
      </c>
      <c r="S5" s="113" t="str">
        <f>IFERROR(__xludf.DUMMYFUNCTION("GOOGLETRANSLATE(C5,""zh-tw"",""es-MX"")"),"Está bien -&gt; cuando yo era niño")</f>
        <v>Está bien -&gt; cuando yo era niño</v>
      </c>
      <c r="T5" s="72" t="s">
        <v>641</v>
      </c>
      <c r="W5" s="111" t="s">
        <v>642</v>
      </c>
      <c r="X5" s="72" t="s">
        <v>643</v>
      </c>
      <c r="AA5" s="115" t="s">
        <v>644</v>
      </c>
      <c r="AB5" s="116" t="s">
        <v>645</v>
      </c>
      <c r="AE5" s="109" t="s">
        <v>646</v>
      </c>
      <c r="AF5" s="110" t="s">
        <v>647</v>
      </c>
      <c r="AI5" s="119" t="s">
        <v>648</v>
      </c>
      <c r="AJ5" s="120" t="s">
        <v>649</v>
      </c>
      <c r="AM5" s="122" t="s">
        <v>650</v>
      </c>
      <c r="AN5" s="123" t="s">
        <v>651</v>
      </c>
      <c r="AQ5" s="111" t="s">
        <v>652</v>
      </c>
      <c r="AR5" s="72" t="s">
        <v>653</v>
      </c>
      <c r="AS5" s="110"/>
      <c r="AT5" s="110"/>
    </row>
    <row r="6">
      <c r="C6" s="109" t="s">
        <v>654</v>
      </c>
      <c r="D6" s="110" t="s">
        <v>655</v>
      </c>
      <c r="G6" s="109" t="s">
        <v>656</v>
      </c>
      <c r="H6" s="110" t="s">
        <v>657</v>
      </c>
      <c r="K6" s="109" t="s">
        <v>658</v>
      </c>
      <c r="L6" s="110" t="s">
        <v>659</v>
      </c>
      <c r="O6" s="113" t="str">
        <f>IFERROR(__xludf.DUMMYFUNCTION("GOOGLETRANSLATE(C6,""zh-tw"",""zh"")"),"没事-&gt;牛排餐")</f>
        <v>没事-&gt;牛排餐</v>
      </c>
      <c r="P6" s="75" t="str">
        <f>IFERROR(__xludf.DUMMYFUNCTION("GOOGLETRANSLATE(D6,""zh-tw"",""zh"")"),"约定:肉料理")</f>
        <v>约定:肉料理</v>
      </c>
      <c r="S6" s="113" t="str">
        <f>IFERROR(__xludf.DUMMYFUNCTION("GOOGLETRANSLATE(C6,""zh-tw"",""es-MX"")"),"Nada -&gt; Comida de bistec")</f>
        <v>Nada -&gt; Comida de bistec</v>
      </c>
      <c r="T6" s="72" t="s">
        <v>660</v>
      </c>
      <c r="W6" s="111" t="s">
        <v>661</v>
      </c>
      <c r="X6" s="72" t="s">
        <v>662</v>
      </c>
      <c r="AA6" s="115" t="s">
        <v>663</v>
      </c>
      <c r="AB6" s="116" t="s">
        <v>664</v>
      </c>
      <c r="AE6" s="109" t="s">
        <v>665</v>
      </c>
      <c r="AF6" s="110" t="s">
        <v>666</v>
      </c>
      <c r="AI6" s="119" t="s">
        <v>667</v>
      </c>
      <c r="AJ6" s="120" t="s">
        <v>668</v>
      </c>
      <c r="AM6" s="122" t="s">
        <v>669</v>
      </c>
      <c r="AN6" s="123" t="s">
        <v>670</v>
      </c>
      <c r="AQ6" s="111" t="s">
        <v>671</v>
      </c>
      <c r="AR6" s="72" t="s">
        <v>672</v>
      </c>
      <c r="AS6" s="110"/>
      <c r="AT6" s="110"/>
    </row>
    <row r="7">
      <c r="C7" s="109" t="s">
        <v>673</v>
      </c>
      <c r="D7" s="110" t="s">
        <v>674</v>
      </c>
      <c r="G7" s="109" t="s">
        <v>675</v>
      </c>
      <c r="H7" s="110" t="s">
        <v>676</v>
      </c>
      <c r="K7" s="109" t="s">
        <v>677</v>
      </c>
      <c r="L7" s="110" t="s">
        <v>678</v>
      </c>
      <c r="O7" s="113" t="str">
        <f>IFERROR(__xludf.DUMMYFUNCTION("GOOGLETRANSLATE(C7,""zh-tw"",""zh"")"),"没事-&gt;忘光光")</f>
        <v>没事-&gt;忘光光</v>
      </c>
      <c r="P7" s="110" t="str">
        <f>IFERROR(__xludf.DUMMYFUNCTION("GOOGLETRANSLATE(D7,""zh-tw"",""zh"")"),"获得状态:总有一天会想起")</f>
        <v>获得状态:总有一天会想起</v>
      </c>
      <c r="S7" s="113" t="str">
        <f>IFERROR(__xludf.DUMMYFUNCTION("GOOGLETRANSLATE(C7,""zh-tw"",""es-MX"")"),"Está bien -&gt; Lo olvidé todo")</f>
        <v>Está bien -&gt; Lo olvidé todo</v>
      </c>
      <c r="T7" s="124" t="s">
        <v>679</v>
      </c>
      <c r="W7" s="111" t="s">
        <v>680</v>
      </c>
      <c r="X7" s="72" t="s">
        <v>681</v>
      </c>
      <c r="AA7" s="115" t="s">
        <v>682</v>
      </c>
      <c r="AB7" s="116" t="s">
        <v>683</v>
      </c>
      <c r="AE7" s="109" t="s">
        <v>684</v>
      </c>
      <c r="AF7" s="110" t="s">
        <v>685</v>
      </c>
      <c r="AI7" s="119" t="s">
        <v>686</v>
      </c>
      <c r="AJ7" s="120" t="s">
        <v>687</v>
      </c>
      <c r="AM7" s="122" t="s">
        <v>688</v>
      </c>
      <c r="AN7" s="123" t="s">
        <v>689</v>
      </c>
      <c r="AQ7" s="111" t="s">
        <v>690</v>
      </c>
      <c r="AR7" s="72" t="s">
        <v>691</v>
      </c>
      <c r="AS7" s="110"/>
      <c r="AT7" s="110"/>
    </row>
    <row r="8">
      <c r="A8" s="107">
        <v>2.0</v>
      </c>
      <c r="B8" s="108" t="s">
        <v>692</v>
      </c>
      <c r="C8" s="109" t="s">
        <v>693</v>
      </c>
      <c r="D8" s="110" t="s">
        <v>694</v>
      </c>
      <c r="E8" s="107">
        <v>2.0</v>
      </c>
      <c r="F8" s="108" t="s">
        <v>695</v>
      </c>
      <c r="G8" s="109" t="s">
        <v>696</v>
      </c>
      <c r="H8" s="110" t="s">
        <v>697</v>
      </c>
      <c r="I8" s="107">
        <v>2.0</v>
      </c>
      <c r="J8" s="108" t="s">
        <v>698</v>
      </c>
      <c r="K8" s="109" t="s">
        <v>699</v>
      </c>
      <c r="L8" s="110" t="s">
        <v>700</v>
      </c>
      <c r="M8" s="107">
        <v>2.0</v>
      </c>
      <c r="N8" s="108" t="str">
        <f>IFERROR(__xludf.DUMMYFUNCTION("GOOGLETRANSLATE(B8,""zh-tw"",""zh"")"),"第一次的探险")</f>
        <v>第一次的探险</v>
      </c>
      <c r="O8" s="113" t="str">
        <f>IFERROR(__xludf.DUMMYFUNCTION("GOOGLETRANSLATE(C8,""zh-tw"",""zh"")"),"第一次开始探险时，妹妹会有特殊的对话")</f>
        <v>第一次开始探险时，妹妹会有特殊的对话</v>
      </c>
      <c r="P8" s="75" t="str">
        <f>IFERROR(__xludf.DUMMYFUNCTION("GOOGLETRANSLATE(D8,""zh-tw"",""zh"")"),"特殊对话")</f>
        <v>特殊对话</v>
      </c>
      <c r="Q8" s="107">
        <v>2.0</v>
      </c>
      <c r="R8" s="125" t="str">
        <f>IFERROR(__xludf.DUMMYFUNCTION("GOOGLETRANSLATE(B8,""zh-tw"",""es-MX"")"),"Primera expedición")</f>
        <v>Primera expedición</v>
      </c>
      <c r="S8" s="109" t="str">
        <f>IFERROR(__xludf.DUMMYFUNCTION("GOOGLETRANSLATE(C8,""zh-tw"",""es-MX"")"),"La hermana menor tendrá un diálogo especial cuando comience la aventura por primera vez.")</f>
        <v>La hermana menor tendrá un diálogo especial cuando comience la aventura por primera vez.</v>
      </c>
      <c r="T8" s="72" t="s">
        <v>701</v>
      </c>
      <c r="U8" s="107">
        <v>2.0</v>
      </c>
      <c r="V8" s="125" t="s">
        <v>702</v>
      </c>
      <c r="W8" s="111" t="s">
        <v>703</v>
      </c>
      <c r="X8" s="72" t="s">
        <v>704</v>
      </c>
      <c r="Y8" s="107">
        <v>2.0</v>
      </c>
      <c r="Z8" s="114" t="s">
        <v>705</v>
      </c>
      <c r="AA8" s="115" t="s">
        <v>706</v>
      </c>
      <c r="AB8" s="116" t="s">
        <v>707</v>
      </c>
      <c r="AC8" s="107">
        <v>2.0</v>
      </c>
      <c r="AD8" s="108" t="s">
        <v>708</v>
      </c>
      <c r="AE8" s="109" t="s">
        <v>709</v>
      </c>
      <c r="AF8" s="110" t="s">
        <v>710</v>
      </c>
      <c r="AG8" s="117">
        <v>2.0</v>
      </c>
      <c r="AH8" s="118" t="s">
        <v>711</v>
      </c>
      <c r="AI8" s="119" t="s">
        <v>712</v>
      </c>
      <c r="AJ8" s="120" t="s">
        <v>713</v>
      </c>
      <c r="AK8" s="107">
        <v>2.0</v>
      </c>
      <c r="AL8" s="121" t="s">
        <v>714</v>
      </c>
      <c r="AM8" s="122" t="s">
        <v>715</v>
      </c>
      <c r="AN8" s="123" t="s">
        <v>716</v>
      </c>
      <c r="AO8" s="107">
        <v>2.0</v>
      </c>
      <c r="AP8" s="126" t="s">
        <v>698</v>
      </c>
      <c r="AQ8" s="127" t="s">
        <v>717</v>
      </c>
      <c r="AR8" s="128" t="s">
        <v>718</v>
      </c>
      <c r="AS8" s="110"/>
      <c r="AT8" s="110"/>
    </row>
    <row r="9">
      <c r="A9" s="107">
        <v>3.0</v>
      </c>
      <c r="B9" s="108" t="s">
        <v>655</v>
      </c>
      <c r="C9" s="109" t="s">
        <v>719</v>
      </c>
      <c r="D9" s="110" t="s">
        <v>720</v>
      </c>
      <c r="E9" s="107">
        <v>3.0</v>
      </c>
      <c r="F9" s="108" t="s">
        <v>721</v>
      </c>
      <c r="G9" s="109" t="s">
        <v>722</v>
      </c>
      <c r="H9" s="110" t="s">
        <v>723</v>
      </c>
      <c r="I9" s="107">
        <v>3.0</v>
      </c>
      <c r="J9" s="108" t="s">
        <v>724</v>
      </c>
      <c r="K9" s="109" t="s">
        <v>725</v>
      </c>
      <c r="L9" s="110" t="s">
        <v>726</v>
      </c>
      <c r="M9" s="107">
        <v>3.0</v>
      </c>
      <c r="N9" s="108" t="str">
        <f>IFERROR(__xludf.DUMMYFUNCTION("GOOGLETRANSLATE(B9,""zh-tw"",""zh"")"),"约定:肉料理")</f>
        <v>约定:肉料理</v>
      </c>
      <c r="O9" s="109" t="str">
        <f>IFERROR(__xludf.DUMMYFUNCTION("GOOGLETRANSLATE(C9,""zh-tw"",""zh"")"),"制作肉料理")</f>
        <v>制作肉料理</v>
      </c>
      <c r="P9" s="75" t="str">
        <f>IFERROR(__xludf.DUMMYFUNCTION("GOOGLETRANSLATE(D9,""zh-tw"",""zh"")"),"获得""少女的笑容""装备")</f>
        <v>获得"少女的笑容"装备</v>
      </c>
      <c r="Q9" s="107">
        <v>3.0</v>
      </c>
      <c r="R9" s="125" t="str">
        <f>IFERROR(__xludf.DUMMYFUNCTION("GOOGLETRANSLATE(B9,""zh-tw"",""es-MX"")"),"Acuerdo: Platos de carne")</f>
        <v>Acuerdo: Platos de carne</v>
      </c>
      <c r="S9" s="113" t="str">
        <f>IFERROR(__xludf.DUMMYFUNCTION("GOOGLETRANSLATE(C9,""zh-tw"",""es-MX"")"),"Preparar platos de carne")</f>
        <v>Preparar platos de carne</v>
      </c>
      <c r="T9" s="72" t="s">
        <v>727</v>
      </c>
      <c r="U9" s="107">
        <v>3.0</v>
      </c>
      <c r="V9" s="112" t="s">
        <v>728</v>
      </c>
      <c r="W9" s="111" t="s">
        <v>729</v>
      </c>
      <c r="X9" s="110" t="s">
        <v>730</v>
      </c>
      <c r="Y9" s="107">
        <v>3.0</v>
      </c>
      <c r="Z9" s="114" t="s">
        <v>731</v>
      </c>
      <c r="AA9" s="115" t="s">
        <v>732</v>
      </c>
      <c r="AB9" s="116" t="s">
        <v>733</v>
      </c>
      <c r="AC9" s="107">
        <v>3.0</v>
      </c>
      <c r="AD9" s="108" t="s">
        <v>734</v>
      </c>
      <c r="AE9" s="109" t="s">
        <v>735</v>
      </c>
      <c r="AF9" s="110" t="s">
        <v>736</v>
      </c>
      <c r="AG9" s="117">
        <v>3.0</v>
      </c>
      <c r="AH9" s="118" t="s">
        <v>737</v>
      </c>
      <c r="AI9" s="119" t="s">
        <v>738</v>
      </c>
      <c r="AJ9" s="120" t="s">
        <v>739</v>
      </c>
      <c r="AK9" s="107">
        <v>3.0</v>
      </c>
      <c r="AL9" s="121" t="s">
        <v>740</v>
      </c>
      <c r="AM9" s="122" t="s">
        <v>741</v>
      </c>
      <c r="AN9" s="129" t="s">
        <v>742</v>
      </c>
      <c r="AO9" s="107">
        <v>3.0</v>
      </c>
      <c r="AP9" s="126" t="s">
        <v>724</v>
      </c>
      <c r="AQ9" s="127" t="s">
        <v>743</v>
      </c>
      <c r="AR9" s="128" t="s">
        <v>744</v>
      </c>
      <c r="AS9" s="110"/>
      <c r="AT9" s="110"/>
    </row>
    <row r="10">
      <c r="A10" s="107">
        <v>4.0</v>
      </c>
      <c r="B10" s="108" t="s">
        <v>745</v>
      </c>
      <c r="C10" s="109" t="s">
        <v>746</v>
      </c>
      <c r="D10" s="110" t="s">
        <v>747</v>
      </c>
      <c r="E10" s="107">
        <v>4.0</v>
      </c>
      <c r="F10" s="108" t="s">
        <v>748</v>
      </c>
      <c r="G10" s="111" t="s">
        <v>749</v>
      </c>
      <c r="H10" s="110" t="s">
        <v>750</v>
      </c>
      <c r="I10" s="107">
        <v>4.0</v>
      </c>
      <c r="J10" s="108" t="s">
        <v>751</v>
      </c>
      <c r="K10" s="109" t="s">
        <v>752</v>
      </c>
      <c r="L10" s="72" t="s">
        <v>753</v>
      </c>
      <c r="M10" s="107">
        <v>4.0</v>
      </c>
      <c r="N10" s="108" t="str">
        <f>IFERROR(__xludf.DUMMYFUNCTION("GOOGLETRANSLATE(B10,""zh-tw"",""zh"")"),"约定:别受伤")</f>
        <v>约定:别受伤</v>
      </c>
      <c r="O10" s="111" t="s">
        <v>754</v>
      </c>
      <c r="P10" s="110" t="str">
        <f>IFERROR(__xludf.DUMMYFUNCTION("GOOGLETRANSLATE(D10,""zh-tw"",""zh"")"),"获得""什么都行券""道具
后续未实装")</f>
        <v>获得"什么都行券"道具
后续未实装</v>
      </c>
      <c r="Q10" s="107">
        <v>4.0</v>
      </c>
      <c r="R10" s="108" t="str">
        <f>IFERROR(__xludf.DUMMYFUNCTION("GOOGLETRANSLATE(B10,""zh-tw"",""es-MX"")"),"Acuerdo: No te hagas daño")</f>
        <v>Acuerdo: No te hagas daño</v>
      </c>
      <c r="S10" s="113" t="s">
        <v>755</v>
      </c>
      <c r="T10" s="72" t="s">
        <v>756</v>
      </c>
      <c r="U10" s="107">
        <v>4.0</v>
      </c>
      <c r="V10" s="108" t="str">
        <f>IFERROR(__xludf.DUMMYFUNCTION("GOOGLETRANSLATE(B10,""zh-tw"",""KO"")"),"약속: 다치지 말자")</f>
        <v>약속: 다치지 말자</v>
      </c>
      <c r="W10" s="109" t="s">
        <v>757</v>
      </c>
      <c r="X10" s="110" t="s">
        <v>758</v>
      </c>
      <c r="Y10" s="107">
        <v>4.0</v>
      </c>
      <c r="Z10" s="114" t="s">
        <v>759</v>
      </c>
      <c r="AA10" s="115" t="s">
        <v>760</v>
      </c>
      <c r="AB10" s="116" t="s">
        <v>761</v>
      </c>
      <c r="AC10" s="107">
        <v>4.0</v>
      </c>
      <c r="AD10" s="108" t="s">
        <v>762</v>
      </c>
      <c r="AE10" s="109" t="s">
        <v>763</v>
      </c>
      <c r="AF10" s="110" t="s">
        <v>764</v>
      </c>
      <c r="AG10" s="117">
        <v>4.0</v>
      </c>
      <c r="AH10" s="118" t="s">
        <v>765</v>
      </c>
      <c r="AI10" s="119" t="s">
        <v>766</v>
      </c>
      <c r="AJ10" s="120" t="s">
        <v>767</v>
      </c>
      <c r="AK10" s="107">
        <v>4.0</v>
      </c>
      <c r="AL10" s="121" t="s">
        <v>768</v>
      </c>
      <c r="AM10" s="122" t="s">
        <v>769</v>
      </c>
      <c r="AN10" s="123" t="s">
        <v>770</v>
      </c>
      <c r="AO10" s="107">
        <v>4.0</v>
      </c>
      <c r="AP10" s="126" t="s">
        <v>751</v>
      </c>
      <c r="AQ10" s="127" t="s">
        <v>771</v>
      </c>
      <c r="AR10" s="128" t="s">
        <v>772</v>
      </c>
      <c r="AS10" s="110"/>
      <c r="AT10" s="110"/>
    </row>
    <row r="11">
      <c r="A11" s="107">
        <v>5.0</v>
      </c>
      <c r="B11" s="108" t="s">
        <v>773</v>
      </c>
      <c r="C11" s="109" t="s">
        <v>774</v>
      </c>
      <c r="D11" s="110" t="s">
        <v>775</v>
      </c>
      <c r="E11" s="107">
        <v>5.0</v>
      </c>
      <c r="F11" s="108" t="s">
        <v>776</v>
      </c>
      <c r="G11" s="109" t="s">
        <v>777</v>
      </c>
      <c r="H11" s="110" t="s">
        <v>778</v>
      </c>
      <c r="I11" s="107">
        <v>5.0</v>
      </c>
      <c r="J11" s="108" t="s">
        <v>779</v>
      </c>
      <c r="K11" s="111" t="s">
        <v>780</v>
      </c>
      <c r="L11" s="72" t="s">
        <v>781</v>
      </c>
      <c r="M11" s="107">
        <v>5.0</v>
      </c>
      <c r="N11" s="108" t="str">
        <f>IFERROR(__xludf.DUMMYFUNCTION("GOOGLETRANSLATE(B11,""zh-tw"",""zh"")"),"约定:草莓牛奶")</f>
        <v>约定:草莓牛奶</v>
      </c>
      <c r="O11" s="113"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10" t="str">
        <f>IFERROR(__xludf.DUMMYFUNCTION("GOOGLETRANSLATE(D11,""zh-tw"",""zh"")"),"需要在一日之内达成约定的承诺，否则妹妹的❤️ 会转为🖤
(未实装)")</f>
        <v>需要在一日之内达成约定的承诺，否则妹妹的❤️ 会转为🖤
(未实装)</v>
      </c>
      <c r="Q11" s="107">
        <v>5.0</v>
      </c>
      <c r="R11" s="108" t="s">
        <v>782</v>
      </c>
      <c r="S11" s="111" t="s">
        <v>783</v>
      </c>
      <c r="T11" s="72" t="s">
        <v>784</v>
      </c>
      <c r="U11" s="107">
        <v>5.0</v>
      </c>
      <c r="V11" s="112" t="s">
        <v>785</v>
      </c>
      <c r="W11" s="111" t="s">
        <v>786</v>
      </c>
      <c r="X11" s="72" t="s">
        <v>787</v>
      </c>
      <c r="Y11" s="107">
        <v>5.0</v>
      </c>
      <c r="Z11" s="114" t="s">
        <v>788</v>
      </c>
      <c r="AA11" s="115" t="s">
        <v>789</v>
      </c>
      <c r="AB11" s="116" t="s">
        <v>790</v>
      </c>
      <c r="AC11" s="107">
        <v>5.0</v>
      </c>
      <c r="AD11" s="108" t="s">
        <v>791</v>
      </c>
      <c r="AE11" s="109" t="s">
        <v>792</v>
      </c>
      <c r="AF11" s="110" t="s">
        <v>793</v>
      </c>
      <c r="AG11" s="117">
        <v>5.0</v>
      </c>
      <c r="AH11" s="118" t="s">
        <v>794</v>
      </c>
      <c r="AI11" s="130" t="s">
        <v>795</v>
      </c>
      <c r="AJ11" s="120" t="s">
        <v>796</v>
      </c>
      <c r="AK11" s="107">
        <v>5.0</v>
      </c>
      <c r="AL11" s="121" t="s">
        <v>797</v>
      </c>
      <c r="AM11" s="131" t="s">
        <v>798</v>
      </c>
      <c r="AN11" s="123" t="s">
        <v>799</v>
      </c>
      <c r="AO11" s="107">
        <v>5.0</v>
      </c>
      <c r="AP11" s="126" t="s">
        <v>800</v>
      </c>
      <c r="AQ11" s="127" t="s">
        <v>801</v>
      </c>
      <c r="AR11" s="128" t="s">
        <v>802</v>
      </c>
      <c r="AS11" s="110"/>
      <c r="AT11" s="110"/>
    </row>
    <row r="12" ht="69.0" customHeight="1">
      <c r="A12" s="107">
        <v>6.0</v>
      </c>
      <c r="B12" s="108" t="s">
        <v>803</v>
      </c>
      <c r="C12" s="109" t="s">
        <v>804</v>
      </c>
      <c r="D12" s="110" t="s">
        <v>805</v>
      </c>
      <c r="E12" s="107">
        <v>6.0</v>
      </c>
      <c r="F12" s="108" t="s">
        <v>806</v>
      </c>
      <c r="G12" s="109" t="s">
        <v>807</v>
      </c>
      <c r="H12" s="110" t="s">
        <v>808</v>
      </c>
      <c r="I12" s="107">
        <v>6.0</v>
      </c>
      <c r="J12" s="108" t="s">
        <v>809</v>
      </c>
      <c r="K12" s="109" t="s">
        <v>810</v>
      </c>
      <c r="L12" s="110" t="s">
        <v>811</v>
      </c>
      <c r="M12" s="107">
        <v>6.0</v>
      </c>
      <c r="N12" s="108" t="str">
        <f>IFERROR(__xludf.DUMMYFUNCTION("GOOGLETRANSLATE(B12,""zh-tw"",""zh"")"),"第一次带饮料")</f>
        <v>第一次带饮料</v>
      </c>
      <c r="O12" s="113" t="s">
        <v>812</v>
      </c>
      <c r="P12" s="75" t="str">
        <f>IFERROR(__xludf.DUMMYFUNCTION("GOOGLETRANSLATE(D12,""zh-tw"",""zh"")"),"解锁""喝点什么""选项")</f>
        <v>解锁"喝点什么"选项</v>
      </c>
      <c r="Q12" s="107">
        <v>6.0</v>
      </c>
      <c r="R12" s="125" t="str">
        <f>IFERROR(__xludf.DUMMYFUNCTION("GOOGLETRANSLATE(B12,""zh-tw"",""es-MX"")"),"Primera vez que traigo bebidas")</f>
        <v>Primera vez que traigo bebidas</v>
      </c>
      <c r="S12" s="113" t="str">
        <f>IFERROR(__xludf.DUMMYFUNCTION("GOOGLETRANSLATE(C12,""zh-tw"",""es-MX"")"),"Hay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2" s="72" t="s">
        <v>813</v>
      </c>
      <c r="U12" s="107">
        <v>6.0</v>
      </c>
      <c r="V12" s="108" t="s">
        <v>814</v>
      </c>
      <c r="W12" s="111" t="s">
        <v>815</v>
      </c>
      <c r="X12" s="110" t="s">
        <v>816</v>
      </c>
      <c r="Y12" s="107">
        <v>6.0</v>
      </c>
      <c r="Z12" s="114" t="s">
        <v>817</v>
      </c>
      <c r="AA12" s="115" t="s">
        <v>818</v>
      </c>
      <c r="AB12" s="132" t="s">
        <v>819</v>
      </c>
      <c r="AC12" s="107">
        <v>6.0</v>
      </c>
      <c r="AD12" s="108" t="s">
        <v>820</v>
      </c>
      <c r="AE12" s="109" t="s">
        <v>821</v>
      </c>
      <c r="AF12" s="110" t="s">
        <v>822</v>
      </c>
      <c r="AG12" s="117">
        <v>6.0</v>
      </c>
      <c r="AH12" s="118" t="s">
        <v>823</v>
      </c>
      <c r="AI12" s="119" t="s">
        <v>824</v>
      </c>
      <c r="AJ12" s="120" t="s">
        <v>825</v>
      </c>
      <c r="AK12" s="107">
        <v>6.0</v>
      </c>
      <c r="AL12" s="121" t="s">
        <v>826</v>
      </c>
      <c r="AM12" s="122" t="s">
        <v>827</v>
      </c>
      <c r="AN12" s="123" t="s">
        <v>828</v>
      </c>
      <c r="AO12" s="107">
        <v>6.0</v>
      </c>
      <c r="AP12" s="126" t="s">
        <v>829</v>
      </c>
      <c r="AQ12" s="127" t="s">
        <v>830</v>
      </c>
      <c r="AR12" s="128" t="s">
        <v>831</v>
      </c>
      <c r="AS12" s="110"/>
      <c r="AT12" s="110"/>
    </row>
    <row r="13">
      <c r="A13" s="107">
        <v>7.0</v>
      </c>
      <c r="B13" s="108" t="s">
        <v>832</v>
      </c>
      <c r="C13" s="109" t="s">
        <v>833</v>
      </c>
      <c r="D13" s="110" t="s">
        <v>834</v>
      </c>
      <c r="E13" s="107">
        <v>7.0</v>
      </c>
      <c r="F13" s="108" t="s">
        <v>835</v>
      </c>
      <c r="G13" s="109" t="s">
        <v>836</v>
      </c>
      <c r="H13" s="110" t="s">
        <v>837</v>
      </c>
      <c r="I13" s="107">
        <v>7.0</v>
      </c>
      <c r="J13" s="108" t="s">
        <v>838</v>
      </c>
      <c r="K13" s="109" t="s">
        <v>839</v>
      </c>
      <c r="L13" s="110" t="s">
        <v>840</v>
      </c>
      <c r="M13" s="107">
        <v>7.0</v>
      </c>
      <c r="N13" s="108" t="str">
        <f>IFERROR(__xludf.DUMMYFUNCTION("GOOGLETRANSLATE(B13,""zh-tw"",""zh"")"),"第一次死亡")</f>
        <v>第一次死亡</v>
      </c>
      <c r="O13" s="109" t="str">
        <f>IFERROR(__xludf.DUMMYFUNCTION("GOOGLETRANSLATE(C13,""zh-tw"",""zh"")"),"第一次死亡后，吃到妹妹料理")</f>
        <v>第一次死亡后，吃到妹妹料理</v>
      </c>
      <c r="P13" s="75" t="s">
        <v>841</v>
      </c>
      <c r="Q13" s="107">
        <v>7.0</v>
      </c>
      <c r="R13" s="125" t="s">
        <v>842</v>
      </c>
      <c r="S13" s="113" t="str">
        <f>IFERROR(__xludf.DUMMYFUNCTION("GOOGLETRANSLATE(C13,""zh-tw"",""es-MX"")"),"Después de morir por primera vez, comí la comida que preparaba mi hermana.")</f>
        <v>Después de morir por primera vez, comí la comida que preparaba mi hermana.</v>
      </c>
      <c r="T13" s="75" t="str">
        <f>IFERROR(__xludf.DUMMYFUNCTION("GOOGLETRANSLATE(D13,""zh-tw"",""es-MX"")"),"*Evento único* Una secuencia onírica especial que te da la opción de pedirle a tu hermana que cocine para ti.")</f>
        <v>*Evento único* Una secuencia onírica especial que te da la opción de pedirle a tu hermana que cocine para ti.</v>
      </c>
      <c r="U13" s="107">
        <v>7.0</v>
      </c>
      <c r="V13" s="125" t="s">
        <v>843</v>
      </c>
      <c r="W13" s="111" t="s">
        <v>844</v>
      </c>
      <c r="X13" s="72" t="s">
        <v>845</v>
      </c>
      <c r="Y13" s="107">
        <v>7.0</v>
      </c>
      <c r="Z13" s="114" t="s">
        <v>846</v>
      </c>
      <c r="AA13" s="115" t="s">
        <v>847</v>
      </c>
      <c r="AB13" s="116" t="s">
        <v>848</v>
      </c>
      <c r="AC13" s="107">
        <v>7.0</v>
      </c>
      <c r="AD13" s="108" t="s">
        <v>849</v>
      </c>
      <c r="AE13" s="109" t="s">
        <v>850</v>
      </c>
      <c r="AF13" s="110" t="s">
        <v>851</v>
      </c>
      <c r="AG13" s="117">
        <v>7.0</v>
      </c>
      <c r="AH13" s="118" t="s">
        <v>852</v>
      </c>
      <c r="AI13" s="130" t="s">
        <v>853</v>
      </c>
      <c r="AJ13" s="120" t="s">
        <v>854</v>
      </c>
      <c r="AK13" s="107">
        <v>7.0</v>
      </c>
      <c r="AL13" s="121" t="s">
        <v>855</v>
      </c>
      <c r="AM13" s="131" t="s">
        <v>856</v>
      </c>
      <c r="AN13" s="123" t="s">
        <v>857</v>
      </c>
      <c r="AO13" s="107">
        <v>7.0</v>
      </c>
      <c r="AP13" s="126" t="s">
        <v>858</v>
      </c>
      <c r="AQ13" s="127" t="s">
        <v>859</v>
      </c>
      <c r="AR13" s="128" t="s">
        <v>860</v>
      </c>
      <c r="AS13" s="110"/>
      <c r="AT13" s="110"/>
    </row>
    <row r="14">
      <c r="A14" s="107">
        <v>8.0</v>
      </c>
      <c r="B14" s="108" t="s">
        <v>861</v>
      </c>
      <c r="C14" s="109" t="s">
        <v>862</v>
      </c>
      <c r="D14" s="110" t="s">
        <v>863</v>
      </c>
      <c r="E14" s="107">
        <v>8.0</v>
      </c>
      <c r="F14" s="108" t="s">
        <v>864</v>
      </c>
      <c r="G14" s="109" t="s">
        <v>865</v>
      </c>
      <c r="H14" s="110" t="s">
        <v>866</v>
      </c>
      <c r="I14" s="107">
        <v>8.0</v>
      </c>
      <c r="J14" s="108" t="s">
        <v>867</v>
      </c>
      <c r="K14" s="109" t="s">
        <v>868</v>
      </c>
      <c r="L14" s="72" t="s">
        <v>869</v>
      </c>
      <c r="M14" s="107">
        <v>8.0</v>
      </c>
      <c r="N14" s="108" t="str">
        <f>IFERROR(__xludf.DUMMYFUNCTION("GOOGLETRANSLATE(B14,""zh-tw"",""zh"")"),"妹妹的料理")</f>
        <v>妹妹的料理</v>
      </c>
      <c r="O14" s="111" t="s">
        <v>870</v>
      </c>
      <c r="P14" s="110" t="str">
        <f>IFERROR(__xludf.DUMMYFUNCTION("GOOGLETRANSLATE(D14,""zh-tw"",""zh"")"),"产生料理
P.S.想要吃掉你的选项，未实装")</f>
        <v>产生料理
P.S.想要吃掉你的选项，未实装</v>
      </c>
      <c r="Q14" s="107">
        <v>8.0</v>
      </c>
      <c r="R14" s="125" t="str">
        <f>IFERROR(__xludf.DUMMYFUNCTION("GOOGLETRANSLATE(B14,""zh-tw"",""es-MX"")"),"La cocina de mi hermana")</f>
        <v>La cocina de mi hermana</v>
      </c>
      <c r="S14" s="113" t="str">
        <f>IFERROR(__xludf.DUMMYFUNCTION("GOOGLETRANSLATE(C14,""zh-tw"",""es-MX"")"),"La elección del plato que cocinará tu hermana depende de las opciones disponibles.
Además, existen algunas reglas:
1. Selección aleatoria de los ingredientes restantes.
2. Tu hermana no elegirá chiles ni comida chatarra.
3. La carne generalmente tiene"&amp;" mayor prioridad.
4. El plato se preparará según las recetas habituales.
5. Existe la posibilidad de que ocurra un ""Gran Milagro"": incluso si la comida falla, aún podría resultar en un plato exitoso.
6. La estadística de suerte de tu hermano aumenta "&amp;"la probabilidad de que tu hermana ocurra un ""Gran Milagro"".
7. Tu hermana no cocinará cuando esté de mal humor.
8. Cuando tenga muchos corazones morados, tu hermana añadirá ingredientes en secreto (aún no implementado).")</f>
        <v>La elección del plato que cocinará tu hermana depende de las opciones disponibles.
Además, existen algunas reglas:
1. Selección aleatoria de los ingredientes restantes.
2. Tu hermana no elegirá chiles ni comida chatarra.
3. La carne generalmente tiene mayor prioridad.
4. El plato se preparará según las recetas habituales.
5. Existe la posibilidad de que ocurra un "Gran Milagro": incluso si la comida falla, aún podría resultar en un plato exitoso.
6. La estadística de suerte de tu hermano aumenta la probabilidad de que tu hermana ocurra un "Gran Milagro".
7. Tu hermana no cocinará cuando esté de mal humor.
8. Cuando tenga muchos corazones morados, tu hermana añadirá ingredientes en secreto (aún no implementado).</v>
      </c>
      <c r="T14" s="75" t="str">
        <f>IFERROR(__xludf.DUMMYFUNCTION("GOOGLETRANSLATE(D14,""zh-tw"",""es-MX"")"),"Se generará comida.
P.D.: La opción de ""querer comerte"" aún no está implementada.")</f>
        <v>Se generará comida.
P.D.: La opción de "querer comerte" aún no está implementada.</v>
      </c>
      <c r="U14" s="107">
        <v>8.0</v>
      </c>
      <c r="V14" s="112" t="s">
        <v>871</v>
      </c>
      <c r="W14" s="111" t="s">
        <v>872</v>
      </c>
      <c r="X14" s="72" t="s">
        <v>873</v>
      </c>
      <c r="Y14" s="107">
        <v>8.0</v>
      </c>
      <c r="Z14" s="114" t="s">
        <v>874</v>
      </c>
      <c r="AA14" s="115" t="s">
        <v>875</v>
      </c>
      <c r="AB14" s="116" t="s">
        <v>876</v>
      </c>
      <c r="AC14" s="107">
        <v>8.0</v>
      </c>
      <c r="AD14" s="108" t="s">
        <v>877</v>
      </c>
      <c r="AE14" s="109" t="s">
        <v>878</v>
      </c>
      <c r="AF14" s="110" t="s">
        <v>879</v>
      </c>
      <c r="AG14" s="117">
        <v>8.0</v>
      </c>
      <c r="AH14" s="133" t="s">
        <v>880</v>
      </c>
      <c r="AI14" s="119" t="s">
        <v>881</v>
      </c>
      <c r="AJ14" s="134" t="s">
        <v>882</v>
      </c>
      <c r="AK14" s="107">
        <v>8.0</v>
      </c>
      <c r="AL14" s="121" t="s">
        <v>883</v>
      </c>
      <c r="AM14" s="131" t="s">
        <v>884</v>
      </c>
      <c r="AN14" s="129" t="s">
        <v>885</v>
      </c>
      <c r="AO14" s="107">
        <v>8.0</v>
      </c>
      <c r="AP14" s="126" t="s">
        <v>886</v>
      </c>
      <c r="AQ14" s="127" t="s">
        <v>887</v>
      </c>
      <c r="AR14" s="128" t="s">
        <v>888</v>
      </c>
      <c r="AS14" s="110"/>
      <c r="AT14" s="110"/>
    </row>
    <row r="15">
      <c r="A15" s="107">
        <v>9.0</v>
      </c>
      <c r="B15" s="108" t="s">
        <v>889</v>
      </c>
      <c r="C15" s="109" t="s">
        <v>890</v>
      </c>
      <c r="D15" s="110" t="s">
        <v>891</v>
      </c>
      <c r="E15" s="107">
        <v>9.0</v>
      </c>
      <c r="F15" s="108" t="s">
        <v>892</v>
      </c>
      <c r="G15" s="109" t="s">
        <v>893</v>
      </c>
      <c r="H15" s="110" t="s">
        <v>894</v>
      </c>
      <c r="I15" s="107">
        <v>9.0</v>
      </c>
      <c r="J15" s="108" t="s">
        <v>895</v>
      </c>
      <c r="K15" s="109" t="s">
        <v>896</v>
      </c>
      <c r="L15" s="110" t="s">
        <v>897</v>
      </c>
      <c r="M15" s="107">
        <v>9.0</v>
      </c>
      <c r="N15" s="108" t="str">
        <f>IFERROR(__xludf.DUMMYFUNCTION("GOOGLETRANSLATE(B15,""zh-tw"",""zh"")"),"制作辣料理")</f>
        <v>制作辣料理</v>
      </c>
      <c r="O15" s="113" t="str">
        <f>IFERROR(__xludf.DUMMYFUNCTION("GOOGLETRANSLATE(C15,""zh-tw"",""zh"")"),"妹妹被辣哭")</f>
        <v>妹妹被辣哭</v>
      </c>
      <c r="P15" s="110" t="str">
        <f>IFERROR(__xludf.DUMMYFUNCTION("GOOGLETRANSLATE(D15,""zh-tw"",""zh"")"),"触发被辣哭的剧情")</f>
        <v>触发被辣哭的剧情</v>
      </c>
      <c r="Q15" s="107">
        <v>9.0</v>
      </c>
      <c r="R15" s="108" t="s">
        <v>898</v>
      </c>
      <c r="S15" s="109" t="s">
        <v>899</v>
      </c>
      <c r="T15" s="75" t="s">
        <v>900</v>
      </c>
      <c r="U15" s="107">
        <v>9.0</v>
      </c>
      <c r="V15" s="112" t="s">
        <v>901</v>
      </c>
      <c r="W15" s="111" t="s">
        <v>902</v>
      </c>
      <c r="X15" s="72" t="s">
        <v>903</v>
      </c>
      <c r="Y15" s="107">
        <v>9.0</v>
      </c>
      <c r="Z15" s="114" t="s">
        <v>904</v>
      </c>
      <c r="AA15" s="115" t="s">
        <v>905</v>
      </c>
      <c r="AB15" s="116" t="s">
        <v>906</v>
      </c>
      <c r="AC15" s="107">
        <v>9.0</v>
      </c>
      <c r="AD15" s="108" t="s">
        <v>907</v>
      </c>
      <c r="AE15" s="109" t="s">
        <v>908</v>
      </c>
      <c r="AF15" s="110" t="s">
        <v>909</v>
      </c>
      <c r="AG15" s="117">
        <v>9.0</v>
      </c>
      <c r="AH15" s="118" t="s">
        <v>910</v>
      </c>
      <c r="AI15" s="119" t="s">
        <v>911</v>
      </c>
      <c r="AJ15" s="120" t="s">
        <v>912</v>
      </c>
      <c r="AK15" s="107">
        <v>9.0</v>
      </c>
      <c r="AL15" s="121" t="s">
        <v>913</v>
      </c>
      <c r="AM15" s="122" t="s">
        <v>914</v>
      </c>
      <c r="AN15" s="123" t="s">
        <v>915</v>
      </c>
      <c r="AO15" s="107">
        <v>9.0</v>
      </c>
      <c r="AP15" s="126" t="s">
        <v>916</v>
      </c>
      <c r="AQ15" s="127" t="s">
        <v>917</v>
      </c>
      <c r="AR15" s="128" t="s">
        <v>918</v>
      </c>
      <c r="AS15" s="110"/>
      <c r="AT15" s="110"/>
    </row>
    <row r="16">
      <c r="A16" s="107">
        <v>10.0</v>
      </c>
      <c r="B16" s="108" t="s">
        <v>919</v>
      </c>
      <c r="C16" s="111" t="s">
        <v>920</v>
      </c>
      <c r="D16" s="110" t="s">
        <v>921</v>
      </c>
      <c r="E16" s="107">
        <v>10.0</v>
      </c>
      <c r="F16" s="108" t="s">
        <v>922</v>
      </c>
      <c r="G16" s="109" t="s">
        <v>923</v>
      </c>
      <c r="H16" s="110" t="s">
        <v>924</v>
      </c>
      <c r="I16" s="107">
        <v>10.0</v>
      </c>
      <c r="J16" s="108" t="s">
        <v>925</v>
      </c>
      <c r="K16" s="109" t="s">
        <v>926</v>
      </c>
      <c r="L16" s="110" t="s">
        <v>927</v>
      </c>
      <c r="M16" s="107">
        <v>10.0</v>
      </c>
      <c r="N16" s="108" t="str">
        <f>IFERROR(__xludf.DUMMYFUNCTION("GOOGLETRANSLATE(B16,""zh-tw"",""zh"")"),"解除辣味危机")</f>
        <v>解除辣味危机</v>
      </c>
      <c r="O16" s="113" t="str">
        <f>IFERROR(__xludf.DUMMYFUNCTION("GOOGLETRANSLATE(C16,""zh-tw"",""zh"")"),"妹妹会被辣到趴在床上，需要解除辣味")</f>
        <v>妹妹会被辣到趴在床上，需要解除辣味</v>
      </c>
      <c r="P16" s="110" t="str">
        <f>IFERROR(__xludf.DUMMYFUNCTION("GOOGLETRANSLATE(D16,""zh-tw"",""zh"")"),"触发解除辣味的选项")</f>
        <v>触发解除辣味的选项</v>
      </c>
      <c r="Q16" s="107">
        <v>10.0</v>
      </c>
      <c r="R16" s="108" t="s">
        <v>928</v>
      </c>
      <c r="S16" s="109" t="s">
        <v>929</v>
      </c>
      <c r="T16" s="75" t="s">
        <v>930</v>
      </c>
      <c r="U16" s="107">
        <v>10.0</v>
      </c>
      <c r="V16" s="112" t="s">
        <v>931</v>
      </c>
      <c r="W16" s="111" t="s">
        <v>932</v>
      </c>
      <c r="X16" s="72" t="s">
        <v>933</v>
      </c>
      <c r="Y16" s="107">
        <v>10.0</v>
      </c>
      <c r="Z16" s="114" t="s">
        <v>934</v>
      </c>
      <c r="AA16" s="115" t="s">
        <v>935</v>
      </c>
      <c r="AB16" s="116" t="s">
        <v>936</v>
      </c>
      <c r="AC16" s="107">
        <v>10.0</v>
      </c>
      <c r="AD16" s="108" t="s">
        <v>937</v>
      </c>
      <c r="AE16" s="109" t="s">
        <v>938</v>
      </c>
      <c r="AF16" s="110" t="s">
        <v>939</v>
      </c>
      <c r="AG16" s="117">
        <v>10.0</v>
      </c>
      <c r="AH16" s="118" t="s">
        <v>940</v>
      </c>
      <c r="AI16" s="119" t="s">
        <v>941</v>
      </c>
      <c r="AJ16" s="120" t="s">
        <v>942</v>
      </c>
      <c r="AK16" s="107">
        <v>10.0</v>
      </c>
      <c r="AL16" s="121" t="s">
        <v>943</v>
      </c>
      <c r="AM16" s="122" t="s">
        <v>944</v>
      </c>
      <c r="AN16" s="123" t="s">
        <v>945</v>
      </c>
      <c r="AO16" s="107">
        <v>10.0</v>
      </c>
      <c r="AP16" s="126" t="s">
        <v>946</v>
      </c>
      <c r="AQ16" s="127" t="s">
        <v>947</v>
      </c>
      <c r="AR16" s="128" t="s">
        <v>948</v>
      </c>
      <c r="AS16" s="110"/>
      <c r="AT16" s="110"/>
    </row>
    <row r="17">
      <c r="A17" s="107">
        <v>11.0</v>
      </c>
      <c r="B17" s="108" t="s">
        <v>949</v>
      </c>
      <c r="C17" s="109" t="s">
        <v>950</v>
      </c>
      <c r="D17" s="110" t="s">
        <v>951</v>
      </c>
      <c r="E17" s="107">
        <v>11.0</v>
      </c>
      <c r="F17" s="108" t="s">
        <v>952</v>
      </c>
      <c r="G17" s="109" t="s">
        <v>953</v>
      </c>
      <c r="H17" s="110" t="s">
        <v>954</v>
      </c>
      <c r="I17" s="107">
        <v>11.0</v>
      </c>
      <c r="J17" s="108" t="s">
        <v>955</v>
      </c>
      <c r="K17" s="109" t="s">
        <v>956</v>
      </c>
      <c r="L17" s="110" t="s">
        <v>957</v>
      </c>
      <c r="M17" s="107">
        <v>11.0</v>
      </c>
      <c r="N17" s="108" t="str">
        <f>IFERROR(__xludf.DUMMYFUNCTION("GOOGLETRANSLATE(B17,""zh-tw"",""zh"")"),"红肿的小嘴-1")</f>
        <v>红肿的小嘴-1</v>
      </c>
      <c r="O17" s="113"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10" t="str">
        <f>IFERROR(__xludf.DUMMYFUNCTION("GOOGLETRANSLATE(D17,""zh-tw"",""zh"")"),"触发被拒绝检查口腔的剧情")</f>
        <v>触发被拒绝检查口腔的剧情</v>
      </c>
      <c r="Q17" s="107">
        <v>11.0</v>
      </c>
      <c r="R17" s="108" t="s">
        <v>958</v>
      </c>
      <c r="S17" s="109" t="s">
        <v>959</v>
      </c>
      <c r="T17" s="75" t="s">
        <v>960</v>
      </c>
      <c r="U17" s="107">
        <v>11.0</v>
      </c>
      <c r="V17" s="112" t="s">
        <v>961</v>
      </c>
      <c r="W17" s="111" t="s">
        <v>962</v>
      </c>
      <c r="X17" s="72" t="s">
        <v>963</v>
      </c>
      <c r="Y17" s="107">
        <v>11.0</v>
      </c>
      <c r="Z17" s="114" t="s">
        <v>964</v>
      </c>
      <c r="AA17" s="115" t="s">
        <v>965</v>
      </c>
      <c r="AB17" s="116" t="s">
        <v>966</v>
      </c>
      <c r="AC17" s="107">
        <v>11.0</v>
      </c>
      <c r="AD17" s="108" t="s">
        <v>967</v>
      </c>
      <c r="AE17" s="109" t="s">
        <v>968</v>
      </c>
      <c r="AF17" s="110" t="s">
        <v>969</v>
      </c>
      <c r="AG17" s="117">
        <v>11.0</v>
      </c>
      <c r="AH17" s="118" t="s">
        <v>970</v>
      </c>
      <c r="AI17" s="119" t="s">
        <v>971</v>
      </c>
      <c r="AJ17" s="120" t="s">
        <v>972</v>
      </c>
      <c r="AK17" s="107">
        <v>11.0</v>
      </c>
      <c r="AL17" s="121" t="s">
        <v>973</v>
      </c>
      <c r="AM17" s="131" t="s">
        <v>974</v>
      </c>
      <c r="AN17" s="123" t="s">
        <v>975</v>
      </c>
      <c r="AO17" s="107">
        <v>11.0</v>
      </c>
      <c r="AP17" s="126" t="s">
        <v>976</v>
      </c>
      <c r="AQ17" s="127" t="s">
        <v>977</v>
      </c>
      <c r="AR17" s="128" t="s">
        <v>978</v>
      </c>
      <c r="AS17" s="110"/>
      <c r="AT17" s="110"/>
    </row>
    <row r="18">
      <c r="A18" s="107">
        <v>12.0</v>
      </c>
      <c r="B18" s="108" t="s">
        <v>979</v>
      </c>
      <c r="C18" s="109" t="s">
        <v>980</v>
      </c>
      <c r="D18" s="110" t="s">
        <v>981</v>
      </c>
      <c r="E18" s="107">
        <v>12.0</v>
      </c>
      <c r="F18" s="108" t="s">
        <v>982</v>
      </c>
      <c r="G18" s="109" t="s">
        <v>983</v>
      </c>
      <c r="H18" s="110" t="s">
        <v>984</v>
      </c>
      <c r="I18" s="107">
        <v>12.0</v>
      </c>
      <c r="J18" s="108" t="s">
        <v>985</v>
      </c>
      <c r="K18" s="109" t="s">
        <v>986</v>
      </c>
      <c r="L18" s="72" t="s">
        <v>987</v>
      </c>
      <c r="M18" s="107">
        <v>12.0</v>
      </c>
      <c r="N18" s="108" t="str">
        <f>IFERROR(__xludf.DUMMYFUNCTION("GOOGLETRANSLATE(B18,""zh-tw"",""zh"")"),"红肿的小嘴-2")</f>
        <v>红肿的小嘴-2</v>
      </c>
      <c r="O18" s="113" t="str">
        <f>IFERROR(__xludf.DUMMYFUNCTION("GOOGLETRANSLATE(C18,""zh-tw"",""zh"")"),"同上，妹妹紫心高于3时，可以触发口腔检查的后续剧情")</f>
        <v>同上，妹妹紫心高于3时，可以触发口腔检查的后续剧情</v>
      </c>
      <c r="P18" s="110" t="str">
        <f>IFERROR(__xludf.DUMMYFUNCTION("GOOGLETRANSLATE(D18,""zh-tw"",""zh"")"),"触发检查口腔的剧情")</f>
        <v>触发检查口腔的剧情</v>
      </c>
      <c r="Q18" s="107">
        <v>12.0</v>
      </c>
      <c r="R18" s="108" t="s">
        <v>988</v>
      </c>
      <c r="S18" s="109" t="s">
        <v>989</v>
      </c>
      <c r="T18" s="75" t="s">
        <v>990</v>
      </c>
      <c r="U18" s="107">
        <v>12.0</v>
      </c>
      <c r="V18" s="112" t="s">
        <v>991</v>
      </c>
      <c r="W18" s="111" t="s">
        <v>992</v>
      </c>
      <c r="X18" s="72" t="s">
        <v>993</v>
      </c>
      <c r="Y18" s="107">
        <v>12.0</v>
      </c>
      <c r="Z18" s="114" t="s">
        <v>994</v>
      </c>
      <c r="AA18" s="115" t="s">
        <v>995</v>
      </c>
      <c r="AB18" s="116" t="s">
        <v>996</v>
      </c>
      <c r="AC18" s="107">
        <v>12.0</v>
      </c>
      <c r="AD18" s="108" t="s">
        <v>997</v>
      </c>
      <c r="AE18" s="109" t="s">
        <v>998</v>
      </c>
      <c r="AF18" s="110" t="s">
        <v>999</v>
      </c>
      <c r="AG18" s="117">
        <v>12.0</v>
      </c>
      <c r="AH18" s="118" t="s">
        <v>1000</v>
      </c>
      <c r="AI18" s="119" t="s">
        <v>1001</v>
      </c>
      <c r="AJ18" s="120" t="s">
        <v>1002</v>
      </c>
      <c r="AK18" s="107">
        <v>12.0</v>
      </c>
      <c r="AL18" s="121" t="s">
        <v>1003</v>
      </c>
      <c r="AM18" s="122" t="s">
        <v>1004</v>
      </c>
      <c r="AN18" s="123" t="s">
        <v>1005</v>
      </c>
      <c r="AO18" s="107">
        <v>12.0</v>
      </c>
      <c r="AP18" s="126" t="s">
        <v>1006</v>
      </c>
      <c r="AQ18" s="127" t="s">
        <v>1007</v>
      </c>
      <c r="AR18" s="128" t="s">
        <v>1008</v>
      </c>
      <c r="AS18" s="110"/>
      <c r="AT18" s="110"/>
    </row>
    <row r="19">
      <c r="A19" s="107">
        <v>13.0</v>
      </c>
      <c r="B19" s="108" t="s">
        <v>1009</v>
      </c>
      <c r="C19" s="111" t="s">
        <v>1010</v>
      </c>
      <c r="D19" s="110" t="s">
        <v>1011</v>
      </c>
      <c r="E19" s="107">
        <v>13.0</v>
      </c>
      <c r="F19" s="108" t="s">
        <v>1012</v>
      </c>
      <c r="G19" s="109" t="s">
        <v>1013</v>
      </c>
      <c r="H19" s="110" t="s">
        <v>1014</v>
      </c>
      <c r="I19" s="107">
        <v>13.0</v>
      </c>
      <c r="J19" s="108" t="s">
        <v>1015</v>
      </c>
      <c r="K19" s="111" t="s">
        <v>1016</v>
      </c>
      <c r="L19" s="110" t="s">
        <v>1017</v>
      </c>
      <c r="M19" s="107">
        <v>13.0</v>
      </c>
      <c r="N19" s="108" t="str">
        <f>IFERROR(__xludf.DUMMYFUNCTION("GOOGLETRANSLATE(B19,""zh-tw"",""zh"")"),"呆毛")</f>
        <v>呆毛</v>
      </c>
      <c r="O19" s="113"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75" t="s">
        <v>1018</v>
      </c>
      <c r="Q19" s="107">
        <v>13.0</v>
      </c>
      <c r="R19" s="125" t="s">
        <v>1015</v>
      </c>
      <c r="S19" s="113" t="s">
        <v>1019</v>
      </c>
      <c r="T19" s="72" t="s">
        <v>1020</v>
      </c>
      <c r="U19" s="107">
        <v>13.0</v>
      </c>
      <c r="V19" s="108" t="s">
        <v>1021</v>
      </c>
      <c r="W19" s="111" t="s">
        <v>1022</v>
      </c>
      <c r="X19" s="72" t="s">
        <v>1023</v>
      </c>
      <c r="Y19" s="107">
        <v>13.0</v>
      </c>
      <c r="Z19" s="114" t="s">
        <v>1024</v>
      </c>
      <c r="AA19" s="115" t="s">
        <v>1025</v>
      </c>
      <c r="AB19" s="116" t="s">
        <v>1026</v>
      </c>
      <c r="AC19" s="107">
        <v>13.0</v>
      </c>
      <c r="AD19" s="108" t="s">
        <v>1027</v>
      </c>
      <c r="AE19" s="109" t="s">
        <v>1028</v>
      </c>
      <c r="AF19" s="110" t="s">
        <v>1029</v>
      </c>
      <c r="AG19" s="117">
        <v>13.0</v>
      </c>
      <c r="AH19" s="118" t="s">
        <v>1015</v>
      </c>
      <c r="AI19" s="130" t="s">
        <v>1030</v>
      </c>
      <c r="AJ19" s="120" t="s">
        <v>1031</v>
      </c>
      <c r="AK19" s="107">
        <v>13.0</v>
      </c>
      <c r="AL19" s="121" t="s">
        <v>1015</v>
      </c>
      <c r="AM19" s="131" t="s">
        <v>1032</v>
      </c>
      <c r="AN19" s="123" t="s">
        <v>1033</v>
      </c>
      <c r="AO19" s="107">
        <v>13.0</v>
      </c>
      <c r="AP19" s="112" t="s">
        <v>1034</v>
      </c>
      <c r="AQ19" s="111" t="s">
        <v>1035</v>
      </c>
      <c r="AR19" s="72" t="s">
        <v>1036</v>
      </c>
      <c r="AS19" s="110"/>
      <c r="AT19" s="110"/>
    </row>
    <row r="20">
      <c r="A20" s="107">
        <v>14.0</v>
      </c>
      <c r="B20" s="108" t="s">
        <v>1037</v>
      </c>
      <c r="C20" s="109" t="s">
        <v>1038</v>
      </c>
      <c r="D20" s="110" t="s">
        <v>1039</v>
      </c>
      <c r="E20" s="107">
        <v>14.0</v>
      </c>
      <c r="F20" s="108" t="s">
        <v>1040</v>
      </c>
      <c r="G20" s="109" t="s">
        <v>1041</v>
      </c>
      <c r="H20" s="110" t="s">
        <v>1042</v>
      </c>
      <c r="I20" s="107">
        <v>14.0</v>
      </c>
      <c r="J20" s="108" t="s">
        <v>1043</v>
      </c>
      <c r="K20" s="109" t="s">
        <v>1044</v>
      </c>
      <c r="L20" s="110" t="s">
        <v>1045</v>
      </c>
      <c r="M20" s="107">
        <v>14.0</v>
      </c>
      <c r="N20" s="108" t="str">
        <f>IFERROR(__xludf.DUMMYFUNCTION("GOOGLETRANSLATE(B20,""zh-tw"",""zh"")"),"浑身恶臭-1")</f>
        <v>浑身恶臭-1</v>
      </c>
      <c r="O20" s="113" t="str">
        <f>IFERROR(__xludf.DUMMYFUNCTION("GOOGLETRANSLATE(C20,""zh-tw"",""zh"")"),"装备""臭鱼骨""回家时可触发")</f>
        <v>装备"臭鱼骨"回家时可触发</v>
      </c>
      <c r="P20" s="110" t="str">
        <f>IFERROR(__xludf.DUMMYFUNCTION("GOOGLETRANSLATE(D20,""zh-tw"",""zh"")"),"触发""哥哥好臭""事件")</f>
        <v>触发"哥哥好臭"事件</v>
      </c>
      <c r="Q20" s="107">
        <v>14.0</v>
      </c>
      <c r="R20" s="125" t="s">
        <v>1046</v>
      </c>
      <c r="S20" s="113" t="str">
        <f>IFERROR(__xludf.DUMMYFUNCTION("GOOGLETRANSLATE(C20,""zh-tw"",""es-MX"")"),"Equipar el objeto ""Espina de pescado apestosa"" puede desencadenar un evento determinado al regresar a casa.")</f>
        <v>Equipar el objeto "Espina de pescado apestosa" puede desencadenar un evento determinado al regresar a casa.</v>
      </c>
      <c r="T20" s="75" t="str">
        <f>IFERROR(__xludf.DUMMYFUNCTION("GOOGLETRANSLATE(D20,""zh-tw"",""es-MX"")"),"Desencadenando el evento ""El hermano huele mal""")</f>
        <v>Desencadenando el evento "El hermano huele mal"</v>
      </c>
      <c r="U20" s="107">
        <v>14.0</v>
      </c>
      <c r="V20" s="112" t="s">
        <v>1047</v>
      </c>
      <c r="W20" s="111" t="s">
        <v>1048</v>
      </c>
      <c r="X20" s="72" t="s">
        <v>1049</v>
      </c>
      <c r="Y20" s="107">
        <v>14.0</v>
      </c>
      <c r="Z20" s="114" t="s">
        <v>1050</v>
      </c>
      <c r="AA20" s="115" t="s">
        <v>1051</v>
      </c>
      <c r="AB20" s="116" t="s">
        <v>1052</v>
      </c>
      <c r="AC20" s="107">
        <v>14.0</v>
      </c>
      <c r="AD20" s="108" t="s">
        <v>1053</v>
      </c>
      <c r="AE20" s="109" t="s">
        <v>1054</v>
      </c>
      <c r="AF20" s="110" t="s">
        <v>1055</v>
      </c>
      <c r="AG20" s="117">
        <v>14.0</v>
      </c>
      <c r="AH20" s="118" t="s">
        <v>1056</v>
      </c>
      <c r="AI20" s="119" t="s">
        <v>1057</v>
      </c>
      <c r="AJ20" s="120" t="s">
        <v>1058</v>
      </c>
      <c r="AK20" s="107">
        <v>14.0</v>
      </c>
      <c r="AL20" s="121" t="s">
        <v>1059</v>
      </c>
      <c r="AM20" s="122" t="s">
        <v>1060</v>
      </c>
      <c r="AN20" s="123" t="s">
        <v>1061</v>
      </c>
      <c r="AO20" s="107">
        <v>14.0</v>
      </c>
      <c r="AP20" s="112" t="s">
        <v>1062</v>
      </c>
      <c r="AQ20" s="111" t="s">
        <v>1063</v>
      </c>
      <c r="AR20" s="72" t="s">
        <v>1064</v>
      </c>
      <c r="AS20" s="110"/>
      <c r="AT20" s="110"/>
    </row>
    <row r="21">
      <c r="A21" s="107">
        <v>15.0</v>
      </c>
      <c r="B21" s="108" t="s">
        <v>1065</v>
      </c>
      <c r="C21" s="109" t="s">
        <v>1066</v>
      </c>
      <c r="D21" s="110" t="s">
        <v>1067</v>
      </c>
      <c r="E21" s="107">
        <v>15.0</v>
      </c>
      <c r="F21" s="108" t="s">
        <v>1068</v>
      </c>
      <c r="G21" s="109" t="s">
        <v>1069</v>
      </c>
      <c r="H21" s="110" t="s">
        <v>1070</v>
      </c>
      <c r="I21" s="107">
        <v>15.0</v>
      </c>
      <c r="J21" s="108" t="s">
        <v>1071</v>
      </c>
      <c r="K21" s="109" t="s">
        <v>1072</v>
      </c>
      <c r="L21" s="110" t="s">
        <v>1073</v>
      </c>
      <c r="M21" s="107">
        <v>15.0</v>
      </c>
      <c r="N21" s="108" t="str">
        <f>IFERROR(__xludf.DUMMYFUNCTION("GOOGLETRANSLATE(B21,""zh-tw"",""zh"")"),"浑身恶臭-2")</f>
        <v>浑身恶臭-2</v>
      </c>
      <c r="O21" s="113" t="str">
        <f>IFERROR(__xludf.DUMMYFUNCTION("GOOGLETRANSLATE(C21,""zh-tw"",""zh"")"),"哥哥不洗澡一段时间")</f>
        <v>哥哥不洗澡一段时间</v>
      </c>
      <c r="P21" s="75" t="str">
        <f>IFERROR(__xludf.DUMMYFUNCTION("GOOGLETRANSLATE(D21,""zh-tw"",""zh"")"),"未实装")</f>
        <v>未实装</v>
      </c>
      <c r="Q21" s="107">
        <v>15.0</v>
      </c>
      <c r="R21" s="108" t="s">
        <v>1074</v>
      </c>
      <c r="S21" s="111" t="s">
        <v>1075</v>
      </c>
      <c r="T21" s="72" t="s">
        <v>1076</v>
      </c>
      <c r="U21" s="107">
        <v>15.0</v>
      </c>
      <c r="V21" s="112" t="s">
        <v>1077</v>
      </c>
      <c r="W21" s="111" t="s">
        <v>1078</v>
      </c>
      <c r="X21" s="135" t="s">
        <v>1079</v>
      </c>
      <c r="Y21" s="107">
        <v>15.0</v>
      </c>
      <c r="Z21" s="114" t="s">
        <v>1080</v>
      </c>
      <c r="AA21" s="115" t="s">
        <v>1081</v>
      </c>
      <c r="AB21" s="116" t="s">
        <v>1082</v>
      </c>
      <c r="AC21" s="107">
        <v>15.0</v>
      </c>
      <c r="AD21" s="108" t="s">
        <v>1083</v>
      </c>
      <c r="AE21" s="109" t="s">
        <v>1084</v>
      </c>
      <c r="AF21" s="110" t="s">
        <v>1085</v>
      </c>
      <c r="AG21" s="117">
        <v>15.0</v>
      </c>
      <c r="AH21" s="118" t="s">
        <v>1086</v>
      </c>
      <c r="AI21" s="119" t="s">
        <v>1087</v>
      </c>
      <c r="AJ21" s="120" t="s">
        <v>1088</v>
      </c>
      <c r="AK21" s="107">
        <v>15.0</v>
      </c>
      <c r="AL21" s="121" t="s">
        <v>1089</v>
      </c>
      <c r="AM21" s="122" t="s">
        <v>1090</v>
      </c>
      <c r="AN21" s="123" t="s">
        <v>1091</v>
      </c>
      <c r="AO21" s="107">
        <v>15.0</v>
      </c>
      <c r="AP21" s="112" t="s">
        <v>1092</v>
      </c>
      <c r="AQ21" s="111" t="s">
        <v>1093</v>
      </c>
      <c r="AR21" s="72" t="s">
        <v>1094</v>
      </c>
      <c r="AS21" s="110"/>
      <c r="AT21" s="110"/>
    </row>
    <row r="22">
      <c r="A22" s="107">
        <v>16.0</v>
      </c>
      <c r="B22" s="108" t="s">
        <v>1095</v>
      </c>
      <c r="C22" s="109" t="s">
        <v>1096</v>
      </c>
      <c r="D22" s="110" t="s">
        <v>1097</v>
      </c>
      <c r="E22" s="107">
        <v>16.0</v>
      </c>
      <c r="F22" s="108" t="s">
        <v>1098</v>
      </c>
      <c r="G22" s="109" t="s">
        <v>1099</v>
      </c>
      <c r="H22" s="110" t="s">
        <v>1100</v>
      </c>
      <c r="I22" s="107">
        <v>16.0</v>
      </c>
      <c r="J22" s="108" t="s">
        <v>1101</v>
      </c>
      <c r="K22" s="109" t="s">
        <v>1102</v>
      </c>
      <c r="L22" s="110" t="s">
        <v>1103</v>
      </c>
      <c r="M22" s="107">
        <v>16.0</v>
      </c>
      <c r="N22" s="108" t="str">
        <f>IFERROR(__xludf.DUMMYFUNCTION("GOOGLETRANSLATE(B22,""zh-tw"",""zh"")"),"洗完澡来喝点")</f>
        <v>洗完澡来喝点</v>
      </c>
      <c r="O22" s="113" t="str">
        <f>IFERROR(__xludf.DUMMYFUNCTION("GOOGLETRANSLATE(C22,""zh-tw"",""zh"")"),"当身上有牛奶时，洗澡后机率触发喝牛奶")</f>
        <v>当身上有牛奶时，洗澡后机率触发喝牛奶</v>
      </c>
      <c r="P22" s="75" t="str">
        <f>IFERROR(__xludf.DUMMYFUNCTION("GOOGLETRANSLATE(D22,""zh-tw"",""zh"")"),"特殊动画")</f>
        <v>特殊动画</v>
      </c>
      <c r="Q22" s="107">
        <v>16.0</v>
      </c>
      <c r="R22" s="112" t="s">
        <v>1104</v>
      </c>
      <c r="S22" s="113" t="s">
        <v>1105</v>
      </c>
      <c r="T22" s="72" t="s">
        <v>1106</v>
      </c>
      <c r="U22" s="107">
        <v>16.0</v>
      </c>
      <c r="V22" s="112" t="s">
        <v>1107</v>
      </c>
      <c r="W22" s="111" t="s">
        <v>1108</v>
      </c>
      <c r="X22" s="72" t="s">
        <v>1109</v>
      </c>
      <c r="Y22" s="107">
        <v>16.0</v>
      </c>
      <c r="Z22" s="114" t="s">
        <v>1110</v>
      </c>
      <c r="AA22" s="115" t="s">
        <v>1111</v>
      </c>
      <c r="AB22" s="116" t="s">
        <v>1112</v>
      </c>
      <c r="AC22" s="107">
        <v>16.0</v>
      </c>
      <c r="AD22" s="108" t="s">
        <v>1113</v>
      </c>
      <c r="AE22" s="109" t="s">
        <v>1114</v>
      </c>
      <c r="AF22" s="110" t="s">
        <v>1115</v>
      </c>
      <c r="AG22" s="117">
        <v>16.0</v>
      </c>
      <c r="AH22" s="118" t="s">
        <v>1116</v>
      </c>
      <c r="AI22" s="119" t="s">
        <v>1117</v>
      </c>
      <c r="AJ22" s="120" t="s">
        <v>1118</v>
      </c>
      <c r="AK22" s="107">
        <v>16.0</v>
      </c>
      <c r="AL22" s="121" t="s">
        <v>1119</v>
      </c>
      <c r="AM22" s="122" t="s">
        <v>1120</v>
      </c>
      <c r="AN22" s="129" t="s">
        <v>1121</v>
      </c>
      <c r="AO22" s="107">
        <v>16.0</v>
      </c>
      <c r="AP22" s="112" t="s">
        <v>1122</v>
      </c>
      <c r="AQ22" s="111" t="s">
        <v>1123</v>
      </c>
      <c r="AR22" s="72" t="s">
        <v>1124</v>
      </c>
      <c r="AS22" s="110"/>
      <c r="AT22" s="110"/>
    </row>
    <row r="23">
      <c r="A23" s="107">
        <v>17.0</v>
      </c>
      <c r="B23" s="108" t="s">
        <v>1125</v>
      </c>
      <c r="C23" s="109" t="s">
        <v>1126</v>
      </c>
      <c r="D23" s="110" t="s">
        <v>1127</v>
      </c>
      <c r="E23" s="107">
        <v>17.0</v>
      </c>
      <c r="F23" s="108" t="s">
        <v>1128</v>
      </c>
      <c r="G23" s="109" t="s">
        <v>1129</v>
      </c>
      <c r="H23" s="110" t="s">
        <v>1130</v>
      </c>
      <c r="I23" s="107">
        <v>17.0</v>
      </c>
      <c r="J23" s="108" t="s">
        <v>1131</v>
      </c>
      <c r="K23" s="109" t="s">
        <v>1132</v>
      </c>
      <c r="L23" s="110" t="s">
        <v>1133</v>
      </c>
      <c r="M23" s="107">
        <v>17.0</v>
      </c>
      <c r="N23" s="108" t="str">
        <f>IFERROR(__xludf.DUMMYFUNCTION("GOOGLETRANSLATE(B23,""zh-tw"",""zh"")"),"喧嚣的风儿")</f>
        <v>喧嚣的风儿</v>
      </c>
      <c r="O23" s="113" t="str">
        <f>IFERROR(__xludf.DUMMYFUNCTION("GOOGLETRANSLATE(C23,""zh-tw"",""zh"")"),"第一次与妹妹共浴之后，可以帮妹妹吹头发")</f>
        <v>第一次与妹妹共浴之后，可以帮妹妹吹头发</v>
      </c>
      <c r="P23" s="110" t="str">
        <f>IFERROR(__xludf.DUMMYFUNCTION("GOOGLETRANSLATE(D23,""zh-tw"",""zh"")"),"解锁""吹头发""选项")</f>
        <v>解锁"吹头发"选项</v>
      </c>
      <c r="Q23" s="107">
        <v>17.0</v>
      </c>
      <c r="R23" s="108" t="s">
        <v>1134</v>
      </c>
      <c r="S23" s="111" t="s">
        <v>1135</v>
      </c>
      <c r="T23" s="72" t="s">
        <v>1136</v>
      </c>
      <c r="U23" s="107">
        <v>17.0</v>
      </c>
      <c r="V23" s="136" t="s">
        <v>1137</v>
      </c>
      <c r="W23" s="111" t="s">
        <v>1138</v>
      </c>
      <c r="X23" s="72" t="s">
        <v>1139</v>
      </c>
      <c r="Y23" s="107">
        <v>17.0</v>
      </c>
      <c r="Z23" s="114" t="s">
        <v>1140</v>
      </c>
      <c r="AA23" s="115" t="s">
        <v>1141</v>
      </c>
      <c r="AB23" s="116" t="s">
        <v>1142</v>
      </c>
      <c r="AC23" s="107">
        <v>17.0</v>
      </c>
      <c r="AD23" s="108" t="s">
        <v>1143</v>
      </c>
      <c r="AE23" s="109" t="s">
        <v>1144</v>
      </c>
      <c r="AF23" s="110" t="s">
        <v>1145</v>
      </c>
      <c r="AG23" s="117">
        <v>17.0</v>
      </c>
      <c r="AH23" s="118" t="s">
        <v>1146</v>
      </c>
      <c r="AI23" s="130" t="s">
        <v>1147</v>
      </c>
      <c r="AJ23" s="134" t="s">
        <v>1148</v>
      </c>
      <c r="AK23" s="107">
        <v>17.0</v>
      </c>
      <c r="AL23" s="121" t="s">
        <v>1149</v>
      </c>
      <c r="AM23" s="122" t="s">
        <v>1150</v>
      </c>
      <c r="AN23" s="123" t="s">
        <v>1151</v>
      </c>
      <c r="AO23" s="107">
        <v>17.0</v>
      </c>
      <c r="AP23" s="112" t="s">
        <v>1152</v>
      </c>
      <c r="AQ23" s="111" t="s">
        <v>1153</v>
      </c>
      <c r="AR23" s="72" t="s">
        <v>1154</v>
      </c>
      <c r="AS23" s="110"/>
      <c r="AT23" s="110"/>
    </row>
    <row r="24">
      <c r="A24" s="107">
        <v>18.0</v>
      </c>
      <c r="B24" s="108" t="s">
        <v>1155</v>
      </c>
      <c r="C24" s="109" t="s">
        <v>1156</v>
      </c>
      <c r="D24" s="110" t="s">
        <v>1157</v>
      </c>
      <c r="E24" s="107">
        <v>18.0</v>
      </c>
      <c r="F24" s="108" t="s">
        <v>1158</v>
      </c>
      <c r="G24" s="109" t="s">
        <v>1159</v>
      </c>
      <c r="H24" s="110" t="s">
        <v>1160</v>
      </c>
      <c r="I24" s="107">
        <v>18.0</v>
      </c>
      <c r="J24" s="108" t="s">
        <v>1161</v>
      </c>
      <c r="K24" s="109" t="s">
        <v>1162</v>
      </c>
      <c r="L24" s="72" t="s">
        <v>1163</v>
      </c>
      <c r="M24" s="107">
        <v>18.0</v>
      </c>
      <c r="N24" s="108" t="str">
        <f>IFERROR(__xludf.DUMMYFUNCTION("GOOGLETRANSLATE(B24,""zh-tw"",""zh"")"),"哥困了")</f>
        <v>哥困了</v>
      </c>
      <c r="O24" s="113" t="str">
        <f>IFERROR(__xludf.DUMMYFUNCTION("GOOGLETRANSLATE(C24,""zh-tw"",""zh"")"),"提前睡觉")</f>
        <v>提前睡觉</v>
      </c>
      <c r="P24" s="75" t="s">
        <v>1164</v>
      </c>
      <c r="Q24" s="107">
        <v>18.0</v>
      </c>
      <c r="R24" s="112" t="s">
        <v>1165</v>
      </c>
      <c r="S24" s="111" t="s">
        <v>1166</v>
      </c>
      <c r="T24" s="72" t="s">
        <v>1167</v>
      </c>
      <c r="U24" s="107">
        <v>18.0</v>
      </c>
      <c r="V24" s="136" t="s">
        <v>1168</v>
      </c>
      <c r="W24" s="111" t="s">
        <v>1169</v>
      </c>
      <c r="X24" s="72" t="s">
        <v>1170</v>
      </c>
      <c r="Y24" s="107">
        <v>18.0</v>
      </c>
      <c r="Z24" s="114" t="s">
        <v>1171</v>
      </c>
      <c r="AA24" s="115" t="s">
        <v>1172</v>
      </c>
      <c r="AB24" s="116" t="s">
        <v>1173</v>
      </c>
      <c r="AC24" s="107">
        <v>18.0</v>
      </c>
      <c r="AD24" s="108" t="s">
        <v>1174</v>
      </c>
      <c r="AE24" s="109" t="s">
        <v>1175</v>
      </c>
      <c r="AF24" s="110" t="s">
        <v>1176</v>
      </c>
      <c r="AG24" s="117">
        <v>18.0</v>
      </c>
      <c r="AH24" s="118" t="s">
        <v>1177</v>
      </c>
      <c r="AI24" s="119" t="s">
        <v>1178</v>
      </c>
      <c r="AJ24" s="120" t="s">
        <v>1179</v>
      </c>
      <c r="AK24" s="107">
        <v>18.0</v>
      </c>
      <c r="AL24" s="121" t="s">
        <v>1180</v>
      </c>
      <c r="AM24" s="122" t="s">
        <v>1181</v>
      </c>
      <c r="AN24" s="123" t="s">
        <v>1182</v>
      </c>
      <c r="AO24" s="107">
        <v>18.0</v>
      </c>
      <c r="AP24" s="112" t="s">
        <v>1183</v>
      </c>
      <c r="AQ24" s="111" t="s">
        <v>1184</v>
      </c>
      <c r="AR24" s="72" t="s">
        <v>1185</v>
      </c>
      <c r="AS24" s="110"/>
      <c r="AT24" s="110"/>
    </row>
    <row r="25">
      <c r="A25" s="107">
        <v>19.0</v>
      </c>
      <c r="B25" s="108" t="s">
        <v>1186</v>
      </c>
      <c r="C25" s="109" t="s">
        <v>1187</v>
      </c>
      <c r="D25" s="110" t="s">
        <v>1188</v>
      </c>
      <c r="E25" s="107">
        <v>19.0</v>
      </c>
      <c r="F25" s="108" t="s">
        <v>1189</v>
      </c>
      <c r="G25" s="109" t="s">
        <v>1190</v>
      </c>
      <c r="H25" s="110" t="s">
        <v>1191</v>
      </c>
      <c r="I25" s="107">
        <v>19.0</v>
      </c>
      <c r="J25" s="108" t="s">
        <v>1192</v>
      </c>
      <c r="K25" s="109" t="s">
        <v>1193</v>
      </c>
      <c r="L25" s="110" t="s">
        <v>1194</v>
      </c>
      <c r="M25" s="107">
        <v>19.0</v>
      </c>
      <c r="N25" s="108" t="str">
        <f>IFERROR(__xludf.DUMMYFUNCTION("GOOGLETRANSLATE(B25,""zh-tw"",""zh"")"),"起床啰")</f>
        <v>起床啰</v>
      </c>
      <c r="O25" s="113"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75" t="str">
        <f>IFERROR(__xludf.DUMMYFUNCTION("GOOGLETRANSLATE(D25,""zh-tw"",""zh"")"),"机率解锁""强行叫醒""动画
被强行叫醒的妹妹，不会彻底醒来，而是会重新回去睡")</f>
        <v>机率解锁"强行叫醒"动画
被强行叫醒的妹妹，不会彻底醒来，而是会重新回去睡</v>
      </c>
      <c r="Q25" s="107">
        <v>19.0</v>
      </c>
      <c r="R25" s="112" t="s">
        <v>1195</v>
      </c>
      <c r="S25" s="113" t="s">
        <v>1196</v>
      </c>
      <c r="T25" s="124" t="s">
        <v>1197</v>
      </c>
      <c r="U25" s="107">
        <v>19.0</v>
      </c>
      <c r="V25" s="112" t="s">
        <v>1198</v>
      </c>
      <c r="W25" s="111" t="s">
        <v>1199</v>
      </c>
      <c r="X25" s="72" t="s">
        <v>1200</v>
      </c>
      <c r="Y25" s="107">
        <v>19.0</v>
      </c>
      <c r="Z25" s="114" t="s">
        <v>1201</v>
      </c>
      <c r="AA25" s="115" t="s">
        <v>1202</v>
      </c>
      <c r="AB25" s="116" t="s">
        <v>1203</v>
      </c>
      <c r="AC25" s="107">
        <v>19.0</v>
      </c>
      <c r="AD25" s="108" t="s">
        <v>1204</v>
      </c>
      <c r="AE25" s="109" t="s">
        <v>1205</v>
      </c>
      <c r="AF25" s="110" t="s">
        <v>1206</v>
      </c>
      <c r="AG25" s="117">
        <v>19.0</v>
      </c>
      <c r="AH25" s="118" t="s">
        <v>1207</v>
      </c>
      <c r="AI25" s="119" t="s">
        <v>1208</v>
      </c>
      <c r="AJ25" s="120" t="s">
        <v>1209</v>
      </c>
      <c r="AK25" s="107">
        <v>19.0</v>
      </c>
      <c r="AL25" s="121" t="s">
        <v>1210</v>
      </c>
      <c r="AM25" s="122" t="s">
        <v>1211</v>
      </c>
      <c r="AN25" s="123" t="s">
        <v>1212</v>
      </c>
      <c r="AO25" s="107">
        <v>19.0</v>
      </c>
      <c r="AP25" s="112" t="s">
        <v>1213</v>
      </c>
      <c r="AQ25" s="111" t="s">
        <v>1214</v>
      </c>
      <c r="AR25" s="72" t="s">
        <v>1215</v>
      </c>
      <c r="AS25" s="110"/>
      <c r="AT25" s="110"/>
    </row>
    <row r="26">
      <c r="A26" s="137">
        <v>20.0</v>
      </c>
      <c r="B26" s="108" t="s">
        <v>1216</v>
      </c>
      <c r="C26" s="109" t="s">
        <v>1217</v>
      </c>
      <c r="D26" s="110" t="s">
        <v>1218</v>
      </c>
      <c r="E26" s="138"/>
      <c r="F26" s="108" t="s">
        <v>1219</v>
      </c>
      <c r="G26" s="109" t="s">
        <v>1220</v>
      </c>
      <c r="H26" s="110" t="s">
        <v>1221</v>
      </c>
      <c r="I26" s="137">
        <v>20.0</v>
      </c>
      <c r="J26" s="108" t="s">
        <v>1222</v>
      </c>
      <c r="K26" s="109" t="s">
        <v>1223</v>
      </c>
      <c r="L26" s="110" t="s">
        <v>1224</v>
      </c>
      <c r="M26" s="137">
        <v>20.0</v>
      </c>
      <c r="N26" s="108" t="s">
        <v>1225</v>
      </c>
      <c r="O26" s="113" t="s">
        <v>1226</v>
      </c>
      <c r="P26" s="75" t="s">
        <v>1227</v>
      </c>
      <c r="Q26" s="139">
        <v>20.0</v>
      </c>
      <c r="R26" s="125" t="str">
        <f>IFERROR(__xludf.DUMMYFUNCTION("GOOGLETRANSLATE(B26,""zh-tw"",""es-mx"")"),"Hermana sanadora")</f>
        <v>Hermana sanadora</v>
      </c>
      <c r="S26" s="113" t="str">
        <f>IFERROR(__xludf.DUMMYFUNCTION("GOOGLETRANSLATE(C26,""zh-tw"",""es-mx"")"),"La pregunta ""¿Qué quieres beber?"" te permite darle a tu hermana el ""Elixir de Médula Roja"" para curarla.
P.D.: Actualmente, cura dos veces. Para obtener más información sobre cómo conseguirlo, consulta la sección de eventos del juego de rol.")</f>
        <v>La pregunta "¿Qué quieres beber?" te permite darle a tu hermana el "Elixir de Médula Roja" para curarla.
P.D.: Actualmente, cura dos veces. Para obtener más información sobre cómo conseguirlo, consulta la sección de eventos del juego de rol.</v>
      </c>
      <c r="T26" s="75" t="str">
        <f>IFERROR(__xludf.DUMMYFUNCTION("GOOGLETRANSLATE(D26,""zh-tw"",""es-mx"")"),"Se ha eliminado el mecanismo de ""despertar forzado"".
Tras la primera curación, puedes quedarte despierto hasta las 22:30; después del primer despertar matutino, hay un 50 % de probabilidad de despertar a tu hermana.
Tras la segunda curación, puedes qu"&amp;"edarte despierto hasta las 23:00, con un 75 % de probabilidad de despertar a tu hermana por la mañana.
Tras la tercera curación (aún no implementada), puedes quedarte despierto hasta medianoche, con un 100 % de probabilidad de despertar a tu hermana por "&amp;"la mañana.")</f>
        <v>Se ha eliminado el mecanismo de "despertar forzado".
Tras la primera curación, puedes quedarte despierto hasta las 22:30; después del primer despertar matutino, hay un 50 % de probabilidad de despertar a tu hermana.
Tras la segunda curación, puedes quedarte despierto hasta las 23:00, con un 75 % de probabilidad de despertar a tu hermana por la mañana.
Tras la tercera curación (aún no implementada), puedes quedarte despierto hasta medianoche, con un 100 % de probabilidad de despertar a tu hermana por la mañana.</v>
      </c>
      <c r="U26" s="139">
        <v>20.0</v>
      </c>
      <c r="V26" s="140" t="str">
        <f>IFERROR(__xludf.DUMMYFUNCTION("GOOGLETRANSLATE(B26,""zh-tw"",""KO"")"),"치유하는 자매")</f>
        <v>치유하는 자매</v>
      </c>
      <c r="W26" s="141"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42"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07">
        <v>20.0</v>
      </c>
      <c r="Z26" s="114" t="s">
        <v>1228</v>
      </c>
      <c r="AA26" s="115" t="s">
        <v>1229</v>
      </c>
      <c r="AB26" s="116" t="s">
        <v>1230</v>
      </c>
      <c r="AC26" s="137">
        <v>20.0</v>
      </c>
      <c r="AD26" s="108" t="s">
        <v>1231</v>
      </c>
      <c r="AE26" s="109" t="s">
        <v>1232</v>
      </c>
      <c r="AF26" s="110" t="s">
        <v>1233</v>
      </c>
      <c r="AG26" s="143">
        <v>20.0</v>
      </c>
      <c r="AH26" s="144" t="s">
        <v>1234</v>
      </c>
      <c r="AI26" s="145" t="s">
        <v>1235</v>
      </c>
      <c r="AJ26" s="146" t="s">
        <v>1236</v>
      </c>
      <c r="AK26" s="137">
        <v>20.0</v>
      </c>
      <c r="AL26" s="108" t="s">
        <v>1237</v>
      </c>
      <c r="AM26" s="109" t="s">
        <v>1238</v>
      </c>
      <c r="AN26" s="110" t="s">
        <v>1239</v>
      </c>
      <c r="AO26" s="138">
        <v>20.0</v>
      </c>
      <c r="AP26" s="147" t="s">
        <v>1240</v>
      </c>
      <c r="AQ26" s="145" t="s">
        <v>1241</v>
      </c>
      <c r="AR26" s="146" t="s">
        <v>1242</v>
      </c>
      <c r="AS26" s="146"/>
      <c r="AT26" s="146"/>
    </row>
    <row r="27">
      <c r="A27" s="107">
        <v>21.0</v>
      </c>
      <c r="B27" s="112" t="s">
        <v>1243</v>
      </c>
      <c r="C27" s="109" t="s">
        <v>1244</v>
      </c>
      <c r="D27" s="110" t="s">
        <v>1067</v>
      </c>
      <c r="E27" s="107">
        <v>21.0</v>
      </c>
      <c r="F27" s="112" t="s">
        <v>1243</v>
      </c>
      <c r="G27" s="109" t="s">
        <v>1245</v>
      </c>
      <c r="H27" s="110" t="s">
        <v>1070</v>
      </c>
      <c r="I27" s="107">
        <v>21.0</v>
      </c>
      <c r="J27" s="112" t="s">
        <v>1243</v>
      </c>
      <c r="K27" s="109" t="s">
        <v>1246</v>
      </c>
      <c r="L27" s="72" t="s">
        <v>1247</v>
      </c>
      <c r="M27" s="107">
        <v>21.0</v>
      </c>
      <c r="N27" s="108" t="str">
        <f>IFERROR(__xludf.DUMMYFUNCTION("GOOGLETRANSLATE(B27,""zh-tw"",""zh"")"),"-")</f>
        <v>-</v>
      </c>
      <c r="O27" s="113" t="str">
        <f>IFERROR(__xludf.DUMMYFUNCTION("GOOGLETRANSLATE(C27,""zh-tw"",""zh"")"),"「喝点什么」给妹妹喂一颗""蓝色金平糖""和一颗""粉色金平糖""后，会使妹妹进入??状态")</f>
        <v>「喝点什么」给妹妹喂一颗"蓝色金平糖"和一颗"粉色金平糖"后，会使妹妹进入??状态</v>
      </c>
      <c r="P27" s="75" t="str">
        <f>IFERROR(__xludf.DUMMYFUNCTION("GOOGLETRANSLATE(D27,""zh-tw"",""zh"")"),"未实装")</f>
        <v>未实装</v>
      </c>
      <c r="Q27" s="107">
        <v>21.0</v>
      </c>
      <c r="R27" s="112" t="s">
        <v>1243</v>
      </c>
      <c r="S27" s="113" t="str">
        <f>IFERROR(__xludf.DUMMYFUNCTION("GOOGLETRANSLATE(C27,""zh-tw"",""es-MX"")"),"Después de darle a tu hermana menor un ""konpeito azul"" y un ""konpeito rosa"" con la opción ""¿Qué hay para beber?"", entrará en un estado ??.")</f>
        <v>Después de darle a tu hermana menor un "konpeito azul" y un "konpeito rosa" con la opción "¿Qué hay para beber?", entrará en un estado ??.</v>
      </c>
      <c r="T27" s="75" t="str">
        <f>IFERROR(__xludf.DUMMYFUNCTION("GOOGLETRANSLATE(D27,""zh-tw"",""es-MX"")"),"No implementado")</f>
        <v>No implementado</v>
      </c>
      <c r="U27" s="107">
        <v>21.0</v>
      </c>
      <c r="V27" s="112" t="s">
        <v>1243</v>
      </c>
      <c r="W27" s="111" t="s">
        <v>1248</v>
      </c>
      <c r="X27" s="148" t="s">
        <v>1079</v>
      </c>
      <c r="Y27" s="107">
        <v>21.0</v>
      </c>
      <c r="Z27" s="114" t="s">
        <v>1243</v>
      </c>
      <c r="AA27" s="115" t="s">
        <v>1249</v>
      </c>
      <c r="AB27" s="116" t="s">
        <v>1250</v>
      </c>
      <c r="AC27" s="107">
        <v>21.0</v>
      </c>
      <c r="AD27" s="112" t="s">
        <v>1243</v>
      </c>
      <c r="AE27" s="109" t="s">
        <v>1251</v>
      </c>
      <c r="AF27" s="110" t="s">
        <v>1085</v>
      </c>
      <c r="AG27" s="117">
        <v>21.0</v>
      </c>
      <c r="AH27" s="118" t="s">
        <v>1243</v>
      </c>
      <c r="AI27" s="119" t="s">
        <v>1252</v>
      </c>
      <c r="AJ27" s="134" t="s">
        <v>1253</v>
      </c>
      <c r="AK27" s="107">
        <v>21.0</v>
      </c>
      <c r="AL27" s="121" t="s">
        <v>1243</v>
      </c>
      <c r="AM27" s="122" t="s">
        <v>1254</v>
      </c>
      <c r="AN27" s="123" t="s">
        <v>1091</v>
      </c>
      <c r="AO27" s="107">
        <v>21.0</v>
      </c>
      <c r="AP27" s="112" t="s">
        <v>1243</v>
      </c>
      <c r="AQ27" s="111" t="s">
        <v>1255</v>
      </c>
      <c r="AR27" s="72" t="s">
        <v>1094</v>
      </c>
      <c r="AS27" s="110"/>
      <c r="AT27" s="110"/>
    </row>
    <row r="28">
      <c r="A28" s="107">
        <v>22.0</v>
      </c>
      <c r="B28" s="108" t="s">
        <v>1256</v>
      </c>
      <c r="C28" s="109" t="s">
        <v>1257</v>
      </c>
      <c r="D28" s="110" t="s">
        <v>1258</v>
      </c>
      <c r="E28" s="107">
        <v>22.0</v>
      </c>
      <c r="F28" s="108" t="s">
        <v>1259</v>
      </c>
      <c r="G28" s="111" t="s">
        <v>1260</v>
      </c>
      <c r="H28" s="110" t="s">
        <v>1261</v>
      </c>
      <c r="I28" s="107">
        <v>22.0</v>
      </c>
      <c r="J28" s="108" t="s">
        <v>1262</v>
      </c>
      <c r="K28" s="111" t="s">
        <v>1263</v>
      </c>
      <c r="L28" s="110" t="s">
        <v>1264</v>
      </c>
      <c r="M28" s="107">
        <v>22.0</v>
      </c>
      <c r="N28" s="108" t="str">
        <f>IFERROR(__xludf.DUMMYFUNCTION("GOOGLETRANSLATE(B28,""zh-tw"",""zh"")"),"恶梦")</f>
        <v>恶梦</v>
      </c>
      <c r="O28" s="113"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75" t="str">
        <f>IFERROR(__xludf.DUMMYFUNCTION("GOOGLETRANSLATE(D28,""zh-tw"",""zh"")"),"触发恶梦动画")</f>
        <v>触发恶梦动画</v>
      </c>
      <c r="Q28" s="107">
        <v>22.0</v>
      </c>
      <c r="R28" s="125" t="s">
        <v>1265</v>
      </c>
      <c r="S28" s="111" t="s">
        <v>1266</v>
      </c>
      <c r="T28" s="75" t="s">
        <v>1267</v>
      </c>
      <c r="U28" s="107">
        <v>22.0</v>
      </c>
      <c r="V28" s="112" t="s">
        <v>1268</v>
      </c>
      <c r="W28" s="111" t="s">
        <v>1269</v>
      </c>
      <c r="X28" s="72" t="s">
        <v>1270</v>
      </c>
      <c r="Y28" s="107">
        <v>22.0</v>
      </c>
      <c r="Z28" s="114" t="s">
        <v>1271</v>
      </c>
      <c r="AA28" s="115" t="s">
        <v>1272</v>
      </c>
      <c r="AB28" s="116" t="s">
        <v>1273</v>
      </c>
      <c r="AC28" s="107">
        <v>22.0</v>
      </c>
      <c r="AD28" s="108" t="s">
        <v>1274</v>
      </c>
      <c r="AE28" s="111" t="s">
        <v>1275</v>
      </c>
      <c r="AF28" s="72" t="s">
        <v>1276</v>
      </c>
      <c r="AG28" s="117">
        <v>22.0</v>
      </c>
      <c r="AH28" s="118" t="s">
        <v>1277</v>
      </c>
      <c r="AI28" s="119" t="s">
        <v>1278</v>
      </c>
      <c r="AJ28" s="120" t="s">
        <v>1279</v>
      </c>
      <c r="AK28" s="107">
        <v>22.0</v>
      </c>
      <c r="AL28" s="121" t="s">
        <v>1280</v>
      </c>
      <c r="AM28" s="122" t="s">
        <v>1281</v>
      </c>
      <c r="AN28" s="123" t="s">
        <v>1282</v>
      </c>
      <c r="AO28" s="107">
        <v>22.0</v>
      </c>
      <c r="AP28" s="108" t="s">
        <v>1262</v>
      </c>
      <c r="AQ28" s="111" t="s">
        <v>1263</v>
      </c>
      <c r="AR28" s="110" t="s">
        <v>1264</v>
      </c>
      <c r="AS28" s="110"/>
      <c r="AT28" s="110"/>
    </row>
    <row r="29">
      <c r="A29" s="139">
        <v>23.0</v>
      </c>
      <c r="B29" s="108" t="s">
        <v>1283</v>
      </c>
      <c r="C29" s="109" t="s">
        <v>1284</v>
      </c>
      <c r="D29" s="110" t="s">
        <v>1285</v>
      </c>
      <c r="E29" s="139">
        <v>23.0</v>
      </c>
      <c r="F29" s="108" t="s">
        <v>1286</v>
      </c>
      <c r="G29" s="109" t="s">
        <v>1287</v>
      </c>
      <c r="H29" s="110" t="s">
        <v>1288</v>
      </c>
      <c r="I29" s="139">
        <v>23.0</v>
      </c>
      <c r="J29" s="108" t="s">
        <v>1289</v>
      </c>
      <c r="K29" s="111" t="s">
        <v>1290</v>
      </c>
      <c r="L29" s="110" t="s">
        <v>1291</v>
      </c>
      <c r="M29" s="139">
        <v>23.0</v>
      </c>
      <c r="N29" s="108" t="str">
        <f>IFERROR(__xludf.DUMMYFUNCTION("GOOGLETRANSLATE(B29,""zh-tw"",""zh"")"),"和妹妹撒娇")</f>
        <v>和妹妹撒娇</v>
      </c>
      <c r="O29" s="113" t="str">
        <f>IFERROR(__xludf.DUMMYFUNCTION("GOOGLETRANSLATE(C29,""zh-tw"",""zh"")"),"拥有""什么都行券""，平时要和""妹妹做点什么""时，会新增一个选项")</f>
        <v>拥有"什么都行券"，平时要和"妹妹做点什么"时，会新增一个选项</v>
      </c>
      <c r="P29" s="75" t="str">
        <f>IFERROR(__xludf.DUMMYFUNCTION("GOOGLETRANSLATE(D29,""zh-tw"",""zh"")"),"新增选项：向妹妹撒娇吧！
*目前尚无后续")</f>
        <v>新增选项：向妹妹撒娇吧！
*目前尚无后续</v>
      </c>
      <c r="Q29" s="139">
        <v>23.0</v>
      </c>
      <c r="R29" s="125" t="str">
        <f>IFERROR(__xludf.DUMMYFUNCTION("GOOGLETRANSLATE(B29,""zh-tw"",""es-MX"")"),"Haciendo el ridículo con mi hermana pequeña")</f>
        <v>Haciendo el ridículo con mi hermana pequeña</v>
      </c>
      <c r="S29" s="113" t="str">
        <f>IFERROR(__xludf.DUMMYFUNCTION("GOOGLETRANSLATE(C29,""zh-tw"",""es-MX"")"),"Tener el cupón ""Todo vale"" añade una nueva opción cuando quieres ""hacer algo con tu hermana"".")</f>
        <v>Tener el cupón "Todo vale" añade una nueva opción cuando quieres "hacer algo con tu hermana".</v>
      </c>
      <c r="T29" s="75" t="str">
        <f>IFERROR(__xludf.DUMMYFUNCTION("GOOGLETRANSLATE(D29,""zh-tw"",""es-MX"")"),"Nueva opción: ¡Demuéstrale cariño a tu hermana!
*Por el momento no hay más actualizaciones.")</f>
        <v>Nueva opción: ¡Demuéstrale cariño a tu hermana!
*Por el momento no hay más actualizaciones.</v>
      </c>
      <c r="U29" s="139">
        <v>23.0</v>
      </c>
      <c r="V29" s="112" t="s">
        <v>1292</v>
      </c>
      <c r="W29" s="111" t="s">
        <v>1293</v>
      </c>
      <c r="X29" s="72" t="s">
        <v>1294</v>
      </c>
      <c r="Y29" s="107">
        <v>23.0</v>
      </c>
      <c r="Z29" s="149" t="s">
        <v>1295</v>
      </c>
      <c r="AA29" s="150" t="s">
        <v>1296</v>
      </c>
      <c r="AB29" s="132" t="s">
        <v>1297</v>
      </c>
      <c r="AC29" s="139">
        <v>23.0</v>
      </c>
      <c r="AD29" s="108" t="s">
        <v>1298</v>
      </c>
      <c r="AE29" s="109" t="s">
        <v>1299</v>
      </c>
      <c r="AF29" s="110" t="s">
        <v>1300</v>
      </c>
      <c r="AG29" s="151">
        <v>23.0</v>
      </c>
      <c r="AH29" s="118" t="s">
        <v>1301</v>
      </c>
      <c r="AI29" s="152" t="s">
        <v>1302</v>
      </c>
      <c r="AJ29" s="134" t="s">
        <v>1303</v>
      </c>
      <c r="AK29" s="139">
        <v>23.0</v>
      </c>
      <c r="AL29" s="121" t="s">
        <v>1304</v>
      </c>
      <c r="AM29" s="122" t="s">
        <v>1305</v>
      </c>
      <c r="AN29" s="123" t="s">
        <v>1306</v>
      </c>
      <c r="AO29" s="139">
        <v>23.0</v>
      </c>
      <c r="AP29" s="108" t="s">
        <v>1289</v>
      </c>
      <c r="AQ29" s="111" t="s">
        <v>1290</v>
      </c>
      <c r="AR29" s="110" t="s">
        <v>1291</v>
      </c>
      <c r="AS29" s="110"/>
      <c r="AT29" s="110"/>
    </row>
    <row r="30">
      <c r="A30" s="107">
        <v>24.0</v>
      </c>
      <c r="B30" s="121" t="s">
        <v>1307</v>
      </c>
      <c r="C30" s="122" t="s">
        <v>1308</v>
      </c>
      <c r="D30" s="123" t="s">
        <v>1309</v>
      </c>
      <c r="E30" s="107">
        <v>24.0</v>
      </c>
      <c r="F30" s="153" t="s">
        <v>1310</v>
      </c>
      <c r="G30" s="154" t="s">
        <v>1311</v>
      </c>
      <c r="H30" s="155" t="s">
        <v>1312</v>
      </c>
      <c r="I30" s="107">
        <v>24.0</v>
      </c>
      <c r="J30" s="108" t="s">
        <v>1313</v>
      </c>
      <c r="K30" s="154" t="s">
        <v>1314</v>
      </c>
      <c r="L30" s="155" t="s">
        <v>1315</v>
      </c>
      <c r="M30" s="107">
        <v>24.0</v>
      </c>
      <c r="N30" s="121" t="s">
        <v>1316</v>
      </c>
      <c r="O30" s="141" t="s">
        <v>1317</v>
      </c>
      <c r="P30" s="142" t="s">
        <v>1318</v>
      </c>
      <c r="Q30" s="107">
        <v>24.0</v>
      </c>
      <c r="R30" s="140" t="str">
        <f>IFERROR(__xludf.DUMMYFUNCTION("GOOGLETRANSLATE(B30,""zh-tw"",""es-MX"")"),"dormilón")</f>
        <v>dormilón</v>
      </c>
      <c r="S30" s="141"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42" t="str">
        <f>IFERROR(__xludf.DUMMYFUNCTION("GOOGLETRANSLATE(D30,""zh-tw"",""es-MX"")"),"Puedes interactuar con tu hermana dormida (actualmente solo se puede interactuar con su rostro).")</f>
        <v>Puedes interactuar con tu hermana dormida (actualmente solo se puede interactuar con su rostro).</v>
      </c>
      <c r="U30" s="107">
        <v>24.0</v>
      </c>
      <c r="V30" s="156" t="s">
        <v>1319</v>
      </c>
      <c r="W30" s="131" t="s">
        <v>1320</v>
      </c>
      <c r="X30" s="129" t="s">
        <v>1321</v>
      </c>
      <c r="Y30" s="107">
        <v>24.0</v>
      </c>
      <c r="Z30" s="149" t="s">
        <v>1322</v>
      </c>
      <c r="AA30" s="150" t="s">
        <v>1323</v>
      </c>
      <c r="AB30" s="132" t="s">
        <v>1324</v>
      </c>
      <c r="AC30" s="107">
        <v>24.0</v>
      </c>
      <c r="AD30" s="153" t="s">
        <v>1325</v>
      </c>
      <c r="AE30" s="154" t="s">
        <v>1326</v>
      </c>
      <c r="AF30" s="155" t="s">
        <v>1327</v>
      </c>
      <c r="AG30" s="117">
        <v>24.0</v>
      </c>
      <c r="AH30" s="157" t="s">
        <v>1328</v>
      </c>
      <c r="AI30" s="158" t="s">
        <v>1329</v>
      </c>
      <c r="AJ30" s="159" t="s">
        <v>1330</v>
      </c>
      <c r="AK30" s="107">
        <v>24.0</v>
      </c>
      <c r="AL30" s="121" t="s">
        <v>1331</v>
      </c>
      <c r="AM30" s="122" t="s">
        <v>1332</v>
      </c>
      <c r="AN30" s="123" t="s">
        <v>1333</v>
      </c>
      <c r="AO30" s="107">
        <v>24.0</v>
      </c>
      <c r="AP30" s="108" t="s">
        <v>1313</v>
      </c>
      <c r="AQ30" s="154" t="s">
        <v>1314</v>
      </c>
      <c r="AR30" s="155" t="s">
        <v>1315</v>
      </c>
      <c r="AS30" s="123"/>
      <c r="AT30" s="123"/>
    </row>
    <row r="31">
      <c r="A31" s="139">
        <v>25.0</v>
      </c>
      <c r="B31" s="121" t="s">
        <v>1334</v>
      </c>
      <c r="C31" s="122" t="s">
        <v>1335</v>
      </c>
      <c r="D31" s="123" t="s">
        <v>1336</v>
      </c>
      <c r="E31" s="139">
        <v>25.0</v>
      </c>
      <c r="F31" s="160" t="s">
        <v>1337</v>
      </c>
      <c r="G31" s="131" t="s">
        <v>1338</v>
      </c>
      <c r="H31" s="129" t="s">
        <v>1339</v>
      </c>
      <c r="I31" s="139">
        <v>25.0</v>
      </c>
      <c r="J31" s="108" t="s">
        <v>1340</v>
      </c>
      <c r="K31" s="154" t="s">
        <v>1341</v>
      </c>
      <c r="L31" s="155" t="s">
        <v>1342</v>
      </c>
      <c r="M31" s="139">
        <v>25.0</v>
      </c>
      <c r="N31" s="121" t="s">
        <v>1343</v>
      </c>
      <c r="O31" s="141" t="s">
        <v>1344</v>
      </c>
      <c r="P31" s="142" t="s">
        <v>1345</v>
      </c>
      <c r="Q31" s="139">
        <v>25.0</v>
      </c>
      <c r="R31" s="140" t="str">
        <f>IFERROR(__xludf.DUMMYFUNCTION("GOOGLETRANSLATE(B31,""zh-tw"",""es-MX"")"),"¡Mi hermano se está declarando en bancarrota!")</f>
        <v>¡Mi hermano se está declarando en bancarrota!</v>
      </c>
      <c r="S31" s="141" t="str">
        <f>IFERROR(__xludf.DUMMYFUNCTION("GOOGLETRANSLATE(C31,""zh-tw"",""es-MX"")"),"1. El gasto total supera los 10 000
2. Tras completar la gacha, tu saldo disponible es exactamente inferior a 500
3. Al regresar a casa ese día, tu saldo disponible es inferior a 500
4. Si el gasto total supera los 50 000, el evento puede activarse inc"&amp;"luso sin estar en bancarrota.")</f>
        <v>1. El gasto total supera los 10 000
2. Tras completar la gacha, tu saldo disponible es exactamente inferior a 500
3. Al regresar a casa ese día, tu saldo disponible es inferior a 500
4. Si el gasto total supera los 50 000, el evento puede activarse incluso sin estar en bancarrota.</v>
      </c>
      <c r="T31" s="142"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39">
        <v>25.0</v>
      </c>
      <c r="V31" s="160" t="s">
        <v>1346</v>
      </c>
      <c r="W31" s="131" t="s">
        <v>1347</v>
      </c>
      <c r="X31" s="129" t="s">
        <v>1348</v>
      </c>
      <c r="Y31" s="107">
        <v>25.0</v>
      </c>
      <c r="Z31" s="149" t="s">
        <v>1349</v>
      </c>
      <c r="AA31" s="150" t="s">
        <v>1350</v>
      </c>
      <c r="AB31" s="132" t="s">
        <v>1351</v>
      </c>
      <c r="AC31" s="139">
        <v>25.0</v>
      </c>
      <c r="AD31" s="161" t="s">
        <v>1352</v>
      </c>
      <c r="AE31" s="162" t="s">
        <v>1353</v>
      </c>
      <c r="AF31" s="163" t="s">
        <v>1354</v>
      </c>
      <c r="AG31" s="151">
        <v>25.0</v>
      </c>
      <c r="AH31" s="133" t="s">
        <v>1355</v>
      </c>
      <c r="AI31" s="164" t="s">
        <v>1356</v>
      </c>
      <c r="AJ31" s="6" t="s">
        <v>1357</v>
      </c>
      <c r="AK31" s="139">
        <v>25.0</v>
      </c>
      <c r="AL31" s="165" t="s">
        <v>1358</v>
      </c>
      <c r="AM31" s="166" t="s">
        <v>1359</v>
      </c>
      <c r="AN31" s="167" t="s">
        <v>1360</v>
      </c>
      <c r="AO31" s="139">
        <v>25.0</v>
      </c>
      <c r="AP31" s="108" t="s">
        <v>1340</v>
      </c>
      <c r="AQ31" s="154" t="s">
        <v>1341</v>
      </c>
      <c r="AR31" s="155" t="s">
        <v>1342</v>
      </c>
      <c r="AS31" s="123"/>
      <c r="AT31" s="123"/>
    </row>
    <row r="32">
      <c r="A32" s="107">
        <v>26.0</v>
      </c>
      <c r="B32" s="121" t="s">
        <v>1361</v>
      </c>
      <c r="C32" s="131" t="s">
        <v>1362</v>
      </c>
      <c r="D32" s="123" t="s">
        <v>1363</v>
      </c>
      <c r="E32" s="107">
        <v>26.0</v>
      </c>
      <c r="F32" s="160" t="s">
        <v>1364</v>
      </c>
      <c r="G32" s="131" t="s">
        <v>1365</v>
      </c>
      <c r="H32" s="129" t="s">
        <v>1366</v>
      </c>
      <c r="I32" s="107">
        <v>26.0</v>
      </c>
      <c r="J32" s="108" t="s">
        <v>1367</v>
      </c>
      <c r="K32" s="166" t="s">
        <v>1368</v>
      </c>
      <c r="L32" s="167" t="s">
        <v>1369</v>
      </c>
      <c r="M32" s="107">
        <v>26.0</v>
      </c>
      <c r="N32" s="121" t="s">
        <v>1370</v>
      </c>
      <c r="O32" s="131" t="s">
        <v>1371</v>
      </c>
      <c r="P32" s="129" t="s">
        <v>1372</v>
      </c>
      <c r="Q32" s="107">
        <v>26.0</v>
      </c>
      <c r="R32" s="140" t="str">
        <f>IFERROR(__xludf.DUMMYFUNCTION("GOOGLETRANSLATE(B32,""zh-tw"",""es-MX"")"),"Dale dinero de bolsillo a mi hermana pequeña")</f>
        <v>Dale dinero de bolsillo a mi hermana pequeña</v>
      </c>
      <c r="S32" s="141" t="str">
        <f>IFERROR(__xludf.DUMMYFUNCTION("GOOGLETRANSLATE(C32,""zh-tw"",""es-MX"")"),"Un recipiente con forma de corazón vacío se puede transformar en un corazón amarillo, pero si ya contiene un corazón rojo o morado, se le dará un borde chapado en oro y solo estará disponible ese día.")</f>
        <v>Un recipiente con forma de corazón vacío se puede transformar en un corazón amarillo, pero si ya contiene un corazón rojo o morado, se le dará un borde chapado en oro y solo estará disponible ese día.</v>
      </c>
      <c r="T32" s="142"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07">
        <v>26.0</v>
      </c>
      <c r="V32" s="160" t="s">
        <v>1373</v>
      </c>
      <c r="W32" s="131" t="s">
        <v>1374</v>
      </c>
      <c r="X32" s="129" t="s">
        <v>1375</v>
      </c>
      <c r="Y32" s="107">
        <v>26.0</v>
      </c>
      <c r="Z32" s="149" t="s">
        <v>1376</v>
      </c>
      <c r="AA32" s="150" t="s">
        <v>1377</v>
      </c>
      <c r="AB32" s="132" t="s">
        <v>1378</v>
      </c>
      <c r="AC32" s="107">
        <v>26.0</v>
      </c>
      <c r="AD32" s="161" t="s">
        <v>1379</v>
      </c>
      <c r="AE32" s="162" t="s">
        <v>1380</v>
      </c>
      <c r="AF32" s="168"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17">
        <v>26.0</v>
      </c>
      <c r="AH32" s="133" t="s">
        <v>1381</v>
      </c>
      <c r="AI32" s="169" t="s">
        <v>1382</v>
      </c>
      <c r="AJ32" s="6" t="s">
        <v>1383</v>
      </c>
      <c r="AK32" s="107">
        <v>26.0</v>
      </c>
      <c r="AL32" s="165" t="s">
        <v>1384</v>
      </c>
      <c r="AM32" s="166" t="s">
        <v>1385</v>
      </c>
      <c r="AN32" s="167" t="s">
        <v>1386</v>
      </c>
      <c r="AO32" s="107">
        <v>26.0</v>
      </c>
      <c r="AP32" s="108" t="s">
        <v>1367</v>
      </c>
      <c r="AQ32" s="166" t="s">
        <v>1368</v>
      </c>
      <c r="AR32" s="167" t="s">
        <v>1369</v>
      </c>
      <c r="AS32" s="123"/>
      <c r="AT32" s="123"/>
    </row>
    <row r="33">
      <c r="A33" s="107">
        <v>27.0</v>
      </c>
      <c r="B33" s="121" t="s">
        <v>1387</v>
      </c>
      <c r="C33" s="131" t="s">
        <v>1388</v>
      </c>
      <c r="D33" s="123" t="s">
        <v>1067</v>
      </c>
      <c r="E33" s="107">
        <v>27.0</v>
      </c>
      <c r="F33" s="160" t="s">
        <v>1389</v>
      </c>
      <c r="G33" s="131" t="s">
        <v>1390</v>
      </c>
      <c r="H33" s="129" t="s">
        <v>1070</v>
      </c>
      <c r="I33" s="107">
        <v>27.0</v>
      </c>
      <c r="J33" s="108" t="s">
        <v>1391</v>
      </c>
      <c r="K33" s="166" t="s">
        <v>1392</v>
      </c>
      <c r="L33" s="167" t="s">
        <v>1393</v>
      </c>
      <c r="M33" s="107">
        <v>27.0</v>
      </c>
      <c r="N33" s="121" t="str">
        <f>IFERROR(__xludf.DUMMYFUNCTION("GOOGLETRANSLATE(B33,""zh-tw"",""zh"")"),"撒娇吧-妹妹的告白")</f>
        <v>撒娇吧-妹妹的告白</v>
      </c>
      <c r="O33" s="131" t="str">
        <f>IFERROR(__xludf.DUMMYFUNCTION("GOOGLETRANSLATE(C33,""zh-tw"",""zh"")"),"于""向妹妹撒娇吧""中，选择妹妹的告白")</f>
        <v>于"向妹妹撒娇吧"中，选择妹妹的告白</v>
      </c>
      <c r="P33" s="129" t="str">
        <f>IFERROR(__xludf.DUMMYFUNCTION("GOOGLETRANSLATE(D33,""zh-tw"",""zh"")"),"未实装")</f>
        <v>未实装</v>
      </c>
      <c r="Q33" s="107">
        <v>27.0</v>
      </c>
      <c r="R33" s="140" t="str">
        <f>IFERROR(__xludf.DUMMYFUNCTION("GOOGLETRANSLATE(B33,""zh-tw"",""es-MX"")"),"Sé linda - La confesión de mi hermana")</f>
        <v>Sé linda - La confesión de mi hermana</v>
      </c>
      <c r="S33" s="141" t="str">
        <f>IFERROR(__xludf.DUMMYFUNCTION("GOOGLETRANSLATE(C33,""zh-tw"",""es-MX"")"),"En la sección ""Sé cariñosa con tu hermana"", elige la confesión de tu hermana.")</f>
        <v>En la sección "Sé cariñosa con tu hermana", elige la confesión de tu hermana.</v>
      </c>
      <c r="T33" s="142" t="str">
        <f>IFERROR(__xludf.DUMMYFUNCTION("GOOGLETRANSLATE(D33,""zh-tw"",""es-MX"")"),"No implementado")</f>
        <v>No implementado</v>
      </c>
      <c r="U33" s="107">
        <v>27.0</v>
      </c>
      <c r="V33" s="160" t="str">
        <f>IFERROR(__xludf.DUMMYFUNCTION("GOOGLETRANSLATE(B33,""zh-tw"",""KO"")"),"귀엽게 행동해 - 내 여동생의 고백")</f>
        <v>귀엽게 행동해 - 내 여동생의 고백</v>
      </c>
      <c r="W33" s="131" t="str">
        <f>IFERROR(__xludf.DUMMYFUNCTION("GOOGLETRANSLATE(C33,""zh-tw"",""KO"")"),"""여동생에게 귀엽게 대하기"" 섹션에서 여동생의 고백을 선택하세요.")</f>
        <v>"여동생에게 귀엽게 대하기" 섹션에서 여동생의 고백을 선택하세요.</v>
      </c>
      <c r="X33" s="129" t="str">
        <f>IFERROR(__xludf.DUMMYFUNCTION("GOOGLETRANSLATE(D33,""zh-tw"",""KO"")"),"구현되지 않음")</f>
        <v>구현되지 않음</v>
      </c>
      <c r="Y33" s="107">
        <v>27.0</v>
      </c>
      <c r="Z33" s="149" t="s">
        <v>1394</v>
      </c>
      <c r="AA33" s="150" t="s">
        <v>1395</v>
      </c>
      <c r="AB33" s="132" t="s">
        <v>1396</v>
      </c>
      <c r="AC33" s="107">
        <v>27.0</v>
      </c>
      <c r="AD33" s="161" t="s">
        <v>1397</v>
      </c>
      <c r="AE33" s="162" t="s">
        <v>1398</v>
      </c>
      <c r="AF33" s="168" t="s">
        <v>1085</v>
      </c>
      <c r="AG33" s="117">
        <v>27.0</v>
      </c>
      <c r="AH33" s="133" t="s">
        <v>1399</v>
      </c>
      <c r="AI33" s="164" t="s">
        <v>1400</v>
      </c>
      <c r="AJ33" s="6" t="s">
        <v>1401</v>
      </c>
      <c r="AK33" s="107">
        <v>27.0</v>
      </c>
      <c r="AL33" s="165" t="s">
        <v>1402</v>
      </c>
      <c r="AM33" s="166" t="s">
        <v>1403</v>
      </c>
      <c r="AN33" s="167" t="s">
        <v>1404</v>
      </c>
      <c r="AO33" s="107">
        <v>27.0</v>
      </c>
      <c r="AP33" s="108" t="s">
        <v>1405</v>
      </c>
      <c r="AQ33" s="166" t="s">
        <v>1406</v>
      </c>
      <c r="AR33" s="167" t="s">
        <v>1407</v>
      </c>
      <c r="AS33" s="123"/>
      <c r="AT33" s="123"/>
    </row>
    <row r="34">
      <c r="A34" s="107">
        <v>28.0</v>
      </c>
      <c r="B34" s="121" t="s">
        <v>1408</v>
      </c>
      <c r="C34" s="131" t="s">
        <v>1409</v>
      </c>
      <c r="D34" s="123" t="s">
        <v>1067</v>
      </c>
      <c r="E34" s="107">
        <v>28.0</v>
      </c>
      <c r="F34" s="160" t="s">
        <v>1410</v>
      </c>
      <c r="G34" s="131" t="s">
        <v>1411</v>
      </c>
      <c r="H34" s="129" t="s">
        <v>1070</v>
      </c>
      <c r="I34" s="107">
        <v>28.0</v>
      </c>
      <c r="J34" s="108" t="s">
        <v>1412</v>
      </c>
      <c r="K34" s="166" t="s">
        <v>1413</v>
      </c>
      <c r="L34" s="167" t="s">
        <v>1393</v>
      </c>
      <c r="M34" s="107">
        <v>28.0</v>
      </c>
      <c r="N34" s="121" t="str">
        <f>IFERROR(__xludf.DUMMYFUNCTION("GOOGLETRANSLATE(B34,""zh-tw"",""zh"")"),"撒娇吧-和妹妹亲吻")</f>
        <v>撒娇吧-和妹妹亲吻</v>
      </c>
      <c r="O34" s="131" t="str">
        <f>IFERROR(__xludf.DUMMYFUNCTION("GOOGLETRANSLATE(C34,""zh-tw"",""zh"")"),"于""向妹妹撒娇吧""中，选择和妹妹亲吻")</f>
        <v>于"向妹妹撒娇吧"中，选择和妹妹亲吻</v>
      </c>
      <c r="P34" s="129" t="str">
        <f>IFERROR(__xludf.DUMMYFUNCTION("GOOGLETRANSLATE(D34,""zh-tw"",""zh"")"),"未实装")</f>
        <v>未实装</v>
      </c>
      <c r="Q34" s="107">
        <v>28.0</v>
      </c>
      <c r="R34" s="140" t="str">
        <f>IFERROR(__xludf.DUMMYFUNCTION("GOOGLETRANSLATE(B34,""zh-tw"",""es-MX"")"),"Sé cariñosa: besa a tu hermana.")</f>
        <v>Sé cariñosa: besa a tu hermana.</v>
      </c>
      <c r="S34" s="141" t="str">
        <f>IFERROR(__xludf.DUMMYFUNCTION("GOOGLETRANSLATE(C34,""zh-tw"",""es-MX"")"),"En el escenario ""Sé cariñoso con tu hermana"", elige besar a tu hermana.")</f>
        <v>En el escenario "Sé cariñoso con tu hermana", elige besar a tu hermana.</v>
      </c>
      <c r="T34" s="142" t="str">
        <f>IFERROR(__xludf.DUMMYFUNCTION("GOOGLETRANSLATE(D34,""zh-tw"",""es-MX"")"),"No implementado")</f>
        <v>No implementado</v>
      </c>
      <c r="U34" s="107">
        <v>28.0</v>
      </c>
      <c r="V34" s="160" t="str">
        <f>IFERROR(__xludf.DUMMYFUNCTION("GOOGLETRANSLATE(B34,""zh-tw"",""KO"")"),"애정을 표현하세요 - 여동생에게 뽀뽀해 주세요")</f>
        <v>애정을 표현하세요 - 여동생에게 뽀뽀해 주세요</v>
      </c>
      <c r="W34" s="131"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29" t="str">
        <f>IFERROR(__xludf.DUMMYFUNCTION("GOOGLETRANSLATE(D34,""zh-tw"",""KO"")"),"구현되지 않음")</f>
        <v>구현되지 않음</v>
      </c>
      <c r="Y34" s="107">
        <v>28.0</v>
      </c>
      <c r="Z34" s="149" t="s">
        <v>1414</v>
      </c>
      <c r="AA34" s="150" t="s">
        <v>1415</v>
      </c>
      <c r="AB34" s="132" t="s">
        <v>1396</v>
      </c>
      <c r="AC34" s="107">
        <v>28.0</v>
      </c>
      <c r="AD34" s="161" t="s">
        <v>1416</v>
      </c>
      <c r="AE34" s="162" t="s">
        <v>1417</v>
      </c>
      <c r="AF34" s="168" t="s">
        <v>1085</v>
      </c>
      <c r="AG34" s="117">
        <v>28.0</v>
      </c>
      <c r="AH34" s="133" t="s">
        <v>1418</v>
      </c>
      <c r="AI34" s="164" t="s">
        <v>1419</v>
      </c>
      <c r="AJ34" s="6" t="s">
        <v>1401</v>
      </c>
      <c r="AK34" s="107">
        <v>28.0</v>
      </c>
      <c r="AL34" s="165" t="s">
        <v>1420</v>
      </c>
      <c r="AM34" s="166" t="s">
        <v>1421</v>
      </c>
      <c r="AN34" s="167" t="s">
        <v>1404</v>
      </c>
      <c r="AO34" s="107">
        <v>28.0</v>
      </c>
      <c r="AP34" s="108" t="s">
        <v>1422</v>
      </c>
      <c r="AQ34" s="166" t="s">
        <v>1423</v>
      </c>
      <c r="AR34" s="167" t="s">
        <v>1407</v>
      </c>
      <c r="AS34" s="123"/>
      <c r="AT34" s="123"/>
    </row>
    <row r="35">
      <c r="A35" s="107">
        <v>29.0</v>
      </c>
      <c r="B35" s="121" t="s">
        <v>1424</v>
      </c>
      <c r="C35" s="131" t="s">
        <v>1425</v>
      </c>
      <c r="D35" s="123" t="s">
        <v>1426</v>
      </c>
      <c r="E35" s="107">
        <v>29.0</v>
      </c>
      <c r="F35" s="160" t="s">
        <v>1427</v>
      </c>
      <c r="G35" s="131" t="s">
        <v>1428</v>
      </c>
      <c r="H35" s="129" t="s">
        <v>1429</v>
      </c>
      <c r="I35" s="107">
        <v>29.0</v>
      </c>
      <c r="J35" s="108" t="s">
        <v>1430</v>
      </c>
      <c r="K35" s="166" t="s">
        <v>1431</v>
      </c>
      <c r="L35" s="167" t="s">
        <v>1432</v>
      </c>
      <c r="M35" s="107">
        <v>29.0</v>
      </c>
      <c r="N35" s="121" t="str">
        <f>IFERROR(__xludf.DUMMYFUNCTION("GOOGLETRANSLATE(B35,""zh-tw"",""zh"")"),"撒娇吧-妹妹的膝枕")</f>
        <v>撒娇吧-妹妹的膝枕</v>
      </c>
      <c r="O35" s="131" t="str">
        <f>IFERROR(__xludf.DUMMYFUNCTION("GOOGLETRANSLATE(C35,""zh-tw"",""zh"")"),"于""向妹妹撒娇吧""中，选择妹妹的膝枕，使用""妹妹使用券""即可触发")</f>
        <v>于"向妹妹撒娇吧"中，选择妹妹的膝枕，使用"妹妹使用券"即可触发</v>
      </c>
      <c r="P35" s="129" t="str">
        <f>IFERROR(__xludf.DUMMYFUNCTION("GOOGLETRANSLATE(D35,""zh-tw"",""zh"")"),"触发剧情
(目前版本必须使用道具，无法平时触发)")</f>
        <v>触发剧情
(目前版本必须使用道具，无法平时触发)</v>
      </c>
      <c r="Q35" s="107">
        <v>29.0</v>
      </c>
      <c r="R35" s="140" t="str">
        <f>IFERROR(__xludf.DUMMYFUNCTION("GOOGLETRANSLATE(B35,""zh-tw"",""es-MX"")"),"Sé linda: la almohada para el regazo de la hermanita")</f>
        <v>Sé linda: la almohada para el regazo de la hermanita</v>
      </c>
      <c r="S35" s="141" t="str">
        <f>IFERROR(__xludf.DUMMYFUNCTION("GOOGLETRANSLATE(C35,""zh-tw"",""es-MX"")"),"En el evento ""Sé adorable con tu hermana"", selecciona la almohada de regazo de tu hermana y usa un ""Cupón de uso para hermanas"" para activar el evento.")</f>
        <v>En el evento "Sé adorable con tu hermana", selecciona la almohada de regazo de tu hermana y usa un "Cupón de uso para hermanas" para activar el evento.</v>
      </c>
      <c r="T35" s="142" t="str">
        <f>IFERROR(__xludf.DUMMYFUNCTION("GOOGLETRANSLATE(D35,""zh-tw"",""es-MX"")"),"Activar el evento
(Actualmente, esto requiere el uso de un objeto y no se puede activar de forma normal).")</f>
        <v>Activar el evento
(Actualmente, esto requiere el uso de un objeto y no se puede activar de forma normal).</v>
      </c>
      <c r="U35" s="107">
        <v>29.0</v>
      </c>
      <c r="V35" s="160" t="str">
        <f>IFERROR(__xludf.DUMMYFUNCTION("GOOGLETRANSLATE(B35,""zh-tw"",""KO"")"),"귀여워라 - 여동생 무릎베개")</f>
        <v>귀여워라 - 여동생 무릎베개</v>
      </c>
      <c r="W35" s="131"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29" t="str">
        <f>IFERROR(__xludf.DUMMYFUNCTION("GOOGLETRANSLATE(D35,""zh-tw"",""KO"")"),"이벤트 발생
(현재는 아이템을 사용해야 하며, 일반적인 방법으로는 발생시킬 수 없습니다.)")</f>
        <v>이벤트 발생
(현재는 아이템을 사용해야 하며, 일반적인 방법으로는 발생시킬 수 없습니다.)</v>
      </c>
      <c r="Y35" s="107">
        <v>29.0</v>
      </c>
      <c r="Z35" s="149" t="s">
        <v>1433</v>
      </c>
      <c r="AA35" s="150" t="s">
        <v>1434</v>
      </c>
      <c r="AB35" s="132" t="s">
        <v>1435</v>
      </c>
      <c r="AC35" s="107">
        <v>29.0</v>
      </c>
      <c r="AD35" s="161" t="s">
        <v>1436</v>
      </c>
      <c r="AE35" s="162" t="s">
        <v>1437</v>
      </c>
      <c r="AF35" s="168" t="s">
        <v>1438</v>
      </c>
      <c r="AG35" s="117">
        <v>29.0</v>
      </c>
      <c r="AH35" s="133" t="s">
        <v>1439</v>
      </c>
      <c r="AI35" s="164" t="s">
        <v>1440</v>
      </c>
      <c r="AJ35" s="6" t="s">
        <v>1441</v>
      </c>
      <c r="AK35" s="107">
        <v>29.0</v>
      </c>
      <c r="AL35" s="165" t="s">
        <v>1442</v>
      </c>
      <c r="AM35" s="166" t="s">
        <v>1443</v>
      </c>
      <c r="AN35" s="167" t="s">
        <v>1444</v>
      </c>
      <c r="AO35" s="107">
        <v>29.0</v>
      </c>
      <c r="AP35" s="108" t="s">
        <v>1445</v>
      </c>
      <c r="AQ35" s="166" t="s">
        <v>1446</v>
      </c>
      <c r="AR35" s="167" t="s">
        <v>1447</v>
      </c>
      <c r="AS35" s="123"/>
      <c r="AT35" s="123"/>
    </row>
    <row r="36">
      <c r="A36" s="170"/>
      <c r="B36" s="171"/>
      <c r="C36" s="171"/>
      <c r="D36" s="171"/>
      <c r="E36" s="170"/>
      <c r="F36" s="171"/>
      <c r="G36" s="171"/>
      <c r="H36" s="171"/>
      <c r="I36" s="170"/>
      <c r="J36" s="171"/>
      <c r="K36" s="171"/>
      <c r="L36" s="171"/>
      <c r="M36" s="170"/>
      <c r="N36" s="171"/>
      <c r="O36" s="66"/>
      <c r="P36" s="66"/>
      <c r="Q36" s="170"/>
      <c r="R36" s="66"/>
      <c r="S36" s="171"/>
      <c r="T36" s="66"/>
      <c r="U36" s="170"/>
      <c r="V36" s="66"/>
      <c r="W36" s="66"/>
      <c r="X36" s="66"/>
      <c r="Y36" s="172"/>
      <c r="Z36" s="173"/>
      <c r="AA36" s="173"/>
      <c r="AB36" s="173"/>
      <c r="AC36" s="170"/>
      <c r="AD36" s="171"/>
      <c r="AE36" s="171"/>
      <c r="AF36" s="171"/>
      <c r="AG36" s="174"/>
      <c r="AH36" s="174"/>
      <c r="AI36" s="175"/>
      <c r="AJ36" s="175"/>
      <c r="AK36" s="176"/>
      <c r="AL36" s="176"/>
      <c r="AM36" s="176"/>
      <c r="AN36" s="176"/>
      <c r="AO36" s="176"/>
      <c r="AP36" s="176"/>
      <c r="AQ36" s="176"/>
      <c r="AR36" s="176"/>
      <c r="AS36" s="171"/>
      <c r="AT36" s="171"/>
    </row>
    <row r="37">
      <c r="A37" s="103" t="s">
        <v>1448</v>
      </c>
      <c r="B37" s="104" t="s">
        <v>1449</v>
      </c>
      <c r="E37" s="103" t="s">
        <v>1448</v>
      </c>
      <c r="F37" s="103" t="s">
        <v>1450</v>
      </c>
      <c r="I37" s="103" t="s">
        <v>1448</v>
      </c>
      <c r="J37" s="103" t="s">
        <v>1451</v>
      </c>
      <c r="M37" s="103" t="s">
        <v>1448</v>
      </c>
      <c r="N37" s="104" t="str">
        <f>IFERROR(__xludf.DUMMYFUNCTION("GOOGLETRANSLATE(B37,""zh-tw"",""zh"")"),"厕所相关")</f>
        <v>厕所相关</v>
      </c>
      <c r="Q37" s="103" t="s">
        <v>1448</v>
      </c>
      <c r="R37" s="103" t="s">
        <v>1452</v>
      </c>
      <c r="U37" s="103" t="s">
        <v>1448</v>
      </c>
      <c r="V37" s="103" t="s">
        <v>1453</v>
      </c>
      <c r="Y37" s="104" t="s">
        <v>1448</v>
      </c>
      <c r="Z37" s="104" t="s">
        <v>1454</v>
      </c>
      <c r="AC37" s="103" t="s">
        <v>1448</v>
      </c>
      <c r="AD37" s="103" t="s">
        <v>1455</v>
      </c>
      <c r="AG37" s="177" t="s">
        <v>1448</v>
      </c>
      <c r="AH37" s="106" t="s">
        <v>1456</v>
      </c>
      <c r="AK37" s="104" t="s">
        <v>1448</v>
      </c>
      <c r="AL37" s="103" t="s">
        <v>1457</v>
      </c>
      <c r="AO37" s="103" t="s">
        <v>1448</v>
      </c>
      <c r="AP37" s="103" t="s">
        <v>1458</v>
      </c>
      <c r="AS37" s="104"/>
      <c r="AT37" s="104"/>
    </row>
    <row r="38">
      <c r="A38" s="107">
        <v>1.0</v>
      </c>
      <c r="B38" s="108" t="s">
        <v>1459</v>
      </c>
      <c r="C38" s="109" t="s">
        <v>1460</v>
      </c>
      <c r="D38" s="110" t="s">
        <v>1461</v>
      </c>
      <c r="E38" s="107">
        <v>1.0</v>
      </c>
      <c r="F38" s="108" t="s">
        <v>1462</v>
      </c>
      <c r="G38" s="109" t="s">
        <v>1463</v>
      </c>
      <c r="H38" s="110" t="s">
        <v>1464</v>
      </c>
      <c r="I38" s="107">
        <v>1.0</v>
      </c>
      <c r="J38" s="108" t="s">
        <v>1465</v>
      </c>
      <c r="K38" s="109" t="s">
        <v>1466</v>
      </c>
      <c r="L38" s="110" t="s">
        <v>1467</v>
      </c>
      <c r="M38" s="107">
        <v>1.0</v>
      </c>
      <c r="N38" s="108" t="str">
        <f>IFERROR(__xludf.DUMMYFUNCTION("GOOGLETRANSLATE(B38,""zh-tw"",""zh"")"),"哥要加油")</f>
        <v>哥要加油</v>
      </c>
      <c r="O38" s="113" t="str">
        <f>IFERROR(__xludf.DUMMYFUNCTION("GOOGLETRANSLATE(C38,""zh-tw"",""zh"")"),"于厕所待的时间过长，并持续N天")</f>
        <v>于厕所待的时间过长，并持续N天</v>
      </c>
      <c r="P38" s="75" t="s">
        <v>1468</v>
      </c>
      <c r="Q38" s="107">
        <v>1.0</v>
      </c>
      <c r="R38" s="108" t="s">
        <v>1469</v>
      </c>
      <c r="S38" s="111" t="s">
        <v>1470</v>
      </c>
      <c r="T38" s="75" t="str">
        <f>IFERROR(__xludf.DUMMYFUNCTION("GOOGLETRANSLATE(D38,""zh-tw"",""es-MX"")"),"Alrededor del cuarto día, la hermana menor malinterpretará la situación y pensará que el hermano mayor está enfermo. (No hay más detalles sobre el juego disponibles).")</f>
        <v>Alrededor del cuarto día, la hermana menor malinterpretará la situación y pensará que el hermano mayor está enfermo. (No hay más detalles sobre el juego disponibles).</v>
      </c>
      <c r="U38" s="107">
        <v>1.0</v>
      </c>
      <c r="V38" s="125" t="s">
        <v>1471</v>
      </c>
      <c r="W38" s="113" t="s">
        <v>1472</v>
      </c>
      <c r="X38" s="75" t="s">
        <v>1473</v>
      </c>
      <c r="Y38" s="107">
        <v>1.0</v>
      </c>
      <c r="Z38" s="114" t="s">
        <v>1474</v>
      </c>
      <c r="AA38" s="115" t="s">
        <v>1475</v>
      </c>
      <c r="AB38" s="116" t="s">
        <v>1476</v>
      </c>
      <c r="AC38" s="107">
        <v>1.0</v>
      </c>
      <c r="AD38" s="108" t="s">
        <v>1477</v>
      </c>
      <c r="AE38" s="109" t="s">
        <v>1478</v>
      </c>
      <c r="AF38" s="110" t="s">
        <v>1479</v>
      </c>
      <c r="AG38" s="117">
        <v>1.0</v>
      </c>
      <c r="AH38" s="118" t="s">
        <v>1480</v>
      </c>
      <c r="AI38" s="130" t="s">
        <v>1481</v>
      </c>
      <c r="AJ38" s="120" t="s">
        <v>1482</v>
      </c>
      <c r="AK38" s="107">
        <v>1.0</v>
      </c>
      <c r="AL38" s="121" t="s">
        <v>1483</v>
      </c>
      <c r="AM38" s="131" t="s">
        <v>1484</v>
      </c>
      <c r="AN38" s="123" t="s">
        <v>1485</v>
      </c>
      <c r="AO38" s="107">
        <v>1.0</v>
      </c>
      <c r="AP38" s="112" t="s">
        <v>1486</v>
      </c>
      <c r="AQ38" s="109" t="s">
        <v>1487</v>
      </c>
      <c r="AR38" s="72" t="s">
        <v>1488</v>
      </c>
      <c r="AS38" s="110"/>
      <c r="AT38" s="110"/>
    </row>
    <row r="39">
      <c r="A39" s="139">
        <v>2.0</v>
      </c>
      <c r="B39" s="108" t="s">
        <v>1489</v>
      </c>
      <c r="C39" s="109" t="s">
        <v>1490</v>
      </c>
      <c r="D39" s="110" t="s">
        <v>1491</v>
      </c>
      <c r="E39" s="139">
        <v>2.0</v>
      </c>
      <c r="F39" s="108" t="s">
        <v>1492</v>
      </c>
      <c r="G39" s="109" t="s">
        <v>1493</v>
      </c>
      <c r="H39" s="110" t="s">
        <v>1494</v>
      </c>
      <c r="I39" s="139">
        <v>2.0</v>
      </c>
      <c r="J39" s="108" t="s">
        <v>1495</v>
      </c>
      <c r="K39" s="109" t="s">
        <v>1496</v>
      </c>
      <c r="L39" s="110" t="s">
        <v>1497</v>
      </c>
      <c r="M39" s="139">
        <v>2.0</v>
      </c>
      <c r="N39" s="108" t="str">
        <f>IFERROR(__xludf.DUMMYFUNCTION("GOOGLETRANSLATE(B39,""zh-tw"",""zh"")"),"发情的妹妹-1")</f>
        <v>发情的妹妹-1</v>
      </c>
      <c r="O39" s="113"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75"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39">
        <v>2.0</v>
      </c>
      <c r="R39" s="108" t="s">
        <v>1498</v>
      </c>
      <c r="S39" s="113" t="s">
        <v>1499</v>
      </c>
      <c r="T39" s="75" t="s">
        <v>1500</v>
      </c>
      <c r="U39" s="139">
        <v>2.0</v>
      </c>
      <c r="V39" s="112" t="s">
        <v>1501</v>
      </c>
      <c r="W39" s="111" t="s">
        <v>1502</v>
      </c>
      <c r="X39" s="72" t="s">
        <v>1503</v>
      </c>
      <c r="Y39" s="107">
        <v>2.0</v>
      </c>
      <c r="Z39" s="114" t="s">
        <v>1504</v>
      </c>
      <c r="AA39" s="115" t="s">
        <v>1505</v>
      </c>
      <c r="AB39" s="116" t="s">
        <v>1506</v>
      </c>
      <c r="AC39" s="139">
        <v>2.0</v>
      </c>
      <c r="AD39" s="112" t="s">
        <v>1507</v>
      </c>
      <c r="AE39" s="109" t="s">
        <v>1508</v>
      </c>
      <c r="AF39" s="110" t="s">
        <v>1509</v>
      </c>
      <c r="AG39" s="151">
        <v>2.0</v>
      </c>
      <c r="AH39" s="118" t="s">
        <v>1510</v>
      </c>
      <c r="AI39" s="119" t="s">
        <v>1511</v>
      </c>
      <c r="AJ39" s="120" t="s">
        <v>1512</v>
      </c>
      <c r="AK39" s="107">
        <v>2.0</v>
      </c>
      <c r="AL39" s="121" t="s">
        <v>1513</v>
      </c>
      <c r="AM39" s="131" t="s">
        <v>1514</v>
      </c>
      <c r="AN39" s="129" t="s">
        <v>1515</v>
      </c>
      <c r="AO39" s="107">
        <v>2.0</v>
      </c>
      <c r="AP39" s="112" t="s">
        <v>1516</v>
      </c>
      <c r="AQ39" s="109" t="s">
        <v>1517</v>
      </c>
      <c r="AR39" s="72" t="s">
        <v>1518</v>
      </c>
      <c r="AS39" s="110"/>
      <c r="AT39" s="110"/>
    </row>
    <row r="40">
      <c r="A40" s="107">
        <v>3.0</v>
      </c>
      <c r="B40" s="108" t="s">
        <v>1519</v>
      </c>
      <c r="C40" s="109" t="s">
        <v>1520</v>
      </c>
      <c r="D40" s="110" t="s">
        <v>1521</v>
      </c>
      <c r="E40" s="107">
        <v>3.0</v>
      </c>
      <c r="F40" s="108" t="s">
        <v>1522</v>
      </c>
      <c r="G40" s="109" t="s">
        <v>1523</v>
      </c>
      <c r="H40" s="110" t="s">
        <v>1524</v>
      </c>
      <c r="I40" s="107">
        <v>3.0</v>
      </c>
      <c r="J40" s="108" t="s">
        <v>1525</v>
      </c>
      <c r="K40" s="111" t="s">
        <v>1526</v>
      </c>
      <c r="L40" s="110" t="s">
        <v>1527</v>
      </c>
      <c r="M40" s="107">
        <v>3.0</v>
      </c>
      <c r="N40" s="108" t="str">
        <f>IFERROR(__xludf.DUMMYFUNCTION("GOOGLETRANSLATE(B40,""zh-tw"",""zh"")"),"发情的妹妹-2")</f>
        <v>发情的妹妹-2</v>
      </c>
      <c r="O40" s="113" t="str">
        <f>IFERROR(__xludf.DUMMYFUNCTION("GOOGLETRANSLATE(C40,""zh-tw"",""zh"")"),"承上，当紫心达到一定程度后，哥哥能进入并且让妹妹服务。")</f>
        <v>承上，当紫心达到一定程度后，哥哥能进入并且让妹妹服务。</v>
      </c>
      <c r="P40" s="75" t="str">
        <f>IFERROR(__xludf.DUMMYFUNCTION("GOOGLETRANSLATE(D40,""zh-tw"",""zh"")"),"使用手部进行特殊剧情")</f>
        <v>使用手部进行特殊剧情</v>
      </c>
      <c r="Q40" s="107">
        <v>3.0</v>
      </c>
      <c r="R40" s="125" t="s">
        <v>1528</v>
      </c>
      <c r="S40" s="109" t="s">
        <v>1529</v>
      </c>
      <c r="T40" s="75" t="s">
        <v>1530</v>
      </c>
      <c r="U40" s="107">
        <v>3.0</v>
      </c>
      <c r="V40" s="112" t="s">
        <v>1531</v>
      </c>
      <c r="W40" s="111" t="s">
        <v>1532</v>
      </c>
      <c r="X40" s="72" t="s">
        <v>1533</v>
      </c>
      <c r="Y40" s="107">
        <v>3.0</v>
      </c>
      <c r="Z40" s="114" t="s">
        <v>1534</v>
      </c>
      <c r="AA40" s="115" t="s">
        <v>1535</v>
      </c>
      <c r="AB40" s="116" t="s">
        <v>1536</v>
      </c>
      <c r="AC40" s="107">
        <v>3.0</v>
      </c>
      <c r="AD40" s="112" t="s">
        <v>1537</v>
      </c>
      <c r="AE40" s="109" t="s">
        <v>1538</v>
      </c>
      <c r="AF40" s="110" t="s">
        <v>1539</v>
      </c>
      <c r="AG40" s="117">
        <v>3.0</v>
      </c>
      <c r="AH40" s="118" t="s">
        <v>1540</v>
      </c>
      <c r="AI40" s="119" t="s">
        <v>1541</v>
      </c>
      <c r="AJ40" s="120" t="s">
        <v>1542</v>
      </c>
      <c r="AK40" s="107">
        <v>3.0</v>
      </c>
      <c r="AL40" s="121" t="s">
        <v>1543</v>
      </c>
      <c r="AM40" s="131" t="s">
        <v>1544</v>
      </c>
      <c r="AN40" s="123" t="s">
        <v>1545</v>
      </c>
      <c r="AO40" s="107">
        <v>3.0</v>
      </c>
      <c r="AP40" s="112" t="s">
        <v>1546</v>
      </c>
      <c r="AQ40" s="111" t="s">
        <v>1547</v>
      </c>
      <c r="AR40" s="110" t="s">
        <v>1548</v>
      </c>
      <c r="AS40" s="110"/>
      <c r="AT40" s="110"/>
    </row>
    <row r="41">
      <c r="A41" s="139">
        <v>4.0</v>
      </c>
      <c r="B41" s="108" t="s">
        <v>1549</v>
      </c>
      <c r="C41" s="109" t="s">
        <v>1550</v>
      </c>
      <c r="D41" s="72" t="s">
        <v>1551</v>
      </c>
      <c r="E41" s="139">
        <v>4.0</v>
      </c>
      <c r="F41" s="108" t="s">
        <v>1552</v>
      </c>
      <c r="G41" s="109" t="s">
        <v>1553</v>
      </c>
      <c r="H41" s="110" t="s">
        <v>1554</v>
      </c>
      <c r="I41" s="139">
        <v>4.0</v>
      </c>
      <c r="J41" s="108" t="s">
        <v>1555</v>
      </c>
      <c r="K41" s="109" t="s">
        <v>1556</v>
      </c>
      <c r="L41" s="72" t="s">
        <v>1557</v>
      </c>
      <c r="M41" s="139">
        <v>4.0</v>
      </c>
      <c r="N41" s="108" t="str">
        <f>IFERROR(__xludf.DUMMYFUNCTION("GOOGLETRANSLATE(B41,""zh-tw"",""zh"")"),"发情的妹妹-3")</f>
        <v>发情的妹妹-3</v>
      </c>
      <c r="O41" s="113" t="str">
        <f>IFERROR(__xludf.DUMMYFUNCTION("GOOGLETRANSLATE(C41,""zh-tw"",""zh"")"),"承第1点，若此时遇到蟑螂的突击，触发一种分歧")</f>
        <v>承第1点，若此时遇到蟑螂的突击，触发一种分歧</v>
      </c>
      <c r="P41" s="75" t="str">
        <f>IFERROR(__xludf.DUMMYFUNCTION("GOOGLETRANSLATE(D41,""zh-tw"",""zh"")"),"触发打蟑螂剧情
备注：无须发现Z的前置操作
(未实装)")</f>
        <v>触发打蟑螂剧情
备注：无须发现Z的前置操作
(未实装)</v>
      </c>
      <c r="Q41" s="139">
        <v>4.0</v>
      </c>
      <c r="R41" s="125" t="s">
        <v>1558</v>
      </c>
      <c r="S41" s="109" t="s">
        <v>1559</v>
      </c>
      <c r="T41" s="75" t="s">
        <v>1560</v>
      </c>
      <c r="U41" s="139">
        <v>4.0</v>
      </c>
      <c r="V41" s="112" t="s">
        <v>1561</v>
      </c>
      <c r="W41" s="111" t="s">
        <v>1562</v>
      </c>
      <c r="X41" s="72" t="s">
        <v>1563</v>
      </c>
      <c r="Y41" s="107">
        <v>4.0</v>
      </c>
      <c r="Z41" s="114" t="s">
        <v>1564</v>
      </c>
      <c r="AA41" s="115" t="s">
        <v>1565</v>
      </c>
      <c r="AB41" s="116" t="s">
        <v>1566</v>
      </c>
      <c r="AC41" s="139">
        <v>4.0</v>
      </c>
      <c r="AD41" s="112" t="s">
        <v>1567</v>
      </c>
      <c r="AE41" s="109" t="s">
        <v>1568</v>
      </c>
      <c r="AF41" s="110" t="s">
        <v>1569</v>
      </c>
      <c r="AG41" s="151">
        <v>4.0</v>
      </c>
      <c r="AH41" s="118" t="s">
        <v>1570</v>
      </c>
      <c r="AI41" s="130" t="s">
        <v>1571</v>
      </c>
      <c r="AJ41" s="134" t="s">
        <v>1572</v>
      </c>
      <c r="AK41" s="107">
        <v>4.0</v>
      </c>
      <c r="AL41" s="121" t="s">
        <v>1573</v>
      </c>
      <c r="AM41" s="122" t="s">
        <v>1574</v>
      </c>
      <c r="AN41" s="123" t="s">
        <v>1575</v>
      </c>
      <c r="AO41" s="107">
        <v>4.0</v>
      </c>
      <c r="AP41" s="112" t="s">
        <v>1576</v>
      </c>
      <c r="AQ41" s="111" t="s">
        <v>1577</v>
      </c>
      <c r="AR41" s="72" t="s">
        <v>1578</v>
      </c>
      <c r="AS41" s="72"/>
      <c r="AT41" s="72"/>
    </row>
    <row r="42">
      <c r="A42" s="107">
        <v>5.0</v>
      </c>
      <c r="B42" s="108" t="s">
        <v>1579</v>
      </c>
      <c r="C42" s="109" t="s">
        <v>1580</v>
      </c>
      <c r="D42" s="110" t="s">
        <v>1581</v>
      </c>
      <c r="E42" s="107">
        <v>5.0</v>
      </c>
      <c r="F42" s="108" t="s">
        <v>1582</v>
      </c>
      <c r="G42" s="109" t="s">
        <v>1583</v>
      </c>
      <c r="H42" s="110" t="s">
        <v>1584</v>
      </c>
      <c r="I42" s="107">
        <v>5.0</v>
      </c>
      <c r="J42" s="108" t="s">
        <v>1585</v>
      </c>
      <c r="K42" s="109" t="s">
        <v>1586</v>
      </c>
      <c r="L42" s="110" t="s">
        <v>1587</v>
      </c>
      <c r="M42" s="107">
        <v>5.0</v>
      </c>
      <c r="N42" s="108" t="str">
        <f>IFERROR(__xludf.DUMMYFUNCTION("GOOGLETRANSLATE(B42,""zh-tw"",""zh"")"),"憋不住了-1")</f>
        <v>憋不住了-1</v>
      </c>
      <c r="O42" s="111" t="s">
        <v>1588</v>
      </c>
      <c r="P42" s="75"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07">
        <v>5.0</v>
      </c>
      <c r="R42" s="108" t="s">
        <v>1589</v>
      </c>
      <c r="S42" s="113" t="str">
        <f>IFERROR(__xludf.DUMMYFUNCTION("GOOGLETRANSLATE(C42,""zh-tw"",""es-MX"")"),"Algunos ingredientes (como la basura, las setas lila y las setas de luna) tienen una probabilidad significativa de causar intoxicación alimentaria al hermano mayor cuando se cocinan.")</f>
        <v>Algunos ingredientes (como la basura, las setas lila y las setas de luna) tienen una probabilidad significativa de causar intoxicación alimentaria al hermano mayor cuando se cocinan.</v>
      </c>
      <c r="T42" s="75"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07">
        <v>5.0</v>
      </c>
      <c r="V42" s="112" t="s">
        <v>1590</v>
      </c>
      <c r="W42" s="111" t="s">
        <v>1591</v>
      </c>
      <c r="X42" s="72" t="s">
        <v>1592</v>
      </c>
      <c r="Y42" s="107">
        <v>5.0</v>
      </c>
      <c r="Z42" s="114" t="s">
        <v>1593</v>
      </c>
      <c r="AA42" s="115" t="s">
        <v>1594</v>
      </c>
      <c r="AB42" s="116" t="s">
        <v>1595</v>
      </c>
      <c r="AC42" s="107">
        <v>5.0</v>
      </c>
      <c r="AD42" s="108" t="s">
        <v>1596</v>
      </c>
      <c r="AE42" s="109" t="s">
        <v>1597</v>
      </c>
      <c r="AF42" s="110" t="s">
        <v>1598</v>
      </c>
      <c r="AG42" s="117">
        <v>5.0</v>
      </c>
      <c r="AH42" s="118" t="s">
        <v>1599</v>
      </c>
      <c r="AI42" s="119" t="s">
        <v>1600</v>
      </c>
      <c r="AJ42" s="120" t="s">
        <v>1601</v>
      </c>
      <c r="AK42" s="107">
        <v>5.0</v>
      </c>
      <c r="AL42" s="121" t="s">
        <v>1602</v>
      </c>
      <c r="AM42" s="122" t="s">
        <v>1603</v>
      </c>
      <c r="AN42" s="123" t="s">
        <v>1604</v>
      </c>
      <c r="AO42" s="107">
        <v>5.0</v>
      </c>
      <c r="AP42" s="112" t="s">
        <v>1605</v>
      </c>
      <c r="AQ42" s="109" t="s">
        <v>1606</v>
      </c>
      <c r="AR42" s="72" t="s">
        <v>1607</v>
      </c>
      <c r="AS42" s="110"/>
      <c r="AT42" s="110"/>
    </row>
    <row r="43">
      <c r="A43" s="139">
        <v>6.0</v>
      </c>
      <c r="B43" s="108" t="s">
        <v>1608</v>
      </c>
      <c r="C43" s="109" t="s">
        <v>1609</v>
      </c>
      <c r="D43" s="110" t="s">
        <v>1610</v>
      </c>
      <c r="E43" s="139">
        <v>6.0</v>
      </c>
      <c r="F43" s="108" t="s">
        <v>1611</v>
      </c>
      <c r="G43" s="109" t="s">
        <v>1612</v>
      </c>
      <c r="H43" s="110" t="s">
        <v>1613</v>
      </c>
      <c r="I43" s="139">
        <v>6.0</v>
      </c>
      <c r="J43" s="108" t="s">
        <v>1614</v>
      </c>
      <c r="K43" s="109" t="s">
        <v>1615</v>
      </c>
      <c r="L43" s="110" t="s">
        <v>1616</v>
      </c>
      <c r="M43" s="139">
        <v>6.0</v>
      </c>
      <c r="N43" s="108" t="str">
        <f>IFERROR(__xludf.DUMMYFUNCTION("GOOGLETRANSLATE(B43,""zh-tw"",""zh"")"),"憋不住了-2")</f>
        <v>憋不住了-2</v>
      </c>
      <c r="O43" s="113" t="str">
        <f>IFERROR(__xludf.DUMMYFUNCTION("GOOGLETRANSLATE(C43,""zh-tw"",""zh"")"),"如果食材还混入了辣椒，会进一步强化腹泻的副作用")</f>
        <v>如果食材还混入了辣椒，会进一步强化腹泻的副作用</v>
      </c>
      <c r="P43" s="75"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39">
        <v>6.0</v>
      </c>
      <c r="R43" s="108" t="s">
        <v>1617</v>
      </c>
      <c r="S43" s="113" t="str">
        <f>IFERROR(__xludf.DUMMYFUNCTION("GOOGLETRANSLATE(C43,""zh-tw"",""es-MX"")"),"Si además se añaden chiles a la comida, se agravarán aún más los efectos secundarios de la diarrea.")</f>
        <v>Si además se añaden chiles a la comida, se agravarán aún más los efectos secundarios de la diarrea.</v>
      </c>
      <c r="T43" s="75" t="str">
        <f>IFERROR(__xludf.DUMMYFUNCTION("GOOGLETRANSLATE(D43,""zh-tw"",""es-MX"")"),"Al día siguiente, durante la aventura, el hermano mayor no podrá correr debido a un fuerte dolor en el trasero.
※Este es un estado anormal que se puede eliminar con cartas del tarot y leche de zanahoria.
※En la versión actual, este estado es permanente;"&amp;" más adelante se eliminará temporalmente.")</f>
        <v>Al día siguiente, durante la aventura, el hermano mayor no podrá correr debido a un fuerte dolor en el trasero.
※Este es un estado anormal que se puede eliminar con cartas del tarot y leche de zanahoria.
※En la versión actual, este estado es permanente; más adelante se eliminará temporalmente.</v>
      </c>
      <c r="U43" s="139">
        <v>6.0</v>
      </c>
      <c r="V43" s="112" t="s">
        <v>1618</v>
      </c>
      <c r="W43" s="111" t="s">
        <v>1619</v>
      </c>
      <c r="X43" s="72" t="s">
        <v>1620</v>
      </c>
      <c r="Y43" s="107">
        <v>6.0</v>
      </c>
      <c r="Z43" s="114" t="s">
        <v>1621</v>
      </c>
      <c r="AA43" s="115" t="s">
        <v>1622</v>
      </c>
      <c r="AB43" s="116" t="s">
        <v>1623</v>
      </c>
      <c r="AC43" s="139">
        <v>6.0</v>
      </c>
      <c r="AD43" s="108" t="s">
        <v>1624</v>
      </c>
      <c r="AE43" s="109" t="s">
        <v>1625</v>
      </c>
      <c r="AF43" s="110" t="s">
        <v>1626</v>
      </c>
      <c r="AG43" s="151">
        <v>6.0</v>
      </c>
      <c r="AH43" s="118" t="s">
        <v>1627</v>
      </c>
      <c r="AI43" s="119" t="s">
        <v>1628</v>
      </c>
      <c r="AJ43" s="120" t="s">
        <v>1629</v>
      </c>
      <c r="AK43" s="107">
        <v>6.0</v>
      </c>
      <c r="AL43" s="121" t="s">
        <v>1630</v>
      </c>
      <c r="AM43" s="122" t="s">
        <v>1631</v>
      </c>
      <c r="AN43" s="129" t="s">
        <v>1632</v>
      </c>
      <c r="AO43" s="107">
        <v>6.0</v>
      </c>
      <c r="AP43" s="112" t="s">
        <v>1633</v>
      </c>
      <c r="AQ43" s="109" t="s">
        <v>1634</v>
      </c>
      <c r="AR43" s="72" t="s">
        <v>1635</v>
      </c>
      <c r="AS43" s="110"/>
      <c r="AT43" s="110"/>
    </row>
    <row r="44">
      <c r="A44" s="107">
        <v>7.0</v>
      </c>
      <c r="B44" s="108" t="s">
        <v>1636</v>
      </c>
      <c r="C44" s="109" t="s">
        <v>1637</v>
      </c>
      <c r="D44" s="110" t="s">
        <v>1067</v>
      </c>
      <c r="E44" s="107">
        <v>7.0</v>
      </c>
      <c r="F44" s="108" t="s">
        <v>1638</v>
      </c>
      <c r="G44" s="109" t="s">
        <v>1639</v>
      </c>
      <c r="H44" s="110" t="s">
        <v>1070</v>
      </c>
      <c r="I44" s="107">
        <v>7.0</v>
      </c>
      <c r="J44" s="108" t="s">
        <v>1640</v>
      </c>
      <c r="K44" s="109" t="s">
        <v>1641</v>
      </c>
      <c r="L44" s="110" t="s">
        <v>1642</v>
      </c>
      <c r="M44" s="107">
        <v>7.0</v>
      </c>
      <c r="N44" s="108" t="str">
        <f>IFERROR(__xludf.DUMMYFUNCTION("GOOGLETRANSLATE(B44,""zh-tw"",""zh"")"),"气息消除-4")</f>
        <v>气息消除-4</v>
      </c>
      <c r="O44" s="113" t="str">
        <f>IFERROR(__xludf.DUMMYFUNCTION("GOOGLETRANSLATE(C44,""zh-tw"",""zh"")"),"厕所门改造")</f>
        <v>厕所门改造</v>
      </c>
      <c r="P44" s="75" t="str">
        <f>IFERROR(__xludf.DUMMYFUNCTION("GOOGLETRANSLATE(D44,""zh-tw"",""zh"")"),"未实装")</f>
        <v>未实装</v>
      </c>
      <c r="Q44" s="107">
        <v>7.0</v>
      </c>
      <c r="R44" s="108" t="str">
        <f>IFERROR(__xludf.DUMMYFUNCTION("GOOGLETRANSLATE(B44,""zh-tw"",""es-MX"")"),"Eliminación de olores -4")</f>
        <v>Eliminación de olores -4</v>
      </c>
      <c r="S44" s="113" t="str">
        <f>IFERROR(__xludf.DUMMYFUNCTION("GOOGLETRANSLATE(C44,""zh-tw"",""es-MX"")"),"Renovación de la puerta del baño")</f>
        <v>Renovación de la puerta del baño</v>
      </c>
      <c r="T44" s="75" t="str">
        <f>IFERROR(__xludf.DUMMYFUNCTION("GOOGLETRANSLATE(D44,""zh-tw"",""es-MX"")"),"No implementado")</f>
        <v>No implementado</v>
      </c>
      <c r="U44" s="107">
        <v>7.0</v>
      </c>
      <c r="V44" s="112" t="s">
        <v>1643</v>
      </c>
      <c r="W44" s="111" t="s">
        <v>1644</v>
      </c>
      <c r="X44" s="72" t="s">
        <v>1079</v>
      </c>
      <c r="Y44" s="107">
        <v>7.0</v>
      </c>
      <c r="Z44" s="114" t="s">
        <v>1645</v>
      </c>
      <c r="AA44" s="115" t="s">
        <v>1646</v>
      </c>
      <c r="AB44" s="116" t="s">
        <v>1647</v>
      </c>
      <c r="AC44" s="107">
        <v>7.0</v>
      </c>
      <c r="AD44" s="108" t="s">
        <v>1648</v>
      </c>
      <c r="AE44" s="109" t="s">
        <v>1649</v>
      </c>
      <c r="AF44" s="110" t="s">
        <v>1650</v>
      </c>
      <c r="AG44" s="117">
        <v>7.0</v>
      </c>
      <c r="AH44" s="118" t="s">
        <v>1651</v>
      </c>
      <c r="AI44" s="119" t="s">
        <v>1652</v>
      </c>
      <c r="AJ44" s="120" t="s">
        <v>1653</v>
      </c>
      <c r="AK44" s="107">
        <v>7.0</v>
      </c>
      <c r="AL44" s="121" t="s">
        <v>1654</v>
      </c>
      <c r="AM44" s="131" t="s">
        <v>1655</v>
      </c>
      <c r="AN44" s="123" t="s">
        <v>1656</v>
      </c>
      <c r="AO44" s="107">
        <v>7.0</v>
      </c>
      <c r="AP44" s="108" t="s">
        <v>1657</v>
      </c>
      <c r="AQ44" s="109" t="s">
        <v>1658</v>
      </c>
      <c r="AR44" s="72" t="s">
        <v>1659</v>
      </c>
      <c r="AS44" s="110"/>
      <c r="AT44" s="110"/>
    </row>
    <row r="45">
      <c r="A45" s="139">
        <v>8.0</v>
      </c>
      <c r="B45" s="108" t="s">
        <v>1660</v>
      </c>
      <c r="C45" s="111" t="s">
        <v>1661</v>
      </c>
      <c r="D45" s="72" t="s">
        <v>1662</v>
      </c>
      <c r="E45" s="139">
        <v>8.0</v>
      </c>
      <c r="F45" s="108" t="s">
        <v>1663</v>
      </c>
      <c r="G45" s="109" t="s">
        <v>1664</v>
      </c>
      <c r="H45" s="72" t="s">
        <v>1665</v>
      </c>
      <c r="I45" s="139">
        <v>8.0</v>
      </c>
      <c r="J45" s="108" t="s">
        <v>1666</v>
      </c>
      <c r="K45" s="111" t="s">
        <v>1667</v>
      </c>
      <c r="L45" s="72" t="s">
        <v>1668</v>
      </c>
      <c r="M45" s="139">
        <v>8.0</v>
      </c>
      <c r="N45" s="108" t="str">
        <f>IFERROR(__xludf.DUMMYFUNCTION("GOOGLETRANSLATE(B45,""zh-tw"",""zh"")"),"想上厕所...1")</f>
        <v>想上厕所...1</v>
      </c>
      <c r="O45" s="113"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75" t="str">
        <f>IFERROR(__xludf.DUMMYFUNCTION("GOOGLETRANSLATE(D45,""zh-tw"",""zh"")"),"妹妹在不同紫心时，触发后会有不同演出
※只能触发一次※")</f>
        <v>妹妹在不同紫心时，触发后会有不同演出
※只能触发一次※</v>
      </c>
      <c r="Q45" s="139">
        <v>8.0</v>
      </c>
      <c r="R45" s="125" t="s">
        <v>1669</v>
      </c>
      <c r="S45" s="113" t="s">
        <v>1670</v>
      </c>
      <c r="T45" s="75" t="s">
        <v>1671</v>
      </c>
      <c r="U45" s="139">
        <v>8.0</v>
      </c>
      <c r="V45" s="112" t="s">
        <v>1672</v>
      </c>
      <c r="W45" s="111" t="s">
        <v>1673</v>
      </c>
      <c r="X45" s="72" t="s">
        <v>1674</v>
      </c>
      <c r="Y45" s="107">
        <v>8.0</v>
      </c>
      <c r="Z45" s="114" t="s">
        <v>1675</v>
      </c>
      <c r="AA45" s="115" t="s">
        <v>1676</v>
      </c>
      <c r="AB45" s="116" t="s">
        <v>1677</v>
      </c>
      <c r="AC45" s="139">
        <v>8.0</v>
      </c>
      <c r="AD45" s="108" t="s">
        <v>1678</v>
      </c>
      <c r="AE45" s="109" t="s">
        <v>1679</v>
      </c>
      <c r="AF45" s="72" t="s">
        <v>1680</v>
      </c>
      <c r="AG45" s="151">
        <v>8.0</v>
      </c>
      <c r="AH45" s="133" t="s">
        <v>1681</v>
      </c>
      <c r="AI45" s="130" t="s">
        <v>1682</v>
      </c>
      <c r="AJ45" s="120" t="s">
        <v>1683</v>
      </c>
      <c r="AK45" s="107">
        <v>8.0</v>
      </c>
      <c r="AL45" s="121" t="s">
        <v>1684</v>
      </c>
      <c r="AM45" s="131" t="s">
        <v>1685</v>
      </c>
      <c r="AN45" s="129" t="s">
        <v>1686</v>
      </c>
      <c r="AO45" s="107">
        <v>8.0</v>
      </c>
      <c r="AP45" s="112" t="s">
        <v>1687</v>
      </c>
      <c r="AQ45" s="111" t="s">
        <v>1688</v>
      </c>
      <c r="AR45" s="72" t="s">
        <v>1689</v>
      </c>
      <c r="AS45" s="72"/>
      <c r="AT45" s="72"/>
    </row>
    <row r="46">
      <c r="A46" s="107">
        <v>9.0</v>
      </c>
      <c r="B46" s="108" t="s">
        <v>1690</v>
      </c>
      <c r="C46" s="109" t="s">
        <v>1691</v>
      </c>
      <c r="D46" s="72" t="s">
        <v>1692</v>
      </c>
      <c r="E46" s="107">
        <v>9.0</v>
      </c>
      <c r="F46" s="108" t="s">
        <v>1693</v>
      </c>
      <c r="G46" s="109" t="s">
        <v>1694</v>
      </c>
      <c r="H46" s="72" t="s">
        <v>1695</v>
      </c>
      <c r="I46" s="107">
        <v>9.0</v>
      </c>
      <c r="J46" s="108" t="s">
        <v>1696</v>
      </c>
      <c r="K46" s="109" t="s">
        <v>1697</v>
      </c>
      <c r="L46" s="72" t="s">
        <v>1698</v>
      </c>
      <c r="M46" s="107">
        <v>9.0</v>
      </c>
      <c r="N46" s="108" t="str">
        <f>IFERROR(__xludf.DUMMYFUNCTION("GOOGLETRANSLATE(B46,""zh-tw"",""zh"")"),"想上厕所...2")</f>
        <v>想上厕所...2</v>
      </c>
      <c r="O46" s="113" t="str">
        <f>IFERROR(__xludf.DUMMYFUNCTION("GOOGLETRANSLATE(C46,""zh-tw"",""zh"")"),"妹妹平常时，有小概率触发上厕所的事件，喝饮料的话会增加概率。")</f>
        <v>妹妹平常时，有小概率触发上厕所的事件，喝饮料的话会增加概率。</v>
      </c>
      <c r="P46" s="75" t="str">
        <f>IFERROR(__xludf.DUMMYFUNCTION("GOOGLETRANSLATE(D46,""zh-tw"",""zh"")"),"触发是否前往厕所偷看的选项
※未实装")</f>
        <v>触发是否前往厕所偷看的选项
※未实装</v>
      </c>
      <c r="Q46" s="107">
        <v>9.0</v>
      </c>
      <c r="R46" s="125" t="s">
        <v>1699</v>
      </c>
      <c r="S46" s="113" t="s">
        <v>1700</v>
      </c>
      <c r="T46" s="72" t="s">
        <v>1701</v>
      </c>
      <c r="U46" s="107">
        <v>9.0</v>
      </c>
      <c r="V46" s="112" t="s">
        <v>1702</v>
      </c>
      <c r="W46" s="111" t="s">
        <v>1703</v>
      </c>
      <c r="X46" s="72" t="s">
        <v>1704</v>
      </c>
      <c r="Y46" s="107">
        <v>9.0</v>
      </c>
      <c r="Z46" s="114" t="s">
        <v>1705</v>
      </c>
      <c r="AA46" s="115" t="s">
        <v>1706</v>
      </c>
      <c r="AB46" s="116" t="s">
        <v>1707</v>
      </c>
      <c r="AC46" s="107">
        <v>9.0</v>
      </c>
      <c r="AD46" s="108" t="s">
        <v>1708</v>
      </c>
      <c r="AE46" s="109" t="s">
        <v>1709</v>
      </c>
      <c r="AF46" s="110" t="s">
        <v>1710</v>
      </c>
      <c r="AG46" s="117">
        <v>9.0</v>
      </c>
      <c r="AH46" s="133" t="s">
        <v>1711</v>
      </c>
      <c r="AI46" s="119" t="s">
        <v>1712</v>
      </c>
      <c r="AJ46" s="120" t="s">
        <v>1713</v>
      </c>
      <c r="AK46" s="107">
        <v>9.0</v>
      </c>
      <c r="AL46" s="121" t="s">
        <v>1714</v>
      </c>
      <c r="AM46" s="131" t="s">
        <v>1715</v>
      </c>
      <c r="AN46" s="129" t="s">
        <v>1716</v>
      </c>
      <c r="AO46" s="107">
        <v>9.0</v>
      </c>
      <c r="AP46" s="112" t="s">
        <v>1717</v>
      </c>
      <c r="AQ46" s="111" t="s">
        <v>1718</v>
      </c>
      <c r="AR46" s="72" t="s">
        <v>1719</v>
      </c>
      <c r="AS46" s="72"/>
      <c r="AT46" s="72"/>
    </row>
    <row r="47">
      <c r="A47" s="139">
        <v>10.0</v>
      </c>
      <c r="B47" s="112" t="s">
        <v>1720</v>
      </c>
      <c r="C47" s="111" t="s">
        <v>1721</v>
      </c>
      <c r="D47" s="72" t="s">
        <v>1722</v>
      </c>
      <c r="E47" s="139">
        <v>10.0</v>
      </c>
      <c r="F47" s="112" t="s">
        <v>1723</v>
      </c>
      <c r="G47" s="109" t="s">
        <v>1724</v>
      </c>
      <c r="H47" s="72" t="s">
        <v>1725</v>
      </c>
      <c r="I47" s="139">
        <v>10.0</v>
      </c>
      <c r="J47" s="108" t="s">
        <v>1726</v>
      </c>
      <c r="K47" s="111" t="s">
        <v>1727</v>
      </c>
      <c r="L47" s="72" t="s">
        <v>1728</v>
      </c>
      <c r="M47" s="139">
        <v>10.0</v>
      </c>
      <c r="N47" s="108" t="str">
        <f>IFERROR(__xludf.DUMMYFUNCTION("GOOGLETRANSLATE(B47,""zh-tw"",""zh"")"),"厕所Play-1")</f>
        <v>厕所Play-1</v>
      </c>
      <c r="O47" s="111" t="s">
        <v>1729</v>
      </c>
      <c r="P47" s="75" t="str">
        <f>IFERROR(__xludf.DUMMYFUNCTION("GOOGLETRANSLATE(D47,""zh-tw"",""zh"")"),"触发剧情
※目前尚未实装被发现的相关剧情")</f>
        <v>触发剧情
※目前尚未实装被发现的相关剧情</v>
      </c>
      <c r="Q47" s="139">
        <v>10.0</v>
      </c>
      <c r="R47" s="125" t="s">
        <v>1730</v>
      </c>
      <c r="S47" s="113" t="s">
        <v>1731</v>
      </c>
      <c r="T47" s="75" t="s">
        <v>1732</v>
      </c>
      <c r="U47" s="139">
        <v>10.0</v>
      </c>
      <c r="V47" s="112" t="s">
        <v>1733</v>
      </c>
      <c r="W47" s="111" t="s">
        <v>1734</v>
      </c>
      <c r="X47" s="72" t="s">
        <v>1735</v>
      </c>
      <c r="Y47" s="107">
        <v>10.0</v>
      </c>
      <c r="Z47" s="114" t="s">
        <v>1736</v>
      </c>
      <c r="AA47" s="115" t="s">
        <v>1737</v>
      </c>
      <c r="AB47" s="116" t="s">
        <v>1738</v>
      </c>
      <c r="AC47" s="139">
        <v>10.0</v>
      </c>
      <c r="AD47" s="112" t="s">
        <v>1739</v>
      </c>
      <c r="AE47" s="109" t="s">
        <v>1740</v>
      </c>
      <c r="AF47" s="110" t="s">
        <v>1741</v>
      </c>
      <c r="AG47" s="151">
        <v>10.0</v>
      </c>
      <c r="AH47" s="118" t="s">
        <v>1742</v>
      </c>
      <c r="AI47" s="119" t="s">
        <v>1743</v>
      </c>
      <c r="AJ47" s="120" t="s">
        <v>1744</v>
      </c>
      <c r="AK47" s="107">
        <v>10.0</v>
      </c>
      <c r="AL47" s="121" t="s">
        <v>1745</v>
      </c>
      <c r="AM47" s="131" t="s">
        <v>1746</v>
      </c>
      <c r="AN47" s="129" t="s">
        <v>1747</v>
      </c>
      <c r="AO47" s="107">
        <v>10.0</v>
      </c>
      <c r="AP47" s="112" t="s">
        <v>1748</v>
      </c>
      <c r="AQ47" s="111" t="s">
        <v>1749</v>
      </c>
      <c r="AR47" s="72" t="s">
        <v>1750</v>
      </c>
      <c r="AS47" s="72"/>
      <c r="AT47" s="72"/>
    </row>
    <row r="48">
      <c r="A48" s="107">
        <v>11.0</v>
      </c>
      <c r="B48" s="112" t="s">
        <v>1751</v>
      </c>
      <c r="C48" s="111" t="s">
        <v>1752</v>
      </c>
      <c r="D48" s="72" t="s">
        <v>1753</v>
      </c>
      <c r="E48" s="107">
        <v>11.0</v>
      </c>
      <c r="F48" s="112" t="s">
        <v>1754</v>
      </c>
      <c r="G48" s="111" t="s">
        <v>1755</v>
      </c>
      <c r="H48" s="72" t="s">
        <v>1756</v>
      </c>
      <c r="I48" s="107">
        <v>11.0</v>
      </c>
      <c r="J48" s="112" t="s">
        <v>1757</v>
      </c>
      <c r="K48" s="111" t="s">
        <v>1758</v>
      </c>
      <c r="L48" s="72" t="s">
        <v>1759</v>
      </c>
      <c r="M48" s="107">
        <v>11.0</v>
      </c>
      <c r="N48" s="108" t="str">
        <f>IFERROR(__xludf.DUMMYFUNCTION("GOOGLETRANSLATE(B48,""zh-tw"",""zh"")"),"厕所Play-2")</f>
        <v>厕所Play-2</v>
      </c>
      <c r="O48" s="111" t="s">
        <v>1760</v>
      </c>
      <c r="P48" s="75" t="str">
        <f>IFERROR(__xludf.DUMMYFUNCTION("GOOGLETRANSLATE(D48,""zh-tw"",""zh"")"),"触发相关剧情
※目前尚未实装被发现的相关剧情")</f>
        <v>触发相关剧情
※目前尚未实装被发现的相关剧情</v>
      </c>
      <c r="Q48" s="107">
        <v>11.0</v>
      </c>
      <c r="R48" s="112" t="s">
        <v>1761</v>
      </c>
      <c r="S48" s="113" t="s">
        <v>1762</v>
      </c>
      <c r="T48" s="75" t="s">
        <v>1763</v>
      </c>
      <c r="U48" s="107">
        <v>11.0</v>
      </c>
      <c r="V48" s="112" t="s">
        <v>1764</v>
      </c>
      <c r="W48" s="111" t="s">
        <v>1765</v>
      </c>
      <c r="X48" s="72" t="s">
        <v>1766</v>
      </c>
      <c r="Y48" s="107">
        <v>11.0</v>
      </c>
      <c r="Z48" s="114" t="s">
        <v>1767</v>
      </c>
      <c r="AA48" s="115" t="s">
        <v>1768</v>
      </c>
      <c r="AB48" s="116" t="s">
        <v>1769</v>
      </c>
      <c r="AC48" s="107">
        <v>11.0</v>
      </c>
      <c r="AD48" s="112" t="s">
        <v>1770</v>
      </c>
      <c r="AE48" s="109" t="s">
        <v>1771</v>
      </c>
      <c r="AF48" s="110" t="s">
        <v>1772</v>
      </c>
      <c r="AG48" s="117">
        <v>11.0</v>
      </c>
      <c r="AH48" s="118" t="s">
        <v>1773</v>
      </c>
      <c r="AI48" s="119" t="s">
        <v>1774</v>
      </c>
      <c r="AJ48" s="120" t="s">
        <v>1775</v>
      </c>
      <c r="AK48" s="107">
        <v>11.0</v>
      </c>
      <c r="AL48" s="121" t="s">
        <v>1776</v>
      </c>
      <c r="AM48" s="131" t="s">
        <v>1777</v>
      </c>
      <c r="AN48" s="123" t="s">
        <v>1778</v>
      </c>
      <c r="AO48" s="107">
        <v>11.0</v>
      </c>
      <c r="AP48" s="112" t="s">
        <v>1779</v>
      </c>
      <c r="AQ48" s="111" t="s">
        <v>1780</v>
      </c>
      <c r="AR48" s="110" t="s">
        <v>1781</v>
      </c>
      <c r="AS48" s="72"/>
      <c r="AT48" s="72"/>
    </row>
    <row r="49">
      <c r="A49" s="139">
        <v>12.0</v>
      </c>
      <c r="B49" s="112" t="s">
        <v>1782</v>
      </c>
      <c r="C49" s="111" t="s">
        <v>1783</v>
      </c>
      <c r="D49" s="72" t="s">
        <v>1784</v>
      </c>
      <c r="E49" s="139">
        <v>12.0</v>
      </c>
      <c r="F49" s="112" t="s">
        <v>1785</v>
      </c>
      <c r="G49" s="109" t="s">
        <v>1786</v>
      </c>
      <c r="H49" s="72" t="s">
        <v>1787</v>
      </c>
      <c r="I49" s="139">
        <v>12.0</v>
      </c>
      <c r="J49" s="112" t="s">
        <v>1788</v>
      </c>
      <c r="K49" s="111" t="s">
        <v>1789</v>
      </c>
      <c r="L49" s="72" t="s">
        <v>1790</v>
      </c>
      <c r="M49" s="139">
        <v>12.0</v>
      </c>
      <c r="N49" s="108" t="str">
        <f>IFERROR(__xludf.DUMMYFUNCTION("GOOGLETRANSLATE(B49,""zh-tw"",""zh"")"),"厕所Play-3")</f>
        <v>厕所Play-3</v>
      </c>
      <c r="O49" s="111" t="s">
        <v>1791</v>
      </c>
      <c r="P49" s="75" t="str">
        <f>IFERROR(__xludf.DUMMYFUNCTION("GOOGLETRANSLATE(D49,""zh-tw"",""zh"")"),"50%机率，出现打死Z剧情
备注：无须发现Z的前置操作")</f>
        <v>50%机率，出现打死Z剧情
备注：无须发现Z的前置操作</v>
      </c>
      <c r="Q49" s="139">
        <v>12.0</v>
      </c>
      <c r="R49" s="112" t="s">
        <v>1792</v>
      </c>
      <c r="S49" s="113" t="s">
        <v>1793</v>
      </c>
      <c r="T49" s="75" t="s">
        <v>1560</v>
      </c>
      <c r="U49" s="139">
        <v>12.0</v>
      </c>
      <c r="V49" s="112" t="s">
        <v>1794</v>
      </c>
      <c r="W49" s="111" t="s">
        <v>1795</v>
      </c>
      <c r="X49" s="72" t="s">
        <v>1796</v>
      </c>
      <c r="Y49" s="107">
        <v>12.0</v>
      </c>
      <c r="Z49" s="114" t="s">
        <v>1797</v>
      </c>
      <c r="AA49" s="115" t="s">
        <v>1798</v>
      </c>
      <c r="AB49" s="116" t="s">
        <v>1799</v>
      </c>
      <c r="AC49" s="139">
        <v>12.0</v>
      </c>
      <c r="AD49" s="112" t="s">
        <v>1800</v>
      </c>
      <c r="AE49" s="109" t="s">
        <v>1801</v>
      </c>
      <c r="AF49" s="110" t="s">
        <v>1539</v>
      </c>
      <c r="AG49" s="151">
        <v>12.0</v>
      </c>
      <c r="AH49" s="118" t="s">
        <v>1802</v>
      </c>
      <c r="AI49" s="130" t="s">
        <v>1803</v>
      </c>
      <c r="AJ49" s="134" t="s">
        <v>1804</v>
      </c>
      <c r="AK49" s="107">
        <v>12.0</v>
      </c>
      <c r="AL49" s="121" t="s">
        <v>1805</v>
      </c>
      <c r="AM49" s="122" t="s">
        <v>1806</v>
      </c>
      <c r="AN49" s="123" t="s">
        <v>1807</v>
      </c>
      <c r="AO49" s="107">
        <v>12.0</v>
      </c>
      <c r="AP49" s="112" t="s">
        <v>1808</v>
      </c>
      <c r="AQ49" s="111" t="s">
        <v>1809</v>
      </c>
      <c r="AR49" s="72" t="s">
        <v>1810</v>
      </c>
      <c r="AS49" s="72"/>
      <c r="AT49" s="72"/>
    </row>
    <row r="50">
      <c r="A50" s="107">
        <v>13.0</v>
      </c>
      <c r="B50" s="112" t="s">
        <v>1811</v>
      </c>
      <c r="C50" s="111" t="s">
        <v>1812</v>
      </c>
      <c r="D50" s="72" t="s">
        <v>1813</v>
      </c>
      <c r="E50" s="107">
        <v>13.0</v>
      </c>
      <c r="F50" s="112" t="s">
        <v>1814</v>
      </c>
      <c r="G50" s="111" t="s">
        <v>1815</v>
      </c>
      <c r="H50" s="110" t="s">
        <v>1816</v>
      </c>
      <c r="I50" s="107">
        <v>13.0</v>
      </c>
      <c r="J50" s="108" t="s">
        <v>1817</v>
      </c>
      <c r="K50" s="111" t="s">
        <v>1818</v>
      </c>
      <c r="L50" s="110" t="s">
        <v>1819</v>
      </c>
      <c r="M50" s="107">
        <v>13.0</v>
      </c>
      <c r="N50" s="108" t="str">
        <f>IFERROR(__xludf.DUMMYFUNCTION("GOOGLETRANSLATE(B50,""zh-tw"",""zh"")"),"厕所Play-4")</f>
        <v>厕所Play-4</v>
      </c>
      <c r="O50" s="111" t="s">
        <v>1820</v>
      </c>
      <c r="P50" s="75" t="str">
        <f>IFERROR(__xludf.DUMMYFUNCTION("GOOGLETRANSLATE(D50,""zh-tw"",""zh"")"),"触发使用嘴巴服务的相关剧情
*三种差分，分为蹲式、躺式，坐式待更新")</f>
        <v>触发使用嘴巴服务的相关剧情
*三种差分，分为蹲式、躺式，坐式待更新</v>
      </c>
      <c r="Q50" s="107">
        <v>13.0</v>
      </c>
      <c r="R50" s="125" t="s">
        <v>1821</v>
      </c>
      <c r="S50" s="113" t="s">
        <v>1822</v>
      </c>
      <c r="T50" s="75" t="s">
        <v>1823</v>
      </c>
      <c r="U50" s="107">
        <v>13.0</v>
      </c>
      <c r="V50" s="112" t="s">
        <v>1824</v>
      </c>
      <c r="W50" s="111" t="s">
        <v>1825</v>
      </c>
      <c r="X50" s="72" t="s">
        <v>1826</v>
      </c>
      <c r="Y50" s="107">
        <v>13.0</v>
      </c>
      <c r="Z50" s="114" t="s">
        <v>1827</v>
      </c>
      <c r="AA50" s="115" t="s">
        <v>1828</v>
      </c>
      <c r="AB50" s="116" t="s">
        <v>1829</v>
      </c>
      <c r="AC50" s="107">
        <v>13.0</v>
      </c>
      <c r="AD50" s="112" t="s">
        <v>1830</v>
      </c>
      <c r="AE50" s="109" t="s">
        <v>1831</v>
      </c>
      <c r="AF50" s="110" t="s">
        <v>1832</v>
      </c>
      <c r="AG50" s="117">
        <v>13.0</v>
      </c>
      <c r="AH50" s="118" t="s">
        <v>1833</v>
      </c>
      <c r="AI50" s="130" t="s">
        <v>1834</v>
      </c>
      <c r="AJ50" s="120" t="s">
        <v>1835</v>
      </c>
      <c r="AK50" s="107">
        <v>13.0</v>
      </c>
      <c r="AL50" s="121" t="s">
        <v>1836</v>
      </c>
      <c r="AM50" s="131" t="s">
        <v>1837</v>
      </c>
      <c r="AN50" s="123" t="s">
        <v>1838</v>
      </c>
      <c r="AO50" s="107">
        <v>13.0</v>
      </c>
      <c r="AP50" s="112" t="s">
        <v>1839</v>
      </c>
      <c r="AQ50" s="111" t="s">
        <v>1840</v>
      </c>
      <c r="AR50" s="72" t="s">
        <v>1841</v>
      </c>
      <c r="AS50" s="72"/>
      <c r="AT50" s="72"/>
    </row>
    <row r="51">
      <c r="A51" s="170"/>
      <c r="B51" s="171"/>
      <c r="C51" s="171"/>
      <c r="D51" s="171"/>
      <c r="E51" s="170"/>
      <c r="F51" s="171"/>
      <c r="G51" s="171"/>
      <c r="H51" s="171"/>
      <c r="I51" s="170"/>
      <c r="J51" s="171"/>
      <c r="K51" s="171"/>
      <c r="L51" s="171"/>
      <c r="M51" s="170"/>
      <c r="N51" s="171"/>
      <c r="O51" s="66"/>
      <c r="P51" s="171"/>
      <c r="Q51" s="170"/>
      <c r="R51" s="66"/>
      <c r="S51" s="66"/>
      <c r="T51" s="66"/>
      <c r="U51" s="170"/>
      <c r="V51" s="66"/>
      <c r="W51" s="66"/>
      <c r="X51" s="66"/>
      <c r="Y51" s="172"/>
      <c r="Z51" s="173"/>
      <c r="AA51" s="173"/>
      <c r="AB51" s="173"/>
      <c r="AC51" s="170"/>
      <c r="AD51" s="171"/>
      <c r="AE51" s="171"/>
      <c r="AF51" s="171"/>
      <c r="AG51" s="174"/>
      <c r="AH51" s="174"/>
      <c r="AI51" s="175"/>
      <c r="AJ51" s="175"/>
      <c r="AK51" s="171"/>
      <c r="AL51" s="170"/>
      <c r="AM51" s="171"/>
      <c r="AN51" s="171"/>
      <c r="AO51" s="171"/>
      <c r="AP51" s="171"/>
      <c r="AQ51" s="171"/>
      <c r="AR51" s="171"/>
      <c r="AS51" s="171"/>
      <c r="AT51" s="171"/>
    </row>
    <row r="52" ht="23.25" customHeight="1">
      <c r="A52" s="103" t="s">
        <v>1842</v>
      </c>
      <c r="B52" s="103" t="s">
        <v>1843</v>
      </c>
      <c r="E52" s="103" t="s">
        <v>1842</v>
      </c>
      <c r="F52" s="103" t="s">
        <v>1844</v>
      </c>
      <c r="I52" s="103" t="s">
        <v>1842</v>
      </c>
      <c r="J52" s="103" t="s">
        <v>1845</v>
      </c>
      <c r="M52" s="103" t="s">
        <v>1842</v>
      </c>
      <c r="N52" s="104" t="str">
        <f>IFERROR(__xludf.DUMMYFUNCTION("GOOGLETRANSLATE(B52,""zh-tw"",""zh"")"),"浴室相关")</f>
        <v>浴室相关</v>
      </c>
      <c r="Q52" s="103" t="s">
        <v>1842</v>
      </c>
      <c r="R52" s="103" t="s">
        <v>1846</v>
      </c>
      <c r="U52" s="103" t="s">
        <v>1842</v>
      </c>
      <c r="V52" s="103" t="s">
        <v>1847</v>
      </c>
      <c r="Y52" s="104" t="s">
        <v>1842</v>
      </c>
      <c r="Z52" s="104" t="s">
        <v>1848</v>
      </c>
      <c r="AC52" s="103" t="s">
        <v>1842</v>
      </c>
      <c r="AD52" s="103" t="s">
        <v>1849</v>
      </c>
      <c r="AG52" s="177" t="s">
        <v>1842</v>
      </c>
      <c r="AH52" s="177" t="s">
        <v>1850</v>
      </c>
      <c r="AK52" s="104" t="s">
        <v>1842</v>
      </c>
      <c r="AL52" s="103" t="s">
        <v>1851</v>
      </c>
      <c r="AO52" s="103" t="s">
        <v>1842</v>
      </c>
      <c r="AP52" s="103" t="s">
        <v>1852</v>
      </c>
      <c r="AS52" s="103"/>
      <c r="AT52" s="103"/>
    </row>
    <row r="53">
      <c r="A53" s="107">
        <v>1.0</v>
      </c>
      <c r="B53" s="108" t="s">
        <v>1853</v>
      </c>
      <c r="C53" s="109" t="s">
        <v>1854</v>
      </c>
      <c r="D53" s="110" t="s">
        <v>1855</v>
      </c>
      <c r="E53" s="107">
        <v>1.0</v>
      </c>
      <c r="F53" s="112" t="s">
        <v>1856</v>
      </c>
      <c r="G53" s="109" t="s">
        <v>1857</v>
      </c>
      <c r="H53" s="110" t="s">
        <v>1858</v>
      </c>
      <c r="I53" s="107">
        <v>1.0</v>
      </c>
      <c r="J53" s="108" t="str">
        <f>IFERROR(__xludf.DUMMYFUNCTION("GOOGLETRANSLATE(B53,""zh-tw"",""en"")"),"Shampoo")</f>
        <v>Shampoo</v>
      </c>
      <c r="K53" s="109" t="s">
        <v>1859</v>
      </c>
      <c r="L53" s="110" t="s">
        <v>1860</v>
      </c>
      <c r="M53" s="107">
        <v>1.0</v>
      </c>
      <c r="N53" s="108" t="str">
        <f>IFERROR(__xludf.DUMMYFUNCTION("GOOGLETRANSLATE(B53,""zh-tw"",""zh"")"),"洗发乳")</f>
        <v>洗发乳</v>
      </c>
      <c r="O53" s="113"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75" t="str">
        <f>IFERROR(__xludf.DUMMYFUNCTION("GOOGLETRANSLATE(D53,""zh-tw"",""zh"")"),"机率触发浴室摔倒事件")</f>
        <v>机率触发浴室摔倒事件</v>
      </c>
      <c r="Q53" s="107">
        <v>1.0</v>
      </c>
      <c r="R53" s="108" t="str">
        <f>IFERROR(__xludf.DUMMYFUNCTION("GOOGLETRANSLATE(B53,""zh-tw"",""es-MX"")"),"Champú")</f>
        <v>Champú</v>
      </c>
      <c r="S53" s="113" t="str">
        <f>IFERROR(__xludf.DUMMYFUNCTION("GOOGLETRANSLATE(C53,""zh-tw"",""es-MX"")"),"La habilidad de bañarse consume toda la energía en aproximadamente 7 días y tiene una probabilidad de activarse si el usuario no espía.
Puede agotarse antes si el hermano mayor se baña solo.
También tiene una probabilidad de activarse al robar ropa inte"&amp;"rior.")</f>
        <v>La habilidad de bañarse consume toda la energía en aproximadamente 7 días y tiene una probabilidad de activarse si el usuario no espía.
Puede agotarse antes si el hermano mayor se baña solo.
También tiene una probabilidad de activarse al robar ropa interior.</v>
      </c>
      <c r="T53" s="75" t="str">
        <f>IFERROR(__xludf.DUMMYFUNCTION("GOOGLETRANSLATE(D53,""zh-tw"",""es-MX"")"),"Posibilidad de provocar un resbalón y caída en el baño.")</f>
        <v>Posibilidad de provocar un resbalón y caída en el baño.</v>
      </c>
      <c r="U53" s="107">
        <v>1.0</v>
      </c>
      <c r="V53" s="112" t="s">
        <v>1861</v>
      </c>
      <c r="W53" s="111" t="s">
        <v>1862</v>
      </c>
      <c r="X53" s="75" t="str">
        <f>IFERROR(__xludf.DUMMYFUNCTION("GOOGLETRANSLATE(D53,""zh-tw"",""KO"")"),"욕실에서 미끄러져 넘어지는 사고를 유발할 확률")</f>
        <v>욕실에서 미끄러져 넘어지는 사고를 유발할 확률</v>
      </c>
      <c r="Y53" s="107">
        <v>1.0</v>
      </c>
      <c r="Z53" s="114" t="s">
        <v>1863</v>
      </c>
      <c r="AA53" s="115" t="s">
        <v>1864</v>
      </c>
      <c r="AB53" s="116" t="s">
        <v>1865</v>
      </c>
      <c r="AC53" s="107">
        <v>1.0</v>
      </c>
      <c r="AD53" s="108" t="s">
        <v>1866</v>
      </c>
      <c r="AE53" s="109" t="s">
        <v>1867</v>
      </c>
      <c r="AF53" s="110" t="s">
        <v>1868</v>
      </c>
      <c r="AG53" s="117">
        <v>1.0</v>
      </c>
      <c r="AH53" s="118" t="s">
        <v>1869</v>
      </c>
      <c r="AI53" s="119" t="s">
        <v>1870</v>
      </c>
      <c r="AJ53" s="120" t="s">
        <v>1871</v>
      </c>
      <c r="AK53" s="107">
        <v>1.0</v>
      </c>
      <c r="AL53" s="121" t="s">
        <v>1866</v>
      </c>
      <c r="AM53" s="122" t="s">
        <v>1872</v>
      </c>
      <c r="AN53" s="123" t="s">
        <v>1873</v>
      </c>
      <c r="AO53" s="107">
        <v>1.0</v>
      </c>
      <c r="AP53" s="108" t="s">
        <v>1874</v>
      </c>
      <c r="AQ53" s="111" t="s">
        <v>1875</v>
      </c>
      <c r="AR53" s="110" t="s">
        <v>1876</v>
      </c>
      <c r="AS53" s="110"/>
      <c r="AT53" s="110"/>
    </row>
    <row r="54">
      <c r="A54" s="139">
        <v>2.0</v>
      </c>
      <c r="B54" s="108" t="s">
        <v>1877</v>
      </c>
      <c r="C54" s="109" t="s">
        <v>1878</v>
      </c>
      <c r="D54" s="110" t="s">
        <v>1879</v>
      </c>
      <c r="E54" s="139">
        <v>2.0</v>
      </c>
      <c r="F54" s="108" t="s">
        <v>1880</v>
      </c>
      <c r="G54" s="109" t="s">
        <v>1881</v>
      </c>
      <c r="H54" s="110" t="s">
        <v>1882</v>
      </c>
      <c r="I54" s="139">
        <v>2.0</v>
      </c>
      <c r="J54" s="108" t="s">
        <v>1883</v>
      </c>
      <c r="K54" s="109" t="s">
        <v>1884</v>
      </c>
      <c r="L54" s="110" t="s">
        <v>1885</v>
      </c>
      <c r="M54" s="139">
        <v>2.0</v>
      </c>
      <c r="N54" s="108" t="str">
        <f>IFERROR(__xludf.DUMMYFUNCTION("GOOGLETRANSLATE(B54,""zh-tw"",""zh"")"),"要等妹妹洗澡吗")</f>
        <v>要等妹妹洗澡吗</v>
      </c>
      <c r="O54" s="111" t="s">
        <v>1886</v>
      </c>
      <c r="P54" s="75" t="str">
        <f>IFERROR(__xludf.DUMMYFUNCTION("GOOGLETRANSLATE(D54,""zh-tw"",""zh"")"),"出现前往的选项
1.现在就去
2.再等会
3.算了吧")</f>
        <v>出现前往的选项
1.现在就去
2.再等会
3.算了吧</v>
      </c>
      <c r="Q54" s="139">
        <v>2.0</v>
      </c>
      <c r="R54" s="108" t="s">
        <v>1887</v>
      </c>
      <c r="S54" s="113" t="s">
        <v>1888</v>
      </c>
      <c r="T54" s="75" t="s">
        <v>1889</v>
      </c>
      <c r="U54" s="139">
        <v>2.0</v>
      </c>
      <c r="V54" s="112" t="s">
        <v>1890</v>
      </c>
      <c r="W54" s="111" t="s">
        <v>1891</v>
      </c>
      <c r="X54" s="72" t="s">
        <v>1892</v>
      </c>
      <c r="Y54" s="107">
        <v>2.0</v>
      </c>
      <c r="Z54" s="149" t="s">
        <v>1893</v>
      </c>
      <c r="AA54" s="150" t="s">
        <v>1894</v>
      </c>
      <c r="AB54" s="132" t="s">
        <v>1895</v>
      </c>
      <c r="AC54" s="139">
        <v>2.0</v>
      </c>
      <c r="AD54" s="108" t="s">
        <v>1896</v>
      </c>
      <c r="AE54" s="109" t="s">
        <v>1897</v>
      </c>
      <c r="AF54" s="110" t="s">
        <v>1898</v>
      </c>
      <c r="AG54" s="151">
        <v>2.0</v>
      </c>
      <c r="AH54" s="118" t="s">
        <v>1899</v>
      </c>
      <c r="AI54" s="119" t="s">
        <v>1900</v>
      </c>
      <c r="AJ54" s="120" t="s">
        <v>1901</v>
      </c>
      <c r="AK54" s="107">
        <v>2.0</v>
      </c>
      <c r="AL54" s="121" t="s">
        <v>1902</v>
      </c>
      <c r="AM54" s="122" t="s">
        <v>1903</v>
      </c>
      <c r="AN54" s="123" t="s">
        <v>1904</v>
      </c>
      <c r="AO54" s="107">
        <v>2.0</v>
      </c>
      <c r="AP54" s="108" t="s">
        <v>1905</v>
      </c>
      <c r="AQ54" s="111" t="s">
        <v>1906</v>
      </c>
      <c r="AR54" s="110" t="s">
        <v>1907</v>
      </c>
      <c r="AS54" s="110"/>
      <c r="AT54" s="110"/>
    </row>
    <row r="55">
      <c r="A55" s="107">
        <v>3.0</v>
      </c>
      <c r="B55" s="108" t="s">
        <v>1908</v>
      </c>
      <c r="C55" s="109" t="s">
        <v>1909</v>
      </c>
      <c r="D55" s="110" t="s">
        <v>1910</v>
      </c>
      <c r="E55" s="107">
        <v>3.0</v>
      </c>
      <c r="F55" s="108" t="s">
        <v>1911</v>
      </c>
      <c r="G55" s="109" t="s">
        <v>1912</v>
      </c>
      <c r="H55" s="110" t="s">
        <v>1913</v>
      </c>
      <c r="I55" s="107">
        <v>3.0</v>
      </c>
      <c r="J55" s="108" t="s">
        <v>1914</v>
      </c>
      <c r="K55" s="109" t="s">
        <v>1915</v>
      </c>
      <c r="L55" s="110" t="s">
        <v>1916</v>
      </c>
      <c r="M55" s="107">
        <v>3.0</v>
      </c>
      <c r="N55" s="108" t="str">
        <f>IFERROR(__xludf.DUMMYFUNCTION("GOOGLETRANSLATE(B55,""zh-tw"",""zh"")"),"现在就去-1")</f>
        <v>现在就去-1</v>
      </c>
      <c r="O55" s="113" t="str">
        <f>IFERROR(__xludf.DUMMYFUNCTION("GOOGLETRANSLATE(C55,""zh-tw"",""zh"")"),"触发偷窥换衣事件，拉门越大越容易被发现")</f>
        <v>触发偷窥换衣事件，拉门越大越容易被发现</v>
      </c>
      <c r="P55" s="75" t="str">
        <f>IFERROR(__xludf.DUMMYFUNCTION("GOOGLETRANSLATE(D55,""zh-tw"",""zh"")"),"1.安全潜入洗面所
2.被妹妹发现")</f>
        <v>1.安全潜入洗面所
2.被妹妹发现</v>
      </c>
      <c r="Q55" s="107">
        <v>3.0</v>
      </c>
      <c r="R55" s="108" t="s">
        <v>1917</v>
      </c>
      <c r="S55" s="113" t="s">
        <v>1918</v>
      </c>
      <c r="T55" s="75" t="s">
        <v>1919</v>
      </c>
      <c r="U55" s="107">
        <v>3.0</v>
      </c>
      <c r="V55" s="125" t="str">
        <f>IFERROR(__xludf.DUMMYFUNCTION("GOOGLETRANSLATE(B55,""zh-tw"",""KO"")"),"지금 -1로 이동하세요")</f>
        <v>지금 -1로 이동하세요</v>
      </c>
      <c r="W55" s="113"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75" t="str">
        <f>IFERROR(__xludf.DUMMYFUNCTION("GOOGLETRANSLATE(D55,""zh-tw"",""KO"")"),"1. 얼굴 시술 센터에 성공적으로 잠입했다.
2. 언니에게 발각되었다.")</f>
        <v>1. 얼굴 시술 센터에 성공적으로 잠입했다.
2. 언니에게 발각되었다.</v>
      </c>
      <c r="Y55" s="107">
        <v>3.0</v>
      </c>
      <c r="Z55" s="149" t="s">
        <v>1920</v>
      </c>
      <c r="AA55" s="150" t="s">
        <v>1921</v>
      </c>
      <c r="AB55" s="132" t="s">
        <v>1922</v>
      </c>
      <c r="AC55" s="107">
        <v>3.0</v>
      </c>
      <c r="AD55" s="108" t="s">
        <v>1923</v>
      </c>
      <c r="AE55" s="109" t="s">
        <v>1924</v>
      </c>
      <c r="AF55" s="110" t="s">
        <v>1925</v>
      </c>
      <c r="AG55" s="117">
        <v>3.0</v>
      </c>
      <c r="AH55" s="118" t="s">
        <v>1926</v>
      </c>
      <c r="AI55" s="119" t="s">
        <v>1927</v>
      </c>
      <c r="AJ55" s="120" t="s">
        <v>1928</v>
      </c>
      <c r="AK55" s="107">
        <v>3.0</v>
      </c>
      <c r="AL55" s="121" t="s">
        <v>1929</v>
      </c>
      <c r="AM55" s="122" t="s">
        <v>1930</v>
      </c>
      <c r="AN55" s="123" t="s">
        <v>1931</v>
      </c>
      <c r="AO55" s="107">
        <v>3.0</v>
      </c>
      <c r="AP55" s="112" t="s">
        <v>1932</v>
      </c>
      <c r="AQ55" s="109" t="s">
        <v>1933</v>
      </c>
      <c r="AR55" s="72" t="s">
        <v>1934</v>
      </c>
      <c r="AS55" s="110"/>
      <c r="AT55" s="110"/>
    </row>
    <row r="56">
      <c r="A56" s="107">
        <v>4.0</v>
      </c>
      <c r="B56" s="108" t="s">
        <v>1935</v>
      </c>
      <c r="C56" s="109" t="s">
        <v>1936</v>
      </c>
      <c r="D56" s="110" t="s">
        <v>1937</v>
      </c>
      <c r="E56" s="107">
        <v>4.0</v>
      </c>
      <c r="F56" s="108" t="s">
        <v>1938</v>
      </c>
      <c r="G56" s="111" t="s">
        <v>1939</v>
      </c>
      <c r="H56" s="110" t="s">
        <v>1940</v>
      </c>
      <c r="I56" s="107">
        <v>4.0</v>
      </c>
      <c r="J56" s="108" t="s">
        <v>1941</v>
      </c>
      <c r="K56" s="109" t="s">
        <v>1942</v>
      </c>
      <c r="L56" s="110" t="s">
        <v>1943</v>
      </c>
      <c r="M56" s="107">
        <v>4.0</v>
      </c>
      <c r="N56" s="108" t="str">
        <f>IFERROR(__xludf.DUMMYFUNCTION("GOOGLETRANSLATE(B56,""zh-tw"",""zh"")"),"现在就去-2")</f>
        <v>现在就去-2</v>
      </c>
      <c r="O56" s="113" t="str">
        <f>IFERROR(__xludf.DUMMYFUNCTION("GOOGLETRANSLATE(C56,""zh-tw"",""zh"")"),"触发偷窥换衣事件，当好感度高于2时，拉门未完全开启，可触发被发现的选项")</f>
        <v>触发偷窥换衣事件，当好感度高于2时，拉门未完全开启，可触发被发现的选项</v>
      </c>
      <c r="P56" s="75" t="str">
        <f>IFERROR(__xludf.DUMMYFUNCTION("GOOGLETRANSLATE(D56,""zh-tw"",""zh"")"),"出现三个选项(包含-让我看看)")</f>
        <v>出现三个选项(包含-让我看看)</v>
      </c>
      <c r="Q56" s="107">
        <v>4.0</v>
      </c>
      <c r="R56" s="108" t="s">
        <v>1944</v>
      </c>
      <c r="S56" s="113" t="s">
        <v>1945</v>
      </c>
      <c r="T56" s="75" t="s">
        <v>1946</v>
      </c>
      <c r="U56" s="107">
        <v>4.0</v>
      </c>
      <c r="V56" s="125" t="str">
        <f>IFERROR(__xludf.DUMMYFUNCTION("GOOGLETRANSLATE(B56,""zh-tw"",""KO"")"),"지금 -2로 이동하세요")</f>
        <v>지금 -2로 이동하세요</v>
      </c>
      <c r="W56" s="113"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75" t="str">
        <f>IFERROR(__xludf.DUMMYFUNCTION("GOOGLETRANSLATE(D56,""zh-tw"",""KO"")"),"""확인해 보겠습니다""를 포함하여 세 가지 옵션이 표시됩니다.")</f>
        <v>"확인해 보겠습니다"를 포함하여 세 가지 옵션이 표시됩니다.</v>
      </c>
      <c r="Y56" s="107">
        <v>4.0</v>
      </c>
      <c r="Z56" s="149" t="s">
        <v>1947</v>
      </c>
      <c r="AA56" s="150" t="s">
        <v>1948</v>
      </c>
      <c r="AB56" s="132" t="s">
        <v>1949</v>
      </c>
      <c r="AC56" s="107">
        <v>4.0</v>
      </c>
      <c r="AD56" s="108" t="s">
        <v>1950</v>
      </c>
      <c r="AE56" s="109" t="s">
        <v>1951</v>
      </c>
      <c r="AF56" s="110" t="s">
        <v>1952</v>
      </c>
      <c r="AG56" s="117">
        <v>4.0</v>
      </c>
      <c r="AH56" s="118" t="s">
        <v>1953</v>
      </c>
      <c r="AI56" s="119" t="s">
        <v>1954</v>
      </c>
      <c r="AJ56" s="120" t="s">
        <v>1955</v>
      </c>
      <c r="AK56" s="107">
        <v>4.0</v>
      </c>
      <c r="AL56" s="121" t="s">
        <v>1956</v>
      </c>
      <c r="AM56" s="131" t="s">
        <v>1957</v>
      </c>
      <c r="AN56" s="123" t="s">
        <v>1958</v>
      </c>
      <c r="AO56" s="107">
        <v>4.0</v>
      </c>
      <c r="AP56" s="112" t="s">
        <v>1959</v>
      </c>
      <c r="AQ56" s="109" t="s">
        <v>1960</v>
      </c>
      <c r="AR56" s="72" t="s">
        <v>1961</v>
      </c>
      <c r="AS56" s="110"/>
      <c r="AT56" s="110"/>
    </row>
    <row r="57">
      <c r="A57" s="139">
        <v>5.0</v>
      </c>
      <c r="B57" s="108" t="s">
        <v>1962</v>
      </c>
      <c r="C57" s="109" t="s">
        <v>1963</v>
      </c>
      <c r="D57" s="110" t="s">
        <v>1964</v>
      </c>
      <c r="E57" s="139">
        <v>5.0</v>
      </c>
      <c r="F57" s="108" t="s">
        <v>1965</v>
      </c>
      <c r="G57" s="111" t="s">
        <v>1966</v>
      </c>
      <c r="H57" s="110" t="s">
        <v>1967</v>
      </c>
      <c r="I57" s="139">
        <v>5.0</v>
      </c>
      <c r="J57" s="108" t="s">
        <v>1968</v>
      </c>
      <c r="K57" s="109" t="s">
        <v>1969</v>
      </c>
      <c r="L57" s="110" t="s">
        <v>1970</v>
      </c>
      <c r="M57" s="139">
        <v>5.0</v>
      </c>
      <c r="N57" s="108" t="str">
        <f>IFERROR(__xludf.DUMMYFUNCTION("GOOGLETRANSLATE(B57,""zh-tw"",""zh"")"),"现在就去-3")</f>
        <v>现在就去-3</v>
      </c>
      <c r="O57" s="113"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75" t="str">
        <f>IFERROR(__xludf.DUMMYFUNCTION("GOOGLETRANSLATE(D57,""zh-tw"",""zh"")"),"出现特殊选项")</f>
        <v>出现特殊选项</v>
      </c>
      <c r="Q57" s="139">
        <v>5.0</v>
      </c>
      <c r="R57" s="108" t="s">
        <v>1971</v>
      </c>
      <c r="S57" s="113" t="s">
        <v>1972</v>
      </c>
      <c r="T57" s="75" t="s">
        <v>1973</v>
      </c>
      <c r="U57" s="139">
        <v>5.0</v>
      </c>
      <c r="V57" s="125" t="str">
        <f>IFERROR(__xludf.DUMMYFUNCTION("GOOGLETRANSLATE(B57,""zh-tw"",""KO"")"),"지금 -3으로 이동하세요")</f>
        <v>지금 -3으로 이동하세요</v>
      </c>
      <c r="W57" s="113"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75" t="str">
        <f>IFERROR(__xludf.DUMMYFUNCTION("GOOGLETRANSLATE(D57,""zh-tw"",""KO"")"),"특별 옵션이 표시됩니다")</f>
        <v>특별 옵션이 표시됩니다</v>
      </c>
      <c r="Y57" s="107">
        <v>5.0</v>
      </c>
      <c r="Z57" s="149" t="s">
        <v>1974</v>
      </c>
      <c r="AA57" s="150" t="s">
        <v>1975</v>
      </c>
      <c r="AB57" s="132" t="s">
        <v>1976</v>
      </c>
      <c r="AC57" s="139">
        <v>5.0</v>
      </c>
      <c r="AD57" s="108" t="s">
        <v>1977</v>
      </c>
      <c r="AE57" s="109" t="s">
        <v>1978</v>
      </c>
      <c r="AF57" s="110" t="s">
        <v>1979</v>
      </c>
      <c r="AG57" s="151">
        <v>5.0</v>
      </c>
      <c r="AH57" s="118" t="s">
        <v>1980</v>
      </c>
      <c r="AI57" s="119" t="s">
        <v>1981</v>
      </c>
      <c r="AJ57" s="120" t="s">
        <v>1982</v>
      </c>
      <c r="AK57" s="107">
        <v>5.0</v>
      </c>
      <c r="AL57" s="121" t="s">
        <v>1983</v>
      </c>
      <c r="AM57" s="122" t="s">
        <v>1984</v>
      </c>
      <c r="AN57" s="123" t="s">
        <v>1985</v>
      </c>
      <c r="AO57" s="107">
        <v>5.0</v>
      </c>
      <c r="AP57" s="112" t="s">
        <v>1986</v>
      </c>
      <c r="AQ57" s="109" t="s">
        <v>1987</v>
      </c>
      <c r="AR57" s="110" t="s">
        <v>1988</v>
      </c>
      <c r="AS57" s="110"/>
      <c r="AT57" s="110"/>
    </row>
    <row r="58">
      <c r="A58" s="107">
        <v>6.0</v>
      </c>
      <c r="B58" s="108" t="s">
        <v>1989</v>
      </c>
      <c r="C58" s="109" t="s">
        <v>1990</v>
      </c>
      <c r="D58" s="110" t="s">
        <v>1991</v>
      </c>
      <c r="E58" s="107">
        <v>6.0</v>
      </c>
      <c r="F58" s="108" t="s">
        <v>1992</v>
      </c>
      <c r="G58" s="109" t="s">
        <v>1993</v>
      </c>
      <c r="H58" s="110" t="s">
        <v>1994</v>
      </c>
      <c r="I58" s="107">
        <v>6.0</v>
      </c>
      <c r="J58" s="108" t="s">
        <v>1995</v>
      </c>
      <c r="K58" s="109" t="s">
        <v>1996</v>
      </c>
      <c r="L58" s="110" t="s">
        <v>1997</v>
      </c>
      <c r="M58" s="107">
        <v>6.0</v>
      </c>
      <c r="N58" s="108" t="str">
        <f>IFERROR(__xludf.DUMMYFUNCTION("GOOGLETRANSLATE(B58,""zh-tw"",""zh"")"),"现在就去-4")</f>
        <v>现在就去-4</v>
      </c>
      <c r="O58" s="113" t="str">
        <f>IFERROR(__xludf.DUMMYFUNCTION("GOOGLETRANSLATE(C58,""zh-tw"",""zh"")"),"触发偷窥换衣事件，拉门完全开启，触发唯一选项")</f>
        <v>触发偷窥换衣事件，拉门完全开启，触发唯一选项</v>
      </c>
      <c r="P58" s="75" t="str">
        <f>IFERROR(__xludf.DUMMYFUNCTION("GOOGLETRANSLATE(D58,""zh-tw"",""zh"")"),"触发黑色选项(让我看看)")</f>
        <v>触发黑色选项(让我看看)</v>
      </c>
      <c r="Q58" s="107">
        <v>6.0</v>
      </c>
      <c r="R58" s="108" t="s">
        <v>1998</v>
      </c>
      <c r="S58" s="113" t="s">
        <v>1999</v>
      </c>
      <c r="T58" s="75" t="s">
        <v>2000</v>
      </c>
      <c r="U58" s="107">
        <v>6.0</v>
      </c>
      <c r="V58" s="125" t="str">
        <f>IFERROR(__xludf.DUMMYFUNCTION("GOOGLETRANSLATE(B58,""zh-tw"",""KO"")"),"지금 -4로 이동하세요")</f>
        <v>지금 -4로 이동하세요</v>
      </c>
      <c r="W58" s="113" t="str">
        <f>IFERROR(__xludf.DUMMYFUNCTION("GOOGLETRANSLATE(C58,""zh-tw"",""KO"")"),"옷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8" s="75" t="str">
        <f>IFERROR(__xludf.DUMMYFUNCTION("GOOGLETRANSLATE(D58,""zh-tw"",""KO"")"),"검정색 옵션을 활성화하세요(어디 보자).")</f>
        <v>검정색 옵션을 활성화하세요(어디 보자).</v>
      </c>
      <c r="Y58" s="107">
        <v>6.0</v>
      </c>
      <c r="Z58" s="149" t="s">
        <v>2001</v>
      </c>
      <c r="AA58" s="150" t="s">
        <v>2002</v>
      </c>
      <c r="AB58" s="132" t="s">
        <v>2003</v>
      </c>
      <c r="AC58" s="107">
        <v>6.0</v>
      </c>
      <c r="AD58" s="108" t="s">
        <v>2004</v>
      </c>
      <c r="AE58" s="109" t="s">
        <v>2005</v>
      </c>
      <c r="AF58" s="110" t="s">
        <v>2006</v>
      </c>
      <c r="AG58" s="117">
        <v>6.0</v>
      </c>
      <c r="AH58" s="118" t="s">
        <v>2007</v>
      </c>
      <c r="AI58" s="119" t="s">
        <v>2008</v>
      </c>
      <c r="AJ58" s="120" t="s">
        <v>2009</v>
      </c>
      <c r="AK58" s="107">
        <v>6.0</v>
      </c>
      <c r="AL58" s="121" t="s">
        <v>2010</v>
      </c>
      <c r="AM58" s="122" t="s">
        <v>2011</v>
      </c>
      <c r="AN58" s="123" t="s">
        <v>2012</v>
      </c>
      <c r="AO58" s="107">
        <v>6.0</v>
      </c>
      <c r="AP58" s="112" t="s">
        <v>2013</v>
      </c>
      <c r="AQ58" s="109" t="s">
        <v>2014</v>
      </c>
      <c r="AR58" s="72" t="s">
        <v>2015</v>
      </c>
      <c r="AS58" s="110"/>
      <c r="AT58" s="110"/>
    </row>
    <row r="59">
      <c r="A59" s="107">
        <v>7.0</v>
      </c>
      <c r="B59" s="108" t="s">
        <v>2016</v>
      </c>
      <c r="C59" s="111" t="s">
        <v>2017</v>
      </c>
      <c r="D59" s="72" t="s">
        <v>2018</v>
      </c>
      <c r="E59" s="107">
        <v>7.0</v>
      </c>
      <c r="F59" s="112" t="s">
        <v>2019</v>
      </c>
      <c r="G59" s="111" t="s">
        <v>2020</v>
      </c>
      <c r="H59" s="72" t="s">
        <v>2021</v>
      </c>
      <c r="I59" s="107">
        <v>7.0</v>
      </c>
      <c r="J59" s="112" t="s">
        <v>2022</v>
      </c>
      <c r="K59" s="111" t="s">
        <v>2023</v>
      </c>
      <c r="L59" s="72" t="s">
        <v>2024</v>
      </c>
      <c r="M59" s="107">
        <v>7.0</v>
      </c>
      <c r="N59" s="108" t="str">
        <f>IFERROR(__xludf.DUMMYFUNCTION("GOOGLETRANSLATE(B59,""zh-tw"",""zh"")"),"现在就去-5")</f>
        <v>现在就去-5</v>
      </c>
      <c r="O59" s="113" t="str">
        <f>IFERROR(__xludf.DUMMYFUNCTION("GOOGLETRANSLATE(C59,""zh-tw"",""zh"")"),"同上，拉门完全开启后，马上将门再次关闭")</f>
        <v>同上，拉门完全开启后，马上将门再次关闭</v>
      </c>
      <c r="P59" s="75" t="str">
        <f>IFERROR(__xludf.DUMMYFUNCTION("GOOGLETRANSLATE(D59,""zh-tw"",""zh"")"),"触发不同的对话
出现三个选项(包含-让我看看)")</f>
        <v>触发不同的对话
出现三个选项(包含-让我看看)</v>
      </c>
      <c r="Q59" s="107">
        <v>7.0</v>
      </c>
      <c r="R59" s="125" t="str">
        <f>IFERROR(__xludf.DUMMYFUNCTION("GOOGLETRANSLATE(B59,""zh-tw"",""es-mx"")"),"Ve a -5 ahora")</f>
        <v>Ve a -5 ahora</v>
      </c>
      <c r="S59" s="113" t="str">
        <f>IFERROR(__xludf.DUMMYFUNCTION("GOOGLETRANSLATE(C59,""zh-tw"",""es-mx"")"),"Como se indicó anteriormente, una vez que la puerta corrediza esté completamente abierta, ciérrela inmediatamente.")</f>
        <v>Como se indicó anteriormente, una vez que la puerta corrediza esté completamente abierta, ciérrela inmediatamente.</v>
      </c>
      <c r="T59" s="75" t="str">
        <f>IFERROR(__xludf.DUMMYFUNCTION("GOOGLETRANSLATE(D59,""zh-tw"",""es-mx"")"),"Esto desencadena diferentes diálogos, presentando tres opciones (incluida ""Déjame ver"").")</f>
        <v>Esto desencadena diferentes diálogos, presentando tres opciones (incluida "Déjame ver").</v>
      </c>
      <c r="U59" s="107">
        <v>7.0</v>
      </c>
      <c r="V59" s="125" t="str">
        <f>IFERROR(__xludf.DUMMYFUNCTION("GOOGLETRANSLATE(B59,""zh-tw"",""KO"")"),"지금 -5로 이동하세요")</f>
        <v>지금 -5로 이동하세요</v>
      </c>
      <c r="W59" s="113" t="str">
        <f>IFERROR(__xludf.DUMMYFUNCTION("GOOGLETRANSLATE(C59,""zh-tw"",""KO"")"),"위에서 설명한 대로 미닫이문을 완전히 연 후에는 즉시 다시 닫으십시오.")</f>
        <v>위에서 설명한 대로 미닫이문을 완전히 연 후에는 즉시 다시 닫으십시오.</v>
      </c>
      <c r="X59" s="75"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07">
        <v>7.0</v>
      </c>
      <c r="Z59" s="149" t="s">
        <v>2025</v>
      </c>
      <c r="AA59" s="150" t="s">
        <v>2026</v>
      </c>
      <c r="AB59" s="132" t="s">
        <v>2027</v>
      </c>
      <c r="AC59" s="107">
        <v>7.0</v>
      </c>
      <c r="AD59" s="112" t="s">
        <v>2028</v>
      </c>
      <c r="AE59" s="111" t="s">
        <v>2029</v>
      </c>
      <c r="AF59" s="72" t="s">
        <v>2030</v>
      </c>
      <c r="AG59" s="117">
        <v>7.0</v>
      </c>
      <c r="AH59" s="118" t="s">
        <v>2031</v>
      </c>
      <c r="AI59" s="119" t="s">
        <v>2032</v>
      </c>
      <c r="AJ59" s="120" t="s">
        <v>2033</v>
      </c>
      <c r="AK59" s="107">
        <v>7.0</v>
      </c>
      <c r="AL59" s="121" t="s">
        <v>2034</v>
      </c>
      <c r="AM59" s="122" t="s">
        <v>2035</v>
      </c>
      <c r="AN59" s="123" t="s">
        <v>2036</v>
      </c>
      <c r="AO59" s="107">
        <v>7.0</v>
      </c>
      <c r="AP59" s="112" t="s">
        <v>2037</v>
      </c>
      <c r="AQ59" s="109" t="s">
        <v>2038</v>
      </c>
      <c r="AR59" s="72" t="s">
        <v>2039</v>
      </c>
      <c r="AS59" s="72"/>
      <c r="AT59" s="72"/>
    </row>
    <row r="60">
      <c r="A60" s="139">
        <v>8.0</v>
      </c>
      <c r="B60" s="108" t="s">
        <v>2040</v>
      </c>
      <c r="C60" s="111" t="s">
        <v>2041</v>
      </c>
      <c r="D60" s="110" t="s">
        <v>2042</v>
      </c>
      <c r="E60" s="139">
        <v>8.0</v>
      </c>
      <c r="F60" s="108" t="s">
        <v>2043</v>
      </c>
      <c r="G60" s="111" t="s">
        <v>2044</v>
      </c>
      <c r="H60" s="110" t="s">
        <v>2045</v>
      </c>
      <c r="I60" s="139">
        <v>8.0</v>
      </c>
      <c r="J60" s="108" t="s">
        <v>2046</v>
      </c>
      <c r="K60" s="109" t="s">
        <v>2047</v>
      </c>
      <c r="L60" s="110" t="s">
        <v>2048</v>
      </c>
      <c r="M60" s="139">
        <v>8.0</v>
      </c>
      <c r="N60" s="108" t="str">
        <f>IFERROR(__xludf.DUMMYFUNCTION("GOOGLETRANSLATE(B60,""zh-tw"",""zh"")"),"让我看看...-1")</f>
        <v>让我看看...-1</v>
      </c>
      <c r="O60" s="113" t="str">
        <f>IFERROR(__xludf.DUMMYFUNCTION("GOOGLETRANSLATE(C60,""zh-tw"",""zh"")"),"被妹妹拒绝")</f>
        <v>被妹妹拒绝</v>
      </c>
      <c r="P60" s="75" t="str">
        <f>IFERROR(__xludf.DUMMYFUNCTION("GOOGLETRANSLATE(D60,""zh-tw"",""zh"")"),"哥哥是笨蛋！")</f>
        <v>哥哥是笨蛋！</v>
      </c>
      <c r="Q60" s="139">
        <v>8.0</v>
      </c>
      <c r="R60" s="108" t="s">
        <v>2049</v>
      </c>
      <c r="S60" s="113" t="s">
        <v>2050</v>
      </c>
      <c r="T60" s="75" t="s">
        <v>2051</v>
      </c>
      <c r="U60" s="139">
        <v>8.0</v>
      </c>
      <c r="V60" s="125" t="str">
        <f>IFERROR(__xludf.DUMMYFUNCTION("GOOGLETRANSLATE(B60,""zh-tw"",""KO"")"),"어디 보자...-1")</f>
        <v>어디 보자...-1</v>
      </c>
      <c r="W60" s="113" t="str">
        <f>IFERROR(__xludf.DUMMYFUNCTION("GOOGLETRANSLATE(C60,""zh-tw"",""KO"")"),"내 여동생에게 거절당했어요")</f>
        <v>내 여동생에게 거절당했어요</v>
      </c>
      <c r="X60" s="75" t="str">
        <f>IFERROR(__xludf.DUMMYFUNCTION("GOOGLETRANSLATE(D60,""zh-tw"",""KO"")"),"내 동생은 바보야!")</f>
        <v>내 동생은 바보야!</v>
      </c>
      <c r="Y60" s="107">
        <v>8.0</v>
      </c>
      <c r="Z60" s="149" t="s">
        <v>2052</v>
      </c>
      <c r="AA60" s="150" t="s">
        <v>2053</v>
      </c>
      <c r="AB60" s="132" t="s">
        <v>2054</v>
      </c>
      <c r="AC60" s="139">
        <v>8.0</v>
      </c>
      <c r="AD60" s="108" t="s">
        <v>2055</v>
      </c>
      <c r="AE60" s="109" t="s">
        <v>2056</v>
      </c>
      <c r="AF60" s="110" t="s">
        <v>2057</v>
      </c>
      <c r="AG60" s="151">
        <v>8.0</v>
      </c>
      <c r="AH60" s="118" t="s">
        <v>2058</v>
      </c>
      <c r="AI60" s="119" t="s">
        <v>2059</v>
      </c>
      <c r="AJ60" s="120" t="s">
        <v>2060</v>
      </c>
      <c r="AK60" s="107">
        <v>8.0</v>
      </c>
      <c r="AL60" s="121" t="s">
        <v>2061</v>
      </c>
      <c r="AM60" s="131" t="s">
        <v>2062</v>
      </c>
      <c r="AN60" s="123" t="s">
        <v>2063</v>
      </c>
      <c r="AO60" s="107">
        <v>8.0</v>
      </c>
      <c r="AP60" s="112" t="s">
        <v>2064</v>
      </c>
      <c r="AQ60" s="111" t="s">
        <v>2065</v>
      </c>
      <c r="AR60" s="72" t="s">
        <v>2066</v>
      </c>
      <c r="AS60" s="110"/>
      <c r="AT60" s="110"/>
    </row>
    <row r="61">
      <c r="A61" s="107">
        <v>9.0</v>
      </c>
      <c r="B61" s="112" t="s">
        <v>2067</v>
      </c>
      <c r="C61" s="111" t="s">
        <v>2068</v>
      </c>
      <c r="D61" s="72" t="s">
        <v>2069</v>
      </c>
      <c r="E61" s="107">
        <v>9.0</v>
      </c>
      <c r="F61" s="108" t="s">
        <v>2070</v>
      </c>
      <c r="G61" s="109" t="s">
        <v>2071</v>
      </c>
      <c r="H61" s="110" t="s">
        <v>2072</v>
      </c>
      <c r="I61" s="107">
        <v>9.0</v>
      </c>
      <c r="J61" s="108" t="s">
        <v>2073</v>
      </c>
      <c r="K61" s="109" t="s">
        <v>2074</v>
      </c>
      <c r="L61" s="72" t="s">
        <v>2075</v>
      </c>
      <c r="M61" s="107">
        <v>9.0</v>
      </c>
      <c r="N61" s="108" t="str">
        <f>IFERROR(__xludf.DUMMYFUNCTION("GOOGLETRANSLATE(B61,""zh-tw"",""zh"")"),"让我看看...-2
""想要色色""")</f>
        <v>让我看看...-2
"想要色色"</v>
      </c>
      <c r="O61" s="113"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75" t="str">
        <f>IFERROR(__xludf.DUMMYFUNCTION("GOOGLETRANSLATE(D61,""zh-tw"",""zh"")"),"执行""想要色色""选项
后续依照贿络结果，触发后续剧情(贿络未实装)")</f>
        <v>执行"想要色色"选项
后续依照贿络结果，触发后续剧情(贿络未实装)</v>
      </c>
      <c r="Q61" s="107">
        <v>9.0</v>
      </c>
      <c r="R61" s="125" t="s">
        <v>2076</v>
      </c>
      <c r="S61" s="111" t="s">
        <v>2077</v>
      </c>
      <c r="T61" s="72" t="s">
        <v>2078</v>
      </c>
      <c r="U61" s="107">
        <v>9.0</v>
      </c>
      <c r="V61" s="125" t="str">
        <f>IFERROR(__xludf.DUMMYFUNCTION("GOOGLETRANSLATE(B61,""zh-tw"",""KO"")"),"어디 보자... -2
""섹스하고 싶어?""")</f>
        <v>어디 보자... -2
"섹스하고 싶어?"</v>
      </c>
      <c r="W61" s="113"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75"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07">
        <v>9.0</v>
      </c>
      <c r="Z61" s="149" t="s">
        <v>2079</v>
      </c>
      <c r="AA61" s="150" t="s">
        <v>2080</v>
      </c>
      <c r="AB61" s="132" t="s">
        <v>2081</v>
      </c>
      <c r="AC61" s="107">
        <v>9.0</v>
      </c>
      <c r="AD61" s="108" t="s">
        <v>2082</v>
      </c>
      <c r="AE61" s="109" t="s">
        <v>2083</v>
      </c>
      <c r="AF61" s="110" t="s">
        <v>2084</v>
      </c>
      <c r="AG61" s="117">
        <v>9.0</v>
      </c>
      <c r="AH61" s="118" t="s">
        <v>2085</v>
      </c>
      <c r="AI61" s="119" t="s">
        <v>2086</v>
      </c>
      <c r="AJ61" s="120" t="s">
        <v>2087</v>
      </c>
      <c r="AK61" s="107">
        <v>9.0</v>
      </c>
      <c r="AL61" s="121" t="s">
        <v>2088</v>
      </c>
      <c r="AM61" s="122" t="s">
        <v>2089</v>
      </c>
      <c r="AN61" s="123" t="s">
        <v>2090</v>
      </c>
      <c r="AO61" s="107">
        <v>9.0</v>
      </c>
      <c r="AP61" s="112" t="s">
        <v>2091</v>
      </c>
      <c r="AQ61" s="109" t="s">
        <v>2092</v>
      </c>
      <c r="AR61" s="110" t="s">
        <v>2093</v>
      </c>
      <c r="AS61" s="72"/>
      <c r="AT61" s="72"/>
    </row>
    <row r="62">
      <c r="A62" s="107">
        <v>10.0</v>
      </c>
      <c r="B62" s="112" t="s">
        <v>2094</v>
      </c>
      <c r="C62" s="109" t="s">
        <v>2095</v>
      </c>
      <c r="D62" s="72" t="s">
        <v>2096</v>
      </c>
      <c r="E62" s="107">
        <v>10.0</v>
      </c>
      <c r="F62" s="108" t="s">
        <v>2097</v>
      </c>
      <c r="G62" s="111" t="s">
        <v>2098</v>
      </c>
      <c r="H62" s="110" t="s">
        <v>2099</v>
      </c>
      <c r="I62" s="107">
        <v>10.0</v>
      </c>
      <c r="J62" s="108" t="s">
        <v>2100</v>
      </c>
      <c r="K62" s="111" t="s">
        <v>2101</v>
      </c>
      <c r="L62" s="110" t="s">
        <v>2102</v>
      </c>
      <c r="M62" s="107">
        <v>10.0</v>
      </c>
      <c r="N62" s="108" t="str">
        <f>IFERROR(__xludf.DUMMYFUNCTION("GOOGLETRANSLATE(B62,""zh-tw"",""zh"")"),"让我看看...-3
""想要色色""")</f>
        <v>让我看看...-3
"想要色色"</v>
      </c>
      <c r="O62" s="113" t="str">
        <f>IFERROR(__xludf.DUMMYFUNCTION("GOOGLETRANSLATE(C62,""zh-tw"",""zh"")"),"同上，被拒绝时，使用""什么都行券""")</f>
        <v>同上，被拒绝时，使用"什么都行券"</v>
      </c>
      <c r="P62" s="75" t="str">
        <f>IFERROR(__xludf.DUMMYFUNCTION("GOOGLETRANSLATE(D62,""zh-tw"",""zh"")"),"执行""想要色色""选项
后续使用""什么都行券""必定可以触发后续剧情(未实装)")</f>
        <v>执行"想要色色"选项
后续使用"什么都行券"必定可以触发后续剧情(未实装)</v>
      </c>
      <c r="Q62" s="107">
        <v>10.0</v>
      </c>
      <c r="R62" s="125" t="s">
        <v>2103</v>
      </c>
      <c r="S62" s="111" t="s">
        <v>2104</v>
      </c>
      <c r="T62" s="72" t="s">
        <v>2105</v>
      </c>
      <c r="U62" s="107">
        <v>10.0</v>
      </c>
      <c r="V62" s="125" t="str">
        <f>IFERROR(__xludf.DUMMYFUNCTION("GOOGLETRANSLATE(B62,""zh-tw"",""KO"")"),"어디 보자... -3
""섹시해지고 싶어""")</f>
        <v>어디 보자... -3
"섹시해지고 싶어"</v>
      </c>
      <c r="W62" s="113" t="str">
        <f>IFERROR(__xludf.DUMMYFUNCTION("GOOGLETRANSLATE(C62,""zh-tw"",""KO"")"),"마찬가지로 거절당했을 경우 ""무엇이든 괜찮습니다"" 쿠폰을 사용하세요.")</f>
        <v>마찬가지로 거절당했을 경우 "무엇이든 괜찮습니다" 쿠폰을 사용하세요.</v>
      </c>
      <c r="X62" s="75"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07">
        <v>10.0</v>
      </c>
      <c r="Z62" s="149" t="s">
        <v>2106</v>
      </c>
      <c r="AA62" s="150" t="s">
        <v>2107</v>
      </c>
      <c r="AB62" s="132" t="s">
        <v>2108</v>
      </c>
      <c r="AC62" s="107">
        <v>10.0</v>
      </c>
      <c r="AD62" s="108" t="s">
        <v>2109</v>
      </c>
      <c r="AE62" s="109" t="s">
        <v>2110</v>
      </c>
      <c r="AF62" s="110" t="s">
        <v>2111</v>
      </c>
      <c r="AG62" s="117">
        <v>10.0</v>
      </c>
      <c r="AH62" s="118" t="s">
        <v>2112</v>
      </c>
      <c r="AI62" s="119" t="s">
        <v>2113</v>
      </c>
      <c r="AJ62" s="120" t="s">
        <v>2114</v>
      </c>
      <c r="AK62" s="107">
        <v>10.0</v>
      </c>
      <c r="AL62" s="121" t="s">
        <v>2115</v>
      </c>
      <c r="AM62" s="122" t="s">
        <v>2116</v>
      </c>
      <c r="AN62" s="123" t="s">
        <v>2117</v>
      </c>
      <c r="AO62" s="107">
        <v>10.0</v>
      </c>
      <c r="AP62" s="112" t="s">
        <v>2118</v>
      </c>
      <c r="AQ62" s="109" t="s">
        <v>2119</v>
      </c>
      <c r="AR62" s="110" t="s">
        <v>2120</v>
      </c>
      <c r="AS62" s="72"/>
      <c r="AT62" s="72"/>
    </row>
    <row r="63">
      <c r="A63" s="139">
        <v>11.0</v>
      </c>
      <c r="B63" s="112" t="s">
        <v>2121</v>
      </c>
      <c r="C63" s="111" t="s">
        <v>2122</v>
      </c>
      <c r="D63" s="72" t="s">
        <v>2123</v>
      </c>
      <c r="E63" s="139">
        <v>11.0</v>
      </c>
      <c r="F63" s="108" t="s">
        <v>2124</v>
      </c>
      <c r="G63" s="111" t="s">
        <v>2125</v>
      </c>
      <c r="H63" s="72" t="s">
        <v>2126</v>
      </c>
      <c r="I63" s="139">
        <v>11.0</v>
      </c>
      <c r="J63" s="112" t="s">
        <v>2127</v>
      </c>
      <c r="K63" s="111" t="s">
        <v>2128</v>
      </c>
      <c r="L63" s="72" t="s">
        <v>2129</v>
      </c>
      <c r="M63" s="139">
        <v>11.0</v>
      </c>
      <c r="N63" s="108" t="str">
        <f>IFERROR(__xludf.DUMMYFUNCTION("GOOGLETRANSLATE(B63,""zh-tw"",""zh"")"),"让我看看...-4
""想要色色""")</f>
        <v>让我看看...-4
"想要色色"</v>
      </c>
      <c r="O63" s="113" t="str">
        <f>IFERROR(__xludf.DUMMYFUNCTION("GOOGLETRANSLATE(C63,""zh-tw"",""zh"")"),"同上，当紫心1以上、红心2以上，可以触发剧情")</f>
        <v>同上，当紫心1以上、红心2以上，可以触发剧情</v>
      </c>
      <c r="P63" s="75" t="str">
        <f>IFERROR(__xludf.DUMMYFUNCTION("GOOGLETRANSLATE(D63,""zh-tw"",""zh"")"),"执行""想要色色""选项
触发用手服务的剧情")</f>
        <v>执行"想要色色"选项
触发用手服务的剧情</v>
      </c>
      <c r="Q63" s="139">
        <v>11.0</v>
      </c>
      <c r="R63" s="125" t="s">
        <v>2130</v>
      </c>
      <c r="S63" s="111" t="s">
        <v>2131</v>
      </c>
      <c r="T63" s="72" t="s">
        <v>2132</v>
      </c>
      <c r="U63" s="139">
        <v>11.0</v>
      </c>
      <c r="V63" s="125" t="str">
        <f>IFERROR(__xludf.DUMMYFUNCTION("GOOGLETRANSLATE(B63,""zh-tw"",""KO"")"),"어디 보자... -4
""섹스하고 싶어?""")</f>
        <v>어디 보자... -4
"섹스하고 싶어?"</v>
      </c>
      <c r="W63" s="113" t="str">
        <f>IFERROR(__xludf.DUMMYFUNCTION("GOOGLETRANSLATE(C63,""zh-tw"",""KO"")"),"마찬가지로, 보라색 하트가 1개 이상, 빨간색 하트가 2개 이상 있으면 이벤트가 발생할 수 있습니다.")</f>
        <v>마찬가지로, 보라색 하트가 1개 이상, 빨간색 하트가 2개 이상 있으면 이벤트가 발생할 수 있습니다.</v>
      </c>
      <c r="X63" s="75"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07">
        <v>11.0</v>
      </c>
      <c r="Z63" s="149" t="s">
        <v>2133</v>
      </c>
      <c r="AA63" s="150" t="s">
        <v>2134</v>
      </c>
      <c r="AB63" s="132" t="s">
        <v>2135</v>
      </c>
      <c r="AC63" s="139">
        <v>11.0</v>
      </c>
      <c r="AD63" s="108" t="s">
        <v>2136</v>
      </c>
      <c r="AE63" s="109" t="s">
        <v>2137</v>
      </c>
      <c r="AF63" s="110" t="s">
        <v>2138</v>
      </c>
      <c r="AG63" s="151">
        <v>11.0</v>
      </c>
      <c r="AH63" s="118" t="s">
        <v>2139</v>
      </c>
      <c r="AI63" s="130" t="s">
        <v>2140</v>
      </c>
      <c r="AJ63" s="120" t="s">
        <v>2141</v>
      </c>
      <c r="AK63" s="107">
        <v>11.0</v>
      </c>
      <c r="AL63" s="121" t="s">
        <v>2142</v>
      </c>
      <c r="AM63" s="131" t="s">
        <v>2143</v>
      </c>
      <c r="AN63" s="123" t="s">
        <v>2144</v>
      </c>
      <c r="AO63" s="107">
        <v>11.0</v>
      </c>
      <c r="AP63" s="112" t="s">
        <v>2145</v>
      </c>
      <c r="AQ63" s="109" t="s">
        <v>2146</v>
      </c>
      <c r="AR63" s="110" t="s">
        <v>2147</v>
      </c>
      <c r="AS63" s="72"/>
      <c r="AT63" s="72"/>
    </row>
    <row r="64">
      <c r="A64" s="107">
        <v>12.0</v>
      </c>
      <c r="B64" s="108" t="s">
        <v>2148</v>
      </c>
      <c r="C64" s="109" t="s">
        <v>2149</v>
      </c>
      <c r="D64" s="110" t="s">
        <v>2150</v>
      </c>
      <c r="E64" s="107">
        <v>12.0</v>
      </c>
      <c r="F64" s="108" t="s">
        <v>2151</v>
      </c>
      <c r="G64" s="109" t="s">
        <v>2152</v>
      </c>
      <c r="H64" s="110" t="s">
        <v>2153</v>
      </c>
      <c r="I64" s="107">
        <v>12.0</v>
      </c>
      <c r="J64" s="112" t="s">
        <v>2154</v>
      </c>
      <c r="K64" s="111" t="s">
        <v>2155</v>
      </c>
      <c r="L64" s="72" t="s">
        <v>2156</v>
      </c>
      <c r="M64" s="107">
        <v>12.0</v>
      </c>
      <c r="N64" s="108" t="str">
        <f>IFERROR(__xludf.DUMMYFUNCTION("GOOGLETRANSLATE(B64,""zh-tw"",""zh"")"),"再等会")</f>
        <v>再等会</v>
      </c>
      <c r="O64" s="111" t="s">
        <v>2157</v>
      </c>
      <c r="P64" s="75" t="str">
        <f>IFERROR(__xludf.DUMMYFUNCTION("GOOGLETRANSLATE(D64,""zh-tw"",""zh"")"),"安全潜入洗面所")</f>
        <v>安全潜入洗面所</v>
      </c>
      <c r="Q64" s="107">
        <v>12.0</v>
      </c>
      <c r="R64" s="112" t="s">
        <v>2158</v>
      </c>
      <c r="S64" s="111" t="s">
        <v>2159</v>
      </c>
      <c r="T64" s="72" t="s">
        <v>2160</v>
      </c>
      <c r="U64" s="107">
        <v>12.0</v>
      </c>
      <c r="V64" s="125" t="str">
        <f>IFERROR(__xludf.DUMMYFUNCTION("GOOGLETRANSLATE(B64,""zh-tw"",""KO"")"),"잠시만 기다려 주세요")</f>
        <v>잠시만 기다려 주세요</v>
      </c>
      <c r="W64" s="113" t="str">
        <f>IFERROR(__xludf.DUMMYFUNCTION("GOOGLETRANSLATE(C64,""zh-tw"",""KO"")"),"옷 갈아입는 동안 몰래 엿보는 일을 피하면 화장실에 안전하게 잠입할 수 있습니다.")</f>
        <v>옷 갈아입는 동안 몰래 엿보는 일을 피하면 화장실에 안전하게 잠입할 수 있습니다.</v>
      </c>
      <c r="X64" s="75" t="str">
        <f>IFERROR(__xludf.DUMMYFUNCTION("GOOGLETRANSLATE(D64,""zh-tw"",""KO"")"),"안전하게 세안제에 스며들게 하세요")</f>
        <v>안전하게 세안제에 스며들게 하세요</v>
      </c>
      <c r="Y64" s="107">
        <v>12.0</v>
      </c>
      <c r="Z64" s="149" t="s">
        <v>2161</v>
      </c>
      <c r="AA64" s="150" t="s">
        <v>2162</v>
      </c>
      <c r="AB64" s="132" t="s">
        <v>2163</v>
      </c>
      <c r="AC64" s="107">
        <v>12.0</v>
      </c>
      <c r="AD64" s="108" t="s">
        <v>2164</v>
      </c>
      <c r="AE64" s="109" t="s">
        <v>2165</v>
      </c>
      <c r="AF64" s="110" t="s">
        <v>2166</v>
      </c>
      <c r="AG64" s="117">
        <v>12.0</v>
      </c>
      <c r="AH64" s="118" t="s">
        <v>2167</v>
      </c>
      <c r="AI64" s="119" t="s">
        <v>2168</v>
      </c>
      <c r="AJ64" s="120" t="s">
        <v>2169</v>
      </c>
      <c r="AK64" s="107">
        <v>12.0</v>
      </c>
      <c r="AL64" s="121" t="s">
        <v>2170</v>
      </c>
      <c r="AM64" s="122" t="s">
        <v>2171</v>
      </c>
      <c r="AN64" s="129" t="s">
        <v>2172</v>
      </c>
      <c r="AO64" s="107">
        <v>12.0</v>
      </c>
      <c r="AP64" s="108" t="s">
        <v>2173</v>
      </c>
      <c r="AQ64" s="109" t="s">
        <v>2174</v>
      </c>
      <c r="AR64" s="110" t="s">
        <v>2175</v>
      </c>
      <c r="AS64" s="110"/>
      <c r="AT64" s="110"/>
    </row>
    <row r="65">
      <c r="A65" s="107">
        <v>13.0</v>
      </c>
      <c r="B65" s="108" t="s">
        <v>2176</v>
      </c>
      <c r="C65" s="109" t="s">
        <v>2177</v>
      </c>
      <c r="D65" s="110" t="s">
        <v>2178</v>
      </c>
      <c r="E65" s="107">
        <v>13.0</v>
      </c>
      <c r="F65" s="112" t="s">
        <v>2179</v>
      </c>
      <c r="G65" s="109" t="s">
        <v>2180</v>
      </c>
      <c r="H65" s="110" t="s">
        <v>2181</v>
      </c>
      <c r="I65" s="107">
        <v>13.0</v>
      </c>
      <c r="J65" s="108" t="s">
        <v>2182</v>
      </c>
      <c r="K65" s="109" t="s">
        <v>2183</v>
      </c>
      <c r="L65" s="110" t="s">
        <v>2184</v>
      </c>
      <c r="M65" s="107">
        <v>13.0</v>
      </c>
      <c r="N65" s="108" t="str">
        <f>IFERROR(__xludf.DUMMYFUNCTION("GOOGLETRANSLATE(B65,""zh-tw"",""zh"")"),"第一次潜入")</f>
        <v>第一次潜入</v>
      </c>
      <c r="O65" s="111" t="s">
        <v>2185</v>
      </c>
      <c r="P65" s="75" t="str">
        <f>IFERROR(__xludf.DUMMYFUNCTION("GOOGLETRANSLATE(D65,""zh-tw"",""zh"")"),"※一次性事件
只能探索一下就必须离开")</f>
        <v>※一次性事件
只能探索一下就必须离开</v>
      </c>
      <c r="Q65" s="107">
        <v>13.0</v>
      </c>
      <c r="R65" s="125" t="s">
        <v>2186</v>
      </c>
      <c r="S65" s="113" t="str">
        <f>IFERROR(__xludf.DUMMYFUNCTION("GOOGLETRANSLATE(C65,""zh-tw"",""es-MX"")"),"La primera infiltración en el baño forma parte de una trama especial.")</f>
        <v>La primera infiltración en el baño forma parte de una trama especial.</v>
      </c>
      <c r="T65" s="75" t="s">
        <v>2187</v>
      </c>
      <c r="U65" s="107">
        <v>13.0</v>
      </c>
      <c r="V65" s="125" t="str">
        <f>IFERROR(__xludf.DUMMYFUNCTION("GOOGLETRANSLATE(B65,""zh-tw"",""KO"")"),"첫 번째 침투")</f>
        <v>첫 번째 침투</v>
      </c>
      <c r="W65" s="113" t="s">
        <v>2188</v>
      </c>
      <c r="X65" s="75" t="s">
        <v>2189</v>
      </c>
      <c r="Y65" s="107">
        <v>13.0</v>
      </c>
      <c r="Z65" s="149" t="s">
        <v>2190</v>
      </c>
      <c r="AA65" s="150" t="s">
        <v>2191</v>
      </c>
      <c r="AB65" s="132" t="s">
        <v>2192</v>
      </c>
      <c r="AC65" s="107">
        <v>13.0</v>
      </c>
      <c r="AD65" s="108" t="s">
        <v>2193</v>
      </c>
      <c r="AE65" s="109" t="s">
        <v>2194</v>
      </c>
      <c r="AF65" s="110" t="s">
        <v>2195</v>
      </c>
      <c r="AG65" s="117">
        <v>13.0</v>
      </c>
      <c r="AH65" s="118" t="s">
        <v>2196</v>
      </c>
      <c r="AI65" s="119" t="s">
        <v>2197</v>
      </c>
      <c r="AJ65" s="120" t="s">
        <v>2198</v>
      </c>
      <c r="AK65" s="107">
        <v>13.0</v>
      </c>
      <c r="AL65" s="121" t="s">
        <v>2199</v>
      </c>
      <c r="AM65" s="131" t="s">
        <v>2200</v>
      </c>
      <c r="AN65" s="123" t="s">
        <v>2201</v>
      </c>
      <c r="AO65" s="107">
        <v>13.0</v>
      </c>
      <c r="AP65" s="108" t="s">
        <v>2202</v>
      </c>
      <c r="AQ65" s="109" t="s">
        <v>2203</v>
      </c>
      <c r="AR65" s="110" t="s">
        <v>2204</v>
      </c>
      <c r="AS65" s="110"/>
      <c r="AT65" s="110"/>
    </row>
    <row r="66">
      <c r="A66" s="139">
        <v>14.0</v>
      </c>
      <c r="B66" s="108" t="s">
        <v>2205</v>
      </c>
      <c r="C66" s="109" t="s">
        <v>2206</v>
      </c>
      <c r="D66" s="110" t="s">
        <v>2207</v>
      </c>
      <c r="E66" s="139">
        <v>14.0</v>
      </c>
      <c r="F66" s="108" t="s">
        <v>2208</v>
      </c>
      <c r="G66" s="109" t="s">
        <v>2209</v>
      </c>
      <c r="H66" s="110" t="s">
        <v>2210</v>
      </c>
      <c r="I66" s="139">
        <v>14.0</v>
      </c>
      <c r="J66" s="108" t="s">
        <v>2211</v>
      </c>
      <c r="K66" s="109" t="s">
        <v>2212</v>
      </c>
      <c r="L66" s="110" t="s">
        <v>2213</v>
      </c>
      <c r="M66" s="139">
        <v>14.0</v>
      </c>
      <c r="N66" s="108" t="str">
        <f>IFERROR(__xludf.DUMMYFUNCTION("GOOGLETRANSLATE(B66,""zh-tw"",""zh"")"),"胖次！")</f>
        <v>胖次！</v>
      </c>
      <c r="O66" s="113" t="str">
        <f>IFERROR(__xludf.DUMMYFUNCTION("GOOGLETRANSLATE(C66,""zh-tw"",""zh"")"),"潜入时，偷拿内裤，并被发现")</f>
        <v>潜入时，偷拿内裤，并被发现</v>
      </c>
      <c r="P66" s="75" t="str">
        <f>IFERROR(__xludf.DUMMYFUNCTION("GOOGLETRANSLATE(D66,""zh-tw"",""zh"")"),"特殊剧情
获得道具:妹妹脱下的内裤")</f>
        <v>特殊剧情
获得道具:妹妹脱下的内裤</v>
      </c>
      <c r="Q66" s="139">
        <v>14.0</v>
      </c>
      <c r="R66" s="125" t="s">
        <v>2214</v>
      </c>
      <c r="S66" s="113" t="s">
        <v>2215</v>
      </c>
      <c r="T66" s="75" t="s">
        <v>2216</v>
      </c>
      <c r="U66" s="139">
        <v>14.0</v>
      </c>
      <c r="V66" s="125" t="str">
        <f>IFERROR(__xludf.DUMMYFUNCTION("GOOGLETRANSLATE(B66,""zh-tw"",""KO"")"),"팬티!")</f>
        <v>팬티!</v>
      </c>
      <c r="W66" s="113" t="str">
        <f>IFERROR(__xludf.DUMMYFUNCTION("GOOGLETRANSLATE(C66,""zh-tw"",""KO"")"),"그는 침입해서 속옷을 훔치다가 발각되었다.")</f>
        <v>그는 침입해서 속옷을 훔치다가 발각되었다.</v>
      </c>
      <c r="X66" s="75" t="str">
        <f>IFERROR(__xludf.DUMMYFUNCTION("GOOGLETRANSLATE(D66,""zh-tw"",""KO"")"),"특별 이벤트
획득 아이템: 여동생의 속옷")</f>
        <v>특별 이벤트
획득 아이템: 여동생의 속옷</v>
      </c>
      <c r="Y66" s="107">
        <v>14.0</v>
      </c>
      <c r="Z66" s="149" t="s">
        <v>2217</v>
      </c>
      <c r="AA66" s="150" t="s">
        <v>2218</v>
      </c>
      <c r="AB66" s="132" t="s">
        <v>2219</v>
      </c>
      <c r="AC66" s="139">
        <v>14.0</v>
      </c>
      <c r="AD66" s="108" t="s">
        <v>2220</v>
      </c>
      <c r="AE66" s="109" t="s">
        <v>2221</v>
      </c>
      <c r="AF66" s="110" t="s">
        <v>2222</v>
      </c>
      <c r="AG66" s="151">
        <v>14.0</v>
      </c>
      <c r="AH66" s="118" t="s">
        <v>2223</v>
      </c>
      <c r="AI66" s="119" t="s">
        <v>2224</v>
      </c>
      <c r="AJ66" s="120" t="s">
        <v>2225</v>
      </c>
      <c r="AK66" s="107">
        <v>14.0</v>
      </c>
      <c r="AL66" s="121" t="s">
        <v>2226</v>
      </c>
      <c r="AM66" s="131" t="s">
        <v>2227</v>
      </c>
      <c r="AN66" s="123" t="s">
        <v>2228</v>
      </c>
      <c r="AO66" s="107">
        <v>14.0</v>
      </c>
      <c r="AP66" s="108" t="s">
        <v>2229</v>
      </c>
      <c r="AQ66" s="109" t="s">
        <v>2230</v>
      </c>
      <c r="AR66" s="110" t="s">
        <v>2231</v>
      </c>
      <c r="AS66" s="110"/>
      <c r="AT66" s="110"/>
    </row>
    <row r="67">
      <c r="A67" s="107">
        <v>15.0</v>
      </c>
      <c r="B67" s="108" t="s">
        <v>2232</v>
      </c>
      <c r="C67" s="109" t="s">
        <v>2233</v>
      </c>
      <c r="D67" s="110" t="s">
        <v>2234</v>
      </c>
      <c r="E67" s="107">
        <v>15.0</v>
      </c>
      <c r="F67" s="108" t="s">
        <v>2235</v>
      </c>
      <c r="G67" s="109" t="s">
        <v>2236</v>
      </c>
      <c r="H67" s="110" t="s">
        <v>2237</v>
      </c>
      <c r="I67" s="107">
        <v>15.0</v>
      </c>
      <c r="J67" s="108" t="s">
        <v>2238</v>
      </c>
      <c r="K67" s="111" t="s">
        <v>2239</v>
      </c>
      <c r="L67" s="110" t="s">
        <v>2240</v>
      </c>
      <c r="M67" s="107">
        <v>15.0</v>
      </c>
      <c r="N67" s="108" t="str">
        <f>IFERROR(__xludf.DUMMYFUNCTION("GOOGLETRANSLATE(B67,""zh-tw"",""zh"")"),"手的温度-1")</f>
        <v>手的温度-1</v>
      </c>
      <c r="O67" s="113" t="str">
        <f>IFERROR(__xludf.DUMMYFUNCTION("GOOGLETRANSLATE(C67,""zh-tw"",""zh"")"),"第二次偷内衣时被发现，并且当爱心达到6，即可触发。")</f>
        <v>第二次偷内衣时被发现，并且当爱心达到6，即可触发。</v>
      </c>
      <c r="P67" s="75" t="str">
        <f>IFERROR(__xludf.DUMMYFUNCTION("GOOGLETRANSLATE(D67,""zh-tw"",""zh"")"),"妹妹用手来服务的特殊剧情
*目前实装3种内裤")</f>
        <v>妹妹用手来服务的特殊剧情
*目前实装3种内裤</v>
      </c>
      <c r="Q67" s="107">
        <v>15.0</v>
      </c>
      <c r="R67" s="125" t="s">
        <v>2241</v>
      </c>
      <c r="S67" s="113" t="s">
        <v>2242</v>
      </c>
      <c r="T67" s="75"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07">
        <v>15.0</v>
      </c>
      <c r="V67" s="125" t="str">
        <f>IFERROR(__xludf.DUMMYFUNCTION("GOOGLETRANSLATE(B67,""zh-tw"",""KO"")"),"손 온도 -1")</f>
        <v>손 온도 -1</v>
      </c>
      <c r="W67" s="113" t="str">
        <f>IFERROR(__xludf.DUMMYFUNCTION("GOOGLETRANSLATE(C67,""zh-tw"",""KO"")"),"이 이벤트는 속옷을 훔치다 두 번째로 발각되고 하트 수치가 6에 도달했을 때 발생합니다.")</f>
        <v>이 이벤트는 속옷을 훔치다 두 번째로 발각되고 하트 수치가 6에 도달했을 때 발생합니다.</v>
      </c>
      <c r="X67" s="75"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07">
        <v>15.0</v>
      </c>
      <c r="Z67" s="149" t="s">
        <v>2243</v>
      </c>
      <c r="AA67" s="150" t="s">
        <v>2244</v>
      </c>
      <c r="AB67" s="132" t="s">
        <v>2245</v>
      </c>
      <c r="AC67" s="107">
        <v>15.0</v>
      </c>
      <c r="AD67" s="108" t="s">
        <v>2246</v>
      </c>
      <c r="AE67" s="109" t="s">
        <v>2247</v>
      </c>
      <c r="AF67" s="110" t="s">
        <v>2248</v>
      </c>
      <c r="AG67" s="117">
        <v>15.0</v>
      </c>
      <c r="AH67" s="118" t="s">
        <v>2249</v>
      </c>
      <c r="AI67" s="119" t="s">
        <v>2250</v>
      </c>
      <c r="AJ67" s="120" t="s">
        <v>2251</v>
      </c>
      <c r="AK67" s="107">
        <v>15.0</v>
      </c>
      <c r="AL67" s="121" t="s">
        <v>2252</v>
      </c>
      <c r="AM67" s="122" t="s">
        <v>2253</v>
      </c>
      <c r="AN67" s="123" t="s">
        <v>2254</v>
      </c>
      <c r="AO67" s="107">
        <v>15.0</v>
      </c>
      <c r="AP67" s="112" t="s">
        <v>2255</v>
      </c>
      <c r="AQ67" s="109" t="s">
        <v>2256</v>
      </c>
      <c r="AR67" s="110" t="s">
        <v>2257</v>
      </c>
      <c r="AS67" s="110"/>
      <c r="AT67" s="110"/>
    </row>
    <row r="68">
      <c r="A68" s="107">
        <v>16.0</v>
      </c>
      <c r="B68" s="108" t="s">
        <v>2258</v>
      </c>
      <c r="C68" s="109" t="s">
        <v>2259</v>
      </c>
      <c r="D68" s="110" t="s">
        <v>2260</v>
      </c>
      <c r="E68" s="107">
        <v>16.0</v>
      </c>
      <c r="F68" s="108" t="s">
        <v>2261</v>
      </c>
      <c r="G68" s="109" t="s">
        <v>2262</v>
      </c>
      <c r="H68" s="110" t="s">
        <v>2263</v>
      </c>
      <c r="I68" s="107">
        <v>16.0</v>
      </c>
      <c r="J68" s="108" t="s">
        <v>2264</v>
      </c>
      <c r="K68" s="109" t="s">
        <v>2265</v>
      </c>
      <c r="L68" s="110" t="s">
        <v>2266</v>
      </c>
      <c r="M68" s="107">
        <v>16.0</v>
      </c>
      <c r="N68" s="108" t="str">
        <f>IFERROR(__xludf.DUMMYFUNCTION("GOOGLETRANSLATE(B68,""zh-tw"",""zh"")"),"手的温度-2")</f>
        <v>手的温度-2</v>
      </c>
      <c r="O68" s="113" t="str">
        <f>IFERROR(__xludf.DUMMYFUNCTION("GOOGLETRANSLATE(C68,""zh-tw"",""zh"")"),"承上，紫心达到3，可以不用隔着衣物")</f>
        <v>承上，紫心达到3，可以不用隔着衣物</v>
      </c>
      <c r="P68" s="75" t="str">
        <f>IFERROR(__xludf.DUMMYFUNCTION("GOOGLETRANSLATE(D68,""zh-tw"",""zh"")"),"妹妹用手来服务的特殊剧情")</f>
        <v>妹妹用手来服务的特殊剧情</v>
      </c>
      <c r="Q68" s="107">
        <v>16.0</v>
      </c>
      <c r="R68" s="125" t="s">
        <v>2267</v>
      </c>
      <c r="S68" s="113" t="str">
        <f>IFERROR(__xludf.DUMMYFUNCTION("GOOGLETRANSLATE(C68,""zh-tw"",""es-MX"")"),"Como se mencionó anteriormente, una vez que alcances el nivel 3 de corazones morados, podrás jugar sin usar ropa.")</f>
        <v>Como se mencionó anteriormente, una vez que alcances el nivel 3 de corazones morados, podrás jugar sin usar ropa.</v>
      </c>
      <c r="T68" s="75" t="str">
        <f>IFERROR(__xludf.DUMMYFUNCTION("GOOGLETRANSLATE(D68,""zh-tw"",""es-MX"")"),"La trama especial de la hermana menor usando sus manos para servir.")</f>
        <v>La trama especial de la hermana menor usando sus manos para servir.</v>
      </c>
      <c r="U68" s="107">
        <v>16.0</v>
      </c>
      <c r="V68" s="125" t="str">
        <f>IFERROR(__xludf.DUMMYFUNCTION("GOOGLETRANSLATE(B68,""zh-tw"",""KO"")"),"손 온도 -2")</f>
        <v>손 온도 -2</v>
      </c>
      <c r="W68" s="113"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75" t="str">
        <f>IFERROR(__xludf.DUMMYFUNCTION("GOOGLETRANSLATE(D68,""zh-tw"",""KO"")"),"여동생이 손을 이용해 봉사하는 특별한 줄거리.")</f>
        <v>여동생이 손을 이용해 봉사하는 특별한 줄거리.</v>
      </c>
      <c r="Y68" s="107">
        <v>16.0</v>
      </c>
      <c r="Z68" s="149" t="s">
        <v>2268</v>
      </c>
      <c r="AA68" s="150" t="s">
        <v>2269</v>
      </c>
      <c r="AB68" s="132" t="s">
        <v>2270</v>
      </c>
      <c r="AC68" s="107">
        <v>16.0</v>
      </c>
      <c r="AD68" s="108" t="s">
        <v>2271</v>
      </c>
      <c r="AE68" s="109" t="s">
        <v>2272</v>
      </c>
      <c r="AF68" s="110" t="s">
        <v>2273</v>
      </c>
      <c r="AG68" s="117">
        <v>16.0</v>
      </c>
      <c r="AH68" s="118" t="s">
        <v>2274</v>
      </c>
      <c r="AI68" s="119" t="s">
        <v>2275</v>
      </c>
      <c r="AJ68" s="120" t="s">
        <v>2276</v>
      </c>
      <c r="AK68" s="107">
        <v>16.0</v>
      </c>
      <c r="AL68" s="121" t="s">
        <v>2277</v>
      </c>
      <c r="AM68" s="131" t="s">
        <v>2278</v>
      </c>
      <c r="AN68" s="123" t="s">
        <v>2279</v>
      </c>
      <c r="AO68" s="107">
        <v>16.0</v>
      </c>
      <c r="AP68" s="112" t="s">
        <v>2280</v>
      </c>
      <c r="AQ68" s="109" t="s">
        <v>2281</v>
      </c>
      <c r="AR68" s="110" t="s">
        <v>2282</v>
      </c>
      <c r="AS68" s="110"/>
      <c r="AT68" s="110"/>
    </row>
    <row r="69">
      <c r="A69" s="139">
        <v>17.0</v>
      </c>
      <c r="B69" s="108" t="s">
        <v>2283</v>
      </c>
      <c r="C69" s="109" t="s">
        <v>2284</v>
      </c>
      <c r="D69" s="110" t="s">
        <v>2285</v>
      </c>
      <c r="E69" s="139">
        <v>17.0</v>
      </c>
      <c r="F69" s="108" t="s">
        <v>2286</v>
      </c>
      <c r="G69" s="109" t="s">
        <v>2287</v>
      </c>
      <c r="H69" s="110" t="s">
        <v>2288</v>
      </c>
      <c r="I69" s="139">
        <v>17.0</v>
      </c>
      <c r="J69" s="108" t="s">
        <v>2289</v>
      </c>
      <c r="K69" s="109" t="s">
        <v>2290</v>
      </c>
      <c r="L69" s="110" t="s">
        <v>2291</v>
      </c>
      <c r="M69" s="139">
        <v>17.0</v>
      </c>
      <c r="N69" s="108" t="str">
        <f>IFERROR(__xludf.DUMMYFUNCTION("GOOGLETRANSLATE(B69,""zh-tw"",""zh"")"),"气息消除-1")</f>
        <v>气息消除-1</v>
      </c>
      <c r="O69" s="111" t="s">
        <v>2292</v>
      </c>
      <c r="P69" s="75" t="str">
        <f>IFERROR(__xludf.DUMMYFUNCTION("GOOGLETRANSLATE(D69,""zh-tw"",""zh"")"),"使用特殊选项")</f>
        <v>使用特殊选项</v>
      </c>
      <c r="Q69" s="139">
        <v>17.0</v>
      </c>
      <c r="R69" s="125" t="str">
        <f>IFERROR(__xludf.DUMMYFUNCTION("GOOGLETRANSLATE(B69,""zh-tw"",""es-MX"")"),"Eliminación de aura -1")</f>
        <v>Eliminación de aura -1</v>
      </c>
      <c r="S69" s="113" t="str">
        <f>IFERROR(__xludf.DUMMYFUNCTION("GOOGLETRANSLATE(C69,""zh-tw"",""es-MX"")"),"Tras aprender ""Eliminar Aura"", escabúllete en el baño mientras tu hermana se está bañando para acceder a la opción de baile ninja.")</f>
        <v>Tras aprender "Eliminar Aura", escabúllete en el baño mientras tu hermana se está bañando para acceder a la opción de baile ninja.</v>
      </c>
      <c r="T69" s="75" t="str">
        <f>IFERROR(__xludf.DUMMYFUNCTION("GOOGLETRANSLATE(D69,""zh-tw"",""es-MX"")"),"Utilice opciones especiales")</f>
        <v>Utilice opciones especiales</v>
      </c>
      <c r="U69" s="139">
        <v>17.0</v>
      </c>
      <c r="V69" s="125" t="str">
        <f>IFERROR(__xludf.DUMMYFUNCTION("GOOGLETRANSLATE(B69,""zh-tw"",""KO"")"),"오라 제거 -1")</f>
        <v>오라 제거 -1</v>
      </c>
      <c r="W69" s="113"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75" t="str">
        <f>IFERROR(__xludf.DUMMYFUNCTION("GOOGLETRANSLATE(D69,""zh-tw"",""KO"")"),"특별 옵션을 사용하세요")</f>
        <v>특별 옵션을 사용하세요</v>
      </c>
      <c r="Y69" s="107">
        <v>17.0</v>
      </c>
      <c r="Z69" s="149" t="s">
        <v>2293</v>
      </c>
      <c r="AA69" s="150" t="s">
        <v>2294</v>
      </c>
      <c r="AB69" s="132" t="s">
        <v>2295</v>
      </c>
      <c r="AC69" s="139">
        <v>17.0</v>
      </c>
      <c r="AD69" s="108" t="s">
        <v>2296</v>
      </c>
      <c r="AE69" s="109" t="s">
        <v>2297</v>
      </c>
      <c r="AF69" s="110" t="s">
        <v>2298</v>
      </c>
      <c r="AG69" s="151">
        <v>17.0</v>
      </c>
      <c r="AH69" s="118" t="s">
        <v>2299</v>
      </c>
      <c r="AI69" s="119" t="s">
        <v>2300</v>
      </c>
      <c r="AJ69" s="120" t="s">
        <v>2301</v>
      </c>
      <c r="AK69" s="107">
        <v>17.0</v>
      </c>
      <c r="AL69" s="121" t="s">
        <v>2302</v>
      </c>
      <c r="AM69" s="131" t="s">
        <v>2303</v>
      </c>
      <c r="AN69" s="123" t="s">
        <v>2304</v>
      </c>
      <c r="AO69" s="107">
        <v>17.0</v>
      </c>
      <c r="AP69" s="112" t="s">
        <v>2305</v>
      </c>
      <c r="AQ69" s="109" t="s">
        <v>2306</v>
      </c>
      <c r="AR69" s="110" t="s">
        <v>2307</v>
      </c>
      <c r="AS69" s="110"/>
      <c r="AT69" s="110"/>
    </row>
    <row r="70">
      <c r="A70" s="107">
        <v>18.0</v>
      </c>
      <c r="B70" s="108" t="s">
        <v>2308</v>
      </c>
      <c r="C70" s="109" t="s">
        <v>2309</v>
      </c>
      <c r="D70" s="110" t="s">
        <v>2310</v>
      </c>
      <c r="E70" s="107">
        <v>18.0</v>
      </c>
      <c r="F70" s="108" t="s">
        <v>2311</v>
      </c>
      <c r="G70" s="109" t="s">
        <v>2312</v>
      </c>
      <c r="H70" s="110" t="s">
        <v>2313</v>
      </c>
      <c r="I70" s="107">
        <v>18.0</v>
      </c>
      <c r="J70" s="108" t="s">
        <v>2314</v>
      </c>
      <c r="K70" s="109" t="s">
        <v>2315</v>
      </c>
      <c r="L70" s="110" t="s">
        <v>2316</v>
      </c>
      <c r="M70" s="107">
        <v>18.0</v>
      </c>
      <c r="N70" s="108" t="str">
        <f>IFERROR(__xludf.DUMMYFUNCTION("GOOGLETRANSLATE(B70,""zh-tw"",""zh"")"),"透明的门-1")</f>
        <v>透明的门-1</v>
      </c>
      <c r="O70" s="113" t="str">
        <f>IFERROR(__xludf.DUMMYFUNCTION("GOOGLETRANSLATE(C70,""zh-tw"",""zh"")"),"可以在妹妹独自洗澡时进行偷窥")</f>
        <v>可以在妹妹独自洗澡时进行偷窥</v>
      </c>
      <c r="P70" s="75" t="str">
        <f>IFERROR(__xludf.DUMMYFUNCTION("GOOGLETRANSLATE(D70,""zh-tw"",""zh"")"),"可以看到妹妹洗头、胸的场景
目前无偷窥失败、好感爱心的分歧，待制作。")</f>
        <v>可以看到妹妹洗头、胸的场景
目前无偷窥失败、好感爱心的分歧，待制作。</v>
      </c>
      <c r="Q70" s="107">
        <v>18.0</v>
      </c>
      <c r="R70" s="125" t="s">
        <v>2317</v>
      </c>
      <c r="S70" s="113" t="str">
        <f>IFERROR(__xludf.DUMMYFUNCTION("GOOGLETRANSLATE(C70,""zh-tw"",""es-MX"")"),"Es posible espiar a tu hermana menor mientras se baña sola.")</f>
        <v>Es posible espiar a tu hermana menor mientras se baña sola.</v>
      </c>
      <c r="T70" s="75" t="str">
        <f>IFERROR(__xludf.DUMMYFUNCTION("GOOGLETRANSLATE(D70,""zh-tw"",""es-MX"")"),"Se pueden ver escenas de la hermana menor lavándose el pelo y el pecho. Por el momento, no hay problemas relacionados con intentos fallidos de voyeurismo ni muestras de afecto o amor; esto aún está en desarrollo.")</f>
        <v>Se pueden ver escenas de la hermana menor lavándose el pelo y el pecho. Por el momento, no hay problemas relacionados con intentos fallidos de voyeurismo ni muestras de afecto o amor; esto aún está en desarrollo.</v>
      </c>
      <c r="U70" s="107">
        <v>18.0</v>
      </c>
      <c r="V70" s="125" t="str">
        <f>IFERROR(__xludf.DUMMYFUNCTION("GOOGLETRANSLATE(B70,""zh-tw"",""KO"")"),"투명 도어-1")</f>
        <v>투명 도어-1</v>
      </c>
      <c r="W70" s="113" t="str">
        <f>IFERROR(__xludf.DUMMYFUNCTION("GOOGLETRANSLATE(C70,""zh-tw"",""KO"")"),"여동생이 혼자 목욕하는 모습을 몰래 엿볼 수 있습니다.")</f>
        <v>여동생이 혼자 목욕하는 모습을 몰래 엿볼 수 있습니다.</v>
      </c>
      <c r="X70" s="75" t="str">
        <f>IFERROR(__xludf.DUMMYFUNCTION("GOOGLETRANSLATE(D70,""zh-tw"",""KO"")"),"여동생이 머리를 감고 가슴을 드러내는 장면이 나옵니다. 현재로서는 엿보기나 애정/사랑과 관련된 문제는 없으며, 이 부분은 개발 중입니다.")</f>
        <v>여동생이 머리를 감고 가슴을 드러내는 장면이 나옵니다. 현재로서는 엿보기나 애정/사랑과 관련된 문제는 없으며, 이 부분은 개발 중입니다.</v>
      </c>
      <c r="Y70" s="107">
        <v>18.0</v>
      </c>
      <c r="Z70" s="149" t="s">
        <v>2318</v>
      </c>
      <c r="AA70" s="150" t="s">
        <v>2319</v>
      </c>
      <c r="AB70" s="132" t="s">
        <v>2320</v>
      </c>
      <c r="AC70" s="107">
        <v>18.0</v>
      </c>
      <c r="AD70" s="108" t="s">
        <v>2321</v>
      </c>
      <c r="AE70" s="109" t="s">
        <v>2322</v>
      </c>
      <c r="AF70" s="110" t="s">
        <v>2323</v>
      </c>
      <c r="AG70" s="117">
        <v>18.0</v>
      </c>
      <c r="AH70" s="118" t="s">
        <v>2324</v>
      </c>
      <c r="AI70" s="119" t="s">
        <v>2325</v>
      </c>
      <c r="AJ70" s="120" t="s">
        <v>2326</v>
      </c>
      <c r="AK70" s="107">
        <v>18.0</v>
      </c>
      <c r="AL70" s="121" t="s">
        <v>2327</v>
      </c>
      <c r="AM70" s="122" t="s">
        <v>2328</v>
      </c>
      <c r="AN70" s="129" t="s">
        <v>2329</v>
      </c>
      <c r="AO70" s="107">
        <v>18.0</v>
      </c>
      <c r="AP70" s="112" t="s">
        <v>2330</v>
      </c>
      <c r="AQ70" s="109" t="s">
        <v>2331</v>
      </c>
      <c r="AR70" s="110" t="s">
        <v>2332</v>
      </c>
      <c r="AS70" s="110"/>
      <c r="AT70" s="110"/>
    </row>
    <row r="71">
      <c r="A71" s="107">
        <v>19.0</v>
      </c>
      <c r="B71" s="108" t="s">
        <v>2333</v>
      </c>
      <c r="C71" s="109" t="s">
        <v>2334</v>
      </c>
      <c r="D71" s="110" t="s">
        <v>2335</v>
      </c>
      <c r="E71" s="107">
        <v>19.0</v>
      </c>
      <c r="F71" s="108" t="s">
        <v>2336</v>
      </c>
      <c r="G71" s="109" t="s">
        <v>2337</v>
      </c>
      <c r="H71" s="110" t="s">
        <v>2338</v>
      </c>
      <c r="I71" s="107">
        <v>19.0</v>
      </c>
      <c r="J71" s="108" t="s">
        <v>2339</v>
      </c>
      <c r="K71" s="109" t="s">
        <v>2340</v>
      </c>
      <c r="L71" s="110" t="s">
        <v>2341</v>
      </c>
      <c r="M71" s="107">
        <v>19.0</v>
      </c>
      <c r="N71" s="108" t="str">
        <f>IFERROR(__xludf.DUMMYFUNCTION("GOOGLETRANSLATE(B71,""zh-tw"",""zh"")"),"透明的门-2")</f>
        <v>透明的门-2</v>
      </c>
      <c r="O71" s="113"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75"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07">
        <v>19.0</v>
      </c>
      <c r="R71" s="125" t="s">
        <v>2342</v>
      </c>
      <c r="S71" s="113" t="s">
        <v>2343</v>
      </c>
      <c r="T71" s="75"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07">
        <v>19.0</v>
      </c>
      <c r="V71" s="125" t="str">
        <f>IFERROR(__xludf.DUMMYFUNCTION("GOOGLETRANSLATE(B71,""zh-tw"",""KO"")"),"투명 도어-2")</f>
        <v>투명 도어-2</v>
      </c>
      <c r="W71" s="113"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75"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07">
        <v>19.0</v>
      </c>
      <c r="Z71" s="149" t="s">
        <v>2344</v>
      </c>
      <c r="AA71" s="150" t="s">
        <v>2345</v>
      </c>
      <c r="AB71" s="132" t="s">
        <v>2346</v>
      </c>
      <c r="AC71" s="107">
        <v>19.0</v>
      </c>
      <c r="AD71" s="108" t="s">
        <v>2347</v>
      </c>
      <c r="AE71" s="109" t="s">
        <v>2348</v>
      </c>
      <c r="AF71" s="110" t="s">
        <v>2349</v>
      </c>
      <c r="AG71" s="117">
        <v>19.0</v>
      </c>
      <c r="AH71" s="118" t="s">
        <v>2350</v>
      </c>
      <c r="AI71" s="119" t="s">
        <v>2351</v>
      </c>
      <c r="AJ71" s="120" t="s">
        <v>2352</v>
      </c>
      <c r="AK71" s="107">
        <v>19.0</v>
      </c>
      <c r="AL71" s="121" t="s">
        <v>2353</v>
      </c>
      <c r="AM71" s="131" t="s">
        <v>2354</v>
      </c>
      <c r="AN71" s="123" t="s">
        <v>2355</v>
      </c>
      <c r="AO71" s="107">
        <v>19.0</v>
      </c>
      <c r="AP71" s="112" t="s">
        <v>2356</v>
      </c>
      <c r="AQ71" s="109" t="s">
        <v>2357</v>
      </c>
      <c r="AR71" s="110" t="s">
        <v>2358</v>
      </c>
      <c r="AS71" s="110"/>
      <c r="AT71" s="110"/>
    </row>
    <row r="72">
      <c r="A72" s="139">
        <v>20.0</v>
      </c>
      <c r="B72" s="108" t="s">
        <v>2359</v>
      </c>
      <c r="C72" s="109" t="s">
        <v>2360</v>
      </c>
      <c r="D72" s="110" t="s">
        <v>2361</v>
      </c>
      <c r="E72" s="139">
        <v>20.0</v>
      </c>
      <c r="F72" s="108" t="s">
        <v>2362</v>
      </c>
      <c r="G72" s="109" t="s">
        <v>2363</v>
      </c>
      <c r="H72" s="110" t="s">
        <v>2364</v>
      </c>
      <c r="I72" s="139">
        <v>20.0</v>
      </c>
      <c r="J72" s="108" t="s">
        <v>2365</v>
      </c>
      <c r="K72" s="109" t="s">
        <v>2366</v>
      </c>
      <c r="L72" s="110" t="s">
        <v>2367</v>
      </c>
      <c r="M72" s="139">
        <v>20.0</v>
      </c>
      <c r="N72" s="108" t="str">
        <f>IFERROR(__xludf.DUMMYFUNCTION("GOOGLETRANSLATE(B72,""zh-tw"",""zh"")"),"透明的门-3")</f>
        <v>透明的门-3</v>
      </c>
      <c r="O72" s="113"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75" t="str">
        <f>IFERROR(__xludf.DUMMYFUNCTION("GOOGLETRANSLATE(D72,""zh-tw"",""zh"")"),"特殊视角观看演出")</f>
        <v>特殊视角观看演出</v>
      </c>
      <c r="Q72" s="139">
        <v>20.0</v>
      </c>
      <c r="R72" s="125" t="s">
        <v>2368</v>
      </c>
      <c r="S72" s="113" t="s">
        <v>2369</v>
      </c>
      <c r="T72" s="75" t="s">
        <v>2370</v>
      </c>
      <c r="U72" s="139">
        <v>20.0</v>
      </c>
      <c r="V72" s="125" t="str">
        <f>IFERROR(__xludf.DUMMYFUNCTION("GOOGLETRANSLATE(B72,""zh-tw"",""KO"")"),"투명 도어-3")</f>
        <v>투명 도어-3</v>
      </c>
      <c r="W72" s="113" t="str">
        <f>IFERROR(__xludf.DUMMYFUNCTION("GOOGLETRANSLATE(C72,""zh-tw"",""KO"")"),"""냄새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72" s="75" t="str">
        <f>IFERROR(__xludf.DUMMYFUNCTION("GOOGLETRANSLATE(D72,""zh-tw"",""KO"")"),"특별한 관점에서 공연을 감상하기")</f>
        <v>특별한 관점에서 공연을 감상하기</v>
      </c>
      <c r="Y72" s="107">
        <v>20.0</v>
      </c>
      <c r="Z72" s="149" t="s">
        <v>2371</v>
      </c>
      <c r="AA72" s="150" t="s">
        <v>2372</v>
      </c>
      <c r="AB72" s="132" t="s">
        <v>2373</v>
      </c>
      <c r="AC72" s="139">
        <v>20.0</v>
      </c>
      <c r="AD72" s="108" t="s">
        <v>2374</v>
      </c>
      <c r="AE72" s="109" t="s">
        <v>2375</v>
      </c>
      <c r="AF72" s="110" t="s">
        <v>2376</v>
      </c>
      <c r="AG72" s="151">
        <v>20.0</v>
      </c>
      <c r="AH72" s="118" t="s">
        <v>2377</v>
      </c>
      <c r="AI72" s="119" t="s">
        <v>2378</v>
      </c>
      <c r="AJ72" s="120" t="s">
        <v>2379</v>
      </c>
      <c r="AK72" s="107">
        <v>20.0</v>
      </c>
      <c r="AL72" s="121" t="s">
        <v>2380</v>
      </c>
      <c r="AM72" s="122" t="s">
        <v>2381</v>
      </c>
      <c r="AN72" s="123" t="s">
        <v>2382</v>
      </c>
      <c r="AO72" s="107">
        <v>20.0</v>
      </c>
      <c r="AP72" s="108" t="s">
        <v>2383</v>
      </c>
      <c r="AQ72" s="109" t="s">
        <v>2384</v>
      </c>
      <c r="AR72" s="110" t="s">
        <v>2385</v>
      </c>
      <c r="AS72" s="110"/>
      <c r="AT72" s="110"/>
    </row>
    <row r="73" ht="41.25" customHeight="1">
      <c r="A73" s="107">
        <v>21.0</v>
      </c>
      <c r="B73" s="108" t="s">
        <v>2386</v>
      </c>
      <c r="C73" s="109" t="s">
        <v>2387</v>
      </c>
      <c r="D73" s="110" t="s">
        <v>2388</v>
      </c>
      <c r="E73" s="107">
        <v>21.0</v>
      </c>
      <c r="F73" s="108" t="s">
        <v>2389</v>
      </c>
      <c r="G73" s="111" t="s">
        <v>2390</v>
      </c>
      <c r="H73" s="110" t="s">
        <v>2391</v>
      </c>
      <c r="I73" s="107">
        <v>21.0</v>
      </c>
      <c r="J73" s="108" t="s">
        <v>2392</v>
      </c>
      <c r="K73" s="109" t="s">
        <v>2393</v>
      </c>
      <c r="L73" s="110" t="s">
        <v>2394</v>
      </c>
      <c r="M73" s="107">
        <v>21.0</v>
      </c>
      <c r="N73" s="108" t="str">
        <f>IFERROR(__xludf.DUMMYFUNCTION("GOOGLETRANSLATE(B73,""zh-tw"",""zh"")"),"一起洗澡")</f>
        <v>一起洗澡</v>
      </c>
      <c r="O73" s="113" t="str">
        <f>IFERROR(__xludf.DUMMYFUNCTION("GOOGLETRANSLATE(C73,""zh-tw"",""zh"")"),"当好感度大于2时")</f>
        <v>当好感度大于2时</v>
      </c>
      <c r="P73" s="75" t="str">
        <f>IFERROR(__xludf.DUMMYFUNCTION("GOOGLETRANSLATE(D73,""zh-tw"",""zh"")"),"可以和妹妹一起洗澡")</f>
        <v>可以和妹妹一起洗澡</v>
      </c>
      <c r="Q73" s="107">
        <v>21.0</v>
      </c>
      <c r="R73" s="108" t="s">
        <v>2395</v>
      </c>
      <c r="S73" s="113" t="s">
        <v>2396</v>
      </c>
      <c r="T73" s="75" t="s">
        <v>2397</v>
      </c>
      <c r="U73" s="107">
        <v>21.0</v>
      </c>
      <c r="V73" s="125" t="str">
        <f>IFERROR(__xludf.DUMMYFUNCTION("GOOGLETRANSLATE(B73,""zh-tw"",""KO"")"),"함께 목욕해요")</f>
        <v>함께 목욕해요</v>
      </c>
      <c r="W73" s="113" t="str">
        <f>IFERROR(__xludf.DUMMYFUNCTION("GOOGLETRANSLATE(C73,""zh-tw"",""KO"")"),"호감도가 2보다 클 때")</f>
        <v>호감도가 2보다 클 때</v>
      </c>
      <c r="X73" s="75" t="str">
        <f>IFERROR(__xludf.DUMMYFUNCTION("GOOGLETRANSLATE(D73,""zh-tw"",""KO"")"),"너는 여동생과 함께 목욕할 수 있어.")</f>
        <v>너는 여동생과 함께 목욕할 수 있어.</v>
      </c>
      <c r="Y73" s="107">
        <v>21.0</v>
      </c>
      <c r="Z73" s="149" t="s">
        <v>2398</v>
      </c>
      <c r="AA73" s="150" t="s">
        <v>2399</v>
      </c>
      <c r="AB73" s="132" t="s">
        <v>2400</v>
      </c>
      <c r="AC73" s="107">
        <v>21.0</v>
      </c>
      <c r="AD73" s="108" t="s">
        <v>2401</v>
      </c>
      <c r="AE73" s="109" t="s">
        <v>2402</v>
      </c>
      <c r="AF73" s="110" t="s">
        <v>2403</v>
      </c>
      <c r="AG73" s="117">
        <v>21.0</v>
      </c>
      <c r="AH73" s="133" t="s">
        <v>2404</v>
      </c>
      <c r="AI73" s="119" t="s">
        <v>2405</v>
      </c>
      <c r="AJ73" s="120" t="s">
        <v>2406</v>
      </c>
      <c r="AK73" s="107">
        <v>21.0</v>
      </c>
      <c r="AL73" s="121" t="s">
        <v>2407</v>
      </c>
      <c r="AM73" s="131" t="s">
        <v>2408</v>
      </c>
      <c r="AN73" s="123" t="s">
        <v>2409</v>
      </c>
      <c r="AO73" s="107">
        <v>21.0</v>
      </c>
      <c r="AP73" s="108" t="s">
        <v>2410</v>
      </c>
      <c r="AQ73" s="109" t="s">
        <v>2411</v>
      </c>
      <c r="AR73" s="110" t="s">
        <v>2412</v>
      </c>
      <c r="AS73" s="110"/>
      <c r="AT73" s="110"/>
    </row>
    <row r="74">
      <c r="A74" s="107">
        <v>22.0</v>
      </c>
      <c r="B74" s="108" t="s">
        <v>2413</v>
      </c>
      <c r="C74" s="109" t="s">
        <v>2414</v>
      </c>
      <c r="D74" s="110" t="s">
        <v>2415</v>
      </c>
      <c r="E74" s="107">
        <v>22.0</v>
      </c>
      <c r="F74" s="108" t="s">
        <v>2416</v>
      </c>
      <c r="G74" s="109" t="s">
        <v>2417</v>
      </c>
      <c r="H74" s="110" t="s">
        <v>2418</v>
      </c>
      <c r="I74" s="107">
        <v>22.0</v>
      </c>
      <c r="J74" s="108" t="s">
        <v>2419</v>
      </c>
      <c r="K74" s="109" t="s">
        <v>2420</v>
      </c>
      <c r="L74" s="110" t="s">
        <v>2421</v>
      </c>
      <c r="M74" s="107">
        <v>22.0</v>
      </c>
      <c r="N74" s="108" t="str">
        <f>IFERROR(__xludf.DUMMYFUNCTION("GOOGLETRANSLATE(B74,""zh-tw"",""zh"")"),"拜托一起洗")</f>
        <v>拜托一起洗</v>
      </c>
      <c r="O74" s="113" t="str">
        <f>IFERROR(__xludf.DUMMYFUNCTION("GOOGLETRANSLATE(C74,""zh-tw"",""zh"")"),"已经满足和妹妹一起洗澡的条件，但妹妹心情低落")</f>
        <v>已经满足和妹妹一起洗澡的条件，但妹妹心情低落</v>
      </c>
      <c r="P74" s="75" t="str">
        <f>IFERROR(__xludf.DUMMYFUNCTION("GOOGLETRANSLATE(D74,""zh-tw"",""zh"")"),"特殊选项")</f>
        <v>特殊选项</v>
      </c>
      <c r="Q74" s="107">
        <v>22.0</v>
      </c>
      <c r="R74" s="108" t="s">
        <v>2422</v>
      </c>
      <c r="S74" s="113" t="str">
        <f>IFERROR(__xludf.DUMMYFUNCTION("GOOGLETRANSLATE(C74,""zh-tw"",""es-MX"")"),"Se han dado las condiciones para bañarnos juntas, pero mi hermana está de mal humor.")</f>
        <v>Se han dado las condiciones para bañarnos juntas, pero mi hermana está de mal humor.</v>
      </c>
      <c r="T74" s="75" t="str">
        <f>IFERROR(__xludf.DUMMYFUNCTION("GOOGLETRANSLATE(D74,""zh-tw"",""es-MX"")"),"Opciones especiales")</f>
        <v>Opciones especiales</v>
      </c>
      <c r="U74" s="107">
        <v>22.0</v>
      </c>
      <c r="V74" s="125" t="str">
        <f>IFERROR(__xludf.DUMMYFUNCTION("GOOGLETRANSLATE(B74,""zh-tw"",""KO"")"),"함께 세탁해주세요")</f>
        <v>함께 세탁해주세요</v>
      </c>
      <c r="W74" s="113" t="str">
        <f>IFERROR(__xludf.DUMMYFUNCTION("GOOGLETRANSLATE(C74,""zh-tw"",""KO"")"),"함께 목욕할 조건은 충족됐지만, 여동생은 기분이 좋지 않다.")</f>
        <v>함께 목욕할 조건은 충족됐지만, 여동생은 기분이 좋지 않다.</v>
      </c>
      <c r="X74" s="75" t="str">
        <f>IFERROR(__xludf.DUMMYFUNCTION("GOOGLETRANSLATE(D74,""zh-tw"",""KO"")"),"특별 옵션")</f>
        <v>특별 옵션</v>
      </c>
      <c r="Y74" s="107">
        <v>22.0</v>
      </c>
      <c r="Z74" s="114" t="s">
        <v>2423</v>
      </c>
      <c r="AA74" s="115" t="s">
        <v>2424</v>
      </c>
      <c r="AB74" s="116" t="s">
        <v>2425</v>
      </c>
      <c r="AC74" s="107">
        <v>22.0</v>
      </c>
      <c r="AD74" s="108" t="s">
        <v>2426</v>
      </c>
      <c r="AE74" s="109" t="s">
        <v>2427</v>
      </c>
      <c r="AF74" s="110" t="s">
        <v>2428</v>
      </c>
      <c r="AG74" s="117">
        <v>22.0</v>
      </c>
      <c r="AH74" s="133" t="s">
        <v>2429</v>
      </c>
      <c r="AI74" s="119" t="s">
        <v>2430</v>
      </c>
      <c r="AJ74" s="120" t="s">
        <v>2431</v>
      </c>
      <c r="AK74" s="107">
        <v>22.0</v>
      </c>
      <c r="AL74" s="121" t="s">
        <v>2432</v>
      </c>
      <c r="AM74" s="122" t="s">
        <v>2433</v>
      </c>
      <c r="AN74" s="123" t="s">
        <v>2434</v>
      </c>
      <c r="AO74" s="107">
        <v>22.0</v>
      </c>
      <c r="AP74" s="108" t="s">
        <v>2435</v>
      </c>
      <c r="AQ74" s="109" t="s">
        <v>2436</v>
      </c>
      <c r="AR74" s="110" t="s">
        <v>2437</v>
      </c>
      <c r="AS74" s="110"/>
      <c r="AT74" s="110"/>
    </row>
    <row r="75">
      <c r="A75" s="139">
        <v>23.0</v>
      </c>
      <c r="B75" s="108" t="s">
        <v>2438</v>
      </c>
      <c r="C75" s="109" t="s">
        <v>2439</v>
      </c>
      <c r="D75" s="110" t="s">
        <v>2440</v>
      </c>
      <c r="E75" s="139">
        <v>23.0</v>
      </c>
      <c r="F75" s="108" t="s">
        <v>2441</v>
      </c>
      <c r="G75" s="109" t="s">
        <v>2442</v>
      </c>
      <c r="H75" s="110" t="s">
        <v>2443</v>
      </c>
      <c r="I75" s="139">
        <v>23.0</v>
      </c>
      <c r="J75" s="108" t="s">
        <v>2444</v>
      </c>
      <c r="K75" s="109" t="s">
        <v>2445</v>
      </c>
      <c r="L75" s="110" t="s">
        <v>2446</v>
      </c>
      <c r="M75" s="139">
        <v>23.0</v>
      </c>
      <c r="N75" s="108" t="str">
        <f>IFERROR(__xludf.DUMMYFUNCTION("GOOGLETRANSLATE(B75,""zh-tw"",""zh"")"),"快要热晕了-1")</f>
        <v>快要热晕了-1</v>
      </c>
      <c r="O75" s="113" t="str">
        <f>IFERROR(__xludf.DUMMYFUNCTION("GOOGLETRANSLATE(C75,""zh-tw"",""zh"")"),"在没有紫心的情况下，与妹妹一起泡澡时，如果一直摸妹妹，妹妹会逃跑")</f>
        <v>在没有紫心的情况下，与妹妹一起泡澡时，如果一直摸妹妹，妹妹会逃跑</v>
      </c>
      <c r="P75" s="75" t="str">
        <f>IFERROR(__xludf.DUMMYFUNCTION("GOOGLETRANSLATE(D75,""zh-tw"",""zh"")"),"妹妹逃跑了")</f>
        <v>妹妹逃跑了</v>
      </c>
      <c r="Q75" s="139">
        <v>23.0</v>
      </c>
      <c r="R75" s="108" t="str">
        <f>IFERROR(__xludf.DUMMYFUNCTION("GOOGLETRANSLATE(B75,""zh-tw"",""es-MX"")"),"Estoy a punto de desmayarme por el calor -1")</f>
        <v>Estoy a punto de desmayarme por el calor -1</v>
      </c>
      <c r="S75" s="109" t="str">
        <f>IFERROR(__xludf.DUMMYFUNCTION("GOOGLETRANSLATE(C75,""zh-tw"",""es-MX"")"),"Si sigues tocando a tu hermana pequeña mientras te bañas con ella (sin un corazón morado), se escapará.")</f>
        <v>Si sigues tocando a tu hermana pequeña mientras te bañas con ella (sin un corazón morado), se escapará.</v>
      </c>
      <c r="T75" s="75" t="str">
        <f>IFERROR(__xludf.DUMMYFUNCTION("GOOGLETRANSLATE(D75,""zh-tw"",""es-MX"")"),"Mi hermana se escapó.")</f>
        <v>Mi hermana se escapó.</v>
      </c>
      <c r="U75" s="139">
        <v>23.0</v>
      </c>
      <c r="V75" s="125" t="str">
        <f>IFERROR(__xludf.DUMMYFUNCTION("GOOGLETRANSLATE(B75,""zh-tw"",""KO"")"),"너무 더워서 기절할 것 같아요 -1")</f>
        <v>너무 더워서 기절할 것 같아요 -1</v>
      </c>
      <c r="W75" s="113"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75" t="str">
        <f>IFERROR(__xludf.DUMMYFUNCTION("GOOGLETRANSLATE(D75,""zh-tw"",""KO"")"),"내 여동생이 가출했어요.")</f>
        <v>내 여동생이 가출했어요.</v>
      </c>
      <c r="Y75" s="107">
        <v>23.0</v>
      </c>
      <c r="Z75" s="149" t="s">
        <v>2447</v>
      </c>
      <c r="AA75" s="150" t="s">
        <v>2448</v>
      </c>
      <c r="AB75" s="132" t="s">
        <v>2449</v>
      </c>
      <c r="AC75" s="139">
        <v>23.0</v>
      </c>
      <c r="AD75" s="108" t="s">
        <v>2450</v>
      </c>
      <c r="AE75" s="109" t="s">
        <v>2451</v>
      </c>
      <c r="AF75" s="110" t="s">
        <v>2452</v>
      </c>
      <c r="AG75" s="151">
        <v>23.0</v>
      </c>
      <c r="AH75" s="118" t="s">
        <v>2453</v>
      </c>
      <c r="AI75" s="119" t="s">
        <v>2454</v>
      </c>
      <c r="AJ75" s="120" t="s">
        <v>2455</v>
      </c>
      <c r="AK75" s="107">
        <v>23.0</v>
      </c>
      <c r="AL75" s="121" t="s">
        <v>2456</v>
      </c>
      <c r="AM75" s="131" t="s">
        <v>2457</v>
      </c>
      <c r="AN75" s="123" t="s">
        <v>2458</v>
      </c>
      <c r="AO75" s="107">
        <v>23.0</v>
      </c>
      <c r="AP75" s="108" t="s">
        <v>2459</v>
      </c>
      <c r="AQ75" s="109" t="s">
        <v>2460</v>
      </c>
      <c r="AR75" s="110" t="s">
        <v>2461</v>
      </c>
      <c r="AS75" s="110"/>
      <c r="AT75" s="110"/>
    </row>
    <row r="76">
      <c r="A76" s="107">
        <v>24.0</v>
      </c>
      <c r="B76" s="108" t="s">
        <v>2462</v>
      </c>
      <c r="C76" s="109" t="s">
        <v>2463</v>
      </c>
      <c r="D76" s="110" t="s">
        <v>2464</v>
      </c>
      <c r="E76" s="107">
        <v>24.0</v>
      </c>
      <c r="F76" s="108" t="s">
        <v>2465</v>
      </c>
      <c r="G76" s="109" t="s">
        <v>2466</v>
      </c>
      <c r="H76" s="110" t="s">
        <v>2467</v>
      </c>
      <c r="I76" s="107">
        <v>24.0</v>
      </c>
      <c r="J76" s="108" t="s">
        <v>2444</v>
      </c>
      <c r="K76" s="109" t="s">
        <v>2468</v>
      </c>
      <c r="L76" s="110" t="s">
        <v>2469</v>
      </c>
      <c r="M76" s="107">
        <v>24.0</v>
      </c>
      <c r="N76" s="108" t="str">
        <f>IFERROR(__xludf.DUMMYFUNCTION("GOOGLETRANSLATE(B76,""zh-tw"",""zh"")"),"快要热晕了-2")</f>
        <v>快要热晕了-2</v>
      </c>
      <c r="O76" s="113" t="str">
        <f>IFERROR(__xludf.DUMMYFUNCTION("GOOGLETRANSLATE(C76,""zh-tw"",""zh"")"),"有至少一颗紫心时，一直摸妹妹，妹妹会热到晕倒")</f>
        <v>有至少一颗紫心时，一直摸妹妹，妹妹会热到晕倒</v>
      </c>
      <c r="P76" s="75" t="str">
        <f>IFERROR(__xludf.DUMMYFUNCTION("GOOGLETRANSLATE(D76,""zh-tw"",""zh"")"),"妹妹热晕了
*此为一次性事件")</f>
        <v>妹妹热晕了
*此为一次性事件</v>
      </c>
      <c r="Q76" s="107">
        <v>24.0</v>
      </c>
      <c r="R76" s="108" t="str">
        <f>IFERROR(__xludf.DUMMYFUNCTION("GOOGLETRANSLATE(B76,""zh-tw"",""es-MX"")"),"Estoy a punto de desmayarme por el calor -2")</f>
        <v>Estoy a punto de desmayarme por el calor -2</v>
      </c>
      <c r="S76" s="109"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75" t="str">
        <f>IFERROR(__xludf.DUMMYFUNCTION("GOOGLETRANSLATE(D76,""zh-tw"",""es-MX"")"),"Mi hermana se desmayó por el calor.
*Esto ocurrió una sola vez.")</f>
        <v>Mi hermana se desmayó por el calor.
*Esto ocurrió una sola vez.</v>
      </c>
      <c r="U76" s="107">
        <v>24.0</v>
      </c>
      <c r="V76" s="125" t="str">
        <f>IFERROR(__xludf.DUMMYFUNCTION("GOOGLETRANSLATE(B76,""zh-tw"",""KO"")"),"너무 더워서 기절할 것 같아요 -2")</f>
        <v>너무 더워서 기절할 것 같아요 -2</v>
      </c>
      <c r="W76" s="113"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75" t="str">
        <f>IFERROR(__xludf.DUMMYFUNCTION("GOOGLETRANSLATE(D76,""zh-tw"",""KO"")"),"내 여동생이 더위 때문에 기절했어요.
*이건 일회성 사건입니다.")</f>
        <v>내 여동생이 더위 때문에 기절했어요.
*이건 일회성 사건입니다.</v>
      </c>
      <c r="Y76" s="107">
        <v>24.0</v>
      </c>
      <c r="Z76" s="149" t="s">
        <v>2470</v>
      </c>
      <c r="AA76" s="150" t="s">
        <v>2471</v>
      </c>
      <c r="AB76" s="132" t="s">
        <v>2472</v>
      </c>
      <c r="AC76" s="107">
        <v>24.0</v>
      </c>
      <c r="AD76" s="108" t="s">
        <v>2473</v>
      </c>
      <c r="AE76" s="109" t="s">
        <v>2474</v>
      </c>
      <c r="AF76" s="110" t="s">
        <v>2475</v>
      </c>
      <c r="AG76" s="117">
        <v>24.0</v>
      </c>
      <c r="AH76" s="118" t="s">
        <v>2476</v>
      </c>
      <c r="AI76" s="119" t="s">
        <v>2477</v>
      </c>
      <c r="AJ76" s="120" t="s">
        <v>2478</v>
      </c>
      <c r="AK76" s="107">
        <v>24.0</v>
      </c>
      <c r="AL76" s="121" t="s">
        <v>2479</v>
      </c>
      <c r="AM76" s="131" t="s">
        <v>2480</v>
      </c>
      <c r="AN76" s="123" t="s">
        <v>2481</v>
      </c>
      <c r="AO76" s="107">
        <v>24.0</v>
      </c>
      <c r="AP76" s="108" t="s">
        <v>2482</v>
      </c>
      <c r="AQ76" s="109" t="s">
        <v>2483</v>
      </c>
      <c r="AR76" s="110" t="s">
        <v>2484</v>
      </c>
      <c r="AS76" s="110"/>
      <c r="AT76" s="110"/>
    </row>
    <row r="77">
      <c r="A77" s="107">
        <v>25.0</v>
      </c>
      <c r="B77" s="108" t="s">
        <v>2485</v>
      </c>
      <c r="C77" s="109" t="s">
        <v>2486</v>
      </c>
      <c r="D77" s="110" t="s">
        <v>2487</v>
      </c>
      <c r="E77" s="107">
        <v>25.0</v>
      </c>
      <c r="F77" s="108" t="s">
        <v>2488</v>
      </c>
      <c r="G77" s="109" t="s">
        <v>2489</v>
      </c>
      <c r="H77" s="110" t="s">
        <v>2487</v>
      </c>
      <c r="I77" s="107">
        <v>25.0</v>
      </c>
      <c r="J77" s="108" t="s">
        <v>2444</v>
      </c>
      <c r="K77" s="109" t="s">
        <v>2490</v>
      </c>
      <c r="L77" s="110" t="s">
        <v>2491</v>
      </c>
      <c r="M77" s="107">
        <v>25.0</v>
      </c>
      <c r="N77" s="108" t="str">
        <f>IFERROR(__xludf.DUMMYFUNCTION("GOOGLETRANSLATE(B77,""zh-tw"",""zh"")"),"快要热晕了-3")</f>
        <v>快要热晕了-3</v>
      </c>
      <c r="O77" s="113" t="str">
        <f>IFERROR(__xludf.DUMMYFUNCTION("GOOGLETRANSLATE(C77,""zh-tw"",""zh"")"),"同上，第二次进入热晕环节前，会进入特殊画面")</f>
        <v>同上，第二次进入热晕环节前，会进入特殊画面</v>
      </c>
      <c r="P77" s="75" t="str">
        <f>IFERROR(__xludf.DUMMYFUNCTION("GOOGLETRANSLATE(D77,""zh-tw"",""zh"")"),"CG演出")</f>
        <v>CG演出</v>
      </c>
      <c r="Q77" s="107">
        <v>25.0</v>
      </c>
      <c r="R77" s="108" t="str">
        <f>IFERROR(__xludf.DUMMYFUNCTION("GOOGLETRANSLATE(B77,""zh-tw"",""es-MX"")"),"Estoy a punto de desmayarme por el calor -3")</f>
        <v>Estoy a punto de desmayarme por el calor -3</v>
      </c>
      <c r="S77" s="109"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75" t="str">
        <f>IFERROR(__xludf.DUMMYFUNCTION("GOOGLETRANSLATE(D77,""zh-tw"",""es-MX"")"),"Rendimiento de CG")</f>
        <v>Rendimiento de CG</v>
      </c>
      <c r="U77" s="107">
        <v>25.0</v>
      </c>
      <c r="V77" s="125" t="str">
        <f>IFERROR(__xludf.DUMMYFUNCTION("GOOGLETRANSLATE(B77,""zh-tw"",""KO"")"),"영하 3도의 더위 때문에 기절할 것 같아요.")</f>
        <v>영하 3도의 더위 때문에 기절할 것 같아요.</v>
      </c>
      <c r="W77" s="113" t="str">
        <f>IFERROR(__xludf.DUMMYFUNCTION("GOOGLETRANSLATE(C77,""zh-tw"",""KO"")"),"위에서 언급했듯이, 두 번째 열사병 단계 이전에 특별한 장면이 재생됩니다.")</f>
        <v>위에서 언급했듯이, 두 번째 열사병 단계 이전에 특별한 장면이 재생됩니다.</v>
      </c>
      <c r="X77" s="75" t="str">
        <f>IFERROR(__xludf.DUMMYFUNCTION("GOOGLETRANSLATE(D77,""zh-tw"",""KO"")"),"CG 성능")</f>
        <v>CG 성능</v>
      </c>
      <c r="Y77" s="107">
        <v>25.0</v>
      </c>
      <c r="Z77" s="149" t="s">
        <v>2492</v>
      </c>
      <c r="AA77" s="150" t="s">
        <v>2493</v>
      </c>
      <c r="AB77" s="132" t="s">
        <v>2494</v>
      </c>
      <c r="AC77" s="107">
        <v>25.0</v>
      </c>
      <c r="AD77" s="108" t="s">
        <v>2495</v>
      </c>
      <c r="AE77" s="109" t="s">
        <v>2496</v>
      </c>
      <c r="AF77" s="110" t="s">
        <v>2497</v>
      </c>
      <c r="AG77" s="117">
        <v>25.0</v>
      </c>
      <c r="AH77" s="118" t="s">
        <v>2498</v>
      </c>
      <c r="AI77" s="119" t="s">
        <v>2499</v>
      </c>
      <c r="AJ77" s="120" t="s">
        <v>2500</v>
      </c>
      <c r="AK77" s="107">
        <v>25.0</v>
      </c>
      <c r="AL77" s="121" t="s">
        <v>2501</v>
      </c>
      <c r="AM77" s="122" t="s">
        <v>2502</v>
      </c>
      <c r="AN77" s="123" t="s">
        <v>2503</v>
      </c>
      <c r="AO77" s="107">
        <v>25.0</v>
      </c>
      <c r="AP77" s="108" t="s">
        <v>2504</v>
      </c>
      <c r="AQ77" s="109" t="s">
        <v>2505</v>
      </c>
      <c r="AR77" s="110" t="s">
        <v>2506</v>
      </c>
      <c r="AS77" s="110"/>
      <c r="AT77" s="110"/>
    </row>
    <row r="78">
      <c r="A78" s="139">
        <v>26.0</v>
      </c>
      <c r="B78" s="121" t="s">
        <v>2507</v>
      </c>
      <c r="C78" s="122" t="s">
        <v>2508</v>
      </c>
      <c r="D78" s="123" t="s">
        <v>2509</v>
      </c>
      <c r="E78" s="139">
        <v>26.0</v>
      </c>
      <c r="F78" s="108" t="s">
        <v>2510</v>
      </c>
      <c r="G78" s="154" t="s">
        <v>2511</v>
      </c>
      <c r="H78" s="155" t="s">
        <v>2512</v>
      </c>
      <c r="I78" s="139">
        <v>26.0</v>
      </c>
      <c r="J78" s="153" t="s">
        <v>2513</v>
      </c>
      <c r="K78" s="154" t="s">
        <v>2514</v>
      </c>
      <c r="L78" s="155" t="s">
        <v>2515</v>
      </c>
      <c r="M78" s="139">
        <v>26.0</v>
      </c>
      <c r="N78" s="121" t="s">
        <v>2507</v>
      </c>
      <c r="O78" s="141" t="s">
        <v>2516</v>
      </c>
      <c r="P78" s="142" t="s">
        <v>2517</v>
      </c>
      <c r="Q78" s="139">
        <v>26.0</v>
      </c>
      <c r="R78" s="140" t="str">
        <f>IFERROR(__xludf.DUMMYFUNCTION("GOOGLETRANSLATE(B78,""zh-tw"",""es-MX"")"),"Bar de meditación")</f>
        <v>Bar de meditación</v>
      </c>
      <c r="S78" s="141" t="str">
        <f>IFERROR(__xludf.DUMMYFUNCTION("GOOGLETRANSLATE(C78,""zh-tw"",""es-MX"")"),"Mientras su hermana menor se bañaba sola, la libido del hermano mayor superó los 50 y entró al baño.")</f>
        <v>Mientras su hermana menor se bañaba sola, la libido del hermano mayor superó los 50 y entró al baño.</v>
      </c>
      <c r="T78" s="142" t="str">
        <f>IFERROR(__xludf.DUMMYFUNCTION("GOOGLETRANSLATE(D78,""zh-tw"",""es-MX"")"),"Se activa la opción de cambiar la meditación por un delirio. Tras seleccionar esta opción, tendrá lugar una representación a cargo de la hermana amante de los delirios.")</f>
        <v>Se activa la opción de cambiar la meditación por un delirio. Tras seleccionar esta opción, tendrá lugar una representación a cargo de la hermana amante de los delirios.</v>
      </c>
      <c r="U78" s="139">
        <v>26.0</v>
      </c>
      <c r="V78" s="140" t="str">
        <f>IFERROR(__xludf.DUMMYFUNCTION("GOOGLETRANSLATE(B78,""zh-tw"",""KO"")"),"명상 바")</f>
        <v>명상 바</v>
      </c>
      <c r="W78" s="141" t="str">
        <f>IFERROR(__xludf.DUMMYFUNCTION("GOOGLETRANSLATE(C78,""zh-tw"",""KO"")"),"여동생이 혼자 목욕하는 동안, 오빠의 성욕이 50을 넘어섰고, 그는 욕실로 들어갔다.")</f>
        <v>여동생이 혼자 목욕하는 동안, 오빠의 성욕이 50을 넘어섰고, 그는 욕실로 들어갔다.</v>
      </c>
      <c r="X78" s="142" t="str">
        <f>IFERROR(__xludf.DUMMYFUNCTION("GOOGLETRANSLATE(D78,""zh-tw"",""KO"")"),"명상을 망상으로 바꾸는 선택지가 나타납니다. 이 선택지를 고르면 망상을 좋아하는 여동생의 공연이 펼쳐집니다.")</f>
        <v>명상을 망상으로 바꾸는 선택지가 나타납니다. 이 선택지를 고르면 망상을 좋아하는 여동생의 공연이 펼쳐집니다.</v>
      </c>
      <c r="Y78" s="139">
        <v>26.0</v>
      </c>
      <c r="Z78" s="149" t="s">
        <v>2518</v>
      </c>
      <c r="AA78" s="150" t="s">
        <v>2519</v>
      </c>
      <c r="AB78" s="132" t="s">
        <v>2520</v>
      </c>
      <c r="AC78" s="139">
        <v>26.0</v>
      </c>
      <c r="AD78" s="153" t="s">
        <v>2521</v>
      </c>
      <c r="AE78" s="154" t="s">
        <v>2522</v>
      </c>
      <c r="AF78" s="155" t="s">
        <v>2523</v>
      </c>
      <c r="AG78" s="139">
        <v>26.0</v>
      </c>
      <c r="AH78" s="157" t="s">
        <v>2524</v>
      </c>
      <c r="AI78" s="158" t="s">
        <v>2525</v>
      </c>
      <c r="AJ78" s="178" t="s">
        <v>2526</v>
      </c>
      <c r="AK78" s="139">
        <v>26.0</v>
      </c>
      <c r="AL78" s="121" t="s">
        <v>2527</v>
      </c>
      <c r="AM78" s="122" t="s">
        <v>2528</v>
      </c>
      <c r="AN78" s="129" t="s">
        <v>2529</v>
      </c>
      <c r="AO78" s="139">
        <v>26.0</v>
      </c>
      <c r="AP78" s="108" t="s">
        <v>2530</v>
      </c>
      <c r="AQ78" s="109" t="s">
        <v>2531</v>
      </c>
      <c r="AR78" s="110" t="s">
        <v>2532</v>
      </c>
      <c r="AS78" s="123"/>
      <c r="AT78" s="123"/>
    </row>
    <row r="79">
      <c r="A79" s="107">
        <v>27.0</v>
      </c>
      <c r="B79" s="108" t="s">
        <v>2533</v>
      </c>
      <c r="C79" s="109" t="s">
        <v>2534</v>
      </c>
      <c r="D79" s="110" t="s">
        <v>2535</v>
      </c>
      <c r="E79" s="107">
        <v>27.0</v>
      </c>
      <c r="F79" s="108" t="s">
        <v>2536</v>
      </c>
      <c r="G79" s="109" t="s">
        <v>2537</v>
      </c>
      <c r="H79" s="110" t="s">
        <v>2538</v>
      </c>
      <c r="I79" s="107">
        <v>27.0</v>
      </c>
      <c r="J79" s="108" t="s">
        <v>2539</v>
      </c>
      <c r="K79" s="109" t="s">
        <v>2540</v>
      </c>
      <c r="L79" s="110" t="s">
        <v>2541</v>
      </c>
      <c r="M79" s="107">
        <v>27.0</v>
      </c>
      <c r="N79" s="108" t="str">
        <f>IFERROR(__xludf.DUMMYFUNCTION("GOOGLETRANSLATE(B79,""zh-tw"",""zh"")"),"请妹妹帮忙洗-1")</f>
        <v>请妹妹帮忙洗-1</v>
      </c>
      <c r="O79" s="113" t="str">
        <f>IFERROR(__xludf.DUMMYFUNCTION("GOOGLETRANSLATE(C79,""zh-tw"",""zh"")"),"在和妹妹共浴时，请妹妹帮忙擦背")</f>
        <v>在和妹妹共浴时，请妹妹帮忙擦背</v>
      </c>
      <c r="P79" s="75" t="str">
        <f>IFERROR(__xludf.DUMMYFUNCTION("GOOGLETRANSLATE(D79,""zh-tw"",""zh"")"),"触发一段剧情
并于下一次时新增一个选项：清洗前方")</f>
        <v>触发一段剧情
并于下一次时新增一个选项：清洗前方</v>
      </c>
      <c r="Q79" s="107">
        <v>27.0</v>
      </c>
      <c r="R79" s="108" t="str">
        <f>IFERROR(__xludf.DUMMYFUNCTION("GOOGLETRANSLATE(B79,""zh-tw"",""es-MX"")"),"Por favor, pídele a mi hermana que me ayude a lavar -1")</f>
        <v>Por favor, pídele a mi hermana que me ayude a lavar -1</v>
      </c>
      <c r="S79" s="109" t="str">
        <f>IFERROR(__xludf.DUMMYFUNCTION("GOOGLETRANSLATE(C79,""zh-tw"",""es-MX"")"),"Cuando me bañaba con mi hermana pequeña, le pedí que me ayudara a frotarme la espalda.")</f>
        <v>Cuando me bañaba con mi hermana pequeña, le pedí que me ayudara a frotarme la espalda.</v>
      </c>
      <c r="T79" s="75" t="str">
        <f>IFERROR(__xludf.DUMMYFUNCTION("GOOGLETRANSLATE(D79,""zh-tw"",""es-MX"")"),"Esto activa una escena cinemática y añade una nueva opción para la próxima vez: Limpiar la zona que hay delante.")</f>
        <v>Esto activa una escena cinemática y añade una nueva opción para la próxima vez: Limpiar la zona que hay delante.</v>
      </c>
      <c r="U79" s="107">
        <v>27.0</v>
      </c>
      <c r="V79" s="125" t="str">
        <f>IFERROR(__xludf.DUMMYFUNCTION("GOOGLETRANSLATE(B79,""zh-tw"",""KO"")"),"제 여동생에게 세탁 좀 도와달라고 전해주세요 -1")</f>
        <v>제 여동생에게 세탁 좀 도와달라고 전해주세요 -1</v>
      </c>
      <c r="W79" s="113" t="str">
        <f>IFERROR(__xludf.DUMMYFUNCTION("GOOGLETRANSLATE(C79,""zh-tw"",""KO"")"),"여동생과 함께 목욕을 하다가, 여동생에게 등을 문질러 닦아달라고 부탁했어요.")</f>
        <v>여동생과 함께 목욕을 하다가, 여동생에게 등을 문질러 닦아달라고 부탁했어요.</v>
      </c>
      <c r="X79" s="75" t="str">
        <f>IFERROR(__xludf.DUMMYFUNCTION("GOOGLETRANSLATE(D79,""zh-tw"",""KO"")"),"이렇게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9" s="107">
        <v>27.0</v>
      </c>
      <c r="Z79" s="179" t="s">
        <v>2542</v>
      </c>
      <c r="AA79" s="150" t="s">
        <v>2543</v>
      </c>
      <c r="AB79" s="132" t="s">
        <v>2544</v>
      </c>
      <c r="AC79" s="107">
        <v>27.0</v>
      </c>
      <c r="AD79" s="108" t="s">
        <v>2545</v>
      </c>
      <c r="AE79" s="109" t="s">
        <v>2546</v>
      </c>
      <c r="AF79" s="110" t="s">
        <v>2547</v>
      </c>
      <c r="AG79" s="107">
        <v>27.0</v>
      </c>
      <c r="AH79" s="118" t="s">
        <v>2548</v>
      </c>
      <c r="AI79" s="119" t="s">
        <v>2549</v>
      </c>
      <c r="AJ79" s="120" t="s">
        <v>2550</v>
      </c>
      <c r="AK79" s="107">
        <v>27.0</v>
      </c>
      <c r="AL79" s="160" t="s">
        <v>2551</v>
      </c>
      <c r="AM79" s="122" t="s">
        <v>2552</v>
      </c>
      <c r="AN79" s="123" t="s">
        <v>2553</v>
      </c>
      <c r="AO79" s="107">
        <v>27.0</v>
      </c>
      <c r="AP79" s="108" t="s">
        <v>2554</v>
      </c>
      <c r="AQ79" s="109" t="s">
        <v>2555</v>
      </c>
      <c r="AR79" s="110" t="s">
        <v>2556</v>
      </c>
      <c r="AS79" s="110"/>
      <c r="AT79" s="110"/>
    </row>
    <row r="80">
      <c r="A80" s="107">
        <v>28.0</v>
      </c>
      <c r="B80" s="108" t="s">
        <v>2557</v>
      </c>
      <c r="C80" s="109" t="s">
        <v>2558</v>
      </c>
      <c r="D80" s="110" t="s">
        <v>2559</v>
      </c>
      <c r="E80" s="107">
        <v>28.0</v>
      </c>
      <c r="F80" s="108" t="s">
        <v>2560</v>
      </c>
      <c r="G80" s="109" t="s">
        <v>2561</v>
      </c>
      <c r="H80" s="110" t="s">
        <v>2562</v>
      </c>
      <c r="I80" s="107">
        <v>28.0</v>
      </c>
      <c r="J80" s="108" t="s">
        <v>2563</v>
      </c>
      <c r="K80" s="109" t="s">
        <v>2564</v>
      </c>
      <c r="L80" s="110" t="s">
        <v>2565</v>
      </c>
      <c r="M80" s="107">
        <v>28.0</v>
      </c>
      <c r="N80" s="108" t="str">
        <f>IFERROR(__xludf.DUMMYFUNCTION("GOOGLETRANSLATE(B80,""zh-tw"",""zh"")"),"请妹妹帮忙洗-2")</f>
        <v>请妹妹帮忙洗-2</v>
      </c>
      <c r="O80" s="113" t="str">
        <f>IFERROR(__xludf.DUMMYFUNCTION("GOOGLETRANSLATE(C80,""zh-tw"",""zh"")"),"同上，第二次选择帮忙清洗前方，且未达4颗紫心时")</f>
        <v>同上，第二次选择帮忙清洗前方，且未达4颗紫心时</v>
      </c>
      <c r="P80" s="75" t="str">
        <f>IFERROR(__xludf.DUMMYFUNCTION("GOOGLETRANSLATE(D80,""zh-tw"",""zh"")"),"妹妹会拒绝帮忙")</f>
        <v>妹妹会拒绝帮忙</v>
      </c>
      <c r="Q80" s="107">
        <v>28.0</v>
      </c>
      <c r="R80" s="108" t="str">
        <f>IFERROR(__xludf.DUMMYFUNCTION("GOOGLETRANSLATE(B80,""zh-tw"",""es-MX"")"),"Por favor, pídele a mi hermana que me ayude a lavar -2")</f>
        <v>Por favor, pídele a mi hermana que me ayude a lavar -2</v>
      </c>
      <c r="S80" s="109" t="str">
        <f>IFERROR(__xludf.DUMMYFUNCTION("GOOGLETRANSLATE(C80,""zh-tw"",""es-MX"")"),"Como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0" s="75" t="str">
        <f>IFERROR(__xludf.DUMMYFUNCTION("GOOGLETRANSLATE(D80,""zh-tw"",""es-MX"")"),"Mi hermana se negará a ayudar.")</f>
        <v>Mi hermana se negará a ayudar.</v>
      </c>
      <c r="U80" s="107">
        <v>28.0</v>
      </c>
      <c r="V80" s="125" t="str">
        <f>IFERROR(__xludf.DUMMYFUNCTION("GOOGLETRANSLATE(B80,""zh-tw"",""KO"")"),"제 여동생에게 세탁 좀 도와달라고 전해주세요 -2")</f>
        <v>제 여동생에게 세탁 좀 도와달라고 전해주세요 -2</v>
      </c>
      <c r="W80" s="113" t="str">
        <f>IFERROR(__xludf.DUMMYFUNCTION("GOOGLETRANSLATE(C80,""zh-tw"",""KO"")"),"위에서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80" s="75" t="str">
        <f>IFERROR(__xludf.DUMMYFUNCTION("GOOGLETRANSLATE(D80,""zh-tw"",""KO"")"),"내 여동생은 도와주기를 거부할 것이다.")</f>
        <v>내 여동생은 도와주기를 거부할 것이다.</v>
      </c>
      <c r="Y80" s="107">
        <v>28.0</v>
      </c>
      <c r="Z80" s="179" t="s">
        <v>2566</v>
      </c>
      <c r="AA80" s="180" t="s">
        <v>2567</v>
      </c>
      <c r="AB80" s="132" t="s">
        <v>2568</v>
      </c>
      <c r="AC80" s="107">
        <v>28.0</v>
      </c>
      <c r="AD80" s="108" t="s">
        <v>2569</v>
      </c>
      <c r="AE80" s="109" t="s">
        <v>2570</v>
      </c>
      <c r="AF80" s="110" t="s">
        <v>2571</v>
      </c>
      <c r="AG80" s="107">
        <v>28.0</v>
      </c>
      <c r="AH80" s="118" t="s">
        <v>2572</v>
      </c>
      <c r="AI80" s="119" t="s">
        <v>2573</v>
      </c>
      <c r="AJ80" s="120" t="s">
        <v>2574</v>
      </c>
      <c r="AK80" s="107">
        <v>28.0</v>
      </c>
      <c r="AL80" s="160" t="s">
        <v>2575</v>
      </c>
      <c r="AM80" s="131" t="s">
        <v>2576</v>
      </c>
      <c r="AN80" s="123" t="s">
        <v>2577</v>
      </c>
      <c r="AO80" s="107">
        <v>28.0</v>
      </c>
      <c r="AP80" s="108" t="s">
        <v>2578</v>
      </c>
      <c r="AQ80" s="109" t="s">
        <v>2579</v>
      </c>
      <c r="AR80" s="110" t="s">
        <v>2580</v>
      </c>
      <c r="AS80" s="110"/>
      <c r="AT80" s="110"/>
    </row>
    <row r="81">
      <c r="A81" s="139">
        <v>29.0</v>
      </c>
      <c r="B81" s="108" t="s">
        <v>2581</v>
      </c>
      <c r="C81" s="109" t="s">
        <v>2582</v>
      </c>
      <c r="D81" s="110" t="s">
        <v>2583</v>
      </c>
      <c r="E81" s="139">
        <v>29.0</v>
      </c>
      <c r="F81" s="108" t="s">
        <v>2584</v>
      </c>
      <c r="G81" s="109" t="s">
        <v>2585</v>
      </c>
      <c r="H81" s="110" t="s">
        <v>2586</v>
      </c>
      <c r="I81" s="139">
        <v>29.0</v>
      </c>
      <c r="J81" s="108" t="s">
        <v>2587</v>
      </c>
      <c r="K81" s="109" t="s">
        <v>2588</v>
      </c>
      <c r="L81" s="110" t="s">
        <v>2589</v>
      </c>
      <c r="M81" s="139">
        <v>29.0</v>
      </c>
      <c r="N81" s="108" t="str">
        <f>IFERROR(__xludf.DUMMYFUNCTION("GOOGLETRANSLATE(B81,""zh-tw"",""zh"")"),"请妹妹帮忙洗-3")</f>
        <v>请妹妹帮忙洗-3</v>
      </c>
      <c r="O81" s="113" t="str">
        <f>IFERROR(__xludf.DUMMYFUNCTION("GOOGLETRANSLATE(C81,""zh-tw"",""zh"")"),"同上，若达到4颗紫心时")</f>
        <v>同上，若达到4颗紫心时</v>
      </c>
      <c r="P81" s="75" t="str">
        <f>IFERROR(__xludf.DUMMYFUNCTION("GOOGLETRANSLATE(D81,""zh-tw"",""zh"")"),"第一段素股画面演出")</f>
        <v>第一段素股画面演出</v>
      </c>
      <c r="Q81" s="139">
        <v>29.0</v>
      </c>
      <c r="R81" s="108" t="str">
        <f>IFERROR(__xludf.DUMMYFUNCTION("GOOGLETRANSLATE(B81,""zh-tw"",""es-MX"")"),"Por favor, pídele a mi hermana que me ayude a lavarme - 3")</f>
        <v>Por favor, pídele a mi hermana que me ayude a lavarme - 3</v>
      </c>
      <c r="S81" s="109" t="str">
        <f>IFERROR(__xludf.DUMMYFUNCTION("GOOGLETRANSLATE(C81,""zh-tw"",""es-MX"")"),"Del mismo modo, si alcanzas 4 corazones morados...")</f>
        <v>Del mismo modo, si alcanzas 4 corazones morados...</v>
      </c>
      <c r="T81" s="75" t="str">
        <f>IFERROR(__xludf.DUMMYFUNCTION("GOOGLETRANSLATE(D81,""zh-tw"",""es-MX"")"),"La primera parte de la representación de la escena de las medias sencillas")</f>
        <v>La primera parte de la representación de la escena de las medias sencillas</v>
      </c>
      <c r="U81" s="139">
        <v>29.0</v>
      </c>
      <c r="V81" s="125" t="str">
        <f>IFERROR(__xludf.DUMMYFUNCTION("GOOGLETRANSLATE(B81,""zh-tw"",""KO"")"),"제 여동생에게 세탁 좀 도와달라고 전해주세요 - 3")</f>
        <v>제 여동생에게 세탁 좀 도와달라고 전해주세요 - 3</v>
      </c>
      <c r="W81" s="113" t="str">
        <f>IFERROR(__xludf.DUMMYFUNCTION("GOOGLETRANSLATE(C81,""zh-tw"",""KO"")"),"마찬가지로, 보라색 하트를 4개 모으면...")</f>
        <v>마찬가지로, 보라색 하트를 4개 모으면...</v>
      </c>
      <c r="X81" s="75" t="str">
        <f>IFERROR(__xludf.DUMMYFUNCTION("GOOGLETRANSLATE(D81,""zh-tw"",""KO"")"),"평범한 스타킹 장면 공연의 첫 번째 부분")</f>
        <v>평범한 스타킹 장면 공연의 첫 번째 부분</v>
      </c>
      <c r="Y81" s="139">
        <v>29.0</v>
      </c>
      <c r="Z81" s="179" t="s">
        <v>2590</v>
      </c>
      <c r="AA81" s="180" t="s">
        <v>2591</v>
      </c>
      <c r="AB81" s="132" t="s">
        <v>2592</v>
      </c>
      <c r="AC81" s="139">
        <v>29.0</v>
      </c>
      <c r="AD81" s="108" t="s">
        <v>2593</v>
      </c>
      <c r="AE81" s="109" t="s">
        <v>2594</v>
      </c>
      <c r="AF81" s="110" t="s">
        <v>2595</v>
      </c>
      <c r="AG81" s="139">
        <v>29.0</v>
      </c>
      <c r="AH81" s="118" t="s">
        <v>2596</v>
      </c>
      <c r="AI81" s="119" t="s">
        <v>2597</v>
      </c>
      <c r="AJ81" s="120" t="s">
        <v>2598</v>
      </c>
      <c r="AK81" s="139">
        <v>29.0</v>
      </c>
      <c r="AL81" s="160" t="s">
        <v>2599</v>
      </c>
      <c r="AM81" s="131" t="s">
        <v>2600</v>
      </c>
      <c r="AN81" s="123" t="s">
        <v>2601</v>
      </c>
      <c r="AO81" s="139">
        <v>29.0</v>
      </c>
      <c r="AP81" s="108" t="s">
        <v>2602</v>
      </c>
      <c r="AQ81" s="109" t="s">
        <v>2603</v>
      </c>
      <c r="AR81" s="110" t="s">
        <v>2604</v>
      </c>
      <c r="AS81" s="110"/>
      <c r="AT81" s="110"/>
    </row>
    <row r="82">
      <c r="A82" s="107">
        <v>30.0</v>
      </c>
      <c r="B82" s="108" t="s">
        <v>2605</v>
      </c>
      <c r="C82" s="109" t="s">
        <v>2606</v>
      </c>
      <c r="D82" s="110" t="s">
        <v>2607</v>
      </c>
      <c r="E82" s="107">
        <v>30.0</v>
      </c>
      <c r="F82" s="108" t="s">
        <v>2608</v>
      </c>
      <c r="G82" s="109" t="s">
        <v>2609</v>
      </c>
      <c r="H82" s="110" t="s">
        <v>2610</v>
      </c>
      <c r="I82" s="107">
        <v>30.0</v>
      </c>
      <c r="J82" s="108" t="s">
        <v>2611</v>
      </c>
      <c r="K82" s="109" t="s">
        <v>2612</v>
      </c>
      <c r="L82" s="110" t="s">
        <v>2613</v>
      </c>
      <c r="M82" s="107">
        <v>30.0</v>
      </c>
      <c r="N82" s="108" t="str">
        <f>IFERROR(__xludf.DUMMYFUNCTION("GOOGLETRANSLATE(B82,""zh-tw"",""zh"")"),"请妹妹帮忙洗-4")</f>
        <v>请妹妹帮忙洗-4</v>
      </c>
      <c r="O82" s="113" t="str">
        <f>IFERROR(__xludf.DUMMYFUNCTION("GOOGLETRANSLATE(C82,""zh-tw"",""zh"")"),"同上，若达到5颗紫心时")</f>
        <v>同上，若达到5颗紫心时</v>
      </c>
      <c r="P82" s="75" t="str">
        <f>IFERROR(__xludf.DUMMYFUNCTION("GOOGLETRANSLATE(D82,""zh-tw"",""zh"")"),"第二段素股画面演出")</f>
        <v>第二段素股画面演出</v>
      </c>
      <c r="Q82" s="107">
        <v>30.0</v>
      </c>
      <c r="R82" s="108" t="str">
        <f>IFERROR(__xludf.DUMMYFUNCTION("GOOGLETRANSLATE(B82,""zh-tw"",""es-MX"")"),"Por favor, pídele a mi hermana que me ayude a lavar -4")</f>
        <v>Por favor, pídele a mi hermana que me ayude a lavar -4</v>
      </c>
      <c r="S82" s="109" t="str">
        <f>IFERROR(__xludf.DUMMYFUNCTION("GOOGLETRANSLATE(C82,""zh-tw"",""es-MX"")"),"Del mismo modo, si alcanzas 5 corazones morados...")</f>
        <v>Del mismo modo, si alcanzas 5 corazones morados...</v>
      </c>
      <c r="T82" s="75" t="str">
        <f>IFERROR(__xludf.DUMMYFUNCTION("GOOGLETRANSLATE(D82,""zh-tw"",""es-MX"")"),"La segunda parte de la representación de la escena de las medias sencillas")</f>
        <v>La segunda parte de la representación de la escena de las medias sencillas</v>
      </c>
      <c r="U82" s="107">
        <v>30.0</v>
      </c>
      <c r="V82" s="125" t="str">
        <f>IFERROR(__xludf.DUMMYFUNCTION("GOOGLETRANSLATE(B82,""zh-tw"",""KO"")"),"제 여동생에게 세탁 좀 도와달라고 전해주세요 -4")</f>
        <v>제 여동생에게 세탁 좀 도와달라고 전해주세요 -4</v>
      </c>
      <c r="W82" s="113" t="str">
        <f>IFERROR(__xludf.DUMMYFUNCTION("GOOGLETRANSLATE(C82,""zh-tw"",""KO"")"),"마찬가지로, 보라색 하트를 5개 모으면...")</f>
        <v>마찬가지로, 보라색 하트를 5개 모으면...</v>
      </c>
      <c r="X82" s="75" t="str">
        <f>IFERROR(__xludf.DUMMYFUNCTION("GOOGLETRANSLATE(D82,""zh-tw"",""KO"")"),"평범한 스타킹 장면 공연의 두 번째 부분")</f>
        <v>평범한 스타킹 장면 공연의 두 번째 부분</v>
      </c>
      <c r="Y82" s="107">
        <v>30.0</v>
      </c>
      <c r="Z82" s="179" t="s">
        <v>2614</v>
      </c>
      <c r="AA82" s="150" t="s">
        <v>2615</v>
      </c>
      <c r="AB82" s="132" t="s">
        <v>2616</v>
      </c>
      <c r="AC82" s="107">
        <v>30.0</v>
      </c>
      <c r="AD82" s="108" t="s">
        <v>2617</v>
      </c>
      <c r="AE82" s="109" t="s">
        <v>2618</v>
      </c>
      <c r="AF82" s="110" t="s">
        <v>2619</v>
      </c>
      <c r="AG82" s="107">
        <v>30.0</v>
      </c>
      <c r="AH82" s="118" t="s">
        <v>2620</v>
      </c>
      <c r="AI82" s="119" t="s">
        <v>2621</v>
      </c>
      <c r="AJ82" s="120" t="s">
        <v>2622</v>
      </c>
      <c r="AK82" s="107">
        <v>30.0</v>
      </c>
      <c r="AL82" s="160" t="s">
        <v>2623</v>
      </c>
      <c r="AM82" s="122" t="s">
        <v>2624</v>
      </c>
      <c r="AN82" s="123" t="s">
        <v>2625</v>
      </c>
      <c r="AO82" s="107">
        <v>30.0</v>
      </c>
      <c r="AP82" s="108" t="s">
        <v>2626</v>
      </c>
      <c r="AQ82" s="109" t="s">
        <v>2627</v>
      </c>
      <c r="AR82" s="110" t="s">
        <v>2628</v>
      </c>
      <c r="AS82" s="110"/>
      <c r="AT82" s="110"/>
    </row>
    <row r="83">
      <c r="A83" s="107">
        <v>31.0</v>
      </c>
      <c r="B83" s="121" t="s">
        <v>2629</v>
      </c>
      <c r="C83" s="122" t="s">
        <v>2630</v>
      </c>
      <c r="D83" s="123" t="s">
        <v>2631</v>
      </c>
      <c r="E83" s="107">
        <v>31.0</v>
      </c>
      <c r="F83" s="108" t="s">
        <v>2632</v>
      </c>
      <c r="G83" s="154" t="s">
        <v>2633</v>
      </c>
      <c r="H83" s="155" t="s">
        <v>2634</v>
      </c>
      <c r="I83" s="107">
        <v>31.0</v>
      </c>
      <c r="J83" s="153" t="s">
        <v>2635</v>
      </c>
      <c r="K83" s="154" t="s">
        <v>2636</v>
      </c>
      <c r="L83" s="155" t="s">
        <v>2637</v>
      </c>
      <c r="M83" s="107">
        <v>31.0</v>
      </c>
      <c r="N83" s="121" t="str">
        <f>IFERROR(__xludf.DUMMYFUNCTION("GOOGLETRANSLATE(B83,""zh-tw"",""zh"")"),"请妹妹帮忙洗-5")</f>
        <v>请妹妹帮忙洗-5</v>
      </c>
      <c r="O83" s="141" t="str">
        <f>IFERROR(__xludf.DUMMYFUNCTION("GOOGLETRANSLATE(C83,""zh-tw"",""zh"")"),"当心动值达10分以上、以及触发过2次素股事件
或者使用贿络")</f>
        <v>当心动值达10分以上、以及触发过2次素股事件
或者使用贿络</v>
      </c>
      <c r="P83" s="142" t="str">
        <f>IFERROR(__xludf.DUMMYFUNCTION("GOOGLETRANSLATE(D83,""zh-tw"",""zh"")"),"触发洗浴中口交事件")</f>
        <v>触发洗浴中口交事件</v>
      </c>
      <c r="Q83" s="107">
        <v>31.0</v>
      </c>
      <c r="R83" s="140" t="str">
        <f>IFERROR(__xludf.DUMMYFUNCTION("GOOGLETRANSLATE(B83,""zh-tw"",""es-MX"")"),"Por favor, pídele a mi hermana que me ayude a lavar -5")</f>
        <v>Por favor, pídele a mi hermana que me ayude a lavar -5</v>
      </c>
      <c r="S83" s="141" t="str">
        <f>IFERROR(__xludf.DUMMYFUNCTION("GOOGLETRANSLATE(C83,""zh-tw"",""es-MX"")"),"Cuando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3" s="142" t="str">
        <f>IFERROR(__xludf.DUMMYFUNCTION("GOOGLETRANSLATE(D83,""zh-tw"",""es-MX"")"),"Evento que desencadena sexo oral en el baño")</f>
        <v>Evento que desencadena sexo oral en el baño</v>
      </c>
      <c r="U83" s="107">
        <v>31.0</v>
      </c>
      <c r="V83" s="140" t="str">
        <f>IFERROR(__xludf.DUMMYFUNCTION("GOOGLETRANSLATE(B83,""zh-tw"",""KO"")"),"제 여동생에게 세탁 좀 도와달라고 전해주세요 -5")</f>
        <v>제 여동생에게 세탁 좀 도와달라고 전해주세요 -5</v>
      </c>
      <c r="W83" s="141" t="str">
        <f>IFERROR(__xludf.DUMMYFUNCTION("GOOGLETRANSLATE(C83,""zh-tw"",""KO"")"),"심박수가 10포인트 이상에 도달하고, 주식 관련 사건이 두 건 발생했거나, 뇌물이 사용되었을 경우...")</f>
        <v>심박수가 10포인트 이상에 도달하고, 주식 관련 사건이 두 건 발생했거나, 뇌물이 사용되었을 경우...</v>
      </c>
      <c r="X83" s="142" t="str">
        <f>IFERROR(__xludf.DUMMYFUNCTION("GOOGLETRANSLATE(D83,""zh-tw"",""KO"")"),"욕조에서 구강성교를 유발하는 상황")</f>
        <v>욕조에서 구강성교를 유발하는 상황</v>
      </c>
      <c r="Y83" s="107">
        <v>31.0</v>
      </c>
      <c r="Z83" s="149" t="s">
        <v>2638</v>
      </c>
      <c r="AA83" s="150" t="s">
        <v>2639</v>
      </c>
      <c r="AB83" s="132" t="s">
        <v>2640</v>
      </c>
      <c r="AC83" s="107">
        <v>31.0</v>
      </c>
      <c r="AD83" s="153" t="s">
        <v>2641</v>
      </c>
      <c r="AE83" s="154" t="s">
        <v>2642</v>
      </c>
      <c r="AF83" s="155" t="s">
        <v>2643</v>
      </c>
      <c r="AG83" s="107">
        <v>31.0</v>
      </c>
      <c r="AH83" s="157" t="s">
        <v>2644</v>
      </c>
      <c r="AI83" s="158" t="s">
        <v>2645</v>
      </c>
      <c r="AJ83" s="178" t="s">
        <v>2646</v>
      </c>
      <c r="AK83" s="107">
        <v>31.0</v>
      </c>
      <c r="AL83" s="121" t="s">
        <v>2647</v>
      </c>
      <c r="AM83" s="122" t="s">
        <v>2648</v>
      </c>
      <c r="AN83" s="129" t="s">
        <v>2649</v>
      </c>
      <c r="AO83" s="107">
        <v>31.0</v>
      </c>
      <c r="AP83" s="108" t="s">
        <v>2635</v>
      </c>
      <c r="AQ83" s="109" t="s">
        <v>2636</v>
      </c>
      <c r="AR83" s="110" t="s">
        <v>2650</v>
      </c>
      <c r="AS83" s="123"/>
      <c r="AT83" s="123"/>
    </row>
    <row r="84">
      <c r="A84" s="139">
        <v>32.0</v>
      </c>
      <c r="B84" s="121" t="s">
        <v>2651</v>
      </c>
      <c r="C84" s="122" t="s">
        <v>2652</v>
      </c>
      <c r="D84" s="123" t="s">
        <v>2653</v>
      </c>
      <c r="E84" s="139">
        <v>32.0</v>
      </c>
      <c r="F84" s="108" t="s">
        <v>2654</v>
      </c>
      <c r="G84" s="154" t="s">
        <v>2655</v>
      </c>
      <c r="H84" s="155" t="s">
        <v>2656</v>
      </c>
      <c r="I84" s="139">
        <v>32.0</v>
      </c>
      <c r="J84" s="153" t="s">
        <v>2657</v>
      </c>
      <c r="K84" s="154" t="s">
        <v>2658</v>
      </c>
      <c r="L84" s="155" t="s">
        <v>2659</v>
      </c>
      <c r="M84" s="139">
        <v>32.0</v>
      </c>
      <c r="N84" s="121" t="str">
        <f>IFERROR(__xludf.DUMMYFUNCTION("GOOGLETRANSLATE(B84,""zh-tw"",""zh"")"),"请妹妹帮忙洗-6")</f>
        <v>请妹妹帮忙洗-6</v>
      </c>
      <c r="O84" s="141" t="str">
        <f>IFERROR(__xludf.DUMMYFUNCTION("GOOGLETRANSLATE(C84,""zh-tw"",""zh"")"),"同上，并且哥哥持有装备""恶魔眼球""")</f>
        <v>同上，并且哥哥持有装备"恶魔眼球"</v>
      </c>
      <c r="P84" s="142" t="str">
        <f>IFERROR(__xludf.DUMMYFUNCTION("GOOGLETRANSLATE(D84,""zh-tw"",""zh"")"),"于左下角的黑色眼球，可以观看到透视版本的画面")</f>
        <v>于左下角的黑色眼球，可以观看到透视版本的画面</v>
      </c>
      <c r="Q84" s="139">
        <v>32.0</v>
      </c>
      <c r="R84" s="140" t="str">
        <f>IFERROR(__xludf.DUMMYFUNCTION("GOOGLETRANSLATE(B84,""zh-tw"",""es-MX"")"),"Por favor, pídele a mi hermana que me ayude a lavar - 6")</f>
        <v>Por favor, pídele a mi hermana que me ayude a lavar - 6</v>
      </c>
      <c r="S84" s="141" t="str">
        <f>IFERROR(__xludf.DUMMYFUNCTION("GOOGLETRANSLATE(C84,""zh-tw"",""es-MX"")"),"Igual que lo anterior, y el hermano mayor posee el equipo ""Ojo de Demonio"".")</f>
        <v>Igual que lo anterior, y el hermano mayor posee el equipo "Ojo de Demonio".</v>
      </c>
      <c r="T84" s="142" t="str">
        <f>IFERROR(__xludf.DUMMYFUNCTION("GOOGLETRANSLATE(D84,""zh-tw"",""es-MX"")"),"Se puede apreciar una vista en perspectiva a través del ojo negro situado en la esquina inferior izquierda.")</f>
        <v>Se puede apreciar una vista en perspectiva a través del ojo negro situado en la esquina inferior izquierda.</v>
      </c>
      <c r="U84" s="139">
        <v>32.0</v>
      </c>
      <c r="V84" s="140" t="str">
        <f>IFERROR(__xludf.DUMMYFUNCTION("GOOGLETRANSLATE(B84,""zh-tw"",""KO"")"),"제 여동생에게 빨래 좀 도와달라고 전해주세요 - 6")</f>
        <v>제 여동생에게 빨래 좀 도와달라고 전해주세요 - 6</v>
      </c>
      <c r="W84" s="141" t="str">
        <f>IFERROR(__xludf.DUMMYFUNCTION("GOOGLETRANSLATE(C84,""zh-tw"",""KO"")"),"위와 마찬가지로, 형은 ""악마의 눈알""이라는 장비를 가지고 있습니다.")</f>
        <v>위와 마찬가지로, 형은 "악마의 눈알"이라는 장비를 가지고 있습니다.</v>
      </c>
      <c r="X84" s="142" t="str">
        <f>IFERROR(__xludf.DUMMYFUNCTION("GOOGLETRANSLATE(D84,""zh-tw"",""KO"")"),"왼쪽 아래 모서리에 있는 검은 눈동자를 통해 원근감을 느낄 수 있습니다.")</f>
        <v>왼쪽 아래 모서리에 있는 검은 눈동자를 통해 원근감을 느낄 수 있습니다.</v>
      </c>
      <c r="Y84" s="139">
        <v>32.0</v>
      </c>
      <c r="Z84" s="149" t="s">
        <v>2660</v>
      </c>
      <c r="AA84" s="180" t="s">
        <v>2661</v>
      </c>
      <c r="AB84" s="181" t="s">
        <v>2662</v>
      </c>
      <c r="AC84" s="139">
        <v>32.0</v>
      </c>
      <c r="AD84" s="153" t="s">
        <v>2663</v>
      </c>
      <c r="AE84" s="154" t="s">
        <v>2664</v>
      </c>
      <c r="AF84" s="155" t="s">
        <v>2665</v>
      </c>
      <c r="AG84" s="139">
        <v>32.0</v>
      </c>
      <c r="AH84" s="157" t="s">
        <v>2666</v>
      </c>
      <c r="AI84" s="182" t="s">
        <v>2667</v>
      </c>
      <c r="AJ84" s="159" t="s">
        <v>2668</v>
      </c>
      <c r="AK84" s="139">
        <v>32.0</v>
      </c>
      <c r="AL84" s="121" t="s">
        <v>2669</v>
      </c>
      <c r="AM84" s="122" t="s">
        <v>2670</v>
      </c>
      <c r="AN84" s="129" t="s">
        <v>2671</v>
      </c>
      <c r="AO84" s="139">
        <v>32.0</v>
      </c>
      <c r="AP84" s="108" t="s">
        <v>2657</v>
      </c>
      <c r="AQ84" s="109" t="s">
        <v>2672</v>
      </c>
      <c r="AR84" s="110" t="s">
        <v>2673</v>
      </c>
      <c r="AS84" s="123"/>
      <c r="AT84" s="123"/>
    </row>
    <row r="85">
      <c r="A85" s="107">
        <v>33.0</v>
      </c>
      <c r="B85" s="121" t="s">
        <v>2674</v>
      </c>
      <c r="C85" s="131" t="s">
        <v>2675</v>
      </c>
      <c r="D85" s="129" t="s">
        <v>2676</v>
      </c>
      <c r="E85" s="107">
        <v>33.0</v>
      </c>
      <c r="F85" s="108"/>
      <c r="G85" s="154"/>
      <c r="H85" s="155"/>
      <c r="I85" s="107">
        <v>33.0</v>
      </c>
      <c r="J85" s="165" t="s">
        <v>2677</v>
      </c>
      <c r="K85" s="166" t="s">
        <v>2678</v>
      </c>
      <c r="L85" s="167" t="s">
        <v>2679</v>
      </c>
      <c r="M85" s="107">
        <v>33.0</v>
      </c>
      <c r="N85" s="121"/>
      <c r="O85" s="141"/>
      <c r="P85" s="142"/>
      <c r="Q85" s="107">
        <v>33.0</v>
      </c>
      <c r="R85" s="140"/>
      <c r="S85" s="141"/>
      <c r="T85" s="142"/>
      <c r="U85" s="107">
        <v>33.0</v>
      </c>
      <c r="V85" s="140"/>
      <c r="W85" s="141"/>
      <c r="X85" s="142"/>
      <c r="Y85" s="107">
        <v>33.0</v>
      </c>
      <c r="Z85" s="149" t="s">
        <v>2680</v>
      </c>
      <c r="AA85" s="180" t="s">
        <v>2681</v>
      </c>
      <c r="AB85" s="181" t="s">
        <v>2682</v>
      </c>
      <c r="AC85" s="107">
        <v>33.0</v>
      </c>
      <c r="AD85" s="153"/>
      <c r="AE85" s="154"/>
      <c r="AF85" s="155"/>
      <c r="AG85" s="107">
        <v>33.0</v>
      </c>
      <c r="AH85" s="183" t="s">
        <v>2683</v>
      </c>
      <c r="AI85" s="182" t="s">
        <v>2684</v>
      </c>
      <c r="AJ85" s="159" t="s">
        <v>2685</v>
      </c>
      <c r="AK85" s="107">
        <v>33.0</v>
      </c>
      <c r="AL85" s="160" t="s">
        <v>2686</v>
      </c>
      <c r="AM85" s="131" t="s">
        <v>2687</v>
      </c>
      <c r="AN85" s="129" t="s">
        <v>2688</v>
      </c>
      <c r="AO85" s="107">
        <v>33.0</v>
      </c>
      <c r="AP85" s="108"/>
      <c r="AQ85" s="109"/>
      <c r="AR85" s="110"/>
      <c r="AS85" s="123"/>
      <c r="AT85" s="123"/>
    </row>
    <row r="86">
      <c r="A86" s="107">
        <v>34.0</v>
      </c>
      <c r="B86" s="121" t="s">
        <v>2689</v>
      </c>
      <c r="C86" s="131" t="s">
        <v>2690</v>
      </c>
      <c r="D86" s="129" t="s">
        <v>2691</v>
      </c>
      <c r="E86" s="107">
        <v>34.0</v>
      </c>
      <c r="F86" s="108"/>
      <c r="G86" s="154"/>
      <c r="H86" s="155"/>
      <c r="I86" s="107">
        <v>34.0</v>
      </c>
      <c r="J86" s="165" t="s">
        <v>2692</v>
      </c>
      <c r="K86" s="166" t="s">
        <v>2693</v>
      </c>
      <c r="L86" s="167" t="s">
        <v>2694</v>
      </c>
      <c r="M86" s="107">
        <v>34.0</v>
      </c>
      <c r="N86" s="121"/>
      <c r="O86" s="141"/>
      <c r="P86" s="142"/>
      <c r="Q86" s="107">
        <v>34.0</v>
      </c>
      <c r="R86" s="140"/>
      <c r="S86" s="141"/>
      <c r="T86" s="142"/>
      <c r="U86" s="107">
        <v>34.0</v>
      </c>
      <c r="V86" s="140"/>
      <c r="W86" s="141"/>
      <c r="X86" s="142"/>
      <c r="Y86" s="107">
        <v>34.0</v>
      </c>
      <c r="Z86" s="149" t="s">
        <v>2695</v>
      </c>
      <c r="AA86" s="180" t="s">
        <v>2696</v>
      </c>
      <c r="AB86" s="181" t="s">
        <v>2697</v>
      </c>
      <c r="AC86" s="107">
        <v>34.0</v>
      </c>
      <c r="AD86" s="153"/>
      <c r="AE86" s="154"/>
      <c r="AF86" s="155"/>
      <c r="AG86" s="107">
        <v>34.0</v>
      </c>
      <c r="AH86" s="183" t="s">
        <v>2698</v>
      </c>
      <c r="AI86" s="182" t="s">
        <v>2699</v>
      </c>
      <c r="AJ86" s="159" t="s">
        <v>2700</v>
      </c>
      <c r="AK86" s="107">
        <v>34.0</v>
      </c>
      <c r="AL86" s="160" t="s">
        <v>2701</v>
      </c>
      <c r="AM86" s="131" t="s">
        <v>2702</v>
      </c>
      <c r="AN86" s="129" t="s">
        <v>2703</v>
      </c>
      <c r="AO86" s="107">
        <v>34.0</v>
      </c>
      <c r="AP86" s="108"/>
      <c r="AQ86" s="109"/>
      <c r="AR86" s="110"/>
      <c r="AS86" s="123"/>
      <c r="AT86" s="123"/>
    </row>
    <row r="87">
      <c r="A87" s="170"/>
      <c r="B87" s="171"/>
      <c r="C87" s="171"/>
      <c r="D87" s="171"/>
      <c r="E87" s="170"/>
      <c r="F87" s="171"/>
      <c r="G87" s="171"/>
      <c r="H87" s="171"/>
      <c r="I87" s="170"/>
      <c r="J87" s="171"/>
      <c r="K87" s="171"/>
      <c r="L87" s="171"/>
      <c r="M87" s="8"/>
      <c r="N87" s="171"/>
      <c r="O87" s="66"/>
      <c r="P87" s="66"/>
      <c r="Q87" s="8"/>
      <c r="R87" s="66"/>
      <c r="S87" s="66"/>
      <c r="T87" s="66"/>
      <c r="U87" s="8"/>
      <c r="V87" s="66"/>
      <c r="W87" s="66"/>
      <c r="X87" s="66"/>
      <c r="Y87" s="172"/>
      <c r="Z87" s="184"/>
      <c r="AA87" s="184"/>
      <c r="AB87" s="184"/>
      <c r="AC87" s="170"/>
      <c r="AD87" s="171"/>
      <c r="AE87" s="171"/>
      <c r="AF87" s="171"/>
      <c r="AG87" s="175"/>
      <c r="AH87" s="174"/>
      <c r="AI87" s="175"/>
      <c r="AJ87" s="175"/>
      <c r="AK87" s="176"/>
      <c r="AL87" s="176"/>
      <c r="AM87" s="176"/>
      <c r="AN87" s="176"/>
      <c r="AO87" s="176"/>
      <c r="AP87" s="176"/>
      <c r="AQ87" s="176"/>
      <c r="AR87" s="176"/>
      <c r="AS87" s="171"/>
      <c r="AT87" s="171"/>
    </row>
    <row r="88">
      <c r="A88" s="103" t="s">
        <v>2704</v>
      </c>
      <c r="B88" s="104" t="s">
        <v>2705</v>
      </c>
      <c r="E88" s="103" t="s">
        <v>2704</v>
      </c>
      <c r="F88" s="103" t="s">
        <v>2706</v>
      </c>
      <c r="I88" s="103" t="s">
        <v>2704</v>
      </c>
      <c r="J88" s="103" t="s">
        <v>2707</v>
      </c>
      <c r="M88" s="103" t="s">
        <v>2704</v>
      </c>
      <c r="N88" s="104" t="str">
        <f>IFERROR(__xludf.DUMMYFUNCTION("GOOGLETRANSLATE(B88,""zh-tw"",""zh"")"),"游戏机相关剧情")</f>
        <v>游戏机相关剧情</v>
      </c>
      <c r="Q88" s="103" t="s">
        <v>2704</v>
      </c>
      <c r="R88" s="103" t="s">
        <v>2708</v>
      </c>
      <c r="U88" s="103" t="s">
        <v>2704</v>
      </c>
      <c r="V88" s="103" t="s">
        <v>2709</v>
      </c>
      <c r="Y88" s="104" t="s">
        <v>2704</v>
      </c>
      <c r="Z88" s="104" t="s">
        <v>2710</v>
      </c>
      <c r="AC88" s="103" t="s">
        <v>2704</v>
      </c>
      <c r="AD88" s="103" t="s">
        <v>2711</v>
      </c>
      <c r="AG88" s="105" t="s">
        <v>2704</v>
      </c>
      <c r="AH88" s="106" t="s">
        <v>2712</v>
      </c>
      <c r="AK88" s="104" t="s">
        <v>2704</v>
      </c>
      <c r="AL88" s="104" t="s">
        <v>2713</v>
      </c>
      <c r="AO88" s="103" t="s">
        <v>2704</v>
      </c>
      <c r="AP88" s="103" t="s">
        <v>2714</v>
      </c>
      <c r="AS88" s="104"/>
      <c r="AT88" s="104"/>
    </row>
    <row r="89">
      <c r="A89" s="107">
        <v>1.0</v>
      </c>
      <c r="B89" s="108" t="s">
        <v>2715</v>
      </c>
      <c r="C89" s="109" t="s">
        <v>2716</v>
      </c>
      <c r="D89" s="110" t="s">
        <v>2717</v>
      </c>
      <c r="E89" s="107">
        <v>1.0</v>
      </c>
      <c r="F89" s="108" t="s">
        <v>2718</v>
      </c>
      <c r="G89" s="109" t="s">
        <v>2719</v>
      </c>
      <c r="H89" s="110" t="s">
        <v>2720</v>
      </c>
      <c r="I89" s="107">
        <v>1.0</v>
      </c>
      <c r="J89" s="108" t="s">
        <v>2721</v>
      </c>
      <c r="K89" s="109" t="s">
        <v>2722</v>
      </c>
      <c r="L89" s="110" t="s">
        <v>2723</v>
      </c>
      <c r="M89" s="185">
        <v>1.0</v>
      </c>
      <c r="N89" s="108" t="str">
        <f>IFERROR(__xludf.DUMMYFUNCTION("GOOGLETRANSLATE(B89,""zh-tw"",""zh"")"),"第一次游戏中的恶作剧")</f>
        <v>第一次游戏中的恶作剧</v>
      </c>
      <c r="O89" s="113" t="str">
        <f>IFERROR(__xludf.DUMMYFUNCTION("GOOGLETRANSLATE(C89,""zh-tw"",""zh"")"),"在拥有游戏机后，第一次对正在独自一人玩游戏的妹妹，使用一起游玩的恶作剧")</f>
        <v>在拥有游戏机后，第一次对正在独自一人玩游戏的妹妹，使用一起游玩的恶作剧</v>
      </c>
      <c r="P89" s="75" t="str">
        <f>IFERROR(__xludf.DUMMYFUNCTION("GOOGLETRANSLATE(D89,""zh-tw"",""zh"")"),"有一段的特殊对话，并且之后可以对游戏中的妹妹恶作剧")</f>
        <v>有一段的特殊对话，并且之后可以对游戏中的妹妹恶作剧</v>
      </c>
      <c r="Q89" s="185">
        <v>1.0</v>
      </c>
      <c r="R89" s="112" t="s">
        <v>2724</v>
      </c>
      <c r="S89" s="111" t="s">
        <v>2725</v>
      </c>
      <c r="T89" s="72" t="s">
        <v>2726</v>
      </c>
      <c r="U89" s="185">
        <v>1.0</v>
      </c>
      <c r="V89" s="125" t="s">
        <v>2727</v>
      </c>
      <c r="W89" s="113" t="s">
        <v>2728</v>
      </c>
      <c r="X89" s="75" t="s">
        <v>2729</v>
      </c>
      <c r="Y89" s="107">
        <v>1.0</v>
      </c>
      <c r="Z89" s="149" t="s">
        <v>2730</v>
      </c>
      <c r="AA89" s="150" t="s">
        <v>2731</v>
      </c>
      <c r="AB89" s="132" t="s">
        <v>2732</v>
      </c>
      <c r="AC89" s="107">
        <v>1.0</v>
      </c>
      <c r="AD89" s="108" t="s">
        <v>2733</v>
      </c>
      <c r="AE89" s="109" t="s">
        <v>2734</v>
      </c>
      <c r="AF89" s="110" t="s">
        <v>2735</v>
      </c>
      <c r="AG89" s="117">
        <v>1.0</v>
      </c>
      <c r="AH89" s="133" t="s">
        <v>2736</v>
      </c>
      <c r="AI89" s="119" t="s">
        <v>2737</v>
      </c>
      <c r="AJ89" s="120" t="s">
        <v>2738</v>
      </c>
      <c r="AK89" s="107">
        <v>1.0</v>
      </c>
      <c r="AL89" s="121" t="s">
        <v>2739</v>
      </c>
      <c r="AM89" s="122" t="s">
        <v>2740</v>
      </c>
      <c r="AN89" s="123" t="s">
        <v>2741</v>
      </c>
      <c r="AO89" s="107">
        <v>1.0</v>
      </c>
      <c r="AP89" s="108" t="str">
        <f>IFERROR(__xludf.DUMMYFUNCTION("GOOGLETRANSLATE(B89,""zh-tw"",""id"")"),"Prank pertama dalam game")</f>
        <v>Prank pertama dalam game</v>
      </c>
      <c r="AQ89" s="113" t="str">
        <f>IFERROR(__xludf.DUMMYFUNCTION("GOOGLETRANSLATE(C89,""zh-tw"",""id"")"),"Setelah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R89" s="75" t="str">
        <f>IFERROR(__xludf.DUMMYFUNCTION("GOOGLETRANSLATE(D89,""zh-tw"",""id"")"),"Terdapat segmen dialog khusus, dan setelah itu Anda dapat mengerjai adik perempuan dalam permainan.")</f>
        <v>Terdapat segmen dialog khusus, dan setelah itu Anda dapat mengerjai adik perempuan dalam permainan.</v>
      </c>
      <c r="AS89" s="110"/>
      <c r="AT89" s="110"/>
    </row>
    <row r="90">
      <c r="A90" s="107">
        <v>2.0</v>
      </c>
      <c r="B90" s="108" t="s">
        <v>2742</v>
      </c>
      <c r="C90" s="109" t="s">
        <v>2743</v>
      </c>
      <c r="D90" s="110" t="s">
        <v>2744</v>
      </c>
      <c r="E90" s="107">
        <v>2.0</v>
      </c>
      <c r="F90" s="108" t="s">
        <v>2745</v>
      </c>
      <c r="G90" s="109" t="s">
        <v>2746</v>
      </c>
      <c r="H90" s="110" t="s">
        <v>2747</v>
      </c>
      <c r="I90" s="107">
        <v>2.0</v>
      </c>
      <c r="J90" s="108" t="s">
        <v>2748</v>
      </c>
      <c r="K90" s="109" t="s">
        <v>2749</v>
      </c>
      <c r="L90" s="110" t="s">
        <v>2750</v>
      </c>
      <c r="M90" s="185">
        <v>2.0</v>
      </c>
      <c r="N90" s="108" t="str">
        <f>IFERROR(__xludf.DUMMYFUNCTION("GOOGLETRANSLATE(B90,""zh-tw"",""zh"")"),"夜晚的发现")</f>
        <v>夜晚的发现</v>
      </c>
      <c r="O90" s="113" t="str">
        <f>IFERROR(__xludf.DUMMYFUNCTION("GOOGLETRANSLATE(C90,""zh-tw"",""zh"")"),"在拥有游戏机后，第一次夜袭时，妹妹会因偷玩游戏被哥哥抓到")</f>
        <v>在拥有游戏机后，第一次夜袭时，妹妹会因偷玩游戏被哥哥抓到</v>
      </c>
      <c r="P90" s="75" t="s">
        <v>2751</v>
      </c>
      <c r="Q90" s="185">
        <v>2.0</v>
      </c>
      <c r="R90" s="112" t="s">
        <v>2752</v>
      </c>
      <c r="S90" s="111" t="s">
        <v>2753</v>
      </c>
      <c r="T90" s="72" t="s">
        <v>2754</v>
      </c>
      <c r="U90" s="185">
        <v>2.0</v>
      </c>
      <c r="V90" s="125" t="s">
        <v>2755</v>
      </c>
      <c r="W90" s="113" t="s">
        <v>2756</v>
      </c>
      <c r="X90" s="75" t="s">
        <v>2757</v>
      </c>
      <c r="Y90" s="107">
        <v>2.0</v>
      </c>
      <c r="Z90" s="149" t="s">
        <v>2758</v>
      </c>
      <c r="AA90" s="150" t="s">
        <v>2759</v>
      </c>
      <c r="AB90" s="132" t="s">
        <v>2760</v>
      </c>
      <c r="AC90" s="107">
        <v>2.0</v>
      </c>
      <c r="AD90" s="108" t="s">
        <v>2761</v>
      </c>
      <c r="AE90" s="109" t="s">
        <v>2762</v>
      </c>
      <c r="AF90" s="110" t="s">
        <v>2763</v>
      </c>
      <c r="AG90" s="117">
        <v>2.0</v>
      </c>
      <c r="AH90" s="118" t="s">
        <v>2764</v>
      </c>
      <c r="AI90" s="119" t="s">
        <v>2765</v>
      </c>
      <c r="AJ90" s="120" t="s">
        <v>2766</v>
      </c>
      <c r="AK90" s="185">
        <v>2.0</v>
      </c>
      <c r="AL90" s="160" t="s">
        <v>2767</v>
      </c>
      <c r="AM90" s="141" t="s">
        <v>2768</v>
      </c>
      <c r="AN90" s="142" t="s">
        <v>2769</v>
      </c>
      <c r="AO90" s="185">
        <v>2.0</v>
      </c>
      <c r="AP90" s="108" t="str">
        <f>IFERROR(__xludf.DUMMYFUNCTION("GOOGLETRANSLATE(B90,""zh-tw"",""id"")"),"Penemuan di Malam Hari")</f>
        <v>Penemuan di Malam Hari</v>
      </c>
      <c r="AQ90" s="113" t="str">
        <f>IFERROR(__xludf.DUMMYFUNCTION("GOOGLETRANSLATE(C90,""zh-tw"",""id"")"),"Setelah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R90" s="75" t="str">
        <f>IFERROR(__xludf.DUMMYFUNCTION("GOOGLETRANSLATE(D90,""zh-tw"",""id"")"),"※ Memicu acara satu kali")</f>
        <v>※ Memicu acara satu kali</v>
      </c>
      <c r="AS90" s="110"/>
      <c r="AT90" s="110"/>
    </row>
    <row r="91">
      <c r="A91" s="185">
        <v>3.0</v>
      </c>
      <c r="B91" s="125" t="s">
        <v>2770</v>
      </c>
      <c r="C91" s="113" t="s">
        <v>2771</v>
      </c>
      <c r="D91" s="75" t="s">
        <v>2772</v>
      </c>
      <c r="E91" s="185">
        <v>3.0</v>
      </c>
      <c r="F91" s="125" t="s">
        <v>2773</v>
      </c>
      <c r="G91" s="113" t="s">
        <v>2774</v>
      </c>
      <c r="H91" s="75" t="s">
        <v>2775</v>
      </c>
      <c r="I91" s="185">
        <v>3.0</v>
      </c>
      <c r="J91" s="125" t="s">
        <v>2776</v>
      </c>
      <c r="K91" s="113" t="s">
        <v>2777</v>
      </c>
      <c r="L91" s="75" t="s">
        <v>2778</v>
      </c>
      <c r="M91" s="185">
        <v>3.0</v>
      </c>
      <c r="N91" s="125" t="str">
        <f>IFERROR(__xludf.DUMMYFUNCTION("GOOGLETRANSLATE(B91,""zh-tw"",""zh"")"),"游戏中的干扰")</f>
        <v>游戏中的干扰</v>
      </c>
      <c r="O91" s="113" t="str">
        <f>IFERROR(__xludf.DUMMYFUNCTION("GOOGLETRANSLATE(C91,""zh-tw"",""zh"")"),"在妹妹独自一人玩游戏时，若进行干扰，妹妹会生气")</f>
        <v>在妹妹独自一人玩游戏时，若进行干扰，妹妹会生气</v>
      </c>
      <c r="P91" s="75" t="str">
        <f>IFERROR(__xludf.DUMMYFUNCTION("GOOGLETRANSLATE(D91,""zh-tw"",""zh"")"),"生气之后安抚好，会获得随机的肉料理、别受伤的约定")</f>
        <v>生气之后安抚好，会获得随机的肉料理、别受伤的约定</v>
      </c>
      <c r="Q91" s="185">
        <v>3.0</v>
      </c>
      <c r="R91" s="125" t="s">
        <v>2779</v>
      </c>
      <c r="S91" s="111" t="s">
        <v>2780</v>
      </c>
      <c r="T91" s="72" t="s">
        <v>2781</v>
      </c>
      <c r="U91" s="185">
        <v>3.0</v>
      </c>
      <c r="V91" s="125" t="s">
        <v>2782</v>
      </c>
      <c r="W91" s="113" t="s">
        <v>2783</v>
      </c>
      <c r="X91" s="75" t="s">
        <v>2784</v>
      </c>
      <c r="Y91" s="185">
        <v>3.0</v>
      </c>
      <c r="Z91" s="149" t="s">
        <v>2785</v>
      </c>
      <c r="AA91" s="150" t="s">
        <v>2786</v>
      </c>
      <c r="AB91" s="132" t="s">
        <v>2787</v>
      </c>
      <c r="AC91" s="185">
        <v>3.0</v>
      </c>
      <c r="AD91" s="125" t="s">
        <v>2788</v>
      </c>
      <c r="AE91" s="113" t="s">
        <v>2789</v>
      </c>
      <c r="AF91" s="75" t="s">
        <v>2790</v>
      </c>
      <c r="AG91" s="186">
        <v>3.0</v>
      </c>
      <c r="AH91" s="187" t="s">
        <v>2791</v>
      </c>
      <c r="AI91" s="152" t="s">
        <v>2792</v>
      </c>
      <c r="AJ91" s="188" t="s">
        <v>2793</v>
      </c>
      <c r="AK91" s="185">
        <v>3.0</v>
      </c>
      <c r="AL91" s="140" t="s">
        <v>2794</v>
      </c>
      <c r="AM91" s="141" t="s">
        <v>2795</v>
      </c>
      <c r="AN91" s="142" t="s">
        <v>2796</v>
      </c>
      <c r="AO91" s="185">
        <v>3.0</v>
      </c>
      <c r="AP91" s="108" t="str">
        <f>IFERROR(__xludf.DUMMYFUNCTION("GOOGLETRANSLATE(B91,""zh-tw"",""id"")"),"Gangguan dalam permainan")</f>
        <v>Gangguan dalam permainan</v>
      </c>
      <c r="AQ91" s="113" t="str">
        <f>IFERROR(__xludf.DUMMYFUNCTION("GOOGLETRANSLATE(C91,""zh-tw"",""id"")"),"Jika aku mengganggu adik perempuanku saat dia bermain game sendirian, dia akan marah.")</f>
        <v>Jika aku mengganggu adik perempuanku saat dia bermain game sendirian, dia akan marah.</v>
      </c>
      <c r="AR91" s="75" t="str">
        <f>IFERROR(__xludf.DUMMYFUNCTION("GOOGLETRANSLATE(D91,""zh-tw"",""id"")"),"Jika kamu tenang setelah seseorang marah, kamu akan menerima hidangan daging acak dan janji untuk tidak menyakiti diri sendiri.")</f>
        <v>Jika kamu tenang setelah seseorang marah, kamu akan menerima hidangan daging acak dan janji untuk tidak menyakiti diri sendiri.</v>
      </c>
      <c r="AS91" s="75"/>
      <c r="AT91" s="75"/>
    </row>
    <row r="92">
      <c r="A92" s="185">
        <v>4.0</v>
      </c>
      <c r="B92" s="125" t="s">
        <v>2797</v>
      </c>
      <c r="C92" s="113" t="s">
        <v>2798</v>
      </c>
      <c r="D92" s="75" t="s">
        <v>2799</v>
      </c>
      <c r="E92" s="185">
        <v>4.0</v>
      </c>
      <c r="F92" s="125" t="s">
        <v>2800</v>
      </c>
      <c r="G92" s="113" t="s">
        <v>2801</v>
      </c>
      <c r="H92" s="75" t="s">
        <v>2802</v>
      </c>
      <c r="I92" s="185">
        <v>4.0</v>
      </c>
      <c r="J92" s="125" t="s">
        <v>2803</v>
      </c>
      <c r="K92" s="113" t="s">
        <v>2804</v>
      </c>
      <c r="L92" s="75" t="s">
        <v>2805</v>
      </c>
      <c r="M92" s="185">
        <v>4.0</v>
      </c>
      <c r="N92" s="125" t="str">
        <f>IFERROR(__xludf.DUMMYFUNCTION("GOOGLETRANSLATE(B92,""zh-tw"",""zh"")"),"游戏中的干扰-1")</f>
        <v>游戏中的干扰-1</v>
      </c>
      <c r="O92" s="113" t="str">
        <f>IFERROR(__xludf.DUMMYFUNCTION("GOOGLETRANSLATE(C92,""zh-tw"",""zh"")"),"同上，若拥有暗影之魂-DLC后，即可触发其他选项")</f>
        <v>同上，若拥有暗影之魂-DLC后，即可触发其他选项</v>
      </c>
      <c r="P92" s="75" t="str">
        <f>IFERROR(__xludf.DUMMYFUNCTION("GOOGLETRANSLATE(D92,""zh-tw"",""zh"")"),"新增其他选项")</f>
        <v>新增其他选项</v>
      </c>
      <c r="Q92" s="185">
        <v>4.0</v>
      </c>
      <c r="R92" s="112" t="s">
        <v>2806</v>
      </c>
      <c r="S92" s="111" t="s">
        <v>2807</v>
      </c>
      <c r="T92" s="75" t="str">
        <f>IFERROR(__xludf.DUMMYFUNCTION("GOOGLETRANSLATE(D92,""zh-tw"",""es-MX"")"),"Agregar otras opciones")</f>
        <v>Agregar otras opciones</v>
      </c>
      <c r="U92" s="185">
        <v>4.0</v>
      </c>
      <c r="V92" s="125" t="s">
        <v>2808</v>
      </c>
      <c r="W92" s="113" t="s">
        <v>2809</v>
      </c>
      <c r="X92" s="75" t="str">
        <f>IFERROR(__xludf.DUMMYFUNCTION("GOOGLETRANSLATE(D92,""zh-tw"",""KO"")"),"다른 옵션을 추가하세요")</f>
        <v>다른 옵션을 추가하세요</v>
      </c>
      <c r="Y92" s="185">
        <v>4.0</v>
      </c>
      <c r="Z92" s="149" t="s">
        <v>2810</v>
      </c>
      <c r="AA92" s="150" t="s">
        <v>2811</v>
      </c>
      <c r="AB92" s="132" t="s">
        <v>2812</v>
      </c>
      <c r="AC92" s="185">
        <v>4.0</v>
      </c>
      <c r="AD92" s="125" t="s">
        <v>2813</v>
      </c>
      <c r="AE92" s="113" t="s">
        <v>2814</v>
      </c>
      <c r="AF92" s="75" t="s">
        <v>2815</v>
      </c>
      <c r="AG92" s="186">
        <v>4.0</v>
      </c>
      <c r="AH92" s="187" t="s">
        <v>2816</v>
      </c>
      <c r="AI92" s="152" t="s">
        <v>2817</v>
      </c>
      <c r="AJ92" s="188" t="s">
        <v>2818</v>
      </c>
      <c r="AK92" s="185">
        <v>4.0</v>
      </c>
      <c r="AL92" s="140" t="s">
        <v>2819</v>
      </c>
      <c r="AM92" s="141" t="s">
        <v>2820</v>
      </c>
      <c r="AN92" s="142" t="s">
        <v>2821</v>
      </c>
      <c r="AO92" s="185">
        <v>4.0</v>
      </c>
      <c r="AP92" s="108" t="str">
        <f>IFERROR(__xludf.DUMMYFUNCTION("GOOGLETRANSLATE(B92,""zh-tw"",""id"")"),"Gangguan dalam permainan -1")</f>
        <v>Gangguan dalam permainan -1</v>
      </c>
      <c r="AQ92" s="113" t="str">
        <f>IFERROR(__xludf.DUMMYFUNCTION("GOOGLETRANSLATE(C92,""zh-tw"",""id"")"),"Demikian pula, jika Anda memiliki DLC Shadow Souls, Anda dapat mengaktifkan opsi lainnya.")</f>
        <v>Demikian pula, jika Anda memiliki DLC Shadow Souls, Anda dapat mengaktifkan opsi lainnya.</v>
      </c>
      <c r="AR92" s="75" t="str">
        <f>IFERROR(__xludf.DUMMYFUNCTION("GOOGLETRANSLATE(D92,""zh-tw"",""id"")"),"Tambahkan opsi lain")</f>
        <v>Tambahkan opsi lain</v>
      </c>
      <c r="AS92" s="75"/>
      <c r="AT92" s="75"/>
    </row>
    <row r="93">
      <c r="A93" s="185">
        <v>5.0</v>
      </c>
      <c r="B93" s="125" t="s">
        <v>2822</v>
      </c>
      <c r="C93" s="113" t="s">
        <v>2823</v>
      </c>
      <c r="D93" s="75" t="s">
        <v>2824</v>
      </c>
      <c r="E93" s="185">
        <v>5.0</v>
      </c>
      <c r="F93" s="125" t="s">
        <v>2825</v>
      </c>
      <c r="G93" s="113" t="s">
        <v>2826</v>
      </c>
      <c r="H93" s="75" t="s">
        <v>2827</v>
      </c>
      <c r="I93" s="185">
        <v>5.0</v>
      </c>
      <c r="J93" s="125" t="s">
        <v>2828</v>
      </c>
      <c r="K93" s="113" t="s">
        <v>2829</v>
      </c>
      <c r="L93" s="75" t="s">
        <v>2830</v>
      </c>
      <c r="M93" s="185">
        <v>5.0</v>
      </c>
      <c r="N93" s="125" t="str">
        <f>IFERROR(__xludf.DUMMYFUNCTION("GOOGLETRANSLATE(B93,""zh-tw"",""zh"")"),"Zzz -1")</f>
        <v>Zzz -1</v>
      </c>
      <c r="O93" s="113" t="str">
        <f>IFERROR(__xludf.DUMMYFUNCTION("GOOGLETRANSLATE(C93,""zh-tw"",""zh"")"),"「喝点什么」给妹妹喂一颗""蓝色金平糖""后，会处发妹妹想睡觉的放松状态")</f>
        <v>「喝点什么」给妹妹喂一颗"蓝色金平糖"后，会处发妹妹想睡觉的放松状态</v>
      </c>
      <c r="P93" s="75" t="str">
        <f>IFERROR(__xludf.DUMMYFUNCTION("GOOGLETRANSLATE(D93,""zh-tw"",""zh"")"),"放松戒心，偷窥不容易被发现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93" s="185">
        <v>5.0</v>
      </c>
      <c r="R93" s="125" t="s">
        <v>2831</v>
      </c>
      <c r="S93" s="111" t="s">
        <v>2832</v>
      </c>
      <c r="T93" s="72" t="s">
        <v>2833</v>
      </c>
      <c r="U93" s="185">
        <v>5.0</v>
      </c>
      <c r="V93" s="125" t="str">
        <f>IFERROR(__xludf.DUMMYFUNCTION("GOOGLETRANSLATE(B93,""zh-tw"",""KO"")"),"Zzz -1")</f>
        <v>Zzz -1</v>
      </c>
      <c r="W93" s="113" t="str">
        <f>IFERROR(__xludf.DUMMYFUNCTION("GOOGLETRANSLATE(C93,""zh-tw"",""KO"")"),"여동생에게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93" s="75" t="str">
        <f>IFERROR(__xludf.DUMMYFUNCTION("GOOGLETRANSLATE(D93,""zh-tw"",""KO"")"),"방심하면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93" s="185">
        <v>5.0</v>
      </c>
      <c r="Z93" s="149" t="s">
        <v>2834</v>
      </c>
      <c r="AA93" s="150" t="s">
        <v>2835</v>
      </c>
      <c r="AB93" s="132" t="s">
        <v>2836</v>
      </c>
      <c r="AC93" s="185">
        <v>5.0</v>
      </c>
      <c r="AD93" s="125" t="s">
        <v>2837</v>
      </c>
      <c r="AE93" s="113" t="s">
        <v>2838</v>
      </c>
      <c r="AF93" s="75" t="s">
        <v>2839</v>
      </c>
      <c r="AG93" s="186">
        <v>5.0</v>
      </c>
      <c r="AH93" s="187" t="s">
        <v>2840</v>
      </c>
      <c r="AI93" s="130" t="s">
        <v>2841</v>
      </c>
      <c r="AJ93" s="134" t="s">
        <v>2842</v>
      </c>
      <c r="AK93" s="185">
        <v>5.0</v>
      </c>
      <c r="AL93" s="140" t="s">
        <v>2843</v>
      </c>
      <c r="AM93" s="141" t="s">
        <v>2844</v>
      </c>
      <c r="AN93" s="142" t="s">
        <v>2845</v>
      </c>
      <c r="AO93" s="185">
        <v>5.0</v>
      </c>
      <c r="AP93" s="108" t="str">
        <f>IFERROR(__xludf.DUMMYFUNCTION("GOOGLETRANSLATE(B93,""zh-tw"",""id"")"),"Zzz -1")</f>
        <v>Zzz -1</v>
      </c>
      <c r="AQ93" s="113" t="str">
        <f>IFERROR(__xludf.DUMMYFUNCTION("GOOGLETRANSLATE(C93,""zh-tw"",""id"")"),"Setelah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R93" s="75" t="str">
        <f>IFERROR(__xludf.DUMMYFUNCTION("GOOGLETRANSLATE(D93,""zh-tw"",""id"")"),"Jika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S93" s="75"/>
      <c r="AT93" s="75"/>
    </row>
    <row r="94">
      <c r="A94" s="8"/>
      <c r="B94" s="66"/>
      <c r="C94" s="66"/>
      <c r="D94" s="66"/>
      <c r="E94" s="8"/>
      <c r="F94" s="66"/>
      <c r="G94" s="66"/>
      <c r="H94" s="66"/>
      <c r="I94" s="8"/>
      <c r="J94" s="66"/>
      <c r="K94" s="66"/>
      <c r="L94" s="66"/>
      <c r="M94" s="8"/>
      <c r="N94" s="66"/>
      <c r="O94" s="66"/>
      <c r="P94" s="66"/>
      <c r="Q94" s="8"/>
      <c r="R94" s="66"/>
      <c r="S94" s="66"/>
      <c r="T94" s="66"/>
      <c r="U94" s="8"/>
      <c r="V94" s="66"/>
      <c r="W94" s="66"/>
      <c r="X94" s="66"/>
      <c r="Y94" s="189"/>
      <c r="Z94" s="184"/>
      <c r="AA94" s="184"/>
      <c r="AB94" s="184"/>
      <c r="AC94" s="8"/>
      <c r="AD94" s="66"/>
      <c r="AE94" s="66"/>
      <c r="AF94" s="66"/>
      <c r="AG94" s="190"/>
      <c r="AH94" s="191"/>
      <c r="AI94" s="190"/>
      <c r="AJ94" s="190"/>
      <c r="AK94" s="66"/>
      <c r="AL94" s="66"/>
      <c r="AM94" s="66"/>
      <c r="AN94" s="66"/>
      <c r="AO94" s="66"/>
      <c r="AP94" s="66"/>
      <c r="AQ94" s="66"/>
      <c r="AR94" s="66"/>
      <c r="AS94" s="66"/>
      <c r="AT94" s="66"/>
    </row>
    <row r="95">
      <c r="A95" s="103" t="s">
        <v>2846</v>
      </c>
      <c r="B95" s="192" t="s">
        <v>2847</v>
      </c>
      <c r="E95" s="103" t="s">
        <v>2846</v>
      </c>
      <c r="F95" s="103" t="s">
        <v>2848</v>
      </c>
      <c r="I95" s="103" t="s">
        <v>2846</v>
      </c>
      <c r="J95" s="103" t="s">
        <v>2849</v>
      </c>
      <c r="M95" s="103" t="s">
        <v>2846</v>
      </c>
      <c r="N95" s="104" t="str">
        <f>IFERROR(__xludf.DUMMYFUNCTION("GOOGLETRANSLATE(B95,""zh-tw"",""zh"")"),"特殊天气相关")</f>
        <v>特殊天气相关</v>
      </c>
      <c r="Q95" s="103" t="s">
        <v>2846</v>
      </c>
      <c r="R95" s="103" t="s">
        <v>2850</v>
      </c>
      <c r="U95" s="103" t="s">
        <v>2846</v>
      </c>
      <c r="V95" s="103" t="s">
        <v>2851</v>
      </c>
      <c r="Y95" s="104" t="s">
        <v>2846</v>
      </c>
      <c r="Z95" s="104" t="s">
        <v>2852</v>
      </c>
      <c r="AC95" s="103" t="s">
        <v>2846</v>
      </c>
      <c r="AD95" s="103" t="s">
        <v>2853</v>
      </c>
      <c r="AG95" s="105" t="s">
        <v>2846</v>
      </c>
      <c r="AH95" s="193" t="s">
        <v>2854</v>
      </c>
      <c r="AK95" s="192" t="s">
        <v>2846</v>
      </c>
      <c r="AL95" s="192" t="s">
        <v>2855</v>
      </c>
      <c r="AO95" s="103" t="s">
        <v>2846</v>
      </c>
      <c r="AP95" s="103" t="s">
        <v>2856</v>
      </c>
      <c r="AS95" s="192"/>
      <c r="AT95" s="192"/>
    </row>
    <row r="96">
      <c r="A96" s="185">
        <v>1.0</v>
      </c>
      <c r="B96" s="125" t="s">
        <v>2857</v>
      </c>
      <c r="C96" s="113" t="s">
        <v>2858</v>
      </c>
      <c r="D96" s="75" t="s">
        <v>2859</v>
      </c>
      <c r="E96" s="185">
        <v>1.0</v>
      </c>
      <c r="F96" s="125" t="s">
        <v>2860</v>
      </c>
      <c r="G96" s="113" t="s">
        <v>2861</v>
      </c>
      <c r="H96" s="75" t="s">
        <v>2862</v>
      </c>
      <c r="I96" s="185">
        <v>1.0</v>
      </c>
      <c r="J96" s="125" t="s">
        <v>2863</v>
      </c>
      <c r="K96" s="113" t="s">
        <v>2864</v>
      </c>
      <c r="L96" s="75" t="s">
        <v>2865</v>
      </c>
      <c r="M96" s="185">
        <v>1.0</v>
      </c>
      <c r="N96" s="125" t="str">
        <f>IFERROR(__xludf.DUMMYFUNCTION("GOOGLETRANSLATE(B96,""zh-tw"",""zh"")"),"炎热的消暑-1")</f>
        <v>炎热的消暑-1</v>
      </c>
      <c r="O96" s="113" t="str">
        <f>IFERROR(__xludf.DUMMYFUNCTION("GOOGLETRANSLATE(C96,""zh-tw"",""zh"")"),"于炎热天气时，递给妹妹喝逆流可乐")</f>
        <v>于炎热天气时，递给妹妹喝逆流可乐</v>
      </c>
      <c r="P96" s="75" t="str">
        <f>IFERROR(__xludf.DUMMYFUNCTION("GOOGLETRANSLATE(D96,""zh-tw"",""zh"")"),"特殊动画、妹妹的心情+10好感+20")</f>
        <v>特殊动画、妹妹的心情+10好感+20</v>
      </c>
      <c r="Q96" s="185">
        <v>1.0</v>
      </c>
      <c r="R96" s="125" t="s">
        <v>2866</v>
      </c>
      <c r="S96" s="111" t="s">
        <v>2867</v>
      </c>
      <c r="T96" s="75" t="str">
        <f>IFERROR(__xludf.DUMMYFUNCTION("GOOGLETRANSLATE(D96,""zh-tw"",""es-MX"")"),"Animación especial, estado de ánimo de la hermana +10, afecto +20")</f>
        <v>Animación especial, estado de ánimo de la hermana +10, afecto +20</v>
      </c>
      <c r="U96" s="185">
        <v>1.0</v>
      </c>
      <c r="V96" s="125" t="str">
        <f>IFERROR(__xludf.DUMMYFUNCTION("GOOGLETRANSLATE(B96,""zh-tw"",""KO"")"),"무더운 날씨에 시원하게 더위를 식히는 방법 - 1부")</f>
        <v>무더운 날씨에 시원하게 더위를 식히는 방법 - 1부</v>
      </c>
      <c r="W96" s="113" t="str">
        <f>IFERROR(__xludf.DUMMYFUNCTION("GOOGLETRANSLATE(C96,""zh-tw"",""KO"")"),"무더운 날, 나는 여동생에게 콜라를 건넸는데 콜라가 거꾸로 흘러나왔다.")</f>
        <v>무더운 날, 나는 여동생에게 콜라를 건넸는데 콜라가 거꾸로 흘러나왔다.</v>
      </c>
      <c r="X96" s="75" t="str">
        <f>IFERROR(__xludf.DUMMYFUNCTION("GOOGLETRANSLATE(D96,""zh-tw"",""KO"")"),"특별 애니메이션, 여동생 기분 +10, 애정도 +20")</f>
        <v>특별 애니메이션, 여동생 기분 +10, 애정도 +20</v>
      </c>
      <c r="Y96" s="185">
        <v>1.0</v>
      </c>
      <c r="Z96" s="149" t="s">
        <v>2868</v>
      </c>
      <c r="AA96" s="150" t="s">
        <v>2869</v>
      </c>
      <c r="AB96" s="132" t="s">
        <v>2870</v>
      </c>
      <c r="AC96" s="185">
        <v>1.0</v>
      </c>
      <c r="AD96" s="125" t="s">
        <v>2871</v>
      </c>
      <c r="AE96" s="113" t="s">
        <v>2872</v>
      </c>
      <c r="AF96" s="75" t="s">
        <v>2873</v>
      </c>
      <c r="AG96" s="186">
        <v>1.0</v>
      </c>
      <c r="AH96" s="187" t="s">
        <v>2874</v>
      </c>
      <c r="AI96" s="152" t="s">
        <v>2875</v>
      </c>
      <c r="AJ96" s="188" t="s">
        <v>2876</v>
      </c>
      <c r="AK96" s="185">
        <v>1.0</v>
      </c>
      <c r="AL96" s="140" t="s">
        <v>2877</v>
      </c>
      <c r="AM96" s="141" t="s">
        <v>2878</v>
      </c>
      <c r="AN96" s="129" t="s">
        <v>2879</v>
      </c>
      <c r="AO96" s="185">
        <v>1.0</v>
      </c>
      <c r="AP96" s="108" t="str">
        <f>IFERROR(__xludf.DUMMYFUNCTION("GOOGLETRANSLATE(B96,""zh-tw"",""id"")"),"Mendinginkan badan di cuaca panas - Bagian 1")</f>
        <v>Mendinginkan badan di cuaca panas - Bagian 1</v>
      </c>
      <c r="AQ96" s="113" t="str">
        <f>IFERROR(__xludf.DUMMYFUNCTION("GOOGLETRANSLATE(C96,""zh-tw"",""id"")"),"Pada hari yang panas, saya memberikan adik perempuan saya sebotol Coca-Cola yang mengalir terbalik.")</f>
        <v>Pada hari yang panas, saya memberikan adik perempuan saya sebotol Coca-Cola yang mengalir terbalik.</v>
      </c>
      <c r="AR96" s="75" t="str">
        <f>IFERROR(__xludf.DUMMYFUNCTION("GOOGLETRANSLATE(D96,""zh-tw"",""id"")"),"Animasi spesial, suasana hati saudari +10, kasih sayang +20")</f>
        <v>Animasi spesial, suasana hati saudari +10, kasih sayang +20</v>
      </c>
      <c r="AS96" s="75"/>
      <c r="AT96" s="75"/>
    </row>
    <row r="97">
      <c r="A97" s="185">
        <v>2.0</v>
      </c>
      <c r="B97" s="125" t="s">
        <v>2880</v>
      </c>
      <c r="C97" s="113" t="s">
        <v>2881</v>
      </c>
      <c r="D97" s="75" t="s">
        <v>2882</v>
      </c>
      <c r="E97" s="185">
        <v>2.0</v>
      </c>
      <c r="F97" s="125" t="s">
        <v>2883</v>
      </c>
      <c r="G97" s="113" t="s">
        <v>2884</v>
      </c>
      <c r="H97" s="75" t="s">
        <v>2885</v>
      </c>
      <c r="I97" s="185">
        <v>2.0</v>
      </c>
      <c r="J97" s="125" t="s">
        <v>2886</v>
      </c>
      <c r="K97" s="113" t="s">
        <v>2887</v>
      </c>
      <c r="L97" s="75" t="s">
        <v>2888</v>
      </c>
      <c r="M97" s="185">
        <v>2.0</v>
      </c>
      <c r="N97" s="125" t="str">
        <f>IFERROR(__xludf.DUMMYFUNCTION("GOOGLETRANSLATE(B97,""zh-tw"",""zh"")"),"炎热的消暑-2")</f>
        <v>炎热的消暑-2</v>
      </c>
      <c r="O97" s="113" t="str">
        <f>IFERROR(__xludf.DUMMYFUNCTION("GOOGLETRANSLATE(C97,""zh-tw"",""zh"")"),"于炎热天气时，摇一摇后给妹妹喝""逆流可乐""")</f>
        <v>于炎热天气时，摇一摇后给妹妹喝"逆流可乐"</v>
      </c>
      <c r="P97" s="72" t="s">
        <v>2889</v>
      </c>
      <c r="Q97" s="185">
        <v>2.0</v>
      </c>
      <c r="R97" s="125" t="s">
        <v>2890</v>
      </c>
      <c r="S97" s="111" t="s">
        <v>2891</v>
      </c>
      <c r="T97" s="75" t="str">
        <f>IFERROR(__xludf.DUMMYFUNCTION("GOOGLETRANSLATE(D97,""zh-tw"",""es-MX"")"),"Animaciones especiales; el estado de ánimo de la hermana menor siempre tendrá 20 puntos restantes.")</f>
        <v>Animaciones especiales; el estado de ánimo de la hermana menor siempre tendrá 20 puntos restantes.</v>
      </c>
      <c r="U97" s="185">
        <v>2.0</v>
      </c>
      <c r="V97" s="125" t="str">
        <f>IFERROR(__xludf.DUMMYFUNCTION("GOOGLETRANSLATE(B97,""zh-tw"",""KO"")"),"무더운 날씨에 시원하게 더위를 식히는 방법 - 2부")</f>
        <v>무더운 날씨에 시원하게 더위를 식히는 방법 - 2부</v>
      </c>
      <c r="W97" s="113" t="str">
        <f>IFERROR(__xludf.DUMMYFUNCTION("GOOGLETRANSLATE(C97,""zh-tw"",""KO"")"),"더운 날에는 캔을 흔든 다음 여동생에게 ""역콜라""처럼 마시게 해 줍니다.")</f>
        <v>더운 날에는 캔을 흔든 다음 여동생에게 "역콜라"처럼 마시게 해 줍니다.</v>
      </c>
      <c r="X97" s="75" t="str">
        <f>IFERROR(__xludf.DUMMYFUNCTION("GOOGLETRANSLATE(D97,""zh-tw"",""KO"")"),"특별 애니메이션: 여동생의 기분은 항상 20점으로 유지됩니다.")</f>
        <v>특별 애니메이션: 여동생의 기분은 항상 20점으로 유지됩니다.</v>
      </c>
      <c r="Y97" s="185">
        <v>2.0</v>
      </c>
      <c r="Z97" s="149" t="s">
        <v>2892</v>
      </c>
      <c r="AA97" s="150" t="s">
        <v>2893</v>
      </c>
      <c r="AB97" s="132" t="s">
        <v>2894</v>
      </c>
      <c r="AC97" s="185">
        <v>2.0</v>
      </c>
      <c r="AD97" s="125" t="s">
        <v>2895</v>
      </c>
      <c r="AE97" s="113" t="s">
        <v>2896</v>
      </c>
      <c r="AF97" s="75" t="s">
        <v>2897</v>
      </c>
      <c r="AG97" s="186">
        <v>2.0</v>
      </c>
      <c r="AH97" s="187" t="s">
        <v>2898</v>
      </c>
      <c r="AI97" s="152" t="s">
        <v>2899</v>
      </c>
      <c r="AJ97" s="188" t="s">
        <v>2900</v>
      </c>
      <c r="AK97" s="185">
        <v>2.0</v>
      </c>
      <c r="AL97" s="140" t="s">
        <v>2901</v>
      </c>
      <c r="AM97" s="141" t="s">
        <v>2902</v>
      </c>
      <c r="AN97" s="142" t="s">
        <v>2903</v>
      </c>
      <c r="AO97" s="185">
        <v>2.0</v>
      </c>
      <c r="AP97" s="108" t="str">
        <f>IFERROR(__xludf.DUMMYFUNCTION("GOOGLETRANSLATE(B97,""zh-tw"",""id"")"),"Mendinginkan badan di cuaca panas - Bagian 2")</f>
        <v>Mendinginkan badan di cuaca panas - Bagian 2</v>
      </c>
      <c r="AQ97" s="113" t="str">
        <f>IFERROR(__xludf.DUMMYFUNCTION("GOOGLETRANSLATE(C97,""zh-tw"",""id"")"),"Di hari yang panas, saya mengocok kalengnya sebelum memberikannya kepada adik perempuan saya untuk diminum sebagai ""Cola Terbalik"".")</f>
        <v>Di hari yang panas, saya mengocok kalengnya sebelum memberikannya kepada adik perempuan saya untuk diminum sebagai "Cola Terbalik".</v>
      </c>
      <c r="AR97" s="75" t="str">
        <f>IFERROR(__xludf.DUMMYFUNCTION("GOOGLETRANSLATE(D97,""zh-tw"",""id"")"),"Animasi spesial; suasana hati adik perempuan akan selalu memiliki sisa 20 poin.")</f>
        <v>Animasi spesial; suasana hati adik perempuan akan selalu memiliki sisa 20 poin.</v>
      </c>
      <c r="AS97" s="75"/>
      <c r="AT97" s="75"/>
    </row>
    <row r="98">
      <c r="A98" s="185">
        <v>3.0</v>
      </c>
      <c r="B98" s="125" t="s">
        <v>2904</v>
      </c>
      <c r="C98" s="113" t="s">
        <v>2905</v>
      </c>
      <c r="D98" s="75" t="s">
        <v>2882</v>
      </c>
      <c r="E98" s="185">
        <v>3.0</v>
      </c>
      <c r="F98" s="125" t="s">
        <v>2906</v>
      </c>
      <c r="G98" s="113" t="s">
        <v>2907</v>
      </c>
      <c r="H98" s="75" t="s">
        <v>2885</v>
      </c>
      <c r="I98" s="185">
        <v>3.0</v>
      </c>
      <c r="J98" s="125" t="s">
        <v>2908</v>
      </c>
      <c r="K98" s="113" t="s">
        <v>2909</v>
      </c>
      <c r="L98" s="75" t="s">
        <v>2888</v>
      </c>
      <c r="M98" s="185">
        <v>3.0</v>
      </c>
      <c r="N98" s="125" t="str">
        <f>IFERROR(__xludf.DUMMYFUNCTION("GOOGLETRANSLATE(B98,""zh-tw"",""zh"")"),"炎热的消暑-3")</f>
        <v>炎热的消暑-3</v>
      </c>
      <c r="O98" s="113" t="str">
        <f>IFERROR(__xludf.DUMMYFUNCTION("GOOGLETRANSLATE(C98,""zh-tw"",""zh"")"),"同上，第二次之后有70%概率触发另一段剧情")</f>
        <v>同上，第二次之后有70%概率触发另一段剧情</v>
      </c>
      <c r="P98" s="75" t="str">
        <f>IFERROR(__xludf.DUMMYFUNCTION("GOOGLETRANSLATE(D98,""zh-tw"",""zh"")"),"特殊动画、妹妹的心情会固定剩20点")</f>
        <v>特殊动画、妹妹的心情会固定剩20点</v>
      </c>
      <c r="Q98" s="185">
        <v>3.0</v>
      </c>
      <c r="R98" s="125" t="s">
        <v>2910</v>
      </c>
      <c r="S98" s="111" t="s">
        <v>2911</v>
      </c>
      <c r="T98" s="75" t="str">
        <f>IFERROR(__xludf.DUMMYFUNCTION("GOOGLETRANSLATE(D98,""zh-tw"",""es-MX"")"),"Animaciones especiales; el estado de ánimo de la hermana menor siempre tendrá 20 puntos restantes.")</f>
        <v>Animaciones especiales; el estado de ánimo de la hermana menor siempre tendrá 20 puntos restantes.</v>
      </c>
      <c r="U98" s="185">
        <v>3.0</v>
      </c>
      <c r="V98" s="125" t="str">
        <f>IFERROR(__xludf.DUMMYFUNCTION("GOOGLETRANSLATE(B98,""zh-tw"",""KO"")"),"더운 날씨에 시원하게 더위를 식히기 - 3")</f>
        <v>더운 날씨에 시원하게 더위를 식히기 - 3</v>
      </c>
      <c r="W98" s="113" t="str">
        <f>IFERROR(__xludf.DUMMYFUNCTION("GOOGLETRANSLATE(C98,""zh-tw"",""KO"")"),"위에서 언급했듯이, 두 번째 발생 후에는 또 다른 스토리 전개가 시작될 확률이 70%입니다.")</f>
        <v>위에서 언급했듯이, 두 번째 발생 후에는 또 다른 스토리 전개가 시작될 확률이 70%입니다.</v>
      </c>
      <c r="X98" s="75" t="str">
        <f>IFERROR(__xludf.DUMMYFUNCTION("GOOGLETRANSLATE(D98,""zh-tw"",""KO"")"),"특별 애니메이션: 여동생의 기분은 항상 20점으로 유지됩니다.")</f>
        <v>특별 애니메이션: 여동생의 기분은 항상 20점으로 유지됩니다.</v>
      </c>
      <c r="Y98" s="185">
        <v>3.0</v>
      </c>
      <c r="Z98" s="149" t="s">
        <v>2912</v>
      </c>
      <c r="AA98" s="150" t="s">
        <v>2913</v>
      </c>
      <c r="AB98" s="132" t="s">
        <v>2894</v>
      </c>
      <c r="AC98" s="185">
        <v>3.0</v>
      </c>
      <c r="AD98" s="125" t="s">
        <v>2914</v>
      </c>
      <c r="AE98" s="113" t="s">
        <v>2915</v>
      </c>
      <c r="AF98" s="75" t="s">
        <v>2897</v>
      </c>
      <c r="AG98" s="186">
        <v>3.0</v>
      </c>
      <c r="AH98" s="187" t="s">
        <v>2916</v>
      </c>
      <c r="AI98" s="152" t="s">
        <v>2917</v>
      </c>
      <c r="AJ98" s="188" t="s">
        <v>2900</v>
      </c>
      <c r="AK98" s="185">
        <v>3.0</v>
      </c>
      <c r="AL98" s="140" t="s">
        <v>2918</v>
      </c>
      <c r="AM98" s="141" t="s">
        <v>2919</v>
      </c>
      <c r="AN98" s="142" t="s">
        <v>2920</v>
      </c>
      <c r="AO98" s="185">
        <v>3.0</v>
      </c>
      <c r="AP98" s="108" t="str">
        <f>IFERROR(__xludf.DUMMYFUNCTION("GOOGLETRANSLATE(B98,""zh-tw"",""id"")"),"Mendinginkan badan di cuaca panas - 3")</f>
        <v>Mendinginkan badan di cuaca panas - 3</v>
      </c>
      <c r="AQ98" s="113" t="str">
        <f>IFERROR(__xludf.DUMMYFUNCTION("GOOGLETRANSLATE(C98,""zh-tw"",""id"")"),"Seperti yang disebutkan di atas, ada kemungkinan 70% untuk memicu segmen plot lain setelah yang kedua kalinya.")</f>
        <v>Seperti yang disebutkan di atas, ada kemungkinan 70% untuk memicu segmen plot lain setelah yang kedua kalinya.</v>
      </c>
      <c r="AR98" s="75" t="str">
        <f>IFERROR(__xludf.DUMMYFUNCTION("GOOGLETRANSLATE(D98,""zh-tw"",""id"")"),"Animasi spesial; suasana hati adik perempuan akan selalu memiliki sisa 20 poin.")</f>
        <v>Animasi spesial; suasana hati adik perempuan akan selalu memiliki sisa 20 poin.</v>
      </c>
      <c r="AS98" s="75"/>
      <c r="AT98" s="75"/>
    </row>
    <row r="99">
      <c r="A99" s="185">
        <v>4.0</v>
      </c>
      <c r="B99" s="125" t="s">
        <v>2921</v>
      </c>
      <c r="C99" s="113" t="s">
        <v>2922</v>
      </c>
      <c r="D99" s="75" t="s">
        <v>2923</v>
      </c>
      <c r="E99" s="185">
        <v>4.0</v>
      </c>
      <c r="F99" s="125" t="s">
        <v>2924</v>
      </c>
      <c r="G99" s="113" t="s">
        <v>2925</v>
      </c>
      <c r="H99" s="75" t="s">
        <v>2926</v>
      </c>
      <c r="I99" s="185">
        <v>4.0</v>
      </c>
      <c r="J99" s="125" t="s">
        <v>2927</v>
      </c>
      <c r="K99" s="113" t="s">
        <v>2928</v>
      </c>
      <c r="L99" s="75" t="s">
        <v>2929</v>
      </c>
      <c r="M99" s="185">
        <v>4.0</v>
      </c>
      <c r="N99" s="125" t="str">
        <f>IFERROR(__xludf.DUMMYFUNCTION("GOOGLETRANSLATE(B99,""zh-tw"",""zh"")"),"掀起来看看")</f>
        <v>掀起来看看</v>
      </c>
      <c r="O99" s="113" t="str">
        <f>IFERROR(__xludf.DUMMYFUNCTION("GOOGLETRANSLATE(C99,""zh-tw"",""zh"")"),"妹妹穿游戏衣服，进行亲密互动时，可以进行掀衣服等操作。")</f>
        <v>妹妹穿游戏衣服，进行亲密互动时，可以进行掀衣服等操作。</v>
      </c>
      <c r="P99" s="75" t="str">
        <f>IFERROR(__xludf.DUMMYFUNCTION("GOOGLETRANSLATE(D99,""zh-tw"",""zh"")"),"特殊互动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9" s="185">
        <v>4.0</v>
      </c>
      <c r="R99" s="125" t="s">
        <v>2930</v>
      </c>
      <c r="S99" s="111" t="s">
        <v>2931</v>
      </c>
      <c r="T99" s="72" t="s">
        <v>2932</v>
      </c>
      <c r="U99" s="185">
        <v>4.0</v>
      </c>
      <c r="V99" s="125" t="str">
        <f>IFERROR(__xludf.DUMMYFUNCTION("GOOGLETRANSLATE(B99,""zh-tw"",""KO"")"),"들어 올려서 살펴보세요.")</f>
        <v>들어 올려서 살펴보세요.</v>
      </c>
      <c r="W99" s="113" t="str">
        <f>IFERROR(__xludf.DUMMYFUNCTION("GOOGLETRANSLATE(C99,""zh-tw"",""KO"")"),"여동생이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99" s="75" t="str">
        <f>IFERROR(__xludf.DUMMYFUNCTION("GOOGLETRANSLATE(D99,""zh-tw"",""KO"")"),"특별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99" s="185">
        <v>4.0</v>
      </c>
      <c r="Z99" s="149" t="s">
        <v>2933</v>
      </c>
      <c r="AA99" s="150" t="s">
        <v>2934</v>
      </c>
      <c r="AB99" s="132" t="s">
        <v>2935</v>
      </c>
      <c r="AC99" s="185">
        <v>4.0</v>
      </c>
      <c r="AD99" s="125" t="s">
        <v>2936</v>
      </c>
      <c r="AE99" s="113" t="s">
        <v>2937</v>
      </c>
      <c r="AF99" s="75" t="s">
        <v>2938</v>
      </c>
      <c r="AG99" s="186">
        <v>4.0</v>
      </c>
      <c r="AH99" s="187" t="s">
        <v>2939</v>
      </c>
      <c r="AI99" s="152" t="s">
        <v>2940</v>
      </c>
      <c r="AJ99" s="188" t="s">
        <v>2941</v>
      </c>
      <c r="AK99" s="185">
        <v>4.0</v>
      </c>
      <c r="AL99" s="121" t="s">
        <v>2942</v>
      </c>
      <c r="AM99" s="122" t="s">
        <v>2943</v>
      </c>
      <c r="AN99" s="123" t="s">
        <v>2944</v>
      </c>
      <c r="AO99" s="185">
        <v>4.0</v>
      </c>
      <c r="AP99" s="108" t="str">
        <f>IFERROR(__xludf.DUMMYFUNCTION("GOOGLETRANSLATE(B99,""zh-tw"",""id"")"),"Angkat dan lihatlah.")</f>
        <v>Angkat dan lihatlah.</v>
      </c>
      <c r="AQ99" s="113" t="str">
        <f>IFERROR(__xludf.DUMMYFUNCTION("GOOGLETRANSLATE(C99,""zh-tw"",""id"")"),"Ketika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R99" s="75" t="str">
        <f>IFERROR(__xludf.DUMMYFUNCTION("GOOGLETRANSLATE(D99,""zh-tw"",""id"")"),"Interaksi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S99" s="75"/>
      <c r="AT99" s="75"/>
    </row>
    <row r="100">
      <c r="A100" s="185">
        <v>5.0</v>
      </c>
      <c r="B100" s="112" t="s">
        <v>2945</v>
      </c>
      <c r="C100" s="111" t="s">
        <v>2946</v>
      </c>
      <c r="D100" s="72" t="s">
        <v>2947</v>
      </c>
      <c r="E100" s="185">
        <v>5.0</v>
      </c>
      <c r="F100" s="112" t="s">
        <v>2948</v>
      </c>
      <c r="G100" s="111" t="s">
        <v>2949</v>
      </c>
      <c r="H100" s="72" t="s">
        <v>2950</v>
      </c>
      <c r="I100" s="185">
        <v>5.0</v>
      </c>
      <c r="J100" s="112" t="s">
        <v>2951</v>
      </c>
      <c r="K100" s="111" t="s">
        <v>2952</v>
      </c>
      <c r="L100" s="72" t="s">
        <v>2953</v>
      </c>
      <c r="M100" s="185">
        <v>5.0</v>
      </c>
      <c r="N100" s="125" t="str">
        <f>IFERROR(__xludf.DUMMYFUNCTION("GOOGLETRANSLATE(B100,""zh-tw"",""zh"")"),"提前回家也是件好事-1")</f>
        <v>提前回家也是件好事-1</v>
      </c>
      <c r="O100" s="113" t="str">
        <f>IFERROR(__xludf.DUMMYFUNCTION("GOOGLETRANSLATE(C100,""zh-tw"",""zh"")"),"炎热天气并且拥有电风扇时，提前回家后选择去偷看妹妹")</f>
        <v>炎热天气并且拥有电风扇时，提前回家后选择去偷看妹妹</v>
      </c>
      <c r="P100" s="72" t="s">
        <v>2954</v>
      </c>
      <c r="Q100" s="185">
        <v>5.0</v>
      </c>
      <c r="R100" s="125" t="str">
        <f>IFERROR(__xludf.DUMMYFUNCTION("GOOGLETRANSLATE(B100,""zh-tw"",""es-mx"")"),"Volver temprano a casa también es algo bueno -1")</f>
        <v>Volver temprano a casa también es algo bueno -1</v>
      </c>
      <c r="S100" s="113" t="str">
        <f>IFERROR(__xludf.DUMMYFUNCTION("GOOGLETRANSLATE(C100,""zh-tw"",""es-mx"")"),"Cuando hacía calor y había un ventilador eléctrico, volvía temprano a casa y echaba un vistazo a mi hermana pequeña.")</f>
        <v>Cuando hacía calor y había un ventilador eléctrico, volvía temprano a casa y echaba un vistazo a mi hermana pequeña.</v>
      </c>
      <c r="T100" s="75" t="str">
        <f>IFERROR(__xludf.DUMMYFUNCTION("GOOGLETRANSLATE(D100,""zh-tw"",""es-mx"")"),"Mi hermana menor llevaba ropa y estaba usando un ventilador eléctrico.")</f>
        <v>Mi hermana menor llevaba ropa y estaba usando un ventilador eléctrico.</v>
      </c>
      <c r="U100" s="185">
        <v>5.0</v>
      </c>
      <c r="V100" s="125" t="str">
        <f>IFERROR(__xludf.DUMMYFUNCTION("GOOGLETRANSLATE(B100,""zh-tw"",""KO"")"),"일찍 집에 가는 것도 좋은 일이다 -1")</f>
        <v>일찍 집에 가는 것도 좋은 일이다 -1</v>
      </c>
      <c r="W100" s="113" t="str">
        <f>IFERROR(__xludf.DUMMYFUNCTION("GOOGLETRANSLATE(C100,""zh-tw"",""KO"")"),"날씨가 덥고 선풍기가 있으면, 나는 일찍 집에 가서 여동생을 몰래 훔쳐보곤 했다.")</f>
        <v>날씨가 덥고 선풍기가 있으면, 나는 일찍 집에 가서 여동생을 몰래 훔쳐보곤 했다.</v>
      </c>
      <c r="X100" s="75" t="str">
        <f>IFERROR(__xludf.DUMMYFUNCTION("GOOGLETRANSLATE(D100,""zh-tw"",""KO"")"),"내 여동생은 옷을 입고 선풍기를 틀고 있었다.")</f>
        <v>내 여동생은 옷을 입고 선풍기를 틀고 있었다.</v>
      </c>
      <c r="Y100" s="185">
        <v>5.0</v>
      </c>
      <c r="Z100" s="149" t="s">
        <v>2955</v>
      </c>
      <c r="AA100" s="150" t="s">
        <v>2956</v>
      </c>
      <c r="AB100" s="132" t="s">
        <v>2957</v>
      </c>
      <c r="AC100" s="185">
        <v>5.0</v>
      </c>
      <c r="AD100" s="112" t="s">
        <v>2958</v>
      </c>
      <c r="AE100" s="111" t="s">
        <v>2959</v>
      </c>
      <c r="AF100" s="72" t="s">
        <v>2960</v>
      </c>
      <c r="AG100" s="186">
        <v>5.0</v>
      </c>
      <c r="AH100" s="133" t="s">
        <v>2961</v>
      </c>
      <c r="AI100" s="130" t="s">
        <v>2962</v>
      </c>
      <c r="AJ100" s="134" t="s">
        <v>2963</v>
      </c>
      <c r="AK100" s="185">
        <v>5.0</v>
      </c>
      <c r="AL100" s="121" t="s">
        <v>2964</v>
      </c>
      <c r="AM100" s="122" t="s">
        <v>2965</v>
      </c>
      <c r="AN100" s="123" t="s">
        <v>2966</v>
      </c>
      <c r="AO100" s="185">
        <v>5.0</v>
      </c>
      <c r="AP100" s="108" t="str">
        <f>IFERROR(__xludf.DUMMYFUNCTION("GOOGLETRANSLATE(B100,""zh-tw"",""id"")"),"Pulang lebih awal juga merupakan hal yang baik -1")</f>
        <v>Pulang lebih awal juga merupakan hal yang baik -1</v>
      </c>
      <c r="AQ100" s="113" t="str">
        <f>IFERROR(__xludf.DUMMYFUNCTION("GOOGLETRANSLATE(C100,""zh-tw"",""id"")"),"Saat cuaca panas dan ada kipas angin, saya akan pulang lebih awal dan mengintip adik perempuan saya secara diam-diam.")</f>
        <v>Saat cuaca panas dan ada kipas angin, saya akan pulang lebih awal dan mengintip adik perempuan saya secara diam-diam.</v>
      </c>
      <c r="AR100" s="75" t="str">
        <f>IFERROR(__xludf.DUMMYFUNCTION("GOOGLETRANSLATE(D100,""zh-tw"",""id"")"),"Adik perempuanku sedang mengenakan pakaian dan menyalakan kipas angin listrik.")</f>
        <v>Adik perempuanku sedang mengenakan pakaian dan menyalakan kipas angin listrik.</v>
      </c>
      <c r="AS100" s="75"/>
      <c r="AT100" s="75"/>
    </row>
    <row r="101">
      <c r="A101" s="185">
        <v>6.0</v>
      </c>
      <c r="B101" s="112" t="s">
        <v>2967</v>
      </c>
      <c r="C101" s="111" t="s">
        <v>2968</v>
      </c>
      <c r="D101" s="72" t="s">
        <v>2969</v>
      </c>
      <c r="E101" s="185">
        <v>6.0</v>
      </c>
      <c r="F101" s="112" t="s">
        <v>2970</v>
      </c>
      <c r="G101" s="111" t="s">
        <v>2971</v>
      </c>
      <c r="H101" s="72" t="s">
        <v>2972</v>
      </c>
      <c r="I101" s="185">
        <v>6.0</v>
      </c>
      <c r="J101" s="112" t="s">
        <v>2973</v>
      </c>
      <c r="K101" s="111" t="s">
        <v>2974</v>
      </c>
      <c r="L101" s="72" t="s">
        <v>2975</v>
      </c>
      <c r="M101" s="185">
        <v>6.0</v>
      </c>
      <c r="N101" s="125" t="str">
        <f>IFERROR(__xludf.DUMMYFUNCTION("GOOGLETRANSLATE(B101,""zh-tw"",""zh"")"),"提前回家也是件好事-2")</f>
        <v>提前回家也是件好事-2</v>
      </c>
      <c r="O101" s="113" t="str">
        <f>IFERROR(__xludf.DUMMYFUNCTION("GOOGLETRANSLATE(C101,""zh-tw"",""zh"")"),"同上，偷看妹妹时，有机率出现")</f>
        <v>同上，偷看妹妹时，有机率出现</v>
      </c>
      <c r="P101" s="72" t="s">
        <v>2976</v>
      </c>
      <c r="Q101" s="185">
        <v>6.0</v>
      </c>
      <c r="R101" s="125" t="str">
        <f>IFERROR(__xludf.DUMMYFUNCTION("GOOGLETRANSLATE(B101,""zh-tw"",""es-mx"")"),"Volver temprano a casa también es algo bueno - 2")</f>
        <v>Volver temprano a casa también es algo bueno - 2</v>
      </c>
      <c r="S101" s="113" t="str">
        <f>IFERROR(__xludf.DUMMYFUNCTION("GOOGLETRANSLATE(C101,""zh-tw"",""es-mx"")"),"De igual modo, al espiar a su hermana menor, existe la posibilidad de que...")</f>
        <v>De igual modo, al espiar a su hermana menor, existe la posibilidad de que...</v>
      </c>
      <c r="T101" s="75" t="str">
        <f>IFERROR(__xludf.DUMMYFUNCTION("GOOGLETRANSLATE(D101,""zh-tw"",""es-mx"")"),"Mi hermana pequeña no llevaba ropa interior mientras la abanicaba un ventilador eléctrico.")</f>
        <v>Mi hermana pequeña no llevaba ropa interior mientras la abanicaba un ventilador eléctrico.</v>
      </c>
      <c r="U101" s="185">
        <v>6.0</v>
      </c>
      <c r="V101" s="125" t="str">
        <f>IFERROR(__xludf.DUMMYFUNCTION("GOOGLETRANSLATE(B101,""zh-tw"",""KO"")"),"일찍 집에 가는 것도 좋은 일이다 - 2")</f>
        <v>일찍 집에 가는 것도 좋은 일이다 - 2</v>
      </c>
      <c r="W101" s="113" t="str">
        <f>IFERROR(__xludf.DUMMYFUNCTION("GOOGLETRANSLATE(C101,""zh-tw"",""KO"")"),"마찬가지로, 여동생을 훔쳐볼 때도 다음과 같은 일이 발생할 가능성이 있습니다...")</f>
        <v>마찬가지로, 여동생을 훔쳐볼 때도 다음과 같은 일이 발생할 가능성이 있습니다...</v>
      </c>
      <c r="X101" s="75" t="str">
        <f>IFERROR(__xludf.DUMMYFUNCTION("GOOGLETRANSLATE(D101,""zh-tw"",""KO"")"),"내 여동생은 선풍기 바람을 쐬면서 속옷을 입지 않았다.")</f>
        <v>내 여동생은 선풍기 바람을 쐬면서 속옷을 입지 않았다.</v>
      </c>
      <c r="Y101" s="185">
        <v>6.0</v>
      </c>
      <c r="Z101" s="149" t="s">
        <v>2977</v>
      </c>
      <c r="AA101" s="150" t="s">
        <v>2978</v>
      </c>
      <c r="AB101" s="132" t="s">
        <v>2979</v>
      </c>
      <c r="AC101" s="185">
        <v>6.0</v>
      </c>
      <c r="AD101" s="112" t="s">
        <v>2980</v>
      </c>
      <c r="AE101" s="111" t="s">
        <v>2981</v>
      </c>
      <c r="AF101" s="72" t="s">
        <v>2982</v>
      </c>
      <c r="AG101" s="186">
        <v>6.0</v>
      </c>
      <c r="AH101" s="133" t="s">
        <v>2983</v>
      </c>
      <c r="AI101" s="130" t="s">
        <v>2984</v>
      </c>
      <c r="AJ101" s="134" t="s">
        <v>2985</v>
      </c>
      <c r="AK101" s="185">
        <v>6.0</v>
      </c>
      <c r="AL101" s="121" t="s">
        <v>2986</v>
      </c>
      <c r="AM101" s="122" t="s">
        <v>2987</v>
      </c>
      <c r="AN101" s="123" t="s">
        <v>2988</v>
      </c>
      <c r="AO101" s="185">
        <v>6.0</v>
      </c>
      <c r="AP101" s="108" t="str">
        <f>IFERROR(__xludf.DUMMYFUNCTION("GOOGLETRANSLATE(B101,""zh-tw"",""id"")"),"Pulang lebih awal juga merupakan hal yang baik - 2")</f>
        <v>Pulang lebih awal juga merupakan hal yang baik - 2</v>
      </c>
      <c r="AQ101" s="113" t="str">
        <f>IFERROR(__xludf.DUMMYFUNCTION("GOOGLETRANSLATE(C101,""zh-tw"",""id"")"),"Demikian pula, ketika mengintip adik perempuannya, ada kemungkinan bahwa...")</f>
        <v>Demikian pula, ketika mengintip adik perempuannya, ada kemungkinan bahwa...</v>
      </c>
      <c r="AR101" s="75" t="str">
        <f>IFERROR(__xludf.DUMMYFUNCTION("GOOGLETRANSLATE(D101,""zh-tw"",""id"")"),"Adik perempuan saya tidak mengenakan pakaian dalam saat dikipasi oleh kipas angin listrik.")</f>
        <v>Adik perempuan saya tidak mengenakan pakaian dalam saat dikipasi oleh kipas angin listrik.</v>
      </c>
      <c r="AS101" s="75"/>
      <c r="AT101" s="75"/>
    </row>
    <row r="102">
      <c r="A102" s="185">
        <v>7.0</v>
      </c>
      <c r="B102" s="112" t="s">
        <v>2989</v>
      </c>
      <c r="C102" s="111" t="s">
        <v>2990</v>
      </c>
      <c r="D102" s="72" t="s">
        <v>2991</v>
      </c>
      <c r="E102" s="185">
        <v>7.0</v>
      </c>
      <c r="F102" s="112" t="s">
        <v>2992</v>
      </c>
      <c r="G102" s="111" t="s">
        <v>2993</v>
      </c>
      <c r="H102" s="72" t="s">
        <v>2994</v>
      </c>
      <c r="I102" s="185">
        <v>7.0</v>
      </c>
      <c r="J102" s="112" t="s">
        <v>2995</v>
      </c>
      <c r="K102" s="111" t="s">
        <v>2996</v>
      </c>
      <c r="L102" s="72" t="s">
        <v>2997</v>
      </c>
      <c r="M102" s="185">
        <v>7.0</v>
      </c>
      <c r="N102" s="125" t="str">
        <f>IFERROR(__xludf.DUMMYFUNCTION("GOOGLETRANSLATE(B102,""zh-tw"",""zh"")"),"提前回家也是件好事-3")</f>
        <v>提前回家也是件好事-3</v>
      </c>
      <c r="O102" s="113" t="str">
        <f>IFERROR(__xludf.DUMMYFUNCTION("GOOGLETRANSLATE(C102,""zh-tw"",""zh"")"),"同上，妹妹紫心以及性欲高的时候，有机率出现")</f>
        <v>同上，妹妹紫心以及性欲高的时候，有机率出现</v>
      </c>
      <c r="P102" s="75" t="str">
        <f>IFERROR(__xludf.DUMMYFUNCTION("GOOGLETRANSLATE(D102,""zh-tw"",""zh"")"),"妹妹使用冰棒(未实装)")</f>
        <v>妹妹使用冰棒(未实装)</v>
      </c>
      <c r="Q102" s="185">
        <v>7.0</v>
      </c>
      <c r="R102" s="125" t="str">
        <f>IFERROR(__xludf.DUMMYFUNCTION("GOOGLETRANSLATE(B102,""zh-tw"",""es-mx"")"),"Volver temprano a casa también es algo bueno -3")</f>
        <v>Volver temprano a casa también es algo bueno -3</v>
      </c>
      <c r="S102" s="113" t="str">
        <f>IFERROR(__xludf.DUMMYFUNCTION("GOOGLETRANSLATE(C102,""zh-tw"",""es-mx"")"),"De manera similar, cuando la hermana menor tiene un corazón púrpura y un alto deseo sexual, existe la posibilidad de que...")</f>
        <v>De manera similar, cuando la hermana menor tiene un corazón púrpura y un alto deseo sexual, existe la posibilidad de que...</v>
      </c>
      <c r="T102" s="75" t="str">
        <f>IFERROR(__xludf.DUMMYFUNCTION("GOOGLETRANSLATE(D102,""zh-tw"",""es-mx"")"),"La hermana menor usa un helado de paleta (aún no implementado).")</f>
        <v>La hermana menor usa un helado de paleta (aún no implementado).</v>
      </c>
      <c r="U102" s="185">
        <v>7.0</v>
      </c>
      <c r="V102" s="125" t="str">
        <f>IFERROR(__xludf.DUMMYFUNCTION("GOOGLETRANSLATE(B102,""zh-tw"",""KO"")"),"일찍 집에 가는 것도 좋은 일이다 -3")</f>
        <v>일찍 집에 가는 것도 좋은 일이다 -3</v>
      </c>
      <c r="W102" s="113" t="str">
        <f>IFERROR(__xludf.DUMMYFUNCTION("GOOGLETRANSLATE(C102,""zh-tw"",""KO"")"),"마찬가지로,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2" s="75" t="str">
        <f>IFERROR(__xludf.DUMMYFUNCTION("GOOGLETRANSLATE(D102,""zh-tw"",""KO"")"),"여동생은 아이스크림 막대를 사용합니다(아직 구현되지 않음).")</f>
        <v>여동생은 아이스크림 막대를 사용합니다(아직 구현되지 않음).</v>
      </c>
      <c r="Y102" s="185">
        <v>7.0</v>
      </c>
      <c r="Z102" s="149" t="s">
        <v>2998</v>
      </c>
      <c r="AA102" s="150" t="s">
        <v>2999</v>
      </c>
      <c r="AB102" s="132" t="s">
        <v>3000</v>
      </c>
      <c r="AC102" s="185">
        <v>7.0</v>
      </c>
      <c r="AD102" s="112" t="s">
        <v>3001</v>
      </c>
      <c r="AE102" s="111" t="s">
        <v>3002</v>
      </c>
      <c r="AF102" s="72" t="s">
        <v>3003</v>
      </c>
      <c r="AG102" s="186">
        <v>7.0</v>
      </c>
      <c r="AH102" s="133" t="s">
        <v>3004</v>
      </c>
      <c r="AI102" s="130" t="s">
        <v>3005</v>
      </c>
      <c r="AJ102" s="134" t="s">
        <v>3006</v>
      </c>
      <c r="AK102" s="185">
        <v>7.0</v>
      </c>
      <c r="AL102" s="121" t="s">
        <v>3007</v>
      </c>
      <c r="AM102" s="131" t="s">
        <v>3008</v>
      </c>
      <c r="AN102" s="123" t="s">
        <v>3009</v>
      </c>
      <c r="AO102" s="185">
        <v>7.0</v>
      </c>
      <c r="AP102" s="108" t="str">
        <f>IFERROR(__xludf.DUMMYFUNCTION("GOOGLETRANSLATE(B102,""zh-tw"",""id"")"),"Pulang lebih awal juga merupakan hal yang baik -3")</f>
        <v>Pulang lebih awal juga merupakan hal yang baik -3</v>
      </c>
      <c r="AQ102" s="113" t="str">
        <f>IFERROR(__xludf.DUMMYFUNCTION("GOOGLETRANSLATE(C102,""zh-tw"",""id"")"),"Demikian pula, ketika adik perempuan memiliki Purple Heart dan hasrat seksual yang tinggi, ada kemungkinan bahwa...")</f>
        <v>Demikian pula, ketika adik perempuan memiliki Purple Heart dan hasrat seksual yang tinggi, ada kemungkinan bahwa...</v>
      </c>
      <c r="AR102" s="75" t="str">
        <f>IFERROR(__xludf.DUMMYFUNCTION("GOOGLETRANSLATE(D102,""zh-tw"",""id"")"),"Adik perempuan menggunakan es loli (belum diimplementasikan).")</f>
        <v>Adik perempuan menggunakan es loli (belum diimplementasikan).</v>
      </c>
      <c r="AS102" s="75"/>
      <c r="AT102" s="75"/>
    </row>
    <row r="103">
      <c r="A103" s="185">
        <v>8.0</v>
      </c>
      <c r="B103" s="112" t="s">
        <v>3010</v>
      </c>
      <c r="C103" s="111" t="s">
        <v>3011</v>
      </c>
      <c r="D103" s="72" t="s">
        <v>3012</v>
      </c>
      <c r="E103" s="185">
        <v>8.0</v>
      </c>
      <c r="F103" s="112" t="s">
        <v>3013</v>
      </c>
      <c r="G103" s="111" t="s">
        <v>3014</v>
      </c>
      <c r="H103" s="72" t="s">
        <v>3015</v>
      </c>
      <c r="I103" s="185">
        <v>8.0</v>
      </c>
      <c r="J103" s="112" t="s">
        <v>3016</v>
      </c>
      <c r="K103" s="111" t="s">
        <v>3017</v>
      </c>
      <c r="L103" s="72" t="s">
        <v>3018</v>
      </c>
      <c r="M103" s="185">
        <v>8.0</v>
      </c>
      <c r="N103" s="125" t="str">
        <f>IFERROR(__xludf.DUMMYFUNCTION("GOOGLETRANSLATE(B103,""zh-tw"",""zh"")"),"提前回家也是件好事-4")</f>
        <v>提前回家也是件好事-4</v>
      </c>
      <c r="O103" s="111" t="s">
        <v>3019</v>
      </c>
      <c r="P103" s="72" t="s">
        <v>3020</v>
      </c>
      <c r="Q103" s="185">
        <v>8.0</v>
      </c>
      <c r="R103" s="125" t="str">
        <f>IFERROR(__xludf.DUMMYFUNCTION("GOOGLETRANSLATE(B103,""zh-tw"",""es-mx"")"),"Volver temprano a casa también es algo bueno - 4")</f>
        <v>Volver temprano a casa también es algo bueno - 4</v>
      </c>
      <c r="S103" s="113" t="str">
        <f>IFERROR(__xludf.DUMMYFUNCTION("GOOGLETRANSLATE(C103,""zh-tw"",""es-mx"")"),"Durante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103" s="75" t="str">
        <f>IFERROR(__xludf.DUMMYFUNCTION("GOOGLETRANSLATE(D103,""zh-tw"",""es-mx"")"),"Hermana del clan desnuda (Aún no implementada)")</f>
        <v>Hermana del clan desnuda (Aún no implementada)</v>
      </c>
      <c r="U103" s="185">
        <v>8.0</v>
      </c>
      <c r="V103" s="125" t="str">
        <f>IFERROR(__xludf.DUMMYFUNCTION("GOOGLETRANSLATE(B103,""zh-tw"",""KO"")"),"일찍 집에 가는 것도 좋은 일이다 - 4")</f>
        <v>일찍 집에 가는 것도 좋은 일이다 - 4</v>
      </c>
      <c r="W103" s="113" t="str">
        <f>IFERROR(__xludf.DUMMYFUNCTION("GOOGLETRANSLATE(C103,""zh-tw"",""KO"")"),"여동생과 대화를 나누던 중, 누디즘 교육을 받은 후 다음과 같은 일들이 일어날 수 있다는 이야기가 나왔습니다.")</f>
        <v>여동생과 대화를 나누던 중, 누디즘 교육을 받은 후 다음과 같은 일들이 일어날 수 있다는 이야기가 나왔습니다.</v>
      </c>
      <c r="X103" s="75" t="str">
        <f>IFERROR(__xludf.DUMMYFUNCTION("GOOGLETRANSLATE(D103,""zh-tw"",""KO"")"),"벌거벗은 클랜 시스터 (아직 구현되지 않음)")</f>
        <v>벌거벗은 클랜 시스터 (아직 구현되지 않음)</v>
      </c>
      <c r="Y103" s="185">
        <v>8.0</v>
      </c>
      <c r="Z103" s="149" t="s">
        <v>3021</v>
      </c>
      <c r="AA103" s="150" t="s">
        <v>3022</v>
      </c>
      <c r="AB103" s="132" t="s">
        <v>3023</v>
      </c>
      <c r="AC103" s="185">
        <v>8.0</v>
      </c>
      <c r="AD103" s="112" t="s">
        <v>3024</v>
      </c>
      <c r="AE103" s="111" t="s">
        <v>3025</v>
      </c>
      <c r="AF103" s="72" t="s">
        <v>3026</v>
      </c>
      <c r="AG103" s="186">
        <v>8.0</v>
      </c>
      <c r="AH103" s="133" t="s">
        <v>3027</v>
      </c>
      <c r="AI103" s="130" t="s">
        <v>3028</v>
      </c>
      <c r="AJ103" s="134" t="s">
        <v>3029</v>
      </c>
      <c r="AK103" s="185">
        <v>8.0</v>
      </c>
      <c r="AL103" s="140" t="s">
        <v>3030</v>
      </c>
      <c r="AM103" s="141" t="s">
        <v>3031</v>
      </c>
      <c r="AN103" s="142" t="s">
        <v>3032</v>
      </c>
      <c r="AO103" s="185">
        <v>8.0</v>
      </c>
      <c r="AP103" s="108" t="str">
        <f>IFERROR(__xludf.DUMMYFUNCTION("GOOGLETRANSLATE(B103,""zh-tw"",""id"")"),"Pulang lebih awal juga merupakan hal yang baik - 4")</f>
        <v>Pulang lebih awal juga merupakan hal yang baik - 4</v>
      </c>
      <c r="AQ103" s="113" t="str">
        <f>IFERROR(__xludf.DUMMYFUNCTION("GOOGLETRANSLATE(C103,""zh-tw"",""id"")"),"Dalam percakapan dengan adik perempuannya, disebutkan bahwa setelah menerima pendidikan nudis, hal-hal berikut mungkin terjadi:")</f>
        <v>Dalam percakapan dengan adik perempuannya, disebutkan bahwa setelah menerima pendidikan nudis, hal-hal berikut mungkin terjadi:</v>
      </c>
      <c r="AR103" s="75" t="str">
        <f>IFERROR(__xludf.DUMMYFUNCTION("GOOGLETRANSLATE(D103,""zh-tw"",""id"")"),"Saudari Klan Telanjang (Belum diimplementasikan)")</f>
        <v>Saudari Klan Telanjang (Belum diimplementasikan)</v>
      </c>
      <c r="AS103" s="75"/>
      <c r="AT103" s="75"/>
    </row>
    <row r="104">
      <c r="A104" s="8"/>
      <c r="B104" s="66"/>
      <c r="C104" s="66"/>
      <c r="D104" s="66"/>
      <c r="E104" s="8"/>
      <c r="F104" s="66"/>
      <c r="G104" s="66"/>
      <c r="H104" s="66"/>
      <c r="I104" s="8"/>
      <c r="J104" s="66"/>
      <c r="K104" s="66"/>
      <c r="L104" s="66"/>
      <c r="M104" s="8"/>
      <c r="N104" s="66"/>
      <c r="O104" s="66"/>
      <c r="P104" s="66"/>
      <c r="Q104" s="8"/>
      <c r="R104" s="66"/>
      <c r="S104" s="66"/>
      <c r="T104" s="66"/>
      <c r="U104" s="8"/>
      <c r="V104" s="66"/>
      <c r="W104" s="66"/>
      <c r="X104" s="66"/>
      <c r="Y104" s="189"/>
      <c r="Z104" s="184"/>
      <c r="AA104" s="184"/>
      <c r="AB104" s="184"/>
      <c r="AC104" s="8"/>
      <c r="AD104" s="66"/>
      <c r="AE104" s="66"/>
      <c r="AF104" s="66"/>
      <c r="AG104" s="190"/>
      <c r="AH104" s="191"/>
      <c r="AI104" s="190"/>
      <c r="AJ104" s="190"/>
      <c r="AK104" s="66"/>
      <c r="AL104" s="66"/>
      <c r="AM104" s="66"/>
      <c r="AN104" s="66"/>
      <c r="AO104" s="66"/>
      <c r="AP104" s="66"/>
      <c r="AQ104" s="66"/>
      <c r="AR104" s="66"/>
      <c r="AS104" s="66"/>
      <c r="AT104" s="66"/>
    </row>
    <row r="105">
      <c r="A105" s="104" t="s">
        <v>3033</v>
      </c>
      <c r="B105" s="104" t="s">
        <v>3034</v>
      </c>
      <c r="E105" s="104"/>
      <c r="F105" s="103" t="s">
        <v>3035</v>
      </c>
      <c r="I105" s="103" t="s">
        <v>3033</v>
      </c>
      <c r="J105" s="103" t="s">
        <v>3036</v>
      </c>
      <c r="M105" s="104"/>
      <c r="N105" s="104" t="s">
        <v>3037</v>
      </c>
      <c r="Q105" s="103" t="s">
        <v>3033</v>
      </c>
      <c r="R105" s="103" t="s">
        <v>3038</v>
      </c>
      <c r="U105" s="103" t="s">
        <v>3033</v>
      </c>
      <c r="V105" s="103" t="s">
        <v>3039</v>
      </c>
      <c r="Y105" s="104" t="s">
        <v>3033</v>
      </c>
      <c r="Z105" s="104" t="s">
        <v>3040</v>
      </c>
      <c r="AC105" s="103" t="s">
        <v>3033</v>
      </c>
      <c r="AD105" s="103" t="s">
        <v>3041</v>
      </c>
      <c r="AG105" s="177" t="s">
        <v>3033</v>
      </c>
      <c r="AH105" s="177" t="s">
        <v>3042</v>
      </c>
      <c r="AK105" s="104" t="s">
        <v>3033</v>
      </c>
      <c r="AL105" s="104" t="s">
        <v>3043</v>
      </c>
      <c r="AO105" s="103" t="s">
        <v>3033</v>
      </c>
      <c r="AP105" s="103" t="s">
        <v>3044</v>
      </c>
      <c r="AS105" s="194"/>
      <c r="AT105" s="194"/>
    </row>
    <row r="106">
      <c r="A106" s="107">
        <v>1.0</v>
      </c>
      <c r="B106" s="121" t="s">
        <v>3045</v>
      </c>
      <c r="C106" s="122" t="s">
        <v>3046</v>
      </c>
      <c r="D106" s="123" t="s">
        <v>3047</v>
      </c>
      <c r="E106" s="107">
        <v>1.0</v>
      </c>
      <c r="F106" s="108" t="s">
        <v>3048</v>
      </c>
      <c r="G106" s="154" t="s">
        <v>3049</v>
      </c>
      <c r="H106" s="155" t="s">
        <v>3050</v>
      </c>
      <c r="I106" s="107">
        <v>1.0</v>
      </c>
      <c r="J106" s="153" t="s">
        <v>3051</v>
      </c>
      <c r="K106" s="166" t="s">
        <v>3052</v>
      </c>
      <c r="L106" s="167" t="s">
        <v>3053</v>
      </c>
      <c r="M106" s="107">
        <v>1.0</v>
      </c>
      <c r="N106" s="121" t="s">
        <v>3054</v>
      </c>
      <c r="O106" s="141" t="s">
        <v>3055</v>
      </c>
      <c r="P106" s="142" t="s">
        <v>3056</v>
      </c>
      <c r="Q106" s="107">
        <v>1.0</v>
      </c>
      <c r="R106" s="140" t="str">
        <f>IFERROR(__xludf.DUMMYFUNCTION("GOOGLETRANSLATE(B106,""zh-tw"",""es-MX"")"),"Televisor en la sala de estar")</f>
        <v>Televisor en la sala de estar</v>
      </c>
      <c r="S106" s="141" t="str">
        <f>IFERROR(__xludf.DUMMYFUNCTION("GOOGLETRANSLATE(C106,""zh-tw"",""es-MX"")"),"Puedes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06" s="142" t="str">
        <f>IFERROR(__xludf.DUMMYFUNCTION("GOOGLETRANSLATE(D106,""zh-tw"",""es-MX"")"),"Mira programas de televisión específicos")</f>
        <v>Mira programas de televisión específicos</v>
      </c>
      <c r="U106" s="107">
        <v>1.0</v>
      </c>
      <c r="V106" s="140" t="str">
        <f>IFERROR(__xludf.DUMMYFUNCTION("GOOGLETRANSLATE(B106,""zh-tw"",""KO"")"),"거실에 있는 TV")</f>
        <v>거실에 있는 TV</v>
      </c>
      <c r="W106" s="141" t="str">
        <f>IFERROR(__xludf.DUMMYFUNCTION("GOOGLETRANSLATE(C106,""zh-tw"",""KO"")"),"평소에는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6" s="142" t="str">
        <f>IFERROR(__xludf.DUMMYFUNCTION("GOOGLETRANSLATE(D106,""zh-tw"",""KO"")"),"특정 TV 프로그램을 시청하세요")</f>
        <v>특정 TV 프로그램을 시청하세요</v>
      </c>
      <c r="Y106" s="195" t="str">
        <f>IFERROR(__xludf.DUMMYFUNCTION("IF(I106="""", """", GOOGLETRANSLATE(I106,""en"",""RU""))"),"1")</f>
        <v>1</v>
      </c>
      <c r="Z106" s="149" t="s">
        <v>3057</v>
      </c>
      <c r="AA106" s="150" t="s">
        <v>3058</v>
      </c>
      <c r="AB106" s="132" t="s">
        <v>3059</v>
      </c>
      <c r="AC106" s="107">
        <v>1.0</v>
      </c>
      <c r="AD106" s="153" t="s">
        <v>3060</v>
      </c>
      <c r="AE106" s="154" t="s">
        <v>3061</v>
      </c>
      <c r="AF106" s="155" t="s">
        <v>3062</v>
      </c>
      <c r="AG106" s="117">
        <v>1.0</v>
      </c>
      <c r="AH106" s="157" t="s">
        <v>3063</v>
      </c>
      <c r="AI106" s="158" t="s">
        <v>3064</v>
      </c>
      <c r="AJ106" s="178" t="s">
        <v>3065</v>
      </c>
      <c r="AK106" s="107">
        <v>1.0</v>
      </c>
      <c r="AL106" s="121" t="s">
        <v>3066</v>
      </c>
      <c r="AM106" s="196" t="s">
        <v>3067</v>
      </c>
      <c r="AN106" s="155" t="s">
        <v>3068</v>
      </c>
      <c r="AO106" s="107">
        <v>1.0</v>
      </c>
      <c r="AP106" s="108" t="s">
        <v>3069</v>
      </c>
      <c r="AQ106" s="113" t="s">
        <v>3070</v>
      </c>
      <c r="AR106" s="75" t="s">
        <v>3071</v>
      </c>
      <c r="AS106" s="123"/>
      <c r="AT106" s="123"/>
    </row>
    <row r="107">
      <c r="A107" s="185">
        <v>2.0</v>
      </c>
      <c r="B107" s="140" t="s">
        <v>3072</v>
      </c>
      <c r="C107" s="141" t="s">
        <v>3073</v>
      </c>
      <c r="D107" s="142" t="s">
        <v>3074</v>
      </c>
      <c r="E107" s="185">
        <v>2.0</v>
      </c>
      <c r="F107" s="125" t="s">
        <v>3075</v>
      </c>
      <c r="G107" s="141" t="s">
        <v>3076</v>
      </c>
      <c r="H107" s="142" t="s">
        <v>3077</v>
      </c>
      <c r="I107" s="185">
        <v>2.0</v>
      </c>
      <c r="J107" s="197" t="s">
        <v>3078</v>
      </c>
      <c r="K107" s="196" t="s">
        <v>3079</v>
      </c>
      <c r="L107" s="198" t="s">
        <v>3080</v>
      </c>
      <c r="M107" s="185">
        <v>2.0</v>
      </c>
      <c r="N107" s="140" t="str">
        <f>IFERROR(__xludf.DUMMYFUNCTION("GOOGLETRANSLATE(B107,""zh-tw"",""zh"")"),"魔法少女动画")</f>
        <v>魔法少女动画</v>
      </c>
      <c r="O107" s="141" t="str">
        <f>IFERROR(__xludf.DUMMYFUNCTION("GOOGLETRANSLATE(C107,""zh-tw"",""zh"")"),"必须游玩超过第5日后才会触发，每个档案都有一个随机值判定是礼拜几触发。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7" s="142" t="str">
        <f>IFERROR(__xludf.DUMMYFUNCTION("GOOGLETRANSLATE(D107,""zh-tw"",""zh"")"),"魔法少女动画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7" s="185">
        <v>2.0</v>
      </c>
      <c r="R107" s="140" t="str">
        <f>IFERROR(__xludf.DUMMYFUNCTION("GOOGLETRANSLATE(B107,""zh-tw"",""es-MX"")"),"Anime de chicas mágicas")</f>
        <v>Anime de chicas mágicas</v>
      </c>
      <c r="S107" s="141" t="str">
        <f>IFERROR(__xludf.DUMMYFUNCTION("GOOGLETRANSLATE(C107,""zh-tw"",""es-MX"")"),"Solo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07" s="142" t="str">
        <f>IFERROR(__xludf.DUMMYFUNCTION("GOOGLETRANSLATE(D107,""zh-tw"",""es-MX"")"),"Anime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07" s="185">
        <v>2.0</v>
      </c>
      <c r="V107" s="140" t="str">
        <f>IFERROR(__xludf.DUMMYFUNCTION("GOOGLETRANSLATE(B107,""zh-tw"",""KO"")"),"마법소녀 애니메이션")</f>
        <v>마법소녀 애니메이션</v>
      </c>
      <c r="W107" s="141" t="str">
        <f>IFERROR(__xludf.DUMMYFUNCTION("GOOGLETRANSLATE(C107,""zh-tw"",""KO"")"),"이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07" s="142" t="str">
        <f>IFERROR(__xludf.DUMMYFUNCTION("GOOGLETRANSLATE(D107,""zh-tw"",""KO"")"),"마법소녀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07" s="185">
        <v>2.0</v>
      </c>
      <c r="Z107" s="149" t="s">
        <v>3081</v>
      </c>
      <c r="AA107" s="150" t="s">
        <v>3082</v>
      </c>
      <c r="AB107" s="132" t="s">
        <v>3083</v>
      </c>
      <c r="AC107" s="185">
        <v>2.0</v>
      </c>
      <c r="AD107" s="197" t="s">
        <v>3084</v>
      </c>
      <c r="AE107" s="196" t="s">
        <v>3085</v>
      </c>
      <c r="AF107" s="198" t="s">
        <v>3086</v>
      </c>
      <c r="AG107" s="186">
        <v>2.0</v>
      </c>
      <c r="AH107" s="199" t="s">
        <v>3087</v>
      </c>
      <c r="AI107" s="158" t="s">
        <v>3088</v>
      </c>
      <c r="AJ107" s="200" t="s">
        <v>3089</v>
      </c>
      <c r="AK107" s="185">
        <v>2.0</v>
      </c>
      <c r="AL107" s="140" t="s">
        <v>3090</v>
      </c>
      <c r="AM107" s="141" t="s">
        <v>3091</v>
      </c>
      <c r="AN107" s="142" t="s">
        <v>3092</v>
      </c>
      <c r="AO107" s="185">
        <v>2.0</v>
      </c>
      <c r="AP107" s="112" t="s">
        <v>3093</v>
      </c>
      <c r="AQ107" s="113" t="s">
        <v>3094</v>
      </c>
      <c r="AR107" s="75" t="s">
        <v>3095</v>
      </c>
      <c r="AS107" s="142"/>
      <c r="AT107" s="142"/>
    </row>
    <row r="108">
      <c r="A108" s="185">
        <v>3.0</v>
      </c>
      <c r="B108" s="140" t="s">
        <v>3096</v>
      </c>
      <c r="C108" s="141" t="s">
        <v>3097</v>
      </c>
      <c r="D108" s="142" t="s">
        <v>1067</v>
      </c>
      <c r="E108" s="185">
        <v>3.0</v>
      </c>
      <c r="F108" s="125" t="s">
        <v>3098</v>
      </c>
      <c r="G108" s="141" t="s">
        <v>3099</v>
      </c>
      <c r="H108" s="142" t="s">
        <v>3100</v>
      </c>
      <c r="I108" s="185">
        <v>3.0</v>
      </c>
      <c r="J108" s="197" t="s">
        <v>3101</v>
      </c>
      <c r="K108" s="196" t="s">
        <v>3102</v>
      </c>
      <c r="L108" s="198" t="s">
        <v>1393</v>
      </c>
      <c r="M108" s="185">
        <v>3.0</v>
      </c>
      <c r="N108" s="140" t="s">
        <v>3103</v>
      </c>
      <c r="O108" s="141" t="s">
        <v>3104</v>
      </c>
      <c r="P108" s="142" t="s">
        <v>3105</v>
      </c>
      <c r="Q108" s="185">
        <v>3.0</v>
      </c>
      <c r="R108" s="140" t="str">
        <f>IFERROR(__xludf.DUMMYFUNCTION("GOOGLETRANSLATE(B108,""zh-tw"",""es-MX"")"),"Anime de chicas mágicas - 1")</f>
        <v>Anime de chicas mágicas - 1</v>
      </c>
      <c r="S108" s="141" t="str">
        <f>IFERROR(__xludf.DUMMYFUNCTION("GOOGLETRANSLATE(C108,""zh-tw"",""es-MX"")"),"Omitido")</f>
        <v>Omitido</v>
      </c>
      <c r="T108" s="142" t="str">
        <f>IFERROR(__xludf.DUMMYFUNCTION("GOOGLETRANSLATE(D108,""zh-tw"",""es-MX"")"),"No implementado")</f>
        <v>No implementado</v>
      </c>
      <c r="U108" s="185">
        <v>3.0</v>
      </c>
      <c r="V108" s="140" t="str">
        <f>IFERROR(__xludf.DUMMYFUNCTION("GOOGLETRANSLATE(B108,""zh-tw"",""KO"")"),"마법소녀 애니메이션 - 1")</f>
        <v>마법소녀 애니메이션 - 1</v>
      </c>
      <c r="W108" s="141" t="str">
        <f>IFERROR(__xludf.DUMMYFUNCTION("GOOGLETRANSLATE(C108,""zh-tw"",""KO"")"),"놓쳤어요")</f>
        <v>놓쳤어요</v>
      </c>
      <c r="X108" s="142" t="str">
        <f>IFERROR(__xludf.DUMMYFUNCTION("GOOGLETRANSLATE(D108,""zh-tw"",""KO"")"),"구현되지 않음")</f>
        <v>구현되지 않음</v>
      </c>
      <c r="Y108" s="185">
        <v>3.0</v>
      </c>
      <c r="Z108" s="149" t="s">
        <v>3106</v>
      </c>
      <c r="AA108" s="201" t="s">
        <v>3102</v>
      </c>
      <c r="AB108" s="132" t="s">
        <v>3107</v>
      </c>
      <c r="AC108" s="185">
        <v>3.0</v>
      </c>
      <c r="AD108" s="197" t="s">
        <v>3108</v>
      </c>
      <c r="AE108" s="196" t="s">
        <v>3102</v>
      </c>
      <c r="AF108" s="198" t="s">
        <v>3109</v>
      </c>
      <c r="AG108" s="186">
        <v>3.0</v>
      </c>
      <c r="AH108" s="199" t="s">
        <v>3110</v>
      </c>
      <c r="AI108" s="158" t="s">
        <v>3102</v>
      </c>
      <c r="AJ108" s="200" t="s">
        <v>1253</v>
      </c>
      <c r="AK108" s="185">
        <v>3.0</v>
      </c>
      <c r="AL108" s="140" t="s">
        <v>3111</v>
      </c>
      <c r="AM108" s="141" t="s">
        <v>3112</v>
      </c>
      <c r="AN108" s="142" t="s">
        <v>1404</v>
      </c>
      <c r="AO108" s="185">
        <v>3.0</v>
      </c>
      <c r="AP108" s="108" t="s">
        <v>3113</v>
      </c>
      <c r="AQ108" s="166" t="s">
        <v>3114</v>
      </c>
      <c r="AR108" s="75" t="s">
        <v>1659</v>
      </c>
      <c r="AS108" s="142"/>
      <c r="AT108" s="142"/>
    </row>
    <row r="109">
      <c r="A109" s="185">
        <v>4.0</v>
      </c>
      <c r="B109" s="140" t="s">
        <v>3115</v>
      </c>
      <c r="C109" s="141" t="s">
        <v>3116</v>
      </c>
      <c r="D109" s="129" t="s">
        <v>3117</v>
      </c>
      <c r="E109" s="185">
        <v>4.0</v>
      </c>
      <c r="F109" s="125" t="s">
        <v>3118</v>
      </c>
      <c r="G109" s="196" t="s">
        <v>3119</v>
      </c>
      <c r="H109" s="167" t="s">
        <v>3120</v>
      </c>
      <c r="I109" s="185">
        <v>4.0</v>
      </c>
      <c r="J109" s="197" t="s">
        <v>3121</v>
      </c>
      <c r="K109" s="166" t="s">
        <v>3122</v>
      </c>
      <c r="L109" s="167" t="s">
        <v>3123</v>
      </c>
      <c r="M109" s="185">
        <v>4.0</v>
      </c>
      <c r="N109" s="140" t="s">
        <v>3124</v>
      </c>
      <c r="O109" s="141" t="s">
        <v>3125</v>
      </c>
      <c r="P109" s="129" t="s">
        <v>3126</v>
      </c>
      <c r="Q109" s="185">
        <v>4.0</v>
      </c>
      <c r="R109" s="140" t="str">
        <f>IFERROR(__xludf.DUMMYFUNCTION("GOOGLETRANSLATE(B109,""zh-tw"",""es-MX"")"),"Tarde en la noche")</f>
        <v>Tarde en la noche</v>
      </c>
      <c r="S109" s="141" t="str">
        <f>IFERROR(__xludf.DUMMYFUNCTION("GOOGLETRANSLATE(C109,""zh-tw"",""es-MX"")"),"Tras utilizar el ""Líquido de Médula Roja"" y completar el tratamiento, puede comenzar la sesión nocturna.")</f>
        <v>Tras utilizar el "Líquido de Médula Roja" y completar el tratamiento, puede comenzar la sesión nocturna.</v>
      </c>
      <c r="T109" s="142" t="str">
        <f>IFERROR(__xludf.DUMMYFUNCTION("GOOGLETRANSLATE(D109,""zh-tw"",""es-MX"")"),"Abierto hasta altas horas de la noche (22:00~22:30)")</f>
        <v>Abierto hasta altas horas de la noche (22:00~22:30)</v>
      </c>
      <c r="U109" s="185">
        <v>4.0</v>
      </c>
      <c r="V109" s="140" t="str">
        <f>IFERROR(__xludf.DUMMYFUNCTION("GOOGLETRANSLATE(B109,""zh-tw"",""KO"")"),"늦은 밤")</f>
        <v>늦은 밤</v>
      </c>
      <c r="W109" s="141" t="str">
        <f>IFERROR(__xludf.DUMMYFUNCTION("GOOGLETRANSLATE(C109,""zh-tw"",""KO"")"),"""적골수액""을 사용하고 치료를 완료한 후에는 심야 치료를 시작할 수 있습니다.")</f>
        <v>"적골수액"을 사용하고 치료를 완료한 후에는 심야 치료를 시작할 수 있습니다.</v>
      </c>
      <c r="X109" s="142" t="str">
        <f>IFERROR(__xludf.DUMMYFUNCTION("GOOGLETRANSLATE(D109,""zh-tw"",""KO"")"),"심야 영업 (22:00~22:30)")</f>
        <v>심야 영업 (22:00~22:30)</v>
      </c>
      <c r="Y109" s="185">
        <v>4.0</v>
      </c>
      <c r="Z109" s="149" t="s">
        <v>3127</v>
      </c>
      <c r="AA109" s="150" t="s">
        <v>3128</v>
      </c>
      <c r="AB109" s="132" t="s">
        <v>3129</v>
      </c>
      <c r="AC109" s="185">
        <v>4.0</v>
      </c>
      <c r="AD109" s="197" t="s">
        <v>3130</v>
      </c>
      <c r="AE109" s="196" t="s">
        <v>3131</v>
      </c>
      <c r="AF109" s="167" t="s">
        <v>3132</v>
      </c>
      <c r="AG109" s="186">
        <v>4.0</v>
      </c>
      <c r="AH109" s="199" t="s">
        <v>3133</v>
      </c>
      <c r="AI109" s="158" t="s">
        <v>3134</v>
      </c>
      <c r="AJ109" s="159" t="s">
        <v>3135</v>
      </c>
      <c r="AK109" s="185">
        <v>4.0</v>
      </c>
      <c r="AL109" s="140" t="s">
        <v>3136</v>
      </c>
      <c r="AM109" s="141" t="s">
        <v>3137</v>
      </c>
      <c r="AN109" s="129" t="s">
        <v>3138</v>
      </c>
      <c r="AO109" s="185">
        <v>4.0</v>
      </c>
      <c r="AP109" s="108" t="s">
        <v>3139</v>
      </c>
      <c r="AQ109" s="113" t="s">
        <v>3140</v>
      </c>
      <c r="AR109" s="75" t="s">
        <v>3141</v>
      </c>
      <c r="AS109" s="142"/>
      <c r="AT109" s="142"/>
    </row>
    <row r="110">
      <c r="A110" s="185">
        <v>5.0</v>
      </c>
      <c r="B110" s="140" t="s">
        <v>3142</v>
      </c>
      <c r="C110" s="131" t="s">
        <v>3143</v>
      </c>
      <c r="D110" s="129" t="s">
        <v>3144</v>
      </c>
      <c r="E110" s="185">
        <v>5.0</v>
      </c>
      <c r="F110" s="125" t="s">
        <v>3145</v>
      </c>
      <c r="G110" s="196" t="s">
        <v>3146</v>
      </c>
      <c r="H110" s="198" t="s">
        <v>3147</v>
      </c>
      <c r="I110" s="185">
        <v>5.0</v>
      </c>
      <c r="J110" s="165" t="s">
        <v>3148</v>
      </c>
      <c r="K110" s="166" t="s">
        <v>3149</v>
      </c>
      <c r="L110" s="167" t="s">
        <v>3150</v>
      </c>
      <c r="M110" s="185">
        <v>5.0</v>
      </c>
      <c r="N110" s="140" t="s">
        <v>3142</v>
      </c>
      <c r="O110" s="131" t="s">
        <v>3151</v>
      </c>
      <c r="P110" s="129" t="s">
        <v>3152</v>
      </c>
      <c r="Q110" s="185">
        <v>5.0</v>
      </c>
      <c r="R110" s="140" t="str">
        <f>IFERROR(__xludf.DUMMYFUNCTION("GOOGLETRANSLATE(B110,""zh-tw"",""es-MX"")"),"¡Qué miedo!")</f>
        <v>¡Qué miedo!</v>
      </c>
      <c r="S110" s="141" t="str">
        <f>IFERROR(__xludf.DUMMYFUNCTION("GOOGLETRANSLATE(C110,""zh-tw"",""es-MX"")"),"Usar la ""cinta de vídeo de terror"" a altas horas de la noche y tener un nivel de afinidad/corazón púrpura inferior al requerido.")</f>
        <v>Usar la "cinta de vídeo de terror" a altas horas de la noche y tener un nivel de afinidad/corazón púrpura inferior al requerido.</v>
      </c>
      <c r="T110" s="142" t="str">
        <f>IFERROR(__xludf.DUMMYFUNCTION("GOOGLETRANSLATE(D110,""zh-tw"",""es-MX"")"),"Trama relacionada con el desencadenante")</f>
        <v>Trama relacionada con el desencadenante</v>
      </c>
      <c r="U110" s="185">
        <v>5.0</v>
      </c>
      <c r="V110" s="140" t="str">
        <f>IFERROR(__xludf.DUMMYFUNCTION("GOOGLETRANSLATE(B110,""zh-tw"",""KO"")"),"너무 무서워요!")</f>
        <v>너무 무서워요!</v>
      </c>
      <c r="W110" s="141" t="str">
        <f>IFERROR(__xludf.DUMMYFUNCTION("GOOGLETRANSLATE(C110,""zh-tw"",""KO"")"),"늦은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0" s="142" t="str">
        <f>IFERROR(__xludf.DUMMYFUNCTION("GOOGLETRANSLATE(D110,""zh-tw"",""KO"")"),"트리거 관련 플롯")</f>
        <v>트리거 관련 플롯</v>
      </c>
      <c r="Y110" s="185">
        <v>5.0</v>
      </c>
      <c r="Z110" s="114" t="s">
        <v>3153</v>
      </c>
      <c r="AA110" s="115" t="s">
        <v>3154</v>
      </c>
      <c r="AB110" s="116" t="s">
        <v>3155</v>
      </c>
      <c r="AC110" s="185">
        <v>5.0</v>
      </c>
      <c r="AD110" s="197" t="s">
        <v>3156</v>
      </c>
      <c r="AE110" s="196" t="s">
        <v>3157</v>
      </c>
      <c r="AF110" s="198" t="s">
        <v>3158</v>
      </c>
      <c r="AG110" s="185">
        <v>5.0</v>
      </c>
      <c r="AH110" s="199" t="s">
        <v>3159</v>
      </c>
      <c r="AI110" s="158" t="s">
        <v>3160</v>
      </c>
      <c r="AJ110" s="200" t="s">
        <v>3161</v>
      </c>
      <c r="AK110" s="185">
        <v>5.0</v>
      </c>
      <c r="AL110" s="140" t="s">
        <v>3162</v>
      </c>
      <c r="AM110" s="141" t="s">
        <v>3163</v>
      </c>
      <c r="AN110" s="142" t="s">
        <v>3164</v>
      </c>
      <c r="AO110" s="185">
        <v>5.0</v>
      </c>
      <c r="AP110" s="108" t="s">
        <v>3165</v>
      </c>
      <c r="AQ110" s="111" t="s">
        <v>3166</v>
      </c>
      <c r="AR110" s="75" t="s">
        <v>3167</v>
      </c>
      <c r="AS110" s="142"/>
      <c r="AT110" s="142"/>
    </row>
    <row r="111">
      <c r="A111" s="185">
        <v>6.0</v>
      </c>
      <c r="B111" s="140" t="s">
        <v>3168</v>
      </c>
      <c r="C111" s="131" t="s">
        <v>3169</v>
      </c>
      <c r="D111" s="163" t="s">
        <v>3170</v>
      </c>
      <c r="E111" s="185">
        <v>6.0</v>
      </c>
      <c r="F111" s="125" t="s">
        <v>3171</v>
      </c>
      <c r="G111" s="166" t="s">
        <v>3172</v>
      </c>
      <c r="H111" s="167" t="s">
        <v>3173</v>
      </c>
      <c r="I111" s="185">
        <v>6.0</v>
      </c>
      <c r="J111" s="165" t="s">
        <v>3174</v>
      </c>
      <c r="K111" s="166" t="s">
        <v>3175</v>
      </c>
      <c r="L111" s="167" t="s">
        <v>3176</v>
      </c>
      <c r="M111" s="185">
        <v>6.0</v>
      </c>
      <c r="N111" s="140" t="s">
        <v>3168</v>
      </c>
      <c r="O111" s="131" t="s">
        <v>3177</v>
      </c>
      <c r="P111" s="163" t="s">
        <v>3178</v>
      </c>
      <c r="Q111" s="185">
        <v>6.0</v>
      </c>
      <c r="R111" s="140" t="str">
        <f>IFERROR(__xludf.DUMMYFUNCTION("GOOGLETRANSLATE(B111,""zh-tw"",""es-MX"")"),"¡Qué miedo! -1")</f>
        <v>¡Qué miedo! -1</v>
      </c>
      <c r="S111" s="141" t="str">
        <f>IFERROR(__xludf.DUMMYFUNCTION("GOOGLETRANSLATE(C111,""zh-tw"",""es-MX"")"),"Usa ""Horror Videotape"" a altas horas de la noche y ten una puntuación de Corazón Púrpura superior a 3.")</f>
        <v>Usa "Horror Videotape" a altas horas de la noche y ten una puntuación de Corazón Púrpura superior a 3.</v>
      </c>
      <c r="T111" s="142" t="str">
        <f>IFERROR(__xludf.DUMMYFUNCTION("GOOGLETRANSLATE(D111,""zh-tw"",""es-MX"")"),"Según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1" s="185">
        <v>6.0</v>
      </c>
      <c r="V111" s="140" t="str">
        <f>IFERROR(__xludf.DUMMYFUNCTION("GOOGLETRANSLATE(B111,""zh-tw"",""KO"")"),"너무 무서워요! -1")</f>
        <v>너무 무서워요! -1</v>
      </c>
      <c r="W111" s="141" t="str">
        <f>IFERROR(__xludf.DUMMYFUNCTION("GOOGLETRANSLATE(C111,""zh-tw"",""KO"")"),"""공포 비디오테이프""를 늦은 밤에 사용하세요.
그리고 퍼플 하트 점수가 3점 이상이 되세요.")</f>
        <v>"공포 비디오테이프"를 늦은 밤에 사용하세요.
그리고 퍼플 하트 점수가 3점 이상이 되세요.</v>
      </c>
      <c r="X111" s="142" t="str">
        <f>IFERROR(__xludf.DUMMYFUNCTION("GOOGLETRANSLATE(D111,""zh-tw"",""KO"")"),"선택에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1" s="185">
        <v>6.0</v>
      </c>
      <c r="Z111" s="149" t="s">
        <v>3179</v>
      </c>
      <c r="AA111" s="150" t="s">
        <v>3180</v>
      </c>
      <c r="AB111" s="155" t="s">
        <v>3181</v>
      </c>
      <c r="AC111" s="185">
        <v>6.0</v>
      </c>
      <c r="AD111" s="197" t="s">
        <v>3182</v>
      </c>
      <c r="AE111" s="166" t="s">
        <v>3183</v>
      </c>
      <c r="AF111" s="202" t="s">
        <v>3184</v>
      </c>
      <c r="AG111" s="185">
        <v>6.0</v>
      </c>
      <c r="AH111" s="199" t="s">
        <v>3185</v>
      </c>
      <c r="AI111" s="182" t="s">
        <v>3186</v>
      </c>
      <c r="AJ111" s="203" t="s">
        <v>3187</v>
      </c>
      <c r="AK111" s="185">
        <v>6.0</v>
      </c>
      <c r="AL111" s="140" t="s">
        <v>3188</v>
      </c>
      <c r="AM111" s="131" t="s">
        <v>3189</v>
      </c>
      <c r="AN111" s="129" t="s">
        <v>3190</v>
      </c>
      <c r="AO111" s="185">
        <v>6.0</v>
      </c>
      <c r="AP111" s="108" t="s">
        <v>3191</v>
      </c>
      <c r="AQ111" s="111" t="s">
        <v>3192</v>
      </c>
      <c r="AR111" s="72" t="s">
        <v>3193</v>
      </c>
      <c r="AS111" s="142"/>
      <c r="AT111" s="142"/>
    </row>
    <row r="112">
      <c r="A112" s="185">
        <v>7.0</v>
      </c>
      <c r="B112" s="204" t="s">
        <v>3194</v>
      </c>
      <c r="C112" s="141" t="s">
        <v>3195</v>
      </c>
      <c r="D112" s="142" t="s">
        <v>3144</v>
      </c>
      <c r="E112" s="185">
        <v>7.0</v>
      </c>
      <c r="F112" s="140" t="s">
        <v>3196</v>
      </c>
      <c r="G112" s="196" t="s">
        <v>3197</v>
      </c>
      <c r="H112" s="198" t="s">
        <v>3198</v>
      </c>
      <c r="I112" s="185">
        <v>7.0</v>
      </c>
      <c r="J112" s="140" t="s">
        <v>3199</v>
      </c>
      <c r="K112" s="154" t="s">
        <v>3200</v>
      </c>
      <c r="L112" s="198" t="s">
        <v>3201</v>
      </c>
      <c r="M112" s="185">
        <v>7.0</v>
      </c>
      <c r="N112" s="140" t="s">
        <v>3202</v>
      </c>
      <c r="O112" s="141" t="s">
        <v>3203</v>
      </c>
      <c r="P112" s="142" t="s">
        <v>3152</v>
      </c>
      <c r="Q112" s="185">
        <v>7.0</v>
      </c>
      <c r="R112" s="140" t="str">
        <f>IFERROR(__xludf.DUMMYFUNCTION("GOOGLETRANSLATE(B112,""zh-tw"",""es-MX"")"),"Hermano, ¿qué están haciendo?")</f>
        <v>Hermano, ¿qué están haciendo?</v>
      </c>
      <c r="S112" s="141" t="str">
        <f>IFERROR(__xludf.DUMMYFUNCTION("GOOGLETRANSLATE(C112,""zh-tw"",""es-MX"")"),"Usar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12" s="142" t="str">
        <f>IFERROR(__xludf.DUMMYFUNCTION("GOOGLETRANSLATE(D112,""zh-tw"",""es-MX"")"),"Trama relacionada con el desencadenante")</f>
        <v>Trama relacionada con el desencadenante</v>
      </c>
      <c r="U112" s="185">
        <v>7.0</v>
      </c>
      <c r="V112" s="140" t="str">
        <f>IFERROR(__xludf.DUMMYFUNCTION("GOOGLETRANSLATE(B112,""zh-tw"",""KO"")"),"형님, 저 사람들 뭐 하고 있는 거예요?")</f>
        <v>형님, 저 사람들 뭐 하고 있는 거예요?</v>
      </c>
      <c r="W112" s="141" t="str">
        <f>IFERROR(__xludf.DUMMYFUNCTION("GOOGLETRANSLATE(C112,""zh-tw"",""KO"")"),"늦은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2" s="142" t="str">
        <f>IFERROR(__xludf.DUMMYFUNCTION("GOOGLETRANSLATE(D112,""zh-tw"",""KO"")"),"트리거 관련 플롯")</f>
        <v>트리거 관련 플롯</v>
      </c>
      <c r="Y112" s="185">
        <v>7.0</v>
      </c>
      <c r="Z112" s="114" t="s">
        <v>3204</v>
      </c>
      <c r="AA112" s="205" t="s">
        <v>3205</v>
      </c>
      <c r="AB112" s="206" t="s">
        <v>3206</v>
      </c>
      <c r="AC112" s="185">
        <v>7.0</v>
      </c>
      <c r="AD112" s="197" t="s">
        <v>3207</v>
      </c>
      <c r="AE112" s="196" t="s">
        <v>3208</v>
      </c>
      <c r="AF112" s="198" t="s">
        <v>3209</v>
      </c>
      <c r="AG112" s="185">
        <v>7.0</v>
      </c>
      <c r="AH112" s="207" t="s">
        <v>3210</v>
      </c>
      <c r="AI112" s="208" t="s">
        <v>3211</v>
      </c>
      <c r="AJ112" s="209" t="s">
        <v>3212</v>
      </c>
      <c r="AK112" s="185">
        <v>7.0</v>
      </c>
      <c r="AL112" s="204" t="s">
        <v>3213</v>
      </c>
      <c r="AM112" s="141" t="s">
        <v>3214</v>
      </c>
      <c r="AN112" s="142" t="s">
        <v>3215</v>
      </c>
      <c r="AO112" s="185">
        <v>7.0</v>
      </c>
      <c r="AP112" s="125" t="s">
        <v>3216</v>
      </c>
      <c r="AQ112" s="113" t="s">
        <v>3217</v>
      </c>
      <c r="AR112" s="75" t="s">
        <v>3218</v>
      </c>
      <c r="AS112" s="210"/>
      <c r="AT112" s="210"/>
    </row>
    <row r="113">
      <c r="A113" s="185">
        <v>8.0</v>
      </c>
      <c r="B113" s="204" t="s">
        <v>3219</v>
      </c>
      <c r="C113" s="141" t="s">
        <v>3220</v>
      </c>
      <c r="D113" s="142" t="s">
        <v>3170</v>
      </c>
      <c r="E113" s="185">
        <v>8.0</v>
      </c>
      <c r="F113" s="140" t="s">
        <v>3221</v>
      </c>
      <c r="G113" s="196" t="s">
        <v>3222</v>
      </c>
      <c r="H113" s="198" t="s">
        <v>3223</v>
      </c>
      <c r="I113" s="185">
        <v>8.0</v>
      </c>
      <c r="J113" s="140" t="s">
        <v>3224</v>
      </c>
      <c r="K113" s="154" t="s">
        <v>3225</v>
      </c>
      <c r="L113" s="198" t="s">
        <v>3226</v>
      </c>
      <c r="M113" s="185">
        <v>8.0</v>
      </c>
      <c r="N113" s="140" t="s">
        <v>3227</v>
      </c>
      <c r="O113" s="141" t="s">
        <v>3228</v>
      </c>
      <c r="P113" s="142" t="s">
        <v>3229</v>
      </c>
      <c r="Q113" s="185">
        <v>8.0</v>
      </c>
      <c r="R113" s="140" t="str">
        <f>IFERROR(__xludf.DUMMYFUNCTION("GOOGLETRANSLATE(B113,""zh-tw"",""es-MX"")"),"Hermano, ¿qué están haciendo? -1")</f>
        <v>Hermano, ¿qué están haciendo? -1</v>
      </c>
      <c r="S113" s="141" t="str">
        <f>IFERROR(__xludf.DUMMYFUNCTION("GOOGLETRANSLATE(C113,""zh-tw"",""es-MX"")"),"Usó ""videocintas para adultos"" a altas horas de la noche y tiene un índice de favorabilidad mayor que ? y un índice de corazón púrpura mayor que ?")</f>
        <v>Usó "videocintas para adultos" a altas horas de la noche y tiene un índice de favorabilidad mayor que ? y un índice de corazón púrpura mayor que ?</v>
      </c>
      <c r="T113" s="142" t="str">
        <f>IFERROR(__xludf.DUMMYFUNCTION("GOOGLETRANSLATE(D113,""zh-tw"",""es-MX"")"),"Según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3" s="185">
        <v>8.0</v>
      </c>
      <c r="V113" s="140" t="str">
        <f>IFERROR(__xludf.DUMMYFUNCTION("GOOGLETRANSLATE(B113,""zh-tw"",""KO"")"),"형~ 쟤네 뭐 하는 거야? -1")</f>
        <v>형~ 쟤네 뭐 하는 거야? -1</v>
      </c>
      <c r="W113" s="141" t="str">
        <f>IFERROR(__xludf.DUMMYFUNCTION("GOOGLETRANSLATE(C113,""zh-tw"",""KO"")"),"심야에 ""성인 비디오테이프""를 사용했고
호감도 등급은 ?보다 높고, 퍼플 하트 등급은 ?보다 높습니다.")</f>
        <v>심야에 "성인 비디오테이프"를 사용했고
호감도 등급은 ?보다 높고, 퍼플 하트 등급은 ?보다 높습니다.</v>
      </c>
      <c r="X113" s="142" t="str">
        <f>IFERROR(__xludf.DUMMYFUNCTION("GOOGLETRANSLATE(D113,""zh-tw"",""KO"")"),"선택에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3" s="185">
        <v>8.0</v>
      </c>
      <c r="Z113" s="114" t="s">
        <v>3230</v>
      </c>
      <c r="AA113" s="205" t="s">
        <v>3231</v>
      </c>
      <c r="AB113" s="206" t="s">
        <v>3232</v>
      </c>
      <c r="AC113" s="185">
        <v>8.0</v>
      </c>
      <c r="AD113" s="197" t="s">
        <v>3233</v>
      </c>
      <c r="AE113" s="196" t="s">
        <v>3234</v>
      </c>
      <c r="AF113" s="198" t="s">
        <v>3184</v>
      </c>
      <c r="AG113" s="185">
        <v>8.0</v>
      </c>
      <c r="AH113" s="207" t="s">
        <v>3235</v>
      </c>
      <c r="AI113" s="208" t="s">
        <v>3236</v>
      </c>
      <c r="AJ113" s="211" t="s">
        <v>3237</v>
      </c>
      <c r="AK113" s="185">
        <v>8.0</v>
      </c>
      <c r="AL113" s="204" t="s">
        <v>3238</v>
      </c>
      <c r="AM113" s="141" t="s">
        <v>3239</v>
      </c>
      <c r="AN113" s="142" t="s">
        <v>3240</v>
      </c>
      <c r="AO113" s="185">
        <v>8.0</v>
      </c>
      <c r="AP113" s="125" t="s">
        <v>3241</v>
      </c>
      <c r="AQ113" s="113" t="s">
        <v>3242</v>
      </c>
      <c r="AR113" s="75" t="s">
        <v>3243</v>
      </c>
      <c r="AS113" s="210"/>
      <c r="AT113" s="210"/>
    </row>
    <row r="114">
      <c r="A114" s="185">
        <v>9.0</v>
      </c>
      <c r="B114" s="204" t="s">
        <v>3244</v>
      </c>
      <c r="C114" s="141" t="s">
        <v>3245</v>
      </c>
      <c r="D114" s="142" t="s">
        <v>3246</v>
      </c>
      <c r="E114" s="185">
        <v>9.0</v>
      </c>
      <c r="F114" s="140" t="s">
        <v>3247</v>
      </c>
      <c r="G114" s="196" t="s">
        <v>3248</v>
      </c>
      <c r="H114" s="167" t="s">
        <v>3249</v>
      </c>
      <c r="I114" s="185">
        <v>9.0</v>
      </c>
      <c r="J114" s="140" t="s">
        <v>3250</v>
      </c>
      <c r="K114" s="166" t="s">
        <v>3251</v>
      </c>
      <c r="L114" s="198" t="s">
        <v>3252</v>
      </c>
      <c r="M114" s="185">
        <v>9.0</v>
      </c>
      <c r="N114" s="140" t="s">
        <v>3253</v>
      </c>
      <c r="O114" s="141" t="s">
        <v>3254</v>
      </c>
      <c r="P114" s="142" t="s">
        <v>3255</v>
      </c>
      <c r="Q114" s="185">
        <v>9.0</v>
      </c>
      <c r="R114" s="140" t="str">
        <f>IFERROR(__xludf.DUMMYFUNCTION("GOOGLETRANSLATE(B114,""zh-tw"",""es-MX"")"),"Dormir juntos")</f>
        <v>Dormir juntos</v>
      </c>
      <c r="S114" s="141" t="str">
        <f>IFERROR(__xludf.DUMMYFUNCTION("GOOGLETRANSLATE(C114,""zh-tw"",""es-MX"")"),"Usar ""videos para adultos"" a altas horas de la noche y hacer continuamente cosas que disfrutas hasta altas horas de la noche, y actualmente acumular al menos ""2"" corazones blancos (no dos corazones blancos, los casos anteriores no se cuentan).")</f>
        <v>Usar "videos para adultos" a altas horas de la noche y hacer continuamente cosas que disfrutas hasta altas horas de la noche, y actualmente acumular al menos "2" corazones blancos (no dos corazones blancos, los casos anteriores no se cuentan).</v>
      </c>
      <c r="T114" s="142" t="str">
        <f>IFERROR(__xludf.DUMMYFUNCTION("GOOGLETRANSLATE(D114,""zh-tw"",""es-MX"")"),"Si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14" s="185">
        <v>9.0</v>
      </c>
      <c r="V114" s="140" t="str">
        <f>IFERROR(__xludf.DUMMYFUNCTION("GOOGLETRANSLATE(B114,""zh-tw"",""KO"")"),"함께 잠자기")</f>
        <v>함께 잠자기</v>
      </c>
      <c r="W114" s="141" t="str">
        <f>IFERROR(__xludf.DUMMYFUNCTION("GOOGLETRANSLATE(C114,""zh-tw"",""KO"")"),"심야에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14" s="142" t="str">
        <f>IFERROR(__xludf.DUMMYFUNCTION("GOOGLETRANSLATE(D114,""zh-tw"",""KO"")"),"이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14" s="185">
        <v>9.0</v>
      </c>
      <c r="Z114" s="114" t="s">
        <v>3256</v>
      </c>
      <c r="AA114" s="205" t="s">
        <v>3257</v>
      </c>
      <c r="AB114" s="206" t="s">
        <v>3258</v>
      </c>
      <c r="AC114" s="185">
        <v>9.0</v>
      </c>
      <c r="AD114" s="197" t="s">
        <v>3259</v>
      </c>
      <c r="AE114" s="166" t="s">
        <v>3260</v>
      </c>
      <c r="AF114" s="198" t="s">
        <v>3261</v>
      </c>
      <c r="AG114" s="185">
        <v>9.0</v>
      </c>
      <c r="AH114" s="212" t="s">
        <v>3262</v>
      </c>
      <c r="AI114" s="213" t="s">
        <v>3263</v>
      </c>
      <c r="AJ114" s="211" t="s">
        <v>3264</v>
      </c>
      <c r="AK114" s="185">
        <v>9.0</v>
      </c>
      <c r="AL114" s="207" t="s">
        <v>3265</v>
      </c>
      <c r="AM114" s="141" t="s">
        <v>3266</v>
      </c>
      <c r="AN114" s="142" t="s">
        <v>3267</v>
      </c>
      <c r="AO114" s="185">
        <v>9.0</v>
      </c>
      <c r="AP114" s="125" t="s">
        <v>3268</v>
      </c>
      <c r="AQ114" s="113" t="s">
        <v>3269</v>
      </c>
      <c r="AR114" s="75" t="s">
        <v>3270</v>
      </c>
      <c r="AS114" s="210"/>
      <c r="AT114" s="210"/>
    </row>
    <row r="115">
      <c r="A115" s="185">
        <v>10.0</v>
      </c>
      <c r="B115" s="204" t="s">
        <v>3271</v>
      </c>
      <c r="C115" s="141" t="s">
        <v>3272</v>
      </c>
      <c r="D115" s="142" t="s">
        <v>3273</v>
      </c>
      <c r="E115" s="185">
        <v>10.0</v>
      </c>
      <c r="F115" s="140" t="s">
        <v>3274</v>
      </c>
      <c r="G115" s="196" t="s">
        <v>3275</v>
      </c>
      <c r="H115" s="167" t="s">
        <v>3276</v>
      </c>
      <c r="I115" s="185">
        <v>10.0</v>
      </c>
      <c r="J115" s="140" t="s">
        <v>3250</v>
      </c>
      <c r="K115" s="166" t="s">
        <v>3277</v>
      </c>
      <c r="L115" s="198" t="s">
        <v>3278</v>
      </c>
      <c r="M115" s="185">
        <v>10.0</v>
      </c>
      <c r="N115" s="140" t="str">
        <f>IFERROR(__xludf.DUMMYFUNCTION("GOOGLETRANSLATE(B115,""zh-tw"",""zh"")"),"一起睡吧")</f>
        <v>一起睡吧</v>
      </c>
      <c r="O115" s="141" t="str">
        <f>IFERROR(__xludf.DUMMYFUNCTION("GOOGLETRANSLATE(C115,""zh-tw"",""zh"")"),"客厅成人录影带事件里，和妹妹运动结束后，刚好到睡觉时间")</f>
        <v>客厅成人录影带事件里，和妹妹运动结束后，刚好到睡觉时间</v>
      </c>
      <c r="P115" s="142" t="str">
        <f>IFERROR(__xludf.DUMMYFUNCTION("GOOGLETRANSLATE(D115,""zh-tw"",""zh"")"),"哥哥比妹妹早醒，进行剧情")</f>
        <v>哥哥比妹妹早醒，进行剧情</v>
      </c>
      <c r="Q115" s="185">
        <v>10.0</v>
      </c>
      <c r="R115" s="140" t="str">
        <f>IFERROR(__xludf.DUMMYFUNCTION("GOOGLETRANSLATE(B115,""zh-tw"",""es-MX"")"),"Vamos a dormir juntos")</f>
        <v>Vamos a dormir juntos</v>
      </c>
      <c r="S115" s="141" t="str">
        <f>IFERROR(__xludf.DUMMYFUNCTION("GOOGLETRANSLATE(C115,""zh-tw"",""es-MX"")"),"En el incidente del vídeo para adultos en el salón, después de hacer ejercicio con su hermana, ya era hora de acostarse.")</f>
        <v>En el incidente del vídeo para adultos en el salón, después de hacer ejercicio con su hermana, ya era hora de acostarse.</v>
      </c>
      <c r="T115" s="142" t="str">
        <f>IFERROR(__xludf.DUMMYFUNCTION("GOOGLETRANSLATE(D115,""zh-tw"",""es-MX"")"),"El hermano mayor se despierta antes que su hermana menor, y así comienza la historia.")</f>
        <v>El hermano mayor se despierta antes que su hermana menor, y así comienza la historia.</v>
      </c>
      <c r="U115" s="185">
        <v>10.0</v>
      </c>
      <c r="V115" s="140" t="str">
        <f>IFERROR(__xludf.DUMMYFUNCTION("GOOGLETRANSLATE(B115,""zh-tw"",""KO"")"),"같이 자자")</f>
        <v>같이 자자</v>
      </c>
      <c r="W115" s="141" t="str">
        <f>IFERROR(__xludf.DUMMYFUNCTION("GOOGLETRANSLATE(C115,""zh-tw"",""KO"")"),"거실에서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15" s="142" t="str">
        <f>IFERROR(__xludf.DUMMYFUNCTION("GOOGLETRANSLATE(D115,""zh-tw"",""KO"")"),"오빠는 여동생보다 먼저 잠에서 깨어나고, 이야기는 그렇게 시작됩니다.")</f>
        <v>오빠는 여동생보다 먼저 잠에서 깨어나고, 이야기는 그렇게 시작됩니다.</v>
      </c>
      <c r="Y115" s="185">
        <v>10.0</v>
      </c>
      <c r="Z115" s="114" t="s">
        <v>3279</v>
      </c>
      <c r="AA115" s="205" t="s">
        <v>3280</v>
      </c>
      <c r="AB115" s="206" t="s">
        <v>3281</v>
      </c>
      <c r="AC115" s="185">
        <v>10.0</v>
      </c>
      <c r="AD115" s="197" t="s">
        <v>3282</v>
      </c>
      <c r="AE115" s="166" t="s">
        <v>3283</v>
      </c>
      <c r="AF115" s="198" t="s">
        <v>3284</v>
      </c>
      <c r="AG115" s="185">
        <v>10.0</v>
      </c>
      <c r="AH115" s="212" t="s">
        <v>3285</v>
      </c>
      <c r="AI115" s="213" t="s">
        <v>3286</v>
      </c>
      <c r="AJ115" s="211" t="s">
        <v>3287</v>
      </c>
      <c r="AK115" s="185">
        <v>10.0</v>
      </c>
      <c r="AL115" s="207" t="s">
        <v>3288</v>
      </c>
      <c r="AM115" s="141" t="s">
        <v>3289</v>
      </c>
      <c r="AN115" s="142" t="s">
        <v>3290</v>
      </c>
      <c r="AO115" s="185">
        <v>10.0</v>
      </c>
      <c r="AP115" s="125" t="s">
        <v>3268</v>
      </c>
      <c r="AQ115" s="113" t="s">
        <v>3291</v>
      </c>
      <c r="AR115" s="75" t="s">
        <v>3292</v>
      </c>
      <c r="AS115" s="210"/>
      <c r="AT115" s="210"/>
    </row>
    <row r="116">
      <c r="A116" s="185">
        <v>11.0</v>
      </c>
      <c r="B116" s="204" t="s">
        <v>3293</v>
      </c>
      <c r="C116" s="141" t="s">
        <v>3294</v>
      </c>
      <c r="D116" s="142" t="s">
        <v>3295</v>
      </c>
      <c r="E116" s="185">
        <v>11.0</v>
      </c>
      <c r="F116" s="140" t="s">
        <v>3296</v>
      </c>
      <c r="G116" s="196" t="s">
        <v>3294</v>
      </c>
      <c r="H116" s="167" t="s">
        <v>3297</v>
      </c>
      <c r="I116" s="185">
        <v>11.0</v>
      </c>
      <c r="J116" s="140" t="s">
        <v>3298</v>
      </c>
      <c r="K116" s="166" t="s">
        <v>3299</v>
      </c>
      <c r="L116" s="198" t="s">
        <v>3300</v>
      </c>
      <c r="M116" s="185">
        <v>11.0</v>
      </c>
      <c r="N116" s="140" t="str">
        <f>IFERROR(__xludf.DUMMYFUNCTION("GOOGLETRANSLATE(B116,""zh-tw"",""zh"")"),"一起睡吧-1")</f>
        <v>一起睡吧-1</v>
      </c>
      <c r="O116" s="141" t="str">
        <f>IFERROR(__xludf.DUMMYFUNCTION("GOOGLETRANSLATE(C116,""zh-tw"",""zh"")"),"同上")</f>
        <v>同上</v>
      </c>
      <c r="P116" s="142" t="str">
        <f>IFERROR(__xludf.DUMMYFUNCTION("GOOGLETRANSLATE(D116,""zh-tw"",""zh"")"),"同上
分支-妹妹比哥哥早醒，进行剧情")</f>
        <v>同上
分支-妹妹比哥哥早醒，进行剧情</v>
      </c>
      <c r="Q116" s="185">
        <v>11.0</v>
      </c>
      <c r="R116" s="140" t="str">
        <f>IFERROR(__xludf.DUMMYFUNCTION("GOOGLETRANSLATE(B116,""zh-tw"",""es-MX"")"),"Vamos a dormir juntos - 1")</f>
        <v>Vamos a dormir juntos - 1</v>
      </c>
      <c r="S116" s="141" t="str">
        <f>IFERROR(__xludf.DUMMYFUNCTION("GOOGLETRANSLATE(C116,""zh-tw"",""es-MX"")"),"Igual que lo anterior")</f>
        <v>Igual que lo anterior</v>
      </c>
      <c r="T116" s="142" t="str">
        <f>IFERROR(__xludf.DUMMYFUNCTION("GOOGLETRANSLATE(D116,""zh-tw"",""es-MX"")"),"Igual que lo anterior. Punto de inflexión: la hermana menor se despierta antes que el hermano mayor, lo que desencadena la historia.")</f>
        <v>Igual que lo anterior. Punto de inflexión: la hermana menor se despierta antes que el hermano mayor, lo que desencadena la historia.</v>
      </c>
      <c r="U116" s="185">
        <v>11.0</v>
      </c>
      <c r="V116" s="140" t="str">
        <f>IFERROR(__xludf.DUMMYFUNCTION("GOOGLETRANSLATE(B116,""zh-tw"",""KO"")"),"같이 자자 - 1")</f>
        <v>같이 자자 - 1</v>
      </c>
      <c r="W116" s="141" t="str">
        <f>IFERROR(__xludf.DUMMYFUNCTION("GOOGLETRANSLATE(C116,""zh-tw"",""KO"")"),"위와 동일")</f>
        <v>위와 동일</v>
      </c>
      <c r="X116" s="142" t="str">
        <f>IFERROR(__xludf.DUMMYFUNCTION("GOOGLETRANSLATE(D116,""zh-tw"",""KO"")"),"위와 동일합니다. 분기점 - 여동생이 오빠보다 먼저 깨어나면서 이야기가 시작됩니다.")</f>
        <v>위와 동일합니다. 분기점 - 여동생이 오빠보다 먼저 깨어나면서 이야기가 시작됩니다.</v>
      </c>
      <c r="Y116" s="185">
        <v>11.0</v>
      </c>
      <c r="Z116" s="114" t="s">
        <v>3301</v>
      </c>
      <c r="AA116" s="205" t="s">
        <v>3302</v>
      </c>
      <c r="AB116" s="206" t="s">
        <v>3303</v>
      </c>
      <c r="AC116" s="185">
        <v>11.0</v>
      </c>
      <c r="AD116" s="197" t="s">
        <v>3304</v>
      </c>
      <c r="AE116" s="166" t="s">
        <v>3305</v>
      </c>
      <c r="AF116" s="198" t="s">
        <v>3306</v>
      </c>
      <c r="AG116" s="185">
        <v>11.0</v>
      </c>
      <c r="AH116" s="212" t="s">
        <v>3307</v>
      </c>
      <c r="AI116" s="213" t="s">
        <v>3308</v>
      </c>
      <c r="AJ116" s="211" t="s">
        <v>3309</v>
      </c>
      <c r="AK116" s="185">
        <v>11.0</v>
      </c>
      <c r="AL116" s="207" t="s">
        <v>3310</v>
      </c>
      <c r="AM116" s="141" t="s">
        <v>3311</v>
      </c>
      <c r="AN116" s="142" t="s">
        <v>3312</v>
      </c>
      <c r="AO116" s="185">
        <v>11.0</v>
      </c>
      <c r="AP116" s="125" t="s">
        <v>3298</v>
      </c>
      <c r="AQ116" s="113" t="s">
        <v>3313</v>
      </c>
      <c r="AR116" s="75" t="s">
        <v>3314</v>
      </c>
      <c r="AS116" s="210"/>
      <c r="AT116" s="210"/>
    </row>
    <row r="117">
      <c r="A117" s="8"/>
      <c r="B117" s="66"/>
      <c r="C117" s="66"/>
      <c r="D117" s="66"/>
      <c r="E117" s="8"/>
      <c r="F117" s="66"/>
      <c r="G117" s="66"/>
      <c r="H117" s="66"/>
      <c r="I117" s="8"/>
      <c r="J117" s="66"/>
      <c r="K117" s="66"/>
      <c r="L117" s="66"/>
      <c r="M117" s="8"/>
      <c r="N117" s="66"/>
      <c r="O117" s="66"/>
      <c r="P117" s="66"/>
      <c r="Q117" s="8"/>
      <c r="R117" s="66"/>
      <c r="S117" s="66"/>
      <c r="T117" s="66"/>
      <c r="U117" s="8"/>
      <c r="V117" s="66"/>
      <c r="W117" s="66"/>
      <c r="X117" s="66"/>
      <c r="Y117" s="189"/>
      <c r="Z117" s="184"/>
      <c r="AA117" s="184"/>
      <c r="AB117" s="184"/>
      <c r="AC117" s="8"/>
      <c r="AD117" s="66"/>
      <c r="AE117" s="66"/>
      <c r="AF117" s="66"/>
      <c r="AG117" s="190"/>
      <c r="AH117" s="191"/>
      <c r="AI117" s="190"/>
      <c r="AJ117" s="190"/>
      <c r="AK117" s="66"/>
      <c r="AL117" s="66"/>
      <c r="AM117" s="66"/>
      <c r="AN117" s="66"/>
      <c r="AO117" s="66"/>
      <c r="AP117" s="66"/>
      <c r="AQ117" s="66"/>
      <c r="AR117" s="66"/>
      <c r="AS117" s="66"/>
      <c r="AT117" s="66"/>
    </row>
    <row r="118">
      <c r="A118" s="103" t="s">
        <v>3315</v>
      </c>
      <c r="B118" s="192" t="s">
        <v>3316</v>
      </c>
      <c r="E118" s="103" t="s">
        <v>3315</v>
      </c>
      <c r="F118" s="103" t="s">
        <v>3317</v>
      </c>
      <c r="I118" s="103" t="s">
        <v>3315</v>
      </c>
      <c r="J118" s="103" t="s">
        <v>3318</v>
      </c>
      <c r="M118" s="103" t="s">
        <v>3315</v>
      </c>
      <c r="N118" s="103" t="str">
        <f>IFERROR(__xludf.DUMMYFUNCTION("GOOGLETRANSLATE(B118,""zh-tw"",""zh"")"),"夜袭相关")</f>
        <v>夜袭相关</v>
      </c>
      <c r="Q118" s="103" t="s">
        <v>3315</v>
      </c>
      <c r="R118" s="103" t="s">
        <v>3319</v>
      </c>
      <c r="U118" s="103" t="s">
        <v>3315</v>
      </c>
      <c r="V118" s="103" t="s">
        <v>3320</v>
      </c>
      <c r="Y118" s="104" t="s">
        <v>3315</v>
      </c>
      <c r="Z118" s="104" t="s">
        <v>3321</v>
      </c>
      <c r="AC118" s="103" t="s">
        <v>3315</v>
      </c>
      <c r="AD118" s="103" t="s">
        <v>3322</v>
      </c>
      <c r="AG118" s="177" t="s">
        <v>3315</v>
      </c>
      <c r="AH118" s="193" t="s">
        <v>3323</v>
      </c>
      <c r="AK118" s="103" t="s">
        <v>3315</v>
      </c>
      <c r="AL118" s="104" t="s">
        <v>3324</v>
      </c>
      <c r="AO118" s="103" t="s">
        <v>3315</v>
      </c>
      <c r="AP118" s="103" t="s">
        <v>3325</v>
      </c>
      <c r="AS118" s="192"/>
      <c r="AT118" s="192"/>
    </row>
    <row r="119">
      <c r="A119" s="185">
        <v>1.0</v>
      </c>
      <c r="B119" s="125" t="s">
        <v>3326</v>
      </c>
      <c r="C119" s="113" t="s">
        <v>3327</v>
      </c>
      <c r="D119" s="75" t="s">
        <v>3328</v>
      </c>
      <c r="E119" s="185">
        <v>1.0</v>
      </c>
      <c r="F119" s="125" t="s">
        <v>3329</v>
      </c>
      <c r="G119" s="113" t="s">
        <v>3330</v>
      </c>
      <c r="H119" s="75" t="s">
        <v>3331</v>
      </c>
      <c r="I119" s="185">
        <v>1.0</v>
      </c>
      <c r="J119" s="125" t="s">
        <v>3332</v>
      </c>
      <c r="K119" s="113" t="s">
        <v>3333</v>
      </c>
      <c r="L119" s="75" t="s">
        <v>3334</v>
      </c>
      <c r="M119" s="185">
        <v>1.0</v>
      </c>
      <c r="N119" s="125" t="str">
        <f>IFERROR(__xludf.DUMMYFUNCTION("GOOGLETRANSLATE(B119,""zh-tw"",""zh"")"),"气息消除-3")</f>
        <v>气息消除-3</v>
      </c>
      <c r="O119" s="113" t="str">
        <f>IFERROR(__xludf.DUMMYFUNCTION("GOOGLETRANSLATE(C119,""zh-tw"",""zh"")"),"夜袭相关选项")</f>
        <v>夜袭相关选项</v>
      </c>
      <c r="P119" s="75" t="str">
        <f>IFERROR(__xludf.DUMMYFUNCTION("GOOGLETRANSLATE(D119,""zh-tw"",""zh"")"),"未实装
待夜袭场景重制")</f>
        <v>未实装
待夜袭场景重制</v>
      </c>
      <c r="Q119" s="185">
        <v>1.0</v>
      </c>
      <c r="R119" s="112" t="s">
        <v>3335</v>
      </c>
      <c r="S119" s="111" t="s">
        <v>3336</v>
      </c>
      <c r="T119" s="72" t="s">
        <v>3337</v>
      </c>
      <c r="U119" s="185">
        <v>1.0</v>
      </c>
      <c r="V119" s="125" t="str">
        <f>IFERROR(__xludf.DUMMYFUNCTION("GOOGLETRANSLATE(B119,""zh-tw"",""KO"")"),"냄새 제거 -3")</f>
        <v>냄새 제거 -3</v>
      </c>
      <c r="W119" s="113" t="str">
        <f>IFERROR(__xludf.DUMMYFUNCTION("GOOGLETRANSLATE(C119,""zh-tw"",""KO"")"),"나이트 레이드 관련 옵션")</f>
        <v>나이트 레이드 관련 옵션</v>
      </c>
      <c r="X119" s="75" t="str">
        <f>IFERROR(__xludf.DUMMYFUNCTION("GOOGLETRANSLATE(D119,""zh-tw"",""KO"")"),"아직 구현되지 않았습니다. 야간 습격 장면 리메이크를 기다리고 있습니다.")</f>
        <v>아직 구현되지 않았습니다. 야간 습격 장면 리메이크를 기다리고 있습니다.</v>
      </c>
      <c r="Y119" s="185">
        <v>1.0</v>
      </c>
      <c r="Z119" s="149" t="s">
        <v>3338</v>
      </c>
      <c r="AA119" s="150" t="s">
        <v>3339</v>
      </c>
      <c r="AB119" s="132" t="s">
        <v>3340</v>
      </c>
      <c r="AC119" s="185">
        <v>1.0</v>
      </c>
      <c r="AD119" s="125" t="s">
        <v>3341</v>
      </c>
      <c r="AE119" s="113" t="s">
        <v>3342</v>
      </c>
      <c r="AF119" s="75" t="s">
        <v>1650</v>
      </c>
      <c r="AG119" s="186">
        <v>1.0</v>
      </c>
      <c r="AH119" s="187" t="s">
        <v>3343</v>
      </c>
      <c r="AI119" s="152" t="s">
        <v>3344</v>
      </c>
      <c r="AJ119" s="134" t="s">
        <v>3345</v>
      </c>
      <c r="AK119" s="185">
        <v>1.0</v>
      </c>
      <c r="AL119" s="140" t="s">
        <v>3346</v>
      </c>
      <c r="AM119" s="141" t="s">
        <v>3347</v>
      </c>
      <c r="AN119" s="142" t="s">
        <v>3348</v>
      </c>
      <c r="AO119" s="185">
        <v>1.0</v>
      </c>
      <c r="AP119" s="108" t="str">
        <f>IFERROR(__xludf.DUMMYFUNCTION("GOOGLETRANSLATE(B119,""zh-tw"",""id"")"),"Penghilangan Bau -3")</f>
        <v>Penghilangan Bau -3</v>
      </c>
      <c r="AQ119" s="111" t="s">
        <v>3349</v>
      </c>
      <c r="AR119" s="72" t="s">
        <v>3350</v>
      </c>
      <c r="AS119" s="75"/>
      <c r="AT119" s="75"/>
    </row>
    <row r="120">
      <c r="A120" s="8"/>
      <c r="B120" s="66"/>
      <c r="C120" s="66"/>
      <c r="D120" s="66"/>
      <c r="E120" s="8"/>
      <c r="F120" s="66"/>
      <c r="G120" s="66"/>
      <c r="H120" s="66"/>
      <c r="I120" s="8"/>
      <c r="J120" s="66"/>
      <c r="K120" s="66"/>
      <c r="L120" s="66"/>
      <c r="M120" s="8"/>
      <c r="N120" s="66"/>
      <c r="O120" s="66"/>
      <c r="P120" s="66"/>
      <c r="Q120" s="8"/>
      <c r="R120" s="66"/>
      <c r="S120" s="66"/>
      <c r="T120" s="66"/>
      <c r="U120" s="8"/>
      <c r="V120" s="66"/>
      <c r="W120" s="66"/>
      <c r="X120" s="66"/>
      <c r="Y120" s="189"/>
      <c r="Z120" s="184"/>
      <c r="AA120" s="184"/>
      <c r="AB120" s="184"/>
      <c r="AC120" s="8"/>
      <c r="AD120" s="66"/>
      <c r="AE120" s="66"/>
      <c r="AF120" s="66"/>
      <c r="AG120" s="190"/>
      <c r="AH120" s="191"/>
      <c r="AI120" s="190"/>
      <c r="AJ120" s="190"/>
      <c r="AK120" s="66"/>
      <c r="AL120" s="66"/>
      <c r="AM120" s="66"/>
      <c r="AN120" s="214" t="s">
        <v>3351</v>
      </c>
      <c r="AO120" s="66"/>
      <c r="AP120" s="66"/>
      <c r="AQ120" s="66"/>
      <c r="AR120" s="66"/>
      <c r="AS120" s="66"/>
      <c r="AT120" s="66"/>
    </row>
    <row r="121">
      <c r="A121" s="8"/>
      <c r="B121" s="66"/>
      <c r="C121" s="66"/>
      <c r="D121" s="66"/>
      <c r="E121" s="8"/>
      <c r="F121" s="66"/>
      <c r="G121" s="66"/>
      <c r="H121" s="66"/>
      <c r="I121" s="8"/>
      <c r="J121" s="66"/>
      <c r="K121" s="66"/>
      <c r="L121" s="66"/>
      <c r="M121" s="8"/>
      <c r="N121" s="66"/>
      <c r="O121" s="66"/>
      <c r="P121" s="66"/>
      <c r="Q121" s="8"/>
      <c r="R121" s="66"/>
      <c r="S121" s="66"/>
      <c r="T121" s="66"/>
      <c r="U121" s="8"/>
      <c r="V121" s="66"/>
      <c r="W121" s="66"/>
      <c r="X121" s="66"/>
      <c r="Y121" s="189"/>
      <c r="Z121" s="184"/>
      <c r="AA121" s="184"/>
      <c r="AB121" s="184"/>
      <c r="AC121" s="8"/>
      <c r="AD121" s="66"/>
      <c r="AE121" s="66"/>
      <c r="AF121" s="66"/>
      <c r="AG121" s="190"/>
      <c r="AH121" s="191"/>
      <c r="AI121" s="190"/>
      <c r="AJ121" s="190"/>
      <c r="AK121" s="66"/>
      <c r="AL121" s="66"/>
      <c r="AM121" s="66"/>
      <c r="AN121" s="66"/>
      <c r="AO121" s="66"/>
      <c r="AP121" s="66"/>
      <c r="AQ121" s="66"/>
      <c r="AR121" s="66"/>
      <c r="AS121" s="66"/>
      <c r="AT121" s="66"/>
    </row>
    <row r="122">
      <c r="A122" s="8"/>
      <c r="B122" s="66"/>
      <c r="C122" s="66"/>
      <c r="D122" s="66"/>
      <c r="E122" s="8"/>
      <c r="F122" s="66"/>
      <c r="G122" s="66"/>
      <c r="H122" s="66"/>
      <c r="I122" s="8"/>
      <c r="J122" s="66"/>
      <c r="K122" s="66"/>
      <c r="L122" s="66"/>
      <c r="M122" s="8"/>
      <c r="N122" s="66"/>
      <c r="O122" s="66"/>
      <c r="P122" s="66"/>
      <c r="Q122" s="8"/>
      <c r="R122" s="66"/>
      <c r="S122" s="66"/>
      <c r="T122" s="66"/>
      <c r="U122" s="8"/>
      <c r="V122" s="66"/>
      <c r="W122" s="66"/>
      <c r="X122" s="66"/>
      <c r="Y122" s="189"/>
      <c r="Z122" s="184"/>
      <c r="AA122" s="184"/>
      <c r="AB122" s="184"/>
      <c r="AC122" s="8"/>
      <c r="AD122" s="66"/>
      <c r="AE122" s="66"/>
      <c r="AF122" s="66"/>
      <c r="AG122" s="190"/>
      <c r="AH122" s="191"/>
      <c r="AI122" s="190"/>
      <c r="AJ122" s="190"/>
      <c r="AK122" s="66"/>
      <c r="AL122" s="66"/>
      <c r="AM122" s="66"/>
      <c r="AN122" s="66"/>
      <c r="AO122" s="66"/>
      <c r="AP122" s="66"/>
      <c r="AQ122" s="66"/>
      <c r="AR122" s="66"/>
      <c r="AS122" s="66"/>
      <c r="AT122" s="66"/>
    </row>
    <row r="123">
      <c r="A123" s="8"/>
      <c r="B123" s="66"/>
      <c r="C123" s="66"/>
      <c r="D123" s="66"/>
      <c r="E123" s="8"/>
      <c r="F123" s="66"/>
      <c r="G123" s="66"/>
      <c r="H123" s="66"/>
      <c r="I123" s="8"/>
      <c r="J123" s="66"/>
      <c r="K123" s="66"/>
      <c r="L123" s="66"/>
      <c r="M123" s="8"/>
      <c r="N123" s="66"/>
      <c r="O123" s="66"/>
      <c r="P123" s="66"/>
      <c r="Q123" s="8"/>
      <c r="R123" s="66"/>
      <c r="S123" s="66"/>
      <c r="T123" s="66"/>
      <c r="U123" s="8"/>
      <c r="V123" s="66"/>
      <c r="W123" s="66"/>
      <c r="X123" s="66"/>
      <c r="Y123" s="189"/>
      <c r="Z123" s="184"/>
      <c r="AA123" s="184"/>
      <c r="AB123" s="184"/>
      <c r="AC123" s="8"/>
      <c r="AD123" s="66"/>
      <c r="AE123" s="66"/>
      <c r="AF123" s="66"/>
      <c r="AG123" s="190"/>
      <c r="AH123" s="191"/>
      <c r="AI123" s="190"/>
      <c r="AJ123" s="190"/>
      <c r="AK123" s="66"/>
      <c r="AL123" s="66"/>
      <c r="AM123" s="66"/>
      <c r="AN123" s="66"/>
      <c r="AO123" s="66"/>
      <c r="AP123" s="66"/>
      <c r="AQ123" s="66"/>
      <c r="AR123" s="66"/>
      <c r="AS123" s="66"/>
      <c r="AT123" s="66"/>
    </row>
    <row r="124">
      <c r="A124" s="8"/>
      <c r="B124" s="66"/>
      <c r="C124" s="66"/>
      <c r="D124" s="66"/>
      <c r="E124" s="8"/>
      <c r="F124" s="66"/>
      <c r="G124" s="66"/>
      <c r="H124" s="66"/>
      <c r="I124" s="8"/>
      <c r="J124" s="66"/>
      <c r="K124" s="66"/>
      <c r="L124" s="66"/>
      <c r="M124" s="8"/>
      <c r="N124" s="66"/>
      <c r="O124" s="66"/>
      <c r="P124" s="66"/>
      <c r="Q124" s="8"/>
      <c r="R124" s="66"/>
      <c r="S124" s="66"/>
      <c r="T124" s="66"/>
      <c r="U124" s="8"/>
      <c r="V124" s="66"/>
      <c r="W124" s="66"/>
      <c r="X124" s="66"/>
      <c r="Y124" s="189"/>
      <c r="Z124" s="184"/>
      <c r="AA124" s="184"/>
      <c r="AB124" s="184"/>
      <c r="AC124" s="8"/>
      <c r="AD124" s="66"/>
      <c r="AE124" s="66"/>
      <c r="AF124" s="66"/>
      <c r="AG124" s="190"/>
      <c r="AH124" s="191"/>
      <c r="AI124" s="190"/>
      <c r="AJ124" s="190"/>
      <c r="AK124" s="66"/>
      <c r="AL124" s="66"/>
      <c r="AM124" s="66"/>
      <c r="AN124" s="66"/>
      <c r="AO124" s="66"/>
      <c r="AP124" s="66"/>
      <c r="AQ124" s="66"/>
      <c r="AR124" s="66"/>
      <c r="AS124" s="66"/>
      <c r="AT124" s="66"/>
    </row>
    <row r="125">
      <c r="A125" s="8"/>
      <c r="B125" s="66"/>
      <c r="C125" s="66"/>
      <c r="D125" s="66"/>
      <c r="E125" s="8"/>
      <c r="F125" s="66"/>
      <c r="G125" s="66"/>
      <c r="H125" s="66"/>
      <c r="I125" s="8"/>
      <c r="J125" s="66"/>
      <c r="K125" s="66"/>
      <c r="L125" s="66"/>
      <c r="M125" s="8"/>
      <c r="N125" s="66"/>
      <c r="O125" s="66"/>
      <c r="P125" s="66"/>
      <c r="Q125" s="8"/>
      <c r="R125" s="66"/>
      <c r="S125" s="66"/>
      <c r="T125" s="66"/>
      <c r="U125" s="8"/>
      <c r="V125" s="66"/>
      <c r="W125" s="66"/>
      <c r="X125" s="66"/>
      <c r="Y125" s="189"/>
      <c r="Z125" s="184"/>
      <c r="AA125" s="184"/>
      <c r="AB125" s="184"/>
      <c r="AC125" s="8"/>
      <c r="AD125" s="66"/>
      <c r="AE125" s="66"/>
      <c r="AF125" s="66"/>
      <c r="AG125" s="190"/>
      <c r="AH125" s="191"/>
      <c r="AI125" s="190"/>
      <c r="AJ125" s="190"/>
      <c r="AK125" s="66"/>
      <c r="AL125" s="66"/>
      <c r="AM125" s="66"/>
      <c r="AN125" s="66"/>
      <c r="AO125" s="66"/>
      <c r="AP125" s="66"/>
      <c r="AQ125" s="66"/>
      <c r="AR125" s="66"/>
      <c r="AS125" s="66"/>
      <c r="AT125" s="66"/>
    </row>
    <row r="126">
      <c r="A126" s="8"/>
      <c r="B126" s="66"/>
      <c r="C126" s="66"/>
      <c r="D126" s="66"/>
      <c r="E126" s="8"/>
      <c r="F126" s="66"/>
      <c r="G126" s="66"/>
      <c r="H126" s="66"/>
      <c r="I126" s="8"/>
      <c r="J126" s="66"/>
      <c r="K126" s="66"/>
      <c r="L126" s="66"/>
      <c r="M126" s="8"/>
      <c r="N126" s="66"/>
      <c r="O126" s="66"/>
      <c r="P126" s="66"/>
      <c r="Q126" s="8"/>
      <c r="R126" s="66"/>
      <c r="S126" s="66"/>
      <c r="T126" s="66"/>
      <c r="U126" s="8"/>
      <c r="V126" s="66"/>
      <c r="W126" s="66"/>
      <c r="X126" s="66"/>
      <c r="Y126" s="189"/>
      <c r="Z126" s="184"/>
      <c r="AA126" s="184"/>
      <c r="AB126" s="184"/>
      <c r="AC126" s="8"/>
      <c r="AD126" s="66"/>
      <c r="AE126" s="66"/>
      <c r="AF126" s="66"/>
      <c r="AG126" s="190"/>
      <c r="AH126" s="191"/>
      <c r="AI126" s="190"/>
      <c r="AJ126" s="190"/>
      <c r="AK126" s="66"/>
      <c r="AL126" s="66"/>
      <c r="AM126" s="66"/>
      <c r="AN126" s="66"/>
      <c r="AO126" s="66"/>
      <c r="AP126" s="66"/>
      <c r="AQ126" s="66"/>
      <c r="AR126" s="66"/>
      <c r="AS126" s="66"/>
      <c r="AT126" s="66"/>
    </row>
    <row r="127">
      <c r="A127" s="8"/>
      <c r="B127" s="66"/>
      <c r="C127" s="66"/>
      <c r="D127" s="66"/>
      <c r="E127" s="8"/>
      <c r="F127" s="66"/>
      <c r="G127" s="66"/>
      <c r="H127" s="66"/>
      <c r="I127" s="8"/>
      <c r="J127" s="66"/>
      <c r="K127" s="66"/>
      <c r="L127" s="66"/>
      <c r="M127" s="8"/>
      <c r="N127" s="66"/>
      <c r="O127" s="66"/>
      <c r="P127" s="66"/>
      <c r="Q127" s="8"/>
      <c r="R127" s="66"/>
      <c r="S127" s="66"/>
      <c r="T127" s="66"/>
      <c r="U127" s="8"/>
      <c r="V127" s="66"/>
      <c r="W127" s="66"/>
      <c r="X127" s="66"/>
      <c r="Y127" s="189"/>
      <c r="Z127" s="184"/>
      <c r="AA127" s="184"/>
      <c r="AB127" s="184"/>
      <c r="AC127" s="8"/>
      <c r="AD127" s="66"/>
      <c r="AE127" s="66"/>
      <c r="AF127" s="66"/>
      <c r="AG127" s="190"/>
      <c r="AH127" s="191"/>
      <c r="AI127" s="190"/>
      <c r="AJ127" s="190"/>
      <c r="AK127" s="66"/>
      <c r="AL127" s="66"/>
      <c r="AM127" s="66"/>
      <c r="AN127" s="66"/>
      <c r="AO127" s="66"/>
      <c r="AP127" s="66"/>
      <c r="AQ127" s="66"/>
      <c r="AR127" s="66"/>
      <c r="AS127" s="66"/>
      <c r="AT127" s="66"/>
    </row>
    <row r="128">
      <c r="A128" s="8"/>
      <c r="B128" s="66"/>
      <c r="C128" s="66"/>
      <c r="D128" s="66"/>
      <c r="E128" s="8"/>
      <c r="F128" s="66"/>
      <c r="G128" s="66"/>
      <c r="H128" s="66"/>
      <c r="I128" s="8"/>
      <c r="J128" s="66"/>
      <c r="K128" s="66"/>
      <c r="L128" s="66"/>
      <c r="M128" s="8"/>
      <c r="N128" s="66"/>
      <c r="O128" s="66"/>
      <c r="P128" s="66"/>
      <c r="Q128" s="8"/>
      <c r="R128" s="66"/>
      <c r="S128" s="66"/>
      <c r="T128" s="66"/>
      <c r="U128" s="8"/>
      <c r="V128" s="66"/>
      <c r="W128" s="66"/>
      <c r="X128" s="66"/>
      <c r="Y128" s="189"/>
      <c r="Z128" s="184"/>
      <c r="AA128" s="184"/>
      <c r="AB128" s="184"/>
      <c r="AC128" s="8"/>
      <c r="AD128" s="66"/>
      <c r="AE128" s="66"/>
      <c r="AF128" s="66"/>
      <c r="AG128" s="190"/>
      <c r="AH128" s="191"/>
      <c r="AI128" s="190"/>
      <c r="AJ128" s="190"/>
      <c r="AK128" s="66"/>
      <c r="AL128" s="66"/>
      <c r="AM128" s="66"/>
      <c r="AN128" s="66"/>
      <c r="AO128" s="66"/>
      <c r="AP128" s="66"/>
      <c r="AQ128" s="66"/>
      <c r="AR128" s="66"/>
      <c r="AS128" s="66"/>
      <c r="AT128" s="66"/>
    </row>
    <row r="129">
      <c r="A129" s="8"/>
      <c r="B129" s="66"/>
      <c r="C129" s="66"/>
      <c r="D129" s="66"/>
      <c r="E129" s="8"/>
      <c r="F129" s="66"/>
      <c r="G129" s="66"/>
      <c r="H129" s="66"/>
      <c r="I129" s="8"/>
      <c r="J129" s="66"/>
      <c r="K129" s="66"/>
      <c r="L129" s="66"/>
      <c r="M129" s="8"/>
      <c r="N129" s="66"/>
      <c r="O129" s="66"/>
      <c r="P129" s="66"/>
      <c r="Q129" s="8"/>
      <c r="R129" s="66"/>
      <c r="S129" s="66"/>
      <c r="T129" s="66"/>
      <c r="U129" s="8"/>
      <c r="V129" s="66"/>
      <c r="W129" s="66"/>
      <c r="X129" s="66"/>
      <c r="Y129" s="189"/>
      <c r="Z129" s="184"/>
      <c r="AA129" s="184"/>
      <c r="AB129" s="184"/>
      <c r="AC129" s="8"/>
      <c r="AD129" s="66"/>
      <c r="AE129" s="66"/>
      <c r="AF129" s="66"/>
      <c r="AG129" s="190"/>
      <c r="AH129" s="191"/>
      <c r="AI129" s="190"/>
      <c r="AJ129" s="190"/>
      <c r="AK129" s="66"/>
      <c r="AL129" s="66"/>
      <c r="AM129" s="66"/>
      <c r="AN129" s="66"/>
      <c r="AO129" s="66"/>
      <c r="AP129" s="66"/>
      <c r="AQ129" s="66"/>
      <c r="AR129" s="66"/>
      <c r="AS129" s="66"/>
      <c r="AT129" s="66"/>
    </row>
    <row r="130">
      <c r="A130" s="8"/>
      <c r="B130" s="66"/>
      <c r="C130" s="66"/>
      <c r="D130" s="66"/>
      <c r="E130" s="8"/>
      <c r="F130" s="66"/>
      <c r="G130" s="66"/>
      <c r="H130" s="66"/>
      <c r="I130" s="8"/>
      <c r="J130" s="66"/>
      <c r="K130" s="66"/>
      <c r="L130" s="66"/>
      <c r="M130" s="8"/>
      <c r="N130" s="66"/>
      <c r="O130" s="66"/>
      <c r="P130" s="66"/>
      <c r="Q130" s="8"/>
      <c r="R130" s="66"/>
      <c r="S130" s="66"/>
      <c r="T130" s="66"/>
      <c r="U130" s="8"/>
      <c r="V130" s="66"/>
      <c r="W130" s="66"/>
      <c r="X130" s="66"/>
      <c r="Y130" s="189"/>
      <c r="Z130" s="184"/>
      <c r="AA130" s="184"/>
      <c r="AB130" s="184"/>
      <c r="AC130" s="8"/>
      <c r="AD130" s="66"/>
      <c r="AE130" s="66"/>
      <c r="AF130" s="66"/>
      <c r="AG130" s="190"/>
      <c r="AH130" s="191"/>
      <c r="AI130" s="190"/>
      <c r="AJ130" s="190"/>
      <c r="AK130" s="66"/>
      <c r="AL130" s="66"/>
      <c r="AM130" s="66"/>
      <c r="AN130" s="66"/>
      <c r="AO130" s="66"/>
      <c r="AP130" s="66"/>
      <c r="AQ130" s="66"/>
      <c r="AR130" s="66"/>
      <c r="AS130" s="66"/>
      <c r="AT130" s="66"/>
    </row>
    <row r="131">
      <c r="A131" s="8"/>
      <c r="B131" s="66"/>
      <c r="C131" s="66"/>
      <c r="D131" s="66"/>
      <c r="E131" s="8"/>
      <c r="F131" s="66"/>
      <c r="G131" s="66"/>
      <c r="H131" s="66"/>
      <c r="I131" s="8"/>
      <c r="J131" s="66"/>
      <c r="K131" s="66"/>
      <c r="L131" s="66"/>
      <c r="M131" s="8"/>
      <c r="N131" s="66"/>
      <c r="O131" s="66"/>
      <c r="P131" s="66"/>
      <c r="Q131" s="8"/>
      <c r="R131" s="66"/>
      <c r="S131" s="66"/>
      <c r="T131" s="66"/>
      <c r="U131" s="8"/>
      <c r="V131" s="66"/>
      <c r="W131" s="66"/>
      <c r="X131" s="66"/>
      <c r="Y131" s="189"/>
      <c r="Z131" s="184"/>
      <c r="AA131" s="184"/>
      <c r="AB131" s="184"/>
      <c r="AC131" s="8"/>
      <c r="AD131" s="66"/>
      <c r="AE131" s="66"/>
      <c r="AF131" s="66"/>
      <c r="AG131" s="190"/>
      <c r="AH131" s="191"/>
      <c r="AI131" s="190"/>
      <c r="AJ131" s="190"/>
      <c r="AK131" s="66"/>
      <c r="AL131" s="66"/>
      <c r="AM131" s="66"/>
      <c r="AN131" s="66"/>
      <c r="AO131" s="66"/>
      <c r="AP131" s="66"/>
      <c r="AQ131" s="66"/>
      <c r="AR131" s="66"/>
      <c r="AS131" s="66"/>
      <c r="AT131" s="66"/>
    </row>
    <row r="132">
      <c r="A132" s="8"/>
      <c r="B132" s="66"/>
      <c r="C132" s="66"/>
      <c r="D132" s="66"/>
      <c r="E132" s="8"/>
      <c r="F132" s="66"/>
      <c r="G132" s="66"/>
      <c r="H132" s="66"/>
      <c r="I132" s="8"/>
      <c r="J132" s="66"/>
      <c r="K132" s="66"/>
      <c r="L132" s="66"/>
      <c r="M132" s="8"/>
      <c r="N132" s="66"/>
      <c r="O132" s="66"/>
      <c r="P132" s="66"/>
      <c r="Q132" s="8"/>
      <c r="R132" s="66"/>
      <c r="S132" s="66"/>
      <c r="T132" s="66"/>
      <c r="U132" s="8"/>
      <c r="V132" s="66"/>
      <c r="W132" s="66"/>
      <c r="X132" s="66"/>
      <c r="Y132" s="189"/>
      <c r="Z132" s="184"/>
      <c r="AA132" s="184"/>
      <c r="AB132" s="184"/>
      <c r="AC132" s="8"/>
      <c r="AD132" s="66"/>
      <c r="AE132" s="66"/>
      <c r="AF132" s="66"/>
      <c r="AG132" s="190"/>
      <c r="AH132" s="191"/>
      <c r="AI132" s="190"/>
      <c r="AJ132" s="190"/>
      <c r="AK132" s="66"/>
      <c r="AL132" s="66"/>
      <c r="AM132" s="66"/>
      <c r="AN132" s="66"/>
      <c r="AO132" s="66"/>
      <c r="AP132" s="66"/>
      <c r="AQ132" s="66"/>
      <c r="AR132" s="66"/>
      <c r="AS132" s="66"/>
      <c r="AT132" s="66"/>
    </row>
    <row r="133">
      <c r="A133" s="8"/>
      <c r="B133" s="66"/>
      <c r="C133" s="66"/>
      <c r="D133" s="66"/>
      <c r="E133" s="8"/>
      <c r="F133" s="66"/>
      <c r="G133" s="66"/>
      <c r="H133" s="66"/>
      <c r="I133" s="8"/>
      <c r="J133" s="66"/>
      <c r="K133" s="66"/>
      <c r="L133" s="66"/>
      <c r="M133" s="8"/>
      <c r="N133" s="66"/>
      <c r="O133" s="66"/>
      <c r="P133" s="66"/>
      <c r="Q133" s="8"/>
      <c r="R133" s="66"/>
      <c r="S133" s="66"/>
      <c r="T133" s="66"/>
      <c r="U133" s="8"/>
      <c r="V133" s="66"/>
      <c r="W133" s="66"/>
      <c r="X133" s="66"/>
      <c r="Y133" s="189"/>
      <c r="Z133" s="184"/>
      <c r="AA133" s="184"/>
      <c r="AB133" s="184"/>
      <c r="AC133" s="8"/>
      <c r="AD133" s="66"/>
      <c r="AE133" s="66"/>
      <c r="AF133" s="66"/>
      <c r="AG133" s="190"/>
      <c r="AH133" s="191"/>
      <c r="AI133" s="190"/>
      <c r="AJ133" s="190"/>
      <c r="AK133" s="66"/>
      <c r="AL133" s="66"/>
      <c r="AM133" s="66"/>
      <c r="AN133" s="66"/>
      <c r="AO133" s="66"/>
      <c r="AP133" s="66"/>
      <c r="AQ133" s="66"/>
      <c r="AR133" s="66"/>
      <c r="AS133" s="66"/>
      <c r="AT133" s="66"/>
    </row>
    <row r="134">
      <c r="A134" s="8"/>
      <c r="B134" s="66"/>
      <c r="C134" s="66"/>
      <c r="D134" s="66"/>
      <c r="E134" s="8"/>
      <c r="F134" s="66"/>
      <c r="G134" s="66"/>
      <c r="H134" s="66"/>
      <c r="I134" s="8"/>
      <c r="J134" s="66"/>
      <c r="K134" s="66"/>
      <c r="L134" s="66"/>
      <c r="M134" s="8"/>
      <c r="N134" s="66"/>
      <c r="O134" s="66"/>
      <c r="P134" s="66"/>
      <c r="Q134" s="8"/>
      <c r="R134" s="66"/>
      <c r="S134" s="66"/>
      <c r="T134" s="66"/>
      <c r="U134" s="8"/>
      <c r="V134" s="66"/>
      <c r="W134" s="66"/>
      <c r="X134" s="66"/>
      <c r="Y134" s="189"/>
      <c r="Z134" s="184"/>
      <c r="AA134" s="184"/>
      <c r="AB134" s="184"/>
      <c r="AC134" s="8"/>
      <c r="AD134" s="66"/>
      <c r="AE134" s="66"/>
      <c r="AF134" s="66"/>
      <c r="AG134" s="190"/>
      <c r="AH134" s="191"/>
      <c r="AI134" s="190"/>
      <c r="AJ134" s="190"/>
      <c r="AK134" s="66"/>
      <c r="AL134" s="66"/>
      <c r="AM134" s="66"/>
      <c r="AN134" s="66"/>
      <c r="AO134" s="66"/>
      <c r="AP134" s="66"/>
      <c r="AQ134" s="66"/>
      <c r="AR134" s="66"/>
      <c r="AS134" s="66"/>
      <c r="AT134" s="66"/>
    </row>
    <row r="135">
      <c r="A135" s="8"/>
      <c r="B135" s="66"/>
      <c r="C135" s="66"/>
      <c r="D135" s="66"/>
      <c r="E135" s="8"/>
      <c r="F135" s="66"/>
      <c r="G135" s="66"/>
      <c r="H135" s="66"/>
      <c r="I135" s="8"/>
      <c r="J135" s="66"/>
      <c r="K135" s="66"/>
      <c r="L135" s="66"/>
      <c r="M135" s="8"/>
      <c r="N135" s="66"/>
      <c r="O135" s="66"/>
      <c r="P135" s="66"/>
      <c r="Q135" s="8"/>
      <c r="R135" s="66"/>
      <c r="S135" s="66"/>
      <c r="T135" s="66"/>
      <c r="U135" s="8"/>
      <c r="V135" s="66"/>
      <c r="W135" s="66"/>
      <c r="X135" s="66"/>
      <c r="Y135" s="189"/>
      <c r="Z135" s="184"/>
      <c r="AA135" s="184"/>
      <c r="AB135" s="184"/>
      <c r="AC135" s="8"/>
      <c r="AD135" s="66"/>
      <c r="AE135" s="66"/>
      <c r="AF135" s="66"/>
      <c r="AG135" s="190"/>
      <c r="AH135" s="191"/>
      <c r="AI135" s="190"/>
      <c r="AJ135" s="190"/>
      <c r="AK135" s="66"/>
      <c r="AL135" s="66"/>
      <c r="AM135" s="66"/>
      <c r="AN135" s="66"/>
      <c r="AO135" s="66"/>
      <c r="AP135" s="66"/>
      <c r="AQ135" s="66"/>
      <c r="AR135" s="66"/>
      <c r="AS135" s="66"/>
      <c r="AT135" s="66"/>
    </row>
    <row r="136">
      <c r="A136" s="8"/>
      <c r="B136" s="66"/>
      <c r="C136" s="66"/>
      <c r="D136" s="66"/>
      <c r="E136" s="8"/>
      <c r="F136" s="66"/>
      <c r="G136" s="66"/>
      <c r="H136" s="66"/>
      <c r="I136" s="8"/>
      <c r="J136" s="66"/>
      <c r="K136" s="66"/>
      <c r="L136" s="66"/>
      <c r="M136" s="8"/>
      <c r="N136" s="66"/>
      <c r="O136" s="66"/>
      <c r="P136" s="66"/>
      <c r="Q136" s="8"/>
      <c r="R136" s="66"/>
      <c r="S136" s="66"/>
      <c r="T136" s="66"/>
      <c r="U136" s="8"/>
      <c r="V136" s="66"/>
      <c r="W136" s="66"/>
      <c r="X136" s="66"/>
      <c r="Y136" s="189"/>
      <c r="Z136" s="184"/>
      <c r="AA136" s="184"/>
      <c r="AB136" s="184"/>
      <c r="AC136" s="8"/>
      <c r="AD136" s="66"/>
      <c r="AE136" s="66"/>
      <c r="AF136" s="66"/>
      <c r="AG136" s="190"/>
      <c r="AH136" s="191"/>
      <c r="AI136" s="190"/>
      <c r="AJ136" s="190"/>
      <c r="AK136" s="66"/>
      <c r="AL136" s="66"/>
      <c r="AM136" s="66"/>
      <c r="AN136" s="66"/>
      <c r="AO136" s="66"/>
      <c r="AP136" s="66"/>
      <c r="AQ136" s="66"/>
      <c r="AR136" s="66"/>
      <c r="AS136" s="66"/>
      <c r="AT136" s="66"/>
    </row>
    <row r="137">
      <c r="A137" s="8"/>
      <c r="B137" s="66"/>
      <c r="C137" s="66"/>
      <c r="D137" s="66"/>
      <c r="E137" s="8"/>
      <c r="F137" s="66"/>
      <c r="G137" s="66"/>
      <c r="H137" s="66"/>
      <c r="I137" s="8"/>
      <c r="J137" s="66"/>
      <c r="K137" s="66"/>
      <c r="L137" s="66"/>
      <c r="M137" s="8"/>
      <c r="N137" s="66"/>
      <c r="O137" s="66"/>
      <c r="P137" s="66"/>
      <c r="Q137" s="8"/>
      <c r="R137" s="66"/>
      <c r="S137" s="66"/>
      <c r="T137" s="66"/>
      <c r="U137" s="8"/>
      <c r="V137" s="66"/>
      <c r="W137" s="66"/>
      <c r="X137" s="66"/>
      <c r="Y137" s="189"/>
      <c r="Z137" s="184"/>
      <c r="AA137" s="184"/>
      <c r="AB137" s="184"/>
      <c r="AC137" s="8"/>
      <c r="AD137" s="66"/>
      <c r="AE137" s="66"/>
      <c r="AF137" s="66"/>
      <c r="AG137" s="190"/>
      <c r="AH137" s="191"/>
      <c r="AI137" s="190"/>
      <c r="AJ137" s="190"/>
      <c r="AK137" s="66"/>
      <c r="AL137" s="66"/>
      <c r="AM137" s="66"/>
      <c r="AN137" s="66"/>
      <c r="AO137" s="66"/>
      <c r="AP137" s="66"/>
      <c r="AQ137" s="66"/>
      <c r="AR137" s="66"/>
      <c r="AS137" s="66"/>
      <c r="AT137" s="66"/>
    </row>
    <row r="138">
      <c r="A138" s="8"/>
      <c r="B138" s="66"/>
      <c r="C138" s="66"/>
      <c r="D138" s="66"/>
      <c r="E138" s="8"/>
      <c r="F138" s="66"/>
      <c r="G138" s="66"/>
      <c r="H138" s="66"/>
      <c r="I138" s="8"/>
      <c r="J138" s="66"/>
      <c r="K138" s="66"/>
      <c r="L138" s="66"/>
      <c r="M138" s="8"/>
      <c r="N138" s="66"/>
      <c r="O138" s="66"/>
      <c r="P138" s="66"/>
      <c r="Q138" s="8"/>
      <c r="R138" s="66"/>
      <c r="S138" s="66"/>
      <c r="T138" s="66"/>
      <c r="U138" s="8"/>
      <c r="V138" s="66"/>
      <c r="W138" s="66"/>
      <c r="X138" s="66"/>
      <c r="Y138" s="189"/>
      <c r="Z138" s="184"/>
      <c r="AA138" s="184"/>
      <c r="AB138" s="184"/>
      <c r="AC138" s="8"/>
      <c r="AD138" s="66"/>
      <c r="AE138" s="66"/>
      <c r="AF138" s="66"/>
      <c r="AG138" s="190"/>
      <c r="AH138" s="191"/>
      <c r="AI138" s="190"/>
      <c r="AJ138" s="190"/>
      <c r="AK138" s="66"/>
      <c r="AL138" s="66"/>
      <c r="AM138" s="66"/>
      <c r="AN138" s="66"/>
      <c r="AO138" s="66"/>
      <c r="AP138" s="66"/>
      <c r="AQ138" s="66"/>
      <c r="AR138" s="66"/>
      <c r="AS138" s="66"/>
      <c r="AT138" s="66"/>
    </row>
    <row r="139">
      <c r="A139" s="8"/>
      <c r="B139" s="66"/>
      <c r="C139" s="66"/>
      <c r="D139" s="66"/>
      <c r="E139" s="8"/>
      <c r="F139" s="66"/>
      <c r="G139" s="66"/>
      <c r="H139" s="66"/>
      <c r="I139" s="8"/>
      <c r="J139" s="66"/>
      <c r="K139" s="66"/>
      <c r="L139" s="66"/>
      <c r="M139" s="8"/>
      <c r="N139" s="66"/>
      <c r="O139" s="66"/>
      <c r="P139" s="66"/>
      <c r="Q139" s="8"/>
      <c r="R139" s="66"/>
      <c r="S139" s="66"/>
      <c r="T139" s="66"/>
      <c r="U139" s="8"/>
      <c r="V139" s="66"/>
      <c r="W139" s="66"/>
      <c r="X139" s="66"/>
      <c r="Y139" s="189"/>
      <c r="Z139" s="184"/>
      <c r="AA139" s="184"/>
      <c r="AB139" s="184"/>
      <c r="AC139" s="8"/>
      <c r="AD139" s="66"/>
      <c r="AE139" s="66"/>
      <c r="AF139" s="66"/>
      <c r="AG139" s="190"/>
      <c r="AH139" s="191"/>
      <c r="AI139" s="190"/>
      <c r="AJ139" s="190"/>
      <c r="AK139" s="66"/>
      <c r="AL139" s="66"/>
      <c r="AM139" s="66"/>
      <c r="AN139" s="66"/>
      <c r="AO139" s="66"/>
      <c r="AP139" s="66"/>
      <c r="AQ139" s="66"/>
      <c r="AR139" s="66"/>
      <c r="AS139" s="66"/>
      <c r="AT139" s="66"/>
    </row>
    <row r="140">
      <c r="A140" s="8"/>
      <c r="B140" s="66"/>
      <c r="C140" s="66"/>
      <c r="D140" s="66"/>
      <c r="E140" s="8"/>
      <c r="F140" s="66"/>
      <c r="G140" s="66"/>
      <c r="H140" s="66"/>
      <c r="I140" s="8"/>
      <c r="J140" s="66"/>
      <c r="K140" s="66"/>
      <c r="L140" s="66"/>
      <c r="M140" s="8"/>
      <c r="N140" s="66"/>
      <c r="O140" s="66"/>
      <c r="P140" s="66"/>
      <c r="Q140" s="8"/>
      <c r="R140" s="66"/>
      <c r="S140" s="66"/>
      <c r="T140" s="66"/>
      <c r="U140" s="8"/>
      <c r="V140" s="66"/>
      <c r="W140" s="66"/>
      <c r="X140" s="66"/>
      <c r="Y140" s="189"/>
      <c r="Z140" s="184"/>
      <c r="AA140" s="184"/>
      <c r="AB140" s="184"/>
      <c r="AC140" s="8"/>
      <c r="AD140" s="66"/>
      <c r="AE140" s="66"/>
      <c r="AF140" s="66"/>
      <c r="AG140" s="190"/>
      <c r="AH140" s="191"/>
      <c r="AI140" s="190"/>
      <c r="AJ140" s="190"/>
      <c r="AK140" s="66"/>
      <c r="AL140" s="66"/>
      <c r="AM140" s="66"/>
      <c r="AN140" s="66"/>
      <c r="AO140" s="66"/>
      <c r="AP140" s="66"/>
      <c r="AQ140" s="66"/>
      <c r="AR140" s="66"/>
      <c r="AS140" s="66"/>
      <c r="AT140" s="66"/>
    </row>
    <row r="141">
      <c r="A141" s="8"/>
      <c r="B141" s="66"/>
      <c r="C141" s="66"/>
      <c r="D141" s="66"/>
      <c r="E141" s="8"/>
      <c r="F141" s="66"/>
      <c r="G141" s="66"/>
      <c r="H141" s="66"/>
      <c r="I141" s="8"/>
      <c r="J141" s="66"/>
      <c r="K141" s="66"/>
      <c r="L141" s="66"/>
      <c r="M141" s="8"/>
      <c r="N141" s="66"/>
      <c r="O141" s="66"/>
      <c r="P141" s="66"/>
      <c r="Q141" s="8"/>
      <c r="R141" s="66"/>
      <c r="S141" s="66"/>
      <c r="T141" s="66"/>
      <c r="U141" s="8"/>
      <c r="V141" s="66"/>
      <c r="W141" s="66"/>
      <c r="X141" s="66"/>
      <c r="Y141" s="189"/>
      <c r="Z141" s="184"/>
      <c r="AA141" s="184"/>
      <c r="AB141" s="184"/>
      <c r="AC141" s="8"/>
      <c r="AD141" s="66"/>
      <c r="AE141" s="66"/>
      <c r="AF141" s="66"/>
      <c r="AG141" s="190"/>
      <c r="AH141" s="191"/>
      <c r="AI141" s="190"/>
      <c r="AJ141" s="190"/>
      <c r="AK141" s="66"/>
      <c r="AL141" s="66"/>
      <c r="AM141" s="66"/>
      <c r="AN141" s="66"/>
      <c r="AO141" s="66"/>
      <c r="AP141" s="66"/>
      <c r="AQ141" s="66"/>
      <c r="AR141" s="66"/>
      <c r="AS141" s="66"/>
      <c r="AT141" s="66"/>
    </row>
    <row r="142">
      <c r="A142" s="8"/>
      <c r="B142" s="66"/>
      <c r="C142" s="66"/>
      <c r="D142" s="66"/>
      <c r="E142" s="8"/>
      <c r="F142" s="66"/>
      <c r="G142" s="66"/>
      <c r="H142" s="66"/>
      <c r="I142" s="8"/>
      <c r="J142" s="66"/>
      <c r="K142" s="66"/>
      <c r="L142" s="66"/>
      <c r="M142" s="8"/>
      <c r="N142" s="66"/>
      <c r="O142" s="66"/>
      <c r="P142" s="66"/>
      <c r="Q142" s="8"/>
      <c r="R142" s="66"/>
      <c r="S142" s="66"/>
      <c r="T142" s="66"/>
      <c r="U142" s="8"/>
      <c r="V142" s="66"/>
      <c r="W142" s="66"/>
      <c r="X142" s="66"/>
      <c r="Y142" s="189"/>
      <c r="Z142" s="184"/>
      <c r="AA142" s="184"/>
      <c r="AB142" s="184"/>
      <c r="AC142" s="8"/>
      <c r="AD142" s="66"/>
      <c r="AE142" s="66"/>
      <c r="AF142" s="66"/>
      <c r="AG142" s="190"/>
      <c r="AH142" s="191"/>
      <c r="AI142" s="190"/>
      <c r="AJ142" s="190"/>
      <c r="AK142" s="66"/>
      <c r="AL142" s="66"/>
      <c r="AM142" s="66"/>
      <c r="AN142" s="66"/>
      <c r="AO142" s="66"/>
      <c r="AP142" s="66"/>
      <c r="AQ142" s="66"/>
      <c r="AR142" s="66"/>
      <c r="AS142" s="66"/>
      <c r="AT142" s="66"/>
    </row>
    <row r="143">
      <c r="A143" s="8"/>
      <c r="B143" s="66"/>
      <c r="C143" s="66"/>
      <c r="D143" s="66"/>
      <c r="E143" s="8"/>
      <c r="F143" s="66"/>
      <c r="G143" s="66"/>
      <c r="H143" s="66"/>
      <c r="I143" s="8"/>
      <c r="J143" s="66"/>
      <c r="K143" s="66"/>
      <c r="L143" s="66"/>
      <c r="M143" s="8"/>
      <c r="N143" s="66"/>
      <c r="O143" s="66"/>
      <c r="P143" s="66"/>
      <c r="Q143" s="8"/>
      <c r="R143" s="66"/>
      <c r="S143" s="66"/>
      <c r="T143" s="66"/>
      <c r="U143" s="8"/>
      <c r="V143" s="66"/>
      <c r="W143" s="66"/>
      <c r="X143" s="66"/>
      <c r="Y143" s="189"/>
      <c r="Z143" s="184"/>
      <c r="AA143" s="184"/>
      <c r="AB143" s="184"/>
      <c r="AC143" s="8"/>
      <c r="AD143" s="66"/>
      <c r="AE143" s="66"/>
      <c r="AF143" s="66"/>
      <c r="AG143" s="190"/>
      <c r="AH143" s="191"/>
      <c r="AI143" s="190"/>
      <c r="AJ143" s="190"/>
      <c r="AK143" s="66"/>
      <c r="AL143" s="66"/>
      <c r="AM143" s="66"/>
      <c r="AN143" s="66"/>
      <c r="AO143" s="66"/>
      <c r="AP143" s="66"/>
      <c r="AQ143" s="66"/>
      <c r="AR143" s="66"/>
      <c r="AS143" s="66"/>
      <c r="AT143" s="66"/>
    </row>
    <row r="144">
      <c r="A144" s="8"/>
      <c r="B144" s="66"/>
      <c r="C144" s="66"/>
      <c r="D144" s="66"/>
      <c r="E144" s="8"/>
      <c r="F144" s="66"/>
      <c r="G144" s="66"/>
      <c r="H144" s="66"/>
      <c r="I144" s="8"/>
      <c r="J144" s="66"/>
      <c r="K144" s="66"/>
      <c r="L144" s="66"/>
      <c r="M144" s="8"/>
      <c r="N144" s="66"/>
      <c r="O144" s="66"/>
      <c r="P144" s="66"/>
      <c r="Q144" s="8"/>
      <c r="R144" s="66"/>
      <c r="S144" s="66"/>
      <c r="T144" s="66"/>
      <c r="U144" s="8"/>
      <c r="V144" s="66"/>
      <c r="W144" s="66"/>
      <c r="X144" s="66"/>
      <c r="Y144" s="189"/>
      <c r="Z144" s="184"/>
      <c r="AA144" s="184"/>
      <c r="AB144" s="184"/>
      <c r="AC144" s="8"/>
      <c r="AD144" s="66"/>
      <c r="AE144" s="66"/>
      <c r="AF144" s="66"/>
      <c r="AG144" s="190"/>
      <c r="AH144" s="191"/>
      <c r="AI144" s="190"/>
      <c r="AJ144" s="190"/>
      <c r="AK144" s="66"/>
      <c r="AL144" s="66"/>
      <c r="AM144" s="66"/>
      <c r="AN144" s="66"/>
      <c r="AO144" s="66"/>
      <c r="AP144" s="66"/>
      <c r="AQ144" s="66"/>
      <c r="AR144" s="66"/>
      <c r="AS144" s="66"/>
      <c r="AT144" s="66"/>
    </row>
    <row r="145">
      <c r="A145" s="8"/>
      <c r="B145" s="66"/>
      <c r="C145" s="66"/>
      <c r="D145" s="66"/>
      <c r="E145" s="8"/>
      <c r="F145" s="66"/>
      <c r="G145" s="66"/>
      <c r="H145" s="66"/>
      <c r="I145" s="8"/>
      <c r="J145" s="66"/>
      <c r="K145" s="66"/>
      <c r="L145" s="66"/>
      <c r="M145" s="8"/>
      <c r="N145" s="66"/>
      <c r="O145" s="66"/>
      <c r="P145" s="66"/>
      <c r="Q145" s="8"/>
      <c r="R145" s="66"/>
      <c r="S145" s="66"/>
      <c r="T145" s="66"/>
      <c r="U145" s="8"/>
      <c r="V145" s="66"/>
      <c r="W145" s="66"/>
      <c r="X145" s="66"/>
      <c r="Y145" s="189"/>
      <c r="Z145" s="184"/>
      <c r="AA145" s="184"/>
      <c r="AB145" s="184"/>
      <c r="AC145" s="8"/>
      <c r="AD145" s="66"/>
      <c r="AE145" s="66"/>
      <c r="AF145" s="66"/>
      <c r="AG145" s="190"/>
      <c r="AH145" s="191"/>
      <c r="AI145" s="190"/>
      <c r="AJ145" s="190"/>
      <c r="AK145" s="66"/>
      <c r="AL145" s="66"/>
      <c r="AM145" s="66"/>
      <c r="AN145" s="66"/>
      <c r="AO145" s="66"/>
      <c r="AP145" s="66"/>
      <c r="AQ145" s="66"/>
      <c r="AR145" s="66"/>
      <c r="AS145" s="66"/>
      <c r="AT145" s="66"/>
    </row>
    <row r="146">
      <c r="A146" s="8"/>
      <c r="B146" s="66"/>
      <c r="C146" s="66"/>
      <c r="D146" s="66"/>
      <c r="E146" s="8"/>
      <c r="F146" s="66"/>
      <c r="G146" s="66"/>
      <c r="H146" s="66"/>
      <c r="I146" s="8"/>
      <c r="J146" s="66"/>
      <c r="K146" s="66"/>
      <c r="L146" s="66"/>
      <c r="M146" s="8"/>
      <c r="N146" s="66"/>
      <c r="O146" s="66"/>
      <c r="P146" s="66"/>
      <c r="Q146" s="8"/>
      <c r="R146" s="66"/>
      <c r="S146" s="66"/>
      <c r="T146" s="66"/>
      <c r="U146" s="8"/>
      <c r="V146" s="66"/>
      <c r="W146" s="66"/>
      <c r="X146" s="66"/>
      <c r="Y146" s="189"/>
      <c r="Z146" s="184"/>
      <c r="AA146" s="184"/>
      <c r="AB146" s="184"/>
      <c r="AC146" s="8"/>
      <c r="AD146" s="66"/>
      <c r="AE146" s="66"/>
      <c r="AF146" s="66"/>
      <c r="AG146" s="190"/>
      <c r="AH146" s="191"/>
      <c r="AI146" s="190"/>
      <c r="AJ146" s="190"/>
      <c r="AK146" s="66"/>
      <c r="AL146" s="66"/>
      <c r="AM146" s="66"/>
      <c r="AN146" s="66"/>
      <c r="AO146" s="66"/>
      <c r="AP146" s="66"/>
      <c r="AQ146" s="66"/>
      <c r="AR146" s="66"/>
      <c r="AS146" s="66"/>
      <c r="AT146" s="66"/>
    </row>
    <row r="147">
      <c r="A147" s="8"/>
      <c r="B147" s="66"/>
      <c r="C147" s="66"/>
      <c r="D147" s="66"/>
      <c r="E147" s="8"/>
      <c r="F147" s="66"/>
      <c r="G147" s="66"/>
      <c r="H147" s="66"/>
      <c r="I147" s="8"/>
      <c r="J147" s="66"/>
      <c r="K147" s="66"/>
      <c r="L147" s="66"/>
      <c r="M147" s="8"/>
      <c r="N147" s="66"/>
      <c r="O147" s="66"/>
      <c r="P147" s="66"/>
      <c r="Q147" s="8"/>
      <c r="R147" s="66"/>
      <c r="S147" s="66"/>
      <c r="T147" s="66"/>
      <c r="U147" s="8"/>
      <c r="V147" s="66"/>
      <c r="W147" s="66"/>
      <c r="X147" s="66"/>
      <c r="Y147" s="189"/>
      <c r="Z147" s="184"/>
      <c r="AA147" s="184"/>
      <c r="AB147" s="184"/>
      <c r="AC147" s="8"/>
      <c r="AD147" s="66"/>
      <c r="AE147" s="66"/>
      <c r="AF147" s="66"/>
      <c r="AG147" s="190"/>
      <c r="AH147" s="191"/>
      <c r="AI147" s="190"/>
      <c r="AJ147" s="190"/>
      <c r="AK147" s="66"/>
      <c r="AL147" s="66"/>
      <c r="AM147" s="66"/>
      <c r="AN147" s="66"/>
      <c r="AO147" s="66"/>
      <c r="AP147" s="66"/>
      <c r="AQ147" s="66"/>
      <c r="AR147" s="66"/>
      <c r="AS147" s="66"/>
      <c r="AT147" s="66"/>
    </row>
    <row r="148">
      <c r="A148" s="8"/>
      <c r="B148" s="66"/>
      <c r="C148" s="66"/>
      <c r="D148" s="66"/>
      <c r="E148" s="8"/>
      <c r="F148" s="66"/>
      <c r="G148" s="66"/>
      <c r="H148" s="66"/>
      <c r="I148" s="8"/>
      <c r="J148" s="66"/>
      <c r="K148" s="66"/>
      <c r="L148" s="66"/>
      <c r="M148" s="8"/>
      <c r="N148" s="66"/>
      <c r="O148" s="66"/>
      <c r="P148" s="66"/>
      <c r="Q148" s="8"/>
      <c r="R148" s="66"/>
      <c r="S148" s="66"/>
      <c r="T148" s="66"/>
      <c r="U148" s="8"/>
      <c r="V148" s="66"/>
      <c r="W148" s="66"/>
      <c r="X148" s="66"/>
      <c r="Y148" s="189"/>
      <c r="Z148" s="184"/>
      <c r="AA148" s="184"/>
      <c r="AB148" s="184"/>
      <c r="AC148" s="8"/>
      <c r="AD148" s="66"/>
      <c r="AE148" s="66"/>
      <c r="AF148" s="66"/>
      <c r="AG148" s="190"/>
      <c r="AH148" s="191"/>
      <c r="AI148" s="190"/>
      <c r="AJ148" s="190"/>
      <c r="AK148" s="66"/>
      <c r="AL148" s="66"/>
      <c r="AM148" s="66"/>
      <c r="AN148" s="66"/>
      <c r="AO148" s="66"/>
      <c r="AP148" s="66"/>
      <c r="AQ148" s="66"/>
      <c r="AR148" s="66"/>
      <c r="AS148" s="66"/>
      <c r="AT148" s="66"/>
    </row>
    <row r="149">
      <c r="A149" s="8"/>
      <c r="B149" s="66"/>
      <c r="C149" s="66"/>
      <c r="D149" s="66"/>
      <c r="E149" s="8"/>
      <c r="F149" s="66"/>
      <c r="G149" s="66"/>
      <c r="H149" s="66"/>
      <c r="I149" s="8"/>
      <c r="J149" s="66"/>
      <c r="K149" s="66"/>
      <c r="L149" s="66"/>
      <c r="M149" s="8"/>
      <c r="N149" s="66"/>
      <c r="O149" s="66"/>
      <c r="P149" s="66"/>
      <c r="Q149" s="8"/>
      <c r="R149" s="66"/>
      <c r="S149" s="66"/>
      <c r="T149" s="66"/>
      <c r="U149" s="8"/>
      <c r="V149" s="66"/>
      <c r="W149" s="66"/>
      <c r="X149" s="66"/>
      <c r="Y149" s="189"/>
      <c r="Z149" s="184"/>
      <c r="AA149" s="184"/>
      <c r="AB149" s="184"/>
      <c r="AC149" s="8"/>
      <c r="AD149" s="66"/>
      <c r="AE149" s="66"/>
      <c r="AF149" s="66"/>
      <c r="AG149" s="190"/>
      <c r="AH149" s="191"/>
      <c r="AI149" s="190"/>
      <c r="AJ149" s="190"/>
      <c r="AK149" s="66"/>
      <c r="AL149" s="66"/>
      <c r="AM149" s="66"/>
      <c r="AN149" s="66"/>
      <c r="AO149" s="66"/>
      <c r="AP149" s="66"/>
      <c r="AQ149" s="66"/>
      <c r="AR149" s="66"/>
      <c r="AS149" s="66"/>
      <c r="AT149" s="66"/>
    </row>
    <row r="150">
      <c r="A150" s="8"/>
      <c r="B150" s="66"/>
      <c r="C150" s="66"/>
      <c r="D150" s="66"/>
      <c r="E150" s="8"/>
      <c r="F150" s="66"/>
      <c r="G150" s="66"/>
      <c r="H150" s="66"/>
      <c r="I150" s="8"/>
      <c r="J150" s="66"/>
      <c r="K150" s="66"/>
      <c r="L150" s="66"/>
      <c r="M150" s="8"/>
      <c r="N150" s="66"/>
      <c r="O150" s="66"/>
      <c r="P150" s="66"/>
      <c r="Q150" s="8"/>
      <c r="R150" s="66"/>
      <c r="S150" s="66"/>
      <c r="T150" s="66"/>
      <c r="U150" s="8"/>
      <c r="V150" s="66"/>
      <c r="W150" s="66"/>
      <c r="X150" s="66"/>
      <c r="Y150" s="189"/>
      <c r="Z150" s="184"/>
      <c r="AA150" s="184"/>
      <c r="AB150" s="184"/>
      <c r="AC150" s="8"/>
      <c r="AD150" s="66"/>
      <c r="AE150" s="66"/>
      <c r="AF150" s="66"/>
      <c r="AG150" s="190"/>
      <c r="AH150" s="191"/>
      <c r="AI150" s="190"/>
      <c r="AJ150" s="190"/>
      <c r="AK150" s="66"/>
      <c r="AL150" s="66"/>
      <c r="AM150" s="66"/>
      <c r="AN150" s="66"/>
      <c r="AO150" s="66"/>
      <c r="AP150" s="66"/>
      <c r="AQ150" s="66"/>
      <c r="AR150" s="66"/>
      <c r="AS150" s="66"/>
      <c r="AT150" s="66"/>
    </row>
    <row r="151">
      <c r="A151" s="8"/>
      <c r="B151" s="66"/>
      <c r="C151" s="66"/>
      <c r="D151" s="66"/>
      <c r="E151" s="8"/>
      <c r="F151" s="66"/>
      <c r="G151" s="66"/>
      <c r="H151" s="66"/>
      <c r="I151" s="8"/>
      <c r="J151" s="66"/>
      <c r="K151" s="66"/>
      <c r="L151" s="66"/>
      <c r="M151" s="8"/>
      <c r="N151" s="66"/>
      <c r="O151" s="66"/>
      <c r="P151" s="66"/>
      <c r="Q151" s="8"/>
      <c r="R151" s="66"/>
      <c r="S151" s="66"/>
      <c r="T151" s="66"/>
      <c r="U151" s="8"/>
      <c r="V151" s="66"/>
      <c r="W151" s="66"/>
      <c r="X151" s="66"/>
      <c r="Y151" s="189"/>
      <c r="Z151" s="184"/>
      <c r="AA151" s="184"/>
      <c r="AB151" s="184"/>
      <c r="AC151" s="8"/>
      <c r="AD151" s="66"/>
      <c r="AE151" s="66"/>
      <c r="AF151" s="66"/>
      <c r="AG151" s="190"/>
      <c r="AH151" s="191"/>
      <c r="AI151" s="190"/>
      <c r="AJ151" s="190"/>
      <c r="AK151" s="66"/>
      <c r="AL151" s="66"/>
      <c r="AM151" s="66"/>
      <c r="AN151" s="66"/>
      <c r="AO151" s="66"/>
      <c r="AP151" s="66"/>
      <c r="AQ151" s="66"/>
      <c r="AR151" s="66"/>
      <c r="AS151" s="66"/>
      <c r="AT151" s="66"/>
    </row>
    <row r="152">
      <c r="A152" s="8"/>
      <c r="B152" s="66"/>
      <c r="C152" s="66"/>
      <c r="D152" s="66"/>
      <c r="E152" s="8"/>
      <c r="F152" s="66"/>
      <c r="G152" s="66"/>
      <c r="H152" s="66"/>
      <c r="I152" s="8"/>
      <c r="J152" s="66"/>
      <c r="K152" s="66"/>
      <c r="L152" s="66"/>
      <c r="M152" s="8"/>
      <c r="N152" s="66"/>
      <c r="O152" s="66"/>
      <c r="P152" s="66"/>
      <c r="Q152" s="8"/>
      <c r="R152" s="66"/>
      <c r="S152" s="66"/>
      <c r="T152" s="66"/>
      <c r="U152" s="8"/>
      <c r="V152" s="66"/>
      <c r="W152" s="66"/>
      <c r="X152" s="66"/>
      <c r="Y152" s="189"/>
      <c r="Z152" s="184"/>
      <c r="AA152" s="184"/>
      <c r="AB152" s="184"/>
      <c r="AC152" s="8"/>
      <c r="AD152" s="66"/>
      <c r="AE152" s="66"/>
      <c r="AF152" s="66"/>
      <c r="AG152" s="190"/>
      <c r="AH152" s="191"/>
      <c r="AI152" s="190"/>
      <c r="AJ152" s="190"/>
      <c r="AK152" s="66"/>
      <c r="AL152" s="66"/>
      <c r="AM152" s="66"/>
      <c r="AN152" s="66"/>
      <c r="AO152" s="66"/>
      <c r="AP152" s="66"/>
      <c r="AQ152" s="66"/>
      <c r="AR152" s="66"/>
      <c r="AS152" s="66"/>
      <c r="AT152" s="66"/>
    </row>
    <row r="153">
      <c r="A153" s="8"/>
      <c r="B153" s="66"/>
      <c r="C153" s="66"/>
      <c r="D153" s="66"/>
      <c r="E153" s="8"/>
      <c r="F153" s="66"/>
      <c r="G153" s="66"/>
      <c r="H153" s="66"/>
      <c r="I153" s="8"/>
      <c r="J153" s="66"/>
      <c r="K153" s="66"/>
      <c r="L153" s="66"/>
      <c r="M153" s="8"/>
      <c r="N153" s="66"/>
      <c r="O153" s="66"/>
      <c r="P153" s="66"/>
      <c r="Q153" s="8"/>
      <c r="R153" s="66"/>
      <c r="S153" s="66"/>
      <c r="T153" s="66"/>
      <c r="U153" s="8"/>
      <c r="V153" s="66"/>
      <c r="W153" s="66"/>
      <c r="X153" s="66"/>
      <c r="Y153" s="189"/>
      <c r="Z153" s="184"/>
      <c r="AA153" s="184"/>
      <c r="AB153" s="184"/>
      <c r="AC153" s="8"/>
      <c r="AD153" s="66"/>
      <c r="AE153" s="66"/>
      <c r="AF153" s="66"/>
      <c r="AG153" s="190"/>
      <c r="AH153" s="191"/>
      <c r="AI153" s="190"/>
      <c r="AJ153" s="190"/>
      <c r="AK153" s="66"/>
      <c r="AL153" s="66"/>
      <c r="AM153" s="66"/>
      <c r="AN153" s="66"/>
      <c r="AO153" s="66"/>
      <c r="AP153" s="66"/>
      <c r="AQ153" s="66"/>
      <c r="AR153" s="66"/>
      <c r="AS153" s="66"/>
      <c r="AT153" s="66"/>
    </row>
    <row r="154">
      <c r="A154" s="8"/>
      <c r="B154" s="66"/>
      <c r="C154" s="66"/>
      <c r="D154" s="66"/>
      <c r="E154" s="8"/>
      <c r="F154" s="66"/>
      <c r="G154" s="66"/>
      <c r="H154" s="66"/>
      <c r="I154" s="8"/>
      <c r="J154" s="66"/>
      <c r="K154" s="66"/>
      <c r="L154" s="66"/>
      <c r="M154" s="8"/>
      <c r="N154" s="66"/>
      <c r="O154" s="66"/>
      <c r="P154" s="66"/>
      <c r="Q154" s="8"/>
      <c r="R154" s="66"/>
      <c r="S154" s="66"/>
      <c r="T154" s="66"/>
      <c r="U154" s="8"/>
      <c r="V154" s="66"/>
      <c r="W154" s="66"/>
      <c r="X154" s="66"/>
      <c r="Y154" s="189"/>
      <c r="Z154" s="184"/>
      <c r="AA154" s="184"/>
      <c r="AB154" s="184"/>
      <c r="AC154" s="8"/>
      <c r="AD154" s="66"/>
      <c r="AE154" s="66"/>
      <c r="AF154" s="66"/>
      <c r="AG154" s="190"/>
      <c r="AH154" s="191"/>
      <c r="AI154" s="190"/>
      <c r="AJ154" s="190"/>
      <c r="AK154" s="66"/>
      <c r="AL154" s="66"/>
      <c r="AM154" s="66"/>
      <c r="AN154" s="66"/>
      <c r="AO154" s="66"/>
      <c r="AP154" s="66"/>
      <c r="AQ154" s="66"/>
      <c r="AR154" s="66"/>
      <c r="AS154" s="66"/>
      <c r="AT154" s="66"/>
    </row>
    <row r="155">
      <c r="A155" s="8"/>
      <c r="B155" s="66"/>
      <c r="C155" s="66"/>
      <c r="D155" s="66"/>
      <c r="E155" s="8"/>
      <c r="F155" s="66"/>
      <c r="G155" s="66"/>
      <c r="H155" s="66"/>
      <c r="I155" s="8"/>
      <c r="J155" s="66"/>
      <c r="K155" s="66"/>
      <c r="L155" s="66"/>
      <c r="M155" s="8"/>
      <c r="N155" s="66"/>
      <c r="O155" s="66"/>
      <c r="P155" s="66"/>
      <c r="Q155" s="8"/>
      <c r="R155" s="66"/>
      <c r="S155" s="66"/>
      <c r="T155" s="66"/>
      <c r="U155" s="8"/>
      <c r="V155" s="66"/>
      <c r="W155" s="66"/>
      <c r="X155" s="66"/>
      <c r="Y155" s="189"/>
      <c r="Z155" s="184"/>
      <c r="AA155" s="184"/>
      <c r="AB155" s="184"/>
      <c r="AC155" s="8"/>
      <c r="AD155" s="66"/>
      <c r="AE155" s="66"/>
      <c r="AF155" s="66"/>
      <c r="AG155" s="190"/>
      <c r="AH155" s="191"/>
      <c r="AI155" s="190"/>
      <c r="AJ155" s="190"/>
      <c r="AK155" s="66"/>
      <c r="AL155" s="66"/>
      <c r="AM155" s="66"/>
      <c r="AN155" s="66"/>
      <c r="AO155" s="66"/>
      <c r="AP155" s="66"/>
      <c r="AQ155" s="66"/>
      <c r="AR155" s="66"/>
      <c r="AS155" s="66"/>
      <c r="AT155" s="66"/>
    </row>
    <row r="156">
      <c r="A156" s="8"/>
      <c r="B156" s="66"/>
      <c r="C156" s="66"/>
      <c r="D156" s="66"/>
      <c r="E156" s="8"/>
      <c r="F156" s="66"/>
      <c r="G156" s="66"/>
      <c r="H156" s="66"/>
      <c r="I156" s="8"/>
      <c r="J156" s="66"/>
      <c r="K156" s="66"/>
      <c r="L156" s="66"/>
      <c r="M156" s="8"/>
      <c r="N156" s="66"/>
      <c r="O156" s="66"/>
      <c r="P156" s="66"/>
      <c r="Q156" s="8"/>
      <c r="R156" s="66"/>
      <c r="S156" s="66"/>
      <c r="T156" s="66"/>
      <c r="U156" s="8"/>
      <c r="V156" s="66"/>
      <c r="W156" s="66"/>
      <c r="X156" s="66"/>
      <c r="Y156" s="189"/>
      <c r="Z156" s="184"/>
      <c r="AA156" s="184"/>
      <c r="AB156" s="184"/>
      <c r="AC156" s="8"/>
      <c r="AD156" s="66"/>
      <c r="AE156" s="66"/>
      <c r="AF156" s="66"/>
      <c r="AG156" s="190"/>
      <c r="AH156" s="191"/>
      <c r="AI156" s="190"/>
      <c r="AJ156" s="190"/>
      <c r="AK156" s="66"/>
      <c r="AL156" s="66"/>
      <c r="AM156" s="66"/>
      <c r="AN156" s="66"/>
      <c r="AO156" s="66"/>
      <c r="AP156" s="66"/>
      <c r="AQ156" s="66"/>
      <c r="AR156" s="66"/>
      <c r="AS156" s="66"/>
      <c r="AT156" s="66"/>
    </row>
    <row r="157">
      <c r="A157" s="8"/>
      <c r="B157" s="66"/>
      <c r="C157" s="66"/>
      <c r="D157" s="66"/>
      <c r="E157" s="8"/>
      <c r="F157" s="66"/>
      <c r="G157" s="66"/>
      <c r="H157" s="66"/>
      <c r="I157" s="8"/>
      <c r="J157" s="66"/>
      <c r="K157" s="66"/>
      <c r="L157" s="66"/>
      <c r="M157" s="8"/>
      <c r="N157" s="66"/>
      <c r="O157" s="66"/>
      <c r="P157" s="66"/>
      <c r="Q157" s="8"/>
      <c r="R157" s="66"/>
      <c r="S157" s="66"/>
      <c r="T157" s="66"/>
      <c r="U157" s="8"/>
      <c r="V157" s="66"/>
      <c r="W157" s="66"/>
      <c r="X157" s="66"/>
      <c r="Y157" s="189"/>
      <c r="Z157" s="184"/>
      <c r="AA157" s="184"/>
      <c r="AB157" s="184"/>
      <c r="AC157" s="8"/>
      <c r="AD157" s="66"/>
      <c r="AE157" s="66"/>
      <c r="AF157" s="66"/>
      <c r="AG157" s="190"/>
      <c r="AH157" s="191"/>
      <c r="AI157" s="190"/>
      <c r="AJ157" s="190"/>
      <c r="AK157" s="66"/>
      <c r="AL157" s="66"/>
      <c r="AM157" s="66"/>
      <c r="AN157" s="66"/>
      <c r="AO157" s="66"/>
      <c r="AP157" s="66"/>
      <c r="AQ157" s="66"/>
      <c r="AR157" s="66"/>
      <c r="AS157" s="66"/>
      <c r="AT157" s="66"/>
    </row>
    <row r="158">
      <c r="A158" s="8"/>
      <c r="B158" s="66"/>
      <c r="C158" s="66"/>
      <c r="D158" s="66"/>
      <c r="E158" s="8"/>
      <c r="F158" s="66"/>
      <c r="G158" s="66"/>
      <c r="H158" s="66"/>
      <c r="I158" s="8"/>
      <c r="J158" s="66"/>
      <c r="K158" s="66"/>
      <c r="L158" s="66"/>
      <c r="M158" s="8"/>
      <c r="N158" s="66"/>
      <c r="O158" s="66"/>
      <c r="P158" s="66"/>
      <c r="Q158" s="8"/>
      <c r="R158" s="66"/>
      <c r="S158" s="66"/>
      <c r="T158" s="66"/>
      <c r="U158" s="8"/>
      <c r="V158" s="66"/>
      <c r="W158" s="66"/>
      <c r="X158" s="66"/>
      <c r="Y158" s="189"/>
      <c r="Z158" s="184"/>
      <c r="AA158" s="184"/>
      <c r="AB158" s="184"/>
      <c r="AC158" s="8"/>
      <c r="AD158" s="66"/>
      <c r="AE158" s="66"/>
      <c r="AF158" s="66"/>
      <c r="AG158" s="190"/>
      <c r="AH158" s="191"/>
      <c r="AI158" s="190"/>
      <c r="AJ158" s="190"/>
      <c r="AK158" s="66"/>
      <c r="AL158" s="66"/>
      <c r="AM158" s="66"/>
      <c r="AN158" s="66"/>
      <c r="AO158" s="66"/>
      <c r="AP158" s="66"/>
      <c r="AQ158" s="66"/>
      <c r="AR158" s="66"/>
      <c r="AS158" s="66"/>
      <c r="AT158" s="66"/>
    </row>
    <row r="159">
      <c r="A159" s="8"/>
      <c r="B159" s="66"/>
      <c r="C159" s="66"/>
      <c r="D159" s="66"/>
      <c r="E159" s="8"/>
      <c r="F159" s="66"/>
      <c r="G159" s="66"/>
      <c r="H159" s="66"/>
      <c r="I159" s="8"/>
      <c r="J159" s="66"/>
      <c r="K159" s="66"/>
      <c r="L159" s="66"/>
      <c r="M159" s="8"/>
      <c r="N159" s="66"/>
      <c r="O159" s="66"/>
      <c r="P159" s="66"/>
      <c r="Q159" s="8"/>
      <c r="R159" s="66"/>
      <c r="S159" s="66"/>
      <c r="T159" s="66"/>
      <c r="U159" s="8"/>
      <c r="V159" s="66"/>
      <c r="W159" s="66"/>
      <c r="X159" s="66"/>
      <c r="Y159" s="189"/>
      <c r="Z159" s="184"/>
      <c r="AA159" s="184"/>
      <c r="AB159" s="184"/>
      <c r="AC159" s="8"/>
      <c r="AD159" s="66"/>
      <c r="AE159" s="66"/>
      <c r="AF159" s="66"/>
      <c r="AG159" s="190"/>
      <c r="AH159" s="191"/>
      <c r="AI159" s="190"/>
      <c r="AJ159" s="190"/>
      <c r="AK159" s="66"/>
      <c r="AL159" s="66"/>
      <c r="AM159" s="66"/>
      <c r="AN159" s="66"/>
      <c r="AO159" s="66"/>
      <c r="AP159" s="66"/>
      <c r="AQ159" s="66"/>
      <c r="AR159" s="66"/>
      <c r="AS159" s="66"/>
      <c r="AT159" s="66"/>
    </row>
    <row r="160">
      <c r="A160" s="8"/>
      <c r="B160" s="66"/>
      <c r="C160" s="66"/>
      <c r="D160" s="66"/>
      <c r="E160" s="8"/>
      <c r="F160" s="66"/>
      <c r="G160" s="66"/>
      <c r="H160" s="66"/>
      <c r="I160" s="8"/>
      <c r="J160" s="66"/>
      <c r="K160" s="66"/>
      <c r="L160" s="66"/>
      <c r="M160" s="8"/>
      <c r="N160" s="66"/>
      <c r="O160" s="66"/>
      <c r="P160" s="66"/>
      <c r="Q160" s="8"/>
      <c r="R160" s="66"/>
      <c r="S160" s="66"/>
      <c r="T160" s="66"/>
      <c r="U160" s="8"/>
      <c r="V160" s="66"/>
      <c r="W160" s="66"/>
      <c r="X160" s="66"/>
      <c r="Y160" s="189"/>
      <c r="Z160" s="184"/>
      <c r="AA160" s="184"/>
      <c r="AB160" s="184"/>
      <c r="AC160" s="8"/>
      <c r="AD160" s="66"/>
      <c r="AE160" s="66"/>
      <c r="AF160" s="66"/>
      <c r="AG160" s="190"/>
      <c r="AH160" s="191"/>
      <c r="AI160" s="190"/>
      <c r="AJ160" s="190"/>
      <c r="AK160" s="66"/>
      <c r="AL160" s="66"/>
      <c r="AM160" s="66"/>
      <c r="AN160" s="66"/>
      <c r="AO160" s="66"/>
      <c r="AP160" s="66"/>
      <c r="AQ160" s="66"/>
      <c r="AR160" s="66"/>
      <c r="AS160" s="66"/>
      <c r="AT160" s="66"/>
    </row>
    <row r="161">
      <c r="A161" s="8"/>
      <c r="B161" s="66"/>
      <c r="C161" s="66"/>
      <c r="D161" s="66"/>
      <c r="E161" s="8"/>
      <c r="F161" s="66"/>
      <c r="G161" s="66"/>
      <c r="H161" s="66"/>
      <c r="I161" s="8"/>
      <c r="J161" s="66"/>
      <c r="K161" s="66"/>
      <c r="L161" s="66"/>
      <c r="M161" s="8"/>
      <c r="N161" s="66"/>
      <c r="O161" s="66"/>
      <c r="P161" s="66"/>
      <c r="Q161" s="8"/>
      <c r="R161" s="66"/>
      <c r="S161" s="66"/>
      <c r="T161" s="66"/>
      <c r="U161" s="8"/>
      <c r="V161" s="66"/>
      <c r="W161" s="66"/>
      <c r="X161" s="66"/>
      <c r="Y161" s="189"/>
      <c r="Z161" s="184"/>
      <c r="AA161" s="184"/>
      <c r="AB161" s="184"/>
      <c r="AC161" s="8"/>
      <c r="AD161" s="66"/>
      <c r="AE161" s="66"/>
      <c r="AF161" s="66"/>
      <c r="AG161" s="190"/>
      <c r="AH161" s="191"/>
      <c r="AI161" s="190"/>
      <c r="AJ161" s="190"/>
      <c r="AK161" s="66"/>
      <c r="AL161" s="66"/>
      <c r="AM161" s="66"/>
      <c r="AN161" s="66"/>
      <c r="AO161" s="66"/>
      <c r="AP161" s="66"/>
      <c r="AQ161" s="66"/>
      <c r="AR161" s="66"/>
      <c r="AS161" s="66"/>
      <c r="AT161" s="66"/>
    </row>
    <row r="162">
      <c r="A162" s="8"/>
      <c r="B162" s="66"/>
      <c r="C162" s="66"/>
      <c r="D162" s="66"/>
      <c r="E162" s="8"/>
      <c r="F162" s="66"/>
      <c r="G162" s="66"/>
      <c r="H162" s="66"/>
      <c r="I162" s="8"/>
      <c r="J162" s="66"/>
      <c r="K162" s="66"/>
      <c r="L162" s="66"/>
      <c r="M162" s="8"/>
      <c r="N162" s="66"/>
      <c r="O162" s="66"/>
      <c r="P162" s="66"/>
      <c r="Q162" s="8"/>
      <c r="R162" s="66"/>
      <c r="S162" s="66"/>
      <c r="T162" s="66"/>
      <c r="U162" s="8"/>
      <c r="V162" s="66"/>
      <c r="W162" s="66"/>
      <c r="X162" s="66"/>
      <c r="Y162" s="189"/>
      <c r="Z162" s="184"/>
      <c r="AA162" s="184"/>
      <c r="AB162" s="184"/>
      <c r="AC162" s="8"/>
      <c r="AD162" s="66"/>
      <c r="AE162" s="66"/>
      <c r="AF162" s="66"/>
      <c r="AG162" s="190"/>
      <c r="AH162" s="191"/>
      <c r="AI162" s="190"/>
      <c r="AJ162" s="190"/>
      <c r="AK162" s="66"/>
      <c r="AL162" s="66"/>
      <c r="AM162" s="66"/>
      <c r="AN162" s="66"/>
      <c r="AO162" s="66"/>
      <c r="AP162" s="66"/>
      <c r="AQ162" s="66"/>
      <c r="AR162" s="66"/>
      <c r="AS162" s="66"/>
      <c r="AT162" s="66"/>
    </row>
    <row r="163">
      <c r="A163" s="8"/>
      <c r="B163" s="66"/>
      <c r="C163" s="66"/>
      <c r="D163" s="66"/>
      <c r="E163" s="8"/>
      <c r="F163" s="66"/>
      <c r="G163" s="66"/>
      <c r="H163" s="66"/>
      <c r="I163" s="8"/>
      <c r="J163" s="66"/>
      <c r="K163" s="66"/>
      <c r="L163" s="66"/>
      <c r="M163" s="8"/>
      <c r="N163" s="66"/>
      <c r="O163" s="66"/>
      <c r="P163" s="66"/>
      <c r="Q163" s="8"/>
      <c r="R163" s="66"/>
      <c r="S163" s="66"/>
      <c r="T163" s="66"/>
      <c r="U163" s="8"/>
      <c r="V163" s="66"/>
      <c r="W163" s="66"/>
      <c r="X163" s="66"/>
      <c r="Y163" s="189"/>
      <c r="Z163" s="184"/>
      <c r="AA163" s="184"/>
      <c r="AB163" s="184"/>
      <c r="AC163" s="8"/>
      <c r="AD163" s="66"/>
      <c r="AE163" s="66"/>
      <c r="AF163" s="66"/>
      <c r="AG163" s="190"/>
      <c r="AH163" s="191"/>
      <c r="AI163" s="190"/>
      <c r="AJ163" s="190"/>
      <c r="AK163" s="66"/>
      <c r="AL163" s="66"/>
      <c r="AM163" s="66"/>
      <c r="AN163" s="66"/>
      <c r="AO163" s="66"/>
      <c r="AP163" s="66"/>
      <c r="AQ163" s="66"/>
      <c r="AR163" s="66"/>
      <c r="AS163" s="66"/>
      <c r="AT163" s="66"/>
    </row>
    <row r="164">
      <c r="A164" s="8"/>
      <c r="B164" s="66"/>
      <c r="C164" s="66"/>
      <c r="D164" s="66"/>
      <c r="E164" s="8"/>
      <c r="F164" s="66"/>
      <c r="G164" s="66"/>
      <c r="H164" s="66"/>
      <c r="I164" s="8"/>
      <c r="J164" s="66"/>
      <c r="K164" s="66"/>
      <c r="L164" s="66"/>
      <c r="M164" s="8"/>
      <c r="N164" s="66"/>
      <c r="O164" s="66"/>
      <c r="P164" s="66"/>
      <c r="Q164" s="8"/>
      <c r="R164" s="66"/>
      <c r="S164" s="66"/>
      <c r="T164" s="66"/>
      <c r="U164" s="8"/>
      <c r="V164" s="66"/>
      <c r="W164" s="66"/>
      <c r="X164" s="66"/>
      <c r="Y164" s="189"/>
      <c r="Z164" s="184"/>
      <c r="AA164" s="184"/>
      <c r="AB164" s="184"/>
      <c r="AC164" s="8"/>
      <c r="AD164" s="66"/>
      <c r="AE164" s="66"/>
      <c r="AF164" s="66"/>
      <c r="AG164" s="190"/>
      <c r="AH164" s="191"/>
      <c r="AI164" s="190"/>
      <c r="AJ164" s="190"/>
      <c r="AK164" s="66"/>
      <c r="AL164" s="66"/>
      <c r="AM164" s="66"/>
      <c r="AN164" s="66"/>
      <c r="AO164" s="66"/>
      <c r="AP164" s="66"/>
      <c r="AQ164" s="66"/>
      <c r="AR164" s="66"/>
      <c r="AS164" s="66"/>
      <c r="AT164" s="66"/>
    </row>
    <row r="165">
      <c r="A165" s="8"/>
      <c r="B165" s="66"/>
      <c r="C165" s="66"/>
      <c r="D165" s="66"/>
      <c r="E165" s="8"/>
      <c r="F165" s="66"/>
      <c r="G165" s="66"/>
      <c r="H165" s="66"/>
      <c r="I165" s="8"/>
      <c r="J165" s="66"/>
      <c r="K165" s="66"/>
      <c r="L165" s="66"/>
      <c r="M165" s="8"/>
      <c r="N165" s="66"/>
      <c r="O165" s="66"/>
      <c r="P165" s="66"/>
      <c r="Q165" s="8"/>
      <c r="R165" s="66"/>
      <c r="S165" s="66"/>
      <c r="T165" s="66"/>
      <c r="U165" s="8"/>
      <c r="V165" s="66"/>
      <c r="W165" s="66"/>
      <c r="X165" s="66"/>
      <c r="Y165" s="189"/>
      <c r="Z165" s="184"/>
      <c r="AA165" s="184"/>
      <c r="AB165" s="184"/>
      <c r="AC165" s="8"/>
      <c r="AD165" s="66"/>
      <c r="AE165" s="66"/>
      <c r="AF165" s="66"/>
      <c r="AG165" s="190"/>
      <c r="AH165" s="191"/>
      <c r="AI165" s="190"/>
      <c r="AJ165" s="190"/>
      <c r="AK165" s="66"/>
      <c r="AL165" s="66"/>
      <c r="AM165" s="66"/>
      <c r="AN165" s="66"/>
      <c r="AO165" s="66"/>
      <c r="AP165" s="66"/>
      <c r="AQ165" s="66"/>
      <c r="AR165" s="66"/>
      <c r="AS165" s="66"/>
      <c r="AT165" s="66"/>
    </row>
    <row r="166">
      <c r="A166" s="8"/>
      <c r="B166" s="66"/>
      <c r="C166" s="66"/>
      <c r="D166" s="66"/>
      <c r="E166" s="8"/>
      <c r="F166" s="66"/>
      <c r="G166" s="66"/>
      <c r="H166" s="66"/>
      <c r="I166" s="8"/>
      <c r="J166" s="66"/>
      <c r="K166" s="66"/>
      <c r="L166" s="66"/>
      <c r="M166" s="8"/>
      <c r="N166" s="66"/>
      <c r="O166" s="66"/>
      <c r="P166" s="66"/>
      <c r="Q166" s="8"/>
      <c r="R166" s="66"/>
      <c r="S166" s="66"/>
      <c r="T166" s="66"/>
      <c r="U166" s="8"/>
      <c r="V166" s="66"/>
      <c r="W166" s="66"/>
      <c r="X166" s="66"/>
      <c r="Y166" s="189"/>
      <c r="Z166" s="184"/>
      <c r="AA166" s="184"/>
      <c r="AB166" s="184"/>
      <c r="AC166" s="8"/>
      <c r="AD166" s="66"/>
      <c r="AE166" s="66"/>
      <c r="AF166" s="66"/>
      <c r="AG166" s="190"/>
      <c r="AH166" s="191"/>
      <c r="AI166" s="190"/>
      <c r="AJ166" s="190"/>
      <c r="AK166" s="66"/>
      <c r="AL166" s="66"/>
      <c r="AM166" s="66"/>
      <c r="AN166" s="66"/>
      <c r="AO166" s="66"/>
      <c r="AP166" s="66"/>
      <c r="AQ166" s="66"/>
      <c r="AR166" s="66"/>
      <c r="AS166" s="66"/>
      <c r="AT166" s="66"/>
    </row>
    <row r="167">
      <c r="A167" s="8"/>
      <c r="B167" s="66"/>
      <c r="C167" s="66"/>
      <c r="D167" s="66"/>
      <c r="E167" s="8"/>
      <c r="F167" s="66"/>
      <c r="G167" s="66"/>
      <c r="H167" s="66"/>
      <c r="I167" s="8"/>
      <c r="J167" s="66"/>
      <c r="K167" s="66"/>
      <c r="L167" s="66"/>
      <c r="M167" s="8"/>
      <c r="N167" s="66"/>
      <c r="O167" s="66"/>
      <c r="P167" s="66"/>
      <c r="Q167" s="8"/>
      <c r="R167" s="66"/>
      <c r="S167" s="66"/>
      <c r="T167" s="66"/>
      <c r="U167" s="8"/>
      <c r="V167" s="66"/>
      <c r="W167" s="66"/>
      <c r="X167" s="66"/>
      <c r="Y167" s="189"/>
      <c r="Z167" s="184"/>
      <c r="AA167" s="184"/>
      <c r="AB167" s="184"/>
      <c r="AC167" s="8"/>
      <c r="AD167" s="66"/>
      <c r="AE167" s="66"/>
      <c r="AF167" s="66"/>
      <c r="AG167" s="190"/>
      <c r="AH167" s="191"/>
      <c r="AI167" s="190"/>
      <c r="AJ167" s="190"/>
      <c r="AK167" s="66"/>
      <c r="AL167" s="66"/>
      <c r="AM167" s="66"/>
      <c r="AN167" s="66"/>
      <c r="AO167" s="66"/>
      <c r="AP167" s="66"/>
      <c r="AQ167" s="66"/>
      <c r="AR167" s="66"/>
      <c r="AS167" s="66"/>
      <c r="AT167" s="66"/>
    </row>
    <row r="168">
      <c r="A168" s="8"/>
      <c r="B168" s="66"/>
      <c r="C168" s="66"/>
      <c r="D168" s="66"/>
      <c r="E168" s="8"/>
      <c r="F168" s="66"/>
      <c r="G168" s="66"/>
      <c r="H168" s="66"/>
      <c r="I168" s="8"/>
      <c r="J168" s="66"/>
      <c r="K168" s="66"/>
      <c r="L168" s="66"/>
      <c r="M168" s="8"/>
      <c r="N168" s="66"/>
      <c r="O168" s="66"/>
      <c r="P168" s="66"/>
      <c r="Q168" s="8"/>
      <c r="R168" s="66"/>
      <c r="S168" s="66"/>
      <c r="T168" s="66"/>
      <c r="U168" s="8"/>
      <c r="V168" s="66"/>
      <c r="W168" s="66"/>
      <c r="X168" s="66"/>
      <c r="Y168" s="189"/>
      <c r="Z168" s="184"/>
      <c r="AA168" s="184"/>
      <c r="AB168" s="184"/>
      <c r="AC168" s="8"/>
      <c r="AD168" s="66"/>
      <c r="AE168" s="66"/>
      <c r="AF168" s="66"/>
      <c r="AG168" s="190"/>
      <c r="AH168" s="191"/>
      <c r="AI168" s="190"/>
      <c r="AJ168" s="190"/>
      <c r="AK168" s="66"/>
      <c r="AL168" s="66"/>
      <c r="AM168" s="66"/>
      <c r="AN168" s="66"/>
      <c r="AO168" s="66"/>
      <c r="AP168" s="66"/>
      <c r="AQ168" s="66"/>
      <c r="AR168" s="66"/>
      <c r="AS168" s="66"/>
      <c r="AT168" s="66"/>
    </row>
    <row r="169">
      <c r="A169" s="8"/>
      <c r="B169" s="66"/>
      <c r="C169" s="66"/>
      <c r="D169" s="66"/>
      <c r="E169" s="8"/>
      <c r="F169" s="66"/>
      <c r="G169" s="66"/>
      <c r="H169" s="66"/>
      <c r="I169" s="8"/>
      <c r="J169" s="66"/>
      <c r="K169" s="66"/>
      <c r="L169" s="66"/>
      <c r="M169" s="8"/>
      <c r="N169" s="66"/>
      <c r="O169" s="66"/>
      <c r="P169" s="66"/>
      <c r="Q169" s="8"/>
      <c r="R169" s="66"/>
      <c r="S169" s="66"/>
      <c r="T169" s="66"/>
      <c r="U169" s="8"/>
      <c r="V169" s="66"/>
      <c r="W169" s="66"/>
      <c r="X169" s="66"/>
      <c r="Y169" s="189"/>
      <c r="Z169" s="184"/>
      <c r="AA169" s="184"/>
      <c r="AB169" s="184"/>
      <c r="AC169" s="8"/>
      <c r="AD169" s="66"/>
      <c r="AE169" s="66"/>
      <c r="AF169" s="66"/>
      <c r="AG169" s="190"/>
      <c r="AH169" s="191"/>
      <c r="AI169" s="190"/>
      <c r="AJ169" s="190"/>
      <c r="AK169" s="66"/>
      <c r="AL169" s="66"/>
      <c r="AM169" s="66"/>
      <c r="AN169" s="66"/>
      <c r="AO169" s="66"/>
      <c r="AP169" s="66"/>
      <c r="AQ169" s="66"/>
      <c r="AR169" s="66"/>
      <c r="AS169" s="66"/>
      <c r="AT169" s="66"/>
    </row>
    <row r="170">
      <c r="A170" s="8"/>
      <c r="B170" s="66"/>
      <c r="C170" s="66"/>
      <c r="D170" s="66"/>
      <c r="E170" s="8"/>
      <c r="F170" s="66"/>
      <c r="G170" s="66"/>
      <c r="H170" s="66"/>
      <c r="I170" s="8"/>
      <c r="J170" s="66"/>
      <c r="K170" s="66"/>
      <c r="L170" s="66"/>
      <c r="M170" s="8"/>
      <c r="N170" s="66"/>
      <c r="O170" s="66"/>
      <c r="P170" s="66"/>
      <c r="Q170" s="8"/>
      <c r="R170" s="66"/>
      <c r="S170" s="66"/>
      <c r="T170" s="66"/>
      <c r="U170" s="8"/>
      <c r="V170" s="66"/>
      <c r="W170" s="66"/>
      <c r="X170" s="66"/>
      <c r="Y170" s="189"/>
      <c r="Z170" s="184"/>
      <c r="AA170" s="184"/>
      <c r="AB170" s="184"/>
      <c r="AC170" s="8"/>
      <c r="AD170" s="66"/>
      <c r="AE170" s="66"/>
      <c r="AF170" s="66"/>
      <c r="AG170" s="190"/>
      <c r="AH170" s="191"/>
      <c r="AI170" s="190"/>
      <c r="AJ170" s="190"/>
      <c r="AK170" s="66"/>
      <c r="AL170" s="66"/>
      <c r="AM170" s="66"/>
      <c r="AN170" s="66"/>
      <c r="AO170" s="66"/>
      <c r="AP170" s="66"/>
      <c r="AQ170" s="66"/>
      <c r="AR170" s="66"/>
      <c r="AS170" s="66"/>
      <c r="AT170" s="66"/>
    </row>
    <row r="171">
      <c r="A171" s="8"/>
      <c r="B171" s="66"/>
      <c r="C171" s="66"/>
      <c r="D171" s="66"/>
      <c r="E171" s="8"/>
      <c r="F171" s="66"/>
      <c r="G171" s="66"/>
      <c r="H171" s="66"/>
      <c r="I171" s="8"/>
      <c r="J171" s="66"/>
      <c r="K171" s="66"/>
      <c r="L171" s="66"/>
      <c r="M171" s="8"/>
      <c r="N171" s="66"/>
      <c r="O171" s="66"/>
      <c r="P171" s="66"/>
      <c r="Q171" s="8"/>
      <c r="R171" s="66"/>
      <c r="S171" s="66"/>
      <c r="T171" s="66"/>
      <c r="U171" s="8"/>
      <c r="V171" s="66"/>
      <c r="W171" s="66"/>
      <c r="X171" s="66"/>
      <c r="Y171" s="189"/>
      <c r="Z171" s="184"/>
      <c r="AA171" s="184"/>
      <c r="AB171" s="184"/>
      <c r="AC171" s="8"/>
      <c r="AD171" s="66"/>
      <c r="AE171" s="66"/>
      <c r="AF171" s="66"/>
      <c r="AG171" s="190"/>
      <c r="AH171" s="191"/>
      <c r="AI171" s="190"/>
      <c r="AJ171" s="190"/>
      <c r="AK171" s="66"/>
      <c r="AL171" s="66"/>
      <c r="AM171" s="66"/>
      <c r="AN171" s="66"/>
      <c r="AO171" s="66"/>
      <c r="AP171" s="66"/>
      <c r="AQ171" s="66"/>
      <c r="AR171" s="66"/>
      <c r="AS171" s="66"/>
      <c r="AT171" s="66"/>
    </row>
    <row r="172">
      <c r="A172" s="8"/>
      <c r="B172" s="66"/>
      <c r="C172" s="66"/>
      <c r="D172" s="66"/>
      <c r="E172" s="8"/>
      <c r="F172" s="66"/>
      <c r="G172" s="66"/>
      <c r="H172" s="66"/>
      <c r="I172" s="8"/>
      <c r="J172" s="66"/>
      <c r="K172" s="66"/>
      <c r="L172" s="66"/>
      <c r="M172" s="8"/>
      <c r="N172" s="66"/>
      <c r="O172" s="66"/>
      <c r="P172" s="66"/>
      <c r="Q172" s="8"/>
      <c r="R172" s="66"/>
      <c r="S172" s="66"/>
      <c r="T172" s="66"/>
      <c r="U172" s="8"/>
      <c r="V172" s="66"/>
      <c r="W172" s="66"/>
      <c r="X172" s="66"/>
      <c r="Y172" s="189"/>
      <c r="Z172" s="184"/>
      <c r="AA172" s="184"/>
      <c r="AB172" s="184"/>
      <c r="AC172" s="8"/>
      <c r="AD172" s="66"/>
      <c r="AE172" s="66"/>
      <c r="AF172" s="66"/>
      <c r="AG172" s="190"/>
      <c r="AH172" s="191"/>
      <c r="AI172" s="190"/>
      <c r="AJ172" s="190"/>
      <c r="AK172" s="66"/>
      <c r="AL172" s="66"/>
      <c r="AM172" s="66"/>
      <c r="AN172" s="66"/>
      <c r="AO172" s="66"/>
      <c r="AP172" s="66"/>
      <c r="AQ172" s="66"/>
      <c r="AR172" s="66"/>
      <c r="AS172" s="66"/>
      <c r="AT172" s="66"/>
    </row>
    <row r="173">
      <c r="A173" s="8"/>
      <c r="B173" s="66"/>
      <c r="C173" s="66"/>
      <c r="D173" s="66"/>
      <c r="E173" s="8"/>
      <c r="F173" s="66"/>
      <c r="G173" s="66"/>
      <c r="H173" s="66"/>
      <c r="I173" s="8"/>
      <c r="J173" s="66"/>
      <c r="K173" s="66"/>
      <c r="L173" s="66"/>
      <c r="M173" s="8"/>
      <c r="N173" s="66"/>
      <c r="O173" s="66"/>
      <c r="P173" s="66"/>
      <c r="Q173" s="8"/>
      <c r="R173" s="66"/>
      <c r="S173" s="66"/>
      <c r="T173" s="66"/>
      <c r="U173" s="8"/>
      <c r="V173" s="66"/>
      <c r="W173" s="66"/>
      <c r="X173" s="66"/>
      <c r="Y173" s="189"/>
      <c r="Z173" s="184"/>
      <c r="AA173" s="184"/>
      <c r="AB173" s="184"/>
      <c r="AC173" s="8"/>
      <c r="AD173" s="66"/>
      <c r="AE173" s="66"/>
      <c r="AF173" s="66"/>
      <c r="AG173" s="190"/>
      <c r="AH173" s="191"/>
      <c r="AI173" s="190"/>
      <c r="AJ173" s="190"/>
      <c r="AK173" s="66"/>
      <c r="AL173" s="66"/>
      <c r="AM173" s="66"/>
      <c r="AN173" s="66"/>
      <c r="AO173" s="66"/>
      <c r="AP173" s="66"/>
      <c r="AQ173" s="66"/>
      <c r="AR173" s="66"/>
      <c r="AS173" s="66"/>
      <c r="AT173" s="66"/>
    </row>
    <row r="174">
      <c r="A174" s="8"/>
      <c r="B174" s="66"/>
      <c r="C174" s="66"/>
      <c r="D174" s="66"/>
      <c r="E174" s="8"/>
      <c r="F174" s="66"/>
      <c r="G174" s="66"/>
      <c r="H174" s="66"/>
      <c r="I174" s="8"/>
      <c r="J174" s="66"/>
      <c r="K174" s="66"/>
      <c r="L174" s="66"/>
      <c r="M174" s="8"/>
      <c r="N174" s="66"/>
      <c r="O174" s="66"/>
      <c r="P174" s="66"/>
      <c r="Q174" s="8"/>
      <c r="R174" s="66"/>
      <c r="S174" s="66"/>
      <c r="T174" s="66"/>
      <c r="U174" s="8"/>
      <c r="V174" s="66"/>
      <c r="W174" s="66"/>
      <c r="X174" s="66"/>
      <c r="Y174" s="189"/>
      <c r="Z174" s="184"/>
      <c r="AA174" s="184"/>
      <c r="AB174" s="184"/>
      <c r="AC174" s="8"/>
      <c r="AD174" s="66"/>
      <c r="AE174" s="66"/>
      <c r="AF174" s="66"/>
      <c r="AG174" s="190"/>
      <c r="AH174" s="191"/>
      <c r="AI174" s="190"/>
      <c r="AJ174" s="190"/>
      <c r="AK174" s="66"/>
      <c r="AL174" s="66"/>
      <c r="AM174" s="66"/>
      <c r="AN174" s="66"/>
      <c r="AO174" s="66"/>
      <c r="AP174" s="66"/>
      <c r="AQ174" s="66"/>
      <c r="AR174" s="66"/>
      <c r="AS174" s="66"/>
      <c r="AT174" s="66"/>
    </row>
    <row r="175">
      <c r="A175" s="8"/>
      <c r="B175" s="66"/>
      <c r="C175" s="66"/>
      <c r="D175" s="66"/>
      <c r="E175" s="8"/>
      <c r="F175" s="66"/>
      <c r="G175" s="66"/>
      <c r="H175" s="66"/>
      <c r="I175" s="8"/>
      <c r="J175" s="66"/>
      <c r="K175" s="66"/>
      <c r="L175" s="66"/>
      <c r="M175" s="8"/>
      <c r="N175" s="66"/>
      <c r="O175" s="66"/>
      <c r="P175" s="66"/>
      <c r="Q175" s="8"/>
      <c r="R175" s="66"/>
      <c r="S175" s="66"/>
      <c r="T175" s="66"/>
      <c r="U175" s="8"/>
      <c r="V175" s="66"/>
      <c r="W175" s="66"/>
      <c r="X175" s="66"/>
      <c r="Y175" s="189"/>
      <c r="Z175" s="184"/>
      <c r="AA175" s="184"/>
      <c r="AB175" s="184"/>
      <c r="AC175" s="8"/>
      <c r="AD175" s="66"/>
      <c r="AE175" s="66"/>
      <c r="AF175" s="66"/>
      <c r="AG175" s="190"/>
      <c r="AH175" s="191"/>
      <c r="AI175" s="190"/>
      <c r="AJ175" s="190"/>
      <c r="AK175" s="66"/>
      <c r="AL175" s="66"/>
      <c r="AM175" s="66"/>
      <c r="AN175" s="66"/>
      <c r="AO175" s="66"/>
      <c r="AP175" s="66"/>
      <c r="AQ175" s="66"/>
      <c r="AR175" s="66"/>
      <c r="AS175" s="66"/>
      <c r="AT175" s="66"/>
    </row>
    <row r="176">
      <c r="A176" s="8"/>
      <c r="B176" s="66"/>
      <c r="C176" s="66"/>
      <c r="D176" s="66"/>
      <c r="E176" s="8"/>
      <c r="F176" s="66"/>
      <c r="G176" s="66"/>
      <c r="H176" s="66"/>
      <c r="I176" s="8"/>
      <c r="J176" s="66"/>
      <c r="K176" s="66"/>
      <c r="L176" s="66"/>
      <c r="M176" s="8"/>
      <c r="N176" s="66"/>
      <c r="O176" s="66"/>
      <c r="P176" s="66"/>
      <c r="Q176" s="8"/>
      <c r="R176" s="66"/>
      <c r="S176" s="66"/>
      <c r="T176" s="66"/>
      <c r="U176" s="8"/>
      <c r="V176" s="66"/>
      <c r="W176" s="66"/>
      <c r="X176" s="66"/>
      <c r="Y176" s="189"/>
      <c r="Z176" s="184"/>
      <c r="AA176" s="184"/>
      <c r="AB176" s="184"/>
      <c r="AC176" s="8"/>
      <c r="AD176" s="66"/>
      <c r="AE176" s="66"/>
      <c r="AF176" s="66"/>
      <c r="AG176" s="190"/>
      <c r="AH176" s="191"/>
      <c r="AI176" s="190"/>
      <c r="AJ176" s="190"/>
      <c r="AK176" s="66"/>
      <c r="AL176" s="66"/>
      <c r="AM176" s="66"/>
      <c r="AN176" s="66"/>
      <c r="AO176" s="66"/>
      <c r="AP176" s="66"/>
      <c r="AQ176" s="66"/>
      <c r="AR176" s="66"/>
      <c r="AS176" s="66"/>
      <c r="AT176" s="66"/>
    </row>
    <row r="177">
      <c r="A177" s="8"/>
      <c r="B177" s="66"/>
      <c r="C177" s="66"/>
      <c r="D177" s="66"/>
      <c r="E177" s="8"/>
      <c r="F177" s="66"/>
      <c r="G177" s="66"/>
      <c r="H177" s="66"/>
      <c r="I177" s="8"/>
      <c r="J177" s="66"/>
      <c r="K177" s="66"/>
      <c r="L177" s="66"/>
      <c r="M177" s="8"/>
      <c r="N177" s="66"/>
      <c r="O177" s="66"/>
      <c r="P177" s="66"/>
      <c r="Q177" s="8"/>
      <c r="R177" s="66"/>
      <c r="S177" s="66"/>
      <c r="T177" s="66"/>
      <c r="U177" s="8"/>
      <c r="V177" s="66"/>
      <c r="W177" s="66"/>
      <c r="X177" s="66"/>
      <c r="Y177" s="189"/>
      <c r="Z177" s="184"/>
      <c r="AA177" s="184"/>
      <c r="AB177" s="184"/>
      <c r="AC177" s="8"/>
      <c r="AD177" s="66"/>
      <c r="AE177" s="66"/>
      <c r="AF177" s="66"/>
      <c r="AG177" s="190"/>
      <c r="AH177" s="191"/>
      <c r="AI177" s="190"/>
      <c r="AJ177" s="190"/>
      <c r="AK177" s="66"/>
      <c r="AL177" s="66"/>
      <c r="AM177" s="66"/>
      <c r="AN177" s="66"/>
      <c r="AO177" s="66"/>
      <c r="AP177" s="66"/>
      <c r="AQ177" s="66"/>
      <c r="AR177" s="66"/>
      <c r="AS177" s="66"/>
      <c r="AT177" s="66"/>
    </row>
    <row r="178">
      <c r="A178" s="8"/>
      <c r="B178" s="66"/>
      <c r="C178" s="66"/>
      <c r="D178" s="66"/>
      <c r="E178" s="8"/>
      <c r="F178" s="66"/>
      <c r="G178" s="66"/>
      <c r="H178" s="66"/>
      <c r="I178" s="8"/>
      <c r="J178" s="66"/>
      <c r="K178" s="66"/>
      <c r="L178" s="66"/>
      <c r="M178" s="8"/>
      <c r="N178" s="66"/>
      <c r="O178" s="66"/>
      <c r="P178" s="66"/>
      <c r="Q178" s="8"/>
      <c r="R178" s="66"/>
      <c r="S178" s="66"/>
      <c r="T178" s="66"/>
      <c r="U178" s="8"/>
      <c r="V178" s="66"/>
      <c r="W178" s="66"/>
      <c r="X178" s="66"/>
      <c r="Y178" s="189"/>
      <c r="Z178" s="184"/>
      <c r="AA178" s="184"/>
      <c r="AB178" s="184"/>
      <c r="AC178" s="8"/>
      <c r="AD178" s="66"/>
      <c r="AE178" s="66"/>
      <c r="AF178" s="66"/>
      <c r="AG178" s="190"/>
      <c r="AH178" s="191"/>
      <c r="AI178" s="190"/>
      <c r="AJ178" s="190"/>
      <c r="AK178" s="66"/>
      <c r="AL178" s="66"/>
      <c r="AM178" s="66"/>
      <c r="AN178" s="66"/>
      <c r="AO178" s="66"/>
      <c r="AP178" s="66"/>
      <c r="AQ178" s="66"/>
      <c r="AR178" s="66"/>
      <c r="AS178" s="66"/>
      <c r="AT178" s="66"/>
    </row>
    <row r="179">
      <c r="A179" s="8"/>
      <c r="B179" s="66"/>
      <c r="C179" s="66"/>
      <c r="D179" s="66"/>
      <c r="E179" s="8"/>
      <c r="F179" s="66"/>
      <c r="G179" s="66"/>
      <c r="H179" s="66"/>
      <c r="I179" s="8"/>
      <c r="J179" s="66"/>
      <c r="K179" s="66"/>
      <c r="L179" s="66"/>
      <c r="M179" s="8"/>
      <c r="N179" s="66"/>
      <c r="O179" s="66"/>
      <c r="P179" s="66"/>
      <c r="Q179" s="8"/>
      <c r="R179" s="66"/>
      <c r="S179" s="66"/>
      <c r="T179" s="66"/>
      <c r="U179" s="8"/>
      <c r="V179" s="66"/>
      <c r="W179" s="66"/>
      <c r="X179" s="66"/>
      <c r="Y179" s="189"/>
      <c r="Z179" s="184"/>
      <c r="AA179" s="184"/>
      <c r="AB179" s="184"/>
      <c r="AC179" s="8"/>
      <c r="AD179" s="66"/>
      <c r="AE179" s="66"/>
      <c r="AF179" s="66"/>
      <c r="AG179" s="190"/>
      <c r="AH179" s="191"/>
      <c r="AI179" s="190"/>
      <c r="AJ179" s="190"/>
      <c r="AK179" s="66"/>
      <c r="AL179" s="66"/>
      <c r="AM179" s="66"/>
      <c r="AN179" s="66"/>
      <c r="AO179" s="66"/>
      <c r="AP179" s="66"/>
      <c r="AQ179" s="66"/>
      <c r="AR179" s="66"/>
      <c r="AS179" s="66"/>
      <c r="AT179" s="66"/>
    </row>
    <row r="180">
      <c r="A180" s="8"/>
      <c r="B180" s="66"/>
      <c r="C180" s="66"/>
      <c r="D180" s="66"/>
      <c r="E180" s="8"/>
      <c r="F180" s="66"/>
      <c r="G180" s="66"/>
      <c r="H180" s="66"/>
      <c r="I180" s="8"/>
      <c r="J180" s="66"/>
      <c r="K180" s="66"/>
      <c r="L180" s="66"/>
      <c r="M180" s="8"/>
      <c r="N180" s="66"/>
      <c r="O180" s="66"/>
      <c r="P180" s="66"/>
      <c r="Q180" s="8"/>
      <c r="R180" s="66"/>
      <c r="S180" s="66"/>
      <c r="T180" s="66"/>
      <c r="U180" s="8"/>
      <c r="V180" s="66"/>
      <c r="W180" s="66"/>
      <c r="X180" s="66"/>
      <c r="Y180" s="189"/>
      <c r="Z180" s="184"/>
      <c r="AA180" s="184"/>
      <c r="AB180" s="184"/>
      <c r="AC180" s="8"/>
      <c r="AD180" s="66"/>
      <c r="AE180" s="66"/>
      <c r="AF180" s="66"/>
      <c r="AG180" s="190"/>
      <c r="AH180" s="191"/>
      <c r="AI180" s="190"/>
      <c r="AJ180" s="190"/>
      <c r="AK180" s="66"/>
      <c r="AL180" s="66"/>
      <c r="AM180" s="66"/>
      <c r="AN180" s="66"/>
      <c r="AO180" s="66"/>
      <c r="AP180" s="66"/>
      <c r="AQ180" s="66"/>
      <c r="AR180" s="66"/>
      <c r="AS180" s="66"/>
      <c r="AT180" s="66"/>
    </row>
    <row r="181">
      <c r="A181" s="8"/>
      <c r="B181" s="66"/>
      <c r="C181" s="66"/>
      <c r="D181" s="66"/>
      <c r="E181" s="8"/>
      <c r="F181" s="66"/>
      <c r="G181" s="66"/>
      <c r="H181" s="66"/>
      <c r="I181" s="8"/>
      <c r="J181" s="66"/>
      <c r="K181" s="66"/>
      <c r="L181" s="66"/>
      <c r="M181" s="8"/>
      <c r="N181" s="66"/>
      <c r="O181" s="66"/>
      <c r="P181" s="66"/>
      <c r="Q181" s="8"/>
      <c r="R181" s="66"/>
      <c r="S181" s="66"/>
      <c r="T181" s="66"/>
      <c r="U181" s="8"/>
      <c r="V181" s="66"/>
      <c r="W181" s="66"/>
      <c r="X181" s="66"/>
      <c r="Y181" s="189"/>
      <c r="Z181" s="184"/>
      <c r="AA181" s="184"/>
      <c r="AB181" s="184"/>
      <c r="AC181" s="8"/>
      <c r="AD181" s="66"/>
      <c r="AE181" s="66"/>
      <c r="AF181" s="66"/>
      <c r="AG181" s="190"/>
      <c r="AH181" s="191"/>
      <c r="AI181" s="190"/>
      <c r="AJ181" s="190"/>
      <c r="AK181" s="66"/>
      <c r="AL181" s="66"/>
      <c r="AM181" s="66"/>
      <c r="AN181" s="66"/>
      <c r="AO181" s="66"/>
      <c r="AP181" s="66"/>
      <c r="AQ181" s="66"/>
      <c r="AR181" s="66"/>
      <c r="AS181" s="66"/>
      <c r="AT181" s="66"/>
    </row>
    <row r="182">
      <c r="A182" s="8"/>
      <c r="B182" s="66"/>
      <c r="C182" s="66"/>
      <c r="D182" s="66"/>
      <c r="E182" s="8"/>
      <c r="F182" s="66"/>
      <c r="G182" s="66"/>
      <c r="H182" s="66"/>
      <c r="I182" s="8"/>
      <c r="J182" s="66"/>
      <c r="K182" s="66"/>
      <c r="L182" s="66"/>
      <c r="M182" s="8"/>
      <c r="N182" s="66"/>
      <c r="O182" s="66"/>
      <c r="P182" s="66"/>
      <c r="Q182" s="8"/>
      <c r="R182" s="66"/>
      <c r="S182" s="66"/>
      <c r="T182" s="66"/>
      <c r="U182" s="8"/>
      <c r="V182" s="66"/>
      <c r="W182" s="66"/>
      <c r="X182" s="66"/>
      <c r="Y182" s="189"/>
      <c r="Z182" s="184"/>
      <c r="AA182" s="184"/>
      <c r="AB182" s="184"/>
      <c r="AC182" s="8"/>
      <c r="AD182" s="66"/>
      <c r="AE182" s="66"/>
      <c r="AF182" s="66"/>
      <c r="AG182" s="190"/>
      <c r="AH182" s="191"/>
      <c r="AI182" s="190"/>
      <c r="AJ182" s="190"/>
      <c r="AK182" s="66"/>
      <c r="AL182" s="66"/>
      <c r="AM182" s="66"/>
      <c r="AN182" s="66"/>
      <c r="AO182" s="66"/>
      <c r="AP182" s="66"/>
      <c r="AQ182" s="66"/>
      <c r="AR182" s="66"/>
      <c r="AS182" s="66"/>
      <c r="AT182" s="66"/>
    </row>
    <row r="183">
      <c r="A183" s="8"/>
      <c r="B183" s="66"/>
      <c r="C183" s="66"/>
      <c r="D183" s="66"/>
      <c r="E183" s="8"/>
      <c r="F183" s="66"/>
      <c r="G183" s="66"/>
      <c r="H183" s="66"/>
      <c r="I183" s="8"/>
      <c r="J183" s="66"/>
      <c r="K183" s="66"/>
      <c r="L183" s="66"/>
      <c r="M183" s="8"/>
      <c r="N183" s="66"/>
      <c r="O183" s="66"/>
      <c r="P183" s="66"/>
      <c r="Q183" s="8"/>
      <c r="R183" s="66"/>
      <c r="S183" s="66"/>
      <c r="T183" s="66"/>
      <c r="U183" s="8"/>
      <c r="V183" s="66"/>
      <c r="W183" s="66"/>
      <c r="X183" s="66"/>
      <c r="Y183" s="189"/>
      <c r="Z183" s="184"/>
      <c r="AA183" s="184"/>
      <c r="AB183" s="184"/>
      <c r="AC183" s="8"/>
      <c r="AD183" s="66"/>
      <c r="AE183" s="66"/>
      <c r="AF183" s="66"/>
      <c r="AG183" s="190"/>
      <c r="AH183" s="191"/>
      <c r="AI183" s="190"/>
      <c r="AJ183" s="190"/>
      <c r="AK183" s="66"/>
      <c r="AL183" s="66"/>
      <c r="AM183" s="66"/>
      <c r="AN183" s="66"/>
      <c r="AO183" s="66"/>
      <c r="AP183" s="66"/>
      <c r="AQ183" s="66"/>
      <c r="AR183" s="66"/>
      <c r="AS183" s="66"/>
      <c r="AT183" s="66"/>
    </row>
    <row r="184">
      <c r="A184" s="8"/>
      <c r="B184" s="66"/>
      <c r="C184" s="66"/>
      <c r="D184" s="66"/>
      <c r="E184" s="8"/>
      <c r="F184" s="66"/>
      <c r="G184" s="66"/>
      <c r="H184" s="66"/>
      <c r="I184" s="8"/>
      <c r="J184" s="66"/>
      <c r="K184" s="66"/>
      <c r="L184" s="66"/>
      <c r="M184" s="8"/>
      <c r="N184" s="66"/>
      <c r="O184" s="66"/>
      <c r="P184" s="66"/>
      <c r="Q184" s="8"/>
      <c r="R184" s="66"/>
      <c r="S184" s="66"/>
      <c r="T184" s="66"/>
      <c r="U184" s="8"/>
      <c r="V184" s="66"/>
      <c r="W184" s="66"/>
      <c r="X184" s="66"/>
      <c r="Y184" s="189"/>
      <c r="Z184" s="184"/>
      <c r="AA184" s="184"/>
      <c r="AB184" s="184"/>
      <c r="AC184" s="8"/>
      <c r="AD184" s="66"/>
      <c r="AE184" s="66"/>
      <c r="AF184" s="66"/>
      <c r="AG184" s="190"/>
      <c r="AH184" s="191"/>
      <c r="AI184" s="190"/>
      <c r="AJ184" s="190"/>
      <c r="AK184" s="66"/>
      <c r="AL184" s="66"/>
      <c r="AM184" s="66"/>
      <c r="AN184" s="66"/>
      <c r="AO184" s="66"/>
      <c r="AP184" s="66"/>
      <c r="AQ184" s="66"/>
      <c r="AR184" s="66"/>
      <c r="AS184" s="66"/>
      <c r="AT184" s="66"/>
    </row>
    <row r="185">
      <c r="A185" s="8"/>
      <c r="B185" s="66"/>
      <c r="C185" s="66"/>
      <c r="D185" s="66"/>
      <c r="E185" s="8"/>
      <c r="F185" s="66"/>
      <c r="G185" s="66"/>
      <c r="H185" s="66"/>
      <c r="I185" s="8"/>
      <c r="J185" s="66"/>
      <c r="K185" s="66"/>
      <c r="L185" s="66"/>
      <c r="M185" s="8"/>
      <c r="N185" s="66"/>
      <c r="O185" s="66"/>
      <c r="P185" s="66"/>
      <c r="Q185" s="8"/>
      <c r="R185" s="66"/>
      <c r="S185" s="66"/>
      <c r="T185" s="66"/>
      <c r="U185" s="8"/>
      <c r="V185" s="66"/>
      <c r="W185" s="66"/>
      <c r="X185" s="66"/>
      <c r="Y185" s="189"/>
      <c r="Z185" s="184"/>
      <c r="AA185" s="184"/>
      <c r="AB185" s="184"/>
      <c r="AC185" s="8"/>
      <c r="AD185" s="66"/>
      <c r="AE185" s="66"/>
      <c r="AF185" s="66"/>
      <c r="AG185" s="190"/>
      <c r="AH185" s="191"/>
      <c r="AI185" s="190"/>
      <c r="AJ185" s="190"/>
      <c r="AK185" s="66"/>
      <c r="AL185" s="66"/>
      <c r="AM185" s="66"/>
      <c r="AN185" s="66"/>
      <c r="AO185" s="66"/>
      <c r="AP185" s="66"/>
      <c r="AQ185" s="66"/>
      <c r="AR185" s="66"/>
      <c r="AS185" s="66"/>
      <c r="AT185" s="66"/>
    </row>
    <row r="186">
      <c r="A186" s="8"/>
      <c r="B186" s="66"/>
      <c r="C186" s="66"/>
      <c r="D186" s="66"/>
      <c r="E186" s="8"/>
      <c r="F186" s="66"/>
      <c r="G186" s="66"/>
      <c r="H186" s="66"/>
      <c r="I186" s="8"/>
      <c r="J186" s="66"/>
      <c r="K186" s="66"/>
      <c r="L186" s="66"/>
      <c r="M186" s="8"/>
      <c r="N186" s="66"/>
      <c r="O186" s="66"/>
      <c r="P186" s="66"/>
      <c r="Q186" s="8"/>
      <c r="R186" s="66"/>
      <c r="S186" s="66"/>
      <c r="T186" s="66"/>
      <c r="U186" s="8"/>
      <c r="V186" s="66"/>
      <c r="W186" s="66"/>
      <c r="X186" s="66"/>
      <c r="Y186" s="189"/>
      <c r="Z186" s="184"/>
      <c r="AA186" s="184"/>
      <c r="AB186" s="184"/>
      <c r="AC186" s="8"/>
      <c r="AD186" s="66"/>
      <c r="AE186" s="66"/>
      <c r="AF186" s="66"/>
      <c r="AG186" s="190"/>
      <c r="AH186" s="191"/>
      <c r="AI186" s="190"/>
      <c r="AJ186" s="190"/>
      <c r="AK186" s="66"/>
      <c r="AL186" s="66"/>
      <c r="AM186" s="66"/>
      <c r="AN186" s="66"/>
      <c r="AO186" s="66"/>
      <c r="AP186" s="66"/>
      <c r="AQ186" s="66"/>
      <c r="AR186" s="66"/>
      <c r="AS186" s="66"/>
      <c r="AT186" s="66"/>
    </row>
    <row r="187">
      <c r="A187" s="8"/>
      <c r="B187" s="66"/>
      <c r="C187" s="66"/>
      <c r="D187" s="66"/>
      <c r="E187" s="8"/>
      <c r="F187" s="66"/>
      <c r="G187" s="66"/>
      <c r="H187" s="66"/>
      <c r="I187" s="8"/>
      <c r="J187" s="66"/>
      <c r="K187" s="66"/>
      <c r="L187" s="66"/>
      <c r="M187" s="8"/>
      <c r="N187" s="66"/>
      <c r="O187" s="66"/>
      <c r="P187" s="66"/>
      <c r="Q187" s="8"/>
      <c r="R187" s="66"/>
      <c r="S187" s="66"/>
      <c r="T187" s="66"/>
      <c r="U187" s="8"/>
      <c r="V187" s="66"/>
      <c r="W187" s="66"/>
      <c r="X187" s="66"/>
      <c r="Y187" s="189"/>
      <c r="Z187" s="184"/>
      <c r="AA187" s="184"/>
      <c r="AB187" s="184"/>
      <c r="AC187" s="8"/>
      <c r="AD187" s="66"/>
      <c r="AE187" s="66"/>
      <c r="AF187" s="66"/>
      <c r="AG187" s="190"/>
      <c r="AH187" s="191"/>
      <c r="AI187" s="190"/>
      <c r="AJ187" s="190"/>
      <c r="AK187" s="66"/>
      <c r="AL187" s="66"/>
      <c r="AM187" s="66"/>
      <c r="AN187" s="66"/>
      <c r="AO187" s="66"/>
      <c r="AP187" s="66"/>
      <c r="AQ187" s="66"/>
      <c r="AR187" s="66"/>
      <c r="AS187" s="66"/>
      <c r="AT187" s="66"/>
    </row>
    <row r="188">
      <c r="A188" s="8"/>
      <c r="B188" s="66"/>
      <c r="C188" s="66"/>
      <c r="D188" s="66"/>
      <c r="E188" s="8"/>
      <c r="F188" s="66"/>
      <c r="G188" s="66"/>
      <c r="H188" s="66"/>
      <c r="I188" s="8"/>
      <c r="J188" s="66"/>
      <c r="K188" s="66"/>
      <c r="L188" s="66"/>
      <c r="M188" s="8"/>
      <c r="N188" s="66"/>
      <c r="O188" s="66"/>
      <c r="P188" s="66"/>
      <c r="Q188" s="8"/>
      <c r="R188" s="66"/>
      <c r="S188" s="66"/>
      <c r="T188" s="66"/>
      <c r="U188" s="8"/>
      <c r="V188" s="66"/>
      <c r="W188" s="66"/>
      <c r="X188" s="66"/>
      <c r="Y188" s="189"/>
      <c r="Z188" s="184"/>
      <c r="AA188" s="184"/>
      <c r="AB188" s="184"/>
      <c r="AC188" s="8"/>
      <c r="AD188" s="66"/>
      <c r="AE188" s="66"/>
      <c r="AF188" s="66"/>
      <c r="AG188" s="190"/>
      <c r="AH188" s="191"/>
      <c r="AI188" s="190"/>
      <c r="AJ188" s="190"/>
      <c r="AK188" s="66"/>
      <c r="AL188" s="66"/>
      <c r="AM188" s="66"/>
      <c r="AN188" s="66"/>
      <c r="AO188" s="66"/>
      <c r="AP188" s="66"/>
      <c r="AQ188" s="66"/>
      <c r="AR188" s="66"/>
      <c r="AS188" s="66"/>
      <c r="AT188" s="66"/>
    </row>
    <row r="189">
      <c r="A189" s="8"/>
      <c r="B189" s="66"/>
      <c r="C189" s="66"/>
      <c r="D189" s="66"/>
      <c r="E189" s="8"/>
      <c r="F189" s="66"/>
      <c r="G189" s="66"/>
      <c r="H189" s="66"/>
      <c r="I189" s="8"/>
      <c r="J189" s="66"/>
      <c r="K189" s="66"/>
      <c r="L189" s="66"/>
      <c r="M189" s="8"/>
      <c r="N189" s="66"/>
      <c r="O189" s="66"/>
      <c r="P189" s="66"/>
      <c r="Q189" s="8"/>
      <c r="R189" s="66"/>
      <c r="S189" s="66"/>
      <c r="T189" s="66"/>
      <c r="U189" s="8"/>
      <c r="V189" s="66"/>
      <c r="W189" s="66"/>
      <c r="X189" s="66"/>
      <c r="Y189" s="189"/>
      <c r="Z189" s="184"/>
      <c r="AA189" s="184"/>
      <c r="AB189" s="184"/>
      <c r="AC189" s="8"/>
      <c r="AD189" s="66"/>
      <c r="AE189" s="66"/>
      <c r="AF189" s="66"/>
      <c r="AG189" s="190"/>
      <c r="AH189" s="191"/>
      <c r="AI189" s="190"/>
      <c r="AJ189" s="190"/>
      <c r="AK189" s="66"/>
      <c r="AL189" s="66"/>
      <c r="AM189" s="66"/>
      <c r="AN189" s="66"/>
      <c r="AO189" s="66"/>
      <c r="AP189" s="66"/>
      <c r="AQ189" s="66"/>
      <c r="AR189" s="66"/>
      <c r="AS189" s="66"/>
      <c r="AT189" s="66"/>
    </row>
    <row r="190">
      <c r="A190" s="8"/>
      <c r="B190" s="66"/>
      <c r="C190" s="66"/>
      <c r="D190" s="66"/>
      <c r="E190" s="8"/>
      <c r="F190" s="66"/>
      <c r="G190" s="66"/>
      <c r="H190" s="66"/>
      <c r="I190" s="8"/>
      <c r="J190" s="66"/>
      <c r="K190" s="66"/>
      <c r="L190" s="66"/>
      <c r="M190" s="8"/>
      <c r="N190" s="66"/>
      <c r="O190" s="66"/>
      <c r="P190" s="66"/>
      <c r="Q190" s="8"/>
      <c r="R190" s="66"/>
      <c r="S190" s="66"/>
      <c r="T190" s="66"/>
      <c r="U190" s="8"/>
      <c r="V190" s="66"/>
      <c r="W190" s="66"/>
      <c r="X190" s="66"/>
      <c r="Y190" s="189"/>
      <c r="Z190" s="184"/>
      <c r="AA190" s="184"/>
      <c r="AB190" s="184"/>
      <c r="AC190" s="8"/>
      <c r="AD190" s="66"/>
      <c r="AE190" s="66"/>
      <c r="AF190" s="66"/>
      <c r="AG190" s="190"/>
      <c r="AH190" s="191"/>
      <c r="AI190" s="190"/>
      <c r="AJ190" s="190"/>
      <c r="AK190" s="66"/>
      <c r="AL190" s="66"/>
      <c r="AM190" s="66"/>
      <c r="AN190" s="66"/>
      <c r="AO190" s="66"/>
      <c r="AP190" s="66"/>
      <c r="AQ190" s="66"/>
      <c r="AR190" s="66"/>
      <c r="AS190" s="66"/>
      <c r="AT190" s="66"/>
    </row>
    <row r="191">
      <c r="A191" s="8"/>
      <c r="B191" s="66"/>
      <c r="C191" s="66"/>
      <c r="D191" s="66"/>
      <c r="E191" s="8"/>
      <c r="F191" s="66"/>
      <c r="G191" s="66"/>
      <c r="H191" s="66"/>
      <c r="I191" s="8"/>
      <c r="J191" s="66"/>
      <c r="K191" s="66"/>
      <c r="L191" s="66"/>
      <c r="M191" s="8"/>
      <c r="N191" s="66"/>
      <c r="O191" s="66"/>
      <c r="P191" s="66"/>
      <c r="Q191" s="8"/>
      <c r="R191" s="66"/>
      <c r="S191" s="66"/>
      <c r="T191" s="66"/>
      <c r="U191" s="8"/>
      <c r="V191" s="66"/>
      <c r="W191" s="66"/>
      <c r="X191" s="66"/>
      <c r="Y191" s="189"/>
      <c r="Z191" s="184"/>
      <c r="AA191" s="184"/>
      <c r="AB191" s="184"/>
      <c r="AC191" s="8"/>
      <c r="AD191" s="66"/>
      <c r="AE191" s="66"/>
      <c r="AF191" s="66"/>
      <c r="AG191" s="190"/>
      <c r="AH191" s="191"/>
      <c r="AI191" s="190"/>
      <c r="AJ191" s="190"/>
      <c r="AK191" s="66"/>
      <c r="AL191" s="66"/>
      <c r="AM191" s="66"/>
      <c r="AN191" s="66"/>
      <c r="AO191" s="66"/>
      <c r="AP191" s="66"/>
      <c r="AQ191" s="66"/>
      <c r="AR191" s="66"/>
      <c r="AS191" s="66"/>
      <c r="AT191" s="66"/>
    </row>
    <row r="192">
      <c r="A192" s="8"/>
      <c r="B192" s="66"/>
      <c r="C192" s="66"/>
      <c r="D192" s="66"/>
      <c r="E192" s="8"/>
      <c r="F192" s="66"/>
      <c r="G192" s="66"/>
      <c r="H192" s="66"/>
      <c r="I192" s="8"/>
      <c r="J192" s="66"/>
      <c r="K192" s="66"/>
      <c r="L192" s="66"/>
      <c r="M192" s="8"/>
      <c r="N192" s="66"/>
      <c r="O192" s="66"/>
      <c r="P192" s="66"/>
      <c r="Q192" s="8"/>
      <c r="R192" s="66"/>
      <c r="S192" s="66"/>
      <c r="T192" s="66"/>
      <c r="U192" s="8"/>
      <c r="V192" s="66"/>
      <c r="W192" s="66"/>
      <c r="X192" s="66"/>
      <c r="Y192" s="189"/>
      <c r="Z192" s="184"/>
      <c r="AA192" s="184"/>
      <c r="AB192" s="184"/>
      <c r="AC192" s="8"/>
      <c r="AD192" s="66"/>
      <c r="AE192" s="66"/>
      <c r="AF192" s="66"/>
      <c r="AG192" s="190"/>
      <c r="AH192" s="191"/>
      <c r="AI192" s="190"/>
      <c r="AJ192" s="190"/>
      <c r="AK192" s="66"/>
      <c r="AL192" s="66"/>
      <c r="AM192" s="66"/>
      <c r="AN192" s="66"/>
      <c r="AO192" s="66"/>
      <c r="AP192" s="66"/>
      <c r="AQ192" s="66"/>
      <c r="AR192" s="66"/>
      <c r="AS192" s="66"/>
      <c r="AT192" s="66"/>
    </row>
    <row r="193">
      <c r="A193" s="8"/>
      <c r="B193" s="66"/>
      <c r="C193" s="66"/>
      <c r="D193" s="66"/>
      <c r="E193" s="8"/>
      <c r="F193" s="66"/>
      <c r="G193" s="66"/>
      <c r="H193" s="66"/>
      <c r="I193" s="8"/>
      <c r="J193" s="66"/>
      <c r="K193" s="66"/>
      <c r="L193" s="66"/>
      <c r="M193" s="8"/>
      <c r="N193" s="66"/>
      <c r="O193" s="66"/>
      <c r="P193" s="66"/>
      <c r="Q193" s="8"/>
      <c r="R193" s="66"/>
      <c r="S193" s="66"/>
      <c r="T193" s="66"/>
      <c r="U193" s="8"/>
      <c r="V193" s="66"/>
      <c r="W193" s="66"/>
      <c r="X193" s="66"/>
      <c r="Y193" s="189"/>
      <c r="Z193" s="184"/>
      <c r="AA193" s="184"/>
      <c r="AB193" s="184"/>
      <c r="AC193" s="8"/>
      <c r="AD193" s="66"/>
      <c r="AE193" s="66"/>
      <c r="AF193" s="66"/>
      <c r="AG193" s="190"/>
      <c r="AH193" s="191"/>
      <c r="AI193" s="190"/>
      <c r="AJ193" s="190"/>
      <c r="AK193" s="66"/>
      <c r="AL193" s="66"/>
      <c r="AM193" s="66"/>
      <c r="AN193" s="66"/>
      <c r="AO193" s="66"/>
      <c r="AP193" s="66"/>
      <c r="AQ193" s="66"/>
      <c r="AR193" s="66"/>
      <c r="AS193" s="66"/>
      <c r="AT193" s="66"/>
    </row>
    <row r="194">
      <c r="A194" s="8"/>
      <c r="B194" s="66"/>
      <c r="C194" s="66"/>
      <c r="D194" s="66"/>
      <c r="E194" s="8"/>
      <c r="F194" s="66"/>
      <c r="G194" s="66"/>
      <c r="H194" s="66"/>
      <c r="I194" s="8"/>
      <c r="J194" s="66"/>
      <c r="K194" s="66"/>
      <c r="L194" s="66"/>
      <c r="M194" s="8"/>
      <c r="N194" s="66"/>
      <c r="O194" s="66"/>
      <c r="P194" s="66"/>
      <c r="Q194" s="8"/>
      <c r="R194" s="66"/>
      <c r="S194" s="66"/>
      <c r="T194" s="66"/>
      <c r="U194" s="8"/>
      <c r="V194" s="66"/>
      <c r="W194" s="66"/>
      <c r="X194" s="66"/>
      <c r="Y194" s="189"/>
      <c r="Z194" s="184"/>
      <c r="AA194" s="184"/>
      <c r="AB194" s="184"/>
      <c r="AC194" s="8"/>
      <c r="AD194" s="66"/>
      <c r="AE194" s="66"/>
      <c r="AF194" s="66"/>
      <c r="AG194" s="190"/>
      <c r="AH194" s="191"/>
      <c r="AI194" s="190"/>
      <c r="AJ194" s="190"/>
      <c r="AK194" s="66"/>
      <c r="AL194" s="66"/>
      <c r="AM194" s="66"/>
      <c r="AN194" s="66"/>
      <c r="AO194" s="66"/>
      <c r="AP194" s="66"/>
      <c r="AQ194" s="66"/>
      <c r="AR194" s="66"/>
      <c r="AS194" s="66"/>
      <c r="AT194" s="66"/>
    </row>
    <row r="195">
      <c r="A195" s="8"/>
      <c r="B195" s="66"/>
      <c r="C195" s="66"/>
      <c r="D195" s="66"/>
      <c r="E195" s="8"/>
      <c r="F195" s="66"/>
      <c r="G195" s="66"/>
      <c r="H195" s="66"/>
      <c r="I195" s="8"/>
      <c r="J195" s="66"/>
      <c r="K195" s="66"/>
      <c r="L195" s="66"/>
      <c r="M195" s="8"/>
      <c r="N195" s="66"/>
      <c r="O195" s="66"/>
      <c r="P195" s="66"/>
      <c r="Q195" s="8"/>
      <c r="R195" s="66"/>
      <c r="S195" s="66"/>
      <c r="T195" s="66"/>
      <c r="U195" s="8"/>
      <c r="V195" s="66"/>
      <c r="W195" s="66"/>
      <c r="X195" s="66"/>
      <c r="Y195" s="189"/>
      <c r="Z195" s="184"/>
      <c r="AA195" s="184"/>
      <c r="AB195" s="184"/>
      <c r="AC195" s="8"/>
      <c r="AD195" s="66"/>
      <c r="AE195" s="66"/>
      <c r="AF195" s="66"/>
      <c r="AG195" s="190"/>
      <c r="AH195" s="191"/>
      <c r="AI195" s="190"/>
      <c r="AJ195" s="190"/>
      <c r="AK195" s="66"/>
      <c r="AL195" s="66"/>
      <c r="AM195" s="66"/>
      <c r="AN195" s="66"/>
      <c r="AO195" s="66"/>
      <c r="AP195" s="66"/>
      <c r="AQ195" s="66"/>
      <c r="AR195" s="66"/>
      <c r="AS195" s="66"/>
      <c r="AT195" s="66"/>
    </row>
    <row r="196">
      <c r="A196" s="8"/>
      <c r="B196" s="66"/>
      <c r="C196" s="66"/>
      <c r="D196" s="66"/>
      <c r="E196" s="8"/>
      <c r="F196" s="66"/>
      <c r="G196" s="66"/>
      <c r="H196" s="66"/>
      <c r="I196" s="8"/>
      <c r="J196" s="66"/>
      <c r="K196" s="66"/>
      <c r="L196" s="66"/>
      <c r="M196" s="8"/>
      <c r="N196" s="66"/>
      <c r="O196" s="66"/>
      <c r="P196" s="66"/>
      <c r="Q196" s="8"/>
      <c r="R196" s="66"/>
      <c r="S196" s="66"/>
      <c r="T196" s="66"/>
      <c r="U196" s="8"/>
      <c r="V196" s="66"/>
      <c r="W196" s="66"/>
      <c r="X196" s="66"/>
      <c r="Y196" s="189"/>
      <c r="Z196" s="184"/>
      <c r="AA196" s="184"/>
      <c r="AB196" s="184"/>
      <c r="AC196" s="8"/>
      <c r="AD196" s="66"/>
      <c r="AE196" s="66"/>
      <c r="AF196" s="66"/>
      <c r="AG196" s="190"/>
      <c r="AH196" s="191"/>
      <c r="AI196" s="190"/>
      <c r="AJ196" s="190"/>
      <c r="AK196" s="66"/>
      <c r="AL196" s="66"/>
      <c r="AM196" s="66"/>
      <c r="AN196" s="66"/>
      <c r="AO196" s="66"/>
      <c r="AP196" s="66"/>
      <c r="AQ196" s="66"/>
      <c r="AR196" s="66"/>
      <c r="AS196" s="66"/>
      <c r="AT196" s="66"/>
    </row>
    <row r="197">
      <c r="A197" s="8"/>
      <c r="B197" s="66"/>
      <c r="C197" s="66"/>
      <c r="D197" s="66"/>
      <c r="E197" s="8"/>
      <c r="F197" s="66"/>
      <c r="G197" s="66"/>
      <c r="H197" s="66"/>
      <c r="I197" s="8"/>
      <c r="J197" s="66"/>
      <c r="K197" s="66"/>
      <c r="L197" s="66"/>
      <c r="M197" s="8"/>
      <c r="N197" s="66"/>
      <c r="O197" s="66"/>
      <c r="P197" s="66"/>
      <c r="Q197" s="8"/>
      <c r="R197" s="66"/>
      <c r="S197" s="66"/>
      <c r="T197" s="66"/>
      <c r="U197" s="8"/>
      <c r="V197" s="66"/>
      <c r="W197" s="66"/>
      <c r="X197" s="66"/>
      <c r="Y197" s="189"/>
      <c r="Z197" s="184"/>
      <c r="AA197" s="184"/>
      <c r="AB197" s="184"/>
      <c r="AC197" s="8"/>
      <c r="AD197" s="66"/>
      <c r="AE197" s="66"/>
      <c r="AF197" s="66"/>
      <c r="AG197" s="190"/>
      <c r="AH197" s="191"/>
      <c r="AI197" s="190"/>
      <c r="AJ197" s="190"/>
      <c r="AK197" s="66"/>
      <c r="AL197" s="66"/>
      <c r="AM197" s="66"/>
      <c r="AN197" s="66"/>
      <c r="AO197" s="66"/>
      <c r="AP197" s="66"/>
      <c r="AQ197" s="66"/>
      <c r="AR197" s="66"/>
      <c r="AS197" s="66"/>
      <c r="AT197" s="66"/>
    </row>
    <row r="198">
      <c r="A198" s="8"/>
      <c r="B198" s="66"/>
      <c r="C198" s="66"/>
      <c r="D198" s="66"/>
      <c r="E198" s="8"/>
      <c r="F198" s="66"/>
      <c r="G198" s="66"/>
      <c r="H198" s="66"/>
      <c r="I198" s="8"/>
      <c r="J198" s="66"/>
      <c r="K198" s="66"/>
      <c r="L198" s="66"/>
      <c r="M198" s="8"/>
      <c r="N198" s="66"/>
      <c r="O198" s="66"/>
      <c r="P198" s="66"/>
      <c r="Q198" s="8"/>
      <c r="R198" s="66"/>
      <c r="S198" s="66"/>
      <c r="T198" s="66"/>
      <c r="U198" s="8"/>
      <c r="V198" s="66"/>
      <c r="W198" s="66"/>
      <c r="X198" s="66"/>
      <c r="Y198" s="189"/>
      <c r="Z198" s="184"/>
      <c r="AA198" s="184"/>
      <c r="AB198" s="184"/>
      <c r="AC198" s="8"/>
      <c r="AD198" s="66"/>
      <c r="AE198" s="66"/>
      <c r="AF198" s="66"/>
      <c r="AG198" s="190"/>
      <c r="AH198" s="191"/>
      <c r="AI198" s="190"/>
      <c r="AJ198" s="190"/>
      <c r="AK198" s="66"/>
      <c r="AL198" s="66"/>
      <c r="AM198" s="66"/>
      <c r="AN198" s="66"/>
      <c r="AO198" s="66"/>
      <c r="AP198" s="66"/>
      <c r="AQ198" s="66"/>
      <c r="AR198" s="66"/>
      <c r="AS198" s="66"/>
      <c r="AT198" s="66"/>
    </row>
    <row r="199">
      <c r="A199" s="8"/>
      <c r="B199" s="66"/>
      <c r="C199" s="66"/>
      <c r="D199" s="66"/>
      <c r="E199" s="8"/>
      <c r="F199" s="66"/>
      <c r="G199" s="66"/>
      <c r="H199" s="66"/>
      <c r="I199" s="8"/>
      <c r="J199" s="66"/>
      <c r="K199" s="66"/>
      <c r="L199" s="66"/>
      <c r="M199" s="8"/>
      <c r="N199" s="66"/>
      <c r="O199" s="66"/>
      <c r="P199" s="66"/>
      <c r="Q199" s="8"/>
      <c r="R199" s="66"/>
      <c r="S199" s="66"/>
      <c r="T199" s="66"/>
      <c r="U199" s="8"/>
      <c r="V199" s="66"/>
      <c r="W199" s="66"/>
      <c r="X199" s="66"/>
      <c r="Y199" s="189"/>
      <c r="Z199" s="184"/>
      <c r="AA199" s="184"/>
      <c r="AB199" s="184"/>
      <c r="AC199" s="8"/>
      <c r="AD199" s="66"/>
      <c r="AE199" s="66"/>
      <c r="AF199" s="66"/>
      <c r="AG199" s="190"/>
      <c r="AH199" s="191"/>
      <c r="AI199" s="190"/>
      <c r="AJ199" s="190"/>
      <c r="AK199" s="66"/>
      <c r="AL199" s="66"/>
      <c r="AM199" s="66"/>
      <c r="AN199" s="66"/>
      <c r="AO199" s="66"/>
      <c r="AP199" s="66"/>
      <c r="AQ199" s="66"/>
      <c r="AR199" s="66"/>
      <c r="AS199" s="66"/>
      <c r="AT199" s="66"/>
    </row>
    <row r="200">
      <c r="A200" s="8"/>
      <c r="B200" s="66"/>
      <c r="C200" s="66"/>
      <c r="D200" s="66"/>
      <c r="E200" s="8"/>
      <c r="F200" s="66"/>
      <c r="G200" s="66"/>
      <c r="H200" s="66"/>
      <c r="I200" s="8"/>
      <c r="J200" s="66"/>
      <c r="K200" s="66"/>
      <c r="L200" s="66"/>
      <c r="M200" s="8"/>
      <c r="N200" s="66"/>
      <c r="O200" s="66"/>
      <c r="P200" s="66"/>
      <c r="Q200" s="8"/>
      <c r="R200" s="66"/>
      <c r="S200" s="66"/>
      <c r="T200" s="66"/>
      <c r="U200" s="8"/>
      <c r="V200" s="66"/>
      <c r="W200" s="66"/>
      <c r="X200" s="66"/>
      <c r="Y200" s="189"/>
      <c r="Z200" s="184"/>
      <c r="AA200" s="184"/>
      <c r="AB200" s="184"/>
      <c r="AC200" s="8"/>
      <c r="AD200" s="66"/>
      <c r="AE200" s="66"/>
      <c r="AF200" s="66"/>
      <c r="AG200" s="190"/>
      <c r="AH200" s="191"/>
      <c r="AI200" s="190"/>
      <c r="AJ200" s="190"/>
      <c r="AK200" s="66"/>
      <c r="AL200" s="66"/>
      <c r="AM200" s="66"/>
      <c r="AN200" s="66"/>
      <c r="AO200" s="66"/>
      <c r="AP200" s="66"/>
      <c r="AQ200" s="66"/>
      <c r="AR200" s="66"/>
      <c r="AS200" s="66"/>
      <c r="AT200" s="66"/>
    </row>
    <row r="201">
      <c r="A201" s="8"/>
      <c r="B201" s="66"/>
      <c r="C201" s="66"/>
      <c r="D201" s="66"/>
      <c r="E201" s="8"/>
      <c r="F201" s="66"/>
      <c r="G201" s="66"/>
      <c r="H201" s="66"/>
      <c r="I201" s="8"/>
      <c r="J201" s="66"/>
      <c r="K201" s="66"/>
      <c r="L201" s="66"/>
      <c r="M201" s="8"/>
      <c r="N201" s="66"/>
      <c r="O201" s="66"/>
      <c r="P201" s="66"/>
      <c r="Q201" s="8"/>
      <c r="R201" s="66"/>
      <c r="S201" s="66"/>
      <c r="T201" s="66"/>
      <c r="U201" s="8"/>
      <c r="V201" s="66"/>
      <c r="W201" s="66"/>
      <c r="X201" s="66"/>
      <c r="Y201" s="189"/>
      <c r="Z201" s="184"/>
      <c r="AA201" s="184"/>
      <c r="AB201" s="184"/>
      <c r="AC201" s="8"/>
      <c r="AD201" s="66"/>
      <c r="AE201" s="66"/>
      <c r="AF201" s="66"/>
      <c r="AG201" s="190"/>
      <c r="AH201" s="191"/>
      <c r="AI201" s="190"/>
      <c r="AJ201" s="190"/>
      <c r="AK201" s="66"/>
      <c r="AL201" s="66"/>
      <c r="AM201" s="66"/>
      <c r="AN201" s="66"/>
      <c r="AO201" s="66"/>
      <c r="AP201" s="66"/>
      <c r="AQ201" s="66"/>
      <c r="AR201" s="66"/>
      <c r="AS201" s="66"/>
      <c r="AT201" s="66"/>
    </row>
    <row r="202">
      <c r="A202" s="8"/>
      <c r="B202" s="66"/>
      <c r="C202" s="66"/>
      <c r="D202" s="66"/>
      <c r="E202" s="8"/>
      <c r="F202" s="66"/>
      <c r="G202" s="66"/>
      <c r="H202" s="66"/>
      <c r="I202" s="8"/>
      <c r="J202" s="66"/>
      <c r="K202" s="66"/>
      <c r="L202" s="66"/>
      <c r="M202" s="8"/>
      <c r="N202" s="66"/>
      <c r="O202" s="66"/>
      <c r="P202" s="66"/>
      <c r="Q202" s="8"/>
      <c r="R202" s="66"/>
      <c r="S202" s="66"/>
      <c r="T202" s="66"/>
      <c r="U202" s="8"/>
      <c r="V202" s="66"/>
      <c r="W202" s="66"/>
      <c r="X202" s="66"/>
      <c r="Y202" s="189"/>
      <c r="Z202" s="184"/>
      <c r="AA202" s="184"/>
      <c r="AB202" s="184"/>
      <c r="AC202" s="8"/>
      <c r="AD202" s="66"/>
      <c r="AE202" s="66"/>
      <c r="AF202" s="66"/>
      <c r="AG202" s="190"/>
      <c r="AH202" s="191"/>
      <c r="AI202" s="190"/>
      <c r="AJ202" s="190"/>
      <c r="AK202" s="66"/>
      <c r="AL202" s="66"/>
      <c r="AM202" s="66"/>
      <c r="AN202" s="66"/>
      <c r="AO202" s="66"/>
      <c r="AP202" s="66"/>
      <c r="AQ202" s="66"/>
      <c r="AR202" s="66"/>
      <c r="AS202" s="66"/>
      <c r="AT202" s="66"/>
    </row>
    <row r="203">
      <c r="A203" s="8"/>
      <c r="B203" s="66"/>
      <c r="C203" s="66"/>
      <c r="D203" s="66"/>
      <c r="E203" s="8"/>
      <c r="F203" s="66"/>
      <c r="G203" s="66"/>
      <c r="H203" s="66"/>
      <c r="I203" s="8"/>
      <c r="J203" s="66"/>
      <c r="K203" s="66"/>
      <c r="L203" s="66"/>
      <c r="M203" s="8"/>
      <c r="N203" s="66"/>
      <c r="O203" s="66"/>
      <c r="P203" s="66"/>
      <c r="Q203" s="8"/>
      <c r="R203" s="66"/>
      <c r="S203" s="66"/>
      <c r="T203" s="66"/>
      <c r="U203" s="8"/>
      <c r="V203" s="66"/>
      <c r="W203" s="66"/>
      <c r="X203" s="66"/>
      <c r="Y203" s="189"/>
      <c r="Z203" s="184"/>
      <c r="AA203" s="184"/>
      <c r="AB203" s="184"/>
      <c r="AC203" s="8"/>
      <c r="AD203" s="66"/>
      <c r="AE203" s="66"/>
      <c r="AF203" s="66"/>
      <c r="AG203" s="190"/>
      <c r="AH203" s="191"/>
      <c r="AI203" s="190"/>
      <c r="AJ203" s="190"/>
      <c r="AK203" s="66"/>
      <c r="AL203" s="66"/>
      <c r="AM203" s="66"/>
      <c r="AN203" s="66"/>
      <c r="AO203" s="66"/>
      <c r="AP203" s="66"/>
      <c r="AQ203" s="66"/>
      <c r="AR203" s="66"/>
      <c r="AS203" s="66"/>
      <c r="AT203" s="66"/>
    </row>
    <row r="204">
      <c r="A204" s="8"/>
      <c r="B204" s="66"/>
      <c r="C204" s="66"/>
      <c r="D204" s="66"/>
      <c r="E204" s="8"/>
      <c r="F204" s="66"/>
      <c r="G204" s="66"/>
      <c r="H204" s="66"/>
      <c r="I204" s="8"/>
      <c r="J204" s="66"/>
      <c r="K204" s="66"/>
      <c r="L204" s="66"/>
      <c r="M204" s="8"/>
      <c r="N204" s="66"/>
      <c r="O204" s="66"/>
      <c r="P204" s="66"/>
      <c r="Q204" s="8"/>
      <c r="R204" s="66"/>
      <c r="S204" s="66"/>
      <c r="T204" s="66"/>
      <c r="U204" s="8"/>
      <c r="V204" s="66"/>
      <c r="W204" s="66"/>
      <c r="X204" s="66"/>
      <c r="Y204" s="189"/>
      <c r="Z204" s="184"/>
      <c r="AA204" s="184"/>
      <c r="AB204" s="184"/>
      <c r="AC204" s="8"/>
      <c r="AD204" s="66"/>
      <c r="AE204" s="66"/>
      <c r="AF204" s="66"/>
      <c r="AG204" s="190"/>
      <c r="AH204" s="191"/>
      <c r="AI204" s="190"/>
      <c r="AJ204" s="190"/>
      <c r="AK204" s="66"/>
      <c r="AL204" s="66"/>
      <c r="AM204" s="66"/>
      <c r="AN204" s="66"/>
      <c r="AO204" s="66"/>
      <c r="AP204" s="66"/>
      <c r="AQ204" s="66"/>
      <c r="AR204" s="66"/>
      <c r="AS204" s="66"/>
      <c r="AT204" s="66"/>
    </row>
    <row r="205">
      <c r="A205" s="8"/>
      <c r="B205" s="66"/>
      <c r="C205" s="66"/>
      <c r="D205" s="66"/>
      <c r="E205" s="8"/>
      <c r="F205" s="66"/>
      <c r="G205" s="66"/>
      <c r="H205" s="66"/>
      <c r="I205" s="8"/>
      <c r="J205" s="66"/>
      <c r="K205" s="66"/>
      <c r="L205" s="66"/>
      <c r="M205" s="8"/>
      <c r="N205" s="66"/>
      <c r="O205" s="66"/>
      <c r="P205" s="66"/>
      <c r="Q205" s="8"/>
      <c r="R205" s="66"/>
      <c r="S205" s="66"/>
      <c r="T205" s="66"/>
      <c r="U205" s="8"/>
      <c r="V205" s="66"/>
      <c r="W205" s="66"/>
      <c r="X205" s="66"/>
      <c r="Y205" s="189"/>
      <c r="Z205" s="184"/>
      <c r="AA205" s="184"/>
      <c r="AB205" s="184"/>
      <c r="AC205" s="8"/>
      <c r="AD205" s="66"/>
      <c r="AE205" s="66"/>
      <c r="AF205" s="66"/>
      <c r="AG205" s="190"/>
      <c r="AH205" s="191"/>
      <c r="AI205" s="190"/>
      <c r="AJ205" s="190"/>
      <c r="AK205" s="66"/>
      <c r="AL205" s="66"/>
      <c r="AM205" s="66"/>
      <c r="AN205" s="66"/>
      <c r="AO205" s="66"/>
      <c r="AP205" s="66"/>
      <c r="AQ205" s="66"/>
      <c r="AR205" s="66"/>
      <c r="AS205" s="66"/>
      <c r="AT205" s="66"/>
    </row>
    <row r="206">
      <c r="A206" s="8"/>
      <c r="B206" s="66"/>
      <c r="C206" s="66"/>
      <c r="D206" s="66"/>
      <c r="E206" s="8"/>
      <c r="F206" s="66"/>
      <c r="G206" s="66"/>
      <c r="H206" s="66"/>
      <c r="I206" s="8"/>
      <c r="J206" s="66"/>
      <c r="K206" s="66"/>
      <c r="L206" s="66"/>
      <c r="M206" s="8"/>
      <c r="N206" s="66"/>
      <c r="O206" s="66"/>
      <c r="P206" s="66"/>
      <c r="Q206" s="8"/>
      <c r="R206" s="66"/>
      <c r="S206" s="66"/>
      <c r="T206" s="66"/>
      <c r="U206" s="8"/>
      <c r="V206" s="66"/>
      <c r="W206" s="66"/>
      <c r="X206" s="66"/>
      <c r="Y206" s="189"/>
      <c r="Z206" s="184"/>
      <c r="AA206" s="184"/>
      <c r="AB206" s="184"/>
      <c r="AC206" s="8"/>
      <c r="AD206" s="66"/>
      <c r="AE206" s="66"/>
      <c r="AF206" s="66"/>
      <c r="AG206" s="190"/>
      <c r="AH206" s="191"/>
      <c r="AI206" s="190"/>
      <c r="AJ206" s="190"/>
      <c r="AK206" s="66"/>
      <c r="AL206" s="66"/>
      <c r="AM206" s="66"/>
      <c r="AN206" s="66"/>
      <c r="AO206" s="66"/>
      <c r="AP206" s="66"/>
      <c r="AQ206" s="66"/>
      <c r="AR206" s="66"/>
      <c r="AS206" s="66"/>
      <c r="AT206" s="66"/>
    </row>
    <row r="207">
      <c r="A207" s="8"/>
      <c r="B207" s="66"/>
      <c r="C207" s="66"/>
      <c r="D207" s="66"/>
      <c r="E207" s="8"/>
      <c r="F207" s="66"/>
      <c r="G207" s="66"/>
      <c r="H207" s="66"/>
      <c r="I207" s="8"/>
      <c r="J207" s="66"/>
      <c r="K207" s="66"/>
      <c r="L207" s="66"/>
      <c r="M207" s="8"/>
      <c r="N207" s="66"/>
      <c r="O207" s="66"/>
      <c r="P207" s="66"/>
      <c r="Q207" s="8"/>
      <c r="R207" s="66"/>
      <c r="S207" s="66"/>
      <c r="T207" s="66"/>
      <c r="U207" s="8"/>
      <c r="V207" s="66"/>
      <c r="W207" s="66"/>
      <c r="X207" s="66"/>
      <c r="Y207" s="189"/>
      <c r="Z207" s="184"/>
      <c r="AA207" s="184"/>
      <c r="AB207" s="184"/>
      <c r="AC207" s="8"/>
      <c r="AD207" s="66"/>
      <c r="AE207" s="66"/>
      <c r="AF207" s="66"/>
      <c r="AG207" s="190"/>
      <c r="AH207" s="191"/>
      <c r="AI207" s="190"/>
      <c r="AJ207" s="190"/>
      <c r="AK207" s="66"/>
      <c r="AL207" s="66"/>
      <c r="AM207" s="66"/>
      <c r="AN207" s="66"/>
      <c r="AO207" s="66"/>
      <c r="AP207" s="66"/>
      <c r="AQ207" s="66"/>
      <c r="AR207" s="66"/>
      <c r="AS207" s="66"/>
      <c r="AT207" s="66"/>
    </row>
    <row r="208">
      <c r="A208" s="8"/>
      <c r="B208" s="66"/>
      <c r="C208" s="66"/>
      <c r="D208" s="66"/>
      <c r="E208" s="8"/>
      <c r="F208" s="66"/>
      <c r="G208" s="66"/>
      <c r="H208" s="66"/>
      <c r="I208" s="8"/>
      <c r="J208" s="66"/>
      <c r="K208" s="66"/>
      <c r="L208" s="66"/>
      <c r="M208" s="8"/>
      <c r="N208" s="66"/>
      <c r="O208" s="66"/>
      <c r="P208" s="66"/>
      <c r="Q208" s="8"/>
      <c r="R208" s="66"/>
      <c r="S208" s="66"/>
      <c r="T208" s="66"/>
      <c r="U208" s="8"/>
      <c r="V208" s="66"/>
      <c r="W208" s="66"/>
      <c r="X208" s="66"/>
      <c r="Y208" s="189"/>
      <c r="Z208" s="184"/>
      <c r="AA208" s="184"/>
      <c r="AB208" s="184"/>
      <c r="AC208" s="8"/>
      <c r="AD208" s="66"/>
      <c r="AE208" s="66"/>
      <c r="AF208" s="66"/>
      <c r="AG208" s="190"/>
      <c r="AH208" s="191"/>
      <c r="AI208" s="190"/>
      <c r="AJ208" s="190"/>
      <c r="AK208" s="66"/>
      <c r="AL208" s="66"/>
      <c r="AM208" s="66"/>
      <c r="AN208" s="66"/>
      <c r="AO208" s="66"/>
      <c r="AP208" s="66"/>
      <c r="AQ208" s="66"/>
      <c r="AR208" s="66"/>
      <c r="AS208" s="66"/>
      <c r="AT208" s="66"/>
    </row>
    <row r="209">
      <c r="A209" s="8"/>
      <c r="B209" s="66"/>
      <c r="C209" s="66"/>
      <c r="D209" s="66"/>
      <c r="E209" s="8"/>
      <c r="F209" s="66"/>
      <c r="G209" s="66"/>
      <c r="H209" s="66"/>
      <c r="I209" s="8"/>
      <c r="J209" s="66"/>
      <c r="K209" s="66"/>
      <c r="L209" s="66"/>
      <c r="M209" s="8"/>
      <c r="N209" s="66"/>
      <c r="O209" s="66"/>
      <c r="P209" s="66"/>
      <c r="Q209" s="8"/>
      <c r="R209" s="66"/>
      <c r="S209" s="66"/>
      <c r="T209" s="66"/>
      <c r="U209" s="8"/>
      <c r="V209" s="66"/>
      <c r="W209" s="66"/>
      <c r="X209" s="66"/>
      <c r="Y209" s="189"/>
      <c r="Z209" s="184"/>
      <c r="AA209" s="184"/>
      <c r="AB209" s="184"/>
      <c r="AC209" s="8"/>
      <c r="AD209" s="66"/>
      <c r="AE209" s="66"/>
      <c r="AF209" s="66"/>
      <c r="AG209" s="190"/>
      <c r="AH209" s="191"/>
      <c r="AI209" s="190"/>
      <c r="AJ209" s="190"/>
      <c r="AK209" s="66"/>
      <c r="AL209" s="66"/>
      <c r="AM209" s="66"/>
      <c r="AN209" s="66"/>
      <c r="AO209" s="66"/>
      <c r="AP209" s="66"/>
      <c r="AQ209" s="66"/>
      <c r="AR209" s="66"/>
      <c r="AS209" s="66"/>
      <c r="AT209" s="66"/>
    </row>
    <row r="210">
      <c r="A210" s="8"/>
      <c r="B210" s="66"/>
      <c r="C210" s="66"/>
      <c r="D210" s="66"/>
      <c r="E210" s="8"/>
      <c r="F210" s="66"/>
      <c r="G210" s="66"/>
      <c r="H210" s="66"/>
      <c r="I210" s="8"/>
      <c r="J210" s="66"/>
      <c r="K210" s="66"/>
      <c r="L210" s="66"/>
      <c r="M210" s="8"/>
      <c r="N210" s="66"/>
      <c r="O210" s="66"/>
      <c r="P210" s="66"/>
      <c r="Q210" s="8"/>
      <c r="R210" s="66"/>
      <c r="S210" s="66"/>
      <c r="T210" s="66"/>
      <c r="U210" s="8"/>
      <c r="V210" s="66"/>
      <c r="W210" s="66"/>
      <c r="X210" s="66"/>
      <c r="Y210" s="189"/>
      <c r="Z210" s="184"/>
      <c r="AA210" s="184"/>
      <c r="AB210" s="184"/>
      <c r="AC210" s="8"/>
      <c r="AD210" s="66"/>
      <c r="AE210" s="66"/>
      <c r="AF210" s="66"/>
      <c r="AG210" s="190"/>
      <c r="AH210" s="191"/>
      <c r="AI210" s="190"/>
      <c r="AJ210" s="190"/>
      <c r="AK210" s="66"/>
      <c r="AL210" s="66"/>
      <c r="AM210" s="66"/>
      <c r="AN210" s="66"/>
      <c r="AO210" s="66"/>
      <c r="AP210" s="66"/>
      <c r="AQ210" s="66"/>
      <c r="AR210" s="66"/>
      <c r="AS210" s="66"/>
      <c r="AT210" s="66"/>
    </row>
    <row r="211">
      <c r="A211" s="8"/>
      <c r="B211" s="66"/>
      <c r="C211" s="66"/>
      <c r="D211" s="66"/>
      <c r="E211" s="8"/>
      <c r="F211" s="66"/>
      <c r="G211" s="66"/>
      <c r="H211" s="66"/>
      <c r="I211" s="8"/>
      <c r="J211" s="66"/>
      <c r="K211" s="66"/>
      <c r="L211" s="66"/>
      <c r="M211" s="8"/>
      <c r="N211" s="66"/>
      <c r="O211" s="66"/>
      <c r="P211" s="66"/>
      <c r="Q211" s="8"/>
      <c r="R211" s="66"/>
      <c r="S211" s="66"/>
      <c r="T211" s="66"/>
      <c r="U211" s="8"/>
      <c r="V211" s="66"/>
      <c r="W211" s="66"/>
      <c r="X211" s="66"/>
      <c r="Y211" s="189"/>
      <c r="Z211" s="184"/>
      <c r="AA211" s="184"/>
      <c r="AB211" s="184"/>
      <c r="AC211" s="8"/>
      <c r="AD211" s="66"/>
      <c r="AE211" s="66"/>
      <c r="AF211" s="66"/>
      <c r="AG211" s="190"/>
      <c r="AH211" s="191"/>
      <c r="AI211" s="190"/>
      <c r="AJ211" s="190"/>
      <c r="AK211" s="66"/>
      <c r="AL211" s="66"/>
      <c r="AM211" s="66"/>
      <c r="AN211" s="66"/>
      <c r="AO211" s="66"/>
      <c r="AP211" s="66"/>
      <c r="AQ211" s="66"/>
      <c r="AR211" s="66"/>
      <c r="AS211" s="66"/>
      <c r="AT211" s="66"/>
    </row>
    <row r="212">
      <c r="A212" s="8"/>
      <c r="B212" s="66"/>
      <c r="C212" s="66"/>
      <c r="D212" s="66"/>
      <c r="E212" s="8"/>
      <c r="F212" s="66"/>
      <c r="G212" s="66"/>
      <c r="H212" s="66"/>
      <c r="I212" s="8"/>
      <c r="J212" s="66"/>
      <c r="K212" s="66"/>
      <c r="L212" s="66"/>
      <c r="M212" s="8"/>
      <c r="N212" s="66"/>
      <c r="O212" s="66"/>
      <c r="P212" s="66"/>
      <c r="Q212" s="8"/>
      <c r="R212" s="66"/>
      <c r="S212" s="66"/>
      <c r="T212" s="66"/>
      <c r="U212" s="8"/>
      <c r="V212" s="66"/>
      <c r="W212" s="66"/>
      <c r="X212" s="66"/>
      <c r="Y212" s="189"/>
      <c r="Z212" s="184"/>
      <c r="AA212" s="184"/>
      <c r="AB212" s="184"/>
      <c r="AC212" s="8"/>
      <c r="AD212" s="66"/>
      <c r="AE212" s="66"/>
      <c r="AF212" s="66"/>
      <c r="AG212" s="190"/>
      <c r="AH212" s="191"/>
      <c r="AI212" s="190"/>
      <c r="AJ212" s="190"/>
      <c r="AK212" s="66"/>
      <c r="AL212" s="66"/>
      <c r="AM212" s="66"/>
      <c r="AN212" s="66"/>
      <c r="AO212" s="66"/>
      <c r="AP212" s="66"/>
      <c r="AQ212" s="66"/>
      <c r="AR212" s="66"/>
      <c r="AS212" s="66"/>
      <c r="AT212" s="66"/>
    </row>
    <row r="213">
      <c r="A213" s="8"/>
      <c r="B213" s="66"/>
      <c r="C213" s="66"/>
      <c r="D213" s="66"/>
      <c r="E213" s="8"/>
      <c r="F213" s="66"/>
      <c r="G213" s="66"/>
      <c r="H213" s="66"/>
      <c r="I213" s="8"/>
      <c r="J213" s="66"/>
      <c r="K213" s="66"/>
      <c r="L213" s="66"/>
      <c r="M213" s="8"/>
      <c r="N213" s="66"/>
      <c r="O213" s="66"/>
      <c r="P213" s="66"/>
      <c r="Q213" s="8"/>
      <c r="R213" s="66"/>
      <c r="S213" s="66"/>
      <c r="T213" s="66"/>
      <c r="U213" s="8"/>
      <c r="V213" s="66"/>
      <c r="W213" s="66"/>
      <c r="X213" s="66"/>
      <c r="Y213" s="189"/>
      <c r="Z213" s="184"/>
      <c r="AA213" s="184"/>
      <c r="AB213" s="184"/>
      <c r="AC213" s="8"/>
      <c r="AD213" s="66"/>
      <c r="AE213" s="66"/>
      <c r="AF213" s="66"/>
      <c r="AG213" s="190"/>
      <c r="AH213" s="191"/>
      <c r="AI213" s="190"/>
      <c r="AJ213" s="190"/>
      <c r="AK213" s="66"/>
      <c r="AL213" s="66"/>
      <c r="AM213" s="66"/>
      <c r="AN213" s="66"/>
      <c r="AO213" s="66"/>
      <c r="AP213" s="66"/>
      <c r="AQ213" s="66"/>
      <c r="AR213" s="66"/>
      <c r="AS213" s="66"/>
      <c r="AT213" s="66"/>
    </row>
    <row r="214">
      <c r="A214" s="8"/>
      <c r="B214" s="66"/>
      <c r="C214" s="66"/>
      <c r="D214" s="66"/>
      <c r="E214" s="8"/>
      <c r="F214" s="66"/>
      <c r="G214" s="66"/>
      <c r="H214" s="66"/>
      <c r="I214" s="8"/>
      <c r="J214" s="66"/>
      <c r="K214" s="66"/>
      <c r="L214" s="66"/>
      <c r="M214" s="8"/>
      <c r="N214" s="66"/>
      <c r="O214" s="66"/>
      <c r="P214" s="66"/>
      <c r="Q214" s="8"/>
      <c r="R214" s="66"/>
      <c r="S214" s="66"/>
      <c r="T214" s="66"/>
      <c r="U214" s="8"/>
      <c r="V214" s="66"/>
      <c r="W214" s="66"/>
      <c r="X214" s="66"/>
      <c r="Y214" s="189"/>
      <c r="Z214" s="184"/>
      <c r="AA214" s="184"/>
      <c r="AB214" s="184"/>
      <c r="AC214" s="8"/>
      <c r="AD214" s="66"/>
      <c r="AE214" s="66"/>
      <c r="AF214" s="66"/>
      <c r="AG214" s="190"/>
      <c r="AH214" s="191"/>
      <c r="AI214" s="190"/>
      <c r="AJ214" s="190"/>
      <c r="AK214" s="66"/>
      <c r="AL214" s="66"/>
      <c r="AM214" s="66"/>
      <c r="AN214" s="66"/>
      <c r="AO214" s="66"/>
      <c r="AP214" s="66"/>
      <c r="AQ214" s="66"/>
      <c r="AR214" s="66"/>
      <c r="AS214" s="66"/>
      <c r="AT214" s="66"/>
    </row>
    <row r="215">
      <c r="A215" s="8"/>
      <c r="B215" s="66"/>
      <c r="C215" s="66"/>
      <c r="D215" s="66"/>
      <c r="E215" s="8"/>
      <c r="F215" s="66"/>
      <c r="G215" s="66"/>
      <c r="H215" s="66"/>
      <c r="I215" s="8"/>
      <c r="J215" s="66"/>
      <c r="K215" s="66"/>
      <c r="L215" s="66"/>
      <c r="M215" s="8"/>
      <c r="N215" s="66"/>
      <c r="O215" s="66"/>
      <c r="P215" s="66"/>
      <c r="Q215" s="8"/>
      <c r="R215" s="66"/>
      <c r="S215" s="66"/>
      <c r="T215" s="66"/>
      <c r="U215" s="8"/>
      <c r="V215" s="66"/>
      <c r="W215" s="66"/>
      <c r="X215" s="66"/>
      <c r="Y215" s="189"/>
      <c r="Z215" s="184"/>
      <c r="AA215" s="184"/>
      <c r="AB215" s="184"/>
      <c r="AC215" s="8"/>
      <c r="AD215" s="66"/>
      <c r="AE215" s="66"/>
      <c r="AF215" s="66"/>
      <c r="AG215" s="190"/>
      <c r="AH215" s="191"/>
      <c r="AI215" s="190"/>
      <c r="AJ215" s="190"/>
      <c r="AK215" s="66"/>
      <c r="AL215" s="66"/>
      <c r="AM215" s="66"/>
      <c r="AN215" s="66"/>
      <c r="AO215" s="66"/>
      <c r="AP215" s="66"/>
      <c r="AQ215" s="66"/>
      <c r="AR215" s="66"/>
      <c r="AS215" s="66"/>
      <c r="AT215" s="66"/>
    </row>
    <row r="216">
      <c r="A216" s="8"/>
      <c r="B216" s="66"/>
      <c r="C216" s="66"/>
      <c r="D216" s="66"/>
      <c r="E216" s="8"/>
      <c r="F216" s="66"/>
      <c r="G216" s="66"/>
      <c r="H216" s="66"/>
      <c r="I216" s="8"/>
      <c r="J216" s="66"/>
      <c r="K216" s="66"/>
      <c r="L216" s="66"/>
      <c r="M216" s="8"/>
      <c r="N216" s="66"/>
      <c r="O216" s="66"/>
      <c r="P216" s="66"/>
      <c r="Q216" s="8"/>
      <c r="R216" s="66"/>
      <c r="S216" s="66"/>
      <c r="T216" s="66"/>
      <c r="U216" s="8"/>
      <c r="V216" s="66"/>
      <c r="W216" s="66"/>
      <c r="X216" s="66"/>
      <c r="Y216" s="189"/>
      <c r="Z216" s="184"/>
      <c r="AA216" s="184"/>
      <c r="AB216" s="184"/>
      <c r="AC216" s="8"/>
      <c r="AD216" s="66"/>
      <c r="AE216" s="66"/>
      <c r="AF216" s="66"/>
      <c r="AG216" s="190"/>
      <c r="AH216" s="191"/>
      <c r="AI216" s="190"/>
      <c r="AJ216" s="190"/>
      <c r="AK216" s="66"/>
      <c r="AL216" s="66"/>
      <c r="AM216" s="66"/>
      <c r="AN216" s="66"/>
      <c r="AO216" s="66"/>
      <c r="AP216" s="66"/>
      <c r="AQ216" s="66"/>
      <c r="AR216" s="66"/>
      <c r="AS216" s="66"/>
      <c r="AT216" s="66"/>
    </row>
    <row r="217">
      <c r="A217" s="8"/>
      <c r="B217" s="66"/>
      <c r="C217" s="66"/>
      <c r="D217" s="66"/>
      <c r="E217" s="8"/>
      <c r="F217" s="66"/>
      <c r="G217" s="66"/>
      <c r="H217" s="66"/>
      <c r="I217" s="8"/>
      <c r="J217" s="66"/>
      <c r="K217" s="66"/>
      <c r="L217" s="66"/>
      <c r="M217" s="8"/>
      <c r="N217" s="66"/>
      <c r="O217" s="66"/>
      <c r="P217" s="66"/>
      <c r="Q217" s="8"/>
      <c r="R217" s="66"/>
      <c r="S217" s="66"/>
      <c r="T217" s="66"/>
      <c r="U217" s="8"/>
      <c r="V217" s="66"/>
      <c r="W217" s="66"/>
      <c r="X217" s="66"/>
      <c r="Y217" s="189"/>
      <c r="Z217" s="184"/>
      <c r="AA217" s="184"/>
      <c r="AB217" s="184"/>
      <c r="AC217" s="8"/>
      <c r="AD217" s="66"/>
      <c r="AE217" s="66"/>
      <c r="AF217" s="66"/>
      <c r="AG217" s="190"/>
      <c r="AH217" s="191"/>
      <c r="AI217" s="190"/>
      <c r="AJ217" s="190"/>
      <c r="AK217" s="66"/>
      <c r="AL217" s="66"/>
      <c r="AM217" s="66"/>
      <c r="AN217" s="66"/>
      <c r="AO217" s="66"/>
      <c r="AP217" s="66"/>
      <c r="AQ217" s="66"/>
      <c r="AR217" s="66"/>
      <c r="AS217" s="66"/>
      <c r="AT217" s="66"/>
    </row>
    <row r="218">
      <c r="A218" s="8"/>
      <c r="B218" s="66"/>
      <c r="C218" s="66"/>
      <c r="D218" s="66"/>
      <c r="E218" s="8"/>
      <c r="F218" s="66"/>
      <c r="G218" s="66"/>
      <c r="H218" s="66"/>
      <c r="I218" s="8"/>
      <c r="J218" s="66"/>
      <c r="K218" s="66"/>
      <c r="L218" s="66"/>
      <c r="M218" s="8"/>
      <c r="N218" s="66"/>
      <c r="O218" s="66"/>
      <c r="P218" s="66"/>
      <c r="Q218" s="8"/>
      <c r="R218" s="66"/>
      <c r="S218" s="66"/>
      <c r="T218" s="66"/>
      <c r="U218" s="8"/>
      <c r="V218" s="66"/>
      <c r="W218" s="66"/>
      <c r="X218" s="66"/>
      <c r="Y218" s="189"/>
      <c r="Z218" s="184"/>
      <c r="AA218" s="184"/>
      <c r="AB218" s="184"/>
      <c r="AC218" s="8"/>
      <c r="AD218" s="66"/>
      <c r="AE218" s="66"/>
      <c r="AF218" s="66"/>
      <c r="AG218" s="190"/>
      <c r="AH218" s="191"/>
      <c r="AI218" s="190"/>
      <c r="AJ218" s="190"/>
      <c r="AK218" s="66"/>
      <c r="AL218" s="66"/>
      <c r="AM218" s="66"/>
      <c r="AN218" s="66"/>
      <c r="AO218" s="66"/>
      <c r="AP218" s="66"/>
      <c r="AQ218" s="66"/>
      <c r="AR218" s="66"/>
      <c r="AS218" s="66"/>
      <c r="AT218" s="66"/>
    </row>
    <row r="219">
      <c r="A219" s="8"/>
      <c r="B219" s="66"/>
      <c r="C219" s="66"/>
      <c r="D219" s="66"/>
      <c r="E219" s="8"/>
      <c r="F219" s="66"/>
      <c r="G219" s="66"/>
      <c r="H219" s="66"/>
      <c r="I219" s="8"/>
      <c r="J219" s="66"/>
      <c r="K219" s="66"/>
      <c r="L219" s="66"/>
      <c r="M219" s="8"/>
      <c r="N219" s="66"/>
      <c r="O219" s="66"/>
      <c r="P219" s="66"/>
      <c r="Q219" s="8"/>
      <c r="R219" s="66"/>
      <c r="S219" s="66"/>
      <c r="T219" s="66"/>
      <c r="U219" s="8"/>
      <c r="V219" s="66"/>
      <c r="W219" s="66"/>
      <c r="X219" s="66"/>
      <c r="Y219" s="189"/>
      <c r="Z219" s="184"/>
      <c r="AA219" s="184"/>
      <c r="AB219" s="184"/>
      <c r="AC219" s="8"/>
      <c r="AD219" s="66"/>
      <c r="AE219" s="66"/>
      <c r="AF219" s="66"/>
      <c r="AG219" s="190"/>
      <c r="AH219" s="191"/>
      <c r="AI219" s="190"/>
      <c r="AJ219" s="190"/>
      <c r="AK219" s="66"/>
      <c r="AL219" s="66"/>
      <c r="AM219" s="66"/>
      <c r="AN219" s="66"/>
      <c r="AO219" s="66"/>
      <c r="AP219" s="66"/>
      <c r="AQ219" s="66"/>
      <c r="AR219" s="66"/>
      <c r="AS219" s="66"/>
      <c r="AT219" s="66"/>
    </row>
    <row r="220">
      <c r="A220" s="8"/>
      <c r="B220" s="66"/>
      <c r="C220" s="66"/>
      <c r="D220" s="66"/>
      <c r="E220" s="8"/>
      <c r="F220" s="66"/>
      <c r="G220" s="66"/>
      <c r="H220" s="66"/>
      <c r="I220" s="8"/>
      <c r="J220" s="66"/>
      <c r="K220" s="66"/>
      <c r="L220" s="66"/>
      <c r="M220" s="8"/>
      <c r="N220" s="66"/>
      <c r="O220" s="66"/>
      <c r="P220" s="66"/>
      <c r="Q220" s="8"/>
      <c r="R220" s="66"/>
      <c r="S220" s="66"/>
      <c r="T220" s="66"/>
      <c r="U220" s="8"/>
      <c r="V220" s="66"/>
      <c r="W220" s="66"/>
      <c r="X220" s="66"/>
      <c r="Y220" s="189"/>
      <c r="Z220" s="184"/>
      <c r="AA220" s="184"/>
      <c r="AB220" s="184"/>
      <c r="AC220" s="8"/>
      <c r="AD220" s="66"/>
      <c r="AE220" s="66"/>
      <c r="AF220" s="66"/>
      <c r="AG220" s="190"/>
      <c r="AH220" s="191"/>
      <c r="AI220" s="190"/>
      <c r="AJ220" s="190"/>
      <c r="AK220" s="66"/>
      <c r="AL220" s="66"/>
      <c r="AM220" s="66"/>
      <c r="AN220" s="66"/>
      <c r="AO220" s="66"/>
      <c r="AP220" s="66"/>
      <c r="AQ220" s="66"/>
      <c r="AR220" s="66"/>
      <c r="AS220" s="66"/>
      <c r="AT220" s="66"/>
    </row>
    <row r="221">
      <c r="A221" s="8"/>
      <c r="B221" s="66"/>
      <c r="C221" s="66"/>
      <c r="D221" s="66"/>
      <c r="E221" s="8"/>
      <c r="F221" s="66"/>
      <c r="G221" s="66"/>
      <c r="H221" s="66"/>
      <c r="I221" s="8"/>
      <c r="J221" s="66"/>
      <c r="K221" s="66"/>
      <c r="L221" s="66"/>
      <c r="M221" s="8"/>
      <c r="N221" s="66"/>
      <c r="O221" s="66"/>
      <c r="P221" s="66"/>
      <c r="Q221" s="8"/>
      <c r="R221" s="66"/>
      <c r="S221" s="66"/>
      <c r="T221" s="66"/>
      <c r="U221" s="8"/>
      <c r="V221" s="66"/>
      <c r="W221" s="66"/>
      <c r="X221" s="66"/>
      <c r="Y221" s="189"/>
      <c r="Z221" s="184"/>
      <c r="AA221" s="184"/>
      <c r="AB221" s="184"/>
      <c r="AC221" s="8"/>
      <c r="AD221" s="66"/>
      <c r="AE221" s="66"/>
      <c r="AF221" s="66"/>
      <c r="AG221" s="190"/>
      <c r="AH221" s="191"/>
      <c r="AI221" s="190"/>
      <c r="AJ221" s="190"/>
      <c r="AK221" s="66"/>
      <c r="AL221" s="66"/>
      <c r="AM221" s="66"/>
      <c r="AN221" s="66"/>
      <c r="AO221" s="66"/>
      <c r="AP221" s="66"/>
      <c r="AQ221" s="66"/>
      <c r="AR221" s="66"/>
      <c r="AS221" s="66"/>
      <c r="AT221" s="66"/>
    </row>
    <row r="222">
      <c r="A222" s="8"/>
      <c r="B222" s="66"/>
      <c r="C222" s="66"/>
      <c r="D222" s="66"/>
      <c r="E222" s="8"/>
      <c r="F222" s="66"/>
      <c r="G222" s="66"/>
      <c r="H222" s="66"/>
      <c r="I222" s="8"/>
      <c r="J222" s="66"/>
      <c r="K222" s="66"/>
      <c r="L222" s="66"/>
      <c r="M222" s="8"/>
      <c r="N222" s="66"/>
      <c r="O222" s="66"/>
      <c r="P222" s="66"/>
      <c r="Q222" s="8"/>
      <c r="R222" s="66"/>
      <c r="S222" s="66"/>
      <c r="T222" s="66"/>
      <c r="U222" s="8"/>
      <c r="V222" s="66"/>
      <c r="W222" s="66"/>
      <c r="X222" s="66"/>
      <c r="Y222" s="189"/>
      <c r="Z222" s="184"/>
      <c r="AA222" s="184"/>
      <c r="AB222" s="184"/>
      <c r="AC222" s="8"/>
      <c r="AD222" s="66"/>
      <c r="AE222" s="66"/>
      <c r="AF222" s="66"/>
      <c r="AG222" s="190"/>
      <c r="AH222" s="191"/>
      <c r="AI222" s="190"/>
      <c r="AJ222" s="190"/>
      <c r="AK222" s="66"/>
      <c r="AL222" s="66"/>
      <c r="AM222" s="66"/>
      <c r="AN222" s="66"/>
      <c r="AO222" s="66"/>
      <c r="AP222" s="66"/>
      <c r="AQ222" s="66"/>
      <c r="AR222" s="66"/>
      <c r="AS222" s="66"/>
      <c r="AT222" s="66"/>
    </row>
    <row r="223">
      <c r="A223" s="8"/>
      <c r="B223" s="66"/>
      <c r="C223" s="66"/>
      <c r="D223" s="66"/>
      <c r="E223" s="8"/>
      <c r="F223" s="66"/>
      <c r="G223" s="66"/>
      <c r="H223" s="66"/>
      <c r="I223" s="8"/>
      <c r="J223" s="66"/>
      <c r="K223" s="66"/>
      <c r="L223" s="66"/>
      <c r="M223" s="8"/>
      <c r="N223" s="66"/>
      <c r="O223" s="66"/>
      <c r="P223" s="66"/>
      <c r="Q223" s="8"/>
      <c r="R223" s="66"/>
      <c r="S223" s="66"/>
      <c r="T223" s="66"/>
      <c r="U223" s="8"/>
      <c r="V223" s="66"/>
      <c r="W223" s="66"/>
      <c r="X223" s="66"/>
      <c r="Y223" s="189"/>
      <c r="Z223" s="184"/>
      <c r="AA223" s="184"/>
      <c r="AB223" s="184"/>
      <c r="AC223" s="8"/>
      <c r="AD223" s="66"/>
      <c r="AE223" s="66"/>
      <c r="AF223" s="66"/>
      <c r="AG223" s="190"/>
      <c r="AH223" s="191"/>
      <c r="AI223" s="190"/>
      <c r="AJ223" s="190"/>
      <c r="AK223" s="66"/>
      <c r="AL223" s="66"/>
      <c r="AM223" s="66"/>
      <c r="AN223" s="66"/>
      <c r="AO223" s="66"/>
      <c r="AP223" s="66"/>
      <c r="AQ223" s="66"/>
      <c r="AR223" s="66"/>
      <c r="AS223" s="66"/>
      <c r="AT223" s="66"/>
    </row>
    <row r="224">
      <c r="A224" s="8"/>
      <c r="B224" s="66"/>
      <c r="C224" s="66"/>
      <c r="D224" s="66"/>
      <c r="E224" s="8"/>
      <c r="F224" s="66"/>
      <c r="G224" s="66"/>
      <c r="H224" s="66"/>
      <c r="I224" s="8"/>
      <c r="J224" s="66"/>
      <c r="K224" s="66"/>
      <c r="L224" s="66"/>
      <c r="M224" s="8"/>
      <c r="N224" s="66"/>
      <c r="O224" s="66"/>
      <c r="P224" s="66"/>
      <c r="Q224" s="8"/>
      <c r="R224" s="66"/>
      <c r="S224" s="66"/>
      <c r="T224" s="66"/>
      <c r="U224" s="8"/>
      <c r="V224" s="66"/>
      <c r="W224" s="66"/>
      <c r="X224" s="66"/>
      <c r="Y224" s="189"/>
      <c r="Z224" s="184"/>
      <c r="AA224" s="184"/>
      <c r="AB224" s="184"/>
      <c r="AC224" s="8"/>
      <c r="AD224" s="66"/>
      <c r="AE224" s="66"/>
      <c r="AF224" s="66"/>
      <c r="AG224" s="190"/>
      <c r="AH224" s="191"/>
      <c r="AI224" s="190"/>
      <c r="AJ224" s="190"/>
      <c r="AK224" s="66"/>
      <c r="AL224" s="66"/>
      <c r="AM224" s="66"/>
      <c r="AN224" s="66"/>
      <c r="AO224" s="66"/>
      <c r="AP224" s="66"/>
      <c r="AQ224" s="66"/>
      <c r="AR224" s="66"/>
      <c r="AS224" s="66"/>
      <c r="AT224" s="66"/>
    </row>
    <row r="225">
      <c r="A225" s="8"/>
      <c r="B225" s="66"/>
      <c r="C225" s="66"/>
      <c r="D225" s="66"/>
      <c r="E225" s="8"/>
      <c r="F225" s="66"/>
      <c r="G225" s="66"/>
      <c r="H225" s="66"/>
      <c r="I225" s="8"/>
      <c r="J225" s="66"/>
      <c r="K225" s="66"/>
      <c r="L225" s="66"/>
      <c r="M225" s="8"/>
      <c r="N225" s="66"/>
      <c r="O225" s="66"/>
      <c r="P225" s="66"/>
      <c r="Q225" s="8"/>
      <c r="R225" s="66"/>
      <c r="S225" s="66"/>
      <c r="T225" s="66"/>
      <c r="U225" s="8"/>
      <c r="V225" s="66"/>
      <c r="W225" s="66"/>
      <c r="X225" s="66"/>
      <c r="Y225" s="189"/>
      <c r="Z225" s="184"/>
      <c r="AA225" s="184"/>
      <c r="AB225" s="184"/>
      <c r="AC225" s="8"/>
      <c r="AD225" s="66"/>
      <c r="AE225" s="66"/>
      <c r="AF225" s="66"/>
      <c r="AG225" s="190"/>
      <c r="AH225" s="191"/>
      <c r="AI225" s="190"/>
      <c r="AJ225" s="190"/>
      <c r="AK225" s="66"/>
      <c r="AL225" s="66"/>
      <c r="AM225" s="66"/>
      <c r="AN225" s="66"/>
      <c r="AO225" s="66"/>
      <c r="AP225" s="66"/>
      <c r="AQ225" s="66"/>
      <c r="AR225" s="66"/>
      <c r="AS225" s="66"/>
      <c r="AT225" s="66"/>
    </row>
    <row r="226">
      <c r="A226" s="8"/>
      <c r="B226" s="66"/>
      <c r="C226" s="66"/>
      <c r="D226" s="66"/>
      <c r="E226" s="8"/>
      <c r="F226" s="66"/>
      <c r="G226" s="66"/>
      <c r="H226" s="66"/>
      <c r="I226" s="8"/>
      <c r="J226" s="66"/>
      <c r="K226" s="66"/>
      <c r="L226" s="66"/>
      <c r="M226" s="8"/>
      <c r="N226" s="66"/>
      <c r="O226" s="66"/>
      <c r="P226" s="66"/>
      <c r="Q226" s="8"/>
      <c r="R226" s="66"/>
      <c r="S226" s="66"/>
      <c r="T226" s="66"/>
      <c r="U226" s="8"/>
      <c r="V226" s="66"/>
      <c r="W226" s="66"/>
      <c r="X226" s="66"/>
      <c r="Y226" s="189"/>
      <c r="Z226" s="184"/>
      <c r="AA226" s="184"/>
      <c r="AB226" s="184"/>
      <c r="AC226" s="8"/>
      <c r="AD226" s="66"/>
      <c r="AE226" s="66"/>
      <c r="AF226" s="66"/>
      <c r="AG226" s="190"/>
      <c r="AH226" s="191"/>
      <c r="AI226" s="190"/>
      <c r="AJ226" s="190"/>
      <c r="AK226" s="66"/>
      <c r="AL226" s="66"/>
      <c r="AM226" s="66"/>
      <c r="AN226" s="66"/>
      <c r="AO226" s="66"/>
      <c r="AP226" s="66"/>
      <c r="AQ226" s="66"/>
      <c r="AR226" s="66"/>
      <c r="AS226" s="66"/>
      <c r="AT226" s="66"/>
    </row>
    <row r="227">
      <c r="A227" s="8"/>
      <c r="B227" s="66"/>
      <c r="C227" s="66"/>
      <c r="D227" s="66"/>
      <c r="E227" s="8"/>
      <c r="F227" s="66"/>
      <c r="G227" s="66"/>
      <c r="H227" s="66"/>
      <c r="I227" s="8"/>
      <c r="J227" s="66"/>
      <c r="K227" s="66"/>
      <c r="L227" s="66"/>
      <c r="M227" s="8"/>
      <c r="N227" s="66"/>
      <c r="O227" s="66"/>
      <c r="P227" s="66"/>
      <c r="Q227" s="8"/>
      <c r="R227" s="66"/>
      <c r="S227" s="66"/>
      <c r="T227" s="66"/>
      <c r="U227" s="8"/>
      <c r="V227" s="66"/>
      <c r="W227" s="66"/>
      <c r="X227" s="66"/>
      <c r="Y227" s="189"/>
      <c r="Z227" s="184"/>
      <c r="AA227" s="184"/>
      <c r="AB227" s="184"/>
      <c r="AC227" s="8"/>
      <c r="AD227" s="66"/>
      <c r="AE227" s="66"/>
      <c r="AF227" s="66"/>
      <c r="AG227" s="190"/>
      <c r="AH227" s="191"/>
      <c r="AI227" s="190"/>
      <c r="AJ227" s="190"/>
      <c r="AK227" s="66"/>
      <c r="AL227" s="66"/>
      <c r="AM227" s="66"/>
      <c r="AN227" s="66"/>
      <c r="AO227" s="66"/>
      <c r="AP227" s="66"/>
      <c r="AQ227" s="66"/>
      <c r="AR227" s="66"/>
      <c r="AS227" s="66"/>
      <c r="AT227" s="66"/>
    </row>
    <row r="228">
      <c r="A228" s="8"/>
      <c r="B228" s="66"/>
      <c r="C228" s="66"/>
      <c r="D228" s="66"/>
      <c r="E228" s="8"/>
      <c r="F228" s="66"/>
      <c r="G228" s="66"/>
      <c r="H228" s="66"/>
      <c r="I228" s="8"/>
      <c r="J228" s="66"/>
      <c r="K228" s="66"/>
      <c r="L228" s="66"/>
      <c r="M228" s="8"/>
      <c r="N228" s="66"/>
      <c r="O228" s="66"/>
      <c r="P228" s="66"/>
      <c r="Q228" s="8"/>
      <c r="R228" s="66"/>
      <c r="S228" s="66"/>
      <c r="T228" s="66"/>
      <c r="U228" s="8"/>
      <c r="V228" s="66"/>
      <c r="W228" s="66"/>
      <c r="X228" s="66"/>
      <c r="Y228" s="189"/>
      <c r="Z228" s="184"/>
      <c r="AA228" s="184"/>
      <c r="AB228" s="184"/>
      <c r="AC228" s="8"/>
      <c r="AD228" s="66"/>
      <c r="AE228" s="66"/>
      <c r="AF228" s="66"/>
      <c r="AG228" s="190"/>
      <c r="AH228" s="191"/>
      <c r="AI228" s="190"/>
      <c r="AJ228" s="190"/>
      <c r="AK228" s="66"/>
      <c r="AL228" s="66"/>
      <c r="AM228" s="66"/>
      <c r="AN228" s="66"/>
      <c r="AO228" s="66"/>
      <c r="AP228" s="66"/>
      <c r="AQ228" s="66"/>
      <c r="AR228" s="66"/>
      <c r="AS228" s="66"/>
      <c r="AT228" s="66"/>
    </row>
    <row r="229">
      <c r="A229" s="8"/>
      <c r="B229" s="66"/>
      <c r="C229" s="66"/>
      <c r="D229" s="66"/>
      <c r="E229" s="8"/>
      <c r="F229" s="66"/>
      <c r="G229" s="66"/>
      <c r="H229" s="66"/>
      <c r="I229" s="8"/>
      <c r="J229" s="66"/>
      <c r="K229" s="66"/>
      <c r="L229" s="66"/>
      <c r="M229" s="8"/>
      <c r="N229" s="66"/>
      <c r="O229" s="66"/>
      <c r="P229" s="66"/>
      <c r="Q229" s="8"/>
      <c r="R229" s="66"/>
      <c r="S229" s="66"/>
      <c r="T229" s="66"/>
      <c r="U229" s="8"/>
      <c r="V229" s="66"/>
      <c r="W229" s="66"/>
      <c r="X229" s="66"/>
      <c r="Y229" s="189"/>
      <c r="Z229" s="184"/>
      <c r="AA229" s="184"/>
      <c r="AB229" s="184"/>
      <c r="AC229" s="8"/>
      <c r="AD229" s="66"/>
      <c r="AE229" s="66"/>
      <c r="AF229" s="66"/>
      <c r="AG229" s="190"/>
      <c r="AH229" s="191"/>
      <c r="AI229" s="190"/>
      <c r="AJ229" s="190"/>
      <c r="AK229" s="66"/>
      <c r="AL229" s="66"/>
      <c r="AM229" s="66"/>
      <c r="AN229" s="66"/>
      <c r="AO229" s="66"/>
      <c r="AP229" s="66"/>
      <c r="AQ229" s="66"/>
      <c r="AR229" s="66"/>
      <c r="AS229" s="66"/>
      <c r="AT229" s="66"/>
    </row>
    <row r="230">
      <c r="A230" s="8"/>
      <c r="B230" s="66"/>
      <c r="C230" s="66"/>
      <c r="D230" s="66"/>
      <c r="E230" s="8"/>
      <c r="F230" s="66"/>
      <c r="G230" s="66"/>
      <c r="H230" s="66"/>
      <c r="I230" s="8"/>
      <c r="J230" s="66"/>
      <c r="K230" s="66"/>
      <c r="L230" s="66"/>
      <c r="M230" s="8"/>
      <c r="N230" s="66"/>
      <c r="O230" s="66"/>
      <c r="P230" s="66"/>
      <c r="Q230" s="8"/>
      <c r="R230" s="66"/>
      <c r="S230" s="66"/>
      <c r="T230" s="66"/>
      <c r="U230" s="8"/>
      <c r="V230" s="66"/>
      <c r="W230" s="66"/>
      <c r="X230" s="66"/>
      <c r="Y230" s="189"/>
      <c r="Z230" s="184"/>
      <c r="AA230" s="184"/>
      <c r="AB230" s="184"/>
      <c r="AC230" s="8"/>
      <c r="AD230" s="66"/>
      <c r="AE230" s="66"/>
      <c r="AF230" s="66"/>
      <c r="AG230" s="190"/>
      <c r="AH230" s="191"/>
      <c r="AI230" s="190"/>
      <c r="AJ230" s="190"/>
      <c r="AK230" s="66"/>
      <c r="AL230" s="66"/>
      <c r="AM230" s="66"/>
      <c r="AN230" s="66"/>
      <c r="AO230" s="66"/>
      <c r="AP230" s="66"/>
      <c r="AQ230" s="66"/>
      <c r="AR230" s="66"/>
      <c r="AS230" s="66"/>
      <c r="AT230" s="66"/>
    </row>
    <row r="231">
      <c r="A231" s="8"/>
      <c r="B231" s="66"/>
      <c r="C231" s="66"/>
      <c r="D231" s="66"/>
      <c r="E231" s="8"/>
      <c r="F231" s="66"/>
      <c r="G231" s="66"/>
      <c r="H231" s="66"/>
      <c r="I231" s="8"/>
      <c r="J231" s="66"/>
      <c r="K231" s="66"/>
      <c r="L231" s="66"/>
      <c r="M231" s="8"/>
      <c r="N231" s="66"/>
      <c r="O231" s="66"/>
      <c r="P231" s="66"/>
      <c r="Q231" s="8"/>
      <c r="R231" s="66"/>
      <c r="S231" s="66"/>
      <c r="T231" s="66"/>
      <c r="U231" s="8"/>
      <c r="V231" s="66"/>
      <c r="W231" s="66"/>
      <c r="X231" s="66"/>
      <c r="Y231" s="189"/>
      <c r="Z231" s="184"/>
      <c r="AA231" s="184"/>
      <c r="AB231" s="184"/>
      <c r="AC231" s="8"/>
      <c r="AD231" s="66"/>
      <c r="AE231" s="66"/>
      <c r="AF231" s="66"/>
      <c r="AG231" s="190"/>
      <c r="AH231" s="191"/>
      <c r="AI231" s="190"/>
      <c r="AJ231" s="190"/>
      <c r="AK231" s="66"/>
      <c r="AL231" s="66"/>
      <c r="AM231" s="66"/>
      <c r="AN231" s="66"/>
      <c r="AO231" s="66"/>
      <c r="AP231" s="66"/>
      <c r="AQ231" s="66"/>
      <c r="AR231" s="66"/>
      <c r="AS231" s="66"/>
      <c r="AT231" s="66"/>
    </row>
    <row r="232">
      <c r="A232" s="8"/>
      <c r="B232" s="66"/>
      <c r="C232" s="66"/>
      <c r="D232" s="66"/>
      <c r="E232" s="8"/>
      <c r="F232" s="66"/>
      <c r="G232" s="66"/>
      <c r="H232" s="66"/>
      <c r="I232" s="8"/>
      <c r="J232" s="66"/>
      <c r="K232" s="66"/>
      <c r="L232" s="66"/>
      <c r="M232" s="8"/>
      <c r="N232" s="66"/>
      <c r="O232" s="66"/>
      <c r="P232" s="66"/>
      <c r="Q232" s="8"/>
      <c r="R232" s="66"/>
      <c r="S232" s="66"/>
      <c r="T232" s="66"/>
      <c r="U232" s="8"/>
      <c r="V232" s="66"/>
      <c r="W232" s="66"/>
      <c r="X232" s="66"/>
      <c r="Y232" s="189"/>
      <c r="Z232" s="184"/>
      <c r="AA232" s="184"/>
      <c r="AB232" s="184"/>
      <c r="AC232" s="8"/>
      <c r="AD232" s="66"/>
      <c r="AE232" s="66"/>
      <c r="AF232" s="66"/>
      <c r="AG232" s="190"/>
      <c r="AH232" s="191"/>
      <c r="AI232" s="190"/>
      <c r="AJ232" s="190"/>
      <c r="AK232" s="66"/>
      <c r="AL232" s="66"/>
      <c r="AM232" s="66"/>
      <c r="AN232" s="66"/>
      <c r="AO232" s="66"/>
      <c r="AP232" s="66"/>
      <c r="AQ232" s="66"/>
      <c r="AR232" s="66"/>
      <c r="AS232" s="66"/>
      <c r="AT232" s="66"/>
    </row>
    <row r="233">
      <c r="A233" s="8"/>
      <c r="B233" s="66"/>
      <c r="C233" s="66"/>
      <c r="D233" s="66"/>
      <c r="E233" s="8"/>
      <c r="F233" s="66"/>
      <c r="G233" s="66"/>
      <c r="H233" s="66"/>
      <c r="I233" s="8"/>
      <c r="J233" s="66"/>
      <c r="K233" s="66"/>
      <c r="L233" s="66"/>
      <c r="M233" s="8"/>
      <c r="N233" s="66"/>
      <c r="O233" s="66"/>
      <c r="P233" s="66"/>
      <c r="Q233" s="8"/>
      <c r="R233" s="66"/>
      <c r="S233" s="66"/>
      <c r="T233" s="66"/>
      <c r="U233" s="8"/>
      <c r="V233" s="66"/>
      <c r="W233" s="66"/>
      <c r="X233" s="66"/>
      <c r="Y233" s="189"/>
      <c r="Z233" s="184"/>
      <c r="AA233" s="184"/>
      <c r="AB233" s="184"/>
      <c r="AC233" s="8"/>
      <c r="AD233" s="66"/>
      <c r="AE233" s="66"/>
      <c r="AF233" s="66"/>
      <c r="AG233" s="190"/>
      <c r="AH233" s="191"/>
      <c r="AI233" s="190"/>
      <c r="AJ233" s="190"/>
      <c r="AK233" s="66"/>
      <c r="AL233" s="66"/>
      <c r="AM233" s="66"/>
      <c r="AN233" s="66"/>
      <c r="AO233" s="66"/>
      <c r="AP233" s="66"/>
      <c r="AQ233" s="66"/>
      <c r="AR233" s="66"/>
      <c r="AS233" s="66"/>
      <c r="AT233" s="66"/>
    </row>
    <row r="234">
      <c r="A234" s="8"/>
      <c r="B234" s="66"/>
      <c r="C234" s="66"/>
      <c r="D234" s="66"/>
      <c r="E234" s="8"/>
      <c r="F234" s="66"/>
      <c r="G234" s="66"/>
      <c r="H234" s="66"/>
      <c r="I234" s="8"/>
      <c r="J234" s="66"/>
      <c r="K234" s="66"/>
      <c r="L234" s="66"/>
      <c r="M234" s="8"/>
      <c r="N234" s="66"/>
      <c r="O234" s="66"/>
      <c r="P234" s="66"/>
      <c r="Q234" s="8"/>
      <c r="R234" s="66"/>
      <c r="S234" s="66"/>
      <c r="T234" s="66"/>
      <c r="U234" s="8"/>
      <c r="V234" s="66"/>
      <c r="W234" s="66"/>
      <c r="X234" s="66"/>
      <c r="Y234" s="189"/>
      <c r="Z234" s="184"/>
      <c r="AA234" s="184"/>
      <c r="AB234" s="184"/>
      <c r="AC234" s="8"/>
      <c r="AD234" s="66"/>
      <c r="AE234" s="66"/>
      <c r="AF234" s="66"/>
      <c r="AG234" s="190"/>
      <c r="AH234" s="191"/>
      <c r="AI234" s="190"/>
      <c r="AJ234" s="190"/>
      <c r="AK234" s="66"/>
      <c r="AL234" s="66"/>
      <c r="AM234" s="66"/>
      <c r="AN234" s="66"/>
      <c r="AO234" s="66"/>
      <c r="AP234" s="66"/>
      <c r="AQ234" s="66"/>
      <c r="AR234" s="66"/>
      <c r="AS234" s="66"/>
      <c r="AT234" s="66"/>
    </row>
    <row r="235">
      <c r="A235" s="8"/>
      <c r="B235" s="66"/>
      <c r="C235" s="66"/>
      <c r="D235" s="66"/>
      <c r="E235" s="8"/>
      <c r="F235" s="66"/>
      <c r="G235" s="66"/>
      <c r="H235" s="66"/>
      <c r="I235" s="8"/>
      <c r="J235" s="66"/>
      <c r="K235" s="66"/>
      <c r="L235" s="66"/>
      <c r="M235" s="8"/>
      <c r="N235" s="66"/>
      <c r="O235" s="66"/>
      <c r="P235" s="66"/>
      <c r="Q235" s="8"/>
      <c r="R235" s="66"/>
      <c r="S235" s="66"/>
      <c r="T235" s="66"/>
      <c r="U235" s="8"/>
      <c r="V235" s="66"/>
      <c r="W235" s="66"/>
      <c r="X235" s="66"/>
      <c r="Y235" s="189"/>
      <c r="Z235" s="184"/>
      <c r="AA235" s="184"/>
      <c r="AB235" s="184"/>
      <c r="AC235" s="8"/>
      <c r="AD235" s="66"/>
      <c r="AE235" s="66"/>
      <c r="AF235" s="66"/>
      <c r="AG235" s="190"/>
      <c r="AH235" s="191"/>
      <c r="AI235" s="190"/>
      <c r="AJ235" s="190"/>
      <c r="AK235" s="66"/>
      <c r="AL235" s="66"/>
      <c r="AM235" s="66"/>
      <c r="AN235" s="66"/>
      <c r="AO235" s="66"/>
      <c r="AP235" s="66"/>
      <c r="AQ235" s="66"/>
      <c r="AR235" s="66"/>
      <c r="AS235" s="66"/>
      <c r="AT235" s="66"/>
    </row>
    <row r="236">
      <c r="A236" s="8"/>
      <c r="B236" s="66"/>
      <c r="C236" s="66"/>
      <c r="D236" s="66"/>
      <c r="E236" s="8"/>
      <c r="F236" s="66"/>
      <c r="G236" s="66"/>
      <c r="H236" s="66"/>
      <c r="I236" s="8"/>
      <c r="J236" s="66"/>
      <c r="K236" s="66"/>
      <c r="L236" s="66"/>
      <c r="M236" s="8"/>
      <c r="N236" s="66"/>
      <c r="O236" s="66"/>
      <c r="P236" s="66"/>
      <c r="Q236" s="8"/>
      <c r="R236" s="66"/>
      <c r="S236" s="66"/>
      <c r="T236" s="66"/>
      <c r="U236" s="8"/>
      <c r="V236" s="66"/>
      <c r="W236" s="66"/>
      <c r="X236" s="66"/>
      <c r="Y236" s="189"/>
      <c r="Z236" s="184"/>
      <c r="AA236" s="184"/>
      <c r="AB236" s="184"/>
      <c r="AC236" s="8"/>
      <c r="AD236" s="66"/>
      <c r="AE236" s="66"/>
      <c r="AF236" s="66"/>
      <c r="AG236" s="190"/>
      <c r="AH236" s="191"/>
      <c r="AI236" s="190"/>
      <c r="AJ236" s="190"/>
      <c r="AK236" s="66"/>
      <c r="AL236" s="66"/>
      <c r="AM236" s="66"/>
      <c r="AN236" s="66"/>
      <c r="AO236" s="66"/>
      <c r="AP236" s="66"/>
      <c r="AQ236" s="66"/>
      <c r="AR236" s="66"/>
      <c r="AS236" s="66"/>
      <c r="AT236" s="66"/>
    </row>
    <row r="237">
      <c r="A237" s="8"/>
      <c r="B237" s="66"/>
      <c r="C237" s="66"/>
      <c r="D237" s="66"/>
      <c r="E237" s="8"/>
      <c r="F237" s="66"/>
      <c r="G237" s="66"/>
      <c r="H237" s="66"/>
      <c r="I237" s="8"/>
      <c r="J237" s="66"/>
      <c r="K237" s="66"/>
      <c r="L237" s="66"/>
      <c r="M237" s="8"/>
      <c r="N237" s="66"/>
      <c r="O237" s="66"/>
      <c r="P237" s="66"/>
      <c r="Q237" s="8"/>
      <c r="R237" s="66"/>
      <c r="S237" s="66"/>
      <c r="T237" s="66"/>
      <c r="U237" s="8"/>
      <c r="V237" s="66"/>
      <c r="W237" s="66"/>
      <c r="X237" s="66"/>
      <c r="Y237" s="189"/>
      <c r="Z237" s="184"/>
      <c r="AA237" s="184"/>
      <c r="AB237" s="184"/>
      <c r="AC237" s="8"/>
      <c r="AD237" s="66"/>
      <c r="AE237" s="66"/>
      <c r="AF237" s="66"/>
      <c r="AG237" s="190"/>
      <c r="AH237" s="191"/>
      <c r="AI237" s="190"/>
      <c r="AJ237" s="190"/>
      <c r="AK237" s="66"/>
      <c r="AL237" s="66"/>
      <c r="AM237" s="66"/>
      <c r="AN237" s="66"/>
      <c r="AO237" s="66"/>
      <c r="AP237" s="66"/>
      <c r="AQ237" s="66"/>
      <c r="AR237" s="66"/>
      <c r="AS237" s="66"/>
      <c r="AT237" s="66"/>
    </row>
    <row r="238">
      <c r="A238" s="8"/>
      <c r="B238" s="66"/>
      <c r="C238" s="66"/>
      <c r="D238" s="66"/>
      <c r="E238" s="8"/>
      <c r="F238" s="66"/>
      <c r="G238" s="66"/>
      <c r="H238" s="66"/>
      <c r="I238" s="8"/>
      <c r="J238" s="66"/>
      <c r="K238" s="66"/>
      <c r="L238" s="66"/>
      <c r="M238" s="8"/>
      <c r="N238" s="66"/>
      <c r="O238" s="66"/>
      <c r="P238" s="66"/>
      <c r="Q238" s="8"/>
      <c r="R238" s="66"/>
      <c r="S238" s="66"/>
      <c r="T238" s="66"/>
      <c r="U238" s="8"/>
      <c r="V238" s="66"/>
      <c r="W238" s="66"/>
      <c r="X238" s="66"/>
      <c r="Y238" s="189"/>
      <c r="Z238" s="184"/>
      <c r="AA238" s="184"/>
      <c r="AB238" s="184"/>
      <c r="AC238" s="8"/>
      <c r="AD238" s="66"/>
      <c r="AE238" s="66"/>
      <c r="AF238" s="66"/>
      <c r="AG238" s="190"/>
      <c r="AH238" s="191"/>
      <c r="AI238" s="190"/>
      <c r="AJ238" s="190"/>
      <c r="AK238" s="66"/>
      <c r="AL238" s="66"/>
      <c r="AM238" s="66"/>
      <c r="AN238" s="66"/>
      <c r="AO238" s="66"/>
      <c r="AP238" s="66"/>
      <c r="AQ238" s="66"/>
      <c r="AR238" s="66"/>
      <c r="AS238" s="66"/>
      <c r="AT238" s="66"/>
    </row>
    <row r="239">
      <c r="A239" s="8"/>
      <c r="B239" s="66"/>
      <c r="C239" s="66"/>
      <c r="D239" s="66"/>
      <c r="E239" s="8"/>
      <c r="F239" s="66"/>
      <c r="G239" s="66"/>
      <c r="H239" s="66"/>
      <c r="I239" s="8"/>
      <c r="J239" s="66"/>
      <c r="K239" s="66"/>
      <c r="L239" s="66"/>
      <c r="M239" s="8"/>
      <c r="N239" s="66"/>
      <c r="O239" s="66"/>
      <c r="P239" s="66"/>
      <c r="Q239" s="8"/>
      <c r="R239" s="66"/>
      <c r="S239" s="66"/>
      <c r="T239" s="66"/>
      <c r="U239" s="8"/>
      <c r="V239" s="66"/>
      <c r="W239" s="66"/>
      <c r="X239" s="66"/>
      <c r="Y239" s="189"/>
      <c r="Z239" s="184"/>
      <c r="AA239" s="184"/>
      <c r="AB239" s="184"/>
      <c r="AC239" s="8"/>
      <c r="AD239" s="66"/>
      <c r="AE239" s="66"/>
      <c r="AF239" s="66"/>
      <c r="AG239" s="190"/>
      <c r="AH239" s="191"/>
      <c r="AI239" s="190"/>
      <c r="AJ239" s="190"/>
      <c r="AK239" s="66"/>
      <c r="AL239" s="66"/>
      <c r="AM239" s="66"/>
      <c r="AN239" s="66"/>
      <c r="AO239" s="66"/>
      <c r="AP239" s="66"/>
      <c r="AQ239" s="66"/>
      <c r="AR239" s="66"/>
      <c r="AS239" s="66"/>
      <c r="AT239" s="66"/>
    </row>
    <row r="240">
      <c r="A240" s="8"/>
      <c r="B240" s="66"/>
      <c r="C240" s="66"/>
      <c r="D240" s="66"/>
      <c r="E240" s="8"/>
      <c r="F240" s="66"/>
      <c r="G240" s="66"/>
      <c r="H240" s="66"/>
      <c r="I240" s="8"/>
      <c r="J240" s="66"/>
      <c r="K240" s="66"/>
      <c r="L240" s="66"/>
      <c r="M240" s="8"/>
      <c r="N240" s="66"/>
      <c r="O240" s="66"/>
      <c r="P240" s="66"/>
      <c r="Q240" s="8"/>
      <c r="R240" s="66"/>
      <c r="S240" s="66"/>
      <c r="T240" s="66"/>
      <c r="U240" s="8"/>
      <c r="V240" s="66"/>
      <c r="W240" s="66"/>
      <c r="X240" s="66"/>
      <c r="Y240" s="189"/>
      <c r="Z240" s="184"/>
      <c r="AA240" s="184"/>
      <c r="AB240" s="184"/>
      <c r="AC240" s="8"/>
      <c r="AD240" s="66"/>
      <c r="AE240" s="66"/>
      <c r="AF240" s="66"/>
      <c r="AG240" s="190"/>
      <c r="AH240" s="191"/>
      <c r="AI240" s="190"/>
      <c r="AJ240" s="190"/>
      <c r="AK240" s="66"/>
      <c r="AL240" s="66"/>
      <c r="AM240" s="66"/>
      <c r="AN240" s="66"/>
      <c r="AO240" s="66"/>
      <c r="AP240" s="66"/>
      <c r="AQ240" s="66"/>
      <c r="AR240" s="66"/>
      <c r="AS240" s="66"/>
      <c r="AT240" s="66"/>
    </row>
    <row r="241">
      <c r="A241" s="8"/>
      <c r="B241" s="66"/>
      <c r="C241" s="66"/>
      <c r="D241" s="66"/>
      <c r="E241" s="8"/>
      <c r="F241" s="66"/>
      <c r="G241" s="66"/>
      <c r="H241" s="66"/>
      <c r="I241" s="8"/>
      <c r="J241" s="66"/>
      <c r="K241" s="66"/>
      <c r="L241" s="66"/>
      <c r="M241" s="8"/>
      <c r="N241" s="66"/>
      <c r="O241" s="66"/>
      <c r="P241" s="66"/>
      <c r="Q241" s="8"/>
      <c r="R241" s="66"/>
      <c r="S241" s="66"/>
      <c r="T241" s="66"/>
      <c r="U241" s="8"/>
      <c r="V241" s="66"/>
      <c r="W241" s="66"/>
      <c r="X241" s="66"/>
      <c r="Y241" s="189"/>
      <c r="Z241" s="184"/>
      <c r="AA241" s="184"/>
      <c r="AB241" s="184"/>
      <c r="AC241" s="8"/>
      <c r="AD241" s="66"/>
      <c r="AE241" s="66"/>
      <c r="AF241" s="66"/>
      <c r="AG241" s="190"/>
      <c r="AH241" s="191"/>
      <c r="AI241" s="190"/>
      <c r="AJ241" s="190"/>
      <c r="AK241" s="66"/>
      <c r="AL241" s="66"/>
      <c r="AM241" s="66"/>
      <c r="AN241" s="66"/>
      <c r="AO241" s="66"/>
      <c r="AP241" s="66"/>
      <c r="AQ241" s="66"/>
      <c r="AR241" s="66"/>
      <c r="AS241" s="66"/>
      <c r="AT241" s="66"/>
    </row>
    <row r="242">
      <c r="A242" s="8"/>
      <c r="B242" s="66"/>
      <c r="C242" s="66"/>
      <c r="D242" s="66"/>
      <c r="E242" s="8"/>
      <c r="F242" s="66"/>
      <c r="G242" s="66"/>
      <c r="H242" s="66"/>
      <c r="I242" s="8"/>
      <c r="J242" s="66"/>
      <c r="K242" s="66"/>
      <c r="L242" s="66"/>
      <c r="M242" s="8"/>
      <c r="N242" s="66"/>
      <c r="O242" s="66"/>
      <c r="P242" s="66"/>
      <c r="Q242" s="8"/>
      <c r="R242" s="66"/>
      <c r="S242" s="66"/>
      <c r="T242" s="66"/>
      <c r="U242" s="8"/>
      <c r="V242" s="66"/>
      <c r="W242" s="66"/>
      <c r="X242" s="66"/>
      <c r="Y242" s="189"/>
      <c r="Z242" s="184"/>
      <c r="AA242" s="184"/>
      <c r="AB242" s="184"/>
      <c r="AC242" s="8"/>
      <c r="AD242" s="66"/>
      <c r="AE242" s="66"/>
      <c r="AF242" s="66"/>
      <c r="AG242" s="190"/>
      <c r="AH242" s="191"/>
      <c r="AI242" s="190"/>
      <c r="AJ242" s="190"/>
      <c r="AK242" s="66"/>
      <c r="AL242" s="66"/>
      <c r="AM242" s="66"/>
      <c r="AN242" s="66"/>
      <c r="AO242" s="66"/>
      <c r="AP242" s="66"/>
      <c r="AQ242" s="66"/>
      <c r="AR242" s="66"/>
      <c r="AS242" s="66"/>
      <c r="AT242" s="66"/>
    </row>
    <row r="243">
      <c r="A243" s="8"/>
      <c r="B243" s="66"/>
      <c r="C243" s="66"/>
      <c r="D243" s="66"/>
      <c r="E243" s="8"/>
      <c r="F243" s="66"/>
      <c r="G243" s="66"/>
      <c r="H243" s="66"/>
      <c r="I243" s="8"/>
      <c r="J243" s="66"/>
      <c r="K243" s="66"/>
      <c r="L243" s="66"/>
      <c r="M243" s="8"/>
      <c r="N243" s="66"/>
      <c r="O243" s="66"/>
      <c r="P243" s="66"/>
      <c r="Q243" s="8"/>
      <c r="R243" s="66"/>
      <c r="S243" s="66"/>
      <c r="T243" s="66"/>
      <c r="U243" s="8"/>
      <c r="V243" s="66"/>
      <c r="W243" s="66"/>
      <c r="X243" s="66"/>
      <c r="Y243" s="189"/>
      <c r="Z243" s="184"/>
      <c r="AA243" s="184"/>
      <c r="AB243" s="184"/>
      <c r="AC243" s="8"/>
      <c r="AD243" s="66"/>
      <c r="AE243" s="66"/>
      <c r="AF243" s="66"/>
      <c r="AG243" s="190"/>
      <c r="AH243" s="191"/>
      <c r="AI243" s="190"/>
      <c r="AJ243" s="190"/>
      <c r="AK243" s="66"/>
      <c r="AL243" s="66"/>
      <c r="AM243" s="66"/>
      <c r="AN243" s="66"/>
      <c r="AO243" s="66"/>
      <c r="AP243" s="66"/>
      <c r="AQ243" s="66"/>
      <c r="AR243" s="66"/>
      <c r="AS243" s="66"/>
      <c r="AT243" s="66"/>
    </row>
    <row r="244">
      <c r="A244" s="8"/>
      <c r="B244" s="66"/>
      <c r="C244" s="66"/>
      <c r="D244" s="66"/>
      <c r="E244" s="8"/>
      <c r="F244" s="66"/>
      <c r="G244" s="66"/>
      <c r="H244" s="66"/>
      <c r="I244" s="8"/>
      <c r="J244" s="66"/>
      <c r="K244" s="66"/>
      <c r="L244" s="66"/>
      <c r="M244" s="8"/>
      <c r="N244" s="66"/>
      <c r="O244" s="66"/>
      <c r="P244" s="66"/>
      <c r="Q244" s="8"/>
      <c r="R244" s="66"/>
      <c r="S244" s="66"/>
      <c r="T244" s="66"/>
      <c r="U244" s="8"/>
      <c r="V244" s="66"/>
      <c r="W244" s="66"/>
      <c r="X244" s="66"/>
      <c r="Y244" s="189"/>
      <c r="Z244" s="184"/>
      <c r="AA244" s="184"/>
      <c r="AB244" s="184"/>
      <c r="AC244" s="8"/>
      <c r="AD244" s="66"/>
      <c r="AE244" s="66"/>
      <c r="AF244" s="66"/>
      <c r="AG244" s="190"/>
      <c r="AH244" s="191"/>
      <c r="AI244" s="190"/>
      <c r="AJ244" s="190"/>
      <c r="AK244" s="66"/>
      <c r="AL244" s="66"/>
      <c r="AM244" s="66"/>
      <c r="AN244" s="66"/>
      <c r="AO244" s="66"/>
      <c r="AP244" s="66"/>
      <c r="AQ244" s="66"/>
      <c r="AR244" s="66"/>
      <c r="AS244" s="66"/>
      <c r="AT244" s="66"/>
    </row>
    <row r="245">
      <c r="A245" s="8"/>
      <c r="B245" s="66"/>
      <c r="C245" s="66"/>
      <c r="D245" s="66"/>
      <c r="E245" s="8"/>
      <c r="F245" s="66"/>
      <c r="G245" s="66"/>
      <c r="H245" s="66"/>
      <c r="I245" s="8"/>
      <c r="J245" s="66"/>
      <c r="K245" s="66"/>
      <c r="L245" s="66"/>
      <c r="M245" s="8"/>
      <c r="N245" s="66"/>
      <c r="O245" s="66"/>
      <c r="P245" s="66"/>
      <c r="Q245" s="8"/>
      <c r="R245" s="66"/>
      <c r="S245" s="66"/>
      <c r="T245" s="66"/>
      <c r="U245" s="8"/>
      <c r="V245" s="66"/>
      <c r="W245" s="66"/>
      <c r="X245" s="66"/>
      <c r="Y245" s="189"/>
      <c r="Z245" s="184"/>
      <c r="AA245" s="184"/>
      <c r="AB245" s="184"/>
      <c r="AC245" s="8"/>
      <c r="AD245" s="66"/>
      <c r="AE245" s="66"/>
      <c r="AF245" s="66"/>
      <c r="AG245" s="190"/>
      <c r="AH245" s="191"/>
      <c r="AI245" s="190"/>
      <c r="AJ245" s="190"/>
      <c r="AK245" s="66"/>
      <c r="AL245" s="66"/>
      <c r="AM245" s="66"/>
      <c r="AN245" s="66"/>
      <c r="AO245" s="66"/>
      <c r="AP245" s="66"/>
      <c r="AQ245" s="66"/>
      <c r="AR245" s="66"/>
      <c r="AS245" s="66"/>
      <c r="AT245" s="66"/>
    </row>
    <row r="246">
      <c r="A246" s="8"/>
      <c r="B246" s="66"/>
      <c r="C246" s="66"/>
      <c r="D246" s="66"/>
      <c r="E246" s="8"/>
      <c r="F246" s="66"/>
      <c r="G246" s="66"/>
      <c r="H246" s="66"/>
      <c r="I246" s="8"/>
      <c r="J246" s="66"/>
      <c r="K246" s="66"/>
      <c r="L246" s="66"/>
      <c r="M246" s="8"/>
      <c r="N246" s="66"/>
      <c r="O246" s="66"/>
      <c r="P246" s="66"/>
      <c r="Q246" s="8"/>
      <c r="R246" s="66"/>
      <c r="S246" s="66"/>
      <c r="T246" s="66"/>
      <c r="U246" s="8"/>
      <c r="V246" s="66"/>
      <c r="W246" s="66"/>
      <c r="X246" s="66"/>
      <c r="Y246" s="189"/>
      <c r="Z246" s="184"/>
      <c r="AA246" s="184"/>
      <c r="AB246" s="184"/>
      <c r="AC246" s="8"/>
      <c r="AD246" s="66"/>
      <c r="AE246" s="66"/>
      <c r="AF246" s="66"/>
      <c r="AG246" s="190"/>
      <c r="AH246" s="191"/>
      <c r="AI246" s="190"/>
      <c r="AJ246" s="190"/>
      <c r="AK246" s="66"/>
      <c r="AL246" s="66"/>
      <c r="AM246" s="66"/>
      <c r="AN246" s="66"/>
      <c r="AO246" s="66"/>
      <c r="AP246" s="66"/>
      <c r="AQ246" s="66"/>
      <c r="AR246" s="66"/>
      <c r="AS246" s="66"/>
      <c r="AT246" s="66"/>
    </row>
    <row r="247">
      <c r="A247" s="8"/>
      <c r="B247" s="66"/>
      <c r="C247" s="66"/>
      <c r="D247" s="66"/>
      <c r="E247" s="8"/>
      <c r="F247" s="66"/>
      <c r="G247" s="66"/>
      <c r="H247" s="66"/>
      <c r="I247" s="8"/>
      <c r="J247" s="66"/>
      <c r="K247" s="66"/>
      <c r="L247" s="66"/>
      <c r="M247" s="8"/>
      <c r="N247" s="66"/>
      <c r="O247" s="66"/>
      <c r="P247" s="66"/>
      <c r="Q247" s="8"/>
      <c r="R247" s="66"/>
      <c r="S247" s="66"/>
      <c r="T247" s="66"/>
      <c r="U247" s="8"/>
      <c r="V247" s="66"/>
      <c r="W247" s="66"/>
      <c r="X247" s="66"/>
      <c r="Y247" s="189"/>
      <c r="Z247" s="184"/>
      <c r="AA247" s="184"/>
      <c r="AB247" s="184"/>
      <c r="AC247" s="8"/>
      <c r="AD247" s="66"/>
      <c r="AE247" s="66"/>
      <c r="AF247" s="66"/>
      <c r="AG247" s="190"/>
      <c r="AH247" s="191"/>
      <c r="AI247" s="190"/>
      <c r="AJ247" s="190"/>
      <c r="AK247" s="66"/>
      <c r="AL247" s="66"/>
      <c r="AM247" s="66"/>
      <c r="AN247" s="66"/>
      <c r="AO247" s="66"/>
      <c r="AP247" s="66"/>
      <c r="AQ247" s="66"/>
      <c r="AR247" s="66"/>
      <c r="AS247" s="66"/>
      <c r="AT247" s="66"/>
    </row>
    <row r="248">
      <c r="A248" s="8"/>
      <c r="B248" s="66"/>
      <c r="C248" s="66"/>
      <c r="D248" s="66"/>
      <c r="E248" s="8"/>
      <c r="F248" s="66"/>
      <c r="G248" s="66"/>
      <c r="H248" s="66"/>
      <c r="I248" s="8"/>
      <c r="J248" s="66"/>
      <c r="K248" s="66"/>
      <c r="L248" s="66"/>
      <c r="M248" s="8"/>
      <c r="N248" s="66"/>
      <c r="O248" s="66"/>
      <c r="P248" s="66"/>
      <c r="Q248" s="8"/>
      <c r="R248" s="66"/>
      <c r="S248" s="66"/>
      <c r="T248" s="66"/>
      <c r="U248" s="8"/>
      <c r="V248" s="66"/>
      <c r="W248" s="66"/>
      <c r="X248" s="66"/>
      <c r="Y248" s="189"/>
      <c r="Z248" s="184"/>
      <c r="AA248" s="184"/>
      <c r="AB248" s="184"/>
      <c r="AC248" s="8"/>
      <c r="AD248" s="66"/>
      <c r="AE248" s="66"/>
      <c r="AF248" s="66"/>
      <c r="AG248" s="190"/>
      <c r="AH248" s="191"/>
      <c r="AI248" s="190"/>
      <c r="AJ248" s="190"/>
      <c r="AK248" s="66"/>
      <c r="AL248" s="66"/>
      <c r="AM248" s="66"/>
      <c r="AN248" s="66"/>
      <c r="AO248" s="66"/>
      <c r="AP248" s="66"/>
      <c r="AQ248" s="66"/>
      <c r="AR248" s="66"/>
      <c r="AS248" s="66"/>
      <c r="AT248" s="66"/>
    </row>
    <row r="249">
      <c r="A249" s="8"/>
      <c r="B249" s="66"/>
      <c r="C249" s="66"/>
      <c r="D249" s="66"/>
      <c r="E249" s="8"/>
      <c r="F249" s="66"/>
      <c r="G249" s="66"/>
      <c r="H249" s="66"/>
      <c r="I249" s="8"/>
      <c r="J249" s="66"/>
      <c r="K249" s="66"/>
      <c r="L249" s="66"/>
      <c r="M249" s="8"/>
      <c r="N249" s="66"/>
      <c r="O249" s="66"/>
      <c r="P249" s="66"/>
      <c r="Q249" s="8"/>
      <c r="R249" s="66"/>
      <c r="S249" s="66"/>
      <c r="T249" s="66"/>
      <c r="U249" s="8"/>
      <c r="V249" s="66"/>
      <c r="W249" s="66"/>
      <c r="X249" s="66"/>
      <c r="Y249" s="189"/>
      <c r="Z249" s="184"/>
      <c r="AA249" s="184"/>
      <c r="AB249" s="184"/>
      <c r="AC249" s="8"/>
      <c r="AD249" s="66"/>
      <c r="AE249" s="66"/>
      <c r="AF249" s="66"/>
      <c r="AG249" s="190"/>
      <c r="AH249" s="191"/>
      <c r="AI249" s="190"/>
      <c r="AJ249" s="190"/>
      <c r="AK249" s="66"/>
      <c r="AL249" s="66"/>
      <c r="AM249" s="66"/>
      <c r="AN249" s="66"/>
      <c r="AO249" s="66"/>
      <c r="AP249" s="66"/>
      <c r="AQ249" s="66"/>
      <c r="AR249" s="66"/>
      <c r="AS249" s="66"/>
      <c r="AT249" s="66"/>
    </row>
    <row r="250">
      <c r="A250" s="8"/>
      <c r="B250" s="66"/>
      <c r="C250" s="66"/>
      <c r="D250" s="66"/>
      <c r="E250" s="8"/>
      <c r="F250" s="66"/>
      <c r="G250" s="66"/>
      <c r="H250" s="66"/>
      <c r="I250" s="8"/>
      <c r="J250" s="66"/>
      <c r="K250" s="66"/>
      <c r="L250" s="66"/>
      <c r="M250" s="8"/>
      <c r="N250" s="66"/>
      <c r="O250" s="66"/>
      <c r="P250" s="66"/>
      <c r="Q250" s="8"/>
      <c r="R250" s="66"/>
      <c r="S250" s="66"/>
      <c r="T250" s="66"/>
      <c r="U250" s="8"/>
      <c r="V250" s="66"/>
      <c r="W250" s="66"/>
      <c r="X250" s="66"/>
      <c r="Y250" s="189"/>
      <c r="Z250" s="184"/>
      <c r="AA250" s="184"/>
      <c r="AB250" s="184"/>
      <c r="AC250" s="8"/>
      <c r="AD250" s="66"/>
      <c r="AE250" s="66"/>
      <c r="AF250" s="66"/>
      <c r="AG250" s="190"/>
      <c r="AH250" s="191"/>
      <c r="AI250" s="190"/>
      <c r="AJ250" s="190"/>
      <c r="AK250" s="66"/>
      <c r="AL250" s="66"/>
      <c r="AM250" s="66"/>
      <c r="AN250" s="66"/>
      <c r="AO250" s="66"/>
      <c r="AP250" s="66"/>
      <c r="AQ250" s="66"/>
      <c r="AR250" s="66"/>
      <c r="AS250" s="66"/>
      <c r="AT250" s="66"/>
    </row>
    <row r="251">
      <c r="A251" s="8"/>
      <c r="B251" s="66"/>
      <c r="C251" s="66"/>
      <c r="D251" s="66"/>
      <c r="E251" s="8"/>
      <c r="F251" s="66"/>
      <c r="G251" s="66"/>
      <c r="H251" s="66"/>
      <c r="I251" s="8"/>
      <c r="J251" s="66"/>
      <c r="K251" s="66"/>
      <c r="L251" s="66"/>
      <c r="M251" s="8"/>
      <c r="N251" s="66"/>
      <c r="O251" s="66"/>
      <c r="P251" s="66"/>
      <c r="Q251" s="8"/>
      <c r="R251" s="66"/>
      <c r="S251" s="66"/>
      <c r="T251" s="66"/>
      <c r="U251" s="8"/>
      <c r="V251" s="66"/>
      <c r="W251" s="66"/>
      <c r="X251" s="66"/>
      <c r="Y251" s="189"/>
      <c r="Z251" s="184"/>
      <c r="AA251" s="184"/>
      <c r="AB251" s="184"/>
      <c r="AC251" s="8"/>
      <c r="AD251" s="66"/>
      <c r="AE251" s="66"/>
      <c r="AF251" s="66"/>
      <c r="AG251" s="190"/>
      <c r="AH251" s="191"/>
      <c r="AI251" s="190"/>
      <c r="AJ251" s="190"/>
      <c r="AK251" s="66"/>
      <c r="AL251" s="66"/>
      <c r="AM251" s="66"/>
      <c r="AN251" s="66"/>
      <c r="AO251" s="66"/>
      <c r="AP251" s="66"/>
      <c r="AQ251" s="66"/>
      <c r="AR251" s="66"/>
      <c r="AS251" s="66"/>
      <c r="AT251" s="66"/>
    </row>
    <row r="252">
      <c r="A252" s="8"/>
      <c r="B252" s="66"/>
      <c r="C252" s="66"/>
      <c r="D252" s="66"/>
      <c r="E252" s="8"/>
      <c r="F252" s="66"/>
      <c r="G252" s="66"/>
      <c r="H252" s="66"/>
      <c r="I252" s="8"/>
      <c r="J252" s="66"/>
      <c r="K252" s="66"/>
      <c r="L252" s="66"/>
      <c r="M252" s="8"/>
      <c r="N252" s="66"/>
      <c r="O252" s="66"/>
      <c r="P252" s="66"/>
      <c r="Q252" s="8"/>
      <c r="R252" s="66"/>
      <c r="S252" s="66"/>
      <c r="T252" s="66"/>
      <c r="U252" s="8"/>
      <c r="V252" s="66"/>
      <c r="W252" s="66"/>
      <c r="X252" s="66"/>
      <c r="Y252" s="189"/>
      <c r="Z252" s="184"/>
      <c r="AA252" s="184"/>
      <c r="AB252" s="184"/>
      <c r="AC252" s="8"/>
      <c r="AD252" s="66"/>
      <c r="AE252" s="66"/>
      <c r="AF252" s="66"/>
      <c r="AG252" s="190"/>
      <c r="AH252" s="191"/>
      <c r="AI252" s="190"/>
      <c r="AJ252" s="190"/>
      <c r="AK252" s="66"/>
      <c r="AL252" s="66"/>
      <c r="AM252" s="66"/>
      <c r="AN252" s="66"/>
      <c r="AO252" s="66"/>
      <c r="AP252" s="66"/>
      <c r="AQ252" s="66"/>
      <c r="AR252" s="66"/>
      <c r="AS252" s="66"/>
      <c r="AT252" s="66"/>
    </row>
    <row r="253">
      <c r="A253" s="8"/>
      <c r="B253" s="66"/>
      <c r="C253" s="66"/>
      <c r="D253" s="66"/>
      <c r="E253" s="8"/>
      <c r="F253" s="66"/>
      <c r="G253" s="66"/>
      <c r="H253" s="66"/>
      <c r="I253" s="8"/>
      <c r="J253" s="66"/>
      <c r="K253" s="66"/>
      <c r="L253" s="66"/>
      <c r="M253" s="8"/>
      <c r="N253" s="66"/>
      <c r="O253" s="66"/>
      <c r="P253" s="66"/>
      <c r="Q253" s="8"/>
      <c r="R253" s="66"/>
      <c r="S253" s="66"/>
      <c r="T253" s="66"/>
      <c r="U253" s="8"/>
      <c r="V253" s="66"/>
      <c r="W253" s="66"/>
      <c r="X253" s="66"/>
      <c r="Y253" s="189"/>
      <c r="Z253" s="184"/>
      <c r="AA253" s="184"/>
      <c r="AB253" s="184"/>
      <c r="AC253" s="8"/>
      <c r="AD253" s="66"/>
      <c r="AE253" s="66"/>
      <c r="AF253" s="66"/>
      <c r="AG253" s="190"/>
      <c r="AH253" s="191"/>
      <c r="AI253" s="190"/>
      <c r="AJ253" s="190"/>
      <c r="AK253" s="66"/>
      <c r="AL253" s="66"/>
      <c r="AM253" s="66"/>
      <c r="AN253" s="66"/>
      <c r="AO253" s="66"/>
      <c r="AP253" s="66"/>
      <c r="AQ253" s="66"/>
      <c r="AR253" s="66"/>
      <c r="AS253" s="66"/>
      <c r="AT253" s="66"/>
    </row>
    <row r="254">
      <c r="A254" s="8"/>
      <c r="B254" s="66"/>
      <c r="C254" s="66"/>
      <c r="D254" s="66"/>
      <c r="E254" s="8"/>
      <c r="F254" s="66"/>
      <c r="G254" s="66"/>
      <c r="H254" s="66"/>
      <c r="I254" s="8"/>
      <c r="J254" s="66"/>
      <c r="K254" s="66"/>
      <c r="L254" s="66"/>
      <c r="M254" s="8"/>
      <c r="N254" s="66"/>
      <c r="O254" s="66"/>
      <c r="P254" s="66"/>
      <c r="Q254" s="8"/>
      <c r="R254" s="66"/>
      <c r="S254" s="66"/>
      <c r="T254" s="66"/>
      <c r="U254" s="8"/>
      <c r="V254" s="66"/>
      <c r="W254" s="66"/>
      <c r="X254" s="66"/>
      <c r="Y254" s="189"/>
      <c r="Z254" s="184"/>
      <c r="AA254" s="184"/>
      <c r="AB254" s="184"/>
      <c r="AC254" s="8"/>
      <c r="AD254" s="66"/>
      <c r="AE254" s="66"/>
      <c r="AF254" s="66"/>
      <c r="AG254" s="190"/>
      <c r="AH254" s="191"/>
      <c r="AI254" s="190"/>
      <c r="AJ254" s="190"/>
      <c r="AK254" s="66"/>
      <c r="AL254" s="66"/>
      <c r="AM254" s="66"/>
      <c r="AN254" s="66"/>
      <c r="AO254" s="66"/>
      <c r="AP254" s="66"/>
      <c r="AQ254" s="66"/>
      <c r="AR254" s="66"/>
      <c r="AS254" s="66"/>
      <c r="AT254" s="66"/>
    </row>
    <row r="255">
      <c r="A255" s="8"/>
      <c r="B255" s="66"/>
      <c r="C255" s="66"/>
      <c r="D255" s="66"/>
      <c r="E255" s="8"/>
      <c r="F255" s="66"/>
      <c r="G255" s="66"/>
      <c r="H255" s="66"/>
      <c r="I255" s="8"/>
      <c r="J255" s="66"/>
      <c r="K255" s="66"/>
      <c r="L255" s="66"/>
      <c r="M255" s="8"/>
      <c r="N255" s="66"/>
      <c r="O255" s="66"/>
      <c r="P255" s="66"/>
      <c r="Q255" s="8"/>
      <c r="R255" s="66"/>
      <c r="S255" s="66"/>
      <c r="T255" s="66"/>
      <c r="U255" s="8"/>
      <c r="V255" s="66"/>
      <c r="W255" s="66"/>
      <c r="X255" s="66"/>
      <c r="Y255" s="189"/>
      <c r="Z255" s="184"/>
      <c r="AA255" s="184"/>
      <c r="AB255" s="184"/>
      <c r="AC255" s="8"/>
      <c r="AD255" s="66"/>
      <c r="AE255" s="66"/>
      <c r="AF255" s="66"/>
      <c r="AG255" s="190"/>
      <c r="AH255" s="191"/>
      <c r="AI255" s="190"/>
      <c r="AJ255" s="190"/>
      <c r="AK255" s="66"/>
      <c r="AL255" s="66"/>
      <c r="AM255" s="66"/>
      <c r="AN255" s="66"/>
      <c r="AO255" s="66"/>
      <c r="AP255" s="66"/>
      <c r="AQ255" s="66"/>
      <c r="AR255" s="66"/>
      <c r="AS255" s="66"/>
      <c r="AT255" s="66"/>
    </row>
    <row r="256">
      <c r="A256" s="8"/>
      <c r="B256" s="66"/>
      <c r="C256" s="66"/>
      <c r="D256" s="66"/>
      <c r="E256" s="8"/>
      <c r="F256" s="66"/>
      <c r="G256" s="66"/>
      <c r="H256" s="66"/>
      <c r="I256" s="8"/>
      <c r="J256" s="66"/>
      <c r="K256" s="66"/>
      <c r="L256" s="66"/>
      <c r="M256" s="8"/>
      <c r="N256" s="66"/>
      <c r="O256" s="66"/>
      <c r="P256" s="66"/>
      <c r="Q256" s="8"/>
      <c r="R256" s="66"/>
      <c r="S256" s="66"/>
      <c r="T256" s="66"/>
      <c r="U256" s="8"/>
      <c r="V256" s="66"/>
      <c r="W256" s="66"/>
      <c r="X256" s="66"/>
      <c r="Y256" s="189"/>
      <c r="Z256" s="184"/>
      <c r="AA256" s="184"/>
      <c r="AB256" s="184"/>
      <c r="AC256" s="8"/>
      <c r="AD256" s="66"/>
      <c r="AE256" s="66"/>
      <c r="AF256" s="66"/>
      <c r="AG256" s="190"/>
      <c r="AH256" s="191"/>
      <c r="AI256" s="190"/>
      <c r="AJ256" s="190"/>
      <c r="AK256" s="66"/>
      <c r="AL256" s="66"/>
      <c r="AM256" s="66"/>
      <c r="AN256" s="66"/>
      <c r="AO256" s="66"/>
      <c r="AP256" s="66"/>
      <c r="AQ256" s="66"/>
      <c r="AR256" s="66"/>
      <c r="AS256" s="66"/>
      <c r="AT256" s="66"/>
    </row>
    <row r="257">
      <c r="A257" s="8"/>
      <c r="B257" s="66"/>
      <c r="C257" s="66"/>
      <c r="D257" s="66"/>
      <c r="E257" s="8"/>
      <c r="F257" s="66"/>
      <c r="G257" s="66"/>
      <c r="H257" s="66"/>
      <c r="I257" s="8"/>
      <c r="J257" s="66"/>
      <c r="K257" s="66"/>
      <c r="L257" s="66"/>
      <c r="M257" s="8"/>
      <c r="N257" s="66"/>
      <c r="O257" s="66"/>
      <c r="P257" s="66"/>
      <c r="Q257" s="8"/>
      <c r="R257" s="66"/>
      <c r="S257" s="66"/>
      <c r="T257" s="66"/>
      <c r="U257" s="8"/>
      <c r="V257" s="66"/>
      <c r="W257" s="66"/>
      <c r="X257" s="66"/>
      <c r="Y257" s="189"/>
      <c r="Z257" s="184"/>
      <c r="AA257" s="184"/>
      <c r="AB257" s="184"/>
      <c r="AC257" s="8"/>
      <c r="AD257" s="66"/>
      <c r="AE257" s="66"/>
      <c r="AF257" s="66"/>
      <c r="AG257" s="190"/>
      <c r="AH257" s="191"/>
      <c r="AI257" s="190"/>
      <c r="AJ257" s="190"/>
      <c r="AK257" s="66"/>
      <c r="AL257" s="66"/>
      <c r="AM257" s="66"/>
      <c r="AN257" s="66"/>
      <c r="AO257" s="66"/>
      <c r="AP257" s="66"/>
      <c r="AQ257" s="66"/>
      <c r="AR257" s="66"/>
      <c r="AS257" s="66"/>
      <c r="AT257" s="66"/>
    </row>
    <row r="258">
      <c r="A258" s="8"/>
      <c r="B258" s="66"/>
      <c r="C258" s="66"/>
      <c r="D258" s="66"/>
      <c r="E258" s="8"/>
      <c r="F258" s="66"/>
      <c r="G258" s="66"/>
      <c r="H258" s="66"/>
      <c r="I258" s="8"/>
      <c r="J258" s="66"/>
      <c r="K258" s="66"/>
      <c r="L258" s="66"/>
      <c r="M258" s="8"/>
      <c r="N258" s="66"/>
      <c r="O258" s="66"/>
      <c r="P258" s="66"/>
      <c r="Q258" s="8"/>
      <c r="R258" s="66"/>
      <c r="S258" s="66"/>
      <c r="T258" s="66"/>
      <c r="U258" s="8"/>
      <c r="V258" s="66"/>
      <c r="W258" s="66"/>
      <c r="X258" s="66"/>
      <c r="Y258" s="189"/>
      <c r="Z258" s="184"/>
      <c r="AA258" s="184"/>
      <c r="AB258" s="184"/>
      <c r="AC258" s="8"/>
      <c r="AD258" s="66"/>
      <c r="AE258" s="66"/>
      <c r="AF258" s="66"/>
      <c r="AG258" s="190"/>
      <c r="AH258" s="191"/>
      <c r="AI258" s="190"/>
      <c r="AJ258" s="190"/>
      <c r="AK258" s="66"/>
      <c r="AL258" s="66"/>
      <c r="AM258" s="66"/>
      <c r="AN258" s="66"/>
      <c r="AO258" s="66"/>
      <c r="AP258" s="66"/>
      <c r="AQ258" s="66"/>
      <c r="AR258" s="66"/>
      <c r="AS258" s="66"/>
      <c r="AT258" s="66"/>
    </row>
    <row r="259">
      <c r="A259" s="8"/>
      <c r="B259" s="66"/>
      <c r="C259" s="66"/>
      <c r="D259" s="66"/>
      <c r="E259" s="8"/>
      <c r="F259" s="66"/>
      <c r="G259" s="66"/>
      <c r="H259" s="66"/>
      <c r="I259" s="8"/>
      <c r="J259" s="66"/>
      <c r="K259" s="66"/>
      <c r="L259" s="66"/>
      <c r="M259" s="8"/>
      <c r="N259" s="66"/>
      <c r="O259" s="66"/>
      <c r="P259" s="66"/>
      <c r="Q259" s="8"/>
      <c r="R259" s="66"/>
      <c r="S259" s="66"/>
      <c r="T259" s="66"/>
      <c r="U259" s="8"/>
      <c r="V259" s="66"/>
      <c r="W259" s="66"/>
      <c r="X259" s="66"/>
      <c r="Y259" s="189"/>
      <c r="Z259" s="184"/>
      <c r="AA259" s="184"/>
      <c r="AB259" s="184"/>
      <c r="AC259" s="8"/>
      <c r="AD259" s="66"/>
      <c r="AE259" s="66"/>
      <c r="AF259" s="66"/>
      <c r="AG259" s="190"/>
      <c r="AH259" s="191"/>
      <c r="AI259" s="190"/>
      <c r="AJ259" s="190"/>
      <c r="AK259" s="66"/>
      <c r="AL259" s="66"/>
      <c r="AM259" s="66"/>
      <c r="AN259" s="66"/>
      <c r="AO259" s="66"/>
      <c r="AP259" s="66"/>
      <c r="AQ259" s="66"/>
      <c r="AR259" s="66"/>
      <c r="AS259" s="66"/>
      <c r="AT259" s="66"/>
    </row>
    <row r="260">
      <c r="A260" s="8"/>
      <c r="B260" s="66"/>
      <c r="C260" s="66"/>
      <c r="D260" s="66"/>
      <c r="E260" s="8"/>
      <c r="F260" s="66"/>
      <c r="G260" s="66"/>
      <c r="H260" s="66"/>
      <c r="I260" s="8"/>
      <c r="J260" s="66"/>
      <c r="K260" s="66"/>
      <c r="L260" s="66"/>
      <c r="M260" s="8"/>
      <c r="N260" s="66"/>
      <c r="O260" s="66"/>
      <c r="P260" s="66"/>
      <c r="Q260" s="8"/>
      <c r="R260" s="66"/>
      <c r="S260" s="66"/>
      <c r="T260" s="66"/>
      <c r="U260" s="8"/>
      <c r="V260" s="66"/>
      <c r="W260" s="66"/>
      <c r="X260" s="66"/>
      <c r="Y260" s="189"/>
      <c r="Z260" s="184"/>
      <c r="AA260" s="184"/>
      <c r="AB260" s="184"/>
      <c r="AC260" s="8"/>
      <c r="AD260" s="66"/>
      <c r="AE260" s="66"/>
      <c r="AF260" s="66"/>
      <c r="AG260" s="190"/>
      <c r="AH260" s="191"/>
      <c r="AI260" s="190"/>
      <c r="AJ260" s="190"/>
      <c r="AK260" s="66"/>
      <c r="AL260" s="66"/>
      <c r="AM260" s="66"/>
      <c r="AN260" s="66"/>
      <c r="AO260" s="66"/>
      <c r="AP260" s="66"/>
      <c r="AQ260" s="66"/>
      <c r="AR260" s="66"/>
      <c r="AS260" s="66"/>
      <c r="AT260" s="66"/>
    </row>
    <row r="261">
      <c r="A261" s="8"/>
      <c r="B261" s="66"/>
      <c r="C261" s="66"/>
      <c r="D261" s="66"/>
      <c r="E261" s="8"/>
      <c r="F261" s="66"/>
      <c r="G261" s="66"/>
      <c r="H261" s="66"/>
      <c r="I261" s="8"/>
      <c r="J261" s="66"/>
      <c r="K261" s="66"/>
      <c r="L261" s="66"/>
      <c r="M261" s="8"/>
      <c r="N261" s="66"/>
      <c r="O261" s="66"/>
      <c r="P261" s="66"/>
      <c r="Q261" s="8"/>
      <c r="R261" s="66"/>
      <c r="S261" s="66"/>
      <c r="T261" s="66"/>
      <c r="U261" s="8"/>
      <c r="V261" s="66"/>
      <c r="W261" s="66"/>
      <c r="X261" s="66"/>
      <c r="Y261" s="189"/>
      <c r="Z261" s="184"/>
      <c r="AA261" s="184"/>
      <c r="AB261" s="184"/>
      <c r="AC261" s="8"/>
      <c r="AD261" s="66"/>
      <c r="AE261" s="66"/>
      <c r="AF261" s="66"/>
      <c r="AG261" s="190"/>
      <c r="AH261" s="191"/>
      <c r="AI261" s="190"/>
      <c r="AJ261" s="190"/>
      <c r="AK261" s="66"/>
      <c r="AL261" s="66"/>
      <c r="AM261" s="66"/>
      <c r="AN261" s="66"/>
      <c r="AO261" s="66"/>
      <c r="AP261" s="66"/>
      <c r="AQ261" s="66"/>
      <c r="AR261" s="66"/>
      <c r="AS261" s="66"/>
      <c r="AT261" s="66"/>
    </row>
    <row r="262">
      <c r="A262" s="8"/>
      <c r="B262" s="66"/>
      <c r="C262" s="66"/>
      <c r="D262" s="66"/>
      <c r="E262" s="8"/>
      <c r="F262" s="66"/>
      <c r="G262" s="66"/>
      <c r="H262" s="66"/>
      <c r="I262" s="8"/>
      <c r="J262" s="66"/>
      <c r="K262" s="66"/>
      <c r="L262" s="66"/>
      <c r="M262" s="8"/>
      <c r="N262" s="66"/>
      <c r="O262" s="66"/>
      <c r="P262" s="66"/>
      <c r="Q262" s="8"/>
      <c r="R262" s="66"/>
      <c r="S262" s="66"/>
      <c r="T262" s="66"/>
      <c r="U262" s="8"/>
      <c r="V262" s="66"/>
      <c r="W262" s="66"/>
      <c r="X262" s="66"/>
      <c r="Y262" s="189"/>
      <c r="Z262" s="184"/>
      <c r="AA262" s="184"/>
      <c r="AB262" s="184"/>
      <c r="AC262" s="8"/>
      <c r="AD262" s="66"/>
      <c r="AE262" s="66"/>
      <c r="AF262" s="66"/>
      <c r="AG262" s="190"/>
      <c r="AH262" s="191"/>
      <c r="AI262" s="190"/>
      <c r="AJ262" s="190"/>
      <c r="AK262" s="66"/>
      <c r="AL262" s="66"/>
      <c r="AM262" s="66"/>
      <c r="AN262" s="66"/>
      <c r="AO262" s="66"/>
      <c r="AP262" s="66"/>
      <c r="AQ262" s="66"/>
      <c r="AR262" s="66"/>
      <c r="AS262" s="66"/>
      <c r="AT262" s="66"/>
    </row>
    <row r="263">
      <c r="A263" s="8"/>
      <c r="B263" s="66"/>
      <c r="C263" s="66"/>
      <c r="D263" s="66"/>
      <c r="E263" s="8"/>
      <c r="F263" s="66"/>
      <c r="G263" s="66"/>
      <c r="H263" s="66"/>
      <c r="I263" s="8"/>
      <c r="J263" s="66"/>
      <c r="K263" s="66"/>
      <c r="L263" s="66"/>
      <c r="M263" s="8"/>
      <c r="N263" s="66"/>
      <c r="O263" s="66"/>
      <c r="P263" s="66"/>
      <c r="Q263" s="8"/>
      <c r="R263" s="66"/>
      <c r="S263" s="66"/>
      <c r="T263" s="66"/>
      <c r="U263" s="8"/>
      <c r="V263" s="66"/>
      <c r="W263" s="66"/>
      <c r="X263" s="66"/>
      <c r="Y263" s="189"/>
      <c r="Z263" s="184"/>
      <c r="AA263" s="184"/>
      <c r="AB263" s="184"/>
      <c r="AC263" s="8"/>
      <c r="AD263" s="66"/>
      <c r="AE263" s="66"/>
      <c r="AF263" s="66"/>
      <c r="AG263" s="190"/>
      <c r="AH263" s="191"/>
      <c r="AI263" s="190"/>
      <c r="AJ263" s="190"/>
      <c r="AK263" s="66"/>
      <c r="AL263" s="66"/>
      <c r="AM263" s="66"/>
      <c r="AN263" s="66"/>
      <c r="AO263" s="66"/>
      <c r="AP263" s="66"/>
      <c r="AQ263" s="66"/>
      <c r="AR263" s="66"/>
      <c r="AS263" s="66"/>
      <c r="AT263" s="66"/>
    </row>
    <row r="264">
      <c r="A264" s="8"/>
      <c r="B264" s="66"/>
      <c r="C264" s="66"/>
      <c r="D264" s="66"/>
      <c r="E264" s="8"/>
      <c r="F264" s="66"/>
      <c r="G264" s="66"/>
      <c r="H264" s="66"/>
      <c r="I264" s="8"/>
      <c r="J264" s="66"/>
      <c r="K264" s="66"/>
      <c r="L264" s="66"/>
      <c r="M264" s="8"/>
      <c r="N264" s="66"/>
      <c r="O264" s="66"/>
      <c r="P264" s="66"/>
      <c r="Q264" s="8"/>
      <c r="R264" s="66"/>
      <c r="S264" s="66"/>
      <c r="T264" s="66"/>
      <c r="U264" s="8"/>
      <c r="V264" s="66"/>
      <c r="W264" s="66"/>
      <c r="X264" s="66"/>
      <c r="Y264" s="189"/>
      <c r="Z264" s="184"/>
      <c r="AA264" s="184"/>
      <c r="AB264" s="184"/>
      <c r="AC264" s="8"/>
      <c r="AD264" s="66"/>
      <c r="AE264" s="66"/>
      <c r="AF264" s="66"/>
      <c r="AG264" s="190"/>
      <c r="AH264" s="191"/>
      <c r="AI264" s="190"/>
      <c r="AJ264" s="190"/>
      <c r="AK264" s="66"/>
      <c r="AL264" s="66"/>
      <c r="AM264" s="66"/>
      <c r="AN264" s="66"/>
      <c r="AO264" s="66"/>
      <c r="AP264" s="66"/>
      <c r="AQ264" s="66"/>
      <c r="AR264" s="66"/>
      <c r="AS264" s="66"/>
      <c r="AT264" s="66"/>
    </row>
    <row r="265">
      <c r="A265" s="8"/>
      <c r="B265" s="66"/>
      <c r="C265" s="66"/>
      <c r="D265" s="66"/>
      <c r="E265" s="8"/>
      <c r="F265" s="66"/>
      <c r="G265" s="66"/>
      <c r="H265" s="66"/>
      <c r="I265" s="8"/>
      <c r="J265" s="66"/>
      <c r="K265" s="66"/>
      <c r="L265" s="66"/>
      <c r="M265" s="8"/>
      <c r="N265" s="66"/>
      <c r="O265" s="66"/>
      <c r="P265" s="66"/>
      <c r="Q265" s="8"/>
      <c r="R265" s="66"/>
      <c r="S265" s="66"/>
      <c r="T265" s="66"/>
      <c r="U265" s="8"/>
      <c r="V265" s="66"/>
      <c r="W265" s="66"/>
      <c r="X265" s="66"/>
      <c r="Y265" s="189"/>
      <c r="Z265" s="184"/>
      <c r="AA265" s="184"/>
      <c r="AB265" s="184"/>
      <c r="AC265" s="8"/>
      <c r="AD265" s="66"/>
      <c r="AE265" s="66"/>
      <c r="AF265" s="66"/>
      <c r="AG265" s="190"/>
      <c r="AH265" s="191"/>
      <c r="AI265" s="190"/>
      <c r="AJ265" s="190"/>
      <c r="AK265" s="66"/>
      <c r="AL265" s="66"/>
      <c r="AM265" s="66"/>
      <c r="AN265" s="66"/>
      <c r="AO265" s="66"/>
      <c r="AP265" s="66"/>
      <c r="AQ265" s="66"/>
      <c r="AR265" s="66"/>
      <c r="AS265" s="66"/>
      <c r="AT265" s="66"/>
    </row>
    <row r="266">
      <c r="A266" s="8"/>
      <c r="B266" s="66"/>
      <c r="C266" s="66"/>
      <c r="D266" s="66"/>
      <c r="E266" s="8"/>
      <c r="F266" s="66"/>
      <c r="G266" s="66"/>
      <c r="H266" s="66"/>
      <c r="I266" s="8"/>
      <c r="J266" s="66"/>
      <c r="K266" s="66"/>
      <c r="L266" s="66"/>
      <c r="M266" s="8"/>
      <c r="N266" s="66"/>
      <c r="O266" s="66"/>
      <c r="P266" s="66"/>
      <c r="Q266" s="8"/>
      <c r="R266" s="66"/>
      <c r="S266" s="66"/>
      <c r="T266" s="66"/>
      <c r="U266" s="8"/>
      <c r="V266" s="66"/>
      <c r="W266" s="66"/>
      <c r="X266" s="66"/>
      <c r="Y266" s="189"/>
      <c r="Z266" s="184"/>
      <c r="AA266" s="184"/>
      <c r="AB266" s="184"/>
      <c r="AC266" s="8"/>
      <c r="AD266" s="66"/>
      <c r="AE266" s="66"/>
      <c r="AF266" s="66"/>
      <c r="AG266" s="190"/>
      <c r="AH266" s="191"/>
      <c r="AI266" s="190"/>
      <c r="AJ266" s="190"/>
      <c r="AK266" s="66"/>
      <c r="AL266" s="66"/>
      <c r="AM266" s="66"/>
      <c r="AN266" s="66"/>
      <c r="AO266" s="66"/>
      <c r="AP266" s="66"/>
      <c r="AQ266" s="66"/>
      <c r="AR266" s="66"/>
      <c r="AS266" s="66"/>
      <c r="AT266" s="66"/>
    </row>
    <row r="267">
      <c r="A267" s="8"/>
      <c r="B267" s="66"/>
      <c r="C267" s="66"/>
      <c r="D267" s="66"/>
      <c r="E267" s="8"/>
      <c r="F267" s="66"/>
      <c r="G267" s="66"/>
      <c r="H267" s="66"/>
      <c r="I267" s="8"/>
      <c r="J267" s="66"/>
      <c r="K267" s="66"/>
      <c r="L267" s="66"/>
      <c r="M267" s="8"/>
      <c r="N267" s="66"/>
      <c r="O267" s="66"/>
      <c r="P267" s="66"/>
      <c r="Q267" s="8"/>
      <c r="R267" s="66"/>
      <c r="S267" s="66"/>
      <c r="T267" s="66"/>
      <c r="U267" s="8"/>
      <c r="V267" s="66"/>
      <c r="W267" s="66"/>
      <c r="X267" s="66"/>
      <c r="Y267" s="189"/>
      <c r="Z267" s="184"/>
      <c r="AA267" s="184"/>
      <c r="AB267" s="184"/>
      <c r="AC267" s="8"/>
      <c r="AD267" s="66"/>
      <c r="AE267" s="66"/>
      <c r="AF267" s="66"/>
      <c r="AG267" s="190"/>
      <c r="AH267" s="191"/>
      <c r="AI267" s="190"/>
      <c r="AJ267" s="190"/>
      <c r="AK267" s="66"/>
      <c r="AL267" s="66"/>
      <c r="AM267" s="66"/>
      <c r="AN267" s="66"/>
      <c r="AO267" s="66"/>
      <c r="AP267" s="66"/>
      <c r="AQ267" s="66"/>
      <c r="AR267" s="66"/>
      <c r="AS267" s="66"/>
      <c r="AT267" s="66"/>
    </row>
    <row r="268">
      <c r="A268" s="8"/>
      <c r="B268" s="66"/>
      <c r="C268" s="66"/>
      <c r="D268" s="66"/>
      <c r="E268" s="8"/>
      <c r="F268" s="66"/>
      <c r="G268" s="66"/>
      <c r="H268" s="66"/>
      <c r="I268" s="8"/>
      <c r="J268" s="66"/>
      <c r="K268" s="66"/>
      <c r="L268" s="66"/>
      <c r="M268" s="8"/>
      <c r="N268" s="66"/>
      <c r="O268" s="66"/>
      <c r="P268" s="66"/>
      <c r="Q268" s="8"/>
      <c r="R268" s="66"/>
      <c r="S268" s="66"/>
      <c r="T268" s="66"/>
      <c r="U268" s="8"/>
      <c r="V268" s="66"/>
      <c r="W268" s="66"/>
      <c r="X268" s="66"/>
      <c r="Y268" s="189"/>
      <c r="Z268" s="184"/>
      <c r="AA268" s="184"/>
      <c r="AB268" s="184"/>
      <c r="AC268" s="8"/>
      <c r="AD268" s="66"/>
      <c r="AE268" s="66"/>
      <c r="AF268" s="66"/>
      <c r="AG268" s="190"/>
      <c r="AH268" s="191"/>
      <c r="AI268" s="190"/>
      <c r="AJ268" s="190"/>
      <c r="AK268" s="66"/>
      <c r="AL268" s="66"/>
      <c r="AM268" s="66"/>
      <c r="AN268" s="66"/>
      <c r="AO268" s="66"/>
      <c r="AP268" s="66"/>
      <c r="AQ268" s="66"/>
      <c r="AR268" s="66"/>
      <c r="AS268" s="66"/>
      <c r="AT268" s="66"/>
    </row>
    <row r="269">
      <c r="A269" s="8"/>
      <c r="B269" s="66"/>
      <c r="C269" s="66"/>
      <c r="D269" s="66"/>
      <c r="E269" s="8"/>
      <c r="F269" s="66"/>
      <c r="G269" s="66"/>
      <c r="H269" s="66"/>
      <c r="I269" s="8"/>
      <c r="J269" s="66"/>
      <c r="K269" s="66"/>
      <c r="L269" s="66"/>
      <c r="M269" s="8"/>
      <c r="N269" s="66"/>
      <c r="O269" s="66"/>
      <c r="P269" s="66"/>
      <c r="Q269" s="8"/>
      <c r="R269" s="66"/>
      <c r="S269" s="66"/>
      <c r="T269" s="66"/>
      <c r="U269" s="8"/>
      <c r="V269" s="66"/>
      <c r="W269" s="66"/>
      <c r="X269" s="66"/>
      <c r="Y269" s="189"/>
      <c r="Z269" s="184"/>
      <c r="AA269" s="184"/>
      <c r="AB269" s="184"/>
      <c r="AC269" s="8"/>
      <c r="AD269" s="66"/>
      <c r="AE269" s="66"/>
      <c r="AF269" s="66"/>
      <c r="AG269" s="190"/>
      <c r="AH269" s="191"/>
      <c r="AI269" s="190"/>
      <c r="AJ269" s="190"/>
      <c r="AK269" s="66"/>
      <c r="AL269" s="66"/>
      <c r="AM269" s="66"/>
      <c r="AN269" s="66"/>
      <c r="AO269" s="66"/>
      <c r="AP269" s="66"/>
      <c r="AQ269" s="66"/>
      <c r="AR269" s="66"/>
      <c r="AS269" s="66"/>
      <c r="AT269" s="66"/>
    </row>
    <row r="270">
      <c r="A270" s="8"/>
      <c r="B270" s="66"/>
      <c r="C270" s="66"/>
      <c r="D270" s="66"/>
      <c r="E270" s="8"/>
      <c r="F270" s="66"/>
      <c r="G270" s="66"/>
      <c r="H270" s="66"/>
      <c r="I270" s="8"/>
      <c r="J270" s="66"/>
      <c r="K270" s="66"/>
      <c r="L270" s="66"/>
      <c r="M270" s="8"/>
      <c r="N270" s="66"/>
      <c r="O270" s="66"/>
      <c r="P270" s="66"/>
      <c r="Q270" s="8"/>
      <c r="R270" s="66"/>
      <c r="S270" s="66"/>
      <c r="T270" s="66"/>
      <c r="U270" s="8"/>
      <c r="V270" s="66"/>
      <c r="W270" s="66"/>
      <c r="X270" s="66"/>
      <c r="Y270" s="189"/>
      <c r="Z270" s="184"/>
      <c r="AA270" s="184"/>
      <c r="AB270" s="184"/>
      <c r="AC270" s="8"/>
      <c r="AD270" s="66"/>
      <c r="AE270" s="66"/>
      <c r="AF270" s="66"/>
      <c r="AG270" s="190"/>
      <c r="AH270" s="191"/>
      <c r="AI270" s="190"/>
      <c r="AJ270" s="190"/>
      <c r="AK270" s="66"/>
      <c r="AL270" s="66"/>
      <c r="AM270" s="66"/>
      <c r="AN270" s="66"/>
      <c r="AO270" s="66"/>
      <c r="AP270" s="66"/>
      <c r="AQ270" s="66"/>
      <c r="AR270" s="66"/>
      <c r="AS270" s="66"/>
      <c r="AT270" s="66"/>
    </row>
    <row r="271">
      <c r="A271" s="8"/>
      <c r="B271" s="66"/>
      <c r="C271" s="66"/>
      <c r="D271" s="66"/>
      <c r="E271" s="8"/>
      <c r="F271" s="66"/>
      <c r="G271" s="66"/>
      <c r="H271" s="66"/>
      <c r="I271" s="8"/>
      <c r="J271" s="66"/>
      <c r="K271" s="66"/>
      <c r="L271" s="66"/>
      <c r="M271" s="8"/>
      <c r="N271" s="66"/>
      <c r="O271" s="66"/>
      <c r="P271" s="66"/>
      <c r="Q271" s="8"/>
      <c r="R271" s="66"/>
      <c r="S271" s="66"/>
      <c r="T271" s="66"/>
      <c r="U271" s="8"/>
      <c r="V271" s="66"/>
      <c r="W271" s="66"/>
      <c r="X271" s="66"/>
      <c r="Y271" s="189"/>
      <c r="Z271" s="184"/>
      <c r="AA271" s="184"/>
      <c r="AB271" s="184"/>
      <c r="AC271" s="8"/>
      <c r="AD271" s="66"/>
      <c r="AE271" s="66"/>
      <c r="AF271" s="66"/>
      <c r="AG271" s="190"/>
      <c r="AH271" s="191"/>
      <c r="AI271" s="190"/>
      <c r="AJ271" s="190"/>
      <c r="AK271" s="66"/>
      <c r="AL271" s="66"/>
      <c r="AM271" s="66"/>
      <c r="AN271" s="66"/>
      <c r="AO271" s="66"/>
      <c r="AP271" s="66"/>
      <c r="AQ271" s="66"/>
      <c r="AR271" s="66"/>
      <c r="AS271" s="66"/>
      <c r="AT271" s="66"/>
    </row>
    <row r="272">
      <c r="A272" s="8"/>
      <c r="B272" s="66"/>
      <c r="C272" s="66"/>
      <c r="D272" s="66"/>
      <c r="E272" s="8"/>
      <c r="F272" s="66"/>
      <c r="G272" s="66"/>
      <c r="H272" s="66"/>
      <c r="I272" s="8"/>
      <c r="J272" s="66"/>
      <c r="K272" s="66"/>
      <c r="L272" s="66"/>
      <c r="M272" s="8"/>
      <c r="N272" s="66"/>
      <c r="O272" s="66"/>
      <c r="P272" s="66"/>
      <c r="Q272" s="8"/>
      <c r="R272" s="66"/>
      <c r="S272" s="66"/>
      <c r="T272" s="66"/>
      <c r="U272" s="8"/>
      <c r="V272" s="66"/>
      <c r="W272" s="66"/>
      <c r="X272" s="66"/>
      <c r="Y272" s="189"/>
      <c r="Z272" s="184"/>
      <c r="AA272" s="184"/>
      <c r="AB272" s="184"/>
      <c r="AC272" s="8"/>
      <c r="AD272" s="66"/>
      <c r="AE272" s="66"/>
      <c r="AF272" s="66"/>
      <c r="AG272" s="190"/>
      <c r="AH272" s="191"/>
      <c r="AI272" s="190"/>
      <c r="AJ272" s="190"/>
      <c r="AK272" s="66"/>
      <c r="AL272" s="66"/>
      <c r="AM272" s="66"/>
      <c r="AN272" s="66"/>
      <c r="AO272" s="66"/>
      <c r="AP272" s="66"/>
      <c r="AQ272" s="66"/>
      <c r="AR272" s="66"/>
      <c r="AS272" s="66"/>
      <c r="AT272" s="66"/>
    </row>
    <row r="273">
      <c r="A273" s="8"/>
      <c r="B273" s="66"/>
      <c r="C273" s="66"/>
      <c r="D273" s="66"/>
      <c r="E273" s="8"/>
      <c r="F273" s="66"/>
      <c r="G273" s="66"/>
      <c r="H273" s="66"/>
      <c r="I273" s="8"/>
      <c r="J273" s="66"/>
      <c r="K273" s="66"/>
      <c r="L273" s="66"/>
      <c r="M273" s="8"/>
      <c r="N273" s="66"/>
      <c r="O273" s="66"/>
      <c r="P273" s="66"/>
      <c r="Q273" s="8"/>
      <c r="R273" s="66"/>
      <c r="S273" s="66"/>
      <c r="T273" s="66"/>
      <c r="U273" s="8"/>
      <c r="V273" s="66"/>
      <c r="W273" s="66"/>
      <c r="X273" s="66"/>
      <c r="Y273" s="189"/>
      <c r="Z273" s="184"/>
      <c r="AA273" s="184"/>
      <c r="AB273" s="184"/>
      <c r="AC273" s="8"/>
      <c r="AD273" s="66"/>
      <c r="AE273" s="66"/>
      <c r="AF273" s="66"/>
      <c r="AG273" s="190"/>
      <c r="AH273" s="191"/>
      <c r="AI273" s="190"/>
      <c r="AJ273" s="190"/>
      <c r="AK273" s="66"/>
      <c r="AL273" s="66"/>
      <c r="AM273" s="66"/>
      <c r="AN273" s="66"/>
      <c r="AO273" s="66"/>
      <c r="AP273" s="66"/>
      <c r="AQ273" s="66"/>
      <c r="AR273" s="66"/>
      <c r="AS273" s="66"/>
      <c r="AT273" s="66"/>
    </row>
    <row r="274">
      <c r="A274" s="8"/>
      <c r="B274" s="66"/>
      <c r="C274" s="66"/>
      <c r="D274" s="66"/>
      <c r="E274" s="8"/>
      <c r="F274" s="66"/>
      <c r="G274" s="66"/>
      <c r="H274" s="66"/>
      <c r="I274" s="8"/>
      <c r="J274" s="66"/>
      <c r="K274" s="66"/>
      <c r="L274" s="66"/>
      <c r="M274" s="8"/>
      <c r="N274" s="66"/>
      <c r="O274" s="66"/>
      <c r="P274" s="66"/>
      <c r="Q274" s="8"/>
      <c r="R274" s="66"/>
      <c r="S274" s="66"/>
      <c r="T274" s="66"/>
      <c r="U274" s="8"/>
      <c r="V274" s="66"/>
      <c r="W274" s="66"/>
      <c r="X274" s="66"/>
      <c r="Y274" s="189"/>
      <c r="Z274" s="184"/>
      <c r="AA274" s="184"/>
      <c r="AB274" s="184"/>
      <c r="AC274" s="8"/>
      <c r="AD274" s="66"/>
      <c r="AE274" s="66"/>
      <c r="AF274" s="66"/>
      <c r="AG274" s="190"/>
      <c r="AH274" s="191"/>
      <c r="AI274" s="190"/>
      <c r="AJ274" s="190"/>
      <c r="AK274" s="66"/>
      <c r="AL274" s="66"/>
      <c r="AM274" s="66"/>
      <c r="AN274" s="66"/>
      <c r="AO274" s="66"/>
      <c r="AP274" s="66"/>
      <c r="AQ274" s="66"/>
      <c r="AR274" s="66"/>
      <c r="AS274" s="66"/>
      <c r="AT274" s="66"/>
    </row>
    <row r="275">
      <c r="A275" s="8"/>
      <c r="B275" s="66"/>
      <c r="C275" s="66"/>
      <c r="D275" s="66"/>
      <c r="E275" s="8"/>
      <c r="F275" s="66"/>
      <c r="G275" s="66"/>
      <c r="H275" s="66"/>
      <c r="I275" s="8"/>
      <c r="J275" s="66"/>
      <c r="K275" s="66"/>
      <c r="L275" s="66"/>
      <c r="M275" s="8"/>
      <c r="N275" s="66"/>
      <c r="O275" s="66"/>
      <c r="P275" s="66"/>
      <c r="Q275" s="8"/>
      <c r="R275" s="66"/>
      <c r="S275" s="66"/>
      <c r="T275" s="66"/>
      <c r="U275" s="8"/>
      <c r="V275" s="66"/>
      <c r="W275" s="66"/>
      <c r="X275" s="66"/>
      <c r="Y275" s="189"/>
      <c r="Z275" s="184"/>
      <c r="AA275" s="184"/>
      <c r="AB275" s="184"/>
      <c r="AC275" s="8"/>
      <c r="AD275" s="66"/>
      <c r="AE275" s="66"/>
      <c r="AF275" s="66"/>
      <c r="AG275" s="190"/>
      <c r="AH275" s="191"/>
      <c r="AI275" s="190"/>
      <c r="AJ275" s="190"/>
      <c r="AK275" s="66"/>
      <c r="AL275" s="66"/>
      <c r="AM275" s="66"/>
      <c r="AN275" s="66"/>
      <c r="AO275" s="66"/>
      <c r="AP275" s="66"/>
      <c r="AQ275" s="66"/>
      <c r="AR275" s="66"/>
      <c r="AS275" s="66"/>
      <c r="AT275" s="66"/>
    </row>
    <row r="276">
      <c r="A276" s="8"/>
      <c r="B276" s="66"/>
      <c r="C276" s="66"/>
      <c r="D276" s="66"/>
      <c r="E276" s="8"/>
      <c r="F276" s="66"/>
      <c r="G276" s="66"/>
      <c r="H276" s="66"/>
      <c r="I276" s="8"/>
      <c r="J276" s="66"/>
      <c r="K276" s="66"/>
      <c r="L276" s="66"/>
      <c r="M276" s="8"/>
      <c r="N276" s="66"/>
      <c r="O276" s="66"/>
      <c r="P276" s="66"/>
      <c r="Q276" s="8"/>
      <c r="R276" s="66"/>
      <c r="S276" s="66"/>
      <c r="T276" s="66"/>
      <c r="U276" s="8"/>
      <c r="V276" s="66"/>
      <c r="W276" s="66"/>
      <c r="X276" s="66"/>
      <c r="Y276" s="189"/>
      <c r="Z276" s="184"/>
      <c r="AA276" s="184"/>
      <c r="AB276" s="184"/>
      <c r="AC276" s="8"/>
      <c r="AD276" s="66"/>
      <c r="AE276" s="66"/>
      <c r="AF276" s="66"/>
      <c r="AG276" s="190"/>
      <c r="AH276" s="191"/>
      <c r="AI276" s="190"/>
      <c r="AJ276" s="190"/>
      <c r="AK276" s="66"/>
      <c r="AL276" s="66"/>
      <c r="AM276" s="66"/>
      <c r="AN276" s="66"/>
      <c r="AO276" s="66"/>
      <c r="AP276" s="66"/>
      <c r="AQ276" s="66"/>
      <c r="AR276" s="66"/>
      <c r="AS276" s="66"/>
      <c r="AT276" s="66"/>
    </row>
    <row r="277">
      <c r="A277" s="8"/>
      <c r="B277" s="66"/>
      <c r="C277" s="66"/>
      <c r="D277" s="66"/>
      <c r="E277" s="8"/>
      <c r="F277" s="66"/>
      <c r="G277" s="66"/>
      <c r="H277" s="66"/>
      <c r="I277" s="8"/>
      <c r="J277" s="66"/>
      <c r="K277" s="66"/>
      <c r="L277" s="66"/>
      <c r="M277" s="8"/>
      <c r="N277" s="66"/>
      <c r="O277" s="66"/>
      <c r="P277" s="66"/>
      <c r="Q277" s="8"/>
      <c r="R277" s="66"/>
      <c r="S277" s="66"/>
      <c r="T277" s="66"/>
      <c r="U277" s="8"/>
      <c r="V277" s="66"/>
      <c r="W277" s="66"/>
      <c r="X277" s="66"/>
      <c r="Y277" s="189"/>
      <c r="Z277" s="184"/>
      <c r="AA277" s="184"/>
      <c r="AB277" s="184"/>
      <c r="AC277" s="8"/>
      <c r="AD277" s="66"/>
      <c r="AE277" s="66"/>
      <c r="AF277" s="66"/>
      <c r="AG277" s="190"/>
      <c r="AH277" s="191"/>
      <c r="AI277" s="190"/>
      <c r="AJ277" s="190"/>
      <c r="AK277" s="66"/>
      <c r="AL277" s="66"/>
      <c r="AM277" s="66"/>
      <c r="AN277" s="66"/>
      <c r="AO277" s="66"/>
      <c r="AP277" s="66"/>
      <c r="AQ277" s="66"/>
      <c r="AR277" s="66"/>
      <c r="AS277" s="66"/>
      <c r="AT277" s="66"/>
    </row>
    <row r="278">
      <c r="A278" s="8"/>
      <c r="B278" s="66"/>
      <c r="C278" s="66"/>
      <c r="D278" s="66"/>
      <c r="E278" s="8"/>
      <c r="F278" s="66"/>
      <c r="G278" s="66"/>
      <c r="H278" s="66"/>
      <c r="I278" s="8"/>
      <c r="J278" s="66"/>
      <c r="K278" s="66"/>
      <c r="L278" s="66"/>
      <c r="M278" s="8"/>
      <c r="N278" s="66"/>
      <c r="O278" s="66"/>
      <c r="P278" s="66"/>
      <c r="Q278" s="8"/>
      <c r="R278" s="66"/>
      <c r="S278" s="66"/>
      <c r="T278" s="66"/>
      <c r="U278" s="8"/>
      <c r="V278" s="66"/>
      <c r="W278" s="66"/>
      <c r="X278" s="66"/>
      <c r="Y278" s="189"/>
      <c r="Z278" s="184"/>
      <c r="AA278" s="184"/>
      <c r="AB278" s="184"/>
      <c r="AC278" s="8"/>
      <c r="AD278" s="66"/>
      <c r="AE278" s="66"/>
      <c r="AF278" s="66"/>
      <c r="AG278" s="190"/>
      <c r="AH278" s="191"/>
      <c r="AI278" s="190"/>
      <c r="AJ278" s="190"/>
      <c r="AK278" s="66"/>
      <c r="AL278" s="66"/>
      <c r="AM278" s="66"/>
      <c r="AN278" s="66"/>
      <c r="AO278" s="66"/>
      <c r="AP278" s="66"/>
      <c r="AQ278" s="66"/>
      <c r="AR278" s="66"/>
      <c r="AS278" s="66"/>
      <c r="AT278" s="66"/>
    </row>
    <row r="279">
      <c r="A279" s="8"/>
      <c r="B279" s="66"/>
      <c r="C279" s="66"/>
      <c r="D279" s="66"/>
      <c r="E279" s="8"/>
      <c r="F279" s="66"/>
      <c r="G279" s="66"/>
      <c r="H279" s="66"/>
      <c r="I279" s="8"/>
      <c r="J279" s="66"/>
      <c r="K279" s="66"/>
      <c r="L279" s="66"/>
      <c r="M279" s="8"/>
      <c r="N279" s="66"/>
      <c r="O279" s="66"/>
      <c r="P279" s="66"/>
      <c r="Q279" s="8"/>
      <c r="R279" s="66"/>
      <c r="S279" s="66"/>
      <c r="T279" s="66"/>
      <c r="U279" s="8"/>
      <c r="V279" s="66"/>
      <c r="W279" s="66"/>
      <c r="X279" s="66"/>
      <c r="Y279" s="189"/>
      <c r="Z279" s="184"/>
      <c r="AA279" s="184"/>
      <c r="AB279" s="184"/>
      <c r="AC279" s="8"/>
      <c r="AD279" s="66"/>
      <c r="AE279" s="66"/>
      <c r="AF279" s="66"/>
      <c r="AG279" s="190"/>
      <c r="AH279" s="191"/>
      <c r="AI279" s="190"/>
      <c r="AJ279" s="190"/>
      <c r="AK279" s="66"/>
      <c r="AL279" s="66"/>
      <c r="AM279" s="66"/>
      <c r="AN279" s="66"/>
      <c r="AO279" s="66"/>
      <c r="AP279" s="66"/>
      <c r="AQ279" s="66"/>
      <c r="AR279" s="66"/>
      <c r="AS279" s="66"/>
      <c r="AT279" s="66"/>
    </row>
    <row r="280">
      <c r="A280" s="8"/>
      <c r="B280" s="66"/>
      <c r="C280" s="66"/>
      <c r="D280" s="66"/>
      <c r="E280" s="8"/>
      <c r="F280" s="66"/>
      <c r="G280" s="66"/>
      <c r="H280" s="66"/>
      <c r="I280" s="8"/>
      <c r="J280" s="66"/>
      <c r="K280" s="66"/>
      <c r="L280" s="66"/>
      <c r="M280" s="8"/>
      <c r="N280" s="66"/>
      <c r="O280" s="66"/>
      <c r="P280" s="66"/>
      <c r="Q280" s="8"/>
      <c r="R280" s="66"/>
      <c r="S280" s="66"/>
      <c r="T280" s="66"/>
      <c r="U280" s="8"/>
      <c r="V280" s="66"/>
      <c r="W280" s="66"/>
      <c r="X280" s="66"/>
      <c r="Y280" s="189"/>
      <c r="Z280" s="184"/>
      <c r="AA280" s="184"/>
      <c r="AB280" s="184"/>
      <c r="AC280" s="8"/>
      <c r="AD280" s="66"/>
      <c r="AE280" s="66"/>
      <c r="AF280" s="66"/>
      <c r="AG280" s="190"/>
      <c r="AH280" s="191"/>
      <c r="AI280" s="190"/>
      <c r="AJ280" s="190"/>
      <c r="AK280" s="66"/>
      <c r="AL280" s="66"/>
      <c r="AM280" s="66"/>
      <c r="AN280" s="66"/>
      <c r="AO280" s="66"/>
      <c r="AP280" s="66"/>
      <c r="AQ280" s="66"/>
      <c r="AR280" s="66"/>
      <c r="AS280" s="66"/>
      <c r="AT280" s="66"/>
    </row>
    <row r="281">
      <c r="A281" s="8"/>
      <c r="B281" s="66"/>
      <c r="C281" s="66"/>
      <c r="D281" s="66"/>
      <c r="E281" s="8"/>
      <c r="F281" s="66"/>
      <c r="G281" s="66"/>
      <c r="H281" s="66"/>
      <c r="I281" s="8"/>
      <c r="J281" s="66"/>
      <c r="K281" s="66"/>
      <c r="L281" s="66"/>
      <c r="M281" s="8"/>
      <c r="N281" s="66"/>
      <c r="O281" s="66"/>
      <c r="P281" s="66"/>
      <c r="Q281" s="8"/>
      <c r="R281" s="66"/>
      <c r="S281" s="66"/>
      <c r="T281" s="66"/>
      <c r="U281" s="8"/>
      <c r="V281" s="66"/>
      <c r="W281" s="66"/>
      <c r="X281" s="66"/>
      <c r="Y281" s="189"/>
      <c r="Z281" s="184"/>
      <c r="AA281" s="184"/>
      <c r="AB281" s="184"/>
      <c r="AC281" s="8"/>
      <c r="AD281" s="66"/>
      <c r="AE281" s="66"/>
      <c r="AF281" s="66"/>
      <c r="AG281" s="190"/>
      <c r="AH281" s="191"/>
      <c r="AI281" s="190"/>
      <c r="AJ281" s="190"/>
      <c r="AK281" s="66"/>
      <c r="AL281" s="66"/>
      <c r="AM281" s="66"/>
      <c r="AN281" s="66"/>
      <c r="AO281" s="66"/>
      <c r="AP281" s="66"/>
      <c r="AQ281" s="66"/>
      <c r="AR281" s="66"/>
      <c r="AS281" s="66"/>
      <c r="AT281" s="66"/>
    </row>
    <row r="282">
      <c r="A282" s="8"/>
      <c r="B282" s="66"/>
      <c r="C282" s="66"/>
      <c r="D282" s="66"/>
      <c r="E282" s="8"/>
      <c r="F282" s="66"/>
      <c r="G282" s="66"/>
      <c r="H282" s="66"/>
      <c r="I282" s="8"/>
      <c r="J282" s="66"/>
      <c r="K282" s="66"/>
      <c r="L282" s="66"/>
      <c r="M282" s="8"/>
      <c r="N282" s="66"/>
      <c r="O282" s="66"/>
      <c r="P282" s="66"/>
      <c r="Q282" s="8"/>
      <c r="R282" s="66"/>
      <c r="S282" s="66"/>
      <c r="T282" s="66"/>
      <c r="U282" s="8"/>
      <c r="V282" s="66"/>
      <c r="W282" s="66"/>
      <c r="X282" s="66"/>
      <c r="Y282" s="189"/>
      <c r="Z282" s="184"/>
      <c r="AA282" s="184"/>
      <c r="AB282" s="184"/>
      <c r="AC282" s="8"/>
      <c r="AD282" s="66"/>
      <c r="AE282" s="66"/>
      <c r="AF282" s="66"/>
      <c r="AG282" s="190"/>
      <c r="AH282" s="191"/>
      <c r="AI282" s="190"/>
      <c r="AJ282" s="190"/>
      <c r="AK282" s="66"/>
      <c r="AL282" s="66"/>
      <c r="AM282" s="66"/>
      <c r="AN282" s="66"/>
      <c r="AO282" s="66"/>
      <c r="AP282" s="66"/>
      <c r="AQ282" s="66"/>
      <c r="AR282" s="66"/>
      <c r="AS282" s="66"/>
      <c r="AT282" s="66"/>
    </row>
    <row r="283">
      <c r="A283" s="8"/>
      <c r="B283" s="66"/>
      <c r="C283" s="66"/>
      <c r="D283" s="66"/>
      <c r="E283" s="8"/>
      <c r="F283" s="66"/>
      <c r="G283" s="66"/>
      <c r="H283" s="66"/>
      <c r="I283" s="8"/>
      <c r="J283" s="66"/>
      <c r="K283" s="66"/>
      <c r="L283" s="66"/>
      <c r="M283" s="8"/>
      <c r="N283" s="66"/>
      <c r="O283" s="66"/>
      <c r="P283" s="66"/>
      <c r="Q283" s="8"/>
      <c r="R283" s="66"/>
      <c r="S283" s="66"/>
      <c r="T283" s="66"/>
      <c r="U283" s="8"/>
      <c r="V283" s="66"/>
      <c r="W283" s="66"/>
      <c r="X283" s="66"/>
      <c r="Y283" s="189"/>
      <c r="Z283" s="184"/>
      <c r="AA283" s="184"/>
      <c r="AB283" s="184"/>
      <c r="AC283" s="8"/>
      <c r="AD283" s="66"/>
      <c r="AE283" s="66"/>
      <c r="AF283" s="66"/>
      <c r="AG283" s="190"/>
      <c r="AH283" s="191"/>
      <c r="AI283" s="190"/>
      <c r="AJ283" s="190"/>
      <c r="AK283" s="66"/>
      <c r="AL283" s="66"/>
      <c r="AM283" s="66"/>
      <c r="AN283" s="66"/>
      <c r="AO283" s="66"/>
      <c r="AP283" s="66"/>
      <c r="AQ283" s="66"/>
      <c r="AR283" s="66"/>
      <c r="AS283" s="66"/>
      <c r="AT283" s="66"/>
    </row>
    <row r="284">
      <c r="A284" s="8"/>
      <c r="B284" s="66"/>
      <c r="C284" s="66"/>
      <c r="D284" s="66"/>
      <c r="E284" s="8"/>
      <c r="F284" s="66"/>
      <c r="G284" s="66"/>
      <c r="H284" s="66"/>
      <c r="I284" s="8"/>
      <c r="J284" s="66"/>
      <c r="K284" s="66"/>
      <c r="L284" s="66"/>
      <c r="M284" s="8"/>
      <c r="N284" s="66"/>
      <c r="O284" s="66"/>
      <c r="P284" s="66"/>
      <c r="Q284" s="8"/>
      <c r="R284" s="66"/>
      <c r="S284" s="66"/>
      <c r="T284" s="66"/>
      <c r="U284" s="8"/>
      <c r="V284" s="66"/>
      <c r="W284" s="66"/>
      <c r="X284" s="66"/>
      <c r="Y284" s="189"/>
      <c r="Z284" s="184"/>
      <c r="AA284" s="184"/>
      <c r="AB284" s="184"/>
      <c r="AC284" s="8"/>
      <c r="AD284" s="66"/>
      <c r="AE284" s="66"/>
      <c r="AF284" s="66"/>
      <c r="AG284" s="190"/>
      <c r="AH284" s="191"/>
      <c r="AI284" s="190"/>
      <c r="AJ284" s="190"/>
      <c r="AK284" s="66"/>
      <c r="AL284" s="66"/>
      <c r="AM284" s="66"/>
      <c r="AN284" s="66"/>
      <c r="AO284" s="66"/>
      <c r="AP284" s="66"/>
      <c r="AQ284" s="66"/>
      <c r="AR284" s="66"/>
      <c r="AS284" s="66"/>
      <c r="AT284" s="66"/>
    </row>
    <row r="285">
      <c r="A285" s="8"/>
      <c r="B285" s="66"/>
      <c r="C285" s="66"/>
      <c r="D285" s="66"/>
      <c r="E285" s="8"/>
      <c r="F285" s="66"/>
      <c r="G285" s="66"/>
      <c r="H285" s="66"/>
      <c r="I285" s="8"/>
      <c r="J285" s="66"/>
      <c r="K285" s="66"/>
      <c r="L285" s="66"/>
      <c r="M285" s="8"/>
      <c r="N285" s="66"/>
      <c r="O285" s="66"/>
      <c r="P285" s="66"/>
      <c r="Q285" s="8"/>
      <c r="R285" s="66"/>
      <c r="S285" s="66"/>
      <c r="T285" s="66"/>
      <c r="U285" s="8"/>
      <c r="V285" s="66"/>
      <c r="W285" s="66"/>
      <c r="X285" s="66"/>
      <c r="Y285" s="189"/>
      <c r="Z285" s="184"/>
      <c r="AA285" s="184"/>
      <c r="AB285" s="184"/>
      <c r="AC285" s="8"/>
      <c r="AD285" s="66"/>
      <c r="AE285" s="66"/>
      <c r="AF285" s="66"/>
      <c r="AG285" s="190"/>
      <c r="AH285" s="191"/>
      <c r="AI285" s="190"/>
      <c r="AJ285" s="190"/>
      <c r="AK285" s="66"/>
      <c r="AL285" s="66"/>
      <c r="AM285" s="66"/>
      <c r="AN285" s="66"/>
      <c r="AO285" s="66"/>
      <c r="AP285" s="66"/>
      <c r="AQ285" s="66"/>
      <c r="AR285" s="66"/>
      <c r="AS285" s="66"/>
      <c r="AT285" s="66"/>
    </row>
    <row r="286">
      <c r="A286" s="8"/>
      <c r="B286" s="66"/>
      <c r="C286" s="66"/>
      <c r="D286" s="66"/>
      <c r="E286" s="8"/>
      <c r="F286" s="66"/>
      <c r="G286" s="66"/>
      <c r="H286" s="66"/>
      <c r="I286" s="8"/>
      <c r="J286" s="66"/>
      <c r="K286" s="66"/>
      <c r="L286" s="66"/>
      <c r="M286" s="8"/>
      <c r="N286" s="66"/>
      <c r="O286" s="66"/>
      <c r="P286" s="66"/>
      <c r="Q286" s="8"/>
      <c r="R286" s="66"/>
      <c r="S286" s="66"/>
      <c r="T286" s="66"/>
      <c r="U286" s="8"/>
      <c r="V286" s="66"/>
      <c r="W286" s="66"/>
      <c r="X286" s="66"/>
      <c r="Y286" s="189"/>
      <c r="Z286" s="184"/>
      <c r="AA286" s="184"/>
      <c r="AB286" s="184"/>
      <c r="AC286" s="8"/>
      <c r="AD286" s="66"/>
      <c r="AE286" s="66"/>
      <c r="AF286" s="66"/>
      <c r="AG286" s="190"/>
      <c r="AH286" s="191"/>
      <c r="AI286" s="190"/>
      <c r="AJ286" s="190"/>
      <c r="AK286" s="66"/>
      <c r="AL286" s="66"/>
      <c r="AM286" s="66"/>
      <c r="AN286" s="66"/>
      <c r="AO286" s="66"/>
      <c r="AP286" s="66"/>
      <c r="AQ286" s="66"/>
      <c r="AR286" s="66"/>
      <c r="AS286" s="66"/>
      <c r="AT286" s="66"/>
    </row>
    <row r="287">
      <c r="A287" s="8"/>
      <c r="B287" s="66"/>
      <c r="C287" s="66"/>
      <c r="D287" s="66"/>
      <c r="E287" s="8"/>
      <c r="F287" s="66"/>
      <c r="G287" s="66"/>
      <c r="H287" s="66"/>
      <c r="I287" s="8"/>
      <c r="J287" s="66"/>
      <c r="K287" s="66"/>
      <c r="L287" s="66"/>
      <c r="M287" s="8"/>
      <c r="N287" s="66"/>
      <c r="O287" s="66"/>
      <c r="P287" s="66"/>
      <c r="Q287" s="8"/>
      <c r="R287" s="66"/>
      <c r="S287" s="66"/>
      <c r="T287" s="66"/>
      <c r="U287" s="8"/>
      <c r="V287" s="66"/>
      <c r="W287" s="66"/>
      <c r="X287" s="66"/>
      <c r="Y287" s="189"/>
      <c r="Z287" s="184"/>
      <c r="AA287" s="184"/>
      <c r="AB287" s="184"/>
      <c r="AC287" s="8"/>
      <c r="AD287" s="66"/>
      <c r="AE287" s="66"/>
      <c r="AF287" s="66"/>
      <c r="AG287" s="190"/>
      <c r="AH287" s="191"/>
      <c r="AI287" s="190"/>
      <c r="AJ287" s="190"/>
      <c r="AK287" s="66"/>
      <c r="AL287" s="66"/>
      <c r="AM287" s="66"/>
      <c r="AN287" s="66"/>
      <c r="AO287" s="66"/>
      <c r="AP287" s="66"/>
      <c r="AQ287" s="66"/>
      <c r="AR287" s="66"/>
      <c r="AS287" s="66"/>
      <c r="AT287" s="66"/>
    </row>
    <row r="288">
      <c r="A288" s="8"/>
      <c r="B288" s="66"/>
      <c r="C288" s="66"/>
      <c r="D288" s="66"/>
      <c r="E288" s="8"/>
      <c r="F288" s="66"/>
      <c r="G288" s="66"/>
      <c r="H288" s="66"/>
      <c r="I288" s="8"/>
      <c r="J288" s="66"/>
      <c r="K288" s="66"/>
      <c r="L288" s="66"/>
      <c r="M288" s="8"/>
      <c r="N288" s="66"/>
      <c r="O288" s="66"/>
      <c r="P288" s="66"/>
      <c r="Q288" s="8"/>
      <c r="R288" s="66"/>
      <c r="S288" s="66"/>
      <c r="T288" s="66"/>
      <c r="U288" s="8"/>
      <c r="V288" s="66"/>
      <c r="W288" s="66"/>
      <c r="X288" s="66"/>
      <c r="Y288" s="189"/>
      <c r="Z288" s="184"/>
      <c r="AA288" s="184"/>
      <c r="AB288" s="184"/>
      <c r="AC288" s="8"/>
      <c r="AD288" s="66"/>
      <c r="AE288" s="66"/>
      <c r="AF288" s="66"/>
      <c r="AG288" s="190"/>
      <c r="AH288" s="191"/>
      <c r="AI288" s="190"/>
      <c r="AJ288" s="190"/>
      <c r="AK288" s="66"/>
      <c r="AL288" s="66"/>
      <c r="AM288" s="66"/>
      <c r="AN288" s="66"/>
      <c r="AO288" s="66"/>
      <c r="AP288" s="66"/>
      <c r="AQ288" s="66"/>
      <c r="AR288" s="66"/>
      <c r="AS288" s="66"/>
      <c r="AT288" s="66"/>
    </row>
    <row r="289">
      <c r="A289" s="8"/>
      <c r="B289" s="66"/>
      <c r="C289" s="66"/>
      <c r="D289" s="66"/>
      <c r="E289" s="8"/>
      <c r="F289" s="66"/>
      <c r="G289" s="66"/>
      <c r="H289" s="66"/>
      <c r="I289" s="8"/>
      <c r="J289" s="66"/>
      <c r="K289" s="66"/>
      <c r="L289" s="66"/>
      <c r="M289" s="8"/>
      <c r="N289" s="66"/>
      <c r="O289" s="66"/>
      <c r="P289" s="66"/>
      <c r="Q289" s="8"/>
      <c r="R289" s="66"/>
      <c r="S289" s="66"/>
      <c r="T289" s="66"/>
      <c r="U289" s="8"/>
      <c r="V289" s="66"/>
      <c r="W289" s="66"/>
      <c r="X289" s="66"/>
      <c r="Y289" s="189"/>
      <c r="Z289" s="184"/>
      <c r="AA289" s="184"/>
      <c r="AB289" s="184"/>
      <c r="AC289" s="8"/>
      <c r="AD289" s="66"/>
      <c r="AE289" s="66"/>
      <c r="AF289" s="66"/>
      <c r="AG289" s="190"/>
      <c r="AH289" s="191"/>
      <c r="AI289" s="190"/>
      <c r="AJ289" s="190"/>
      <c r="AK289" s="66"/>
      <c r="AL289" s="66"/>
      <c r="AM289" s="66"/>
      <c r="AN289" s="66"/>
      <c r="AO289" s="66"/>
      <c r="AP289" s="66"/>
      <c r="AQ289" s="66"/>
      <c r="AR289" s="66"/>
      <c r="AS289" s="66"/>
      <c r="AT289" s="66"/>
    </row>
    <row r="290">
      <c r="A290" s="8"/>
      <c r="B290" s="66"/>
      <c r="C290" s="66"/>
      <c r="D290" s="66"/>
      <c r="E290" s="8"/>
      <c r="F290" s="66"/>
      <c r="G290" s="66"/>
      <c r="H290" s="66"/>
      <c r="I290" s="8"/>
      <c r="J290" s="66"/>
      <c r="K290" s="66"/>
      <c r="L290" s="66"/>
      <c r="M290" s="8"/>
      <c r="N290" s="66"/>
      <c r="O290" s="66"/>
      <c r="P290" s="66"/>
      <c r="Q290" s="8"/>
      <c r="R290" s="66"/>
      <c r="S290" s="66"/>
      <c r="T290" s="66"/>
      <c r="U290" s="8"/>
      <c r="V290" s="66"/>
      <c r="W290" s="66"/>
      <c r="X290" s="66"/>
      <c r="Y290" s="189"/>
      <c r="Z290" s="184"/>
      <c r="AA290" s="184"/>
      <c r="AB290" s="184"/>
      <c r="AC290" s="8"/>
      <c r="AD290" s="66"/>
      <c r="AE290" s="66"/>
      <c r="AF290" s="66"/>
      <c r="AG290" s="190"/>
      <c r="AH290" s="191"/>
      <c r="AI290" s="190"/>
      <c r="AJ290" s="190"/>
      <c r="AK290" s="66"/>
      <c r="AL290" s="66"/>
      <c r="AM290" s="66"/>
      <c r="AN290" s="66"/>
      <c r="AO290" s="66"/>
      <c r="AP290" s="66"/>
      <c r="AQ290" s="66"/>
      <c r="AR290" s="66"/>
      <c r="AS290" s="66"/>
      <c r="AT290" s="66"/>
    </row>
    <row r="291">
      <c r="A291" s="8"/>
      <c r="B291" s="66"/>
      <c r="C291" s="66"/>
      <c r="D291" s="66"/>
      <c r="E291" s="8"/>
      <c r="F291" s="66"/>
      <c r="G291" s="66"/>
      <c r="H291" s="66"/>
      <c r="I291" s="8"/>
      <c r="J291" s="66"/>
      <c r="K291" s="66"/>
      <c r="L291" s="66"/>
      <c r="M291" s="8"/>
      <c r="N291" s="66"/>
      <c r="O291" s="66"/>
      <c r="P291" s="66"/>
      <c r="Q291" s="8"/>
      <c r="R291" s="66"/>
      <c r="S291" s="66"/>
      <c r="T291" s="66"/>
      <c r="U291" s="8"/>
      <c r="V291" s="66"/>
      <c r="W291" s="66"/>
      <c r="X291" s="66"/>
      <c r="Y291" s="189"/>
      <c r="Z291" s="184"/>
      <c r="AA291" s="184"/>
      <c r="AB291" s="184"/>
      <c r="AC291" s="8"/>
      <c r="AD291" s="66"/>
      <c r="AE291" s="66"/>
      <c r="AF291" s="66"/>
      <c r="AG291" s="190"/>
      <c r="AH291" s="191"/>
      <c r="AI291" s="190"/>
      <c r="AJ291" s="190"/>
      <c r="AK291" s="66"/>
      <c r="AL291" s="66"/>
      <c r="AM291" s="66"/>
      <c r="AN291" s="66"/>
      <c r="AO291" s="66"/>
      <c r="AP291" s="66"/>
      <c r="AQ291" s="66"/>
      <c r="AR291" s="66"/>
      <c r="AS291" s="66"/>
      <c r="AT291" s="66"/>
    </row>
    <row r="292">
      <c r="A292" s="8"/>
      <c r="B292" s="66"/>
      <c r="C292" s="66"/>
      <c r="D292" s="66"/>
      <c r="E292" s="8"/>
      <c r="F292" s="66"/>
      <c r="G292" s="66"/>
      <c r="H292" s="66"/>
      <c r="I292" s="8"/>
      <c r="J292" s="66"/>
      <c r="K292" s="66"/>
      <c r="L292" s="66"/>
      <c r="M292" s="8"/>
      <c r="N292" s="66"/>
      <c r="O292" s="66"/>
      <c r="P292" s="66"/>
      <c r="Q292" s="8"/>
      <c r="R292" s="66"/>
      <c r="S292" s="66"/>
      <c r="T292" s="66"/>
      <c r="U292" s="8"/>
      <c r="V292" s="66"/>
      <c r="W292" s="66"/>
      <c r="X292" s="66"/>
      <c r="Y292" s="189"/>
      <c r="Z292" s="184"/>
      <c r="AA292" s="184"/>
      <c r="AB292" s="184"/>
      <c r="AC292" s="8"/>
      <c r="AD292" s="66"/>
      <c r="AE292" s="66"/>
      <c r="AF292" s="66"/>
      <c r="AG292" s="190"/>
      <c r="AH292" s="191"/>
      <c r="AI292" s="190"/>
      <c r="AJ292" s="190"/>
      <c r="AK292" s="66"/>
      <c r="AL292" s="66"/>
      <c r="AM292" s="66"/>
      <c r="AN292" s="66"/>
      <c r="AO292" s="66"/>
      <c r="AP292" s="66"/>
      <c r="AQ292" s="66"/>
      <c r="AR292" s="66"/>
      <c r="AS292" s="66"/>
      <c r="AT292" s="66"/>
    </row>
    <row r="293">
      <c r="A293" s="8"/>
      <c r="B293" s="66"/>
      <c r="C293" s="66"/>
      <c r="D293" s="66"/>
      <c r="E293" s="8"/>
      <c r="F293" s="66"/>
      <c r="G293" s="66"/>
      <c r="H293" s="66"/>
      <c r="I293" s="8"/>
      <c r="J293" s="66"/>
      <c r="K293" s="66"/>
      <c r="L293" s="66"/>
      <c r="M293" s="8"/>
      <c r="N293" s="66"/>
      <c r="O293" s="66"/>
      <c r="P293" s="66"/>
      <c r="Q293" s="8"/>
      <c r="R293" s="66"/>
      <c r="S293" s="66"/>
      <c r="T293" s="66"/>
      <c r="U293" s="8"/>
      <c r="V293" s="66"/>
      <c r="W293" s="66"/>
      <c r="X293" s="66"/>
      <c r="Y293" s="189"/>
      <c r="Z293" s="184"/>
      <c r="AA293" s="184"/>
      <c r="AB293" s="184"/>
      <c r="AC293" s="8"/>
      <c r="AD293" s="66"/>
      <c r="AE293" s="66"/>
      <c r="AF293" s="66"/>
      <c r="AG293" s="190"/>
      <c r="AH293" s="191"/>
      <c r="AI293" s="190"/>
      <c r="AJ293" s="190"/>
      <c r="AK293" s="66"/>
      <c r="AL293" s="66"/>
      <c r="AM293" s="66"/>
      <c r="AN293" s="66"/>
      <c r="AO293" s="66"/>
      <c r="AP293" s="66"/>
      <c r="AQ293" s="66"/>
      <c r="AR293" s="66"/>
      <c r="AS293" s="66"/>
      <c r="AT293" s="66"/>
    </row>
    <row r="294">
      <c r="A294" s="8"/>
      <c r="B294" s="66"/>
      <c r="C294" s="66"/>
      <c r="D294" s="66"/>
      <c r="E294" s="8"/>
      <c r="F294" s="66"/>
      <c r="G294" s="66"/>
      <c r="H294" s="66"/>
      <c r="I294" s="8"/>
      <c r="J294" s="66"/>
      <c r="K294" s="66"/>
      <c r="L294" s="66"/>
      <c r="M294" s="8"/>
      <c r="N294" s="66"/>
      <c r="O294" s="66"/>
      <c r="P294" s="66"/>
      <c r="Q294" s="8"/>
      <c r="R294" s="66"/>
      <c r="S294" s="66"/>
      <c r="T294" s="66"/>
      <c r="U294" s="8"/>
      <c r="V294" s="66"/>
      <c r="W294" s="66"/>
      <c r="X294" s="66"/>
      <c r="Y294" s="189"/>
      <c r="Z294" s="184"/>
      <c r="AA294" s="184"/>
      <c r="AB294" s="184"/>
      <c r="AC294" s="8"/>
      <c r="AD294" s="66"/>
      <c r="AE294" s="66"/>
      <c r="AF294" s="66"/>
      <c r="AG294" s="190"/>
      <c r="AH294" s="191"/>
      <c r="AI294" s="190"/>
      <c r="AJ294" s="190"/>
      <c r="AK294" s="66"/>
      <c r="AL294" s="66"/>
      <c r="AM294" s="66"/>
      <c r="AN294" s="66"/>
      <c r="AO294" s="66"/>
      <c r="AP294" s="66"/>
      <c r="AQ294" s="66"/>
      <c r="AR294" s="66"/>
      <c r="AS294" s="66"/>
      <c r="AT294" s="66"/>
    </row>
    <row r="295">
      <c r="A295" s="8"/>
      <c r="B295" s="66"/>
      <c r="C295" s="66"/>
      <c r="D295" s="66"/>
      <c r="E295" s="8"/>
      <c r="F295" s="66"/>
      <c r="G295" s="66"/>
      <c r="H295" s="66"/>
      <c r="I295" s="8"/>
      <c r="J295" s="66"/>
      <c r="K295" s="66"/>
      <c r="L295" s="66"/>
      <c r="M295" s="8"/>
      <c r="N295" s="66"/>
      <c r="O295" s="66"/>
      <c r="P295" s="66"/>
      <c r="Q295" s="8"/>
      <c r="R295" s="66"/>
      <c r="S295" s="66"/>
      <c r="T295" s="66"/>
      <c r="U295" s="8"/>
      <c r="V295" s="66"/>
      <c r="W295" s="66"/>
      <c r="X295" s="66"/>
      <c r="Y295" s="189"/>
      <c r="Z295" s="184"/>
      <c r="AA295" s="184"/>
      <c r="AB295" s="184"/>
      <c r="AC295" s="8"/>
      <c r="AD295" s="66"/>
      <c r="AE295" s="66"/>
      <c r="AF295" s="66"/>
      <c r="AG295" s="190"/>
      <c r="AH295" s="191"/>
      <c r="AI295" s="190"/>
      <c r="AJ295" s="190"/>
      <c r="AK295" s="66"/>
      <c r="AL295" s="66"/>
      <c r="AM295" s="66"/>
      <c r="AN295" s="66"/>
      <c r="AO295" s="66"/>
      <c r="AP295" s="66"/>
      <c r="AQ295" s="66"/>
      <c r="AR295" s="66"/>
      <c r="AS295" s="66"/>
      <c r="AT295" s="66"/>
    </row>
    <row r="296">
      <c r="A296" s="8"/>
      <c r="B296" s="66"/>
      <c r="C296" s="66"/>
      <c r="D296" s="66"/>
      <c r="E296" s="8"/>
      <c r="F296" s="66"/>
      <c r="G296" s="66"/>
      <c r="H296" s="66"/>
      <c r="I296" s="8"/>
      <c r="J296" s="66"/>
      <c r="K296" s="66"/>
      <c r="L296" s="66"/>
      <c r="M296" s="8"/>
      <c r="N296" s="66"/>
      <c r="O296" s="66"/>
      <c r="P296" s="66"/>
      <c r="Q296" s="8"/>
      <c r="R296" s="66"/>
      <c r="S296" s="66"/>
      <c r="T296" s="66"/>
      <c r="U296" s="8"/>
      <c r="V296" s="66"/>
      <c r="W296" s="66"/>
      <c r="X296" s="66"/>
      <c r="Y296" s="189"/>
      <c r="Z296" s="184"/>
      <c r="AA296" s="184"/>
      <c r="AB296" s="184"/>
      <c r="AC296" s="8"/>
      <c r="AD296" s="66"/>
      <c r="AE296" s="66"/>
      <c r="AF296" s="66"/>
      <c r="AG296" s="190"/>
      <c r="AH296" s="191"/>
      <c r="AI296" s="190"/>
      <c r="AJ296" s="190"/>
      <c r="AK296" s="66"/>
      <c r="AL296" s="66"/>
      <c r="AM296" s="66"/>
      <c r="AN296" s="66"/>
      <c r="AO296" s="66"/>
      <c r="AP296" s="66"/>
      <c r="AQ296" s="66"/>
      <c r="AR296" s="66"/>
      <c r="AS296" s="66"/>
      <c r="AT296" s="66"/>
    </row>
    <row r="297">
      <c r="A297" s="8"/>
      <c r="B297" s="66"/>
      <c r="C297" s="66"/>
      <c r="D297" s="66"/>
      <c r="E297" s="8"/>
      <c r="F297" s="66"/>
      <c r="G297" s="66"/>
      <c r="H297" s="66"/>
      <c r="I297" s="8"/>
      <c r="J297" s="66"/>
      <c r="K297" s="66"/>
      <c r="L297" s="66"/>
      <c r="M297" s="8"/>
      <c r="N297" s="66"/>
      <c r="O297" s="66"/>
      <c r="P297" s="66"/>
      <c r="Q297" s="8"/>
      <c r="R297" s="66"/>
      <c r="S297" s="66"/>
      <c r="T297" s="66"/>
      <c r="U297" s="8"/>
      <c r="V297" s="66"/>
      <c r="W297" s="66"/>
      <c r="X297" s="66"/>
      <c r="Y297" s="189"/>
      <c r="Z297" s="184"/>
      <c r="AA297" s="184"/>
      <c r="AB297" s="184"/>
      <c r="AC297" s="8"/>
      <c r="AD297" s="66"/>
      <c r="AE297" s="66"/>
      <c r="AF297" s="66"/>
      <c r="AG297" s="190"/>
      <c r="AH297" s="191"/>
      <c r="AI297" s="190"/>
      <c r="AJ297" s="190"/>
      <c r="AK297" s="66"/>
      <c r="AL297" s="66"/>
      <c r="AM297" s="66"/>
      <c r="AN297" s="66"/>
      <c r="AO297" s="66"/>
      <c r="AP297" s="66"/>
      <c r="AQ297" s="66"/>
      <c r="AR297" s="66"/>
      <c r="AS297" s="66"/>
      <c r="AT297" s="66"/>
    </row>
    <row r="298">
      <c r="A298" s="8"/>
      <c r="B298" s="66"/>
      <c r="C298" s="66"/>
      <c r="D298" s="66"/>
      <c r="E298" s="8"/>
      <c r="F298" s="66"/>
      <c r="G298" s="66"/>
      <c r="H298" s="66"/>
      <c r="I298" s="8"/>
      <c r="J298" s="66"/>
      <c r="K298" s="66"/>
      <c r="L298" s="66"/>
      <c r="M298" s="8"/>
      <c r="N298" s="66"/>
      <c r="O298" s="66"/>
      <c r="P298" s="66"/>
      <c r="Q298" s="8"/>
      <c r="R298" s="66"/>
      <c r="S298" s="66"/>
      <c r="T298" s="66"/>
      <c r="U298" s="8"/>
      <c r="V298" s="66"/>
      <c r="W298" s="66"/>
      <c r="X298" s="66"/>
      <c r="Y298" s="189"/>
      <c r="Z298" s="184"/>
      <c r="AA298" s="184"/>
      <c r="AB298" s="184"/>
      <c r="AC298" s="8"/>
      <c r="AD298" s="66"/>
      <c r="AE298" s="66"/>
      <c r="AF298" s="66"/>
      <c r="AG298" s="190"/>
      <c r="AH298" s="191"/>
      <c r="AI298" s="190"/>
      <c r="AJ298" s="190"/>
      <c r="AK298" s="66"/>
      <c r="AL298" s="66"/>
      <c r="AM298" s="66"/>
      <c r="AN298" s="66"/>
      <c r="AO298" s="66"/>
      <c r="AP298" s="66"/>
      <c r="AQ298" s="66"/>
      <c r="AR298" s="66"/>
      <c r="AS298" s="66"/>
      <c r="AT298" s="66"/>
    </row>
    <row r="299">
      <c r="A299" s="8"/>
      <c r="B299" s="66"/>
      <c r="C299" s="66"/>
      <c r="D299" s="66"/>
      <c r="E299" s="8"/>
      <c r="F299" s="66"/>
      <c r="G299" s="66"/>
      <c r="H299" s="66"/>
      <c r="I299" s="8"/>
      <c r="J299" s="66"/>
      <c r="K299" s="66"/>
      <c r="L299" s="66"/>
      <c r="M299" s="8"/>
      <c r="N299" s="66"/>
      <c r="O299" s="66"/>
      <c r="P299" s="66"/>
      <c r="Q299" s="8"/>
      <c r="R299" s="66"/>
      <c r="S299" s="66"/>
      <c r="T299" s="66"/>
      <c r="U299" s="8"/>
      <c r="V299" s="66"/>
      <c r="W299" s="66"/>
      <c r="X299" s="66"/>
      <c r="Y299" s="189"/>
      <c r="Z299" s="184"/>
      <c r="AA299" s="184"/>
      <c r="AB299" s="184"/>
      <c r="AC299" s="8"/>
      <c r="AD299" s="66"/>
      <c r="AE299" s="66"/>
      <c r="AF299" s="66"/>
      <c r="AG299" s="190"/>
      <c r="AH299" s="191"/>
      <c r="AI299" s="190"/>
      <c r="AJ299" s="190"/>
      <c r="AK299" s="66"/>
      <c r="AL299" s="66"/>
      <c r="AM299" s="66"/>
      <c r="AN299" s="66"/>
      <c r="AO299" s="66"/>
      <c r="AP299" s="66"/>
      <c r="AQ299" s="66"/>
      <c r="AR299" s="66"/>
      <c r="AS299" s="66"/>
      <c r="AT299" s="66"/>
    </row>
    <row r="300">
      <c r="A300" s="8"/>
      <c r="B300" s="66"/>
      <c r="C300" s="66"/>
      <c r="D300" s="66"/>
      <c r="E300" s="8"/>
      <c r="F300" s="66"/>
      <c r="G300" s="66"/>
      <c r="H300" s="66"/>
      <c r="I300" s="8"/>
      <c r="J300" s="66"/>
      <c r="K300" s="66"/>
      <c r="L300" s="66"/>
      <c r="M300" s="8"/>
      <c r="N300" s="66"/>
      <c r="O300" s="66"/>
      <c r="P300" s="66"/>
      <c r="Q300" s="8"/>
      <c r="R300" s="66"/>
      <c r="S300" s="66"/>
      <c r="T300" s="66"/>
      <c r="U300" s="8"/>
      <c r="V300" s="66"/>
      <c r="W300" s="66"/>
      <c r="X300" s="66"/>
      <c r="Y300" s="189"/>
      <c r="Z300" s="184"/>
      <c r="AA300" s="184"/>
      <c r="AB300" s="184"/>
      <c r="AC300" s="8"/>
      <c r="AD300" s="66"/>
      <c r="AE300" s="66"/>
      <c r="AF300" s="66"/>
      <c r="AG300" s="190"/>
      <c r="AH300" s="191"/>
      <c r="AI300" s="190"/>
      <c r="AJ300" s="190"/>
      <c r="AK300" s="66"/>
      <c r="AL300" s="66"/>
      <c r="AM300" s="66"/>
      <c r="AN300" s="66"/>
      <c r="AO300" s="66"/>
      <c r="AP300" s="66"/>
      <c r="AQ300" s="66"/>
      <c r="AR300" s="66"/>
      <c r="AS300" s="66"/>
      <c r="AT300" s="66"/>
    </row>
    <row r="301">
      <c r="A301" s="8"/>
      <c r="B301" s="66"/>
      <c r="C301" s="66"/>
      <c r="D301" s="66"/>
      <c r="E301" s="8"/>
      <c r="F301" s="66"/>
      <c r="G301" s="66"/>
      <c r="H301" s="66"/>
      <c r="I301" s="8"/>
      <c r="J301" s="66"/>
      <c r="K301" s="66"/>
      <c r="L301" s="66"/>
      <c r="M301" s="8"/>
      <c r="N301" s="66"/>
      <c r="O301" s="66"/>
      <c r="P301" s="66"/>
      <c r="Q301" s="8"/>
      <c r="R301" s="66"/>
      <c r="S301" s="66"/>
      <c r="T301" s="66"/>
      <c r="U301" s="8"/>
      <c r="V301" s="66"/>
      <c r="W301" s="66"/>
      <c r="X301" s="66"/>
      <c r="Y301" s="189"/>
      <c r="Z301" s="184"/>
      <c r="AA301" s="184"/>
      <c r="AB301" s="184"/>
      <c r="AC301" s="8"/>
      <c r="AD301" s="66"/>
      <c r="AE301" s="66"/>
      <c r="AF301" s="66"/>
      <c r="AG301" s="190"/>
      <c r="AH301" s="191"/>
      <c r="AI301" s="190"/>
      <c r="AJ301" s="190"/>
      <c r="AK301" s="66"/>
      <c r="AL301" s="66"/>
      <c r="AM301" s="66"/>
      <c r="AN301" s="66"/>
      <c r="AO301" s="66"/>
      <c r="AP301" s="66"/>
      <c r="AQ301" s="66"/>
      <c r="AR301" s="66"/>
      <c r="AS301" s="66"/>
      <c r="AT301" s="66"/>
    </row>
    <row r="302">
      <c r="A302" s="8"/>
      <c r="B302" s="66"/>
      <c r="C302" s="66"/>
      <c r="D302" s="66"/>
      <c r="E302" s="8"/>
      <c r="F302" s="66"/>
      <c r="G302" s="66"/>
      <c r="H302" s="66"/>
      <c r="I302" s="8"/>
      <c r="J302" s="66"/>
      <c r="K302" s="66"/>
      <c r="L302" s="66"/>
      <c r="M302" s="8"/>
      <c r="N302" s="66"/>
      <c r="O302" s="66"/>
      <c r="P302" s="66"/>
      <c r="Q302" s="8"/>
      <c r="R302" s="66"/>
      <c r="S302" s="66"/>
      <c r="T302" s="66"/>
      <c r="U302" s="8"/>
      <c r="V302" s="66"/>
      <c r="W302" s="66"/>
      <c r="X302" s="66"/>
      <c r="Y302" s="189"/>
      <c r="Z302" s="184"/>
      <c r="AA302" s="184"/>
      <c r="AB302" s="184"/>
      <c r="AC302" s="8"/>
      <c r="AD302" s="66"/>
      <c r="AE302" s="66"/>
      <c r="AF302" s="66"/>
      <c r="AG302" s="190"/>
      <c r="AH302" s="191"/>
      <c r="AI302" s="190"/>
      <c r="AJ302" s="190"/>
      <c r="AK302" s="66"/>
      <c r="AL302" s="66"/>
      <c r="AM302" s="66"/>
      <c r="AN302" s="66"/>
      <c r="AO302" s="66"/>
      <c r="AP302" s="66"/>
      <c r="AQ302" s="66"/>
      <c r="AR302" s="66"/>
      <c r="AS302" s="66"/>
      <c r="AT302" s="66"/>
    </row>
    <row r="303">
      <c r="A303" s="8"/>
      <c r="B303" s="66"/>
      <c r="C303" s="66"/>
      <c r="D303" s="66"/>
      <c r="E303" s="8"/>
      <c r="F303" s="66"/>
      <c r="G303" s="66"/>
      <c r="H303" s="66"/>
      <c r="I303" s="8"/>
      <c r="J303" s="66"/>
      <c r="K303" s="66"/>
      <c r="L303" s="66"/>
      <c r="M303" s="8"/>
      <c r="N303" s="66"/>
      <c r="O303" s="66"/>
      <c r="P303" s="66"/>
      <c r="Q303" s="8"/>
      <c r="R303" s="66"/>
      <c r="S303" s="66"/>
      <c r="T303" s="66"/>
      <c r="U303" s="8"/>
      <c r="V303" s="66"/>
      <c r="W303" s="66"/>
      <c r="X303" s="66"/>
      <c r="Y303" s="189"/>
      <c r="Z303" s="184"/>
      <c r="AA303" s="184"/>
      <c r="AB303" s="184"/>
      <c r="AC303" s="8"/>
      <c r="AD303" s="66"/>
      <c r="AE303" s="66"/>
      <c r="AF303" s="66"/>
      <c r="AG303" s="190"/>
      <c r="AH303" s="191"/>
      <c r="AI303" s="190"/>
      <c r="AJ303" s="190"/>
      <c r="AK303" s="66"/>
      <c r="AL303" s="66"/>
      <c r="AM303" s="66"/>
      <c r="AN303" s="66"/>
      <c r="AO303" s="66"/>
      <c r="AP303" s="66"/>
      <c r="AQ303" s="66"/>
      <c r="AR303" s="66"/>
      <c r="AS303" s="66"/>
      <c r="AT303" s="66"/>
    </row>
    <row r="304">
      <c r="A304" s="8"/>
      <c r="B304" s="66"/>
      <c r="C304" s="66"/>
      <c r="D304" s="66"/>
      <c r="E304" s="8"/>
      <c r="F304" s="66"/>
      <c r="G304" s="66"/>
      <c r="H304" s="66"/>
      <c r="I304" s="8"/>
      <c r="J304" s="66"/>
      <c r="K304" s="66"/>
      <c r="L304" s="66"/>
      <c r="M304" s="8"/>
      <c r="N304" s="66"/>
      <c r="O304" s="66"/>
      <c r="P304" s="66"/>
      <c r="Q304" s="8"/>
      <c r="R304" s="66"/>
      <c r="S304" s="66"/>
      <c r="T304" s="66"/>
      <c r="U304" s="8"/>
      <c r="V304" s="66"/>
      <c r="W304" s="66"/>
      <c r="X304" s="66"/>
      <c r="Y304" s="189"/>
      <c r="Z304" s="184"/>
      <c r="AA304" s="184"/>
      <c r="AB304" s="184"/>
      <c r="AC304" s="8"/>
      <c r="AD304" s="66"/>
      <c r="AE304" s="66"/>
      <c r="AF304" s="66"/>
      <c r="AG304" s="190"/>
      <c r="AH304" s="191"/>
      <c r="AI304" s="190"/>
      <c r="AJ304" s="190"/>
      <c r="AK304" s="66"/>
      <c r="AL304" s="66"/>
      <c r="AM304" s="66"/>
      <c r="AN304" s="66"/>
      <c r="AO304" s="66"/>
      <c r="AP304" s="66"/>
      <c r="AQ304" s="66"/>
      <c r="AR304" s="66"/>
      <c r="AS304" s="66"/>
      <c r="AT304" s="66"/>
    </row>
    <row r="305">
      <c r="A305" s="8"/>
      <c r="B305" s="66"/>
      <c r="C305" s="66"/>
      <c r="D305" s="66"/>
      <c r="E305" s="8"/>
      <c r="F305" s="66"/>
      <c r="G305" s="66"/>
      <c r="H305" s="66"/>
      <c r="I305" s="8"/>
      <c r="J305" s="66"/>
      <c r="K305" s="66"/>
      <c r="L305" s="66"/>
      <c r="M305" s="8"/>
      <c r="N305" s="66"/>
      <c r="O305" s="66"/>
      <c r="P305" s="66"/>
      <c r="Q305" s="8"/>
      <c r="R305" s="66"/>
      <c r="S305" s="66"/>
      <c r="T305" s="66"/>
      <c r="U305" s="8"/>
      <c r="V305" s="66"/>
      <c r="W305" s="66"/>
      <c r="X305" s="66"/>
      <c r="Y305" s="189"/>
      <c r="Z305" s="184"/>
      <c r="AA305" s="184"/>
      <c r="AB305" s="184"/>
      <c r="AC305" s="8"/>
      <c r="AD305" s="66"/>
      <c r="AE305" s="66"/>
      <c r="AF305" s="66"/>
      <c r="AG305" s="190"/>
      <c r="AH305" s="191"/>
      <c r="AI305" s="190"/>
      <c r="AJ305" s="190"/>
      <c r="AK305" s="66"/>
      <c r="AL305" s="66"/>
      <c r="AM305" s="66"/>
      <c r="AN305" s="66"/>
      <c r="AO305" s="66"/>
      <c r="AP305" s="66"/>
      <c r="AQ305" s="66"/>
      <c r="AR305" s="66"/>
      <c r="AS305" s="66"/>
      <c r="AT305" s="66"/>
    </row>
    <row r="306">
      <c r="A306" s="8"/>
      <c r="B306" s="66"/>
      <c r="C306" s="66"/>
      <c r="D306" s="66"/>
      <c r="E306" s="8"/>
      <c r="F306" s="66"/>
      <c r="G306" s="66"/>
      <c r="H306" s="66"/>
      <c r="I306" s="8"/>
      <c r="J306" s="66"/>
      <c r="K306" s="66"/>
      <c r="L306" s="66"/>
      <c r="M306" s="8"/>
      <c r="N306" s="66"/>
      <c r="O306" s="66"/>
      <c r="P306" s="66"/>
      <c r="Q306" s="8"/>
      <c r="R306" s="66"/>
      <c r="S306" s="66"/>
      <c r="T306" s="66"/>
      <c r="U306" s="8"/>
      <c r="V306" s="66"/>
      <c r="W306" s="66"/>
      <c r="X306" s="66"/>
      <c r="Y306" s="189"/>
      <c r="Z306" s="184"/>
      <c r="AA306" s="184"/>
      <c r="AB306" s="184"/>
      <c r="AC306" s="8"/>
      <c r="AD306" s="66"/>
      <c r="AE306" s="66"/>
      <c r="AF306" s="66"/>
      <c r="AG306" s="190"/>
      <c r="AH306" s="191"/>
      <c r="AI306" s="190"/>
      <c r="AJ306" s="190"/>
      <c r="AK306" s="66"/>
      <c r="AL306" s="66"/>
      <c r="AM306" s="66"/>
      <c r="AN306" s="66"/>
      <c r="AO306" s="66"/>
      <c r="AP306" s="66"/>
      <c r="AQ306" s="66"/>
      <c r="AR306" s="66"/>
      <c r="AS306" s="66"/>
      <c r="AT306" s="66"/>
    </row>
    <row r="307">
      <c r="A307" s="8"/>
      <c r="B307" s="66"/>
      <c r="C307" s="66"/>
      <c r="D307" s="66"/>
      <c r="E307" s="8"/>
      <c r="F307" s="66"/>
      <c r="G307" s="66"/>
      <c r="H307" s="66"/>
      <c r="I307" s="8"/>
      <c r="J307" s="66"/>
      <c r="K307" s="66"/>
      <c r="L307" s="66"/>
      <c r="M307" s="8"/>
      <c r="N307" s="66"/>
      <c r="O307" s="66"/>
      <c r="P307" s="66"/>
      <c r="Q307" s="8"/>
      <c r="R307" s="66"/>
      <c r="S307" s="66"/>
      <c r="T307" s="66"/>
      <c r="U307" s="8"/>
      <c r="V307" s="66"/>
      <c r="W307" s="66"/>
      <c r="X307" s="66"/>
      <c r="Y307" s="189"/>
      <c r="Z307" s="184"/>
      <c r="AA307" s="184"/>
      <c r="AB307" s="184"/>
      <c r="AC307" s="8"/>
      <c r="AD307" s="66"/>
      <c r="AE307" s="66"/>
      <c r="AF307" s="66"/>
      <c r="AG307" s="190"/>
      <c r="AH307" s="191"/>
      <c r="AI307" s="190"/>
      <c r="AJ307" s="190"/>
      <c r="AK307" s="66"/>
      <c r="AL307" s="66"/>
      <c r="AM307" s="66"/>
      <c r="AN307" s="66"/>
      <c r="AO307" s="66"/>
      <c r="AP307" s="66"/>
      <c r="AQ307" s="66"/>
      <c r="AR307" s="66"/>
      <c r="AS307" s="66"/>
      <c r="AT307" s="66"/>
    </row>
    <row r="308">
      <c r="A308" s="8"/>
      <c r="B308" s="66"/>
      <c r="C308" s="66"/>
      <c r="D308" s="66"/>
      <c r="E308" s="8"/>
      <c r="F308" s="66"/>
      <c r="G308" s="66"/>
      <c r="H308" s="66"/>
      <c r="I308" s="8"/>
      <c r="J308" s="66"/>
      <c r="K308" s="66"/>
      <c r="L308" s="66"/>
      <c r="M308" s="8"/>
      <c r="N308" s="66"/>
      <c r="O308" s="66"/>
      <c r="P308" s="66"/>
      <c r="Q308" s="8"/>
      <c r="R308" s="66"/>
      <c r="S308" s="66"/>
      <c r="T308" s="66"/>
      <c r="U308" s="8"/>
      <c r="V308" s="66"/>
      <c r="W308" s="66"/>
      <c r="X308" s="66"/>
      <c r="Y308" s="189"/>
      <c r="Z308" s="184"/>
      <c r="AA308" s="184"/>
      <c r="AB308" s="184"/>
      <c r="AC308" s="8"/>
      <c r="AD308" s="66"/>
      <c r="AE308" s="66"/>
      <c r="AF308" s="66"/>
      <c r="AG308" s="190"/>
      <c r="AH308" s="191"/>
      <c r="AI308" s="190"/>
      <c r="AJ308" s="190"/>
      <c r="AK308" s="66"/>
      <c r="AL308" s="66"/>
      <c r="AM308" s="66"/>
      <c r="AN308" s="66"/>
      <c r="AO308" s="66"/>
      <c r="AP308" s="66"/>
      <c r="AQ308" s="66"/>
      <c r="AR308" s="66"/>
      <c r="AS308" s="66"/>
      <c r="AT308" s="66"/>
    </row>
    <row r="309">
      <c r="A309" s="8"/>
      <c r="B309" s="66"/>
      <c r="C309" s="66"/>
      <c r="D309" s="66"/>
      <c r="E309" s="8"/>
      <c r="F309" s="66"/>
      <c r="G309" s="66"/>
      <c r="H309" s="66"/>
      <c r="I309" s="8"/>
      <c r="J309" s="66"/>
      <c r="K309" s="66"/>
      <c r="L309" s="66"/>
      <c r="M309" s="8"/>
      <c r="N309" s="66"/>
      <c r="O309" s="66"/>
      <c r="P309" s="66"/>
      <c r="Q309" s="8"/>
      <c r="R309" s="66"/>
      <c r="S309" s="66"/>
      <c r="T309" s="66"/>
      <c r="U309" s="8"/>
      <c r="V309" s="66"/>
      <c r="W309" s="66"/>
      <c r="X309" s="66"/>
      <c r="Y309" s="189"/>
      <c r="Z309" s="184"/>
      <c r="AA309" s="184"/>
      <c r="AB309" s="184"/>
      <c r="AC309" s="8"/>
      <c r="AD309" s="66"/>
      <c r="AE309" s="66"/>
      <c r="AF309" s="66"/>
      <c r="AG309" s="190"/>
      <c r="AH309" s="191"/>
      <c r="AI309" s="190"/>
      <c r="AJ309" s="190"/>
      <c r="AK309" s="66"/>
      <c r="AL309" s="66"/>
      <c r="AM309" s="66"/>
      <c r="AN309" s="66"/>
      <c r="AO309" s="66"/>
      <c r="AP309" s="66"/>
      <c r="AQ309" s="66"/>
      <c r="AR309" s="66"/>
      <c r="AS309" s="66"/>
      <c r="AT309" s="66"/>
    </row>
    <row r="310">
      <c r="A310" s="8"/>
      <c r="B310" s="66"/>
      <c r="C310" s="66"/>
      <c r="D310" s="66"/>
      <c r="E310" s="8"/>
      <c r="F310" s="66"/>
      <c r="G310" s="66"/>
      <c r="H310" s="66"/>
      <c r="I310" s="8"/>
      <c r="J310" s="66"/>
      <c r="K310" s="66"/>
      <c r="L310" s="66"/>
      <c r="M310" s="8"/>
      <c r="N310" s="66"/>
      <c r="O310" s="66"/>
      <c r="P310" s="66"/>
      <c r="Q310" s="8"/>
      <c r="R310" s="66"/>
      <c r="S310" s="66"/>
      <c r="T310" s="66"/>
      <c r="U310" s="8"/>
      <c r="V310" s="66"/>
      <c r="W310" s="66"/>
      <c r="X310" s="66"/>
      <c r="Y310" s="189"/>
      <c r="Z310" s="184"/>
      <c r="AA310" s="184"/>
      <c r="AB310" s="184"/>
      <c r="AC310" s="8"/>
      <c r="AD310" s="66"/>
      <c r="AE310" s="66"/>
      <c r="AF310" s="66"/>
      <c r="AG310" s="190"/>
      <c r="AH310" s="191"/>
      <c r="AI310" s="190"/>
      <c r="AJ310" s="190"/>
      <c r="AK310" s="66"/>
      <c r="AL310" s="66"/>
      <c r="AM310" s="66"/>
      <c r="AN310" s="66"/>
      <c r="AO310" s="66"/>
      <c r="AP310" s="66"/>
      <c r="AQ310" s="66"/>
      <c r="AR310" s="66"/>
      <c r="AS310" s="66"/>
      <c r="AT310" s="66"/>
    </row>
    <row r="311">
      <c r="A311" s="8"/>
      <c r="B311" s="66"/>
      <c r="C311" s="66"/>
      <c r="D311" s="66"/>
      <c r="E311" s="8"/>
      <c r="F311" s="66"/>
      <c r="G311" s="66"/>
      <c r="H311" s="66"/>
      <c r="I311" s="8"/>
      <c r="J311" s="66"/>
      <c r="K311" s="66"/>
      <c r="L311" s="66"/>
      <c r="M311" s="8"/>
      <c r="N311" s="66"/>
      <c r="O311" s="66"/>
      <c r="P311" s="66"/>
      <c r="Q311" s="8"/>
      <c r="R311" s="66"/>
      <c r="S311" s="66"/>
      <c r="T311" s="66"/>
      <c r="U311" s="8"/>
      <c r="V311" s="66"/>
      <c r="W311" s="66"/>
      <c r="X311" s="66"/>
      <c r="Y311" s="189"/>
      <c r="Z311" s="184"/>
      <c r="AA311" s="184"/>
      <c r="AB311" s="184"/>
      <c r="AC311" s="8"/>
      <c r="AD311" s="66"/>
      <c r="AE311" s="66"/>
      <c r="AF311" s="66"/>
      <c r="AG311" s="190"/>
      <c r="AH311" s="191"/>
      <c r="AI311" s="190"/>
      <c r="AJ311" s="190"/>
      <c r="AK311" s="66"/>
      <c r="AL311" s="66"/>
      <c r="AM311" s="66"/>
      <c r="AN311" s="66"/>
      <c r="AO311" s="66"/>
      <c r="AP311" s="66"/>
      <c r="AQ311" s="66"/>
      <c r="AR311" s="66"/>
      <c r="AS311" s="66"/>
      <c r="AT311" s="66"/>
    </row>
    <row r="312">
      <c r="A312" s="8"/>
      <c r="B312" s="66"/>
      <c r="C312" s="66"/>
      <c r="D312" s="66"/>
      <c r="E312" s="8"/>
      <c r="F312" s="66"/>
      <c r="G312" s="66"/>
      <c r="H312" s="66"/>
      <c r="I312" s="8"/>
      <c r="J312" s="66"/>
      <c r="K312" s="66"/>
      <c r="L312" s="66"/>
      <c r="M312" s="8"/>
      <c r="N312" s="66"/>
      <c r="O312" s="66"/>
      <c r="P312" s="66"/>
      <c r="Q312" s="8"/>
      <c r="R312" s="66"/>
      <c r="S312" s="66"/>
      <c r="T312" s="66"/>
      <c r="U312" s="8"/>
      <c r="V312" s="66"/>
      <c r="W312" s="66"/>
      <c r="X312" s="66"/>
      <c r="Y312" s="189"/>
      <c r="Z312" s="184"/>
      <c r="AA312" s="184"/>
      <c r="AB312" s="184"/>
      <c r="AC312" s="8"/>
      <c r="AD312" s="66"/>
      <c r="AE312" s="66"/>
      <c r="AF312" s="66"/>
      <c r="AG312" s="190"/>
      <c r="AH312" s="191"/>
      <c r="AI312" s="190"/>
      <c r="AJ312" s="190"/>
      <c r="AK312" s="66"/>
      <c r="AL312" s="66"/>
      <c r="AM312" s="66"/>
      <c r="AN312" s="66"/>
      <c r="AO312" s="66"/>
      <c r="AP312" s="66"/>
      <c r="AQ312" s="66"/>
      <c r="AR312" s="66"/>
      <c r="AS312" s="66"/>
      <c r="AT312" s="66"/>
    </row>
    <row r="313">
      <c r="A313" s="8"/>
      <c r="B313" s="66"/>
      <c r="C313" s="66"/>
      <c r="D313" s="66"/>
      <c r="E313" s="8"/>
      <c r="F313" s="66"/>
      <c r="G313" s="66"/>
      <c r="H313" s="66"/>
      <c r="I313" s="8"/>
      <c r="J313" s="66"/>
      <c r="K313" s="66"/>
      <c r="L313" s="66"/>
      <c r="M313" s="8"/>
      <c r="N313" s="66"/>
      <c r="O313" s="66"/>
      <c r="P313" s="66"/>
      <c r="Q313" s="8"/>
      <c r="R313" s="66"/>
      <c r="S313" s="66"/>
      <c r="T313" s="66"/>
      <c r="U313" s="8"/>
      <c r="V313" s="66"/>
      <c r="W313" s="66"/>
      <c r="X313" s="66"/>
      <c r="Y313" s="189"/>
      <c r="Z313" s="184"/>
      <c r="AA313" s="184"/>
      <c r="AB313" s="184"/>
      <c r="AC313" s="8"/>
      <c r="AD313" s="66"/>
      <c r="AE313" s="66"/>
      <c r="AF313" s="66"/>
      <c r="AG313" s="190"/>
      <c r="AH313" s="191"/>
      <c r="AI313" s="190"/>
      <c r="AJ313" s="190"/>
      <c r="AK313" s="66"/>
      <c r="AL313" s="66"/>
      <c r="AM313" s="66"/>
      <c r="AN313" s="66"/>
      <c r="AO313" s="66"/>
      <c r="AP313" s="66"/>
      <c r="AQ313" s="66"/>
      <c r="AR313" s="66"/>
      <c r="AS313" s="66"/>
      <c r="AT313" s="66"/>
    </row>
    <row r="314">
      <c r="A314" s="8"/>
      <c r="B314" s="66"/>
      <c r="C314" s="66"/>
      <c r="D314" s="66"/>
      <c r="E314" s="8"/>
      <c r="F314" s="66"/>
      <c r="G314" s="66"/>
      <c r="H314" s="66"/>
      <c r="I314" s="8"/>
      <c r="J314" s="66"/>
      <c r="K314" s="66"/>
      <c r="L314" s="66"/>
      <c r="M314" s="8"/>
      <c r="N314" s="66"/>
      <c r="O314" s="66"/>
      <c r="P314" s="66"/>
      <c r="Q314" s="8"/>
      <c r="R314" s="66"/>
      <c r="S314" s="66"/>
      <c r="T314" s="66"/>
      <c r="U314" s="8"/>
      <c r="V314" s="66"/>
      <c r="W314" s="66"/>
      <c r="X314" s="66"/>
      <c r="Y314" s="189"/>
      <c r="Z314" s="184"/>
      <c r="AA314" s="184"/>
      <c r="AB314" s="184"/>
      <c r="AC314" s="8"/>
      <c r="AD314" s="66"/>
      <c r="AE314" s="66"/>
      <c r="AF314" s="66"/>
      <c r="AG314" s="190"/>
      <c r="AH314" s="191"/>
      <c r="AI314" s="190"/>
      <c r="AJ314" s="190"/>
      <c r="AK314" s="66"/>
      <c r="AL314" s="66"/>
      <c r="AM314" s="66"/>
      <c r="AN314" s="66"/>
      <c r="AO314" s="66"/>
      <c r="AP314" s="66"/>
      <c r="AQ314" s="66"/>
      <c r="AR314" s="66"/>
      <c r="AS314" s="66"/>
      <c r="AT314" s="66"/>
    </row>
    <row r="315">
      <c r="A315" s="8"/>
      <c r="B315" s="66"/>
      <c r="C315" s="66"/>
      <c r="D315" s="66"/>
      <c r="E315" s="8"/>
      <c r="F315" s="66"/>
      <c r="G315" s="66"/>
      <c r="H315" s="66"/>
      <c r="I315" s="8"/>
      <c r="J315" s="66"/>
      <c r="K315" s="66"/>
      <c r="L315" s="66"/>
      <c r="M315" s="8"/>
      <c r="N315" s="66"/>
      <c r="O315" s="66"/>
      <c r="P315" s="66"/>
      <c r="Q315" s="8"/>
      <c r="R315" s="66"/>
      <c r="S315" s="66"/>
      <c r="T315" s="66"/>
      <c r="U315" s="8"/>
      <c r="V315" s="66"/>
      <c r="W315" s="66"/>
      <c r="X315" s="66"/>
      <c r="Y315" s="189"/>
      <c r="Z315" s="184"/>
      <c r="AA315" s="184"/>
      <c r="AB315" s="184"/>
      <c r="AC315" s="8"/>
      <c r="AD315" s="66"/>
      <c r="AE315" s="66"/>
      <c r="AF315" s="66"/>
      <c r="AG315" s="190"/>
      <c r="AH315" s="191"/>
      <c r="AI315" s="190"/>
      <c r="AJ315" s="190"/>
      <c r="AK315" s="66"/>
      <c r="AL315" s="66"/>
      <c r="AM315" s="66"/>
      <c r="AN315" s="66"/>
      <c r="AO315" s="66"/>
      <c r="AP315" s="66"/>
      <c r="AQ315" s="66"/>
      <c r="AR315" s="66"/>
      <c r="AS315" s="66"/>
      <c r="AT315" s="66"/>
    </row>
    <row r="316">
      <c r="A316" s="8"/>
      <c r="B316" s="66"/>
      <c r="C316" s="66"/>
      <c r="D316" s="66"/>
      <c r="E316" s="8"/>
      <c r="F316" s="66"/>
      <c r="G316" s="66"/>
      <c r="H316" s="66"/>
      <c r="I316" s="8"/>
      <c r="J316" s="66"/>
      <c r="K316" s="66"/>
      <c r="L316" s="66"/>
      <c r="M316" s="8"/>
      <c r="N316" s="66"/>
      <c r="O316" s="66"/>
      <c r="P316" s="66"/>
      <c r="Q316" s="8"/>
      <c r="R316" s="66"/>
      <c r="S316" s="66"/>
      <c r="T316" s="66"/>
      <c r="U316" s="8"/>
      <c r="V316" s="66"/>
      <c r="W316" s="66"/>
      <c r="X316" s="66"/>
      <c r="Y316" s="189"/>
      <c r="Z316" s="184"/>
      <c r="AA316" s="184"/>
      <c r="AB316" s="184"/>
      <c r="AC316" s="8"/>
      <c r="AD316" s="66"/>
      <c r="AE316" s="66"/>
      <c r="AF316" s="66"/>
      <c r="AG316" s="190"/>
      <c r="AH316" s="191"/>
      <c r="AI316" s="190"/>
      <c r="AJ316" s="190"/>
      <c r="AK316" s="66"/>
      <c r="AL316" s="66"/>
      <c r="AM316" s="66"/>
      <c r="AN316" s="66"/>
      <c r="AO316" s="66"/>
      <c r="AP316" s="66"/>
      <c r="AQ316" s="66"/>
      <c r="AR316" s="66"/>
      <c r="AS316" s="66"/>
      <c r="AT316" s="66"/>
    </row>
    <row r="317">
      <c r="A317" s="8"/>
      <c r="B317" s="66"/>
      <c r="C317" s="66"/>
      <c r="D317" s="66"/>
      <c r="E317" s="8"/>
      <c r="F317" s="66"/>
      <c r="G317" s="66"/>
      <c r="H317" s="66"/>
      <c r="I317" s="8"/>
      <c r="J317" s="66"/>
      <c r="K317" s="66"/>
      <c r="L317" s="66"/>
      <c r="M317" s="8"/>
      <c r="N317" s="66"/>
      <c r="O317" s="66"/>
      <c r="P317" s="66"/>
      <c r="Q317" s="8"/>
      <c r="R317" s="66"/>
      <c r="S317" s="66"/>
      <c r="T317" s="66"/>
      <c r="U317" s="8"/>
      <c r="V317" s="66"/>
      <c r="W317" s="66"/>
      <c r="X317" s="66"/>
      <c r="Y317" s="189"/>
      <c r="Z317" s="184"/>
      <c r="AA317" s="184"/>
      <c r="AB317" s="184"/>
      <c r="AC317" s="8"/>
      <c r="AD317" s="66"/>
      <c r="AE317" s="66"/>
      <c r="AF317" s="66"/>
      <c r="AG317" s="190"/>
      <c r="AH317" s="191"/>
      <c r="AI317" s="190"/>
      <c r="AJ317" s="190"/>
      <c r="AK317" s="66"/>
      <c r="AL317" s="66"/>
      <c r="AM317" s="66"/>
      <c r="AN317" s="66"/>
      <c r="AO317" s="66"/>
      <c r="AP317" s="66"/>
      <c r="AQ317" s="66"/>
      <c r="AR317" s="66"/>
      <c r="AS317" s="66"/>
      <c r="AT317" s="66"/>
    </row>
    <row r="318">
      <c r="A318" s="8"/>
      <c r="B318" s="66"/>
      <c r="C318" s="66"/>
      <c r="D318" s="66"/>
      <c r="E318" s="8"/>
      <c r="F318" s="66"/>
      <c r="G318" s="66"/>
      <c r="H318" s="66"/>
      <c r="I318" s="8"/>
      <c r="J318" s="66"/>
      <c r="K318" s="66"/>
      <c r="L318" s="66"/>
      <c r="M318" s="8"/>
      <c r="N318" s="66"/>
      <c r="O318" s="66"/>
      <c r="P318" s="66"/>
      <c r="Q318" s="8"/>
      <c r="R318" s="66"/>
      <c r="S318" s="66"/>
      <c r="T318" s="66"/>
      <c r="U318" s="8"/>
      <c r="V318" s="66"/>
      <c r="W318" s="66"/>
      <c r="X318" s="66"/>
      <c r="Y318" s="189"/>
      <c r="Z318" s="184"/>
      <c r="AA318" s="184"/>
      <c r="AB318" s="184"/>
      <c r="AC318" s="8"/>
      <c r="AD318" s="66"/>
      <c r="AE318" s="66"/>
      <c r="AF318" s="66"/>
      <c r="AG318" s="190"/>
      <c r="AH318" s="191"/>
      <c r="AI318" s="190"/>
      <c r="AJ318" s="190"/>
      <c r="AK318" s="66"/>
      <c r="AL318" s="66"/>
      <c r="AM318" s="66"/>
      <c r="AN318" s="66"/>
      <c r="AO318" s="66"/>
      <c r="AP318" s="66"/>
      <c r="AQ318" s="66"/>
      <c r="AR318" s="66"/>
      <c r="AS318" s="66"/>
      <c r="AT318" s="66"/>
    </row>
    <row r="319">
      <c r="A319" s="8"/>
      <c r="B319" s="66"/>
      <c r="C319" s="66"/>
      <c r="D319" s="66"/>
      <c r="E319" s="8"/>
      <c r="F319" s="66"/>
      <c r="G319" s="66"/>
      <c r="H319" s="66"/>
      <c r="I319" s="8"/>
      <c r="J319" s="66"/>
      <c r="K319" s="66"/>
      <c r="L319" s="66"/>
      <c r="M319" s="8"/>
      <c r="N319" s="66"/>
      <c r="O319" s="66"/>
      <c r="P319" s="66"/>
      <c r="Q319" s="8"/>
      <c r="R319" s="66"/>
      <c r="S319" s="66"/>
      <c r="T319" s="66"/>
      <c r="U319" s="8"/>
      <c r="V319" s="66"/>
      <c r="W319" s="66"/>
      <c r="X319" s="66"/>
      <c r="Y319" s="189"/>
      <c r="Z319" s="184"/>
      <c r="AA319" s="184"/>
      <c r="AB319" s="184"/>
      <c r="AC319" s="8"/>
      <c r="AD319" s="66"/>
      <c r="AE319" s="66"/>
      <c r="AF319" s="66"/>
      <c r="AG319" s="190"/>
      <c r="AH319" s="191"/>
      <c r="AI319" s="190"/>
      <c r="AJ319" s="190"/>
      <c r="AK319" s="66"/>
      <c r="AL319" s="66"/>
      <c r="AM319" s="66"/>
      <c r="AN319" s="66"/>
      <c r="AO319" s="66"/>
      <c r="AP319" s="66"/>
      <c r="AQ319" s="66"/>
      <c r="AR319" s="66"/>
      <c r="AS319" s="66"/>
      <c r="AT319" s="66"/>
    </row>
    <row r="320">
      <c r="A320" s="8"/>
      <c r="B320" s="66"/>
      <c r="C320" s="66"/>
      <c r="D320" s="66"/>
      <c r="E320" s="8"/>
      <c r="F320" s="66"/>
      <c r="G320" s="66"/>
      <c r="H320" s="66"/>
      <c r="I320" s="8"/>
      <c r="J320" s="66"/>
      <c r="K320" s="66"/>
      <c r="L320" s="66"/>
      <c r="M320" s="8"/>
      <c r="N320" s="66"/>
      <c r="O320" s="66"/>
      <c r="P320" s="66"/>
      <c r="Q320" s="8"/>
      <c r="R320" s="66"/>
      <c r="S320" s="66"/>
      <c r="T320" s="66"/>
      <c r="U320" s="8"/>
      <c r="V320" s="66"/>
      <c r="W320" s="66"/>
      <c r="X320" s="66"/>
      <c r="Y320" s="189"/>
      <c r="Z320" s="184"/>
      <c r="AA320" s="184"/>
      <c r="AB320" s="184"/>
      <c r="AC320" s="8"/>
      <c r="AD320" s="66"/>
      <c r="AE320" s="66"/>
      <c r="AF320" s="66"/>
      <c r="AG320" s="190"/>
      <c r="AH320" s="191"/>
      <c r="AI320" s="190"/>
      <c r="AJ320" s="190"/>
      <c r="AK320" s="66"/>
      <c r="AL320" s="66"/>
      <c r="AM320" s="66"/>
      <c r="AN320" s="66"/>
      <c r="AO320" s="66"/>
      <c r="AP320" s="66"/>
      <c r="AQ320" s="66"/>
      <c r="AR320" s="66"/>
      <c r="AS320" s="66"/>
      <c r="AT320" s="66"/>
    </row>
    <row r="321">
      <c r="A321" s="8"/>
      <c r="B321" s="66"/>
      <c r="C321" s="66"/>
      <c r="D321" s="66"/>
      <c r="E321" s="8"/>
      <c r="F321" s="66"/>
      <c r="G321" s="66"/>
      <c r="H321" s="66"/>
      <c r="I321" s="8"/>
      <c r="J321" s="66"/>
      <c r="K321" s="66"/>
      <c r="L321" s="66"/>
      <c r="M321" s="8"/>
      <c r="N321" s="66"/>
      <c r="O321" s="66"/>
      <c r="P321" s="66"/>
      <c r="Q321" s="8"/>
      <c r="R321" s="66"/>
      <c r="S321" s="66"/>
      <c r="T321" s="66"/>
      <c r="U321" s="8"/>
      <c r="V321" s="66"/>
      <c r="W321" s="66"/>
      <c r="X321" s="66"/>
      <c r="Y321" s="189"/>
      <c r="Z321" s="184"/>
      <c r="AA321" s="184"/>
      <c r="AB321" s="184"/>
      <c r="AC321" s="8"/>
      <c r="AD321" s="66"/>
      <c r="AE321" s="66"/>
      <c r="AF321" s="66"/>
      <c r="AG321" s="190"/>
      <c r="AH321" s="191"/>
      <c r="AI321" s="190"/>
      <c r="AJ321" s="190"/>
      <c r="AK321" s="66"/>
      <c r="AL321" s="66"/>
      <c r="AM321" s="66"/>
      <c r="AN321" s="66"/>
      <c r="AO321" s="66"/>
      <c r="AP321" s="66"/>
      <c r="AQ321" s="66"/>
      <c r="AR321" s="66"/>
      <c r="AS321" s="66"/>
      <c r="AT321" s="66"/>
    </row>
    <row r="322">
      <c r="A322" s="8"/>
      <c r="B322" s="66"/>
      <c r="C322" s="66"/>
      <c r="D322" s="66"/>
      <c r="E322" s="8"/>
      <c r="F322" s="66"/>
      <c r="G322" s="66"/>
      <c r="H322" s="66"/>
      <c r="I322" s="8"/>
      <c r="J322" s="66"/>
      <c r="K322" s="66"/>
      <c r="L322" s="66"/>
      <c r="M322" s="8"/>
      <c r="N322" s="66"/>
      <c r="O322" s="66"/>
      <c r="P322" s="66"/>
      <c r="Q322" s="8"/>
      <c r="R322" s="66"/>
      <c r="S322" s="66"/>
      <c r="T322" s="66"/>
      <c r="U322" s="8"/>
      <c r="V322" s="66"/>
      <c r="W322" s="66"/>
      <c r="X322" s="66"/>
      <c r="Y322" s="189"/>
      <c r="Z322" s="184"/>
      <c r="AA322" s="184"/>
      <c r="AB322" s="184"/>
      <c r="AC322" s="8"/>
      <c r="AD322" s="66"/>
      <c r="AE322" s="66"/>
      <c r="AF322" s="66"/>
      <c r="AG322" s="190"/>
      <c r="AH322" s="191"/>
      <c r="AI322" s="190"/>
      <c r="AJ322" s="190"/>
      <c r="AK322" s="66"/>
      <c r="AL322" s="66"/>
      <c r="AM322" s="66"/>
      <c r="AN322" s="66"/>
      <c r="AO322" s="66"/>
      <c r="AP322" s="66"/>
      <c r="AQ322" s="66"/>
      <c r="AR322" s="66"/>
      <c r="AS322" s="66"/>
      <c r="AT322" s="66"/>
    </row>
    <row r="323">
      <c r="A323" s="8"/>
      <c r="B323" s="66"/>
      <c r="C323" s="66"/>
      <c r="D323" s="66"/>
      <c r="E323" s="8"/>
      <c r="F323" s="66"/>
      <c r="G323" s="66"/>
      <c r="H323" s="66"/>
      <c r="I323" s="8"/>
      <c r="J323" s="66"/>
      <c r="K323" s="66"/>
      <c r="L323" s="66"/>
      <c r="M323" s="8"/>
      <c r="N323" s="66"/>
      <c r="O323" s="66"/>
      <c r="P323" s="66"/>
      <c r="Q323" s="8"/>
      <c r="R323" s="66"/>
      <c r="S323" s="66"/>
      <c r="T323" s="66"/>
      <c r="U323" s="8"/>
      <c r="V323" s="66"/>
      <c r="W323" s="66"/>
      <c r="X323" s="66"/>
      <c r="Y323" s="189"/>
      <c r="Z323" s="184"/>
      <c r="AA323" s="184"/>
      <c r="AB323" s="184"/>
      <c r="AC323" s="8"/>
      <c r="AD323" s="66"/>
      <c r="AE323" s="66"/>
      <c r="AF323" s="66"/>
      <c r="AG323" s="190"/>
      <c r="AH323" s="191"/>
      <c r="AI323" s="190"/>
      <c r="AJ323" s="190"/>
      <c r="AK323" s="66"/>
      <c r="AL323" s="66"/>
      <c r="AM323" s="66"/>
      <c r="AN323" s="66"/>
      <c r="AO323" s="66"/>
      <c r="AP323" s="66"/>
      <c r="AQ323" s="66"/>
      <c r="AR323" s="66"/>
      <c r="AS323" s="66"/>
      <c r="AT323" s="66"/>
    </row>
    <row r="324">
      <c r="A324" s="8"/>
      <c r="B324" s="66"/>
      <c r="C324" s="66"/>
      <c r="D324" s="66"/>
      <c r="E324" s="8"/>
      <c r="F324" s="66"/>
      <c r="G324" s="66"/>
      <c r="H324" s="66"/>
      <c r="I324" s="8"/>
      <c r="J324" s="66"/>
      <c r="K324" s="66"/>
      <c r="L324" s="66"/>
      <c r="M324" s="8"/>
      <c r="N324" s="66"/>
      <c r="O324" s="66"/>
      <c r="P324" s="66"/>
      <c r="Q324" s="8"/>
      <c r="R324" s="66"/>
      <c r="S324" s="66"/>
      <c r="T324" s="66"/>
      <c r="U324" s="8"/>
      <c r="V324" s="66"/>
      <c r="W324" s="66"/>
      <c r="X324" s="66"/>
      <c r="Y324" s="189"/>
      <c r="Z324" s="184"/>
      <c r="AA324" s="184"/>
      <c r="AB324" s="184"/>
      <c r="AC324" s="8"/>
      <c r="AD324" s="66"/>
      <c r="AE324" s="66"/>
      <c r="AF324" s="66"/>
      <c r="AG324" s="190"/>
      <c r="AH324" s="191"/>
      <c r="AI324" s="190"/>
      <c r="AJ324" s="190"/>
      <c r="AK324" s="66"/>
      <c r="AL324" s="66"/>
      <c r="AM324" s="66"/>
      <c r="AN324" s="66"/>
      <c r="AO324" s="66"/>
      <c r="AP324" s="66"/>
      <c r="AQ324" s="66"/>
      <c r="AR324" s="66"/>
      <c r="AS324" s="66"/>
      <c r="AT324" s="66"/>
    </row>
    <row r="325">
      <c r="A325" s="8"/>
      <c r="B325" s="66"/>
      <c r="C325" s="66"/>
      <c r="D325" s="66"/>
      <c r="E325" s="8"/>
      <c r="F325" s="66"/>
      <c r="G325" s="66"/>
      <c r="H325" s="66"/>
      <c r="I325" s="8"/>
      <c r="J325" s="66"/>
      <c r="K325" s="66"/>
      <c r="L325" s="66"/>
      <c r="M325" s="8"/>
      <c r="N325" s="66"/>
      <c r="O325" s="66"/>
      <c r="P325" s="66"/>
      <c r="Q325" s="8"/>
      <c r="R325" s="66"/>
      <c r="S325" s="66"/>
      <c r="T325" s="66"/>
      <c r="U325" s="8"/>
      <c r="V325" s="66"/>
      <c r="W325" s="66"/>
      <c r="X325" s="66"/>
      <c r="Y325" s="189"/>
      <c r="Z325" s="184"/>
      <c r="AA325" s="184"/>
      <c r="AB325" s="184"/>
      <c r="AC325" s="8"/>
      <c r="AD325" s="66"/>
      <c r="AE325" s="66"/>
      <c r="AF325" s="66"/>
      <c r="AG325" s="190"/>
      <c r="AH325" s="191"/>
      <c r="AI325" s="190"/>
      <c r="AJ325" s="190"/>
      <c r="AK325" s="66"/>
      <c r="AL325" s="66"/>
      <c r="AM325" s="66"/>
      <c r="AN325" s="66"/>
      <c r="AO325" s="66"/>
      <c r="AP325" s="66"/>
      <c r="AQ325" s="66"/>
      <c r="AR325" s="66"/>
      <c r="AS325" s="66"/>
      <c r="AT325" s="66"/>
    </row>
    <row r="326">
      <c r="A326" s="8"/>
      <c r="B326" s="66"/>
      <c r="C326" s="66"/>
      <c r="D326" s="66"/>
      <c r="E326" s="8"/>
      <c r="F326" s="66"/>
      <c r="G326" s="66"/>
      <c r="H326" s="66"/>
      <c r="I326" s="8"/>
      <c r="J326" s="66"/>
      <c r="K326" s="66"/>
      <c r="L326" s="66"/>
      <c r="M326" s="8"/>
      <c r="N326" s="66"/>
      <c r="O326" s="66"/>
      <c r="P326" s="66"/>
      <c r="Q326" s="8"/>
      <c r="R326" s="66"/>
      <c r="S326" s="66"/>
      <c r="T326" s="66"/>
      <c r="U326" s="8"/>
      <c r="V326" s="66"/>
      <c r="W326" s="66"/>
      <c r="X326" s="66"/>
      <c r="Y326" s="189"/>
      <c r="Z326" s="184"/>
      <c r="AA326" s="184"/>
      <c r="AB326" s="184"/>
      <c r="AC326" s="8"/>
      <c r="AD326" s="66"/>
      <c r="AE326" s="66"/>
      <c r="AF326" s="66"/>
      <c r="AG326" s="190"/>
      <c r="AH326" s="191"/>
      <c r="AI326" s="190"/>
      <c r="AJ326" s="190"/>
      <c r="AK326" s="66"/>
      <c r="AL326" s="66"/>
      <c r="AM326" s="66"/>
      <c r="AN326" s="66"/>
      <c r="AO326" s="66"/>
      <c r="AP326" s="66"/>
      <c r="AQ326" s="66"/>
      <c r="AR326" s="66"/>
      <c r="AS326" s="66"/>
      <c r="AT326" s="66"/>
    </row>
    <row r="327">
      <c r="A327" s="8"/>
      <c r="B327" s="66"/>
      <c r="C327" s="66"/>
      <c r="D327" s="66"/>
      <c r="E327" s="8"/>
      <c r="F327" s="66"/>
      <c r="G327" s="66"/>
      <c r="H327" s="66"/>
      <c r="I327" s="8"/>
      <c r="J327" s="66"/>
      <c r="K327" s="66"/>
      <c r="L327" s="66"/>
      <c r="M327" s="8"/>
      <c r="N327" s="66"/>
      <c r="O327" s="66"/>
      <c r="P327" s="66"/>
      <c r="Q327" s="8"/>
      <c r="R327" s="66"/>
      <c r="S327" s="66"/>
      <c r="T327" s="66"/>
      <c r="U327" s="8"/>
      <c r="V327" s="66"/>
      <c r="W327" s="66"/>
      <c r="X327" s="66"/>
      <c r="Y327" s="189"/>
      <c r="Z327" s="184"/>
      <c r="AA327" s="184"/>
      <c r="AB327" s="184"/>
      <c r="AC327" s="8"/>
      <c r="AD327" s="66"/>
      <c r="AE327" s="66"/>
      <c r="AF327" s="66"/>
      <c r="AG327" s="190"/>
      <c r="AH327" s="191"/>
      <c r="AI327" s="190"/>
      <c r="AJ327" s="190"/>
      <c r="AK327" s="66"/>
      <c r="AL327" s="66"/>
      <c r="AM327" s="66"/>
      <c r="AN327" s="66"/>
      <c r="AO327" s="66"/>
      <c r="AP327" s="66"/>
      <c r="AQ327" s="66"/>
      <c r="AR327" s="66"/>
      <c r="AS327" s="66"/>
      <c r="AT327" s="66"/>
    </row>
    <row r="328">
      <c r="A328" s="8"/>
      <c r="B328" s="66"/>
      <c r="C328" s="66"/>
      <c r="D328" s="66"/>
      <c r="E328" s="8"/>
      <c r="F328" s="66"/>
      <c r="G328" s="66"/>
      <c r="H328" s="66"/>
      <c r="I328" s="8"/>
      <c r="J328" s="66"/>
      <c r="K328" s="66"/>
      <c r="L328" s="66"/>
      <c r="M328" s="8"/>
      <c r="N328" s="66"/>
      <c r="O328" s="66"/>
      <c r="P328" s="66"/>
      <c r="Q328" s="8"/>
      <c r="R328" s="66"/>
      <c r="S328" s="66"/>
      <c r="T328" s="66"/>
      <c r="U328" s="8"/>
      <c r="V328" s="66"/>
      <c r="W328" s="66"/>
      <c r="X328" s="66"/>
      <c r="Y328" s="189"/>
      <c r="Z328" s="184"/>
      <c r="AA328" s="184"/>
      <c r="AB328" s="184"/>
      <c r="AC328" s="8"/>
      <c r="AD328" s="66"/>
      <c r="AE328" s="66"/>
      <c r="AF328" s="66"/>
      <c r="AG328" s="190"/>
      <c r="AH328" s="191"/>
      <c r="AI328" s="190"/>
      <c r="AJ328" s="190"/>
      <c r="AK328" s="66"/>
      <c r="AL328" s="66"/>
      <c r="AM328" s="66"/>
      <c r="AN328" s="66"/>
      <c r="AO328" s="66"/>
      <c r="AP328" s="66"/>
      <c r="AQ328" s="66"/>
      <c r="AR328" s="66"/>
      <c r="AS328" s="66"/>
      <c r="AT328" s="66"/>
    </row>
    <row r="329">
      <c r="A329" s="8"/>
      <c r="B329" s="66"/>
      <c r="C329" s="66"/>
      <c r="D329" s="66"/>
      <c r="E329" s="8"/>
      <c r="F329" s="66"/>
      <c r="G329" s="66"/>
      <c r="H329" s="66"/>
      <c r="I329" s="8"/>
      <c r="J329" s="66"/>
      <c r="K329" s="66"/>
      <c r="L329" s="66"/>
      <c r="M329" s="8"/>
      <c r="N329" s="66"/>
      <c r="O329" s="66"/>
      <c r="P329" s="66"/>
      <c r="Q329" s="8"/>
      <c r="R329" s="66"/>
      <c r="S329" s="66"/>
      <c r="T329" s="66"/>
      <c r="U329" s="8"/>
      <c r="V329" s="66"/>
      <c r="W329" s="66"/>
      <c r="X329" s="66"/>
      <c r="Y329" s="189"/>
      <c r="Z329" s="184"/>
      <c r="AA329" s="184"/>
      <c r="AB329" s="184"/>
      <c r="AC329" s="8"/>
      <c r="AD329" s="66"/>
      <c r="AE329" s="66"/>
      <c r="AF329" s="66"/>
      <c r="AG329" s="190"/>
      <c r="AH329" s="191"/>
      <c r="AI329" s="190"/>
      <c r="AJ329" s="190"/>
      <c r="AK329" s="66"/>
      <c r="AL329" s="66"/>
      <c r="AM329" s="66"/>
      <c r="AN329" s="66"/>
      <c r="AO329" s="66"/>
      <c r="AP329" s="66"/>
      <c r="AQ329" s="66"/>
      <c r="AR329" s="66"/>
      <c r="AS329" s="66"/>
      <c r="AT329" s="66"/>
    </row>
    <row r="330">
      <c r="A330" s="8"/>
      <c r="B330" s="66"/>
      <c r="C330" s="66"/>
      <c r="D330" s="66"/>
      <c r="E330" s="8"/>
      <c r="F330" s="66"/>
      <c r="G330" s="66"/>
      <c r="H330" s="66"/>
      <c r="I330" s="8"/>
      <c r="J330" s="66"/>
      <c r="K330" s="66"/>
      <c r="L330" s="66"/>
      <c r="M330" s="8"/>
      <c r="N330" s="66"/>
      <c r="O330" s="66"/>
      <c r="P330" s="66"/>
      <c r="Q330" s="8"/>
      <c r="R330" s="66"/>
      <c r="S330" s="66"/>
      <c r="T330" s="66"/>
      <c r="U330" s="8"/>
      <c r="V330" s="66"/>
      <c r="W330" s="66"/>
      <c r="X330" s="66"/>
      <c r="Y330" s="189"/>
      <c r="Z330" s="184"/>
      <c r="AA330" s="184"/>
      <c r="AB330" s="184"/>
      <c r="AC330" s="8"/>
      <c r="AD330" s="66"/>
      <c r="AE330" s="66"/>
      <c r="AF330" s="66"/>
      <c r="AG330" s="190"/>
      <c r="AH330" s="191"/>
      <c r="AI330" s="190"/>
      <c r="AJ330" s="190"/>
      <c r="AK330" s="66"/>
      <c r="AL330" s="66"/>
      <c r="AM330" s="66"/>
      <c r="AN330" s="66"/>
      <c r="AO330" s="66"/>
      <c r="AP330" s="66"/>
      <c r="AQ330" s="66"/>
      <c r="AR330" s="66"/>
      <c r="AS330" s="66"/>
      <c r="AT330" s="66"/>
    </row>
    <row r="331">
      <c r="A331" s="8"/>
      <c r="B331" s="66"/>
      <c r="C331" s="66"/>
      <c r="D331" s="66"/>
      <c r="E331" s="8"/>
      <c r="F331" s="66"/>
      <c r="G331" s="66"/>
      <c r="H331" s="66"/>
      <c r="I331" s="8"/>
      <c r="J331" s="66"/>
      <c r="K331" s="66"/>
      <c r="L331" s="66"/>
      <c r="M331" s="8"/>
      <c r="N331" s="66"/>
      <c r="O331" s="66"/>
      <c r="P331" s="66"/>
      <c r="Q331" s="8"/>
      <c r="R331" s="66"/>
      <c r="S331" s="66"/>
      <c r="T331" s="66"/>
      <c r="U331" s="8"/>
      <c r="V331" s="66"/>
      <c r="W331" s="66"/>
      <c r="X331" s="66"/>
      <c r="Y331" s="189"/>
      <c r="Z331" s="184"/>
      <c r="AA331" s="184"/>
      <c r="AB331" s="184"/>
      <c r="AC331" s="8"/>
      <c r="AD331" s="66"/>
      <c r="AE331" s="66"/>
      <c r="AF331" s="66"/>
      <c r="AG331" s="190"/>
      <c r="AH331" s="191"/>
      <c r="AI331" s="190"/>
      <c r="AJ331" s="190"/>
      <c r="AK331" s="66"/>
      <c r="AL331" s="66"/>
      <c r="AM331" s="66"/>
      <c r="AN331" s="66"/>
      <c r="AO331" s="66"/>
      <c r="AP331" s="66"/>
      <c r="AQ331" s="66"/>
      <c r="AR331" s="66"/>
      <c r="AS331" s="66"/>
      <c r="AT331" s="66"/>
    </row>
    <row r="332">
      <c r="A332" s="8"/>
      <c r="B332" s="66"/>
      <c r="C332" s="66"/>
      <c r="D332" s="66"/>
      <c r="E332" s="8"/>
      <c r="F332" s="66"/>
      <c r="G332" s="66"/>
      <c r="H332" s="66"/>
      <c r="I332" s="8"/>
      <c r="J332" s="66"/>
      <c r="K332" s="66"/>
      <c r="L332" s="66"/>
      <c r="M332" s="8"/>
      <c r="N332" s="66"/>
      <c r="O332" s="66"/>
      <c r="P332" s="66"/>
      <c r="Q332" s="8"/>
      <c r="R332" s="66"/>
      <c r="S332" s="66"/>
      <c r="T332" s="66"/>
      <c r="U332" s="8"/>
      <c r="V332" s="66"/>
      <c r="W332" s="66"/>
      <c r="X332" s="66"/>
      <c r="Y332" s="189"/>
      <c r="Z332" s="184"/>
      <c r="AA332" s="184"/>
      <c r="AB332" s="184"/>
      <c r="AC332" s="8"/>
      <c r="AD332" s="66"/>
      <c r="AE332" s="66"/>
      <c r="AF332" s="66"/>
      <c r="AG332" s="190"/>
      <c r="AH332" s="191"/>
      <c r="AI332" s="190"/>
      <c r="AJ332" s="190"/>
      <c r="AK332" s="66"/>
      <c r="AL332" s="66"/>
      <c r="AM332" s="66"/>
      <c r="AN332" s="66"/>
      <c r="AO332" s="66"/>
      <c r="AP332" s="66"/>
      <c r="AQ332" s="66"/>
      <c r="AR332" s="66"/>
      <c r="AS332" s="66"/>
      <c r="AT332" s="66"/>
    </row>
    <row r="333">
      <c r="A333" s="8"/>
      <c r="B333" s="66"/>
      <c r="C333" s="66"/>
      <c r="D333" s="66"/>
      <c r="E333" s="8"/>
      <c r="F333" s="66"/>
      <c r="G333" s="66"/>
      <c r="H333" s="66"/>
      <c r="I333" s="8"/>
      <c r="J333" s="66"/>
      <c r="K333" s="66"/>
      <c r="L333" s="66"/>
      <c r="M333" s="8"/>
      <c r="N333" s="66"/>
      <c r="O333" s="66"/>
      <c r="P333" s="66"/>
      <c r="Q333" s="8"/>
      <c r="R333" s="66"/>
      <c r="S333" s="66"/>
      <c r="T333" s="66"/>
      <c r="U333" s="8"/>
      <c r="V333" s="66"/>
      <c r="W333" s="66"/>
      <c r="X333" s="66"/>
      <c r="Y333" s="189"/>
      <c r="Z333" s="184"/>
      <c r="AA333" s="184"/>
      <c r="AB333" s="184"/>
      <c r="AC333" s="8"/>
      <c r="AD333" s="66"/>
      <c r="AE333" s="66"/>
      <c r="AF333" s="66"/>
      <c r="AG333" s="190"/>
      <c r="AH333" s="191"/>
      <c r="AI333" s="190"/>
      <c r="AJ333" s="190"/>
      <c r="AK333" s="66"/>
      <c r="AL333" s="66"/>
      <c r="AM333" s="66"/>
      <c r="AN333" s="66"/>
      <c r="AO333" s="66"/>
      <c r="AP333" s="66"/>
      <c r="AQ333" s="66"/>
      <c r="AR333" s="66"/>
      <c r="AS333" s="66"/>
      <c r="AT333" s="66"/>
    </row>
    <row r="334">
      <c r="A334" s="8"/>
      <c r="B334" s="66"/>
      <c r="C334" s="66"/>
      <c r="D334" s="66"/>
      <c r="E334" s="8"/>
      <c r="F334" s="66"/>
      <c r="G334" s="66"/>
      <c r="H334" s="66"/>
      <c r="I334" s="8"/>
      <c r="J334" s="66"/>
      <c r="K334" s="66"/>
      <c r="L334" s="66"/>
      <c r="M334" s="8"/>
      <c r="N334" s="66"/>
      <c r="O334" s="66"/>
      <c r="P334" s="66"/>
      <c r="Q334" s="8"/>
      <c r="R334" s="66"/>
      <c r="S334" s="66"/>
      <c r="T334" s="66"/>
      <c r="U334" s="8"/>
      <c r="V334" s="66"/>
      <c r="W334" s="66"/>
      <c r="X334" s="66"/>
      <c r="Y334" s="189"/>
      <c r="Z334" s="184"/>
      <c r="AA334" s="184"/>
      <c r="AB334" s="184"/>
      <c r="AC334" s="8"/>
      <c r="AD334" s="66"/>
      <c r="AE334" s="66"/>
      <c r="AF334" s="66"/>
      <c r="AG334" s="190"/>
      <c r="AH334" s="191"/>
      <c r="AI334" s="190"/>
      <c r="AJ334" s="190"/>
      <c r="AK334" s="66"/>
      <c r="AL334" s="66"/>
      <c r="AM334" s="66"/>
      <c r="AN334" s="66"/>
      <c r="AO334" s="66"/>
      <c r="AP334" s="66"/>
      <c r="AQ334" s="66"/>
      <c r="AR334" s="66"/>
      <c r="AS334" s="66"/>
      <c r="AT334" s="66"/>
    </row>
    <row r="335">
      <c r="A335" s="8"/>
      <c r="B335" s="66"/>
      <c r="C335" s="66"/>
      <c r="D335" s="66"/>
      <c r="E335" s="8"/>
      <c r="F335" s="66"/>
      <c r="G335" s="66"/>
      <c r="H335" s="66"/>
      <c r="I335" s="8"/>
      <c r="J335" s="66"/>
      <c r="K335" s="66"/>
      <c r="L335" s="66"/>
      <c r="M335" s="8"/>
      <c r="N335" s="66"/>
      <c r="O335" s="66"/>
      <c r="P335" s="66"/>
      <c r="Q335" s="8"/>
      <c r="R335" s="66"/>
      <c r="S335" s="66"/>
      <c r="T335" s="66"/>
      <c r="U335" s="8"/>
      <c r="V335" s="66"/>
      <c r="W335" s="66"/>
      <c r="X335" s="66"/>
      <c r="Y335" s="189"/>
      <c r="Z335" s="184"/>
      <c r="AA335" s="184"/>
      <c r="AB335" s="184"/>
      <c r="AC335" s="8"/>
      <c r="AD335" s="66"/>
      <c r="AE335" s="66"/>
      <c r="AF335" s="66"/>
      <c r="AG335" s="190"/>
      <c r="AH335" s="191"/>
      <c r="AI335" s="190"/>
      <c r="AJ335" s="190"/>
      <c r="AK335" s="66"/>
      <c r="AL335" s="66"/>
      <c r="AM335" s="66"/>
      <c r="AN335" s="66"/>
      <c r="AO335" s="66"/>
      <c r="AP335" s="66"/>
      <c r="AQ335" s="66"/>
      <c r="AR335" s="66"/>
      <c r="AS335" s="66"/>
      <c r="AT335" s="66"/>
    </row>
    <row r="336">
      <c r="A336" s="8"/>
      <c r="B336" s="66"/>
      <c r="C336" s="66"/>
      <c r="D336" s="66"/>
      <c r="E336" s="8"/>
      <c r="F336" s="66"/>
      <c r="G336" s="66"/>
      <c r="H336" s="66"/>
      <c r="I336" s="8"/>
      <c r="J336" s="66"/>
      <c r="K336" s="66"/>
      <c r="L336" s="66"/>
      <c r="M336" s="8"/>
      <c r="N336" s="66"/>
      <c r="O336" s="66"/>
      <c r="P336" s="66"/>
      <c r="Q336" s="8"/>
      <c r="R336" s="66"/>
      <c r="S336" s="66"/>
      <c r="T336" s="66"/>
      <c r="U336" s="8"/>
      <c r="V336" s="66"/>
      <c r="W336" s="66"/>
      <c r="X336" s="66"/>
      <c r="Y336" s="189"/>
      <c r="Z336" s="184"/>
      <c r="AA336" s="184"/>
      <c r="AB336" s="184"/>
      <c r="AC336" s="8"/>
      <c r="AD336" s="66"/>
      <c r="AE336" s="66"/>
      <c r="AF336" s="66"/>
      <c r="AG336" s="190"/>
      <c r="AH336" s="191"/>
      <c r="AI336" s="190"/>
      <c r="AJ336" s="190"/>
      <c r="AK336" s="66"/>
      <c r="AL336" s="66"/>
      <c r="AM336" s="66"/>
      <c r="AN336" s="66"/>
      <c r="AO336" s="66"/>
      <c r="AP336" s="66"/>
      <c r="AQ336" s="66"/>
      <c r="AR336" s="66"/>
      <c r="AS336" s="66"/>
      <c r="AT336" s="66"/>
    </row>
    <row r="337">
      <c r="A337" s="8"/>
      <c r="B337" s="66"/>
      <c r="C337" s="66"/>
      <c r="D337" s="66"/>
      <c r="E337" s="8"/>
      <c r="F337" s="66"/>
      <c r="G337" s="66"/>
      <c r="H337" s="66"/>
      <c r="I337" s="8"/>
      <c r="J337" s="66"/>
      <c r="K337" s="66"/>
      <c r="L337" s="66"/>
      <c r="M337" s="8"/>
      <c r="N337" s="66"/>
      <c r="O337" s="66"/>
      <c r="P337" s="66"/>
      <c r="Q337" s="8"/>
      <c r="R337" s="66"/>
      <c r="S337" s="66"/>
      <c r="T337" s="66"/>
      <c r="U337" s="8"/>
      <c r="V337" s="66"/>
      <c r="W337" s="66"/>
      <c r="X337" s="66"/>
      <c r="Y337" s="189"/>
      <c r="Z337" s="184"/>
      <c r="AA337" s="184"/>
      <c r="AB337" s="184"/>
      <c r="AC337" s="8"/>
      <c r="AD337" s="66"/>
      <c r="AE337" s="66"/>
      <c r="AF337" s="66"/>
      <c r="AG337" s="190"/>
      <c r="AH337" s="191"/>
      <c r="AI337" s="190"/>
      <c r="AJ337" s="190"/>
      <c r="AK337" s="66"/>
      <c r="AL337" s="66"/>
      <c r="AM337" s="66"/>
      <c r="AN337" s="66"/>
      <c r="AO337" s="66"/>
      <c r="AP337" s="66"/>
      <c r="AQ337" s="66"/>
      <c r="AR337" s="66"/>
      <c r="AS337" s="66"/>
      <c r="AT337" s="66"/>
    </row>
    <row r="338">
      <c r="A338" s="8"/>
      <c r="B338" s="66"/>
      <c r="C338" s="66"/>
      <c r="D338" s="66"/>
      <c r="E338" s="8"/>
      <c r="F338" s="66"/>
      <c r="G338" s="66"/>
      <c r="H338" s="66"/>
      <c r="I338" s="8"/>
      <c r="J338" s="66"/>
      <c r="K338" s="66"/>
      <c r="L338" s="66"/>
      <c r="M338" s="8"/>
      <c r="N338" s="66"/>
      <c r="O338" s="66"/>
      <c r="P338" s="66"/>
      <c r="Q338" s="8"/>
      <c r="R338" s="66"/>
      <c r="S338" s="66"/>
      <c r="T338" s="66"/>
      <c r="U338" s="8"/>
      <c r="V338" s="66"/>
      <c r="W338" s="66"/>
      <c r="X338" s="66"/>
      <c r="Y338" s="189"/>
      <c r="Z338" s="184"/>
      <c r="AA338" s="184"/>
      <c r="AB338" s="184"/>
      <c r="AC338" s="8"/>
      <c r="AD338" s="66"/>
      <c r="AE338" s="66"/>
      <c r="AF338" s="66"/>
      <c r="AG338" s="190"/>
      <c r="AH338" s="191"/>
      <c r="AI338" s="190"/>
      <c r="AJ338" s="190"/>
      <c r="AK338" s="66"/>
      <c r="AL338" s="66"/>
      <c r="AM338" s="66"/>
      <c r="AN338" s="66"/>
      <c r="AO338" s="66"/>
      <c r="AP338" s="66"/>
      <c r="AQ338" s="66"/>
      <c r="AR338" s="66"/>
      <c r="AS338" s="66"/>
      <c r="AT338" s="66"/>
    </row>
    <row r="339">
      <c r="A339" s="8"/>
      <c r="B339" s="66"/>
      <c r="C339" s="66"/>
      <c r="D339" s="66"/>
      <c r="E339" s="8"/>
      <c r="F339" s="66"/>
      <c r="G339" s="66"/>
      <c r="H339" s="66"/>
      <c r="I339" s="8"/>
      <c r="J339" s="66"/>
      <c r="K339" s="66"/>
      <c r="L339" s="66"/>
      <c r="M339" s="8"/>
      <c r="N339" s="66"/>
      <c r="O339" s="66"/>
      <c r="P339" s="66"/>
      <c r="Q339" s="8"/>
      <c r="R339" s="66"/>
      <c r="S339" s="66"/>
      <c r="T339" s="66"/>
      <c r="U339" s="8"/>
      <c r="V339" s="66"/>
      <c r="W339" s="66"/>
      <c r="X339" s="66"/>
      <c r="Y339" s="189"/>
      <c r="Z339" s="184"/>
      <c r="AA339" s="184"/>
      <c r="AB339" s="184"/>
      <c r="AC339" s="8"/>
      <c r="AD339" s="66"/>
      <c r="AE339" s="66"/>
      <c r="AF339" s="66"/>
      <c r="AG339" s="190"/>
      <c r="AH339" s="191"/>
      <c r="AI339" s="190"/>
      <c r="AJ339" s="190"/>
      <c r="AK339" s="66"/>
      <c r="AL339" s="66"/>
      <c r="AM339" s="66"/>
      <c r="AN339" s="66"/>
      <c r="AO339" s="66"/>
      <c r="AP339" s="66"/>
      <c r="AQ339" s="66"/>
      <c r="AR339" s="66"/>
      <c r="AS339" s="66"/>
      <c r="AT339" s="66"/>
    </row>
    <row r="340">
      <c r="A340" s="8"/>
      <c r="B340" s="66"/>
      <c r="C340" s="66"/>
      <c r="D340" s="66"/>
      <c r="E340" s="8"/>
      <c r="F340" s="66"/>
      <c r="G340" s="66"/>
      <c r="H340" s="66"/>
      <c r="I340" s="8"/>
      <c r="J340" s="66"/>
      <c r="K340" s="66"/>
      <c r="L340" s="66"/>
      <c r="M340" s="8"/>
      <c r="N340" s="66"/>
      <c r="O340" s="66"/>
      <c r="P340" s="66"/>
      <c r="Q340" s="8"/>
      <c r="R340" s="66"/>
      <c r="S340" s="66"/>
      <c r="T340" s="66"/>
      <c r="U340" s="8"/>
      <c r="V340" s="66"/>
      <c r="W340" s="66"/>
      <c r="X340" s="66"/>
      <c r="Y340" s="189"/>
      <c r="Z340" s="184"/>
      <c r="AA340" s="184"/>
      <c r="AB340" s="184"/>
      <c r="AC340" s="8"/>
      <c r="AD340" s="66"/>
      <c r="AE340" s="66"/>
      <c r="AF340" s="66"/>
      <c r="AG340" s="190"/>
      <c r="AH340" s="191"/>
      <c r="AI340" s="190"/>
      <c r="AJ340" s="190"/>
      <c r="AK340" s="66"/>
      <c r="AL340" s="66"/>
      <c r="AM340" s="66"/>
      <c r="AN340" s="66"/>
      <c r="AO340" s="66"/>
      <c r="AP340" s="66"/>
      <c r="AQ340" s="66"/>
      <c r="AR340" s="66"/>
      <c r="AS340" s="66"/>
      <c r="AT340" s="66"/>
    </row>
    <row r="341">
      <c r="A341" s="8"/>
      <c r="B341" s="66"/>
      <c r="C341" s="66"/>
      <c r="D341" s="66"/>
      <c r="E341" s="8"/>
      <c r="F341" s="66"/>
      <c r="G341" s="66"/>
      <c r="H341" s="66"/>
      <c r="I341" s="8"/>
      <c r="J341" s="66"/>
      <c r="K341" s="66"/>
      <c r="L341" s="66"/>
      <c r="M341" s="8"/>
      <c r="N341" s="66"/>
      <c r="O341" s="66"/>
      <c r="P341" s="66"/>
      <c r="Q341" s="8"/>
      <c r="R341" s="66"/>
      <c r="S341" s="66"/>
      <c r="T341" s="66"/>
      <c r="U341" s="8"/>
      <c r="V341" s="66"/>
      <c r="W341" s="66"/>
      <c r="X341" s="66"/>
      <c r="Y341" s="189"/>
      <c r="Z341" s="184"/>
      <c r="AA341" s="184"/>
      <c r="AB341" s="184"/>
      <c r="AC341" s="8"/>
      <c r="AD341" s="66"/>
      <c r="AE341" s="66"/>
      <c r="AF341" s="66"/>
      <c r="AG341" s="190"/>
      <c r="AH341" s="191"/>
      <c r="AI341" s="190"/>
      <c r="AJ341" s="190"/>
      <c r="AK341" s="66"/>
      <c r="AL341" s="66"/>
      <c r="AM341" s="66"/>
      <c r="AN341" s="66"/>
      <c r="AO341" s="66"/>
      <c r="AP341" s="66"/>
      <c r="AQ341" s="66"/>
      <c r="AR341" s="66"/>
      <c r="AS341" s="66"/>
      <c r="AT341" s="66"/>
    </row>
    <row r="342">
      <c r="A342" s="8"/>
      <c r="B342" s="66"/>
      <c r="C342" s="66"/>
      <c r="D342" s="66"/>
      <c r="E342" s="8"/>
      <c r="F342" s="66"/>
      <c r="G342" s="66"/>
      <c r="H342" s="66"/>
      <c r="I342" s="8"/>
      <c r="J342" s="66"/>
      <c r="K342" s="66"/>
      <c r="L342" s="66"/>
      <c r="M342" s="8"/>
      <c r="N342" s="66"/>
      <c r="O342" s="66"/>
      <c r="P342" s="66"/>
      <c r="Q342" s="8"/>
      <c r="R342" s="66"/>
      <c r="S342" s="66"/>
      <c r="T342" s="66"/>
      <c r="U342" s="8"/>
      <c r="V342" s="66"/>
      <c r="W342" s="66"/>
      <c r="X342" s="66"/>
      <c r="Y342" s="189"/>
      <c r="Z342" s="184"/>
      <c r="AA342" s="184"/>
      <c r="AB342" s="184"/>
      <c r="AC342" s="8"/>
      <c r="AD342" s="66"/>
      <c r="AE342" s="66"/>
      <c r="AF342" s="66"/>
      <c r="AG342" s="190"/>
      <c r="AH342" s="191"/>
      <c r="AI342" s="190"/>
      <c r="AJ342" s="190"/>
      <c r="AK342" s="66"/>
      <c r="AL342" s="66"/>
      <c r="AM342" s="66"/>
      <c r="AN342" s="66"/>
      <c r="AO342" s="66"/>
      <c r="AP342" s="66"/>
      <c r="AQ342" s="66"/>
      <c r="AR342" s="66"/>
      <c r="AS342" s="66"/>
      <c r="AT342" s="66"/>
    </row>
    <row r="343">
      <c r="A343" s="8"/>
      <c r="B343" s="66"/>
      <c r="C343" s="66"/>
      <c r="D343" s="66"/>
      <c r="E343" s="8"/>
      <c r="F343" s="66"/>
      <c r="G343" s="66"/>
      <c r="H343" s="66"/>
      <c r="I343" s="8"/>
      <c r="J343" s="66"/>
      <c r="K343" s="66"/>
      <c r="L343" s="66"/>
      <c r="M343" s="8"/>
      <c r="N343" s="66"/>
      <c r="O343" s="66"/>
      <c r="P343" s="66"/>
      <c r="Q343" s="8"/>
      <c r="R343" s="66"/>
      <c r="S343" s="66"/>
      <c r="T343" s="66"/>
      <c r="U343" s="8"/>
      <c r="V343" s="66"/>
      <c r="W343" s="66"/>
      <c r="X343" s="66"/>
      <c r="Y343" s="189"/>
      <c r="Z343" s="184"/>
      <c r="AA343" s="184"/>
      <c r="AB343" s="184"/>
      <c r="AC343" s="8"/>
      <c r="AD343" s="66"/>
      <c r="AE343" s="66"/>
      <c r="AF343" s="66"/>
      <c r="AG343" s="190"/>
      <c r="AH343" s="191"/>
      <c r="AI343" s="190"/>
      <c r="AJ343" s="190"/>
      <c r="AK343" s="66"/>
      <c r="AL343" s="66"/>
      <c r="AM343" s="66"/>
      <c r="AN343" s="66"/>
      <c r="AO343" s="66"/>
      <c r="AP343" s="66"/>
      <c r="AQ343" s="66"/>
      <c r="AR343" s="66"/>
      <c r="AS343" s="66"/>
      <c r="AT343" s="66"/>
    </row>
    <row r="344">
      <c r="A344" s="8"/>
      <c r="B344" s="66"/>
      <c r="C344" s="66"/>
      <c r="D344" s="66"/>
      <c r="E344" s="8"/>
      <c r="F344" s="66"/>
      <c r="G344" s="66"/>
      <c r="H344" s="66"/>
      <c r="I344" s="8"/>
      <c r="J344" s="66"/>
      <c r="K344" s="66"/>
      <c r="L344" s="66"/>
      <c r="M344" s="8"/>
      <c r="N344" s="66"/>
      <c r="O344" s="66"/>
      <c r="P344" s="66"/>
      <c r="Q344" s="8"/>
      <c r="R344" s="66"/>
      <c r="S344" s="66"/>
      <c r="T344" s="66"/>
      <c r="U344" s="8"/>
      <c r="V344" s="66"/>
      <c r="W344" s="66"/>
      <c r="X344" s="66"/>
      <c r="Y344" s="189"/>
      <c r="Z344" s="184"/>
      <c r="AA344" s="184"/>
      <c r="AB344" s="184"/>
      <c r="AC344" s="8"/>
      <c r="AD344" s="66"/>
      <c r="AE344" s="66"/>
      <c r="AF344" s="66"/>
      <c r="AG344" s="190"/>
      <c r="AH344" s="191"/>
      <c r="AI344" s="190"/>
      <c r="AJ344" s="190"/>
      <c r="AK344" s="66"/>
      <c r="AL344" s="66"/>
      <c r="AM344" s="66"/>
      <c r="AN344" s="66"/>
      <c r="AO344" s="66"/>
      <c r="AP344" s="66"/>
      <c r="AQ344" s="66"/>
      <c r="AR344" s="66"/>
      <c r="AS344" s="66"/>
      <c r="AT344" s="66"/>
    </row>
    <row r="345">
      <c r="A345" s="8"/>
      <c r="B345" s="66"/>
      <c r="C345" s="66"/>
      <c r="D345" s="66"/>
      <c r="E345" s="8"/>
      <c r="F345" s="66"/>
      <c r="G345" s="66"/>
      <c r="H345" s="66"/>
      <c r="I345" s="8"/>
      <c r="J345" s="66"/>
      <c r="K345" s="66"/>
      <c r="L345" s="66"/>
      <c r="M345" s="8"/>
      <c r="N345" s="66"/>
      <c r="O345" s="66"/>
      <c r="P345" s="66"/>
      <c r="Q345" s="8"/>
      <c r="R345" s="66"/>
      <c r="S345" s="66"/>
      <c r="T345" s="66"/>
      <c r="U345" s="8"/>
      <c r="V345" s="66"/>
      <c r="W345" s="66"/>
      <c r="X345" s="66"/>
      <c r="Y345" s="189"/>
      <c r="Z345" s="184"/>
      <c r="AA345" s="184"/>
      <c r="AB345" s="184"/>
      <c r="AC345" s="8"/>
      <c r="AD345" s="66"/>
      <c r="AE345" s="66"/>
      <c r="AF345" s="66"/>
      <c r="AG345" s="190"/>
      <c r="AH345" s="191"/>
      <c r="AI345" s="190"/>
      <c r="AJ345" s="190"/>
      <c r="AK345" s="66"/>
      <c r="AL345" s="66"/>
      <c r="AM345" s="66"/>
      <c r="AN345" s="66"/>
      <c r="AO345" s="66"/>
      <c r="AP345" s="66"/>
      <c r="AQ345" s="66"/>
      <c r="AR345" s="66"/>
      <c r="AS345" s="66"/>
      <c r="AT345" s="66"/>
    </row>
    <row r="346">
      <c r="A346" s="8"/>
      <c r="B346" s="66"/>
      <c r="C346" s="66"/>
      <c r="D346" s="66"/>
      <c r="E346" s="8"/>
      <c r="F346" s="66"/>
      <c r="G346" s="66"/>
      <c r="H346" s="66"/>
      <c r="I346" s="8"/>
      <c r="J346" s="66"/>
      <c r="K346" s="66"/>
      <c r="L346" s="66"/>
      <c r="M346" s="8"/>
      <c r="N346" s="66"/>
      <c r="O346" s="66"/>
      <c r="P346" s="66"/>
      <c r="Q346" s="8"/>
      <c r="R346" s="66"/>
      <c r="S346" s="66"/>
      <c r="T346" s="66"/>
      <c r="U346" s="8"/>
      <c r="V346" s="66"/>
      <c r="W346" s="66"/>
      <c r="X346" s="66"/>
      <c r="Y346" s="189"/>
      <c r="Z346" s="184"/>
      <c r="AA346" s="184"/>
      <c r="AB346" s="184"/>
      <c r="AC346" s="8"/>
      <c r="AD346" s="66"/>
      <c r="AE346" s="66"/>
      <c r="AF346" s="66"/>
      <c r="AG346" s="190"/>
      <c r="AH346" s="191"/>
      <c r="AI346" s="190"/>
      <c r="AJ346" s="190"/>
      <c r="AK346" s="66"/>
      <c r="AL346" s="66"/>
      <c r="AM346" s="66"/>
      <c r="AN346" s="66"/>
      <c r="AO346" s="66"/>
      <c r="AP346" s="66"/>
      <c r="AQ346" s="66"/>
      <c r="AR346" s="66"/>
      <c r="AS346" s="66"/>
      <c r="AT346" s="66"/>
    </row>
    <row r="347">
      <c r="A347" s="8"/>
      <c r="B347" s="66"/>
      <c r="C347" s="66"/>
      <c r="D347" s="66"/>
      <c r="E347" s="8"/>
      <c r="F347" s="66"/>
      <c r="G347" s="66"/>
      <c r="H347" s="66"/>
      <c r="I347" s="8"/>
      <c r="J347" s="66"/>
      <c r="K347" s="66"/>
      <c r="L347" s="66"/>
      <c r="M347" s="8"/>
      <c r="N347" s="66"/>
      <c r="O347" s="66"/>
      <c r="P347" s="66"/>
      <c r="Q347" s="8"/>
      <c r="R347" s="66"/>
      <c r="S347" s="66"/>
      <c r="T347" s="66"/>
      <c r="U347" s="8"/>
      <c r="V347" s="66"/>
      <c r="W347" s="66"/>
      <c r="X347" s="66"/>
      <c r="Y347" s="189"/>
      <c r="Z347" s="184"/>
      <c r="AA347" s="184"/>
      <c r="AB347" s="184"/>
      <c r="AC347" s="8"/>
      <c r="AD347" s="66"/>
      <c r="AE347" s="66"/>
      <c r="AF347" s="66"/>
      <c r="AG347" s="190"/>
      <c r="AH347" s="191"/>
      <c r="AI347" s="190"/>
      <c r="AJ347" s="190"/>
      <c r="AK347" s="66"/>
      <c r="AL347" s="66"/>
      <c r="AM347" s="66"/>
      <c r="AN347" s="66"/>
      <c r="AO347" s="66"/>
      <c r="AP347" s="66"/>
      <c r="AQ347" s="66"/>
      <c r="AR347" s="66"/>
      <c r="AS347" s="66"/>
      <c r="AT347" s="66"/>
    </row>
    <row r="348">
      <c r="A348" s="8"/>
      <c r="B348" s="66"/>
      <c r="C348" s="66"/>
      <c r="D348" s="66"/>
      <c r="E348" s="8"/>
      <c r="F348" s="66"/>
      <c r="G348" s="66"/>
      <c r="H348" s="66"/>
      <c r="I348" s="8"/>
      <c r="J348" s="66"/>
      <c r="K348" s="66"/>
      <c r="L348" s="66"/>
      <c r="M348" s="8"/>
      <c r="N348" s="66"/>
      <c r="O348" s="66"/>
      <c r="P348" s="66"/>
      <c r="Q348" s="8"/>
      <c r="R348" s="66"/>
      <c r="S348" s="66"/>
      <c r="T348" s="66"/>
      <c r="U348" s="8"/>
      <c r="V348" s="66"/>
      <c r="W348" s="66"/>
      <c r="X348" s="66"/>
      <c r="Y348" s="189"/>
      <c r="Z348" s="184"/>
      <c r="AA348" s="184"/>
      <c r="AB348" s="184"/>
      <c r="AC348" s="8"/>
      <c r="AD348" s="66"/>
      <c r="AE348" s="66"/>
      <c r="AF348" s="66"/>
      <c r="AG348" s="190"/>
      <c r="AH348" s="191"/>
      <c r="AI348" s="190"/>
      <c r="AJ348" s="190"/>
      <c r="AK348" s="66"/>
      <c r="AL348" s="66"/>
      <c r="AM348" s="66"/>
      <c r="AN348" s="66"/>
      <c r="AO348" s="66"/>
      <c r="AP348" s="66"/>
      <c r="AQ348" s="66"/>
      <c r="AR348" s="66"/>
      <c r="AS348" s="66"/>
      <c r="AT348" s="66"/>
    </row>
    <row r="349">
      <c r="A349" s="8"/>
      <c r="B349" s="66"/>
      <c r="C349" s="66"/>
      <c r="D349" s="66"/>
      <c r="E349" s="8"/>
      <c r="F349" s="66"/>
      <c r="G349" s="66"/>
      <c r="H349" s="66"/>
      <c r="I349" s="8"/>
      <c r="J349" s="66"/>
      <c r="K349" s="66"/>
      <c r="L349" s="66"/>
      <c r="M349" s="8"/>
      <c r="N349" s="66"/>
      <c r="O349" s="66"/>
      <c r="P349" s="66"/>
      <c r="Q349" s="8"/>
      <c r="R349" s="66"/>
      <c r="S349" s="66"/>
      <c r="T349" s="66"/>
      <c r="U349" s="8"/>
      <c r="V349" s="66"/>
      <c r="W349" s="66"/>
      <c r="X349" s="66"/>
      <c r="Y349" s="189"/>
      <c r="Z349" s="184"/>
      <c r="AA349" s="184"/>
      <c r="AB349" s="184"/>
      <c r="AC349" s="8"/>
      <c r="AD349" s="66"/>
      <c r="AE349" s="66"/>
      <c r="AF349" s="66"/>
      <c r="AG349" s="190"/>
      <c r="AH349" s="191"/>
      <c r="AI349" s="190"/>
      <c r="AJ349" s="190"/>
      <c r="AK349" s="66"/>
      <c r="AL349" s="66"/>
      <c r="AM349" s="66"/>
      <c r="AN349" s="66"/>
      <c r="AO349" s="66"/>
      <c r="AP349" s="66"/>
      <c r="AQ349" s="66"/>
      <c r="AR349" s="66"/>
      <c r="AS349" s="66"/>
      <c r="AT349" s="66"/>
    </row>
    <row r="350">
      <c r="A350" s="8"/>
      <c r="B350" s="66"/>
      <c r="C350" s="66"/>
      <c r="D350" s="66"/>
      <c r="E350" s="8"/>
      <c r="F350" s="66"/>
      <c r="G350" s="66"/>
      <c r="H350" s="66"/>
      <c r="I350" s="8"/>
      <c r="J350" s="66"/>
      <c r="K350" s="66"/>
      <c r="L350" s="66"/>
      <c r="M350" s="8"/>
      <c r="N350" s="66"/>
      <c r="O350" s="66"/>
      <c r="P350" s="66"/>
      <c r="Q350" s="8"/>
      <c r="R350" s="66"/>
      <c r="S350" s="66"/>
      <c r="T350" s="66"/>
      <c r="U350" s="8"/>
      <c r="V350" s="66"/>
      <c r="W350" s="66"/>
      <c r="X350" s="66"/>
      <c r="Y350" s="189"/>
      <c r="Z350" s="184"/>
      <c r="AA350" s="184"/>
      <c r="AB350" s="184"/>
      <c r="AC350" s="8"/>
      <c r="AD350" s="66"/>
      <c r="AE350" s="66"/>
      <c r="AF350" s="66"/>
      <c r="AG350" s="190"/>
      <c r="AH350" s="191"/>
      <c r="AI350" s="190"/>
      <c r="AJ350" s="190"/>
      <c r="AK350" s="66"/>
      <c r="AL350" s="66"/>
      <c r="AM350" s="66"/>
      <c r="AN350" s="66"/>
      <c r="AO350" s="66"/>
      <c r="AP350" s="66"/>
      <c r="AQ350" s="66"/>
      <c r="AR350" s="66"/>
      <c r="AS350" s="66"/>
      <c r="AT350" s="66"/>
    </row>
    <row r="351">
      <c r="A351" s="8"/>
      <c r="B351" s="66"/>
      <c r="C351" s="66"/>
      <c r="D351" s="66"/>
      <c r="E351" s="8"/>
      <c r="F351" s="66"/>
      <c r="G351" s="66"/>
      <c r="H351" s="66"/>
      <c r="I351" s="8"/>
      <c r="J351" s="66"/>
      <c r="K351" s="66"/>
      <c r="L351" s="66"/>
      <c r="M351" s="8"/>
      <c r="N351" s="66"/>
      <c r="O351" s="66"/>
      <c r="P351" s="66"/>
      <c r="Q351" s="8"/>
      <c r="R351" s="66"/>
      <c r="S351" s="66"/>
      <c r="T351" s="66"/>
      <c r="U351" s="8"/>
      <c r="V351" s="66"/>
      <c r="W351" s="66"/>
      <c r="X351" s="66"/>
      <c r="Y351" s="189"/>
      <c r="Z351" s="184"/>
      <c r="AA351" s="184"/>
      <c r="AB351" s="184"/>
      <c r="AC351" s="8"/>
      <c r="AD351" s="66"/>
      <c r="AE351" s="66"/>
      <c r="AF351" s="66"/>
      <c r="AG351" s="190"/>
      <c r="AH351" s="191"/>
      <c r="AI351" s="190"/>
      <c r="AJ351" s="190"/>
      <c r="AK351" s="66"/>
      <c r="AL351" s="66"/>
      <c r="AM351" s="66"/>
      <c r="AN351" s="66"/>
      <c r="AO351" s="66"/>
      <c r="AP351" s="66"/>
      <c r="AQ351" s="66"/>
      <c r="AR351" s="66"/>
      <c r="AS351" s="66"/>
      <c r="AT351" s="66"/>
    </row>
    <row r="352">
      <c r="A352" s="8"/>
      <c r="B352" s="66"/>
      <c r="C352" s="66"/>
      <c r="D352" s="66"/>
      <c r="E352" s="8"/>
      <c r="F352" s="66"/>
      <c r="G352" s="66"/>
      <c r="H352" s="66"/>
      <c r="I352" s="8"/>
      <c r="J352" s="66"/>
      <c r="K352" s="66"/>
      <c r="L352" s="66"/>
      <c r="M352" s="8"/>
      <c r="N352" s="66"/>
      <c r="O352" s="66"/>
      <c r="P352" s="66"/>
      <c r="Q352" s="8"/>
      <c r="R352" s="66"/>
      <c r="S352" s="66"/>
      <c r="T352" s="66"/>
      <c r="U352" s="8"/>
      <c r="V352" s="66"/>
      <c r="W352" s="66"/>
      <c r="X352" s="66"/>
      <c r="Y352" s="189"/>
      <c r="Z352" s="184"/>
      <c r="AA352" s="184"/>
      <c r="AB352" s="184"/>
      <c r="AC352" s="8"/>
      <c r="AD352" s="66"/>
      <c r="AE352" s="66"/>
      <c r="AF352" s="66"/>
      <c r="AG352" s="190"/>
      <c r="AH352" s="191"/>
      <c r="AI352" s="190"/>
      <c r="AJ352" s="190"/>
      <c r="AK352" s="66"/>
      <c r="AL352" s="66"/>
      <c r="AM352" s="66"/>
      <c r="AN352" s="66"/>
      <c r="AO352" s="66"/>
      <c r="AP352" s="66"/>
      <c r="AQ352" s="66"/>
      <c r="AR352" s="66"/>
      <c r="AS352" s="66"/>
      <c r="AT352" s="66"/>
    </row>
    <row r="353">
      <c r="A353" s="8"/>
      <c r="B353" s="66"/>
      <c r="C353" s="66"/>
      <c r="D353" s="66"/>
      <c r="E353" s="8"/>
      <c r="F353" s="66"/>
      <c r="G353" s="66"/>
      <c r="H353" s="66"/>
      <c r="I353" s="8"/>
      <c r="J353" s="66"/>
      <c r="K353" s="66"/>
      <c r="L353" s="66"/>
      <c r="M353" s="8"/>
      <c r="N353" s="66"/>
      <c r="O353" s="66"/>
      <c r="P353" s="66"/>
      <c r="Q353" s="8"/>
      <c r="R353" s="66"/>
      <c r="S353" s="66"/>
      <c r="T353" s="66"/>
      <c r="U353" s="8"/>
      <c r="V353" s="66"/>
      <c r="W353" s="66"/>
      <c r="X353" s="66"/>
      <c r="Y353" s="189"/>
      <c r="Z353" s="184"/>
      <c r="AA353" s="184"/>
      <c r="AB353" s="184"/>
      <c r="AC353" s="8"/>
      <c r="AD353" s="66"/>
      <c r="AE353" s="66"/>
      <c r="AF353" s="66"/>
      <c r="AG353" s="190"/>
      <c r="AH353" s="191"/>
      <c r="AI353" s="190"/>
      <c r="AJ353" s="190"/>
      <c r="AK353" s="66"/>
      <c r="AL353" s="66"/>
      <c r="AM353" s="66"/>
      <c r="AN353" s="66"/>
      <c r="AO353" s="66"/>
      <c r="AP353" s="66"/>
      <c r="AQ353" s="66"/>
      <c r="AR353" s="66"/>
      <c r="AS353" s="66"/>
      <c r="AT353" s="66"/>
    </row>
    <row r="354">
      <c r="A354" s="8"/>
      <c r="B354" s="66"/>
      <c r="C354" s="66"/>
      <c r="D354" s="66"/>
      <c r="E354" s="8"/>
      <c r="F354" s="66"/>
      <c r="G354" s="66"/>
      <c r="H354" s="66"/>
      <c r="I354" s="8"/>
      <c r="J354" s="66"/>
      <c r="K354" s="66"/>
      <c r="L354" s="66"/>
      <c r="M354" s="8"/>
      <c r="N354" s="66"/>
      <c r="O354" s="66"/>
      <c r="P354" s="66"/>
      <c r="Q354" s="8"/>
      <c r="R354" s="66"/>
      <c r="S354" s="66"/>
      <c r="T354" s="66"/>
      <c r="U354" s="8"/>
      <c r="V354" s="66"/>
      <c r="W354" s="66"/>
      <c r="X354" s="66"/>
      <c r="Y354" s="189"/>
      <c r="Z354" s="184"/>
      <c r="AA354" s="184"/>
      <c r="AB354" s="184"/>
      <c r="AC354" s="8"/>
      <c r="AD354" s="66"/>
      <c r="AE354" s="66"/>
      <c r="AF354" s="66"/>
      <c r="AG354" s="190"/>
      <c r="AH354" s="191"/>
      <c r="AI354" s="190"/>
      <c r="AJ354" s="190"/>
      <c r="AK354" s="66"/>
      <c r="AL354" s="66"/>
      <c r="AM354" s="66"/>
      <c r="AN354" s="66"/>
      <c r="AO354" s="66"/>
      <c r="AP354" s="66"/>
      <c r="AQ354" s="66"/>
      <c r="AR354" s="66"/>
      <c r="AS354" s="66"/>
      <c r="AT354" s="66"/>
    </row>
    <row r="355">
      <c r="A355" s="8"/>
      <c r="B355" s="66"/>
      <c r="C355" s="66"/>
      <c r="D355" s="66"/>
      <c r="E355" s="8"/>
      <c r="F355" s="66"/>
      <c r="G355" s="66"/>
      <c r="H355" s="66"/>
      <c r="I355" s="8"/>
      <c r="J355" s="66"/>
      <c r="K355" s="66"/>
      <c r="L355" s="66"/>
      <c r="M355" s="8"/>
      <c r="N355" s="66"/>
      <c r="O355" s="66"/>
      <c r="P355" s="66"/>
      <c r="Q355" s="8"/>
      <c r="R355" s="66"/>
      <c r="S355" s="66"/>
      <c r="T355" s="66"/>
      <c r="U355" s="8"/>
      <c r="V355" s="66"/>
      <c r="W355" s="66"/>
      <c r="X355" s="66"/>
      <c r="Y355" s="189"/>
      <c r="Z355" s="184"/>
      <c r="AA355" s="184"/>
      <c r="AB355" s="184"/>
      <c r="AC355" s="8"/>
      <c r="AD355" s="66"/>
      <c r="AE355" s="66"/>
      <c r="AF355" s="66"/>
      <c r="AG355" s="190"/>
      <c r="AH355" s="191"/>
      <c r="AI355" s="190"/>
      <c r="AJ355" s="190"/>
      <c r="AK355" s="66"/>
      <c r="AL355" s="66"/>
      <c r="AM355" s="66"/>
      <c r="AN355" s="66"/>
      <c r="AO355" s="66"/>
      <c r="AP355" s="66"/>
      <c r="AQ355" s="66"/>
      <c r="AR355" s="66"/>
      <c r="AS355" s="66"/>
      <c r="AT355" s="66"/>
    </row>
    <row r="356">
      <c r="A356" s="8"/>
      <c r="B356" s="66"/>
      <c r="C356" s="66"/>
      <c r="D356" s="66"/>
      <c r="E356" s="8"/>
      <c r="F356" s="66"/>
      <c r="G356" s="66"/>
      <c r="H356" s="66"/>
      <c r="I356" s="8"/>
      <c r="J356" s="66"/>
      <c r="K356" s="66"/>
      <c r="L356" s="66"/>
      <c r="M356" s="8"/>
      <c r="N356" s="66"/>
      <c r="O356" s="66"/>
      <c r="P356" s="66"/>
      <c r="Q356" s="8"/>
      <c r="R356" s="66"/>
      <c r="S356" s="66"/>
      <c r="T356" s="66"/>
      <c r="U356" s="8"/>
      <c r="V356" s="66"/>
      <c r="W356" s="66"/>
      <c r="X356" s="66"/>
      <c r="Y356" s="189"/>
      <c r="Z356" s="184"/>
      <c r="AA356" s="184"/>
      <c r="AB356" s="184"/>
      <c r="AC356" s="8"/>
      <c r="AD356" s="66"/>
      <c r="AE356" s="66"/>
      <c r="AF356" s="66"/>
      <c r="AG356" s="190"/>
      <c r="AH356" s="191"/>
      <c r="AI356" s="190"/>
      <c r="AJ356" s="190"/>
      <c r="AK356" s="66"/>
      <c r="AL356" s="66"/>
      <c r="AM356" s="66"/>
      <c r="AN356" s="66"/>
      <c r="AO356" s="66"/>
      <c r="AP356" s="66"/>
      <c r="AQ356" s="66"/>
      <c r="AR356" s="66"/>
      <c r="AS356" s="66"/>
      <c r="AT356" s="66"/>
    </row>
    <row r="357">
      <c r="A357" s="8"/>
      <c r="B357" s="66"/>
      <c r="C357" s="66"/>
      <c r="D357" s="66"/>
      <c r="E357" s="8"/>
      <c r="F357" s="66"/>
      <c r="G357" s="66"/>
      <c r="H357" s="66"/>
      <c r="I357" s="8"/>
      <c r="J357" s="66"/>
      <c r="K357" s="66"/>
      <c r="L357" s="66"/>
      <c r="M357" s="8"/>
      <c r="N357" s="66"/>
      <c r="O357" s="66"/>
      <c r="P357" s="66"/>
      <c r="Q357" s="8"/>
      <c r="R357" s="66"/>
      <c r="S357" s="66"/>
      <c r="T357" s="66"/>
      <c r="U357" s="8"/>
      <c r="V357" s="66"/>
      <c r="W357" s="66"/>
      <c r="X357" s="66"/>
      <c r="Y357" s="189"/>
      <c r="Z357" s="184"/>
      <c r="AA357" s="184"/>
      <c r="AB357" s="184"/>
      <c r="AC357" s="8"/>
      <c r="AD357" s="66"/>
      <c r="AE357" s="66"/>
      <c r="AF357" s="66"/>
      <c r="AG357" s="190"/>
      <c r="AH357" s="191"/>
      <c r="AI357" s="190"/>
      <c r="AJ357" s="190"/>
      <c r="AK357" s="66"/>
      <c r="AL357" s="66"/>
      <c r="AM357" s="66"/>
      <c r="AN357" s="66"/>
      <c r="AO357" s="66"/>
      <c r="AP357" s="66"/>
      <c r="AQ357" s="66"/>
      <c r="AR357" s="66"/>
      <c r="AS357" s="66"/>
      <c r="AT357" s="66"/>
    </row>
    <row r="358">
      <c r="A358" s="8"/>
      <c r="B358" s="66"/>
      <c r="C358" s="66"/>
      <c r="D358" s="66"/>
      <c r="E358" s="8"/>
      <c r="F358" s="66"/>
      <c r="G358" s="66"/>
      <c r="H358" s="66"/>
      <c r="I358" s="8"/>
      <c r="J358" s="66"/>
      <c r="K358" s="66"/>
      <c r="L358" s="66"/>
      <c r="M358" s="8"/>
      <c r="N358" s="66"/>
      <c r="O358" s="66"/>
      <c r="P358" s="66"/>
      <c r="Q358" s="8"/>
      <c r="R358" s="66"/>
      <c r="S358" s="66"/>
      <c r="T358" s="66"/>
      <c r="U358" s="8"/>
      <c r="V358" s="66"/>
      <c r="W358" s="66"/>
      <c r="X358" s="66"/>
      <c r="Y358" s="189"/>
      <c r="Z358" s="184"/>
      <c r="AA358" s="184"/>
      <c r="AB358" s="184"/>
      <c r="AC358" s="8"/>
      <c r="AD358" s="66"/>
      <c r="AE358" s="66"/>
      <c r="AF358" s="66"/>
      <c r="AG358" s="190"/>
      <c r="AH358" s="191"/>
      <c r="AI358" s="190"/>
      <c r="AJ358" s="190"/>
      <c r="AK358" s="66"/>
      <c r="AL358" s="66"/>
      <c r="AM358" s="66"/>
      <c r="AN358" s="66"/>
      <c r="AO358" s="66"/>
      <c r="AP358" s="66"/>
      <c r="AQ358" s="66"/>
      <c r="AR358" s="66"/>
      <c r="AS358" s="66"/>
      <c r="AT358" s="66"/>
    </row>
    <row r="359">
      <c r="A359" s="8"/>
      <c r="B359" s="66"/>
      <c r="C359" s="66"/>
      <c r="D359" s="66"/>
      <c r="E359" s="8"/>
      <c r="F359" s="66"/>
      <c r="G359" s="66"/>
      <c r="H359" s="66"/>
      <c r="I359" s="8"/>
      <c r="J359" s="66"/>
      <c r="K359" s="66"/>
      <c r="L359" s="66"/>
      <c r="M359" s="8"/>
      <c r="N359" s="66"/>
      <c r="O359" s="66"/>
      <c r="P359" s="66"/>
      <c r="Q359" s="8"/>
      <c r="R359" s="66"/>
      <c r="S359" s="66"/>
      <c r="T359" s="66"/>
      <c r="U359" s="8"/>
      <c r="V359" s="66"/>
      <c r="W359" s="66"/>
      <c r="X359" s="66"/>
      <c r="Y359" s="189"/>
      <c r="Z359" s="184"/>
      <c r="AA359" s="184"/>
      <c r="AB359" s="184"/>
      <c r="AC359" s="8"/>
      <c r="AD359" s="66"/>
      <c r="AE359" s="66"/>
      <c r="AF359" s="66"/>
      <c r="AG359" s="190"/>
      <c r="AH359" s="191"/>
      <c r="AI359" s="190"/>
      <c r="AJ359" s="190"/>
      <c r="AK359" s="66"/>
      <c r="AL359" s="66"/>
      <c r="AM359" s="66"/>
      <c r="AN359" s="66"/>
      <c r="AO359" s="66"/>
      <c r="AP359" s="66"/>
      <c r="AQ359" s="66"/>
      <c r="AR359" s="66"/>
      <c r="AS359" s="66"/>
      <c r="AT359" s="66"/>
    </row>
    <row r="360">
      <c r="A360" s="8"/>
      <c r="B360" s="66"/>
      <c r="C360" s="66"/>
      <c r="D360" s="66"/>
      <c r="E360" s="8"/>
      <c r="F360" s="66"/>
      <c r="G360" s="66"/>
      <c r="H360" s="66"/>
      <c r="I360" s="8"/>
      <c r="J360" s="66"/>
      <c r="K360" s="66"/>
      <c r="L360" s="66"/>
      <c r="M360" s="8"/>
      <c r="N360" s="66"/>
      <c r="O360" s="66"/>
      <c r="P360" s="66"/>
      <c r="Q360" s="8"/>
      <c r="R360" s="66"/>
      <c r="S360" s="66"/>
      <c r="T360" s="66"/>
      <c r="U360" s="8"/>
      <c r="V360" s="66"/>
      <c r="W360" s="66"/>
      <c r="X360" s="66"/>
      <c r="Y360" s="189"/>
      <c r="Z360" s="184"/>
      <c r="AA360" s="184"/>
      <c r="AB360" s="184"/>
      <c r="AC360" s="8"/>
      <c r="AD360" s="66"/>
      <c r="AE360" s="66"/>
      <c r="AF360" s="66"/>
      <c r="AG360" s="190"/>
      <c r="AH360" s="191"/>
      <c r="AI360" s="190"/>
      <c r="AJ360" s="190"/>
      <c r="AK360" s="66"/>
      <c r="AL360" s="66"/>
      <c r="AM360" s="66"/>
      <c r="AN360" s="66"/>
      <c r="AO360" s="66"/>
      <c r="AP360" s="66"/>
      <c r="AQ360" s="66"/>
      <c r="AR360" s="66"/>
      <c r="AS360" s="66"/>
      <c r="AT360" s="66"/>
    </row>
    <row r="361">
      <c r="A361" s="8"/>
      <c r="B361" s="66"/>
      <c r="C361" s="66"/>
      <c r="D361" s="66"/>
      <c r="E361" s="8"/>
      <c r="F361" s="66"/>
      <c r="G361" s="66"/>
      <c r="H361" s="66"/>
      <c r="I361" s="8"/>
      <c r="J361" s="66"/>
      <c r="K361" s="66"/>
      <c r="L361" s="66"/>
      <c r="M361" s="8"/>
      <c r="N361" s="66"/>
      <c r="O361" s="66"/>
      <c r="P361" s="66"/>
      <c r="Q361" s="8"/>
      <c r="R361" s="66"/>
      <c r="S361" s="66"/>
      <c r="T361" s="66"/>
      <c r="U361" s="8"/>
      <c r="V361" s="66"/>
      <c r="W361" s="66"/>
      <c r="X361" s="66"/>
      <c r="Y361" s="189"/>
      <c r="Z361" s="184"/>
      <c r="AA361" s="184"/>
      <c r="AB361" s="184"/>
      <c r="AC361" s="8"/>
      <c r="AD361" s="66"/>
      <c r="AE361" s="66"/>
      <c r="AF361" s="66"/>
      <c r="AG361" s="190"/>
      <c r="AH361" s="191"/>
      <c r="AI361" s="190"/>
      <c r="AJ361" s="190"/>
      <c r="AK361" s="66"/>
      <c r="AL361" s="66"/>
      <c r="AM361" s="66"/>
      <c r="AN361" s="66"/>
      <c r="AO361" s="66"/>
      <c r="AP361" s="66"/>
      <c r="AQ361" s="66"/>
      <c r="AR361" s="66"/>
      <c r="AS361" s="66"/>
      <c r="AT361" s="66"/>
    </row>
    <row r="362">
      <c r="A362" s="8"/>
      <c r="B362" s="66"/>
      <c r="C362" s="66"/>
      <c r="D362" s="66"/>
      <c r="E362" s="8"/>
      <c r="F362" s="66"/>
      <c r="G362" s="66"/>
      <c r="H362" s="66"/>
      <c r="I362" s="8"/>
      <c r="J362" s="66"/>
      <c r="K362" s="66"/>
      <c r="L362" s="66"/>
      <c r="M362" s="8"/>
      <c r="N362" s="66"/>
      <c r="O362" s="66"/>
      <c r="P362" s="66"/>
      <c r="Q362" s="8"/>
      <c r="R362" s="66"/>
      <c r="S362" s="66"/>
      <c r="T362" s="66"/>
      <c r="U362" s="8"/>
      <c r="V362" s="66"/>
      <c r="W362" s="66"/>
      <c r="X362" s="66"/>
      <c r="Y362" s="189"/>
      <c r="Z362" s="184"/>
      <c r="AA362" s="184"/>
      <c r="AB362" s="184"/>
      <c r="AC362" s="8"/>
      <c r="AD362" s="66"/>
      <c r="AE362" s="66"/>
      <c r="AF362" s="66"/>
      <c r="AG362" s="190"/>
      <c r="AH362" s="191"/>
      <c r="AI362" s="190"/>
      <c r="AJ362" s="190"/>
      <c r="AK362" s="66"/>
      <c r="AL362" s="66"/>
      <c r="AM362" s="66"/>
      <c r="AN362" s="66"/>
      <c r="AO362" s="66"/>
      <c r="AP362" s="66"/>
      <c r="AQ362" s="66"/>
      <c r="AR362" s="66"/>
      <c r="AS362" s="66"/>
      <c r="AT362" s="66"/>
    </row>
    <row r="363">
      <c r="A363" s="8"/>
      <c r="B363" s="66"/>
      <c r="C363" s="66"/>
      <c r="D363" s="66"/>
      <c r="E363" s="8"/>
      <c r="F363" s="66"/>
      <c r="G363" s="66"/>
      <c r="H363" s="66"/>
      <c r="I363" s="8"/>
      <c r="J363" s="66"/>
      <c r="K363" s="66"/>
      <c r="L363" s="66"/>
      <c r="M363" s="8"/>
      <c r="N363" s="66"/>
      <c r="O363" s="66"/>
      <c r="P363" s="66"/>
      <c r="Q363" s="8"/>
      <c r="R363" s="66"/>
      <c r="S363" s="66"/>
      <c r="T363" s="66"/>
      <c r="U363" s="8"/>
      <c r="V363" s="66"/>
      <c r="W363" s="66"/>
      <c r="X363" s="66"/>
      <c r="Y363" s="189"/>
      <c r="Z363" s="184"/>
      <c r="AA363" s="184"/>
      <c r="AB363" s="184"/>
      <c r="AC363" s="8"/>
      <c r="AD363" s="66"/>
      <c r="AE363" s="66"/>
      <c r="AF363" s="66"/>
      <c r="AG363" s="190"/>
      <c r="AH363" s="191"/>
      <c r="AI363" s="190"/>
      <c r="AJ363" s="190"/>
      <c r="AK363" s="66"/>
      <c r="AL363" s="66"/>
      <c r="AM363" s="66"/>
      <c r="AN363" s="66"/>
      <c r="AO363" s="66"/>
      <c r="AP363" s="66"/>
      <c r="AQ363" s="66"/>
      <c r="AR363" s="66"/>
      <c r="AS363" s="66"/>
      <c r="AT363" s="66"/>
    </row>
    <row r="364">
      <c r="A364" s="8"/>
      <c r="B364" s="66"/>
      <c r="C364" s="66"/>
      <c r="D364" s="66"/>
      <c r="E364" s="8"/>
      <c r="F364" s="66"/>
      <c r="G364" s="66"/>
      <c r="H364" s="66"/>
      <c r="I364" s="8"/>
      <c r="J364" s="66"/>
      <c r="K364" s="66"/>
      <c r="L364" s="66"/>
      <c r="M364" s="8"/>
      <c r="N364" s="66"/>
      <c r="O364" s="66"/>
      <c r="P364" s="66"/>
      <c r="Q364" s="8"/>
      <c r="R364" s="66"/>
      <c r="S364" s="66"/>
      <c r="T364" s="66"/>
      <c r="U364" s="8"/>
      <c r="V364" s="66"/>
      <c r="W364" s="66"/>
      <c r="X364" s="66"/>
      <c r="Y364" s="189"/>
      <c r="Z364" s="184"/>
      <c r="AA364" s="184"/>
      <c r="AB364" s="184"/>
      <c r="AC364" s="8"/>
      <c r="AD364" s="66"/>
      <c r="AE364" s="66"/>
      <c r="AF364" s="66"/>
      <c r="AG364" s="190"/>
      <c r="AH364" s="191"/>
      <c r="AI364" s="190"/>
      <c r="AJ364" s="190"/>
      <c r="AK364" s="66"/>
      <c r="AL364" s="66"/>
      <c r="AM364" s="66"/>
      <c r="AN364" s="66"/>
      <c r="AO364" s="66"/>
      <c r="AP364" s="66"/>
      <c r="AQ364" s="66"/>
      <c r="AR364" s="66"/>
      <c r="AS364" s="66"/>
      <c r="AT364" s="66"/>
    </row>
    <row r="365">
      <c r="A365" s="8"/>
      <c r="B365" s="66"/>
      <c r="C365" s="66"/>
      <c r="D365" s="66"/>
      <c r="E365" s="8"/>
      <c r="F365" s="66"/>
      <c r="G365" s="66"/>
      <c r="H365" s="66"/>
      <c r="I365" s="8"/>
      <c r="J365" s="66"/>
      <c r="K365" s="66"/>
      <c r="L365" s="66"/>
      <c r="M365" s="8"/>
      <c r="N365" s="66"/>
      <c r="O365" s="66"/>
      <c r="P365" s="66"/>
      <c r="Q365" s="8"/>
      <c r="R365" s="66"/>
      <c r="S365" s="66"/>
      <c r="T365" s="66"/>
      <c r="U365" s="8"/>
      <c r="V365" s="66"/>
      <c r="W365" s="66"/>
      <c r="X365" s="66"/>
      <c r="Y365" s="189"/>
      <c r="Z365" s="184"/>
      <c r="AA365" s="184"/>
      <c r="AB365" s="184"/>
      <c r="AC365" s="8"/>
      <c r="AD365" s="66"/>
      <c r="AE365" s="66"/>
      <c r="AF365" s="66"/>
      <c r="AG365" s="190"/>
      <c r="AH365" s="191"/>
      <c r="AI365" s="190"/>
      <c r="AJ365" s="190"/>
      <c r="AK365" s="66"/>
      <c r="AL365" s="66"/>
      <c r="AM365" s="66"/>
      <c r="AN365" s="66"/>
      <c r="AO365" s="66"/>
      <c r="AP365" s="66"/>
      <c r="AQ365" s="66"/>
      <c r="AR365" s="66"/>
      <c r="AS365" s="66"/>
      <c r="AT365" s="66"/>
    </row>
    <row r="366">
      <c r="A366" s="8"/>
      <c r="B366" s="66"/>
      <c r="C366" s="66"/>
      <c r="D366" s="66"/>
      <c r="E366" s="8"/>
      <c r="F366" s="66"/>
      <c r="G366" s="66"/>
      <c r="H366" s="66"/>
      <c r="I366" s="8"/>
      <c r="J366" s="66"/>
      <c r="K366" s="66"/>
      <c r="L366" s="66"/>
      <c r="M366" s="8"/>
      <c r="N366" s="66"/>
      <c r="O366" s="66"/>
      <c r="P366" s="66"/>
      <c r="Q366" s="8"/>
      <c r="R366" s="66"/>
      <c r="S366" s="66"/>
      <c r="T366" s="66"/>
      <c r="U366" s="8"/>
      <c r="V366" s="66"/>
      <c r="W366" s="66"/>
      <c r="X366" s="66"/>
      <c r="Y366" s="189"/>
      <c r="Z366" s="184"/>
      <c r="AA366" s="184"/>
      <c r="AB366" s="184"/>
      <c r="AC366" s="8"/>
      <c r="AD366" s="66"/>
      <c r="AE366" s="66"/>
      <c r="AF366" s="66"/>
      <c r="AG366" s="190"/>
      <c r="AH366" s="191"/>
      <c r="AI366" s="190"/>
      <c r="AJ366" s="190"/>
      <c r="AK366" s="66"/>
      <c r="AL366" s="66"/>
      <c r="AM366" s="66"/>
      <c r="AN366" s="66"/>
      <c r="AO366" s="66"/>
      <c r="AP366" s="66"/>
      <c r="AQ366" s="66"/>
      <c r="AR366" s="66"/>
      <c r="AS366" s="66"/>
      <c r="AT366" s="66"/>
    </row>
    <row r="367">
      <c r="A367" s="8"/>
      <c r="B367" s="66"/>
      <c r="C367" s="66"/>
      <c r="D367" s="66"/>
      <c r="E367" s="8"/>
      <c r="F367" s="66"/>
      <c r="G367" s="66"/>
      <c r="H367" s="66"/>
      <c r="I367" s="8"/>
      <c r="J367" s="66"/>
      <c r="K367" s="66"/>
      <c r="L367" s="66"/>
      <c r="M367" s="8"/>
      <c r="N367" s="66"/>
      <c r="O367" s="66"/>
      <c r="P367" s="66"/>
      <c r="Q367" s="8"/>
      <c r="R367" s="66"/>
      <c r="S367" s="66"/>
      <c r="T367" s="66"/>
      <c r="U367" s="8"/>
      <c r="V367" s="66"/>
      <c r="W367" s="66"/>
      <c r="X367" s="66"/>
      <c r="Y367" s="189"/>
      <c r="Z367" s="184"/>
      <c r="AA367" s="184"/>
      <c r="AB367" s="184"/>
      <c r="AC367" s="8"/>
      <c r="AD367" s="66"/>
      <c r="AE367" s="66"/>
      <c r="AF367" s="66"/>
      <c r="AG367" s="190"/>
      <c r="AH367" s="191"/>
      <c r="AI367" s="190"/>
      <c r="AJ367" s="190"/>
      <c r="AK367" s="66"/>
      <c r="AL367" s="66"/>
      <c r="AM367" s="66"/>
      <c r="AN367" s="66"/>
      <c r="AO367" s="66"/>
      <c r="AP367" s="66"/>
      <c r="AQ367" s="66"/>
      <c r="AR367" s="66"/>
      <c r="AS367" s="66"/>
      <c r="AT367" s="66"/>
    </row>
    <row r="368">
      <c r="A368" s="8"/>
      <c r="B368" s="66"/>
      <c r="C368" s="66"/>
      <c r="D368" s="66"/>
      <c r="E368" s="8"/>
      <c r="F368" s="66"/>
      <c r="G368" s="66"/>
      <c r="H368" s="66"/>
      <c r="I368" s="8"/>
      <c r="J368" s="66"/>
      <c r="K368" s="66"/>
      <c r="L368" s="66"/>
      <c r="M368" s="8"/>
      <c r="N368" s="66"/>
      <c r="O368" s="66"/>
      <c r="P368" s="66"/>
      <c r="Q368" s="8"/>
      <c r="R368" s="66"/>
      <c r="S368" s="66"/>
      <c r="T368" s="66"/>
      <c r="U368" s="8"/>
      <c r="V368" s="66"/>
      <c r="W368" s="66"/>
      <c r="X368" s="66"/>
      <c r="Y368" s="189"/>
      <c r="Z368" s="184"/>
      <c r="AA368" s="184"/>
      <c r="AB368" s="184"/>
      <c r="AC368" s="8"/>
      <c r="AD368" s="66"/>
      <c r="AE368" s="66"/>
      <c r="AF368" s="66"/>
      <c r="AG368" s="190"/>
      <c r="AH368" s="191"/>
      <c r="AI368" s="190"/>
      <c r="AJ368" s="190"/>
      <c r="AK368" s="66"/>
      <c r="AL368" s="66"/>
      <c r="AM368" s="66"/>
      <c r="AN368" s="66"/>
      <c r="AO368" s="66"/>
      <c r="AP368" s="66"/>
      <c r="AQ368" s="66"/>
      <c r="AR368" s="66"/>
      <c r="AS368" s="66"/>
      <c r="AT368" s="66"/>
    </row>
    <row r="369">
      <c r="A369" s="8"/>
      <c r="B369" s="66"/>
      <c r="C369" s="66"/>
      <c r="D369" s="66"/>
      <c r="E369" s="8"/>
      <c r="F369" s="66"/>
      <c r="G369" s="66"/>
      <c r="H369" s="66"/>
      <c r="I369" s="8"/>
      <c r="J369" s="66"/>
      <c r="K369" s="66"/>
      <c r="L369" s="66"/>
      <c r="M369" s="8"/>
      <c r="N369" s="66"/>
      <c r="O369" s="66"/>
      <c r="P369" s="66"/>
      <c r="Q369" s="8"/>
      <c r="R369" s="66"/>
      <c r="S369" s="66"/>
      <c r="T369" s="66"/>
      <c r="U369" s="8"/>
      <c r="V369" s="66"/>
      <c r="W369" s="66"/>
      <c r="X369" s="66"/>
      <c r="Y369" s="189"/>
      <c r="Z369" s="184"/>
      <c r="AA369" s="184"/>
      <c r="AB369" s="184"/>
      <c r="AC369" s="8"/>
      <c r="AD369" s="66"/>
      <c r="AE369" s="66"/>
      <c r="AF369" s="66"/>
      <c r="AG369" s="190"/>
      <c r="AH369" s="191"/>
      <c r="AI369" s="190"/>
      <c r="AJ369" s="190"/>
      <c r="AK369" s="66"/>
      <c r="AL369" s="66"/>
      <c r="AM369" s="66"/>
      <c r="AN369" s="66"/>
      <c r="AO369" s="66"/>
      <c r="AP369" s="66"/>
      <c r="AQ369" s="66"/>
      <c r="AR369" s="66"/>
      <c r="AS369" s="66"/>
      <c r="AT369" s="66"/>
    </row>
    <row r="370">
      <c r="A370" s="8"/>
      <c r="B370" s="66"/>
      <c r="C370" s="66"/>
      <c r="D370" s="66"/>
      <c r="E370" s="8"/>
      <c r="F370" s="66"/>
      <c r="G370" s="66"/>
      <c r="H370" s="66"/>
      <c r="I370" s="8"/>
      <c r="J370" s="66"/>
      <c r="K370" s="66"/>
      <c r="L370" s="66"/>
      <c r="M370" s="8"/>
      <c r="N370" s="66"/>
      <c r="O370" s="66"/>
      <c r="P370" s="66"/>
      <c r="Q370" s="8"/>
      <c r="R370" s="66"/>
      <c r="S370" s="66"/>
      <c r="T370" s="66"/>
      <c r="U370" s="8"/>
      <c r="V370" s="66"/>
      <c r="W370" s="66"/>
      <c r="X370" s="66"/>
      <c r="Y370" s="189"/>
      <c r="Z370" s="184"/>
      <c r="AA370" s="184"/>
      <c r="AB370" s="184"/>
      <c r="AC370" s="8"/>
      <c r="AD370" s="66"/>
      <c r="AE370" s="66"/>
      <c r="AF370" s="66"/>
      <c r="AG370" s="190"/>
      <c r="AH370" s="191"/>
      <c r="AI370" s="190"/>
      <c r="AJ370" s="190"/>
      <c r="AK370" s="66"/>
      <c r="AL370" s="66"/>
      <c r="AM370" s="66"/>
      <c r="AN370" s="66"/>
      <c r="AO370" s="66"/>
      <c r="AP370" s="66"/>
      <c r="AQ370" s="66"/>
      <c r="AR370" s="66"/>
      <c r="AS370" s="66"/>
      <c r="AT370" s="66"/>
    </row>
    <row r="371">
      <c r="A371" s="8"/>
      <c r="B371" s="66"/>
      <c r="C371" s="66"/>
      <c r="D371" s="66"/>
      <c r="E371" s="8"/>
      <c r="F371" s="66"/>
      <c r="G371" s="66"/>
      <c r="H371" s="66"/>
      <c r="I371" s="8"/>
      <c r="J371" s="66"/>
      <c r="K371" s="66"/>
      <c r="L371" s="66"/>
      <c r="M371" s="8"/>
      <c r="N371" s="66"/>
      <c r="O371" s="66"/>
      <c r="P371" s="66"/>
      <c r="Q371" s="8"/>
      <c r="R371" s="66"/>
      <c r="S371" s="66"/>
      <c r="T371" s="66"/>
      <c r="U371" s="8"/>
      <c r="V371" s="66"/>
      <c r="W371" s="66"/>
      <c r="X371" s="66"/>
      <c r="Y371" s="189"/>
      <c r="Z371" s="184"/>
      <c r="AA371" s="184"/>
      <c r="AB371" s="184"/>
      <c r="AC371" s="8"/>
      <c r="AD371" s="66"/>
      <c r="AE371" s="66"/>
      <c r="AF371" s="66"/>
      <c r="AG371" s="190"/>
      <c r="AH371" s="191"/>
      <c r="AI371" s="190"/>
      <c r="AJ371" s="190"/>
      <c r="AK371" s="66"/>
      <c r="AL371" s="66"/>
      <c r="AM371" s="66"/>
      <c r="AN371" s="66"/>
      <c r="AO371" s="66"/>
      <c r="AP371" s="66"/>
      <c r="AQ371" s="66"/>
      <c r="AR371" s="66"/>
      <c r="AS371" s="66"/>
      <c r="AT371" s="66"/>
    </row>
    <row r="372">
      <c r="A372" s="8"/>
      <c r="B372" s="66"/>
      <c r="C372" s="66"/>
      <c r="D372" s="66"/>
      <c r="E372" s="8"/>
      <c r="F372" s="66"/>
      <c r="G372" s="66"/>
      <c r="H372" s="66"/>
      <c r="I372" s="8"/>
      <c r="J372" s="66"/>
      <c r="K372" s="66"/>
      <c r="L372" s="66"/>
      <c r="M372" s="8"/>
      <c r="N372" s="66"/>
      <c r="O372" s="66"/>
      <c r="P372" s="66"/>
      <c r="Q372" s="8"/>
      <c r="R372" s="66"/>
      <c r="S372" s="66"/>
      <c r="T372" s="66"/>
      <c r="U372" s="8"/>
      <c r="V372" s="66"/>
      <c r="W372" s="66"/>
      <c r="X372" s="66"/>
      <c r="Y372" s="189"/>
      <c r="Z372" s="184"/>
      <c r="AA372" s="184"/>
      <c r="AB372" s="184"/>
      <c r="AC372" s="8"/>
      <c r="AD372" s="66"/>
      <c r="AE372" s="66"/>
      <c r="AF372" s="66"/>
      <c r="AG372" s="190"/>
      <c r="AH372" s="191"/>
      <c r="AI372" s="190"/>
      <c r="AJ372" s="190"/>
      <c r="AK372" s="66"/>
      <c r="AL372" s="66"/>
      <c r="AM372" s="66"/>
      <c r="AN372" s="66"/>
      <c r="AO372" s="66"/>
      <c r="AP372" s="66"/>
      <c r="AQ372" s="66"/>
      <c r="AR372" s="66"/>
      <c r="AS372" s="66"/>
      <c r="AT372" s="66"/>
    </row>
    <row r="373">
      <c r="A373" s="8"/>
      <c r="B373" s="66"/>
      <c r="C373" s="66"/>
      <c r="D373" s="66"/>
      <c r="E373" s="8"/>
      <c r="F373" s="66"/>
      <c r="G373" s="66"/>
      <c r="H373" s="66"/>
      <c r="I373" s="8"/>
      <c r="J373" s="66"/>
      <c r="K373" s="66"/>
      <c r="L373" s="66"/>
      <c r="M373" s="8"/>
      <c r="N373" s="66"/>
      <c r="O373" s="66"/>
      <c r="P373" s="66"/>
      <c r="Q373" s="8"/>
      <c r="R373" s="66"/>
      <c r="S373" s="66"/>
      <c r="T373" s="66"/>
      <c r="U373" s="8"/>
      <c r="V373" s="66"/>
      <c r="W373" s="66"/>
      <c r="X373" s="66"/>
      <c r="Y373" s="189"/>
      <c r="Z373" s="184"/>
      <c r="AA373" s="184"/>
      <c r="AB373" s="184"/>
      <c r="AC373" s="8"/>
      <c r="AD373" s="66"/>
      <c r="AE373" s="66"/>
      <c r="AF373" s="66"/>
      <c r="AG373" s="190"/>
      <c r="AH373" s="191"/>
      <c r="AI373" s="190"/>
      <c r="AJ373" s="190"/>
      <c r="AK373" s="66"/>
      <c r="AL373" s="66"/>
      <c r="AM373" s="66"/>
      <c r="AN373" s="66"/>
      <c r="AO373" s="66"/>
      <c r="AP373" s="66"/>
      <c r="AQ373" s="66"/>
      <c r="AR373" s="66"/>
      <c r="AS373" s="66"/>
      <c r="AT373" s="66"/>
    </row>
    <row r="374">
      <c r="A374" s="8"/>
      <c r="B374" s="66"/>
      <c r="C374" s="66"/>
      <c r="D374" s="66"/>
      <c r="E374" s="8"/>
      <c r="F374" s="66"/>
      <c r="G374" s="66"/>
      <c r="H374" s="66"/>
      <c r="I374" s="8"/>
      <c r="J374" s="66"/>
      <c r="K374" s="66"/>
      <c r="L374" s="66"/>
      <c r="M374" s="8"/>
      <c r="N374" s="66"/>
      <c r="O374" s="66"/>
      <c r="P374" s="66"/>
      <c r="Q374" s="8"/>
      <c r="R374" s="66"/>
      <c r="S374" s="66"/>
      <c r="T374" s="66"/>
      <c r="U374" s="8"/>
      <c r="V374" s="66"/>
      <c r="W374" s="66"/>
      <c r="X374" s="66"/>
      <c r="Y374" s="189"/>
      <c r="Z374" s="184"/>
      <c r="AA374" s="184"/>
      <c r="AB374" s="184"/>
      <c r="AC374" s="8"/>
      <c r="AD374" s="66"/>
      <c r="AE374" s="66"/>
      <c r="AF374" s="66"/>
      <c r="AG374" s="190"/>
      <c r="AH374" s="191"/>
      <c r="AI374" s="190"/>
      <c r="AJ374" s="190"/>
      <c r="AK374" s="66"/>
      <c r="AL374" s="66"/>
      <c r="AM374" s="66"/>
      <c r="AN374" s="66"/>
      <c r="AO374" s="66"/>
      <c r="AP374" s="66"/>
      <c r="AQ374" s="66"/>
      <c r="AR374" s="66"/>
      <c r="AS374" s="66"/>
      <c r="AT374" s="66"/>
    </row>
    <row r="375">
      <c r="A375" s="8"/>
      <c r="B375" s="66"/>
      <c r="C375" s="66"/>
      <c r="D375" s="66"/>
      <c r="E375" s="8"/>
      <c r="F375" s="66"/>
      <c r="G375" s="66"/>
      <c r="H375" s="66"/>
      <c r="I375" s="8"/>
      <c r="J375" s="66"/>
      <c r="K375" s="66"/>
      <c r="L375" s="66"/>
      <c r="M375" s="8"/>
      <c r="N375" s="66"/>
      <c r="O375" s="66"/>
      <c r="P375" s="66"/>
      <c r="Q375" s="8"/>
      <c r="R375" s="66"/>
      <c r="S375" s="66"/>
      <c r="T375" s="66"/>
      <c r="U375" s="8"/>
      <c r="V375" s="66"/>
      <c r="W375" s="66"/>
      <c r="X375" s="66"/>
      <c r="Y375" s="189"/>
      <c r="Z375" s="184"/>
      <c r="AA375" s="184"/>
      <c r="AB375" s="184"/>
      <c r="AC375" s="8"/>
      <c r="AD375" s="66"/>
      <c r="AE375" s="66"/>
      <c r="AF375" s="66"/>
      <c r="AG375" s="190"/>
      <c r="AH375" s="191"/>
      <c r="AI375" s="190"/>
      <c r="AJ375" s="190"/>
      <c r="AK375" s="66"/>
      <c r="AL375" s="66"/>
      <c r="AM375" s="66"/>
      <c r="AN375" s="66"/>
      <c r="AO375" s="66"/>
      <c r="AP375" s="66"/>
      <c r="AQ375" s="66"/>
      <c r="AR375" s="66"/>
      <c r="AS375" s="66"/>
      <c r="AT375" s="66"/>
    </row>
    <row r="376">
      <c r="A376" s="8"/>
      <c r="B376" s="66"/>
      <c r="C376" s="66"/>
      <c r="D376" s="66"/>
      <c r="E376" s="8"/>
      <c r="F376" s="66"/>
      <c r="G376" s="66"/>
      <c r="H376" s="66"/>
      <c r="I376" s="8"/>
      <c r="J376" s="66"/>
      <c r="K376" s="66"/>
      <c r="L376" s="66"/>
      <c r="M376" s="8"/>
      <c r="N376" s="66"/>
      <c r="O376" s="66"/>
      <c r="P376" s="66"/>
      <c r="Q376" s="8"/>
      <c r="R376" s="66"/>
      <c r="S376" s="66"/>
      <c r="T376" s="66"/>
      <c r="U376" s="8"/>
      <c r="V376" s="66"/>
      <c r="W376" s="66"/>
      <c r="X376" s="66"/>
      <c r="Y376" s="189"/>
      <c r="Z376" s="184"/>
      <c r="AA376" s="184"/>
      <c r="AB376" s="184"/>
      <c r="AC376" s="8"/>
      <c r="AD376" s="66"/>
      <c r="AE376" s="66"/>
      <c r="AF376" s="66"/>
      <c r="AG376" s="190"/>
      <c r="AH376" s="191"/>
      <c r="AI376" s="190"/>
      <c r="AJ376" s="190"/>
      <c r="AK376" s="66"/>
      <c r="AL376" s="66"/>
      <c r="AM376" s="66"/>
      <c r="AN376" s="66"/>
      <c r="AO376" s="66"/>
      <c r="AP376" s="66"/>
      <c r="AQ376" s="66"/>
      <c r="AR376" s="66"/>
      <c r="AS376" s="66"/>
      <c r="AT376" s="66"/>
    </row>
    <row r="377">
      <c r="A377" s="8"/>
      <c r="B377" s="66"/>
      <c r="C377" s="66"/>
      <c r="D377" s="66"/>
      <c r="E377" s="8"/>
      <c r="F377" s="66"/>
      <c r="G377" s="66"/>
      <c r="H377" s="66"/>
      <c r="I377" s="8"/>
      <c r="J377" s="66"/>
      <c r="K377" s="66"/>
      <c r="L377" s="66"/>
      <c r="M377" s="8"/>
      <c r="N377" s="66"/>
      <c r="O377" s="66"/>
      <c r="P377" s="66"/>
      <c r="Q377" s="8"/>
      <c r="R377" s="66"/>
      <c r="S377" s="66"/>
      <c r="T377" s="66"/>
      <c r="U377" s="8"/>
      <c r="V377" s="66"/>
      <c r="W377" s="66"/>
      <c r="X377" s="66"/>
      <c r="Y377" s="189"/>
      <c r="Z377" s="184"/>
      <c r="AA377" s="184"/>
      <c r="AB377" s="184"/>
      <c r="AC377" s="8"/>
      <c r="AD377" s="66"/>
      <c r="AE377" s="66"/>
      <c r="AF377" s="66"/>
      <c r="AG377" s="190"/>
      <c r="AH377" s="191"/>
      <c r="AI377" s="190"/>
      <c r="AJ377" s="190"/>
      <c r="AK377" s="66"/>
      <c r="AL377" s="66"/>
      <c r="AM377" s="66"/>
      <c r="AN377" s="66"/>
      <c r="AO377" s="66"/>
      <c r="AP377" s="66"/>
      <c r="AQ377" s="66"/>
      <c r="AR377" s="66"/>
      <c r="AS377" s="66"/>
      <c r="AT377" s="66"/>
    </row>
    <row r="378">
      <c r="A378" s="8"/>
      <c r="B378" s="66"/>
      <c r="C378" s="66"/>
      <c r="D378" s="66"/>
      <c r="E378" s="8"/>
      <c r="F378" s="66"/>
      <c r="G378" s="66"/>
      <c r="H378" s="66"/>
      <c r="I378" s="8"/>
      <c r="J378" s="66"/>
      <c r="K378" s="66"/>
      <c r="L378" s="66"/>
      <c r="M378" s="8"/>
      <c r="N378" s="66"/>
      <c r="O378" s="66"/>
      <c r="P378" s="66"/>
      <c r="Q378" s="8"/>
      <c r="R378" s="66"/>
      <c r="S378" s="66"/>
      <c r="T378" s="66"/>
      <c r="U378" s="8"/>
      <c r="V378" s="66"/>
      <c r="W378" s="66"/>
      <c r="X378" s="66"/>
      <c r="Y378" s="189"/>
      <c r="Z378" s="184"/>
      <c r="AA378" s="184"/>
      <c r="AB378" s="184"/>
      <c r="AC378" s="8"/>
      <c r="AD378" s="66"/>
      <c r="AE378" s="66"/>
      <c r="AF378" s="66"/>
      <c r="AG378" s="190"/>
      <c r="AH378" s="191"/>
      <c r="AI378" s="190"/>
      <c r="AJ378" s="190"/>
      <c r="AK378" s="66"/>
      <c r="AL378" s="66"/>
      <c r="AM378" s="66"/>
      <c r="AN378" s="66"/>
      <c r="AO378" s="66"/>
      <c r="AP378" s="66"/>
      <c r="AQ378" s="66"/>
      <c r="AR378" s="66"/>
      <c r="AS378" s="66"/>
      <c r="AT378" s="66"/>
    </row>
    <row r="379">
      <c r="A379" s="8"/>
      <c r="B379" s="66"/>
      <c r="C379" s="66"/>
      <c r="D379" s="66"/>
      <c r="E379" s="8"/>
      <c r="F379" s="66"/>
      <c r="G379" s="66"/>
      <c r="H379" s="66"/>
      <c r="I379" s="8"/>
      <c r="J379" s="66"/>
      <c r="K379" s="66"/>
      <c r="L379" s="66"/>
      <c r="M379" s="8"/>
      <c r="N379" s="66"/>
      <c r="O379" s="66"/>
      <c r="P379" s="66"/>
      <c r="Q379" s="8"/>
      <c r="R379" s="66"/>
      <c r="S379" s="66"/>
      <c r="T379" s="66"/>
      <c r="U379" s="8"/>
      <c r="V379" s="66"/>
      <c r="W379" s="66"/>
      <c r="X379" s="66"/>
      <c r="Y379" s="189"/>
      <c r="Z379" s="184"/>
      <c r="AA379" s="184"/>
      <c r="AB379" s="184"/>
      <c r="AC379" s="8"/>
      <c r="AD379" s="66"/>
      <c r="AE379" s="66"/>
      <c r="AF379" s="66"/>
      <c r="AG379" s="190"/>
      <c r="AH379" s="191"/>
      <c r="AI379" s="190"/>
      <c r="AJ379" s="190"/>
      <c r="AK379" s="66"/>
      <c r="AL379" s="66"/>
      <c r="AM379" s="66"/>
      <c r="AN379" s="66"/>
      <c r="AO379" s="66"/>
      <c r="AP379" s="66"/>
      <c r="AQ379" s="66"/>
      <c r="AR379" s="66"/>
      <c r="AS379" s="66"/>
      <c r="AT379" s="66"/>
    </row>
    <row r="380">
      <c r="A380" s="8"/>
      <c r="B380" s="66"/>
      <c r="C380" s="66"/>
      <c r="D380" s="66"/>
      <c r="E380" s="8"/>
      <c r="F380" s="66"/>
      <c r="G380" s="66"/>
      <c r="H380" s="66"/>
      <c r="I380" s="8"/>
      <c r="J380" s="66"/>
      <c r="K380" s="66"/>
      <c r="L380" s="66"/>
      <c r="M380" s="8"/>
      <c r="N380" s="66"/>
      <c r="O380" s="66"/>
      <c r="P380" s="66"/>
      <c r="Q380" s="8"/>
      <c r="R380" s="66"/>
      <c r="S380" s="66"/>
      <c r="T380" s="66"/>
      <c r="U380" s="8"/>
      <c r="V380" s="66"/>
      <c r="W380" s="66"/>
      <c r="X380" s="66"/>
      <c r="Y380" s="189"/>
      <c r="Z380" s="184"/>
      <c r="AA380" s="184"/>
      <c r="AB380" s="184"/>
      <c r="AC380" s="8"/>
      <c r="AD380" s="66"/>
      <c r="AE380" s="66"/>
      <c r="AF380" s="66"/>
      <c r="AG380" s="190"/>
      <c r="AH380" s="191"/>
      <c r="AI380" s="190"/>
      <c r="AJ380" s="190"/>
      <c r="AK380" s="66"/>
      <c r="AL380" s="66"/>
      <c r="AM380" s="66"/>
      <c r="AN380" s="66"/>
      <c r="AO380" s="66"/>
      <c r="AP380" s="66"/>
      <c r="AQ380" s="66"/>
      <c r="AR380" s="66"/>
      <c r="AS380" s="66"/>
      <c r="AT380" s="66"/>
    </row>
    <row r="381">
      <c r="A381" s="8"/>
      <c r="B381" s="66"/>
      <c r="C381" s="66"/>
      <c r="D381" s="66"/>
      <c r="E381" s="8"/>
      <c r="F381" s="66"/>
      <c r="G381" s="66"/>
      <c r="H381" s="66"/>
      <c r="I381" s="8"/>
      <c r="J381" s="66"/>
      <c r="K381" s="66"/>
      <c r="L381" s="66"/>
      <c r="M381" s="8"/>
      <c r="N381" s="66"/>
      <c r="O381" s="66"/>
      <c r="P381" s="66"/>
      <c r="Q381" s="8"/>
      <c r="R381" s="66"/>
      <c r="S381" s="66"/>
      <c r="T381" s="66"/>
      <c r="U381" s="8"/>
      <c r="V381" s="66"/>
      <c r="W381" s="66"/>
      <c r="X381" s="66"/>
      <c r="Y381" s="189"/>
      <c r="Z381" s="184"/>
      <c r="AA381" s="184"/>
      <c r="AB381" s="184"/>
      <c r="AC381" s="8"/>
      <c r="AD381" s="66"/>
      <c r="AE381" s="66"/>
      <c r="AF381" s="66"/>
      <c r="AG381" s="190"/>
      <c r="AH381" s="191"/>
      <c r="AI381" s="190"/>
      <c r="AJ381" s="190"/>
      <c r="AK381" s="66"/>
      <c r="AL381" s="66"/>
      <c r="AM381" s="66"/>
      <c r="AN381" s="66"/>
      <c r="AO381" s="66"/>
      <c r="AP381" s="66"/>
      <c r="AQ381" s="66"/>
      <c r="AR381" s="66"/>
      <c r="AS381" s="66"/>
      <c r="AT381" s="66"/>
    </row>
    <row r="382">
      <c r="A382" s="8"/>
      <c r="B382" s="66"/>
      <c r="C382" s="66"/>
      <c r="D382" s="66"/>
      <c r="E382" s="8"/>
      <c r="F382" s="66"/>
      <c r="G382" s="66"/>
      <c r="H382" s="66"/>
      <c r="I382" s="8"/>
      <c r="J382" s="66"/>
      <c r="K382" s="66"/>
      <c r="L382" s="66"/>
      <c r="M382" s="8"/>
      <c r="N382" s="66"/>
      <c r="O382" s="66"/>
      <c r="P382" s="66"/>
      <c r="Q382" s="8"/>
      <c r="R382" s="66"/>
      <c r="S382" s="66"/>
      <c r="T382" s="66"/>
      <c r="U382" s="8"/>
      <c r="V382" s="66"/>
      <c r="W382" s="66"/>
      <c r="X382" s="66"/>
      <c r="Y382" s="189"/>
      <c r="Z382" s="184"/>
      <c r="AA382" s="184"/>
      <c r="AB382" s="184"/>
      <c r="AC382" s="8"/>
      <c r="AD382" s="66"/>
      <c r="AE382" s="66"/>
      <c r="AF382" s="66"/>
      <c r="AG382" s="190"/>
      <c r="AH382" s="191"/>
      <c r="AI382" s="190"/>
      <c r="AJ382" s="190"/>
      <c r="AK382" s="66"/>
      <c r="AL382" s="66"/>
      <c r="AM382" s="66"/>
      <c r="AN382" s="66"/>
      <c r="AO382" s="66"/>
      <c r="AP382" s="66"/>
      <c r="AQ382" s="66"/>
      <c r="AR382" s="66"/>
      <c r="AS382" s="66"/>
      <c r="AT382" s="66"/>
    </row>
    <row r="383">
      <c r="A383" s="8"/>
      <c r="B383" s="66"/>
      <c r="C383" s="66"/>
      <c r="D383" s="66"/>
      <c r="E383" s="8"/>
      <c r="F383" s="66"/>
      <c r="G383" s="66"/>
      <c r="H383" s="66"/>
      <c r="I383" s="8"/>
      <c r="J383" s="66"/>
      <c r="K383" s="66"/>
      <c r="L383" s="66"/>
      <c r="M383" s="8"/>
      <c r="N383" s="66"/>
      <c r="O383" s="66"/>
      <c r="P383" s="66"/>
      <c r="Q383" s="8"/>
      <c r="R383" s="66"/>
      <c r="S383" s="66"/>
      <c r="T383" s="66"/>
      <c r="U383" s="8"/>
      <c r="V383" s="66"/>
      <c r="W383" s="66"/>
      <c r="X383" s="66"/>
      <c r="Y383" s="189"/>
      <c r="Z383" s="184"/>
      <c r="AA383" s="184"/>
      <c r="AB383" s="184"/>
      <c r="AC383" s="8"/>
      <c r="AD383" s="66"/>
      <c r="AE383" s="66"/>
      <c r="AF383" s="66"/>
      <c r="AG383" s="190"/>
      <c r="AH383" s="191"/>
      <c r="AI383" s="190"/>
      <c r="AJ383" s="190"/>
      <c r="AK383" s="66"/>
      <c r="AL383" s="66"/>
      <c r="AM383" s="66"/>
      <c r="AN383" s="66"/>
      <c r="AO383" s="66"/>
      <c r="AP383" s="66"/>
      <c r="AQ383" s="66"/>
      <c r="AR383" s="66"/>
      <c r="AS383" s="66"/>
      <c r="AT383" s="66"/>
    </row>
    <row r="384">
      <c r="A384" s="8"/>
      <c r="B384" s="66"/>
      <c r="C384" s="66"/>
      <c r="D384" s="66"/>
      <c r="E384" s="8"/>
      <c r="F384" s="66"/>
      <c r="G384" s="66"/>
      <c r="H384" s="66"/>
      <c r="I384" s="8"/>
      <c r="J384" s="66"/>
      <c r="K384" s="66"/>
      <c r="L384" s="66"/>
      <c r="M384" s="8"/>
      <c r="N384" s="66"/>
      <c r="O384" s="66"/>
      <c r="P384" s="66"/>
      <c r="Q384" s="8"/>
      <c r="R384" s="66"/>
      <c r="S384" s="66"/>
      <c r="T384" s="66"/>
      <c r="U384" s="8"/>
      <c r="V384" s="66"/>
      <c r="W384" s="66"/>
      <c r="X384" s="66"/>
      <c r="Y384" s="189"/>
      <c r="Z384" s="184"/>
      <c r="AA384" s="184"/>
      <c r="AB384" s="184"/>
      <c r="AC384" s="8"/>
      <c r="AD384" s="66"/>
      <c r="AE384" s="66"/>
      <c r="AF384" s="66"/>
      <c r="AG384" s="190"/>
      <c r="AH384" s="191"/>
      <c r="AI384" s="190"/>
      <c r="AJ384" s="190"/>
      <c r="AK384" s="66"/>
      <c r="AL384" s="66"/>
      <c r="AM384" s="66"/>
      <c r="AN384" s="66"/>
      <c r="AO384" s="66"/>
      <c r="AP384" s="66"/>
      <c r="AQ384" s="66"/>
      <c r="AR384" s="66"/>
      <c r="AS384" s="66"/>
      <c r="AT384" s="66"/>
    </row>
    <row r="385">
      <c r="A385" s="8"/>
      <c r="B385" s="66"/>
      <c r="C385" s="66"/>
      <c r="D385" s="66"/>
      <c r="E385" s="8"/>
      <c r="F385" s="66"/>
      <c r="G385" s="66"/>
      <c r="H385" s="66"/>
      <c r="I385" s="8"/>
      <c r="J385" s="66"/>
      <c r="K385" s="66"/>
      <c r="L385" s="66"/>
      <c r="M385" s="8"/>
      <c r="N385" s="66"/>
      <c r="O385" s="66"/>
      <c r="P385" s="66"/>
      <c r="Q385" s="8"/>
      <c r="R385" s="66"/>
      <c r="S385" s="66"/>
      <c r="T385" s="66"/>
      <c r="U385" s="8"/>
      <c r="V385" s="66"/>
      <c r="W385" s="66"/>
      <c r="X385" s="66"/>
      <c r="Y385" s="189"/>
      <c r="Z385" s="184"/>
      <c r="AA385" s="184"/>
      <c r="AB385" s="184"/>
      <c r="AC385" s="8"/>
      <c r="AD385" s="66"/>
      <c r="AE385" s="66"/>
      <c r="AF385" s="66"/>
      <c r="AG385" s="190"/>
      <c r="AH385" s="191"/>
      <c r="AI385" s="190"/>
      <c r="AJ385" s="190"/>
      <c r="AK385" s="66"/>
      <c r="AL385" s="66"/>
      <c r="AM385" s="66"/>
      <c r="AN385" s="66"/>
      <c r="AO385" s="66"/>
      <c r="AP385" s="66"/>
      <c r="AQ385" s="66"/>
      <c r="AR385" s="66"/>
      <c r="AS385" s="66"/>
      <c r="AT385" s="66"/>
    </row>
    <row r="386">
      <c r="A386" s="8"/>
      <c r="B386" s="66"/>
      <c r="C386" s="66"/>
      <c r="D386" s="66"/>
      <c r="E386" s="8"/>
      <c r="F386" s="66"/>
      <c r="G386" s="66"/>
      <c r="H386" s="66"/>
      <c r="I386" s="8"/>
      <c r="J386" s="66"/>
      <c r="K386" s="66"/>
      <c r="L386" s="66"/>
      <c r="M386" s="8"/>
      <c r="N386" s="66"/>
      <c r="O386" s="66"/>
      <c r="P386" s="66"/>
      <c r="Q386" s="8"/>
      <c r="R386" s="66"/>
      <c r="S386" s="66"/>
      <c r="T386" s="66"/>
      <c r="U386" s="8"/>
      <c r="V386" s="66"/>
      <c r="W386" s="66"/>
      <c r="X386" s="66"/>
      <c r="Y386" s="189"/>
      <c r="Z386" s="184"/>
      <c r="AA386" s="184"/>
      <c r="AB386" s="184"/>
      <c r="AC386" s="8"/>
      <c r="AD386" s="66"/>
      <c r="AE386" s="66"/>
      <c r="AF386" s="66"/>
      <c r="AG386" s="190"/>
      <c r="AH386" s="191"/>
      <c r="AI386" s="190"/>
      <c r="AJ386" s="190"/>
      <c r="AK386" s="66"/>
      <c r="AL386" s="66"/>
      <c r="AM386" s="66"/>
      <c r="AN386" s="66"/>
      <c r="AO386" s="66"/>
      <c r="AP386" s="66"/>
      <c r="AQ386" s="66"/>
      <c r="AR386" s="66"/>
      <c r="AS386" s="66"/>
      <c r="AT386" s="66"/>
    </row>
    <row r="387">
      <c r="A387" s="8"/>
      <c r="B387" s="66"/>
      <c r="C387" s="66"/>
      <c r="D387" s="66"/>
      <c r="E387" s="8"/>
      <c r="F387" s="66"/>
      <c r="G387" s="66"/>
      <c r="H387" s="66"/>
      <c r="I387" s="8"/>
      <c r="J387" s="66"/>
      <c r="K387" s="66"/>
      <c r="L387" s="66"/>
      <c r="M387" s="8"/>
      <c r="N387" s="66"/>
      <c r="O387" s="66"/>
      <c r="P387" s="66"/>
      <c r="Q387" s="8"/>
      <c r="R387" s="66"/>
      <c r="S387" s="66"/>
      <c r="T387" s="66"/>
      <c r="U387" s="8"/>
      <c r="V387" s="66"/>
      <c r="W387" s="66"/>
      <c r="X387" s="66"/>
      <c r="Y387" s="189"/>
      <c r="Z387" s="184"/>
      <c r="AA387" s="184"/>
      <c r="AB387" s="184"/>
      <c r="AC387" s="8"/>
      <c r="AD387" s="66"/>
      <c r="AE387" s="66"/>
      <c r="AF387" s="66"/>
      <c r="AG387" s="190"/>
      <c r="AH387" s="191"/>
      <c r="AI387" s="190"/>
      <c r="AJ387" s="190"/>
      <c r="AK387" s="66"/>
      <c r="AL387" s="66"/>
      <c r="AM387" s="66"/>
      <c r="AN387" s="66"/>
      <c r="AO387" s="66"/>
      <c r="AP387" s="66"/>
      <c r="AQ387" s="66"/>
      <c r="AR387" s="66"/>
      <c r="AS387" s="66"/>
      <c r="AT387" s="66"/>
    </row>
    <row r="388">
      <c r="A388" s="8"/>
      <c r="B388" s="66"/>
      <c r="C388" s="66"/>
      <c r="D388" s="66"/>
      <c r="E388" s="8"/>
      <c r="F388" s="66"/>
      <c r="G388" s="66"/>
      <c r="H388" s="66"/>
      <c r="I388" s="8"/>
      <c r="J388" s="66"/>
      <c r="K388" s="66"/>
      <c r="L388" s="66"/>
      <c r="M388" s="8"/>
      <c r="N388" s="66"/>
      <c r="O388" s="66"/>
      <c r="P388" s="66"/>
      <c r="Q388" s="8"/>
      <c r="R388" s="66"/>
      <c r="S388" s="66"/>
      <c r="T388" s="66"/>
      <c r="U388" s="8"/>
      <c r="V388" s="66"/>
      <c r="W388" s="66"/>
      <c r="X388" s="66"/>
      <c r="Y388" s="189"/>
      <c r="Z388" s="184"/>
      <c r="AA388" s="184"/>
      <c r="AB388" s="184"/>
      <c r="AC388" s="8"/>
      <c r="AD388" s="66"/>
      <c r="AE388" s="66"/>
      <c r="AF388" s="66"/>
      <c r="AG388" s="190"/>
      <c r="AH388" s="191"/>
      <c r="AI388" s="190"/>
      <c r="AJ388" s="190"/>
      <c r="AK388" s="66"/>
      <c r="AL388" s="66"/>
      <c r="AM388" s="66"/>
      <c r="AN388" s="66"/>
      <c r="AO388" s="66"/>
      <c r="AP388" s="66"/>
      <c r="AQ388" s="66"/>
      <c r="AR388" s="66"/>
      <c r="AS388" s="66"/>
      <c r="AT388" s="66"/>
    </row>
    <row r="389">
      <c r="A389" s="8"/>
      <c r="B389" s="66"/>
      <c r="C389" s="66"/>
      <c r="D389" s="66"/>
      <c r="E389" s="8"/>
      <c r="F389" s="66"/>
      <c r="G389" s="66"/>
      <c r="H389" s="66"/>
      <c r="I389" s="8"/>
      <c r="J389" s="66"/>
      <c r="K389" s="66"/>
      <c r="L389" s="66"/>
      <c r="M389" s="8"/>
      <c r="N389" s="66"/>
      <c r="O389" s="66"/>
      <c r="P389" s="66"/>
      <c r="Q389" s="8"/>
      <c r="R389" s="66"/>
      <c r="S389" s="66"/>
      <c r="T389" s="66"/>
      <c r="U389" s="8"/>
      <c r="V389" s="66"/>
      <c r="W389" s="66"/>
      <c r="X389" s="66"/>
      <c r="Y389" s="189"/>
      <c r="Z389" s="184"/>
      <c r="AA389" s="184"/>
      <c r="AB389" s="184"/>
      <c r="AC389" s="8"/>
      <c r="AD389" s="66"/>
      <c r="AE389" s="66"/>
      <c r="AF389" s="66"/>
      <c r="AG389" s="190"/>
      <c r="AH389" s="191"/>
      <c r="AI389" s="190"/>
      <c r="AJ389" s="190"/>
      <c r="AK389" s="66"/>
      <c r="AL389" s="66"/>
      <c r="AM389" s="66"/>
      <c r="AN389" s="66"/>
      <c r="AO389" s="66"/>
      <c r="AP389" s="66"/>
      <c r="AQ389" s="66"/>
      <c r="AR389" s="66"/>
      <c r="AS389" s="66"/>
      <c r="AT389" s="66"/>
    </row>
    <row r="390">
      <c r="A390" s="8"/>
      <c r="B390" s="66"/>
      <c r="C390" s="66"/>
      <c r="D390" s="66"/>
      <c r="E390" s="8"/>
      <c r="F390" s="66"/>
      <c r="G390" s="66"/>
      <c r="H390" s="66"/>
      <c r="I390" s="8"/>
      <c r="J390" s="66"/>
      <c r="K390" s="66"/>
      <c r="L390" s="66"/>
      <c r="M390" s="8"/>
      <c r="N390" s="66"/>
      <c r="O390" s="66"/>
      <c r="P390" s="66"/>
      <c r="Q390" s="8"/>
      <c r="R390" s="66"/>
      <c r="S390" s="66"/>
      <c r="T390" s="66"/>
      <c r="U390" s="8"/>
      <c r="V390" s="66"/>
      <c r="W390" s="66"/>
      <c r="X390" s="66"/>
      <c r="Y390" s="189"/>
      <c r="Z390" s="184"/>
      <c r="AA390" s="184"/>
      <c r="AB390" s="184"/>
      <c r="AC390" s="8"/>
      <c r="AD390" s="66"/>
      <c r="AE390" s="66"/>
      <c r="AF390" s="66"/>
      <c r="AG390" s="190"/>
      <c r="AH390" s="191"/>
      <c r="AI390" s="190"/>
      <c r="AJ390" s="190"/>
      <c r="AK390" s="66"/>
      <c r="AL390" s="66"/>
      <c r="AM390" s="66"/>
      <c r="AN390" s="66"/>
      <c r="AO390" s="66"/>
      <c r="AP390" s="66"/>
      <c r="AQ390" s="66"/>
      <c r="AR390" s="66"/>
      <c r="AS390" s="66"/>
      <c r="AT390" s="66"/>
    </row>
    <row r="391">
      <c r="A391" s="8"/>
      <c r="B391" s="66"/>
      <c r="C391" s="66"/>
      <c r="D391" s="66"/>
      <c r="E391" s="8"/>
      <c r="F391" s="66"/>
      <c r="G391" s="66"/>
      <c r="H391" s="66"/>
      <c r="I391" s="8"/>
      <c r="J391" s="66"/>
      <c r="K391" s="66"/>
      <c r="L391" s="66"/>
      <c r="M391" s="8"/>
      <c r="N391" s="66"/>
      <c r="O391" s="66"/>
      <c r="P391" s="66"/>
      <c r="Q391" s="8"/>
      <c r="R391" s="66"/>
      <c r="S391" s="66"/>
      <c r="T391" s="66"/>
      <c r="U391" s="8"/>
      <c r="V391" s="66"/>
      <c r="W391" s="66"/>
      <c r="X391" s="66"/>
      <c r="Y391" s="189"/>
      <c r="Z391" s="184"/>
      <c r="AA391" s="184"/>
      <c r="AB391" s="184"/>
      <c r="AC391" s="8"/>
      <c r="AD391" s="66"/>
      <c r="AE391" s="66"/>
      <c r="AF391" s="66"/>
      <c r="AG391" s="190"/>
      <c r="AH391" s="191"/>
      <c r="AI391" s="190"/>
      <c r="AJ391" s="190"/>
      <c r="AK391" s="66"/>
      <c r="AL391" s="66"/>
      <c r="AM391" s="66"/>
      <c r="AN391" s="66"/>
      <c r="AO391" s="66"/>
      <c r="AP391" s="66"/>
      <c r="AQ391" s="66"/>
      <c r="AR391" s="66"/>
      <c r="AS391" s="66"/>
      <c r="AT391" s="66"/>
    </row>
    <row r="392">
      <c r="A392" s="8"/>
      <c r="B392" s="66"/>
      <c r="C392" s="66"/>
      <c r="D392" s="66"/>
      <c r="E392" s="8"/>
      <c r="F392" s="66"/>
      <c r="G392" s="66"/>
      <c r="H392" s="66"/>
      <c r="I392" s="8"/>
      <c r="J392" s="66"/>
      <c r="K392" s="66"/>
      <c r="L392" s="66"/>
      <c r="M392" s="8"/>
      <c r="N392" s="66"/>
      <c r="O392" s="66"/>
      <c r="P392" s="66"/>
      <c r="Q392" s="8"/>
      <c r="R392" s="66"/>
      <c r="S392" s="66"/>
      <c r="T392" s="66"/>
      <c r="U392" s="8"/>
      <c r="V392" s="66"/>
      <c r="W392" s="66"/>
      <c r="X392" s="66"/>
      <c r="Y392" s="189"/>
      <c r="Z392" s="184"/>
      <c r="AA392" s="184"/>
      <c r="AB392" s="184"/>
      <c r="AC392" s="8"/>
      <c r="AD392" s="66"/>
      <c r="AE392" s="66"/>
      <c r="AF392" s="66"/>
      <c r="AG392" s="190"/>
      <c r="AH392" s="191"/>
      <c r="AI392" s="190"/>
      <c r="AJ392" s="190"/>
      <c r="AK392" s="66"/>
      <c r="AL392" s="66"/>
      <c r="AM392" s="66"/>
      <c r="AN392" s="66"/>
      <c r="AO392" s="66"/>
      <c r="AP392" s="66"/>
      <c r="AQ392" s="66"/>
      <c r="AR392" s="66"/>
      <c r="AS392" s="66"/>
      <c r="AT392" s="66"/>
    </row>
    <row r="393">
      <c r="A393" s="8"/>
      <c r="B393" s="66"/>
      <c r="C393" s="66"/>
      <c r="D393" s="66"/>
      <c r="E393" s="8"/>
      <c r="F393" s="66"/>
      <c r="G393" s="66"/>
      <c r="H393" s="66"/>
      <c r="I393" s="8"/>
      <c r="J393" s="66"/>
      <c r="K393" s="66"/>
      <c r="L393" s="66"/>
      <c r="M393" s="8"/>
      <c r="N393" s="66"/>
      <c r="O393" s="66"/>
      <c r="P393" s="66"/>
      <c r="Q393" s="8"/>
      <c r="R393" s="66"/>
      <c r="S393" s="66"/>
      <c r="T393" s="66"/>
      <c r="U393" s="8"/>
      <c r="V393" s="66"/>
      <c r="W393" s="66"/>
      <c r="X393" s="66"/>
      <c r="Y393" s="189"/>
      <c r="Z393" s="184"/>
      <c r="AA393" s="184"/>
      <c r="AB393" s="184"/>
      <c r="AC393" s="8"/>
      <c r="AD393" s="66"/>
      <c r="AE393" s="66"/>
      <c r="AF393" s="66"/>
      <c r="AG393" s="190"/>
      <c r="AH393" s="191"/>
      <c r="AI393" s="190"/>
      <c r="AJ393" s="190"/>
      <c r="AK393" s="66"/>
      <c r="AL393" s="66"/>
      <c r="AM393" s="66"/>
      <c r="AN393" s="66"/>
      <c r="AO393" s="66"/>
      <c r="AP393" s="66"/>
      <c r="AQ393" s="66"/>
      <c r="AR393" s="66"/>
      <c r="AS393" s="66"/>
      <c r="AT393" s="66"/>
    </row>
    <row r="394">
      <c r="A394" s="8"/>
      <c r="B394" s="66"/>
      <c r="C394" s="66"/>
      <c r="D394" s="66"/>
      <c r="E394" s="8"/>
      <c r="F394" s="66"/>
      <c r="G394" s="66"/>
      <c r="H394" s="66"/>
      <c r="I394" s="8"/>
      <c r="J394" s="66"/>
      <c r="K394" s="66"/>
      <c r="L394" s="66"/>
      <c r="M394" s="8"/>
      <c r="N394" s="66"/>
      <c r="O394" s="66"/>
      <c r="P394" s="66"/>
      <c r="Q394" s="8"/>
      <c r="R394" s="66"/>
      <c r="S394" s="66"/>
      <c r="T394" s="66"/>
      <c r="U394" s="8"/>
      <c r="V394" s="66"/>
      <c r="W394" s="66"/>
      <c r="X394" s="66"/>
      <c r="Y394" s="189"/>
      <c r="Z394" s="184"/>
      <c r="AA394" s="184"/>
      <c r="AB394" s="184"/>
      <c r="AC394" s="8"/>
      <c r="AD394" s="66"/>
      <c r="AE394" s="66"/>
      <c r="AF394" s="66"/>
      <c r="AG394" s="190"/>
      <c r="AH394" s="191"/>
      <c r="AI394" s="190"/>
      <c r="AJ394" s="190"/>
      <c r="AK394" s="66"/>
      <c r="AL394" s="66"/>
      <c r="AM394" s="66"/>
      <c r="AN394" s="66"/>
      <c r="AO394" s="66"/>
      <c r="AP394" s="66"/>
      <c r="AQ394" s="66"/>
      <c r="AR394" s="66"/>
      <c r="AS394" s="66"/>
      <c r="AT394" s="66"/>
    </row>
    <row r="395">
      <c r="A395" s="8"/>
      <c r="B395" s="66"/>
      <c r="C395" s="66"/>
      <c r="D395" s="66"/>
      <c r="E395" s="8"/>
      <c r="F395" s="66"/>
      <c r="G395" s="66"/>
      <c r="H395" s="66"/>
      <c r="I395" s="8"/>
      <c r="J395" s="66"/>
      <c r="K395" s="66"/>
      <c r="L395" s="66"/>
      <c r="M395" s="8"/>
      <c r="N395" s="66"/>
      <c r="O395" s="66"/>
      <c r="P395" s="66"/>
      <c r="Q395" s="8"/>
      <c r="R395" s="66"/>
      <c r="S395" s="66"/>
      <c r="T395" s="66"/>
      <c r="U395" s="8"/>
      <c r="V395" s="66"/>
      <c r="W395" s="66"/>
      <c r="X395" s="66"/>
      <c r="Y395" s="189"/>
      <c r="Z395" s="184"/>
      <c r="AA395" s="184"/>
      <c r="AB395" s="184"/>
      <c r="AC395" s="8"/>
      <c r="AD395" s="66"/>
      <c r="AE395" s="66"/>
      <c r="AF395" s="66"/>
      <c r="AG395" s="190"/>
      <c r="AH395" s="191"/>
      <c r="AI395" s="190"/>
      <c r="AJ395" s="190"/>
      <c r="AK395" s="66"/>
      <c r="AL395" s="66"/>
      <c r="AM395" s="66"/>
      <c r="AN395" s="66"/>
      <c r="AO395" s="66"/>
      <c r="AP395" s="66"/>
      <c r="AQ395" s="66"/>
      <c r="AR395" s="66"/>
      <c r="AS395" s="66"/>
      <c r="AT395" s="66"/>
    </row>
    <row r="396">
      <c r="A396" s="8"/>
      <c r="B396" s="66"/>
      <c r="C396" s="66"/>
      <c r="D396" s="66"/>
      <c r="E396" s="8"/>
      <c r="F396" s="66"/>
      <c r="G396" s="66"/>
      <c r="H396" s="66"/>
      <c r="I396" s="8"/>
      <c r="J396" s="66"/>
      <c r="K396" s="66"/>
      <c r="L396" s="66"/>
      <c r="M396" s="8"/>
      <c r="N396" s="66"/>
      <c r="O396" s="66"/>
      <c r="P396" s="66"/>
      <c r="Q396" s="8"/>
      <c r="R396" s="66"/>
      <c r="S396" s="66"/>
      <c r="T396" s="66"/>
      <c r="U396" s="8"/>
      <c r="V396" s="66"/>
      <c r="W396" s="66"/>
      <c r="X396" s="66"/>
      <c r="Y396" s="189"/>
      <c r="Z396" s="184"/>
      <c r="AA396" s="184"/>
      <c r="AB396" s="184"/>
      <c r="AC396" s="8"/>
      <c r="AD396" s="66"/>
      <c r="AE396" s="66"/>
      <c r="AF396" s="66"/>
      <c r="AG396" s="190"/>
      <c r="AH396" s="191"/>
      <c r="AI396" s="190"/>
      <c r="AJ396" s="190"/>
      <c r="AK396" s="66"/>
      <c r="AL396" s="66"/>
      <c r="AM396" s="66"/>
      <c r="AN396" s="66"/>
      <c r="AO396" s="66"/>
      <c r="AP396" s="66"/>
      <c r="AQ396" s="66"/>
      <c r="AR396" s="66"/>
      <c r="AS396" s="66"/>
      <c r="AT396" s="66"/>
    </row>
    <row r="397">
      <c r="A397" s="8"/>
      <c r="B397" s="66"/>
      <c r="C397" s="66"/>
      <c r="D397" s="66"/>
      <c r="E397" s="8"/>
      <c r="F397" s="66"/>
      <c r="G397" s="66"/>
      <c r="H397" s="66"/>
      <c r="I397" s="8"/>
      <c r="J397" s="66"/>
      <c r="K397" s="66"/>
      <c r="L397" s="66"/>
      <c r="M397" s="8"/>
      <c r="N397" s="66"/>
      <c r="O397" s="66"/>
      <c r="P397" s="66"/>
      <c r="Q397" s="8"/>
      <c r="R397" s="66"/>
      <c r="S397" s="66"/>
      <c r="T397" s="66"/>
      <c r="U397" s="8"/>
      <c r="V397" s="66"/>
      <c r="W397" s="66"/>
      <c r="X397" s="66"/>
      <c r="Y397" s="189"/>
      <c r="Z397" s="184"/>
      <c r="AA397" s="184"/>
      <c r="AB397" s="184"/>
      <c r="AC397" s="8"/>
      <c r="AD397" s="66"/>
      <c r="AE397" s="66"/>
      <c r="AF397" s="66"/>
      <c r="AG397" s="190"/>
      <c r="AH397" s="191"/>
      <c r="AI397" s="190"/>
      <c r="AJ397" s="190"/>
      <c r="AK397" s="66"/>
      <c r="AL397" s="66"/>
      <c r="AM397" s="66"/>
      <c r="AN397" s="66"/>
      <c r="AO397" s="66"/>
      <c r="AP397" s="66"/>
      <c r="AQ397" s="66"/>
      <c r="AR397" s="66"/>
      <c r="AS397" s="66"/>
      <c r="AT397" s="66"/>
    </row>
    <row r="398">
      <c r="A398" s="8"/>
      <c r="B398" s="66"/>
      <c r="C398" s="66"/>
      <c r="D398" s="66"/>
      <c r="E398" s="8"/>
      <c r="F398" s="66"/>
      <c r="G398" s="66"/>
      <c r="H398" s="66"/>
      <c r="I398" s="8"/>
      <c r="J398" s="66"/>
      <c r="K398" s="66"/>
      <c r="L398" s="66"/>
      <c r="M398" s="8"/>
      <c r="N398" s="66"/>
      <c r="O398" s="66"/>
      <c r="P398" s="66"/>
      <c r="Q398" s="8"/>
      <c r="R398" s="66"/>
      <c r="S398" s="66"/>
      <c r="T398" s="66"/>
      <c r="U398" s="8"/>
      <c r="V398" s="66"/>
      <c r="W398" s="66"/>
      <c r="X398" s="66"/>
      <c r="Y398" s="189"/>
      <c r="Z398" s="184"/>
      <c r="AA398" s="184"/>
      <c r="AB398" s="184"/>
      <c r="AC398" s="8"/>
      <c r="AD398" s="66"/>
      <c r="AE398" s="66"/>
      <c r="AF398" s="66"/>
      <c r="AG398" s="190"/>
      <c r="AH398" s="191"/>
      <c r="AI398" s="190"/>
      <c r="AJ398" s="190"/>
      <c r="AK398" s="66"/>
      <c r="AL398" s="66"/>
      <c r="AM398" s="66"/>
      <c r="AN398" s="66"/>
      <c r="AO398" s="66"/>
      <c r="AP398" s="66"/>
      <c r="AQ398" s="66"/>
      <c r="AR398" s="66"/>
      <c r="AS398" s="66"/>
      <c r="AT398" s="66"/>
    </row>
    <row r="399">
      <c r="A399" s="8"/>
      <c r="B399" s="66"/>
      <c r="C399" s="66"/>
      <c r="D399" s="66"/>
      <c r="E399" s="8"/>
      <c r="F399" s="66"/>
      <c r="G399" s="66"/>
      <c r="H399" s="66"/>
      <c r="I399" s="8"/>
      <c r="J399" s="66"/>
      <c r="K399" s="66"/>
      <c r="L399" s="66"/>
      <c r="M399" s="8"/>
      <c r="N399" s="66"/>
      <c r="O399" s="66"/>
      <c r="P399" s="66"/>
      <c r="Q399" s="8"/>
      <c r="R399" s="66"/>
      <c r="S399" s="66"/>
      <c r="T399" s="66"/>
      <c r="U399" s="8"/>
      <c r="V399" s="66"/>
      <c r="W399" s="66"/>
      <c r="X399" s="66"/>
      <c r="Y399" s="189"/>
      <c r="Z399" s="184"/>
      <c r="AA399" s="184"/>
      <c r="AB399" s="184"/>
      <c r="AC399" s="8"/>
      <c r="AD399" s="66"/>
      <c r="AE399" s="66"/>
      <c r="AF399" s="66"/>
      <c r="AG399" s="190"/>
      <c r="AH399" s="191"/>
      <c r="AI399" s="190"/>
      <c r="AJ399" s="190"/>
      <c r="AK399" s="66"/>
      <c r="AL399" s="66"/>
      <c r="AM399" s="66"/>
      <c r="AN399" s="66"/>
      <c r="AO399" s="66"/>
      <c r="AP399" s="66"/>
      <c r="AQ399" s="66"/>
      <c r="AR399" s="66"/>
      <c r="AS399" s="66"/>
      <c r="AT399" s="66"/>
    </row>
    <row r="400">
      <c r="A400" s="8"/>
      <c r="B400" s="66"/>
      <c r="C400" s="66"/>
      <c r="D400" s="66"/>
      <c r="E400" s="8"/>
      <c r="F400" s="66"/>
      <c r="G400" s="66"/>
      <c r="H400" s="66"/>
      <c r="I400" s="8"/>
      <c r="J400" s="66"/>
      <c r="K400" s="66"/>
      <c r="L400" s="66"/>
      <c r="M400" s="8"/>
      <c r="N400" s="66"/>
      <c r="O400" s="66"/>
      <c r="P400" s="66"/>
      <c r="Q400" s="8"/>
      <c r="R400" s="66"/>
      <c r="S400" s="66"/>
      <c r="T400" s="66"/>
      <c r="U400" s="8"/>
      <c r="V400" s="66"/>
      <c r="W400" s="66"/>
      <c r="X400" s="66"/>
      <c r="Y400" s="189"/>
      <c r="Z400" s="184"/>
      <c r="AA400" s="184"/>
      <c r="AB400" s="184"/>
      <c r="AC400" s="8"/>
      <c r="AD400" s="66"/>
      <c r="AE400" s="66"/>
      <c r="AF400" s="66"/>
      <c r="AG400" s="190"/>
      <c r="AH400" s="191"/>
      <c r="AI400" s="190"/>
      <c r="AJ400" s="190"/>
      <c r="AK400" s="66"/>
      <c r="AL400" s="66"/>
      <c r="AM400" s="66"/>
      <c r="AN400" s="66"/>
      <c r="AO400" s="66"/>
      <c r="AP400" s="66"/>
      <c r="AQ400" s="66"/>
      <c r="AR400" s="66"/>
      <c r="AS400" s="66"/>
      <c r="AT400" s="66"/>
    </row>
    <row r="401">
      <c r="A401" s="8"/>
      <c r="B401" s="66"/>
      <c r="C401" s="66"/>
      <c r="D401" s="66"/>
      <c r="E401" s="8"/>
      <c r="F401" s="66"/>
      <c r="G401" s="66"/>
      <c r="H401" s="66"/>
      <c r="I401" s="8"/>
      <c r="J401" s="66"/>
      <c r="K401" s="66"/>
      <c r="L401" s="66"/>
      <c r="M401" s="8"/>
      <c r="N401" s="66"/>
      <c r="O401" s="66"/>
      <c r="P401" s="66"/>
      <c r="Q401" s="8"/>
      <c r="R401" s="66"/>
      <c r="S401" s="66"/>
      <c r="T401" s="66"/>
      <c r="U401" s="8"/>
      <c r="V401" s="66"/>
      <c r="W401" s="66"/>
      <c r="X401" s="66"/>
      <c r="Y401" s="189"/>
      <c r="Z401" s="184"/>
      <c r="AA401" s="184"/>
      <c r="AB401" s="184"/>
      <c r="AC401" s="8"/>
      <c r="AD401" s="66"/>
      <c r="AE401" s="66"/>
      <c r="AF401" s="66"/>
      <c r="AG401" s="190"/>
      <c r="AH401" s="191"/>
      <c r="AI401" s="190"/>
      <c r="AJ401" s="190"/>
      <c r="AK401" s="66"/>
      <c r="AL401" s="66"/>
      <c r="AM401" s="66"/>
      <c r="AN401" s="66"/>
      <c r="AO401" s="66"/>
      <c r="AP401" s="66"/>
      <c r="AQ401" s="66"/>
      <c r="AR401" s="66"/>
      <c r="AS401" s="66"/>
      <c r="AT401" s="66"/>
    </row>
    <row r="402">
      <c r="A402" s="8"/>
      <c r="B402" s="66"/>
      <c r="C402" s="66"/>
      <c r="D402" s="66"/>
      <c r="E402" s="8"/>
      <c r="F402" s="66"/>
      <c r="G402" s="66"/>
      <c r="H402" s="66"/>
      <c r="I402" s="8"/>
      <c r="J402" s="66"/>
      <c r="K402" s="66"/>
      <c r="L402" s="66"/>
      <c r="M402" s="8"/>
      <c r="N402" s="66"/>
      <c r="O402" s="66"/>
      <c r="P402" s="66"/>
      <c r="Q402" s="8"/>
      <c r="R402" s="66"/>
      <c r="S402" s="66"/>
      <c r="T402" s="66"/>
      <c r="U402" s="8"/>
      <c r="V402" s="66"/>
      <c r="W402" s="66"/>
      <c r="X402" s="66"/>
      <c r="Y402" s="189"/>
      <c r="Z402" s="184"/>
      <c r="AA402" s="184"/>
      <c r="AB402" s="184"/>
      <c r="AC402" s="8"/>
      <c r="AD402" s="66"/>
      <c r="AE402" s="66"/>
      <c r="AF402" s="66"/>
      <c r="AG402" s="190"/>
      <c r="AH402" s="191"/>
      <c r="AI402" s="190"/>
      <c r="AJ402" s="190"/>
      <c r="AK402" s="66"/>
      <c r="AL402" s="66"/>
      <c r="AM402" s="66"/>
      <c r="AN402" s="66"/>
      <c r="AO402" s="66"/>
      <c r="AP402" s="66"/>
      <c r="AQ402" s="66"/>
      <c r="AR402" s="66"/>
      <c r="AS402" s="66"/>
      <c r="AT402" s="66"/>
    </row>
    <row r="403">
      <c r="A403" s="8"/>
      <c r="B403" s="66"/>
      <c r="C403" s="66"/>
      <c r="D403" s="66"/>
      <c r="E403" s="8"/>
      <c r="F403" s="66"/>
      <c r="G403" s="66"/>
      <c r="H403" s="66"/>
      <c r="I403" s="8"/>
      <c r="J403" s="66"/>
      <c r="K403" s="66"/>
      <c r="L403" s="66"/>
      <c r="M403" s="8"/>
      <c r="N403" s="66"/>
      <c r="O403" s="66"/>
      <c r="P403" s="66"/>
      <c r="Q403" s="8"/>
      <c r="R403" s="66"/>
      <c r="S403" s="66"/>
      <c r="T403" s="66"/>
      <c r="U403" s="8"/>
      <c r="V403" s="66"/>
      <c r="W403" s="66"/>
      <c r="X403" s="66"/>
      <c r="Y403" s="189"/>
      <c r="Z403" s="184"/>
      <c r="AA403" s="184"/>
      <c r="AB403" s="184"/>
      <c r="AC403" s="8"/>
      <c r="AD403" s="66"/>
      <c r="AE403" s="66"/>
      <c r="AF403" s="66"/>
      <c r="AG403" s="190"/>
      <c r="AH403" s="191"/>
      <c r="AI403" s="190"/>
      <c r="AJ403" s="190"/>
      <c r="AK403" s="66"/>
      <c r="AL403" s="66"/>
      <c r="AM403" s="66"/>
      <c r="AN403" s="66"/>
      <c r="AO403" s="66"/>
      <c r="AP403" s="66"/>
      <c r="AQ403" s="66"/>
      <c r="AR403" s="66"/>
      <c r="AS403" s="66"/>
      <c r="AT403" s="66"/>
    </row>
    <row r="404">
      <c r="A404" s="8"/>
      <c r="B404" s="66"/>
      <c r="C404" s="66"/>
      <c r="D404" s="66"/>
      <c r="E404" s="8"/>
      <c r="F404" s="66"/>
      <c r="G404" s="66"/>
      <c r="H404" s="66"/>
      <c r="I404" s="8"/>
      <c r="J404" s="66"/>
      <c r="K404" s="66"/>
      <c r="L404" s="66"/>
      <c r="M404" s="8"/>
      <c r="N404" s="66"/>
      <c r="O404" s="66"/>
      <c r="P404" s="66"/>
      <c r="Q404" s="8"/>
      <c r="R404" s="66"/>
      <c r="S404" s="66"/>
      <c r="T404" s="66"/>
      <c r="U404" s="8"/>
      <c r="V404" s="66"/>
      <c r="W404" s="66"/>
      <c r="X404" s="66"/>
      <c r="Y404" s="189"/>
      <c r="Z404" s="184"/>
      <c r="AA404" s="184"/>
      <c r="AB404" s="184"/>
      <c r="AC404" s="8"/>
      <c r="AD404" s="66"/>
      <c r="AE404" s="66"/>
      <c r="AF404" s="66"/>
      <c r="AG404" s="190"/>
      <c r="AH404" s="191"/>
      <c r="AI404" s="190"/>
      <c r="AJ404" s="190"/>
      <c r="AK404" s="66"/>
      <c r="AL404" s="66"/>
      <c r="AM404" s="66"/>
      <c r="AN404" s="66"/>
      <c r="AO404" s="66"/>
      <c r="AP404" s="66"/>
      <c r="AQ404" s="66"/>
      <c r="AR404" s="66"/>
      <c r="AS404" s="66"/>
      <c r="AT404" s="66"/>
    </row>
    <row r="405">
      <c r="A405" s="8"/>
      <c r="B405" s="66"/>
      <c r="C405" s="66"/>
      <c r="D405" s="66"/>
      <c r="E405" s="8"/>
      <c r="F405" s="66"/>
      <c r="G405" s="66"/>
      <c r="H405" s="66"/>
      <c r="I405" s="8"/>
      <c r="J405" s="66"/>
      <c r="K405" s="66"/>
      <c r="L405" s="66"/>
      <c r="M405" s="8"/>
      <c r="N405" s="66"/>
      <c r="O405" s="66"/>
      <c r="P405" s="66"/>
      <c r="Q405" s="8"/>
      <c r="R405" s="66"/>
      <c r="S405" s="66"/>
      <c r="T405" s="66"/>
      <c r="U405" s="8"/>
      <c r="V405" s="66"/>
      <c r="W405" s="66"/>
      <c r="X405" s="66"/>
      <c r="Y405" s="189"/>
      <c r="Z405" s="184"/>
      <c r="AA405" s="184"/>
      <c r="AB405" s="184"/>
      <c r="AC405" s="8"/>
      <c r="AD405" s="66"/>
      <c r="AE405" s="66"/>
      <c r="AF405" s="66"/>
      <c r="AG405" s="190"/>
      <c r="AH405" s="191"/>
      <c r="AI405" s="190"/>
      <c r="AJ405" s="190"/>
      <c r="AK405" s="66"/>
      <c r="AL405" s="66"/>
      <c r="AM405" s="66"/>
      <c r="AN405" s="66"/>
      <c r="AO405" s="66"/>
      <c r="AP405" s="66"/>
      <c r="AQ405" s="66"/>
      <c r="AR405" s="66"/>
      <c r="AS405" s="66"/>
      <c r="AT405" s="66"/>
    </row>
    <row r="406">
      <c r="A406" s="8"/>
      <c r="B406" s="66"/>
      <c r="C406" s="66"/>
      <c r="D406" s="66"/>
      <c r="E406" s="8"/>
      <c r="F406" s="66"/>
      <c r="G406" s="66"/>
      <c r="H406" s="66"/>
      <c r="I406" s="8"/>
      <c r="J406" s="66"/>
      <c r="K406" s="66"/>
      <c r="L406" s="66"/>
      <c r="M406" s="8"/>
      <c r="N406" s="66"/>
      <c r="O406" s="66"/>
      <c r="P406" s="66"/>
      <c r="Q406" s="8"/>
      <c r="R406" s="66"/>
      <c r="S406" s="66"/>
      <c r="T406" s="66"/>
      <c r="U406" s="8"/>
      <c r="V406" s="66"/>
      <c r="W406" s="66"/>
      <c r="X406" s="66"/>
      <c r="Y406" s="189"/>
      <c r="Z406" s="184"/>
      <c r="AA406" s="184"/>
      <c r="AB406" s="184"/>
      <c r="AC406" s="8"/>
      <c r="AD406" s="66"/>
      <c r="AE406" s="66"/>
      <c r="AF406" s="66"/>
      <c r="AG406" s="190"/>
      <c r="AH406" s="191"/>
      <c r="AI406" s="190"/>
      <c r="AJ406" s="190"/>
      <c r="AK406" s="66"/>
      <c r="AL406" s="66"/>
      <c r="AM406" s="66"/>
      <c r="AN406" s="66"/>
      <c r="AO406" s="66"/>
      <c r="AP406" s="66"/>
      <c r="AQ406" s="66"/>
      <c r="AR406" s="66"/>
      <c r="AS406" s="66"/>
      <c r="AT406" s="66"/>
    </row>
    <row r="407">
      <c r="A407" s="8"/>
      <c r="B407" s="66"/>
      <c r="C407" s="66"/>
      <c r="D407" s="66"/>
      <c r="E407" s="8"/>
      <c r="F407" s="66"/>
      <c r="G407" s="66"/>
      <c r="H407" s="66"/>
      <c r="I407" s="8"/>
      <c r="J407" s="66"/>
      <c r="K407" s="66"/>
      <c r="L407" s="66"/>
      <c r="M407" s="8"/>
      <c r="N407" s="66"/>
      <c r="O407" s="66"/>
      <c r="P407" s="66"/>
      <c r="Q407" s="8"/>
      <c r="R407" s="66"/>
      <c r="S407" s="66"/>
      <c r="T407" s="66"/>
      <c r="U407" s="8"/>
      <c r="V407" s="66"/>
      <c r="W407" s="66"/>
      <c r="X407" s="66"/>
      <c r="Y407" s="189"/>
      <c r="Z407" s="184"/>
      <c r="AA407" s="184"/>
      <c r="AB407" s="184"/>
      <c r="AC407" s="8"/>
      <c r="AD407" s="66"/>
      <c r="AE407" s="66"/>
      <c r="AF407" s="66"/>
      <c r="AG407" s="190"/>
      <c r="AH407" s="191"/>
      <c r="AI407" s="190"/>
      <c r="AJ407" s="190"/>
      <c r="AK407" s="66"/>
      <c r="AL407" s="66"/>
      <c r="AM407" s="66"/>
      <c r="AN407" s="66"/>
      <c r="AO407" s="66"/>
      <c r="AP407" s="66"/>
      <c r="AQ407" s="66"/>
      <c r="AR407" s="66"/>
      <c r="AS407" s="66"/>
      <c r="AT407" s="66"/>
    </row>
    <row r="408">
      <c r="A408" s="8"/>
      <c r="B408" s="66"/>
      <c r="C408" s="66"/>
      <c r="D408" s="66"/>
      <c r="E408" s="8"/>
      <c r="F408" s="66"/>
      <c r="G408" s="66"/>
      <c r="H408" s="66"/>
      <c r="I408" s="8"/>
      <c r="J408" s="66"/>
      <c r="K408" s="66"/>
      <c r="L408" s="66"/>
      <c r="M408" s="8"/>
      <c r="N408" s="66"/>
      <c r="O408" s="66"/>
      <c r="P408" s="66"/>
      <c r="Q408" s="8"/>
      <c r="R408" s="66"/>
      <c r="S408" s="66"/>
      <c r="T408" s="66"/>
      <c r="U408" s="8"/>
      <c r="V408" s="66"/>
      <c r="W408" s="66"/>
      <c r="X408" s="66"/>
      <c r="Y408" s="189"/>
      <c r="Z408" s="184"/>
      <c r="AA408" s="184"/>
      <c r="AB408" s="184"/>
      <c r="AC408" s="8"/>
      <c r="AD408" s="66"/>
      <c r="AE408" s="66"/>
      <c r="AF408" s="66"/>
      <c r="AG408" s="190"/>
      <c r="AH408" s="191"/>
      <c r="AI408" s="190"/>
      <c r="AJ408" s="190"/>
      <c r="AK408" s="66"/>
      <c r="AL408" s="66"/>
      <c r="AM408" s="66"/>
      <c r="AN408" s="66"/>
      <c r="AO408" s="66"/>
      <c r="AP408" s="66"/>
      <c r="AQ408" s="66"/>
      <c r="AR408" s="66"/>
      <c r="AS408" s="66"/>
      <c r="AT408" s="66"/>
    </row>
    <row r="409">
      <c r="A409" s="8"/>
      <c r="B409" s="66"/>
      <c r="C409" s="66"/>
      <c r="D409" s="66"/>
      <c r="E409" s="8"/>
      <c r="F409" s="66"/>
      <c r="G409" s="66"/>
      <c r="H409" s="66"/>
      <c r="I409" s="8"/>
      <c r="J409" s="66"/>
      <c r="K409" s="66"/>
      <c r="L409" s="66"/>
      <c r="M409" s="8"/>
      <c r="N409" s="66"/>
      <c r="O409" s="66"/>
      <c r="P409" s="66"/>
      <c r="Q409" s="8"/>
      <c r="R409" s="66"/>
      <c r="S409" s="66"/>
      <c r="T409" s="66"/>
      <c r="U409" s="8"/>
      <c r="V409" s="66"/>
      <c r="W409" s="66"/>
      <c r="X409" s="66"/>
      <c r="Y409" s="189"/>
      <c r="Z409" s="184"/>
      <c r="AA409" s="184"/>
      <c r="AB409" s="184"/>
      <c r="AC409" s="8"/>
      <c r="AD409" s="66"/>
      <c r="AE409" s="66"/>
      <c r="AF409" s="66"/>
      <c r="AG409" s="190"/>
      <c r="AH409" s="191"/>
      <c r="AI409" s="190"/>
      <c r="AJ409" s="190"/>
      <c r="AK409" s="66"/>
      <c r="AL409" s="66"/>
      <c r="AM409" s="66"/>
      <c r="AN409" s="66"/>
      <c r="AO409" s="66"/>
      <c r="AP409" s="66"/>
      <c r="AQ409" s="66"/>
      <c r="AR409" s="66"/>
      <c r="AS409" s="66"/>
      <c r="AT409" s="66"/>
    </row>
    <row r="410">
      <c r="A410" s="8"/>
      <c r="B410" s="66"/>
      <c r="C410" s="66"/>
      <c r="D410" s="66"/>
      <c r="E410" s="8"/>
      <c r="F410" s="66"/>
      <c r="G410" s="66"/>
      <c r="H410" s="66"/>
      <c r="I410" s="8"/>
      <c r="J410" s="66"/>
      <c r="K410" s="66"/>
      <c r="L410" s="66"/>
      <c r="M410" s="8"/>
      <c r="N410" s="66"/>
      <c r="O410" s="66"/>
      <c r="P410" s="66"/>
      <c r="Q410" s="8"/>
      <c r="R410" s="66"/>
      <c r="S410" s="66"/>
      <c r="T410" s="66"/>
      <c r="U410" s="8"/>
      <c r="V410" s="66"/>
      <c r="W410" s="66"/>
      <c r="X410" s="66"/>
      <c r="Y410" s="189"/>
      <c r="Z410" s="184"/>
      <c r="AA410" s="184"/>
      <c r="AB410" s="184"/>
      <c r="AC410" s="8"/>
      <c r="AD410" s="66"/>
      <c r="AE410" s="66"/>
      <c r="AF410" s="66"/>
      <c r="AG410" s="190"/>
      <c r="AH410" s="191"/>
      <c r="AI410" s="190"/>
      <c r="AJ410" s="190"/>
      <c r="AK410" s="66"/>
      <c r="AL410" s="66"/>
      <c r="AM410" s="66"/>
      <c r="AN410" s="66"/>
      <c r="AO410" s="66"/>
      <c r="AP410" s="66"/>
      <c r="AQ410" s="66"/>
      <c r="AR410" s="66"/>
      <c r="AS410" s="66"/>
      <c r="AT410" s="66"/>
    </row>
    <row r="411">
      <c r="A411" s="8"/>
      <c r="B411" s="66"/>
      <c r="C411" s="66"/>
      <c r="D411" s="66"/>
      <c r="E411" s="8"/>
      <c r="F411" s="66"/>
      <c r="G411" s="66"/>
      <c r="H411" s="66"/>
      <c r="I411" s="8"/>
      <c r="J411" s="66"/>
      <c r="K411" s="66"/>
      <c r="L411" s="66"/>
      <c r="M411" s="8"/>
      <c r="N411" s="66"/>
      <c r="O411" s="66"/>
      <c r="P411" s="66"/>
      <c r="Q411" s="8"/>
      <c r="R411" s="66"/>
      <c r="S411" s="66"/>
      <c r="T411" s="66"/>
      <c r="U411" s="8"/>
      <c r="V411" s="66"/>
      <c r="W411" s="66"/>
      <c r="X411" s="66"/>
      <c r="Y411" s="189"/>
      <c r="Z411" s="184"/>
      <c r="AA411" s="184"/>
      <c r="AB411" s="184"/>
      <c r="AC411" s="8"/>
      <c r="AD411" s="66"/>
      <c r="AE411" s="66"/>
      <c r="AF411" s="66"/>
      <c r="AG411" s="190"/>
      <c r="AH411" s="191"/>
      <c r="AI411" s="190"/>
      <c r="AJ411" s="190"/>
      <c r="AK411" s="66"/>
      <c r="AL411" s="66"/>
      <c r="AM411" s="66"/>
      <c r="AN411" s="66"/>
      <c r="AO411" s="66"/>
      <c r="AP411" s="66"/>
      <c r="AQ411" s="66"/>
      <c r="AR411" s="66"/>
      <c r="AS411" s="66"/>
      <c r="AT411" s="66"/>
    </row>
    <row r="412">
      <c r="A412" s="8"/>
      <c r="B412" s="66"/>
      <c r="C412" s="66"/>
      <c r="D412" s="66"/>
      <c r="E412" s="8"/>
      <c r="F412" s="66"/>
      <c r="G412" s="66"/>
      <c r="H412" s="66"/>
      <c r="I412" s="8"/>
      <c r="J412" s="66"/>
      <c r="K412" s="66"/>
      <c r="L412" s="66"/>
      <c r="M412" s="8"/>
      <c r="N412" s="66"/>
      <c r="O412" s="66"/>
      <c r="P412" s="66"/>
      <c r="Q412" s="8"/>
      <c r="R412" s="66"/>
      <c r="S412" s="66"/>
      <c r="T412" s="66"/>
      <c r="U412" s="8"/>
      <c r="V412" s="66"/>
      <c r="W412" s="66"/>
      <c r="X412" s="66"/>
      <c r="Y412" s="189"/>
      <c r="Z412" s="184"/>
      <c r="AA412" s="184"/>
      <c r="AB412" s="184"/>
      <c r="AC412" s="8"/>
      <c r="AD412" s="66"/>
      <c r="AE412" s="66"/>
      <c r="AF412" s="66"/>
      <c r="AG412" s="190"/>
      <c r="AH412" s="191"/>
      <c r="AI412" s="190"/>
      <c r="AJ412" s="190"/>
      <c r="AK412" s="66"/>
      <c r="AL412" s="66"/>
      <c r="AM412" s="66"/>
      <c r="AN412" s="66"/>
      <c r="AO412" s="66"/>
      <c r="AP412" s="66"/>
      <c r="AQ412" s="66"/>
      <c r="AR412" s="66"/>
      <c r="AS412" s="66"/>
      <c r="AT412" s="66"/>
    </row>
    <row r="413">
      <c r="A413" s="8"/>
      <c r="B413" s="66"/>
      <c r="C413" s="66"/>
      <c r="D413" s="66"/>
      <c r="E413" s="8"/>
      <c r="F413" s="66"/>
      <c r="G413" s="66"/>
      <c r="H413" s="66"/>
      <c r="I413" s="8"/>
      <c r="J413" s="66"/>
      <c r="K413" s="66"/>
      <c r="L413" s="66"/>
      <c r="M413" s="8"/>
      <c r="N413" s="66"/>
      <c r="O413" s="66"/>
      <c r="P413" s="66"/>
      <c r="Q413" s="8"/>
      <c r="R413" s="66"/>
      <c r="S413" s="66"/>
      <c r="T413" s="66"/>
      <c r="U413" s="8"/>
      <c r="V413" s="66"/>
      <c r="W413" s="66"/>
      <c r="X413" s="66"/>
      <c r="Y413" s="189"/>
      <c r="Z413" s="184"/>
      <c r="AA413" s="184"/>
      <c r="AB413" s="184"/>
      <c r="AC413" s="8"/>
      <c r="AD413" s="66"/>
      <c r="AE413" s="66"/>
      <c r="AF413" s="66"/>
      <c r="AG413" s="190"/>
      <c r="AH413" s="191"/>
      <c r="AI413" s="190"/>
      <c r="AJ413" s="190"/>
      <c r="AK413" s="66"/>
      <c r="AL413" s="66"/>
      <c r="AM413" s="66"/>
      <c r="AN413" s="66"/>
      <c r="AO413" s="66"/>
      <c r="AP413" s="66"/>
      <c r="AQ413" s="66"/>
      <c r="AR413" s="66"/>
      <c r="AS413" s="66"/>
      <c r="AT413" s="66"/>
    </row>
    <row r="414">
      <c r="A414" s="8"/>
      <c r="B414" s="66"/>
      <c r="C414" s="66"/>
      <c r="D414" s="66"/>
      <c r="E414" s="8"/>
      <c r="F414" s="66"/>
      <c r="G414" s="66"/>
      <c r="H414" s="66"/>
      <c r="I414" s="8"/>
      <c r="J414" s="66"/>
      <c r="K414" s="66"/>
      <c r="L414" s="66"/>
      <c r="M414" s="8"/>
      <c r="N414" s="66"/>
      <c r="O414" s="66"/>
      <c r="P414" s="66"/>
      <c r="Q414" s="8"/>
      <c r="R414" s="66"/>
      <c r="S414" s="66"/>
      <c r="T414" s="66"/>
      <c r="U414" s="8"/>
      <c r="V414" s="66"/>
      <c r="W414" s="66"/>
      <c r="X414" s="66"/>
      <c r="Y414" s="189"/>
      <c r="Z414" s="184"/>
      <c r="AA414" s="184"/>
      <c r="AB414" s="184"/>
      <c r="AC414" s="8"/>
      <c r="AD414" s="66"/>
      <c r="AE414" s="66"/>
      <c r="AF414" s="66"/>
      <c r="AG414" s="190"/>
      <c r="AH414" s="191"/>
      <c r="AI414" s="190"/>
      <c r="AJ414" s="190"/>
      <c r="AK414" s="66"/>
      <c r="AL414" s="66"/>
      <c r="AM414" s="66"/>
      <c r="AN414" s="66"/>
      <c r="AO414" s="66"/>
      <c r="AP414" s="66"/>
      <c r="AQ414" s="66"/>
      <c r="AR414" s="66"/>
      <c r="AS414" s="66"/>
      <c r="AT414" s="66"/>
    </row>
    <row r="415">
      <c r="A415" s="8"/>
      <c r="B415" s="66"/>
      <c r="C415" s="66"/>
      <c r="D415" s="66"/>
      <c r="E415" s="8"/>
      <c r="F415" s="66"/>
      <c r="G415" s="66"/>
      <c r="H415" s="66"/>
      <c r="I415" s="8"/>
      <c r="J415" s="66"/>
      <c r="K415" s="66"/>
      <c r="L415" s="66"/>
      <c r="M415" s="8"/>
      <c r="N415" s="66"/>
      <c r="O415" s="66"/>
      <c r="P415" s="66"/>
      <c r="Q415" s="8"/>
      <c r="R415" s="66"/>
      <c r="S415" s="66"/>
      <c r="T415" s="66"/>
      <c r="U415" s="8"/>
      <c r="V415" s="66"/>
      <c r="W415" s="66"/>
      <c r="X415" s="66"/>
      <c r="Y415" s="189"/>
      <c r="Z415" s="184"/>
      <c r="AA415" s="184"/>
      <c r="AB415" s="184"/>
      <c r="AC415" s="8"/>
      <c r="AD415" s="66"/>
      <c r="AE415" s="66"/>
      <c r="AF415" s="66"/>
      <c r="AG415" s="190"/>
      <c r="AH415" s="191"/>
      <c r="AI415" s="190"/>
      <c r="AJ415" s="190"/>
      <c r="AK415" s="66"/>
      <c r="AL415" s="66"/>
      <c r="AM415" s="66"/>
      <c r="AN415" s="66"/>
      <c r="AO415" s="66"/>
      <c r="AP415" s="66"/>
      <c r="AQ415" s="66"/>
      <c r="AR415" s="66"/>
      <c r="AS415" s="66"/>
      <c r="AT415" s="66"/>
    </row>
    <row r="416">
      <c r="A416" s="8"/>
      <c r="B416" s="66"/>
      <c r="C416" s="66"/>
      <c r="D416" s="66"/>
      <c r="E416" s="8"/>
      <c r="F416" s="66"/>
      <c r="G416" s="66"/>
      <c r="H416" s="66"/>
      <c r="I416" s="8"/>
      <c r="J416" s="66"/>
      <c r="K416" s="66"/>
      <c r="L416" s="66"/>
      <c r="M416" s="8"/>
      <c r="N416" s="66"/>
      <c r="O416" s="66"/>
      <c r="P416" s="66"/>
      <c r="Q416" s="8"/>
      <c r="R416" s="66"/>
      <c r="S416" s="66"/>
      <c r="T416" s="66"/>
      <c r="U416" s="8"/>
      <c r="V416" s="66"/>
      <c r="W416" s="66"/>
      <c r="X416" s="66"/>
      <c r="Y416" s="189"/>
      <c r="Z416" s="184"/>
      <c r="AA416" s="184"/>
      <c r="AB416" s="184"/>
      <c r="AC416" s="8"/>
      <c r="AD416" s="66"/>
      <c r="AE416" s="66"/>
      <c r="AF416" s="66"/>
      <c r="AG416" s="190"/>
      <c r="AH416" s="191"/>
      <c r="AI416" s="190"/>
      <c r="AJ416" s="190"/>
      <c r="AK416" s="66"/>
      <c r="AL416" s="66"/>
      <c r="AM416" s="66"/>
      <c r="AN416" s="66"/>
      <c r="AO416" s="66"/>
      <c r="AP416" s="66"/>
      <c r="AQ416" s="66"/>
      <c r="AR416" s="66"/>
      <c r="AS416" s="66"/>
      <c r="AT416" s="66"/>
    </row>
    <row r="417">
      <c r="A417" s="8"/>
      <c r="B417" s="66"/>
      <c r="C417" s="66"/>
      <c r="D417" s="66"/>
      <c r="E417" s="8"/>
      <c r="F417" s="66"/>
      <c r="G417" s="66"/>
      <c r="H417" s="66"/>
      <c r="I417" s="8"/>
      <c r="J417" s="66"/>
      <c r="K417" s="66"/>
      <c r="L417" s="66"/>
      <c r="M417" s="8"/>
      <c r="N417" s="66"/>
      <c r="O417" s="66"/>
      <c r="P417" s="66"/>
      <c r="Q417" s="8"/>
      <c r="R417" s="66"/>
      <c r="S417" s="66"/>
      <c r="T417" s="66"/>
      <c r="U417" s="8"/>
      <c r="V417" s="66"/>
      <c r="W417" s="66"/>
      <c r="X417" s="66"/>
      <c r="Y417" s="189"/>
      <c r="Z417" s="184"/>
      <c r="AA417" s="184"/>
      <c r="AB417" s="184"/>
      <c r="AC417" s="8"/>
      <c r="AD417" s="66"/>
      <c r="AE417" s="66"/>
      <c r="AF417" s="66"/>
      <c r="AG417" s="190"/>
      <c r="AH417" s="191"/>
      <c r="AI417" s="190"/>
      <c r="AJ417" s="190"/>
      <c r="AK417" s="66"/>
      <c r="AL417" s="66"/>
      <c r="AM417" s="66"/>
      <c r="AN417" s="66"/>
      <c r="AO417" s="66"/>
      <c r="AP417" s="66"/>
      <c r="AQ417" s="66"/>
      <c r="AR417" s="66"/>
      <c r="AS417" s="66"/>
      <c r="AT417" s="66"/>
    </row>
    <row r="418">
      <c r="A418" s="8"/>
      <c r="B418" s="66"/>
      <c r="C418" s="66"/>
      <c r="D418" s="66"/>
      <c r="E418" s="8"/>
      <c r="F418" s="66"/>
      <c r="G418" s="66"/>
      <c r="H418" s="66"/>
      <c r="I418" s="8"/>
      <c r="J418" s="66"/>
      <c r="K418" s="66"/>
      <c r="L418" s="66"/>
      <c r="M418" s="8"/>
      <c r="N418" s="66"/>
      <c r="O418" s="66"/>
      <c r="P418" s="66"/>
      <c r="Q418" s="8"/>
      <c r="R418" s="66"/>
      <c r="S418" s="66"/>
      <c r="T418" s="66"/>
      <c r="U418" s="8"/>
      <c r="V418" s="66"/>
      <c r="W418" s="66"/>
      <c r="X418" s="66"/>
      <c r="Y418" s="189"/>
      <c r="Z418" s="184"/>
      <c r="AA418" s="184"/>
      <c r="AB418" s="184"/>
      <c r="AC418" s="8"/>
      <c r="AD418" s="66"/>
      <c r="AE418" s="66"/>
      <c r="AF418" s="66"/>
      <c r="AG418" s="190"/>
      <c r="AH418" s="191"/>
      <c r="AI418" s="190"/>
      <c r="AJ418" s="190"/>
      <c r="AK418" s="66"/>
      <c r="AL418" s="66"/>
      <c r="AM418" s="66"/>
      <c r="AN418" s="66"/>
      <c r="AO418" s="66"/>
      <c r="AP418" s="66"/>
      <c r="AQ418" s="66"/>
      <c r="AR418" s="66"/>
      <c r="AS418" s="66"/>
      <c r="AT418" s="66"/>
    </row>
    <row r="419">
      <c r="A419" s="8"/>
      <c r="B419" s="66"/>
      <c r="C419" s="66"/>
      <c r="D419" s="66"/>
      <c r="E419" s="8"/>
      <c r="F419" s="66"/>
      <c r="G419" s="66"/>
      <c r="H419" s="66"/>
      <c r="I419" s="8"/>
      <c r="J419" s="66"/>
      <c r="K419" s="66"/>
      <c r="L419" s="66"/>
      <c r="M419" s="8"/>
      <c r="N419" s="66"/>
      <c r="O419" s="66"/>
      <c r="P419" s="66"/>
      <c r="Q419" s="8"/>
      <c r="R419" s="66"/>
      <c r="S419" s="66"/>
      <c r="T419" s="66"/>
      <c r="U419" s="8"/>
      <c r="V419" s="66"/>
      <c r="W419" s="66"/>
      <c r="X419" s="66"/>
      <c r="Y419" s="189"/>
      <c r="Z419" s="184"/>
      <c r="AA419" s="184"/>
      <c r="AB419" s="184"/>
      <c r="AC419" s="8"/>
      <c r="AD419" s="66"/>
      <c r="AE419" s="66"/>
      <c r="AF419" s="66"/>
      <c r="AG419" s="190"/>
      <c r="AH419" s="191"/>
      <c r="AI419" s="190"/>
      <c r="AJ419" s="190"/>
      <c r="AK419" s="66"/>
      <c r="AL419" s="66"/>
      <c r="AM419" s="66"/>
      <c r="AN419" s="66"/>
      <c r="AO419" s="66"/>
      <c r="AP419" s="66"/>
      <c r="AQ419" s="66"/>
      <c r="AR419" s="66"/>
      <c r="AS419" s="66"/>
      <c r="AT419" s="66"/>
    </row>
    <row r="420">
      <c r="A420" s="8"/>
      <c r="B420" s="66"/>
      <c r="C420" s="66"/>
      <c r="D420" s="66"/>
      <c r="E420" s="8"/>
      <c r="F420" s="66"/>
      <c r="G420" s="66"/>
      <c r="H420" s="66"/>
      <c r="I420" s="8"/>
      <c r="J420" s="66"/>
      <c r="K420" s="66"/>
      <c r="L420" s="66"/>
      <c r="M420" s="8"/>
      <c r="N420" s="66"/>
      <c r="O420" s="66"/>
      <c r="P420" s="66"/>
      <c r="Q420" s="8"/>
      <c r="R420" s="66"/>
      <c r="S420" s="66"/>
      <c r="T420" s="66"/>
      <c r="U420" s="8"/>
      <c r="V420" s="66"/>
      <c r="W420" s="66"/>
      <c r="X420" s="66"/>
      <c r="Y420" s="189"/>
      <c r="Z420" s="184"/>
      <c r="AA420" s="184"/>
      <c r="AB420" s="184"/>
      <c r="AC420" s="8"/>
      <c r="AD420" s="66"/>
      <c r="AE420" s="66"/>
      <c r="AF420" s="66"/>
      <c r="AG420" s="190"/>
      <c r="AH420" s="191"/>
      <c r="AI420" s="190"/>
      <c r="AJ420" s="190"/>
      <c r="AK420" s="66"/>
      <c r="AL420" s="66"/>
      <c r="AM420" s="66"/>
      <c r="AN420" s="66"/>
      <c r="AO420" s="66"/>
      <c r="AP420" s="66"/>
      <c r="AQ420" s="66"/>
      <c r="AR420" s="66"/>
      <c r="AS420" s="66"/>
      <c r="AT420" s="66"/>
    </row>
    <row r="421">
      <c r="A421" s="8"/>
      <c r="B421" s="66"/>
      <c r="C421" s="66"/>
      <c r="D421" s="66"/>
      <c r="E421" s="8"/>
      <c r="F421" s="66"/>
      <c r="G421" s="66"/>
      <c r="H421" s="66"/>
      <c r="I421" s="8"/>
      <c r="J421" s="66"/>
      <c r="K421" s="66"/>
      <c r="L421" s="66"/>
      <c r="M421" s="8"/>
      <c r="N421" s="66"/>
      <c r="O421" s="66"/>
      <c r="P421" s="66"/>
      <c r="Q421" s="8"/>
      <c r="R421" s="66"/>
      <c r="S421" s="66"/>
      <c r="T421" s="66"/>
      <c r="U421" s="8"/>
      <c r="V421" s="66"/>
      <c r="W421" s="66"/>
      <c r="X421" s="66"/>
      <c r="Y421" s="189"/>
      <c r="Z421" s="184"/>
      <c r="AA421" s="184"/>
      <c r="AB421" s="184"/>
      <c r="AC421" s="8"/>
      <c r="AD421" s="66"/>
      <c r="AE421" s="66"/>
      <c r="AF421" s="66"/>
      <c r="AG421" s="190"/>
      <c r="AH421" s="191"/>
      <c r="AI421" s="190"/>
      <c r="AJ421" s="190"/>
      <c r="AK421" s="66"/>
      <c r="AL421" s="66"/>
      <c r="AM421" s="66"/>
      <c r="AN421" s="66"/>
      <c r="AO421" s="66"/>
      <c r="AP421" s="66"/>
      <c r="AQ421" s="66"/>
      <c r="AR421" s="66"/>
      <c r="AS421" s="66"/>
      <c r="AT421" s="66"/>
    </row>
    <row r="422">
      <c r="A422" s="8"/>
      <c r="B422" s="66"/>
      <c r="C422" s="66"/>
      <c r="D422" s="66"/>
      <c r="E422" s="8"/>
      <c r="F422" s="66"/>
      <c r="G422" s="66"/>
      <c r="H422" s="66"/>
      <c r="I422" s="8"/>
      <c r="J422" s="66"/>
      <c r="K422" s="66"/>
      <c r="L422" s="66"/>
      <c r="M422" s="8"/>
      <c r="N422" s="66"/>
      <c r="O422" s="66"/>
      <c r="P422" s="66"/>
      <c r="Q422" s="8"/>
      <c r="R422" s="66"/>
      <c r="S422" s="66"/>
      <c r="T422" s="66"/>
      <c r="U422" s="8"/>
      <c r="V422" s="66"/>
      <c r="W422" s="66"/>
      <c r="X422" s="66"/>
      <c r="Y422" s="189"/>
      <c r="Z422" s="184"/>
      <c r="AA422" s="184"/>
      <c r="AB422" s="184"/>
      <c r="AC422" s="8"/>
      <c r="AD422" s="66"/>
      <c r="AE422" s="66"/>
      <c r="AF422" s="66"/>
      <c r="AG422" s="190"/>
      <c r="AH422" s="191"/>
      <c r="AI422" s="190"/>
      <c r="AJ422" s="190"/>
      <c r="AK422" s="66"/>
      <c r="AL422" s="66"/>
      <c r="AM422" s="66"/>
      <c r="AN422" s="66"/>
      <c r="AO422" s="66"/>
      <c r="AP422" s="66"/>
      <c r="AQ422" s="66"/>
      <c r="AR422" s="66"/>
      <c r="AS422" s="66"/>
      <c r="AT422" s="66"/>
    </row>
    <row r="423">
      <c r="A423" s="8"/>
      <c r="B423" s="66"/>
      <c r="C423" s="66"/>
      <c r="D423" s="66"/>
      <c r="E423" s="8"/>
      <c r="F423" s="66"/>
      <c r="G423" s="66"/>
      <c r="H423" s="66"/>
      <c r="I423" s="8"/>
      <c r="J423" s="66"/>
      <c r="K423" s="66"/>
      <c r="L423" s="66"/>
      <c r="M423" s="8"/>
      <c r="N423" s="66"/>
      <c r="O423" s="66"/>
      <c r="P423" s="66"/>
      <c r="Q423" s="8"/>
      <c r="R423" s="66"/>
      <c r="S423" s="66"/>
      <c r="T423" s="66"/>
      <c r="U423" s="8"/>
      <c r="V423" s="66"/>
      <c r="W423" s="66"/>
      <c r="X423" s="66"/>
      <c r="Y423" s="189"/>
      <c r="Z423" s="184"/>
      <c r="AA423" s="184"/>
      <c r="AB423" s="184"/>
      <c r="AC423" s="8"/>
      <c r="AD423" s="66"/>
      <c r="AE423" s="66"/>
      <c r="AF423" s="66"/>
      <c r="AG423" s="190"/>
      <c r="AH423" s="191"/>
      <c r="AI423" s="190"/>
      <c r="AJ423" s="190"/>
      <c r="AK423" s="66"/>
      <c r="AL423" s="66"/>
      <c r="AM423" s="66"/>
      <c r="AN423" s="66"/>
      <c r="AO423" s="66"/>
      <c r="AP423" s="66"/>
      <c r="AQ423" s="66"/>
      <c r="AR423" s="66"/>
      <c r="AS423" s="66"/>
      <c r="AT423" s="66"/>
    </row>
    <row r="424">
      <c r="A424" s="8"/>
      <c r="B424" s="66"/>
      <c r="C424" s="66"/>
      <c r="D424" s="66"/>
      <c r="E424" s="8"/>
      <c r="F424" s="66"/>
      <c r="G424" s="66"/>
      <c r="H424" s="66"/>
      <c r="I424" s="8"/>
      <c r="J424" s="66"/>
      <c r="K424" s="66"/>
      <c r="L424" s="66"/>
      <c r="M424" s="8"/>
      <c r="N424" s="66"/>
      <c r="O424" s="66"/>
      <c r="P424" s="66"/>
      <c r="Q424" s="8"/>
      <c r="R424" s="66"/>
      <c r="S424" s="66"/>
      <c r="T424" s="66"/>
      <c r="U424" s="8"/>
      <c r="V424" s="66"/>
      <c r="W424" s="66"/>
      <c r="X424" s="66"/>
      <c r="Y424" s="189"/>
      <c r="Z424" s="184"/>
      <c r="AA424" s="184"/>
      <c r="AB424" s="184"/>
      <c r="AC424" s="8"/>
      <c r="AD424" s="66"/>
      <c r="AE424" s="66"/>
      <c r="AF424" s="66"/>
      <c r="AG424" s="190"/>
      <c r="AH424" s="191"/>
      <c r="AI424" s="190"/>
      <c r="AJ424" s="190"/>
      <c r="AK424" s="66"/>
      <c r="AL424" s="66"/>
      <c r="AM424" s="66"/>
      <c r="AN424" s="66"/>
      <c r="AO424" s="66"/>
      <c r="AP424" s="66"/>
      <c r="AQ424" s="66"/>
      <c r="AR424" s="66"/>
      <c r="AS424" s="66"/>
      <c r="AT424" s="66"/>
    </row>
    <row r="425">
      <c r="A425" s="8"/>
      <c r="B425" s="66"/>
      <c r="C425" s="66"/>
      <c r="D425" s="66"/>
      <c r="E425" s="8"/>
      <c r="F425" s="66"/>
      <c r="G425" s="66"/>
      <c r="H425" s="66"/>
      <c r="I425" s="8"/>
      <c r="J425" s="66"/>
      <c r="K425" s="66"/>
      <c r="L425" s="66"/>
      <c r="M425" s="8"/>
      <c r="N425" s="66"/>
      <c r="O425" s="66"/>
      <c r="P425" s="66"/>
      <c r="Q425" s="8"/>
      <c r="R425" s="66"/>
      <c r="S425" s="66"/>
      <c r="T425" s="66"/>
      <c r="U425" s="8"/>
      <c r="V425" s="66"/>
      <c r="W425" s="66"/>
      <c r="X425" s="66"/>
      <c r="Y425" s="189"/>
      <c r="Z425" s="184"/>
      <c r="AA425" s="184"/>
      <c r="AB425" s="184"/>
      <c r="AC425" s="8"/>
      <c r="AD425" s="66"/>
      <c r="AE425" s="66"/>
      <c r="AF425" s="66"/>
      <c r="AG425" s="190"/>
      <c r="AH425" s="191"/>
      <c r="AI425" s="190"/>
      <c r="AJ425" s="190"/>
      <c r="AK425" s="66"/>
      <c r="AL425" s="66"/>
      <c r="AM425" s="66"/>
      <c r="AN425" s="66"/>
      <c r="AO425" s="66"/>
      <c r="AP425" s="66"/>
      <c r="AQ425" s="66"/>
      <c r="AR425" s="66"/>
      <c r="AS425" s="66"/>
      <c r="AT425" s="66"/>
    </row>
    <row r="426">
      <c r="A426" s="8"/>
      <c r="B426" s="66"/>
      <c r="C426" s="66"/>
      <c r="D426" s="66"/>
      <c r="E426" s="8"/>
      <c r="F426" s="66"/>
      <c r="G426" s="66"/>
      <c r="H426" s="66"/>
      <c r="I426" s="8"/>
      <c r="J426" s="66"/>
      <c r="K426" s="66"/>
      <c r="L426" s="66"/>
      <c r="M426" s="8"/>
      <c r="N426" s="66"/>
      <c r="O426" s="66"/>
      <c r="P426" s="66"/>
      <c r="Q426" s="8"/>
      <c r="R426" s="66"/>
      <c r="S426" s="66"/>
      <c r="T426" s="66"/>
      <c r="U426" s="8"/>
      <c r="V426" s="66"/>
      <c r="W426" s="66"/>
      <c r="X426" s="66"/>
      <c r="Y426" s="189"/>
      <c r="Z426" s="184"/>
      <c r="AA426" s="184"/>
      <c r="AB426" s="184"/>
      <c r="AC426" s="8"/>
      <c r="AD426" s="66"/>
      <c r="AE426" s="66"/>
      <c r="AF426" s="66"/>
      <c r="AG426" s="190"/>
      <c r="AH426" s="191"/>
      <c r="AI426" s="190"/>
      <c r="AJ426" s="190"/>
      <c r="AK426" s="66"/>
      <c r="AL426" s="66"/>
      <c r="AM426" s="66"/>
      <c r="AN426" s="66"/>
      <c r="AO426" s="66"/>
      <c r="AP426" s="66"/>
      <c r="AQ426" s="66"/>
      <c r="AR426" s="66"/>
      <c r="AS426" s="66"/>
      <c r="AT426" s="66"/>
    </row>
    <row r="427">
      <c r="A427" s="8"/>
      <c r="B427" s="66"/>
      <c r="C427" s="66"/>
      <c r="D427" s="66"/>
      <c r="E427" s="8"/>
      <c r="F427" s="66"/>
      <c r="G427" s="66"/>
      <c r="H427" s="66"/>
      <c r="I427" s="8"/>
      <c r="J427" s="66"/>
      <c r="K427" s="66"/>
      <c r="L427" s="66"/>
      <c r="M427" s="8"/>
      <c r="N427" s="66"/>
      <c r="O427" s="66"/>
      <c r="P427" s="66"/>
      <c r="Q427" s="8"/>
      <c r="R427" s="66"/>
      <c r="S427" s="66"/>
      <c r="T427" s="66"/>
      <c r="U427" s="8"/>
      <c r="V427" s="66"/>
      <c r="W427" s="66"/>
      <c r="X427" s="66"/>
      <c r="Y427" s="189"/>
      <c r="Z427" s="184"/>
      <c r="AA427" s="184"/>
      <c r="AB427" s="184"/>
      <c r="AC427" s="8"/>
      <c r="AD427" s="66"/>
      <c r="AE427" s="66"/>
      <c r="AF427" s="66"/>
      <c r="AG427" s="190"/>
      <c r="AH427" s="191"/>
      <c r="AI427" s="190"/>
      <c r="AJ427" s="190"/>
      <c r="AK427" s="66"/>
      <c r="AL427" s="66"/>
      <c r="AM427" s="66"/>
      <c r="AN427" s="66"/>
      <c r="AO427" s="66"/>
      <c r="AP427" s="66"/>
      <c r="AQ427" s="66"/>
      <c r="AR427" s="66"/>
      <c r="AS427" s="66"/>
      <c r="AT427" s="66"/>
    </row>
    <row r="428">
      <c r="A428" s="8"/>
      <c r="B428" s="66"/>
      <c r="C428" s="66"/>
      <c r="D428" s="66"/>
      <c r="E428" s="8"/>
      <c r="F428" s="66"/>
      <c r="G428" s="66"/>
      <c r="H428" s="66"/>
      <c r="I428" s="8"/>
      <c r="J428" s="66"/>
      <c r="K428" s="66"/>
      <c r="L428" s="66"/>
      <c r="M428" s="8"/>
      <c r="N428" s="66"/>
      <c r="O428" s="66"/>
      <c r="P428" s="66"/>
      <c r="Q428" s="8"/>
      <c r="R428" s="66"/>
      <c r="S428" s="66"/>
      <c r="T428" s="66"/>
      <c r="U428" s="8"/>
      <c r="V428" s="66"/>
      <c r="W428" s="66"/>
      <c r="X428" s="66"/>
      <c r="Y428" s="189"/>
      <c r="Z428" s="184"/>
      <c r="AA428" s="184"/>
      <c r="AB428" s="184"/>
      <c r="AC428" s="8"/>
      <c r="AD428" s="66"/>
      <c r="AE428" s="66"/>
      <c r="AF428" s="66"/>
      <c r="AG428" s="190"/>
      <c r="AH428" s="191"/>
      <c r="AI428" s="190"/>
      <c r="AJ428" s="190"/>
      <c r="AK428" s="66"/>
      <c r="AL428" s="66"/>
      <c r="AM428" s="66"/>
      <c r="AN428" s="66"/>
      <c r="AO428" s="66"/>
      <c r="AP428" s="66"/>
      <c r="AQ428" s="66"/>
      <c r="AR428" s="66"/>
      <c r="AS428" s="66"/>
      <c r="AT428" s="66"/>
    </row>
    <row r="429">
      <c r="A429" s="8"/>
      <c r="B429" s="66"/>
      <c r="C429" s="66"/>
      <c r="D429" s="66"/>
      <c r="E429" s="8"/>
      <c r="F429" s="66"/>
      <c r="G429" s="66"/>
      <c r="H429" s="66"/>
      <c r="I429" s="8"/>
      <c r="J429" s="66"/>
      <c r="K429" s="66"/>
      <c r="L429" s="66"/>
      <c r="M429" s="8"/>
      <c r="N429" s="66"/>
      <c r="O429" s="66"/>
      <c r="P429" s="66"/>
      <c r="Q429" s="8"/>
      <c r="R429" s="66"/>
      <c r="S429" s="66"/>
      <c r="T429" s="66"/>
      <c r="U429" s="8"/>
      <c r="V429" s="66"/>
      <c r="W429" s="66"/>
      <c r="X429" s="66"/>
      <c r="Y429" s="189"/>
      <c r="Z429" s="184"/>
      <c r="AA429" s="184"/>
      <c r="AB429" s="184"/>
      <c r="AC429" s="8"/>
      <c r="AD429" s="66"/>
      <c r="AE429" s="66"/>
      <c r="AF429" s="66"/>
      <c r="AG429" s="190"/>
      <c r="AH429" s="191"/>
      <c r="AI429" s="190"/>
      <c r="AJ429" s="190"/>
      <c r="AK429" s="66"/>
      <c r="AL429" s="66"/>
      <c r="AM429" s="66"/>
      <c r="AN429" s="66"/>
      <c r="AO429" s="66"/>
      <c r="AP429" s="66"/>
      <c r="AQ429" s="66"/>
      <c r="AR429" s="66"/>
      <c r="AS429" s="66"/>
      <c r="AT429" s="66"/>
    </row>
    <row r="430">
      <c r="A430" s="8"/>
      <c r="B430" s="66"/>
      <c r="C430" s="66"/>
      <c r="D430" s="66"/>
      <c r="E430" s="8"/>
      <c r="F430" s="66"/>
      <c r="G430" s="66"/>
      <c r="H430" s="66"/>
      <c r="I430" s="8"/>
      <c r="J430" s="66"/>
      <c r="K430" s="66"/>
      <c r="L430" s="66"/>
      <c r="M430" s="8"/>
      <c r="N430" s="66"/>
      <c r="O430" s="66"/>
      <c r="P430" s="66"/>
      <c r="Q430" s="8"/>
      <c r="R430" s="66"/>
      <c r="S430" s="66"/>
      <c r="T430" s="66"/>
      <c r="U430" s="8"/>
      <c r="V430" s="66"/>
      <c r="W430" s="66"/>
      <c r="X430" s="66"/>
      <c r="Y430" s="189"/>
      <c r="Z430" s="184"/>
      <c r="AA430" s="184"/>
      <c r="AB430" s="184"/>
      <c r="AC430" s="8"/>
      <c r="AD430" s="66"/>
      <c r="AE430" s="66"/>
      <c r="AF430" s="66"/>
      <c r="AG430" s="190"/>
      <c r="AH430" s="191"/>
      <c r="AI430" s="190"/>
      <c r="AJ430" s="190"/>
      <c r="AK430" s="66"/>
      <c r="AL430" s="66"/>
      <c r="AM430" s="66"/>
      <c r="AN430" s="66"/>
      <c r="AO430" s="66"/>
      <c r="AP430" s="66"/>
      <c r="AQ430" s="66"/>
      <c r="AR430" s="66"/>
      <c r="AS430" s="66"/>
      <c r="AT430" s="66"/>
    </row>
    <row r="431">
      <c r="A431" s="8"/>
      <c r="B431" s="66"/>
      <c r="C431" s="66"/>
      <c r="D431" s="66"/>
      <c r="E431" s="8"/>
      <c r="F431" s="66"/>
      <c r="G431" s="66"/>
      <c r="H431" s="66"/>
      <c r="I431" s="8"/>
      <c r="J431" s="66"/>
      <c r="K431" s="66"/>
      <c r="L431" s="66"/>
      <c r="M431" s="8"/>
      <c r="N431" s="66"/>
      <c r="O431" s="66"/>
      <c r="P431" s="66"/>
      <c r="Q431" s="8"/>
      <c r="R431" s="66"/>
      <c r="S431" s="66"/>
      <c r="T431" s="66"/>
      <c r="U431" s="8"/>
      <c r="V431" s="66"/>
      <c r="W431" s="66"/>
      <c r="X431" s="66"/>
      <c r="Y431" s="189"/>
      <c r="Z431" s="184"/>
      <c r="AA431" s="184"/>
      <c r="AB431" s="184"/>
      <c r="AC431" s="8"/>
      <c r="AD431" s="66"/>
      <c r="AE431" s="66"/>
      <c r="AF431" s="66"/>
      <c r="AG431" s="190"/>
      <c r="AH431" s="191"/>
      <c r="AI431" s="190"/>
      <c r="AJ431" s="190"/>
      <c r="AK431" s="66"/>
      <c r="AL431" s="66"/>
      <c r="AM431" s="66"/>
      <c r="AN431" s="66"/>
      <c r="AO431" s="66"/>
      <c r="AP431" s="66"/>
      <c r="AQ431" s="66"/>
      <c r="AR431" s="66"/>
      <c r="AS431" s="66"/>
      <c r="AT431" s="66"/>
    </row>
    <row r="432">
      <c r="A432" s="8"/>
      <c r="B432" s="66"/>
      <c r="C432" s="66"/>
      <c r="D432" s="66"/>
      <c r="E432" s="8"/>
      <c r="F432" s="66"/>
      <c r="G432" s="66"/>
      <c r="H432" s="66"/>
      <c r="I432" s="8"/>
      <c r="J432" s="66"/>
      <c r="K432" s="66"/>
      <c r="L432" s="66"/>
      <c r="M432" s="8"/>
      <c r="N432" s="66"/>
      <c r="O432" s="66"/>
      <c r="P432" s="66"/>
      <c r="Q432" s="8"/>
      <c r="R432" s="66"/>
      <c r="S432" s="66"/>
      <c r="T432" s="66"/>
      <c r="U432" s="8"/>
      <c r="V432" s="66"/>
      <c r="W432" s="66"/>
      <c r="X432" s="66"/>
      <c r="Y432" s="189"/>
      <c r="Z432" s="184"/>
      <c r="AA432" s="184"/>
      <c r="AB432" s="184"/>
      <c r="AC432" s="8"/>
      <c r="AD432" s="66"/>
      <c r="AE432" s="66"/>
      <c r="AF432" s="66"/>
      <c r="AG432" s="190"/>
      <c r="AH432" s="191"/>
      <c r="AI432" s="190"/>
      <c r="AJ432" s="190"/>
      <c r="AK432" s="66"/>
      <c r="AL432" s="66"/>
      <c r="AM432" s="66"/>
      <c r="AN432" s="66"/>
      <c r="AO432" s="66"/>
      <c r="AP432" s="66"/>
      <c r="AQ432" s="66"/>
      <c r="AR432" s="66"/>
      <c r="AS432" s="66"/>
      <c r="AT432" s="66"/>
    </row>
    <row r="433">
      <c r="A433" s="8"/>
      <c r="B433" s="66"/>
      <c r="C433" s="66"/>
      <c r="D433" s="66"/>
      <c r="E433" s="8"/>
      <c r="F433" s="66"/>
      <c r="G433" s="66"/>
      <c r="H433" s="66"/>
      <c r="I433" s="8"/>
      <c r="J433" s="66"/>
      <c r="K433" s="66"/>
      <c r="L433" s="66"/>
      <c r="M433" s="8"/>
      <c r="N433" s="66"/>
      <c r="O433" s="66"/>
      <c r="P433" s="66"/>
      <c r="Q433" s="8"/>
      <c r="R433" s="66"/>
      <c r="S433" s="66"/>
      <c r="T433" s="66"/>
      <c r="U433" s="8"/>
      <c r="V433" s="66"/>
      <c r="W433" s="66"/>
      <c r="X433" s="66"/>
      <c r="Y433" s="189"/>
      <c r="Z433" s="184"/>
      <c r="AA433" s="184"/>
      <c r="AB433" s="184"/>
      <c r="AC433" s="8"/>
      <c r="AD433" s="66"/>
      <c r="AE433" s="66"/>
      <c r="AF433" s="66"/>
      <c r="AG433" s="190"/>
      <c r="AH433" s="191"/>
      <c r="AI433" s="190"/>
      <c r="AJ433" s="190"/>
      <c r="AK433" s="66"/>
      <c r="AL433" s="66"/>
      <c r="AM433" s="66"/>
      <c r="AN433" s="66"/>
      <c r="AO433" s="66"/>
      <c r="AP433" s="66"/>
      <c r="AQ433" s="66"/>
      <c r="AR433" s="66"/>
      <c r="AS433" s="66"/>
      <c r="AT433" s="66"/>
    </row>
    <row r="434">
      <c r="A434" s="8"/>
      <c r="B434" s="66"/>
      <c r="C434" s="66"/>
      <c r="D434" s="66"/>
      <c r="E434" s="8"/>
      <c r="F434" s="66"/>
      <c r="G434" s="66"/>
      <c r="H434" s="66"/>
      <c r="I434" s="8"/>
      <c r="J434" s="66"/>
      <c r="K434" s="66"/>
      <c r="L434" s="66"/>
      <c r="M434" s="8"/>
      <c r="N434" s="66"/>
      <c r="O434" s="66"/>
      <c r="P434" s="66"/>
      <c r="Q434" s="8"/>
      <c r="R434" s="66"/>
      <c r="S434" s="66"/>
      <c r="T434" s="66"/>
      <c r="U434" s="8"/>
      <c r="V434" s="66"/>
      <c r="W434" s="66"/>
      <c r="X434" s="66"/>
      <c r="Y434" s="189"/>
      <c r="Z434" s="184"/>
      <c r="AA434" s="184"/>
      <c r="AB434" s="184"/>
      <c r="AC434" s="8"/>
      <c r="AD434" s="66"/>
      <c r="AE434" s="66"/>
      <c r="AF434" s="66"/>
      <c r="AG434" s="190"/>
      <c r="AH434" s="191"/>
      <c r="AI434" s="190"/>
      <c r="AJ434" s="190"/>
      <c r="AK434" s="66"/>
      <c r="AL434" s="66"/>
      <c r="AM434" s="66"/>
      <c r="AN434" s="66"/>
      <c r="AO434" s="66"/>
      <c r="AP434" s="66"/>
      <c r="AQ434" s="66"/>
      <c r="AR434" s="66"/>
      <c r="AS434" s="66"/>
      <c r="AT434" s="66"/>
    </row>
    <row r="435">
      <c r="A435" s="8"/>
      <c r="B435" s="66"/>
      <c r="C435" s="66"/>
      <c r="D435" s="66"/>
      <c r="E435" s="8"/>
      <c r="F435" s="66"/>
      <c r="G435" s="66"/>
      <c r="H435" s="66"/>
      <c r="I435" s="8"/>
      <c r="J435" s="66"/>
      <c r="K435" s="66"/>
      <c r="L435" s="66"/>
      <c r="M435" s="8"/>
      <c r="N435" s="66"/>
      <c r="O435" s="66"/>
      <c r="P435" s="66"/>
      <c r="Q435" s="8"/>
      <c r="R435" s="66"/>
      <c r="S435" s="66"/>
      <c r="T435" s="66"/>
      <c r="U435" s="8"/>
      <c r="V435" s="66"/>
      <c r="W435" s="66"/>
      <c r="X435" s="66"/>
      <c r="Y435" s="189"/>
      <c r="Z435" s="184"/>
      <c r="AA435" s="184"/>
      <c r="AB435" s="184"/>
      <c r="AC435" s="8"/>
      <c r="AD435" s="66"/>
      <c r="AE435" s="66"/>
      <c r="AF435" s="66"/>
      <c r="AG435" s="190"/>
      <c r="AH435" s="191"/>
      <c r="AI435" s="190"/>
      <c r="AJ435" s="190"/>
      <c r="AK435" s="66"/>
      <c r="AL435" s="66"/>
      <c r="AM435" s="66"/>
      <c r="AN435" s="66"/>
      <c r="AO435" s="66"/>
      <c r="AP435" s="66"/>
      <c r="AQ435" s="66"/>
      <c r="AR435" s="66"/>
      <c r="AS435" s="66"/>
      <c r="AT435" s="66"/>
    </row>
    <row r="436">
      <c r="A436" s="8"/>
      <c r="B436" s="66"/>
      <c r="C436" s="66"/>
      <c r="D436" s="66"/>
      <c r="E436" s="8"/>
      <c r="F436" s="66"/>
      <c r="G436" s="66"/>
      <c r="H436" s="66"/>
      <c r="I436" s="8"/>
      <c r="J436" s="66"/>
      <c r="K436" s="66"/>
      <c r="L436" s="66"/>
      <c r="M436" s="8"/>
      <c r="N436" s="66"/>
      <c r="O436" s="66"/>
      <c r="P436" s="66"/>
      <c r="Q436" s="8"/>
      <c r="R436" s="66"/>
      <c r="S436" s="66"/>
      <c r="T436" s="66"/>
      <c r="U436" s="8"/>
      <c r="V436" s="66"/>
      <c r="W436" s="66"/>
      <c r="X436" s="66"/>
      <c r="Y436" s="189"/>
      <c r="Z436" s="184"/>
      <c r="AA436" s="184"/>
      <c r="AB436" s="184"/>
      <c r="AC436" s="8"/>
      <c r="AD436" s="66"/>
      <c r="AE436" s="66"/>
      <c r="AF436" s="66"/>
      <c r="AG436" s="190"/>
      <c r="AH436" s="191"/>
      <c r="AI436" s="190"/>
      <c r="AJ436" s="190"/>
      <c r="AK436" s="66"/>
      <c r="AL436" s="66"/>
      <c r="AM436" s="66"/>
      <c r="AN436" s="66"/>
      <c r="AO436" s="66"/>
      <c r="AP436" s="66"/>
      <c r="AQ436" s="66"/>
      <c r="AR436" s="66"/>
      <c r="AS436" s="66"/>
      <c r="AT436" s="66"/>
    </row>
    <row r="437">
      <c r="A437" s="8"/>
      <c r="B437" s="66"/>
      <c r="C437" s="66"/>
      <c r="D437" s="66"/>
      <c r="E437" s="8"/>
      <c r="F437" s="66"/>
      <c r="G437" s="66"/>
      <c r="H437" s="66"/>
      <c r="I437" s="8"/>
      <c r="J437" s="66"/>
      <c r="K437" s="66"/>
      <c r="L437" s="66"/>
      <c r="M437" s="8"/>
      <c r="N437" s="66"/>
      <c r="O437" s="66"/>
      <c r="P437" s="66"/>
      <c r="Q437" s="8"/>
      <c r="R437" s="66"/>
      <c r="S437" s="66"/>
      <c r="T437" s="66"/>
      <c r="U437" s="8"/>
      <c r="V437" s="66"/>
      <c r="W437" s="66"/>
      <c r="X437" s="66"/>
      <c r="Y437" s="189"/>
      <c r="Z437" s="184"/>
      <c r="AA437" s="184"/>
      <c r="AB437" s="184"/>
      <c r="AC437" s="8"/>
      <c r="AD437" s="66"/>
      <c r="AE437" s="66"/>
      <c r="AF437" s="66"/>
      <c r="AG437" s="190"/>
      <c r="AH437" s="191"/>
      <c r="AI437" s="190"/>
      <c r="AJ437" s="190"/>
      <c r="AK437" s="66"/>
      <c r="AL437" s="66"/>
      <c r="AM437" s="66"/>
      <c r="AN437" s="66"/>
      <c r="AO437" s="66"/>
      <c r="AP437" s="66"/>
      <c r="AQ437" s="66"/>
      <c r="AR437" s="66"/>
      <c r="AS437" s="66"/>
      <c r="AT437" s="66"/>
    </row>
    <row r="438">
      <c r="A438" s="8"/>
      <c r="B438" s="66"/>
      <c r="C438" s="66"/>
      <c r="D438" s="66"/>
      <c r="E438" s="8"/>
      <c r="F438" s="66"/>
      <c r="G438" s="66"/>
      <c r="H438" s="66"/>
      <c r="I438" s="8"/>
      <c r="J438" s="66"/>
      <c r="K438" s="66"/>
      <c r="L438" s="66"/>
      <c r="M438" s="8"/>
      <c r="N438" s="66"/>
      <c r="O438" s="66"/>
      <c r="P438" s="66"/>
      <c r="Q438" s="8"/>
      <c r="R438" s="66"/>
      <c r="S438" s="66"/>
      <c r="T438" s="66"/>
      <c r="U438" s="8"/>
      <c r="V438" s="66"/>
      <c r="W438" s="66"/>
      <c r="X438" s="66"/>
      <c r="Y438" s="189"/>
      <c r="Z438" s="184"/>
      <c r="AA438" s="184"/>
      <c r="AB438" s="184"/>
      <c r="AC438" s="8"/>
      <c r="AD438" s="66"/>
      <c r="AE438" s="66"/>
      <c r="AF438" s="66"/>
      <c r="AG438" s="190"/>
      <c r="AH438" s="191"/>
      <c r="AI438" s="190"/>
      <c r="AJ438" s="190"/>
      <c r="AK438" s="66"/>
      <c r="AL438" s="66"/>
      <c r="AM438" s="66"/>
      <c r="AN438" s="66"/>
      <c r="AO438" s="66"/>
      <c r="AP438" s="66"/>
      <c r="AQ438" s="66"/>
      <c r="AR438" s="66"/>
      <c r="AS438" s="66"/>
      <c r="AT438" s="66"/>
    </row>
    <row r="439">
      <c r="A439" s="8"/>
      <c r="B439" s="66"/>
      <c r="C439" s="66"/>
      <c r="D439" s="66"/>
      <c r="E439" s="8"/>
      <c r="F439" s="66"/>
      <c r="G439" s="66"/>
      <c r="H439" s="66"/>
      <c r="I439" s="8"/>
      <c r="J439" s="66"/>
      <c r="K439" s="66"/>
      <c r="L439" s="66"/>
      <c r="M439" s="8"/>
      <c r="N439" s="66"/>
      <c r="O439" s="66"/>
      <c r="P439" s="66"/>
      <c r="Q439" s="8"/>
      <c r="R439" s="66"/>
      <c r="S439" s="66"/>
      <c r="T439" s="66"/>
      <c r="U439" s="8"/>
      <c r="V439" s="66"/>
      <c r="W439" s="66"/>
      <c r="X439" s="66"/>
      <c r="Y439" s="189"/>
      <c r="Z439" s="184"/>
      <c r="AA439" s="184"/>
      <c r="AB439" s="184"/>
      <c r="AC439" s="8"/>
      <c r="AD439" s="66"/>
      <c r="AE439" s="66"/>
      <c r="AF439" s="66"/>
      <c r="AG439" s="190"/>
      <c r="AH439" s="191"/>
      <c r="AI439" s="190"/>
      <c r="AJ439" s="190"/>
      <c r="AK439" s="66"/>
      <c r="AL439" s="66"/>
      <c r="AM439" s="66"/>
      <c r="AN439" s="66"/>
      <c r="AO439" s="66"/>
      <c r="AP439" s="66"/>
      <c r="AQ439" s="66"/>
      <c r="AR439" s="66"/>
      <c r="AS439" s="66"/>
      <c r="AT439" s="66"/>
    </row>
    <row r="440">
      <c r="A440" s="8"/>
      <c r="B440" s="66"/>
      <c r="C440" s="66"/>
      <c r="D440" s="66"/>
      <c r="E440" s="8"/>
      <c r="F440" s="66"/>
      <c r="G440" s="66"/>
      <c r="H440" s="66"/>
      <c r="I440" s="8"/>
      <c r="J440" s="66"/>
      <c r="K440" s="66"/>
      <c r="L440" s="66"/>
      <c r="M440" s="8"/>
      <c r="N440" s="66"/>
      <c r="O440" s="66"/>
      <c r="P440" s="66"/>
      <c r="Q440" s="8"/>
      <c r="R440" s="66"/>
      <c r="S440" s="66"/>
      <c r="T440" s="66"/>
      <c r="U440" s="8"/>
      <c r="V440" s="66"/>
      <c r="W440" s="66"/>
      <c r="X440" s="66"/>
      <c r="Y440" s="189"/>
      <c r="Z440" s="184"/>
      <c r="AA440" s="184"/>
      <c r="AB440" s="184"/>
      <c r="AC440" s="8"/>
      <c r="AD440" s="66"/>
      <c r="AE440" s="66"/>
      <c r="AF440" s="66"/>
      <c r="AG440" s="190"/>
      <c r="AH440" s="191"/>
      <c r="AI440" s="190"/>
      <c r="AJ440" s="190"/>
      <c r="AK440" s="66"/>
      <c r="AL440" s="66"/>
      <c r="AM440" s="66"/>
      <c r="AN440" s="66"/>
      <c r="AO440" s="66"/>
      <c r="AP440" s="66"/>
      <c r="AQ440" s="66"/>
      <c r="AR440" s="66"/>
      <c r="AS440" s="66"/>
      <c r="AT440" s="66"/>
    </row>
    <row r="441">
      <c r="A441" s="8"/>
      <c r="B441" s="66"/>
      <c r="C441" s="66"/>
      <c r="D441" s="66"/>
      <c r="E441" s="8"/>
      <c r="F441" s="66"/>
      <c r="G441" s="66"/>
      <c r="H441" s="66"/>
      <c r="I441" s="8"/>
      <c r="J441" s="66"/>
      <c r="K441" s="66"/>
      <c r="L441" s="66"/>
      <c r="M441" s="8"/>
      <c r="N441" s="66"/>
      <c r="O441" s="66"/>
      <c r="P441" s="66"/>
      <c r="Q441" s="8"/>
      <c r="R441" s="66"/>
      <c r="S441" s="66"/>
      <c r="T441" s="66"/>
      <c r="U441" s="8"/>
      <c r="V441" s="66"/>
      <c r="W441" s="66"/>
      <c r="X441" s="66"/>
      <c r="Y441" s="189"/>
      <c r="Z441" s="184"/>
      <c r="AA441" s="184"/>
      <c r="AB441" s="184"/>
      <c r="AC441" s="8"/>
      <c r="AD441" s="66"/>
      <c r="AE441" s="66"/>
      <c r="AF441" s="66"/>
      <c r="AG441" s="190"/>
      <c r="AH441" s="191"/>
      <c r="AI441" s="190"/>
      <c r="AJ441" s="190"/>
      <c r="AK441" s="66"/>
      <c r="AL441" s="66"/>
      <c r="AM441" s="66"/>
      <c r="AN441" s="66"/>
      <c r="AO441" s="66"/>
      <c r="AP441" s="66"/>
      <c r="AQ441" s="66"/>
      <c r="AR441" s="66"/>
      <c r="AS441" s="66"/>
      <c r="AT441" s="66"/>
    </row>
    <row r="442">
      <c r="A442" s="8"/>
      <c r="B442" s="66"/>
      <c r="C442" s="66"/>
      <c r="D442" s="66"/>
      <c r="E442" s="8"/>
      <c r="F442" s="66"/>
      <c r="G442" s="66"/>
      <c r="H442" s="66"/>
      <c r="I442" s="8"/>
      <c r="J442" s="66"/>
      <c r="K442" s="66"/>
      <c r="L442" s="66"/>
      <c r="M442" s="8"/>
      <c r="N442" s="66"/>
      <c r="O442" s="66"/>
      <c r="P442" s="66"/>
      <c r="Q442" s="8"/>
      <c r="R442" s="66"/>
      <c r="S442" s="66"/>
      <c r="T442" s="66"/>
      <c r="U442" s="8"/>
      <c r="V442" s="66"/>
      <c r="W442" s="66"/>
      <c r="X442" s="66"/>
      <c r="Y442" s="189"/>
      <c r="Z442" s="184"/>
      <c r="AA442" s="184"/>
      <c r="AB442" s="184"/>
      <c r="AC442" s="8"/>
      <c r="AD442" s="66"/>
      <c r="AE442" s="66"/>
      <c r="AF442" s="66"/>
      <c r="AG442" s="190"/>
      <c r="AH442" s="191"/>
      <c r="AI442" s="190"/>
      <c r="AJ442" s="190"/>
      <c r="AK442" s="66"/>
      <c r="AL442" s="66"/>
      <c r="AM442" s="66"/>
      <c r="AN442" s="66"/>
      <c r="AO442" s="66"/>
      <c r="AP442" s="66"/>
      <c r="AQ442" s="66"/>
      <c r="AR442" s="66"/>
      <c r="AS442" s="66"/>
      <c r="AT442" s="66"/>
    </row>
    <row r="443">
      <c r="A443" s="8"/>
      <c r="B443" s="66"/>
      <c r="C443" s="66"/>
      <c r="D443" s="66"/>
      <c r="E443" s="8"/>
      <c r="F443" s="66"/>
      <c r="G443" s="66"/>
      <c r="H443" s="66"/>
      <c r="I443" s="8"/>
      <c r="J443" s="66"/>
      <c r="K443" s="66"/>
      <c r="L443" s="66"/>
      <c r="M443" s="8"/>
      <c r="N443" s="66"/>
      <c r="O443" s="66"/>
      <c r="P443" s="66"/>
      <c r="Q443" s="8"/>
      <c r="R443" s="66"/>
      <c r="S443" s="66"/>
      <c r="T443" s="66"/>
      <c r="U443" s="8"/>
      <c r="V443" s="66"/>
      <c r="W443" s="66"/>
      <c r="X443" s="66"/>
      <c r="Y443" s="189"/>
      <c r="Z443" s="184"/>
      <c r="AA443" s="184"/>
      <c r="AB443" s="184"/>
      <c r="AC443" s="8"/>
      <c r="AD443" s="66"/>
      <c r="AE443" s="66"/>
      <c r="AF443" s="66"/>
      <c r="AG443" s="190"/>
      <c r="AH443" s="191"/>
      <c r="AI443" s="190"/>
      <c r="AJ443" s="190"/>
      <c r="AK443" s="66"/>
      <c r="AL443" s="66"/>
      <c r="AM443" s="66"/>
      <c r="AN443" s="66"/>
      <c r="AO443" s="66"/>
      <c r="AP443" s="66"/>
      <c r="AQ443" s="66"/>
      <c r="AR443" s="66"/>
      <c r="AS443" s="66"/>
      <c r="AT443" s="66"/>
    </row>
    <row r="444">
      <c r="A444" s="8"/>
      <c r="B444" s="66"/>
      <c r="C444" s="66"/>
      <c r="D444" s="66"/>
      <c r="E444" s="8"/>
      <c r="F444" s="66"/>
      <c r="G444" s="66"/>
      <c r="H444" s="66"/>
      <c r="I444" s="8"/>
      <c r="J444" s="66"/>
      <c r="K444" s="66"/>
      <c r="L444" s="66"/>
      <c r="M444" s="8"/>
      <c r="N444" s="66"/>
      <c r="O444" s="66"/>
      <c r="P444" s="66"/>
      <c r="Q444" s="8"/>
      <c r="R444" s="66"/>
      <c r="S444" s="66"/>
      <c r="T444" s="66"/>
      <c r="U444" s="8"/>
      <c r="V444" s="66"/>
      <c r="W444" s="66"/>
      <c r="X444" s="66"/>
      <c r="Y444" s="189"/>
      <c r="Z444" s="184"/>
      <c r="AA444" s="184"/>
      <c r="AB444" s="184"/>
      <c r="AC444" s="8"/>
      <c r="AD444" s="66"/>
      <c r="AE444" s="66"/>
      <c r="AF444" s="66"/>
      <c r="AG444" s="190"/>
      <c r="AH444" s="191"/>
      <c r="AI444" s="190"/>
      <c r="AJ444" s="190"/>
      <c r="AK444" s="66"/>
      <c r="AL444" s="66"/>
      <c r="AM444" s="66"/>
      <c r="AN444" s="66"/>
      <c r="AO444" s="66"/>
      <c r="AP444" s="66"/>
      <c r="AQ444" s="66"/>
      <c r="AR444" s="66"/>
      <c r="AS444" s="66"/>
      <c r="AT444" s="66"/>
    </row>
    <row r="445">
      <c r="A445" s="8"/>
      <c r="B445" s="66"/>
      <c r="C445" s="66"/>
      <c r="D445" s="66"/>
      <c r="E445" s="8"/>
      <c r="F445" s="66"/>
      <c r="G445" s="66"/>
      <c r="H445" s="66"/>
      <c r="I445" s="8"/>
      <c r="J445" s="66"/>
      <c r="K445" s="66"/>
      <c r="L445" s="66"/>
      <c r="M445" s="8"/>
      <c r="N445" s="66"/>
      <c r="O445" s="66"/>
      <c r="P445" s="66"/>
      <c r="Q445" s="8"/>
      <c r="R445" s="66"/>
      <c r="S445" s="66"/>
      <c r="T445" s="66"/>
      <c r="U445" s="8"/>
      <c r="V445" s="66"/>
      <c r="W445" s="66"/>
      <c r="X445" s="66"/>
      <c r="Y445" s="189"/>
      <c r="Z445" s="184"/>
      <c r="AA445" s="184"/>
      <c r="AB445" s="184"/>
      <c r="AC445" s="8"/>
      <c r="AD445" s="66"/>
      <c r="AE445" s="66"/>
      <c r="AF445" s="66"/>
      <c r="AG445" s="190"/>
      <c r="AH445" s="191"/>
      <c r="AI445" s="190"/>
      <c r="AJ445" s="190"/>
      <c r="AK445" s="66"/>
      <c r="AL445" s="66"/>
      <c r="AM445" s="66"/>
      <c r="AN445" s="66"/>
      <c r="AO445" s="66"/>
      <c r="AP445" s="66"/>
      <c r="AQ445" s="66"/>
      <c r="AR445" s="66"/>
      <c r="AS445" s="66"/>
      <c r="AT445" s="66"/>
    </row>
    <row r="446">
      <c r="A446" s="8"/>
      <c r="B446" s="66"/>
      <c r="C446" s="66"/>
      <c r="D446" s="66"/>
      <c r="E446" s="8"/>
      <c r="F446" s="66"/>
      <c r="G446" s="66"/>
      <c r="H446" s="66"/>
      <c r="I446" s="8"/>
      <c r="J446" s="66"/>
      <c r="K446" s="66"/>
      <c r="L446" s="66"/>
      <c r="M446" s="8"/>
      <c r="N446" s="66"/>
      <c r="O446" s="66"/>
      <c r="P446" s="66"/>
      <c r="Q446" s="8"/>
      <c r="R446" s="66"/>
      <c r="S446" s="66"/>
      <c r="T446" s="66"/>
      <c r="U446" s="8"/>
      <c r="V446" s="66"/>
      <c r="W446" s="66"/>
      <c r="X446" s="66"/>
      <c r="Y446" s="189"/>
      <c r="Z446" s="184"/>
      <c r="AA446" s="184"/>
      <c r="AB446" s="184"/>
      <c r="AC446" s="8"/>
      <c r="AD446" s="66"/>
      <c r="AE446" s="66"/>
      <c r="AF446" s="66"/>
      <c r="AG446" s="190"/>
      <c r="AH446" s="191"/>
      <c r="AI446" s="190"/>
      <c r="AJ446" s="190"/>
      <c r="AK446" s="66"/>
      <c r="AL446" s="66"/>
      <c r="AM446" s="66"/>
      <c r="AN446" s="66"/>
      <c r="AO446" s="66"/>
      <c r="AP446" s="66"/>
      <c r="AQ446" s="66"/>
      <c r="AR446" s="66"/>
      <c r="AS446" s="66"/>
      <c r="AT446" s="66"/>
    </row>
    <row r="447">
      <c r="A447" s="8"/>
      <c r="B447" s="66"/>
      <c r="C447" s="66"/>
      <c r="D447" s="66"/>
      <c r="E447" s="8"/>
      <c r="F447" s="66"/>
      <c r="G447" s="66"/>
      <c r="H447" s="66"/>
      <c r="I447" s="8"/>
      <c r="J447" s="66"/>
      <c r="K447" s="66"/>
      <c r="L447" s="66"/>
      <c r="M447" s="8"/>
      <c r="N447" s="66"/>
      <c r="O447" s="66"/>
      <c r="P447" s="66"/>
      <c r="Q447" s="8"/>
      <c r="R447" s="66"/>
      <c r="S447" s="66"/>
      <c r="T447" s="66"/>
      <c r="U447" s="8"/>
      <c r="V447" s="66"/>
      <c r="W447" s="66"/>
      <c r="X447" s="66"/>
      <c r="Y447" s="189"/>
      <c r="Z447" s="184"/>
      <c r="AA447" s="184"/>
      <c r="AB447" s="184"/>
      <c r="AC447" s="8"/>
      <c r="AD447" s="66"/>
      <c r="AE447" s="66"/>
      <c r="AF447" s="66"/>
      <c r="AG447" s="190"/>
      <c r="AH447" s="191"/>
      <c r="AI447" s="190"/>
      <c r="AJ447" s="190"/>
      <c r="AK447" s="66"/>
      <c r="AL447" s="66"/>
      <c r="AM447" s="66"/>
      <c r="AN447" s="66"/>
      <c r="AO447" s="66"/>
      <c r="AP447" s="66"/>
      <c r="AQ447" s="66"/>
      <c r="AR447" s="66"/>
      <c r="AS447" s="66"/>
      <c r="AT447" s="66"/>
    </row>
    <row r="448">
      <c r="A448" s="8"/>
      <c r="B448" s="66"/>
      <c r="C448" s="66"/>
      <c r="D448" s="66"/>
      <c r="E448" s="8"/>
      <c r="F448" s="66"/>
      <c r="G448" s="66"/>
      <c r="H448" s="66"/>
      <c r="I448" s="8"/>
      <c r="J448" s="66"/>
      <c r="K448" s="66"/>
      <c r="L448" s="66"/>
      <c r="M448" s="8"/>
      <c r="N448" s="66"/>
      <c r="O448" s="66"/>
      <c r="P448" s="66"/>
      <c r="Q448" s="8"/>
      <c r="R448" s="66"/>
      <c r="S448" s="66"/>
      <c r="T448" s="66"/>
      <c r="U448" s="8"/>
      <c r="V448" s="66"/>
      <c r="W448" s="66"/>
      <c r="X448" s="66"/>
      <c r="Y448" s="189"/>
      <c r="Z448" s="184"/>
      <c r="AA448" s="184"/>
      <c r="AB448" s="184"/>
      <c r="AC448" s="8"/>
      <c r="AD448" s="66"/>
      <c r="AE448" s="66"/>
      <c r="AF448" s="66"/>
      <c r="AG448" s="190"/>
      <c r="AH448" s="191"/>
      <c r="AI448" s="190"/>
      <c r="AJ448" s="190"/>
      <c r="AK448" s="66"/>
      <c r="AL448" s="66"/>
      <c r="AM448" s="66"/>
      <c r="AN448" s="66"/>
      <c r="AO448" s="66"/>
      <c r="AP448" s="66"/>
      <c r="AQ448" s="66"/>
      <c r="AR448" s="66"/>
      <c r="AS448" s="66"/>
      <c r="AT448" s="66"/>
    </row>
    <row r="449">
      <c r="A449" s="8"/>
      <c r="B449" s="66"/>
      <c r="C449" s="66"/>
      <c r="D449" s="66"/>
      <c r="E449" s="8"/>
      <c r="F449" s="66"/>
      <c r="G449" s="66"/>
      <c r="H449" s="66"/>
      <c r="I449" s="8"/>
      <c r="J449" s="66"/>
      <c r="K449" s="66"/>
      <c r="L449" s="66"/>
      <c r="M449" s="8"/>
      <c r="N449" s="66"/>
      <c r="O449" s="66"/>
      <c r="P449" s="66"/>
      <c r="Q449" s="8"/>
      <c r="R449" s="66"/>
      <c r="S449" s="66"/>
      <c r="T449" s="66"/>
      <c r="U449" s="8"/>
      <c r="V449" s="66"/>
      <c r="W449" s="66"/>
      <c r="X449" s="66"/>
      <c r="Y449" s="189"/>
      <c r="Z449" s="184"/>
      <c r="AA449" s="184"/>
      <c r="AB449" s="184"/>
      <c r="AC449" s="8"/>
      <c r="AD449" s="66"/>
      <c r="AE449" s="66"/>
      <c r="AF449" s="66"/>
      <c r="AG449" s="190"/>
      <c r="AH449" s="191"/>
      <c r="AI449" s="190"/>
      <c r="AJ449" s="190"/>
      <c r="AK449" s="66"/>
      <c r="AL449" s="66"/>
      <c r="AM449" s="66"/>
      <c r="AN449" s="66"/>
      <c r="AO449" s="66"/>
      <c r="AP449" s="66"/>
      <c r="AQ449" s="66"/>
      <c r="AR449" s="66"/>
      <c r="AS449" s="66"/>
      <c r="AT449" s="66"/>
    </row>
    <row r="450">
      <c r="A450" s="8"/>
      <c r="B450" s="66"/>
      <c r="C450" s="66"/>
      <c r="D450" s="66"/>
      <c r="E450" s="8"/>
      <c r="F450" s="66"/>
      <c r="G450" s="66"/>
      <c r="H450" s="66"/>
      <c r="I450" s="8"/>
      <c r="J450" s="66"/>
      <c r="K450" s="66"/>
      <c r="L450" s="66"/>
      <c r="M450" s="8"/>
      <c r="N450" s="66"/>
      <c r="O450" s="66"/>
      <c r="P450" s="66"/>
      <c r="Q450" s="8"/>
      <c r="R450" s="66"/>
      <c r="S450" s="66"/>
      <c r="T450" s="66"/>
      <c r="U450" s="8"/>
      <c r="V450" s="66"/>
      <c r="W450" s="66"/>
      <c r="X450" s="66"/>
      <c r="Y450" s="189"/>
      <c r="Z450" s="184"/>
      <c r="AA450" s="184"/>
      <c r="AB450" s="184"/>
      <c r="AC450" s="8"/>
      <c r="AD450" s="66"/>
      <c r="AE450" s="66"/>
      <c r="AF450" s="66"/>
      <c r="AG450" s="190"/>
      <c r="AH450" s="191"/>
      <c r="AI450" s="190"/>
      <c r="AJ450" s="190"/>
      <c r="AK450" s="66"/>
      <c r="AL450" s="66"/>
      <c r="AM450" s="66"/>
      <c r="AN450" s="66"/>
      <c r="AO450" s="66"/>
      <c r="AP450" s="66"/>
      <c r="AQ450" s="66"/>
      <c r="AR450" s="66"/>
      <c r="AS450" s="66"/>
      <c r="AT450" s="66"/>
    </row>
    <row r="451">
      <c r="A451" s="8"/>
      <c r="B451" s="66"/>
      <c r="C451" s="66"/>
      <c r="D451" s="66"/>
      <c r="E451" s="8"/>
      <c r="F451" s="66"/>
      <c r="G451" s="66"/>
      <c r="H451" s="66"/>
      <c r="I451" s="8"/>
      <c r="J451" s="66"/>
      <c r="K451" s="66"/>
      <c r="L451" s="66"/>
      <c r="M451" s="8"/>
      <c r="N451" s="66"/>
      <c r="O451" s="66"/>
      <c r="P451" s="66"/>
      <c r="Q451" s="8"/>
      <c r="R451" s="66"/>
      <c r="S451" s="66"/>
      <c r="T451" s="66"/>
      <c r="U451" s="8"/>
      <c r="V451" s="66"/>
      <c r="W451" s="66"/>
      <c r="X451" s="66"/>
      <c r="Y451" s="189"/>
      <c r="Z451" s="184"/>
      <c r="AA451" s="184"/>
      <c r="AB451" s="184"/>
      <c r="AC451" s="8"/>
      <c r="AD451" s="66"/>
      <c r="AE451" s="66"/>
      <c r="AF451" s="66"/>
      <c r="AG451" s="190"/>
      <c r="AH451" s="191"/>
      <c r="AI451" s="190"/>
      <c r="AJ451" s="190"/>
      <c r="AK451" s="66"/>
      <c r="AL451" s="66"/>
      <c r="AM451" s="66"/>
      <c r="AN451" s="66"/>
      <c r="AO451" s="66"/>
      <c r="AP451" s="66"/>
      <c r="AQ451" s="66"/>
      <c r="AR451" s="66"/>
      <c r="AS451" s="66"/>
      <c r="AT451" s="66"/>
    </row>
    <row r="452">
      <c r="A452" s="8"/>
      <c r="B452" s="66"/>
      <c r="C452" s="66"/>
      <c r="D452" s="66"/>
      <c r="E452" s="8"/>
      <c r="F452" s="66"/>
      <c r="G452" s="66"/>
      <c r="H452" s="66"/>
      <c r="I452" s="8"/>
      <c r="J452" s="66"/>
      <c r="K452" s="66"/>
      <c r="L452" s="66"/>
      <c r="M452" s="8"/>
      <c r="N452" s="66"/>
      <c r="O452" s="66"/>
      <c r="P452" s="66"/>
      <c r="Q452" s="8"/>
      <c r="R452" s="66"/>
      <c r="S452" s="66"/>
      <c r="T452" s="66"/>
      <c r="U452" s="8"/>
      <c r="V452" s="66"/>
      <c r="W452" s="66"/>
      <c r="X452" s="66"/>
      <c r="Y452" s="189"/>
      <c r="Z452" s="184"/>
      <c r="AA452" s="184"/>
      <c r="AB452" s="184"/>
      <c r="AC452" s="8"/>
      <c r="AD452" s="66"/>
      <c r="AE452" s="66"/>
      <c r="AF452" s="66"/>
      <c r="AG452" s="190"/>
      <c r="AH452" s="191"/>
      <c r="AI452" s="190"/>
      <c r="AJ452" s="190"/>
      <c r="AK452" s="66"/>
      <c r="AL452" s="66"/>
      <c r="AM452" s="66"/>
      <c r="AN452" s="66"/>
      <c r="AO452" s="66"/>
      <c r="AP452" s="66"/>
      <c r="AQ452" s="66"/>
      <c r="AR452" s="66"/>
      <c r="AS452" s="66"/>
      <c r="AT452" s="66"/>
    </row>
    <row r="453">
      <c r="A453" s="8"/>
      <c r="B453" s="66"/>
      <c r="C453" s="66"/>
      <c r="D453" s="66"/>
      <c r="E453" s="8"/>
      <c r="F453" s="66"/>
      <c r="G453" s="66"/>
      <c r="H453" s="66"/>
      <c r="I453" s="8"/>
      <c r="J453" s="66"/>
      <c r="K453" s="66"/>
      <c r="L453" s="66"/>
      <c r="M453" s="8"/>
      <c r="N453" s="66"/>
      <c r="O453" s="66"/>
      <c r="P453" s="66"/>
      <c r="Q453" s="8"/>
      <c r="R453" s="66"/>
      <c r="S453" s="66"/>
      <c r="T453" s="66"/>
      <c r="U453" s="8"/>
      <c r="V453" s="66"/>
      <c r="W453" s="66"/>
      <c r="X453" s="66"/>
      <c r="Y453" s="189"/>
      <c r="Z453" s="184"/>
      <c r="AA453" s="184"/>
      <c r="AB453" s="184"/>
      <c r="AC453" s="8"/>
      <c r="AD453" s="66"/>
      <c r="AE453" s="66"/>
      <c r="AF453" s="66"/>
      <c r="AG453" s="190"/>
      <c r="AH453" s="191"/>
      <c r="AI453" s="190"/>
      <c r="AJ453" s="190"/>
      <c r="AK453" s="66"/>
      <c r="AL453" s="66"/>
      <c r="AM453" s="66"/>
      <c r="AN453" s="66"/>
      <c r="AO453" s="66"/>
      <c r="AP453" s="66"/>
      <c r="AQ453" s="66"/>
      <c r="AR453" s="66"/>
      <c r="AS453" s="66"/>
      <c r="AT453" s="66"/>
    </row>
    <row r="454">
      <c r="A454" s="8"/>
      <c r="B454" s="66"/>
      <c r="C454" s="66"/>
      <c r="D454" s="66"/>
      <c r="E454" s="8"/>
      <c r="F454" s="66"/>
      <c r="G454" s="66"/>
      <c r="H454" s="66"/>
      <c r="I454" s="8"/>
      <c r="J454" s="66"/>
      <c r="K454" s="66"/>
      <c r="L454" s="66"/>
      <c r="M454" s="8"/>
      <c r="N454" s="66"/>
      <c r="O454" s="66"/>
      <c r="P454" s="66"/>
      <c r="Q454" s="8"/>
      <c r="R454" s="66"/>
      <c r="S454" s="66"/>
      <c r="T454" s="66"/>
      <c r="U454" s="8"/>
      <c r="V454" s="66"/>
      <c r="W454" s="66"/>
      <c r="X454" s="66"/>
      <c r="Y454" s="189"/>
      <c r="Z454" s="184"/>
      <c r="AA454" s="184"/>
      <c r="AB454" s="184"/>
      <c r="AC454" s="8"/>
      <c r="AD454" s="66"/>
      <c r="AE454" s="66"/>
      <c r="AF454" s="66"/>
      <c r="AG454" s="190"/>
      <c r="AH454" s="191"/>
      <c r="AI454" s="190"/>
      <c r="AJ454" s="190"/>
      <c r="AK454" s="66"/>
      <c r="AL454" s="66"/>
      <c r="AM454" s="66"/>
      <c r="AN454" s="66"/>
      <c r="AO454" s="66"/>
      <c r="AP454" s="66"/>
      <c r="AQ454" s="66"/>
      <c r="AR454" s="66"/>
      <c r="AS454" s="66"/>
      <c r="AT454" s="66"/>
    </row>
    <row r="455">
      <c r="A455" s="8"/>
      <c r="B455" s="66"/>
      <c r="C455" s="66"/>
      <c r="D455" s="66"/>
      <c r="E455" s="8"/>
      <c r="F455" s="66"/>
      <c r="G455" s="66"/>
      <c r="H455" s="66"/>
      <c r="I455" s="8"/>
      <c r="J455" s="66"/>
      <c r="K455" s="66"/>
      <c r="L455" s="66"/>
      <c r="M455" s="8"/>
      <c r="N455" s="66"/>
      <c r="O455" s="66"/>
      <c r="P455" s="66"/>
      <c r="Q455" s="8"/>
      <c r="R455" s="66"/>
      <c r="S455" s="66"/>
      <c r="T455" s="66"/>
      <c r="U455" s="8"/>
      <c r="V455" s="66"/>
      <c r="W455" s="66"/>
      <c r="X455" s="66"/>
      <c r="Y455" s="189"/>
      <c r="Z455" s="184"/>
      <c r="AA455" s="184"/>
      <c r="AB455" s="184"/>
      <c r="AC455" s="8"/>
      <c r="AD455" s="66"/>
      <c r="AE455" s="66"/>
      <c r="AF455" s="66"/>
      <c r="AG455" s="190"/>
      <c r="AH455" s="191"/>
      <c r="AI455" s="190"/>
      <c r="AJ455" s="190"/>
      <c r="AK455" s="66"/>
      <c r="AL455" s="66"/>
      <c r="AM455" s="66"/>
      <c r="AN455" s="66"/>
      <c r="AO455" s="66"/>
      <c r="AP455" s="66"/>
      <c r="AQ455" s="66"/>
      <c r="AR455" s="66"/>
      <c r="AS455" s="66"/>
      <c r="AT455" s="66"/>
    </row>
    <row r="456">
      <c r="A456" s="8"/>
      <c r="B456" s="66"/>
      <c r="C456" s="66"/>
      <c r="D456" s="66"/>
      <c r="E456" s="8"/>
      <c r="F456" s="66"/>
      <c r="G456" s="66"/>
      <c r="H456" s="66"/>
      <c r="I456" s="8"/>
      <c r="J456" s="66"/>
      <c r="K456" s="66"/>
      <c r="L456" s="66"/>
      <c r="M456" s="8"/>
      <c r="N456" s="66"/>
      <c r="O456" s="66"/>
      <c r="P456" s="66"/>
      <c r="Q456" s="8"/>
      <c r="R456" s="66"/>
      <c r="S456" s="66"/>
      <c r="T456" s="66"/>
      <c r="U456" s="8"/>
      <c r="V456" s="66"/>
      <c r="W456" s="66"/>
      <c r="X456" s="66"/>
      <c r="Y456" s="189"/>
      <c r="Z456" s="184"/>
      <c r="AA456" s="184"/>
      <c r="AB456" s="184"/>
      <c r="AC456" s="8"/>
      <c r="AD456" s="66"/>
      <c r="AE456" s="66"/>
      <c r="AF456" s="66"/>
      <c r="AG456" s="190"/>
      <c r="AH456" s="191"/>
      <c r="AI456" s="190"/>
      <c r="AJ456" s="190"/>
      <c r="AK456" s="66"/>
      <c r="AL456" s="66"/>
      <c r="AM456" s="66"/>
      <c r="AN456" s="66"/>
      <c r="AO456" s="66"/>
      <c r="AP456" s="66"/>
      <c r="AQ456" s="66"/>
      <c r="AR456" s="66"/>
      <c r="AS456" s="66"/>
      <c r="AT456" s="66"/>
    </row>
    <row r="457">
      <c r="A457" s="8"/>
      <c r="B457" s="66"/>
      <c r="C457" s="66"/>
      <c r="D457" s="66"/>
      <c r="E457" s="8"/>
      <c r="F457" s="66"/>
      <c r="G457" s="66"/>
      <c r="H457" s="66"/>
      <c r="I457" s="8"/>
      <c r="J457" s="66"/>
      <c r="K457" s="66"/>
      <c r="L457" s="66"/>
      <c r="M457" s="8"/>
      <c r="N457" s="66"/>
      <c r="O457" s="66"/>
      <c r="P457" s="66"/>
      <c r="Q457" s="8"/>
      <c r="R457" s="66"/>
      <c r="S457" s="66"/>
      <c r="T457" s="66"/>
      <c r="U457" s="8"/>
      <c r="V457" s="66"/>
      <c r="W457" s="66"/>
      <c r="X457" s="66"/>
      <c r="Y457" s="189"/>
      <c r="Z457" s="184"/>
      <c r="AA457" s="184"/>
      <c r="AB457" s="184"/>
      <c r="AC457" s="8"/>
      <c r="AD457" s="66"/>
      <c r="AE457" s="66"/>
      <c r="AF457" s="66"/>
      <c r="AG457" s="190"/>
      <c r="AH457" s="191"/>
      <c r="AI457" s="190"/>
      <c r="AJ457" s="190"/>
      <c r="AK457" s="66"/>
      <c r="AL457" s="66"/>
      <c r="AM457" s="66"/>
      <c r="AN457" s="66"/>
      <c r="AO457" s="66"/>
      <c r="AP457" s="66"/>
      <c r="AQ457" s="66"/>
      <c r="AR457" s="66"/>
      <c r="AS457" s="66"/>
      <c r="AT457" s="66"/>
    </row>
    <row r="458">
      <c r="A458" s="8"/>
      <c r="B458" s="66"/>
      <c r="C458" s="66"/>
      <c r="D458" s="66"/>
      <c r="E458" s="8"/>
      <c r="F458" s="66"/>
      <c r="G458" s="66"/>
      <c r="H458" s="66"/>
      <c r="I458" s="8"/>
      <c r="J458" s="66"/>
      <c r="K458" s="66"/>
      <c r="L458" s="66"/>
      <c r="M458" s="8"/>
      <c r="N458" s="66"/>
      <c r="O458" s="66"/>
      <c r="P458" s="66"/>
      <c r="Q458" s="8"/>
      <c r="R458" s="66"/>
      <c r="S458" s="66"/>
      <c r="T458" s="66"/>
      <c r="U458" s="8"/>
      <c r="V458" s="66"/>
      <c r="W458" s="66"/>
      <c r="X458" s="66"/>
      <c r="Y458" s="189"/>
      <c r="Z458" s="184"/>
      <c r="AA458" s="184"/>
      <c r="AB458" s="184"/>
      <c r="AC458" s="8"/>
      <c r="AD458" s="66"/>
      <c r="AE458" s="66"/>
      <c r="AF458" s="66"/>
      <c r="AG458" s="190"/>
      <c r="AH458" s="191"/>
      <c r="AI458" s="190"/>
      <c r="AJ458" s="190"/>
      <c r="AK458" s="66"/>
      <c r="AL458" s="66"/>
      <c r="AM458" s="66"/>
      <c r="AN458" s="66"/>
      <c r="AO458" s="66"/>
      <c r="AP458" s="66"/>
      <c r="AQ458" s="66"/>
      <c r="AR458" s="66"/>
      <c r="AS458" s="66"/>
      <c r="AT458" s="66"/>
    </row>
    <row r="459">
      <c r="A459" s="8"/>
      <c r="B459" s="66"/>
      <c r="C459" s="66"/>
      <c r="D459" s="66"/>
      <c r="E459" s="8"/>
      <c r="F459" s="66"/>
      <c r="G459" s="66"/>
      <c r="H459" s="66"/>
      <c r="I459" s="8"/>
      <c r="J459" s="66"/>
      <c r="K459" s="66"/>
      <c r="L459" s="66"/>
      <c r="M459" s="8"/>
      <c r="N459" s="66"/>
      <c r="O459" s="66"/>
      <c r="P459" s="66"/>
      <c r="Q459" s="8"/>
      <c r="R459" s="66"/>
      <c r="S459" s="66"/>
      <c r="T459" s="66"/>
      <c r="U459" s="8"/>
      <c r="V459" s="66"/>
      <c r="W459" s="66"/>
      <c r="X459" s="66"/>
      <c r="Y459" s="189"/>
      <c r="Z459" s="184"/>
      <c r="AA459" s="184"/>
      <c r="AB459" s="184"/>
      <c r="AC459" s="8"/>
      <c r="AD459" s="66"/>
      <c r="AE459" s="66"/>
      <c r="AF459" s="66"/>
      <c r="AG459" s="190"/>
      <c r="AH459" s="191"/>
      <c r="AI459" s="190"/>
      <c r="AJ459" s="190"/>
      <c r="AK459" s="66"/>
      <c r="AL459" s="66"/>
      <c r="AM459" s="66"/>
      <c r="AN459" s="66"/>
      <c r="AO459" s="66"/>
      <c r="AP459" s="66"/>
      <c r="AQ459" s="66"/>
      <c r="AR459" s="66"/>
      <c r="AS459" s="66"/>
      <c r="AT459" s="66"/>
    </row>
    <row r="460">
      <c r="A460" s="8"/>
      <c r="B460" s="66"/>
      <c r="C460" s="66"/>
      <c r="D460" s="66"/>
      <c r="E460" s="8"/>
      <c r="F460" s="66"/>
      <c r="G460" s="66"/>
      <c r="H460" s="66"/>
      <c r="I460" s="8"/>
      <c r="J460" s="66"/>
      <c r="K460" s="66"/>
      <c r="L460" s="66"/>
      <c r="M460" s="8"/>
      <c r="N460" s="66"/>
      <c r="O460" s="66"/>
      <c r="P460" s="66"/>
      <c r="Q460" s="8"/>
      <c r="R460" s="66"/>
      <c r="S460" s="66"/>
      <c r="T460" s="66"/>
      <c r="U460" s="8"/>
      <c r="V460" s="66"/>
      <c r="W460" s="66"/>
      <c r="X460" s="66"/>
      <c r="Y460" s="189"/>
      <c r="Z460" s="184"/>
      <c r="AA460" s="184"/>
      <c r="AB460" s="184"/>
      <c r="AC460" s="8"/>
      <c r="AD460" s="66"/>
      <c r="AE460" s="66"/>
      <c r="AF460" s="66"/>
      <c r="AG460" s="190"/>
      <c r="AH460" s="191"/>
      <c r="AI460" s="190"/>
      <c r="AJ460" s="190"/>
      <c r="AK460" s="66"/>
      <c r="AL460" s="66"/>
      <c r="AM460" s="66"/>
      <c r="AN460" s="66"/>
      <c r="AO460" s="66"/>
      <c r="AP460" s="66"/>
      <c r="AQ460" s="66"/>
      <c r="AR460" s="66"/>
      <c r="AS460" s="66"/>
      <c r="AT460" s="66"/>
    </row>
    <row r="461">
      <c r="A461" s="8"/>
      <c r="B461" s="66"/>
      <c r="C461" s="66"/>
      <c r="D461" s="66"/>
      <c r="E461" s="8"/>
      <c r="F461" s="66"/>
      <c r="G461" s="66"/>
      <c r="H461" s="66"/>
      <c r="I461" s="8"/>
      <c r="J461" s="66"/>
      <c r="K461" s="66"/>
      <c r="L461" s="66"/>
      <c r="M461" s="8"/>
      <c r="N461" s="66"/>
      <c r="O461" s="66"/>
      <c r="P461" s="66"/>
      <c r="Q461" s="8"/>
      <c r="R461" s="66"/>
      <c r="S461" s="66"/>
      <c r="T461" s="66"/>
      <c r="U461" s="8"/>
      <c r="V461" s="66"/>
      <c r="W461" s="66"/>
      <c r="X461" s="66"/>
      <c r="Y461" s="189"/>
      <c r="Z461" s="184"/>
      <c r="AA461" s="184"/>
      <c r="AB461" s="184"/>
      <c r="AC461" s="8"/>
      <c r="AD461" s="66"/>
      <c r="AE461" s="66"/>
      <c r="AF461" s="66"/>
      <c r="AG461" s="190"/>
      <c r="AH461" s="191"/>
      <c r="AI461" s="190"/>
      <c r="AJ461" s="190"/>
      <c r="AK461" s="66"/>
      <c r="AL461" s="66"/>
      <c r="AM461" s="66"/>
      <c r="AN461" s="66"/>
      <c r="AO461" s="66"/>
      <c r="AP461" s="66"/>
      <c r="AQ461" s="66"/>
      <c r="AR461" s="66"/>
      <c r="AS461" s="66"/>
      <c r="AT461" s="66"/>
    </row>
    <row r="462">
      <c r="A462" s="8"/>
      <c r="B462" s="66"/>
      <c r="C462" s="66"/>
      <c r="D462" s="66"/>
      <c r="E462" s="8"/>
      <c r="F462" s="66"/>
      <c r="G462" s="66"/>
      <c r="H462" s="66"/>
      <c r="I462" s="8"/>
      <c r="J462" s="66"/>
      <c r="K462" s="66"/>
      <c r="L462" s="66"/>
      <c r="M462" s="8"/>
      <c r="N462" s="66"/>
      <c r="O462" s="66"/>
      <c r="P462" s="66"/>
      <c r="Q462" s="8"/>
      <c r="R462" s="66"/>
      <c r="S462" s="66"/>
      <c r="T462" s="66"/>
      <c r="U462" s="8"/>
      <c r="V462" s="66"/>
      <c r="W462" s="66"/>
      <c r="X462" s="66"/>
      <c r="Y462" s="189"/>
      <c r="Z462" s="184"/>
      <c r="AA462" s="184"/>
      <c r="AB462" s="184"/>
      <c r="AC462" s="8"/>
      <c r="AD462" s="66"/>
      <c r="AE462" s="66"/>
      <c r="AF462" s="66"/>
      <c r="AG462" s="190"/>
      <c r="AH462" s="191"/>
      <c r="AI462" s="190"/>
      <c r="AJ462" s="190"/>
      <c r="AK462" s="66"/>
      <c r="AL462" s="66"/>
      <c r="AM462" s="66"/>
      <c r="AN462" s="66"/>
      <c r="AO462" s="66"/>
      <c r="AP462" s="66"/>
      <c r="AQ462" s="66"/>
      <c r="AR462" s="66"/>
      <c r="AS462" s="66"/>
      <c r="AT462" s="66"/>
    </row>
    <row r="463">
      <c r="A463" s="8"/>
      <c r="B463" s="66"/>
      <c r="C463" s="66"/>
      <c r="D463" s="66"/>
      <c r="E463" s="8"/>
      <c r="F463" s="66"/>
      <c r="G463" s="66"/>
      <c r="H463" s="66"/>
      <c r="I463" s="8"/>
      <c r="J463" s="66"/>
      <c r="K463" s="66"/>
      <c r="L463" s="66"/>
      <c r="M463" s="8"/>
      <c r="N463" s="66"/>
      <c r="O463" s="66"/>
      <c r="P463" s="66"/>
      <c r="Q463" s="8"/>
      <c r="R463" s="66"/>
      <c r="S463" s="66"/>
      <c r="T463" s="66"/>
      <c r="U463" s="8"/>
      <c r="V463" s="66"/>
      <c r="W463" s="66"/>
      <c r="X463" s="66"/>
      <c r="Y463" s="189"/>
      <c r="Z463" s="184"/>
      <c r="AA463" s="184"/>
      <c r="AB463" s="184"/>
      <c r="AC463" s="8"/>
      <c r="AD463" s="66"/>
      <c r="AE463" s="66"/>
      <c r="AF463" s="66"/>
      <c r="AG463" s="190"/>
      <c r="AH463" s="191"/>
      <c r="AI463" s="190"/>
      <c r="AJ463" s="190"/>
      <c r="AK463" s="66"/>
      <c r="AL463" s="66"/>
      <c r="AM463" s="66"/>
      <c r="AN463" s="66"/>
      <c r="AO463" s="66"/>
      <c r="AP463" s="66"/>
      <c r="AQ463" s="66"/>
      <c r="AR463" s="66"/>
      <c r="AS463" s="66"/>
      <c r="AT463" s="66"/>
    </row>
    <row r="464">
      <c r="A464" s="8"/>
      <c r="B464" s="66"/>
      <c r="C464" s="66"/>
      <c r="D464" s="66"/>
      <c r="E464" s="8"/>
      <c r="F464" s="66"/>
      <c r="G464" s="66"/>
      <c r="H464" s="66"/>
      <c r="I464" s="8"/>
      <c r="J464" s="66"/>
      <c r="K464" s="66"/>
      <c r="L464" s="66"/>
      <c r="M464" s="8"/>
      <c r="N464" s="66"/>
      <c r="O464" s="66"/>
      <c r="P464" s="66"/>
      <c r="Q464" s="8"/>
      <c r="R464" s="66"/>
      <c r="S464" s="66"/>
      <c r="T464" s="66"/>
      <c r="U464" s="8"/>
      <c r="V464" s="66"/>
      <c r="W464" s="66"/>
      <c r="X464" s="66"/>
      <c r="Y464" s="189"/>
      <c r="Z464" s="184"/>
      <c r="AA464" s="184"/>
      <c r="AB464" s="184"/>
      <c r="AC464" s="8"/>
      <c r="AD464" s="66"/>
      <c r="AE464" s="66"/>
      <c r="AF464" s="66"/>
      <c r="AG464" s="190"/>
      <c r="AH464" s="191"/>
      <c r="AI464" s="190"/>
      <c r="AJ464" s="190"/>
      <c r="AK464" s="66"/>
      <c r="AL464" s="66"/>
      <c r="AM464" s="66"/>
      <c r="AN464" s="66"/>
      <c r="AO464" s="66"/>
      <c r="AP464" s="66"/>
      <c r="AQ464" s="66"/>
      <c r="AR464" s="66"/>
      <c r="AS464" s="66"/>
      <c r="AT464" s="66"/>
    </row>
    <row r="465">
      <c r="A465" s="8"/>
      <c r="B465" s="66"/>
      <c r="C465" s="66"/>
      <c r="D465" s="66"/>
      <c r="E465" s="8"/>
      <c r="F465" s="66"/>
      <c r="G465" s="66"/>
      <c r="H465" s="66"/>
      <c r="I465" s="8"/>
      <c r="J465" s="66"/>
      <c r="K465" s="66"/>
      <c r="L465" s="66"/>
      <c r="M465" s="8"/>
      <c r="N465" s="66"/>
      <c r="O465" s="66"/>
      <c r="P465" s="66"/>
      <c r="Q465" s="8"/>
      <c r="R465" s="66"/>
      <c r="S465" s="66"/>
      <c r="T465" s="66"/>
      <c r="U465" s="8"/>
      <c r="V465" s="66"/>
      <c r="W465" s="66"/>
      <c r="X465" s="66"/>
      <c r="Y465" s="189"/>
      <c r="Z465" s="184"/>
      <c r="AA465" s="184"/>
      <c r="AB465" s="184"/>
      <c r="AC465" s="8"/>
      <c r="AD465" s="66"/>
      <c r="AE465" s="66"/>
      <c r="AF465" s="66"/>
      <c r="AG465" s="190"/>
      <c r="AH465" s="191"/>
      <c r="AI465" s="190"/>
      <c r="AJ465" s="190"/>
      <c r="AK465" s="66"/>
      <c r="AL465" s="66"/>
      <c r="AM465" s="66"/>
      <c r="AN465" s="66"/>
      <c r="AO465" s="66"/>
      <c r="AP465" s="66"/>
      <c r="AQ465" s="66"/>
      <c r="AR465" s="66"/>
      <c r="AS465" s="66"/>
      <c r="AT465" s="66"/>
    </row>
    <row r="466">
      <c r="A466" s="8"/>
      <c r="B466" s="66"/>
      <c r="C466" s="66"/>
      <c r="D466" s="66"/>
      <c r="E466" s="8"/>
      <c r="F466" s="66"/>
      <c r="G466" s="66"/>
      <c r="H466" s="66"/>
      <c r="I466" s="8"/>
      <c r="J466" s="66"/>
      <c r="K466" s="66"/>
      <c r="L466" s="66"/>
      <c r="M466" s="8"/>
      <c r="N466" s="66"/>
      <c r="O466" s="66"/>
      <c r="P466" s="66"/>
      <c r="Q466" s="8"/>
      <c r="R466" s="66"/>
      <c r="S466" s="66"/>
      <c r="T466" s="66"/>
      <c r="U466" s="8"/>
      <c r="V466" s="66"/>
      <c r="W466" s="66"/>
      <c r="X466" s="66"/>
      <c r="Y466" s="189"/>
      <c r="Z466" s="184"/>
      <c r="AA466" s="184"/>
      <c r="AB466" s="184"/>
      <c r="AC466" s="8"/>
      <c r="AD466" s="66"/>
      <c r="AE466" s="66"/>
      <c r="AF466" s="66"/>
      <c r="AG466" s="190"/>
      <c r="AH466" s="191"/>
      <c r="AI466" s="190"/>
      <c r="AJ466" s="190"/>
      <c r="AK466" s="66"/>
      <c r="AL466" s="66"/>
      <c r="AM466" s="66"/>
      <c r="AN466" s="66"/>
      <c r="AO466" s="66"/>
      <c r="AP466" s="66"/>
      <c r="AQ466" s="66"/>
      <c r="AR466" s="66"/>
      <c r="AS466" s="66"/>
      <c r="AT466" s="66"/>
    </row>
    <row r="467">
      <c r="A467" s="8"/>
      <c r="B467" s="66"/>
      <c r="C467" s="66"/>
      <c r="D467" s="66"/>
      <c r="E467" s="8"/>
      <c r="F467" s="66"/>
      <c r="G467" s="66"/>
      <c r="H467" s="66"/>
      <c r="I467" s="8"/>
      <c r="J467" s="66"/>
      <c r="K467" s="66"/>
      <c r="L467" s="66"/>
      <c r="M467" s="8"/>
      <c r="N467" s="66"/>
      <c r="O467" s="66"/>
      <c r="P467" s="66"/>
      <c r="Q467" s="8"/>
      <c r="R467" s="66"/>
      <c r="S467" s="66"/>
      <c r="T467" s="66"/>
      <c r="U467" s="8"/>
      <c r="V467" s="66"/>
      <c r="W467" s="66"/>
      <c r="X467" s="66"/>
      <c r="Y467" s="189"/>
      <c r="Z467" s="184"/>
      <c r="AA467" s="184"/>
      <c r="AB467" s="184"/>
      <c r="AC467" s="8"/>
      <c r="AD467" s="66"/>
      <c r="AE467" s="66"/>
      <c r="AF467" s="66"/>
      <c r="AG467" s="190"/>
      <c r="AH467" s="191"/>
      <c r="AI467" s="190"/>
      <c r="AJ467" s="190"/>
      <c r="AK467" s="66"/>
      <c r="AL467" s="66"/>
      <c r="AM467" s="66"/>
      <c r="AN467" s="66"/>
      <c r="AO467" s="66"/>
      <c r="AP467" s="66"/>
      <c r="AQ467" s="66"/>
      <c r="AR467" s="66"/>
      <c r="AS467" s="66"/>
      <c r="AT467" s="66"/>
    </row>
    <row r="468">
      <c r="A468" s="8"/>
      <c r="B468" s="66"/>
      <c r="C468" s="66"/>
      <c r="D468" s="66"/>
      <c r="E468" s="8"/>
      <c r="F468" s="66"/>
      <c r="G468" s="66"/>
      <c r="H468" s="66"/>
      <c r="I468" s="8"/>
      <c r="J468" s="66"/>
      <c r="K468" s="66"/>
      <c r="L468" s="66"/>
      <c r="M468" s="8"/>
      <c r="N468" s="66"/>
      <c r="O468" s="66"/>
      <c r="P468" s="66"/>
      <c r="Q468" s="8"/>
      <c r="R468" s="66"/>
      <c r="S468" s="66"/>
      <c r="T468" s="66"/>
      <c r="U468" s="8"/>
      <c r="V468" s="66"/>
      <c r="W468" s="66"/>
      <c r="X468" s="66"/>
      <c r="Y468" s="189"/>
      <c r="Z468" s="184"/>
      <c r="AA468" s="184"/>
      <c r="AB468" s="184"/>
      <c r="AC468" s="8"/>
      <c r="AD468" s="66"/>
      <c r="AE468" s="66"/>
      <c r="AF468" s="66"/>
      <c r="AG468" s="190"/>
      <c r="AH468" s="191"/>
      <c r="AI468" s="190"/>
      <c r="AJ468" s="190"/>
      <c r="AK468" s="66"/>
      <c r="AL468" s="66"/>
      <c r="AM468" s="66"/>
      <c r="AN468" s="66"/>
      <c r="AO468" s="66"/>
      <c r="AP468" s="66"/>
      <c r="AQ468" s="66"/>
      <c r="AR468" s="66"/>
      <c r="AS468" s="66"/>
      <c r="AT468" s="66"/>
    </row>
    <row r="469">
      <c r="A469" s="8"/>
      <c r="B469" s="66"/>
      <c r="C469" s="66"/>
      <c r="D469" s="66"/>
      <c r="E469" s="8"/>
      <c r="F469" s="66"/>
      <c r="G469" s="66"/>
      <c r="H469" s="66"/>
      <c r="I469" s="8"/>
      <c r="J469" s="66"/>
      <c r="K469" s="66"/>
      <c r="L469" s="66"/>
      <c r="M469" s="8"/>
      <c r="N469" s="66"/>
      <c r="O469" s="66"/>
      <c r="P469" s="66"/>
      <c r="Q469" s="8"/>
      <c r="R469" s="66"/>
      <c r="S469" s="66"/>
      <c r="T469" s="66"/>
      <c r="U469" s="8"/>
      <c r="V469" s="66"/>
      <c r="W469" s="66"/>
      <c r="X469" s="66"/>
      <c r="Y469" s="189"/>
      <c r="Z469" s="184"/>
      <c r="AA469" s="184"/>
      <c r="AB469" s="184"/>
      <c r="AC469" s="8"/>
      <c r="AD469" s="66"/>
      <c r="AE469" s="66"/>
      <c r="AF469" s="66"/>
      <c r="AG469" s="190"/>
      <c r="AH469" s="191"/>
      <c r="AI469" s="190"/>
      <c r="AJ469" s="190"/>
      <c r="AK469" s="66"/>
      <c r="AL469" s="66"/>
      <c r="AM469" s="66"/>
      <c r="AN469" s="66"/>
      <c r="AO469" s="66"/>
      <c r="AP469" s="66"/>
      <c r="AQ469" s="66"/>
      <c r="AR469" s="66"/>
      <c r="AS469" s="66"/>
      <c r="AT469" s="66"/>
    </row>
    <row r="470">
      <c r="A470" s="8"/>
      <c r="B470" s="66"/>
      <c r="C470" s="66"/>
      <c r="D470" s="66"/>
      <c r="E470" s="8"/>
      <c r="F470" s="66"/>
      <c r="G470" s="66"/>
      <c r="H470" s="66"/>
      <c r="I470" s="8"/>
      <c r="J470" s="66"/>
      <c r="K470" s="66"/>
      <c r="L470" s="66"/>
      <c r="M470" s="8"/>
      <c r="N470" s="66"/>
      <c r="O470" s="66"/>
      <c r="P470" s="66"/>
      <c r="Q470" s="8"/>
      <c r="R470" s="66"/>
      <c r="S470" s="66"/>
      <c r="T470" s="66"/>
      <c r="U470" s="8"/>
      <c r="V470" s="66"/>
      <c r="W470" s="66"/>
      <c r="X470" s="66"/>
      <c r="Y470" s="189"/>
      <c r="Z470" s="184"/>
      <c r="AA470" s="184"/>
      <c r="AB470" s="184"/>
      <c r="AC470" s="8"/>
      <c r="AD470" s="66"/>
      <c r="AE470" s="66"/>
      <c r="AF470" s="66"/>
      <c r="AG470" s="190"/>
      <c r="AH470" s="191"/>
      <c r="AI470" s="190"/>
      <c r="AJ470" s="190"/>
      <c r="AK470" s="66"/>
      <c r="AL470" s="66"/>
      <c r="AM470" s="66"/>
      <c r="AN470" s="66"/>
      <c r="AO470" s="66"/>
      <c r="AP470" s="66"/>
      <c r="AQ470" s="66"/>
      <c r="AR470" s="66"/>
      <c r="AS470" s="66"/>
      <c r="AT470" s="66"/>
    </row>
    <row r="471">
      <c r="A471" s="8"/>
      <c r="B471" s="66"/>
      <c r="C471" s="66"/>
      <c r="D471" s="66"/>
      <c r="E471" s="8"/>
      <c r="F471" s="66"/>
      <c r="G471" s="66"/>
      <c r="H471" s="66"/>
      <c r="I471" s="8"/>
      <c r="J471" s="66"/>
      <c r="K471" s="66"/>
      <c r="L471" s="66"/>
      <c r="M471" s="8"/>
      <c r="N471" s="66"/>
      <c r="O471" s="66"/>
      <c r="P471" s="66"/>
      <c r="Q471" s="8"/>
      <c r="R471" s="66"/>
      <c r="S471" s="66"/>
      <c r="T471" s="66"/>
      <c r="U471" s="8"/>
      <c r="V471" s="66"/>
      <c r="W471" s="66"/>
      <c r="X471" s="66"/>
      <c r="Y471" s="189"/>
      <c r="Z471" s="184"/>
      <c r="AA471" s="184"/>
      <c r="AB471" s="184"/>
      <c r="AC471" s="8"/>
      <c r="AD471" s="66"/>
      <c r="AE471" s="66"/>
      <c r="AF471" s="66"/>
      <c r="AG471" s="190"/>
      <c r="AH471" s="191"/>
      <c r="AI471" s="190"/>
      <c r="AJ471" s="190"/>
      <c r="AK471" s="66"/>
      <c r="AL471" s="66"/>
      <c r="AM471" s="66"/>
      <c r="AN471" s="66"/>
      <c r="AO471" s="66"/>
      <c r="AP471" s="66"/>
      <c r="AQ471" s="66"/>
      <c r="AR471" s="66"/>
      <c r="AS471" s="66"/>
      <c r="AT471" s="66"/>
    </row>
    <row r="472">
      <c r="A472" s="8"/>
      <c r="B472" s="66"/>
      <c r="C472" s="66"/>
      <c r="D472" s="66"/>
      <c r="E472" s="8"/>
      <c r="F472" s="66"/>
      <c r="G472" s="66"/>
      <c r="H472" s="66"/>
      <c r="I472" s="8"/>
      <c r="J472" s="66"/>
      <c r="K472" s="66"/>
      <c r="L472" s="66"/>
      <c r="M472" s="8"/>
      <c r="N472" s="66"/>
      <c r="O472" s="66"/>
      <c r="P472" s="66"/>
      <c r="Q472" s="8"/>
      <c r="R472" s="66"/>
      <c r="S472" s="66"/>
      <c r="T472" s="66"/>
      <c r="U472" s="8"/>
      <c r="V472" s="66"/>
      <c r="W472" s="66"/>
      <c r="X472" s="66"/>
      <c r="Y472" s="189"/>
      <c r="Z472" s="184"/>
      <c r="AA472" s="184"/>
      <c r="AB472" s="184"/>
      <c r="AC472" s="8"/>
      <c r="AD472" s="66"/>
      <c r="AE472" s="66"/>
      <c r="AF472" s="66"/>
      <c r="AG472" s="190"/>
      <c r="AH472" s="191"/>
      <c r="AI472" s="190"/>
      <c r="AJ472" s="190"/>
      <c r="AK472" s="66"/>
      <c r="AL472" s="66"/>
      <c r="AM472" s="66"/>
      <c r="AN472" s="66"/>
      <c r="AO472" s="66"/>
      <c r="AP472" s="66"/>
      <c r="AQ472" s="66"/>
      <c r="AR472" s="66"/>
      <c r="AS472" s="66"/>
      <c r="AT472" s="66"/>
    </row>
    <row r="473">
      <c r="A473" s="8"/>
      <c r="B473" s="66"/>
      <c r="C473" s="66"/>
      <c r="D473" s="66"/>
      <c r="E473" s="8"/>
      <c r="F473" s="66"/>
      <c r="G473" s="66"/>
      <c r="H473" s="66"/>
      <c r="I473" s="8"/>
      <c r="J473" s="66"/>
      <c r="K473" s="66"/>
      <c r="L473" s="66"/>
      <c r="M473" s="8"/>
      <c r="N473" s="66"/>
      <c r="O473" s="66"/>
      <c r="P473" s="66"/>
      <c r="Q473" s="8"/>
      <c r="R473" s="66"/>
      <c r="S473" s="66"/>
      <c r="T473" s="66"/>
      <c r="U473" s="8"/>
      <c r="V473" s="66"/>
      <c r="W473" s="66"/>
      <c r="X473" s="66"/>
      <c r="Y473" s="189"/>
      <c r="Z473" s="184"/>
      <c r="AA473" s="184"/>
      <c r="AB473" s="184"/>
      <c r="AC473" s="8"/>
      <c r="AD473" s="66"/>
      <c r="AE473" s="66"/>
      <c r="AF473" s="66"/>
      <c r="AG473" s="190"/>
      <c r="AH473" s="191"/>
      <c r="AI473" s="190"/>
      <c r="AJ473" s="190"/>
      <c r="AK473" s="66"/>
      <c r="AL473" s="66"/>
      <c r="AM473" s="66"/>
      <c r="AN473" s="66"/>
      <c r="AO473" s="66"/>
      <c r="AP473" s="66"/>
      <c r="AQ473" s="66"/>
      <c r="AR473" s="66"/>
      <c r="AS473" s="66"/>
      <c r="AT473" s="66"/>
    </row>
    <row r="474">
      <c r="A474" s="8"/>
      <c r="B474" s="66"/>
      <c r="C474" s="66"/>
      <c r="D474" s="66"/>
      <c r="E474" s="8"/>
      <c r="F474" s="66"/>
      <c r="G474" s="66"/>
      <c r="H474" s="66"/>
      <c r="I474" s="8"/>
      <c r="J474" s="66"/>
      <c r="K474" s="66"/>
      <c r="L474" s="66"/>
      <c r="M474" s="8"/>
      <c r="N474" s="66"/>
      <c r="O474" s="66"/>
      <c r="P474" s="66"/>
      <c r="Q474" s="8"/>
      <c r="R474" s="66"/>
      <c r="S474" s="66"/>
      <c r="T474" s="66"/>
      <c r="U474" s="8"/>
      <c r="V474" s="66"/>
      <c r="W474" s="66"/>
      <c r="X474" s="66"/>
      <c r="Y474" s="189"/>
      <c r="Z474" s="184"/>
      <c r="AA474" s="184"/>
      <c r="AB474" s="184"/>
      <c r="AC474" s="8"/>
      <c r="AD474" s="66"/>
      <c r="AE474" s="66"/>
      <c r="AF474" s="66"/>
      <c r="AG474" s="190"/>
      <c r="AH474" s="191"/>
      <c r="AI474" s="190"/>
      <c r="AJ474" s="190"/>
      <c r="AK474" s="66"/>
      <c r="AL474" s="66"/>
      <c r="AM474" s="66"/>
      <c r="AN474" s="66"/>
      <c r="AO474" s="66"/>
      <c r="AP474" s="66"/>
      <c r="AQ474" s="66"/>
      <c r="AR474" s="66"/>
      <c r="AS474" s="66"/>
      <c r="AT474" s="66"/>
    </row>
    <row r="475">
      <c r="A475" s="8"/>
      <c r="B475" s="66"/>
      <c r="C475" s="66"/>
      <c r="D475" s="66"/>
      <c r="E475" s="8"/>
      <c r="F475" s="66"/>
      <c r="G475" s="66"/>
      <c r="H475" s="66"/>
      <c r="I475" s="8"/>
      <c r="J475" s="66"/>
      <c r="K475" s="66"/>
      <c r="L475" s="66"/>
      <c r="M475" s="8"/>
      <c r="N475" s="66"/>
      <c r="O475" s="66"/>
      <c r="P475" s="66"/>
      <c r="Q475" s="8"/>
      <c r="R475" s="66"/>
      <c r="S475" s="66"/>
      <c r="T475" s="66"/>
      <c r="U475" s="8"/>
      <c r="V475" s="66"/>
      <c r="W475" s="66"/>
      <c r="X475" s="66"/>
      <c r="Y475" s="189"/>
      <c r="Z475" s="184"/>
      <c r="AA475" s="184"/>
      <c r="AB475" s="184"/>
      <c r="AC475" s="8"/>
      <c r="AD475" s="66"/>
      <c r="AE475" s="66"/>
      <c r="AF475" s="66"/>
      <c r="AG475" s="190"/>
      <c r="AH475" s="191"/>
      <c r="AI475" s="190"/>
      <c r="AJ475" s="190"/>
      <c r="AK475" s="66"/>
      <c r="AL475" s="66"/>
      <c r="AM475" s="66"/>
      <c r="AN475" s="66"/>
      <c r="AO475" s="66"/>
      <c r="AP475" s="66"/>
      <c r="AQ475" s="66"/>
      <c r="AR475" s="66"/>
      <c r="AS475" s="66"/>
      <c r="AT475" s="66"/>
    </row>
    <row r="476">
      <c r="A476" s="8"/>
      <c r="B476" s="66"/>
      <c r="C476" s="66"/>
      <c r="D476" s="66"/>
      <c r="E476" s="8"/>
      <c r="F476" s="66"/>
      <c r="G476" s="66"/>
      <c r="H476" s="66"/>
      <c r="I476" s="8"/>
      <c r="J476" s="66"/>
      <c r="K476" s="66"/>
      <c r="L476" s="66"/>
      <c r="M476" s="8"/>
      <c r="N476" s="66"/>
      <c r="O476" s="66"/>
      <c r="P476" s="66"/>
      <c r="Q476" s="8"/>
      <c r="R476" s="66"/>
      <c r="S476" s="66"/>
      <c r="T476" s="66"/>
      <c r="U476" s="8"/>
      <c r="V476" s="66"/>
      <c r="W476" s="66"/>
      <c r="X476" s="66"/>
      <c r="Y476" s="189"/>
      <c r="Z476" s="184"/>
      <c r="AA476" s="184"/>
      <c r="AB476" s="184"/>
      <c r="AC476" s="8"/>
      <c r="AD476" s="66"/>
      <c r="AE476" s="66"/>
      <c r="AF476" s="66"/>
      <c r="AG476" s="190"/>
      <c r="AH476" s="191"/>
      <c r="AI476" s="190"/>
      <c r="AJ476" s="190"/>
      <c r="AK476" s="66"/>
      <c r="AL476" s="66"/>
      <c r="AM476" s="66"/>
      <c r="AN476" s="66"/>
      <c r="AO476" s="66"/>
      <c r="AP476" s="66"/>
      <c r="AQ476" s="66"/>
      <c r="AR476" s="66"/>
      <c r="AS476" s="66"/>
      <c r="AT476" s="66"/>
    </row>
    <row r="477">
      <c r="A477" s="8"/>
      <c r="B477" s="66"/>
      <c r="C477" s="66"/>
      <c r="D477" s="66"/>
      <c r="E477" s="8"/>
      <c r="F477" s="66"/>
      <c r="G477" s="66"/>
      <c r="H477" s="66"/>
      <c r="I477" s="8"/>
      <c r="J477" s="66"/>
      <c r="K477" s="66"/>
      <c r="L477" s="66"/>
      <c r="M477" s="8"/>
      <c r="N477" s="66"/>
      <c r="O477" s="66"/>
      <c r="P477" s="66"/>
      <c r="Q477" s="8"/>
      <c r="R477" s="66"/>
      <c r="S477" s="66"/>
      <c r="T477" s="66"/>
      <c r="U477" s="8"/>
      <c r="V477" s="66"/>
      <c r="W477" s="66"/>
      <c r="X477" s="66"/>
      <c r="Y477" s="189"/>
      <c r="Z477" s="184"/>
      <c r="AA477" s="184"/>
      <c r="AB477" s="184"/>
      <c r="AC477" s="8"/>
      <c r="AD477" s="66"/>
      <c r="AE477" s="66"/>
      <c r="AF477" s="66"/>
      <c r="AG477" s="190"/>
      <c r="AH477" s="191"/>
      <c r="AI477" s="190"/>
      <c r="AJ477" s="190"/>
      <c r="AK477" s="66"/>
      <c r="AL477" s="66"/>
      <c r="AM477" s="66"/>
      <c r="AN477" s="66"/>
      <c r="AO477" s="66"/>
      <c r="AP477" s="66"/>
      <c r="AQ477" s="66"/>
      <c r="AR477" s="66"/>
      <c r="AS477" s="66"/>
      <c r="AT477" s="66"/>
    </row>
    <row r="478">
      <c r="A478" s="8"/>
      <c r="B478" s="66"/>
      <c r="C478" s="66"/>
      <c r="D478" s="66"/>
      <c r="E478" s="8"/>
      <c r="F478" s="66"/>
      <c r="G478" s="66"/>
      <c r="H478" s="66"/>
      <c r="I478" s="8"/>
      <c r="J478" s="66"/>
      <c r="K478" s="66"/>
      <c r="L478" s="66"/>
      <c r="M478" s="8"/>
      <c r="N478" s="66"/>
      <c r="O478" s="66"/>
      <c r="P478" s="66"/>
      <c r="Q478" s="8"/>
      <c r="R478" s="66"/>
      <c r="S478" s="66"/>
      <c r="T478" s="66"/>
      <c r="U478" s="8"/>
      <c r="V478" s="66"/>
      <c r="W478" s="66"/>
      <c r="X478" s="66"/>
      <c r="Y478" s="189"/>
      <c r="Z478" s="184"/>
      <c r="AA478" s="184"/>
      <c r="AB478" s="184"/>
      <c r="AC478" s="8"/>
      <c r="AD478" s="66"/>
      <c r="AE478" s="66"/>
      <c r="AF478" s="66"/>
      <c r="AG478" s="190"/>
      <c r="AH478" s="191"/>
      <c r="AI478" s="190"/>
      <c r="AJ478" s="190"/>
      <c r="AK478" s="66"/>
      <c r="AL478" s="66"/>
      <c r="AM478" s="66"/>
      <c r="AN478" s="66"/>
      <c r="AO478" s="66"/>
      <c r="AP478" s="66"/>
      <c r="AQ478" s="66"/>
      <c r="AR478" s="66"/>
      <c r="AS478" s="66"/>
      <c r="AT478" s="66"/>
    </row>
    <row r="479">
      <c r="A479" s="8"/>
      <c r="B479" s="66"/>
      <c r="C479" s="66"/>
      <c r="D479" s="66"/>
      <c r="E479" s="8"/>
      <c r="F479" s="66"/>
      <c r="G479" s="66"/>
      <c r="H479" s="66"/>
      <c r="I479" s="8"/>
      <c r="J479" s="66"/>
      <c r="K479" s="66"/>
      <c r="L479" s="66"/>
      <c r="M479" s="8"/>
      <c r="N479" s="66"/>
      <c r="O479" s="66"/>
      <c r="P479" s="66"/>
      <c r="Q479" s="8"/>
      <c r="R479" s="66"/>
      <c r="S479" s="66"/>
      <c r="T479" s="66"/>
      <c r="U479" s="8"/>
      <c r="V479" s="66"/>
      <c r="W479" s="66"/>
      <c r="X479" s="66"/>
      <c r="Y479" s="189"/>
      <c r="Z479" s="184"/>
      <c r="AA479" s="184"/>
      <c r="AB479" s="184"/>
      <c r="AC479" s="8"/>
      <c r="AD479" s="66"/>
      <c r="AE479" s="66"/>
      <c r="AF479" s="66"/>
      <c r="AG479" s="190"/>
      <c r="AH479" s="191"/>
      <c r="AI479" s="190"/>
      <c r="AJ479" s="190"/>
      <c r="AK479" s="66"/>
      <c r="AL479" s="66"/>
      <c r="AM479" s="66"/>
      <c r="AN479" s="66"/>
      <c r="AO479" s="66"/>
      <c r="AP479" s="66"/>
      <c r="AQ479" s="66"/>
      <c r="AR479" s="66"/>
      <c r="AS479" s="66"/>
      <c r="AT479" s="66"/>
    </row>
    <row r="480">
      <c r="A480" s="8"/>
      <c r="B480" s="66"/>
      <c r="C480" s="66"/>
      <c r="D480" s="66"/>
      <c r="E480" s="8"/>
      <c r="F480" s="66"/>
      <c r="G480" s="66"/>
      <c r="H480" s="66"/>
      <c r="I480" s="8"/>
      <c r="J480" s="66"/>
      <c r="K480" s="66"/>
      <c r="L480" s="66"/>
      <c r="M480" s="8"/>
      <c r="N480" s="66"/>
      <c r="O480" s="66"/>
      <c r="P480" s="66"/>
      <c r="Q480" s="8"/>
      <c r="R480" s="66"/>
      <c r="S480" s="66"/>
      <c r="T480" s="66"/>
      <c r="U480" s="8"/>
      <c r="V480" s="66"/>
      <c r="W480" s="66"/>
      <c r="X480" s="66"/>
      <c r="Y480" s="189"/>
      <c r="Z480" s="184"/>
      <c r="AA480" s="184"/>
      <c r="AB480" s="184"/>
      <c r="AC480" s="8"/>
      <c r="AD480" s="66"/>
      <c r="AE480" s="66"/>
      <c r="AF480" s="66"/>
      <c r="AG480" s="190"/>
      <c r="AH480" s="191"/>
      <c r="AI480" s="190"/>
      <c r="AJ480" s="190"/>
      <c r="AK480" s="66"/>
      <c r="AL480" s="66"/>
      <c r="AM480" s="66"/>
      <c r="AN480" s="66"/>
      <c r="AO480" s="66"/>
      <c r="AP480" s="66"/>
      <c r="AQ480" s="66"/>
      <c r="AR480" s="66"/>
      <c r="AS480" s="66"/>
      <c r="AT480" s="66"/>
    </row>
    <row r="481">
      <c r="A481" s="8"/>
      <c r="B481" s="66"/>
      <c r="C481" s="66"/>
      <c r="D481" s="66"/>
      <c r="E481" s="8"/>
      <c r="F481" s="66"/>
      <c r="G481" s="66"/>
      <c r="H481" s="66"/>
      <c r="I481" s="8"/>
      <c r="J481" s="66"/>
      <c r="K481" s="66"/>
      <c r="L481" s="66"/>
      <c r="M481" s="8"/>
      <c r="N481" s="66"/>
      <c r="O481" s="66"/>
      <c r="P481" s="66"/>
      <c r="Q481" s="8"/>
      <c r="R481" s="66"/>
      <c r="S481" s="66"/>
      <c r="T481" s="66"/>
      <c r="U481" s="8"/>
      <c r="V481" s="66"/>
      <c r="W481" s="66"/>
      <c r="X481" s="66"/>
      <c r="Y481" s="189"/>
      <c r="Z481" s="184"/>
      <c r="AA481" s="184"/>
      <c r="AB481" s="184"/>
      <c r="AC481" s="8"/>
      <c r="AD481" s="66"/>
      <c r="AE481" s="66"/>
      <c r="AF481" s="66"/>
      <c r="AG481" s="190"/>
      <c r="AH481" s="191"/>
      <c r="AI481" s="190"/>
      <c r="AJ481" s="190"/>
      <c r="AK481" s="66"/>
      <c r="AL481" s="66"/>
      <c r="AM481" s="66"/>
      <c r="AN481" s="66"/>
      <c r="AO481" s="66"/>
      <c r="AP481" s="66"/>
      <c r="AQ481" s="66"/>
      <c r="AR481" s="66"/>
      <c r="AS481" s="66"/>
      <c r="AT481" s="66"/>
    </row>
    <row r="482">
      <c r="A482" s="8"/>
      <c r="B482" s="66"/>
      <c r="C482" s="66"/>
      <c r="D482" s="66"/>
      <c r="E482" s="8"/>
      <c r="F482" s="66"/>
      <c r="G482" s="66"/>
      <c r="H482" s="66"/>
      <c r="I482" s="8"/>
      <c r="J482" s="66"/>
      <c r="K482" s="66"/>
      <c r="L482" s="66"/>
      <c r="M482" s="8"/>
      <c r="N482" s="66"/>
      <c r="O482" s="66"/>
      <c r="P482" s="66"/>
      <c r="Q482" s="8"/>
      <c r="R482" s="66"/>
      <c r="S482" s="66"/>
      <c r="T482" s="66"/>
      <c r="U482" s="8"/>
      <c r="V482" s="66"/>
      <c r="W482" s="66"/>
      <c r="X482" s="66"/>
      <c r="Y482" s="189"/>
      <c r="Z482" s="184"/>
      <c r="AA482" s="184"/>
      <c r="AB482" s="184"/>
      <c r="AC482" s="8"/>
      <c r="AD482" s="66"/>
      <c r="AE482" s="66"/>
      <c r="AF482" s="66"/>
      <c r="AG482" s="190"/>
      <c r="AH482" s="191"/>
      <c r="AI482" s="190"/>
      <c r="AJ482" s="190"/>
      <c r="AK482" s="66"/>
      <c r="AL482" s="66"/>
      <c r="AM482" s="66"/>
      <c r="AN482" s="66"/>
      <c r="AO482" s="66"/>
      <c r="AP482" s="66"/>
      <c r="AQ482" s="66"/>
      <c r="AR482" s="66"/>
      <c r="AS482" s="66"/>
      <c r="AT482" s="66"/>
    </row>
    <row r="483">
      <c r="A483" s="8"/>
      <c r="B483" s="66"/>
      <c r="C483" s="66"/>
      <c r="D483" s="66"/>
      <c r="E483" s="8"/>
      <c r="F483" s="66"/>
      <c r="G483" s="66"/>
      <c r="H483" s="66"/>
      <c r="I483" s="8"/>
      <c r="J483" s="66"/>
      <c r="K483" s="66"/>
      <c r="L483" s="66"/>
      <c r="M483" s="8"/>
      <c r="N483" s="66"/>
      <c r="O483" s="66"/>
      <c r="P483" s="66"/>
      <c r="Q483" s="8"/>
      <c r="R483" s="66"/>
      <c r="S483" s="66"/>
      <c r="T483" s="66"/>
      <c r="U483" s="8"/>
      <c r="V483" s="66"/>
      <c r="W483" s="66"/>
      <c r="X483" s="66"/>
      <c r="Y483" s="189"/>
      <c r="Z483" s="184"/>
      <c r="AA483" s="184"/>
      <c r="AB483" s="184"/>
      <c r="AC483" s="8"/>
      <c r="AD483" s="66"/>
      <c r="AE483" s="66"/>
      <c r="AF483" s="66"/>
      <c r="AG483" s="190"/>
      <c r="AH483" s="191"/>
      <c r="AI483" s="190"/>
      <c r="AJ483" s="190"/>
      <c r="AK483" s="66"/>
      <c r="AL483" s="66"/>
      <c r="AM483" s="66"/>
      <c r="AN483" s="66"/>
      <c r="AO483" s="66"/>
      <c r="AP483" s="66"/>
      <c r="AQ483" s="66"/>
      <c r="AR483" s="66"/>
      <c r="AS483" s="66"/>
      <c r="AT483" s="66"/>
    </row>
    <row r="484">
      <c r="A484" s="8"/>
      <c r="B484" s="66"/>
      <c r="C484" s="66"/>
      <c r="D484" s="66"/>
      <c r="E484" s="8"/>
      <c r="F484" s="66"/>
      <c r="G484" s="66"/>
      <c r="H484" s="66"/>
      <c r="I484" s="8"/>
      <c r="J484" s="66"/>
      <c r="K484" s="66"/>
      <c r="L484" s="66"/>
      <c r="M484" s="8"/>
      <c r="N484" s="66"/>
      <c r="O484" s="66"/>
      <c r="P484" s="66"/>
      <c r="Q484" s="8"/>
      <c r="R484" s="66"/>
      <c r="S484" s="66"/>
      <c r="T484" s="66"/>
      <c r="U484" s="8"/>
      <c r="V484" s="66"/>
      <c r="W484" s="66"/>
      <c r="X484" s="66"/>
      <c r="Y484" s="189"/>
      <c r="Z484" s="184"/>
      <c r="AA484" s="184"/>
      <c r="AB484" s="184"/>
      <c r="AC484" s="8"/>
      <c r="AD484" s="66"/>
      <c r="AE484" s="66"/>
      <c r="AF484" s="66"/>
      <c r="AG484" s="190"/>
      <c r="AH484" s="191"/>
      <c r="AI484" s="190"/>
      <c r="AJ484" s="190"/>
      <c r="AK484" s="66"/>
      <c r="AL484" s="66"/>
      <c r="AM484" s="66"/>
      <c r="AN484" s="66"/>
      <c r="AO484" s="66"/>
      <c r="AP484" s="66"/>
      <c r="AQ484" s="66"/>
      <c r="AR484" s="66"/>
      <c r="AS484" s="66"/>
      <c r="AT484" s="66"/>
    </row>
    <row r="485">
      <c r="A485" s="8"/>
      <c r="B485" s="66"/>
      <c r="C485" s="66"/>
      <c r="D485" s="66"/>
      <c r="E485" s="8"/>
      <c r="F485" s="66"/>
      <c r="G485" s="66"/>
      <c r="H485" s="66"/>
      <c r="I485" s="8"/>
      <c r="J485" s="66"/>
      <c r="K485" s="66"/>
      <c r="L485" s="66"/>
      <c r="M485" s="8"/>
      <c r="N485" s="66"/>
      <c r="O485" s="66"/>
      <c r="P485" s="66"/>
      <c r="Q485" s="8"/>
      <c r="R485" s="66"/>
      <c r="S485" s="66"/>
      <c r="T485" s="66"/>
      <c r="U485" s="8"/>
      <c r="V485" s="66"/>
      <c r="W485" s="66"/>
      <c r="X485" s="66"/>
      <c r="Y485" s="189"/>
      <c r="Z485" s="184"/>
      <c r="AA485" s="184"/>
      <c r="AB485" s="184"/>
      <c r="AC485" s="8"/>
      <c r="AD485" s="66"/>
      <c r="AE485" s="66"/>
      <c r="AF485" s="66"/>
      <c r="AG485" s="190"/>
      <c r="AH485" s="191"/>
      <c r="AI485" s="190"/>
      <c r="AJ485" s="190"/>
      <c r="AK485" s="66"/>
      <c r="AL485" s="66"/>
      <c r="AM485" s="66"/>
      <c r="AN485" s="66"/>
      <c r="AO485" s="66"/>
      <c r="AP485" s="66"/>
      <c r="AQ485" s="66"/>
      <c r="AR485" s="66"/>
      <c r="AS485" s="66"/>
      <c r="AT485" s="66"/>
    </row>
    <row r="486">
      <c r="A486" s="8"/>
      <c r="B486" s="66"/>
      <c r="C486" s="66"/>
      <c r="D486" s="66"/>
      <c r="E486" s="8"/>
      <c r="F486" s="66"/>
      <c r="G486" s="66"/>
      <c r="H486" s="66"/>
      <c r="I486" s="8"/>
      <c r="J486" s="66"/>
      <c r="K486" s="66"/>
      <c r="L486" s="66"/>
      <c r="M486" s="8"/>
      <c r="N486" s="66"/>
      <c r="O486" s="66"/>
      <c r="P486" s="66"/>
      <c r="Q486" s="8"/>
      <c r="R486" s="66"/>
      <c r="S486" s="66"/>
      <c r="T486" s="66"/>
      <c r="U486" s="8"/>
      <c r="V486" s="66"/>
      <c r="W486" s="66"/>
      <c r="X486" s="66"/>
      <c r="Y486" s="189"/>
      <c r="Z486" s="184"/>
      <c r="AA486" s="184"/>
      <c r="AB486" s="184"/>
      <c r="AC486" s="8"/>
      <c r="AD486" s="66"/>
      <c r="AE486" s="66"/>
      <c r="AF486" s="66"/>
      <c r="AG486" s="190"/>
      <c r="AH486" s="191"/>
      <c r="AI486" s="190"/>
      <c r="AJ486" s="190"/>
      <c r="AK486" s="66"/>
      <c r="AL486" s="66"/>
      <c r="AM486" s="66"/>
      <c r="AN486" s="66"/>
      <c r="AO486" s="66"/>
      <c r="AP486" s="66"/>
      <c r="AQ486" s="66"/>
      <c r="AR486" s="66"/>
      <c r="AS486" s="66"/>
      <c r="AT486" s="66"/>
    </row>
    <row r="487">
      <c r="A487" s="8"/>
      <c r="B487" s="66"/>
      <c r="C487" s="66"/>
      <c r="D487" s="66"/>
      <c r="E487" s="8"/>
      <c r="F487" s="66"/>
      <c r="G487" s="66"/>
      <c r="H487" s="66"/>
      <c r="I487" s="8"/>
      <c r="J487" s="66"/>
      <c r="K487" s="66"/>
      <c r="L487" s="66"/>
      <c r="M487" s="8"/>
      <c r="N487" s="66"/>
      <c r="O487" s="66"/>
      <c r="P487" s="66"/>
      <c r="Q487" s="8"/>
      <c r="R487" s="66"/>
      <c r="S487" s="66"/>
      <c r="T487" s="66"/>
      <c r="U487" s="8"/>
      <c r="V487" s="66"/>
      <c r="W487" s="66"/>
      <c r="X487" s="66"/>
      <c r="Y487" s="189"/>
      <c r="Z487" s="184"/>
      <c r="AA487" s="184"/>
      <c r="AB487" s="184"/>
      <c r="AC487" s="8"/>
      <c r="AD487" s="66"/>
      <c r="AE487" s="66"/>
      <c r="AF487" s="66"/>
      <c r="AG487" s="190"/>
      <c r="AH487" s="191"/>
      <c r="AI487" s="190"/>
      <c r="AJ487" s="190"/>
      <c r="AK487" s="66"/>
      <c r="AL487" s="66"/>
      <c r="AM487" s="66"/>
      <c r="AN487" s="66"/>
      <c r="AO487" s="66"/>
      <c r="AP487" s="66"/>
      <c r="AQ487" s="66"/>
      <c r="AR487" s="66"/>
      <c r="AS487" s="66"/>
      <c r="AT487" s="66"/>
    </row>
    <row r="488">
      <c r="A488" s="8"/>
      <c r="B488" s="66"/>
      <c r="C488" s="66"/>
      <c r="D488" s="66"/>
      <c r="E488" s="8"/>
      <c r="F488" s="66"/>
      <c r="G488" s="66"/>
      <c r="H488" s="66"/>
      <c r="I488" s="8"/>
      <c r="J488" s="66"/>
      <c r="K488" s="66"/>
      <c r="L488" s="66"/>
      <c r="M488" s="8"/>
      <c r="N488" s="66"/>
      <c r="O488" s="66"/>
      <c r="P488" s="66"/>
      <c r="Q488" s="8"/>
      <c r="R488" s="66"/>
      <c r="S488" s="66"/>
      <c r="T488" s="66"/>
      <c r="U488" s="8"/>
      <c r="V488" s="66"/>
      <c r="W488" s="66"/>
      <c r="X488" s="66"/>
      <c r="Y488" s="189"/>
      <c r="Z488" s="184"/>
      <c r="AA488" s="184"/>
      <c r="AB488" s="184"/>
      <c r="AC488" s="8"/>
      <c r="AD488" s="66"/>
      <c r="AE488" s="66"/>
      <c r="AF488" s="66"/>
      <c r="AG488" s="190"/>
      <c r="AH488" s="191"/>
      <c r="AI488" s="190"/>
      <c r="AJ488" s="190"/>
      <c r="AK488" s="66"/>
      <c r="AL488" s="66"/>
      <c r="AM488" s="66"/>
      <c r="AN488" s="66"/>
      <c r="AO488" s="66"/>
      <c r="AP488" s="66"/>
      <c r="AQ488" s="66"/>
      <c r="AR488" s="66"/>
      <c r="AS488" s="66"/>
      <c r="AT488" s="66"/>
    </row>
    <row r="489">
      <c r="A489" s="8"/>
      <c r="B489" s="66"/>
      <c r="C489" s="66"/>
      <c r="D489" s="66"/>
      <c r="E489" s="8"/>
      <c r="F489" s="66"/>
      <c r="G489" s="66"/>
      <c r="H489" s="66"/>
      <c r="I489" s="8"/>
      <c r="J489" s="66"/>
      <c r="K489" s="66"/>
      <c r="L489" s="66"/>
      <c r="M489" s="8"/>
      <c r="N489" s="66"/>
      <c r="O489" s="66"/>
      <c r="P489" s="66"/>
      <c r="Q489" s="8"/>
      <c r="R489" s="66"/>
      <c r="S489" s="66"/>
      <c r="T489" s="66"/>
      <c r="U489" s="8"/>
      <c r="V489" s="66"/>
      <c r="W489" s="66"/>
      <c r="X489" s="66"/>
      <c r="Y489" s="189"/>
      <c r="Z489" s="184"/>
      <c r="AA489" s="184"/>
      <c r="AB489" s="184"/>
      <c r="AC489" s="8"/>
      <c r="AD489" s="66"/>
      <c r="AE489" s="66"/>
      <c r="AF489" s="66"/>
      <c r="AG489" s="190"/>
      <c r="AH489" s="191"/>
      <c r="AI489" s="190"/>
      <c r="AJ489" s="190"/>
      <c r="AK489" s="66"/>
      <c r="AL489" s="66"/>
      <c r="AM489" s="66"/>
      <c r="AN489" s="66"/>
      <c r="AO489" s="66"/>
      <c r="AP489" s="66"/>
      <c r="AQ489" s="66"/>
      <c r="AR489" s="66"/>
      <c r="AS489" s="66"/>
      <c r="AT489" s="66"/>
    </row>
    <row r="490">
      <c r="A490" s="8"/>
      <c r="B490" s="66"/>
      <c r="C490" s="66"/>
      <c r="D490" s="66"/>
      <c r="E490" s="8"/>
      <c r="F490" s="66"/>
      <c r="G490" s="66"/>
      <c r="H490" s="66"/>
      <c r="I490" s="8"/>
      <c r="J490" s="66"/>
      <c r="K490" s="66"/>
      <c r="L490" s="66"/>
      <c r="M490" s="8"/>
      <c r="N490" s="66"/>
      <c r="O490" s="66"/>
      <c r="P490" s="66"/>
      <c r="Q490" s="8"/>
      <c r="R490" s="66"/>
      <c r="S490" s="66"/>
      <c r="T490" s="66"/>
      <c r="U490" s="8"/>
      <c r="V490" s="66"/>
      <c r="W490" s="66"/>
      <c r="X490" s="66"/>
      <c r="Y490" s="189"/>
      <c r="Z490" s="184"/>
      <c r="AA490" s="184"/>
      <c r="AB490" s="184"/>
      <c r="AC490" s="8"/>
      <c r="AD490" s="66"/>
      <c r="AE490" s="66"/>
      <c r="AF490" s="66"/>
      <c r="AG490" s="190"/>
      <c r="AH490" s="191"/>
      <c r="AI490" s="190"/>
      <c r="AJ490" s="190"/>
      <c r="AK490" s="66"/>
      <c r="AL490" s="66"/>
      <c r="AM490" s="66"/>
      <c r="AN490" s="66"/>
      <c r="AO490" s="66"/>
      <c r="AP490" s="66"/>
      <c r="AQ490" s="66"/>
      <c r="AR490" s="66"/>
      <c r="AS490" s="66"/>
      <c r="AT490" s="66"/>
    </row>
    <row r="491">
      <c r="A491" s="8"/>
      <c r="B491" s="66"/>
      <c r="C491" s="66"/>
      <c r="D491" s="66"/>
      <c r="E491" s="8"/>
      <c r="F491" s="66"/>
      <c r="G491" s="66"/>
      <c r="H491" s="66"/>
      <c r="I491" s="8"/>
      <c r="J491" s="66"/>
      <c r="K491" s="66"/>
      <c r="L491" s="66"/>
      <c r="M491" s="8"/>
      <c r="N491" s="66"/>
      <c r="O491" s="66"/>
      <c r="P491" s="66"/>
      <c r="Q491" s="8"/>
      <c r="R491" s="66"/>
      <c r="S491" s="66"/>
      <c r="T491" s="66"/>
      <c r="U491" s="8"/>
      <c r="V491" s="66"/>
      <c r="W491" s="66"/>
      <c r="X491" s="66"/>
      <c r="Y491" s="189"/>
      <c r="Z491" s="184"/>
      <c r="AA491" s="184"/>
      <c r="AB491" s="184"/>
      <c r="AC491" s="8"/>
      <c r="AD491" s="66"/>
      <c r="AE491" s="66"/>
      <c r="AF491" s="66"/>
      <c r="AG491" s="190"/>
      <c r="AH491" s="191"/>
      <c r="AI491" s="190"/>
      <c r="AJ491" s="190"/>
      <c r="AK491" s="66"/>
      <c r="AL491" s="66"/>
      <c r="AM491" s="66"/>
      <c r="AN491" s="66"/>
      <c r="AO491" s="66"/>
      <c r="AP491" s="66"/>
      <c r="AQ491" s="66"/>
      <c r="AR491" s="66"/>
      <c r="AS491" s="66"/>
      <c r="AT491" s="66"/>
    </row>
    <row r="492">
      <c r="A492" s="8"/>
      <c r="B492" s="66"/>
      <c r="C492" s="66"/>
      <c r="D492" s="66"/>
      <c r="E492" s="8"/>
      <c r="F492" s="66"/>
      <c r="G492" s="66"/>
      <c r="H492" s="66"/>
      <c r="I492" s="8"/>
      <c r="J492" s="66"/>
      <c r="K492" s="66"/>
      <c r="L492" s="66"/>
      <c r="M492" s="8"/>
      <c r="N492" s="66"/>
      <c r="O492" s="66"/>
      <c r="P492" s="66"/>
      <c r="Q492" s="8"/>
      <c r="R492" s="66"/>
      <c r="S492" s="66"/>
      <c r="T492" s="66"/>
      <c r="U492" s="8"/>
      <c r="V492" s="66"/>
      <c r="W492" s="66"/>
      <c r="X492" s="66"/>
      <c r="Y492" s="189"/>
      <c r="Z492" s="184"/>
      <c r="AA492" s="184"/>
      <c r="AB492" s="184"/>
      <c r="AC492" s="8"/>
      <c r="AD492" s="66"/>
      <c r="AE492" s="66"/>
      <c r="AF492" s="66"/>
      <c r="AG492" s="190"/>
      <c r="AH492" s="191"/>
      <c r="AI492" s="190"/>
      <c r="AJ492" s="190"/>
      <c r="AK492" s="66"/>
      <c r="AL492" s="66"/>
      <c r="AM492" s="66"/>
      <c r="AN492" s="66"/>
      <c r="AO492" s="66"/>
      <c r="AP492" s="66"/>
      <c r="AQ492" s="66"/>
      <c r="AR492" s="66"/>
      <c r="AS492" s="66"/>
      <c r="AT492" s="66"/>
    </row>
    <row r="493">
      <c r="A493" s="8"/>
      <c r="B493" s="66"/>
      <c r="C493" s="66"/>
      <c r="D493" s="66"/>
      <c r="E493" s="8"/>
      <c r="F493" s="66"/>
      <c r="G493" s="66"/>
      <c r="H493" s="66"/>
      <c r="I493" s="8"/>
      <c r="J493" s="66"/>
      <c r="K493" s="66"/>
      <c r="L493" s="66"/>
      <c r="M493" s="8"/>
      <c r="N493" s="66"/>
      <c r="O493" s="66"/>
      <c r="P493" s="66"/>
      <c r="Q493" s="8"/>
      <c r="R493" s="66"/>
      <c r="S493" s="66"/>
      <c r="T493" s="66"/>
      <c r="U493" s="8"/>
      <c r="V493" s="66"/>
      <c r="W493" s="66"/>
      <c r="X493" s="66"/>
      <c r="Y493" s="189"/>
      <c r="Z493" s="184"/>
      <c r="AA493" s="184"/>
      <c r="AB493" s="184"/>
      <c r="AC493" s="8"/>
      <c r="AD493" s="66"/>
      <c r="AE493" s="66"/>
      <c r="AF493" s="66"/>
      <c r="AG493" s="190"/>
      <c r="AH493" s="191"/>
      <c r="AI493" s="190"/>
      <c r="AJ493" s="190"/>
      <c r="AK493" s="66"/>
      <c r="AL493" s="66"/>
      <c r="AM493" s="66"/>
      <c r="AN493" s="66"/>
      <c r="AO493" s="66"/>
      <c r="AP493" s="66"/>
      <c r="AQ493" s="66"/>
      <c r="AR493" s="66"/>
      <c r="AS493" s="66"/>
      <c r="AT493" s="66"/>
    </row>
    <row r="494">
      <c r="A494" s="8"/>
      <c r="B494" s="66"/>
      <c r="C494" s="66"/>
      <c r="D494" s="66"/>
      <c r="E494" s="8"/>
      <c r="F494" s="66"/>
      <c r="G494" s="66"/>
      <c r="H494" s="66"/>
      <c r="I494" s="8"/>
      <c r="J494" s="66"/>
      <c r="K494" s="66"/>
      <c r="L494" s="66"/>
      <c r="M494" s="8"/>
      <c r="N494" s="66"/>
      <c r="O494" s="66"/>
      <c r="P494" s="66"/>
      <c r="Q494" s="8"/>
      <c r="R494" s="66"/>
      <c r="S494" s="66"/>
      <c r="T494" s="66"/>
      <c r="U494" s="8"/>
      <c r="V494" s="66"/>
      <c r="W494" s="66"/>
      <c r="X494" s="66"/>
      <c r="Y494" s="189"/>
      <c r="Z494" s="184"/>
      <c r="AA494" s="184"/>
      <c r="AB494" s="184"/>
      <c r="AC494" s="8"/>
      <c r="AD494" s="66"/>
      <c r="AE494" s="66"/>
      <c r="AF494" s="66"/>
      <c r="AG494" s="190"/>
      <c r="AH494" s="191"/>
      <c r="AI494" s="190"/>
      <c r="AJ494" s="190"/>
      <c r="AK494" s="66"/>
      <c r="AL494" s="66"/>
      <c r="AM494" s="66"/>
      <c r="AN494" s="66"/>
      <c r="AO494" s="66"/>
      <c r="AP494" s="66"/>
      <c r="AQ494" s="66"/>
      <c r="AR494" s="66"/>
      <c r="AS494" s="66"/>
      <c r="AT494" s="66"/>
    </row>
    <row r="495">
      <c r="A495" s="8"/>
      <c r="B495" s="66"/>
      <c r="C495" s="66"/>
      <c r="D495" s="66"/>
      <c r="E495" s="8"/>
      <c r="F495" s="66"/>
      <c r="G495" s="66"/>
      <c r="H495" s="66"/>
      <c r="I495" s="8"/>
      <c r="J495" s="66"/>
      <c r="K495" s="66"/>
      <c r="L495" s="66"/>
      <c r="M495" s="8"/>
      <c r="N495" s="66"/>
      <c r="O495" s="66"/>
      <c r="P495" s="66"/>
      <c r="Q495" s="8"/>
      <c r="R495" s="66"/>
      <c r="S495" s="66"/>
      <c r="T495" s="66"/>
      <c r="U495" s="8"/>
      <c r="V495" s="66"/>
      <c r="W495" s="66"/>
      <c r="X495" s="66"/>
      <c r="Y495" s="189"/>
      <c r="Z495" s="184"/>
      <c r="AA495" s="184"/>
      <c r="AB495" s="184"/>
      <c r="AC495" s="8"/>
      <c r="AD495" s="66"/>
      <c r="AE495" s="66"/>
      <c r="AF495" s="66"/>
      <c r="AG495" s="190"/>
      <c r="AH495" s="191"/>
      <c r="AI495" s="190"/>
      <c r="AJ495" s="190"/>
      <c r="AK495" s="66"/>
      <c r="AL495" s="66"/>
      <c r="AM495" s="66"/>
      <c r="AN495" s="66"/>
      <c r="AO495" s="66"/>
      <c r="AP495" s="66"/>
      <c r="AQ495" s="66"/>
      <c r="AR495" s="66"/>
      <c r="AS495" s="66"/>
      <c r="AT495" s="66"/>
    </row>
    <row r="496">
      <c r="A496" s="8"/>
      <c r="B496" s="66"/>
      <c r="C496" s="66"/>
      <c r="D496" s="66"/>
      <c r="E496" s="8"/>
      <c r="F496" s="66"/>
      <c r="G496" s="66"/>
      <c r="H496" s="66"/>
      <c r="I496" s="8"/>
      <c r="J496" s="66"/>
      <c r="K496" s="66"/>
      <c r="L496" s="66"/>
      <c r="M496" s="8"/>
      <c r="N496" s="66"/>
      <c r="O496" s="66"/>
      <c r="P496" s="66"/>
      <c r="Q496" s="8"/>
      <c r="R496" s="66"/>
      <c r="S496" s="66"/>
      <c r="T496" s="66"/>
      <c r="U496" s="8"/>
      <c r="V496" s="66"/>
      <c r="W496" s="66"/>
      <c r="X496" s="66"/>
      <c r="Y496" s="189"/>
      <c r="Z496" s="184"/>
      <c r="AA496" s="184"/>
      <c r="AB496" s="184"/>
      <c r="AC496" s="8"/>
      <c r="AD496" s="66"/>
      <c r="AE496" s="66"/>
      <c r="AF496" s="66"/>
      <c r="AG496" s="190"/>
      <c r="AH496" s="191"/>
      <c r="AI496" s="190"/>
      <c r="AJ496" s="190"/>
      <c r="AK496" s="66"/>
      <c r="AL496" s="66"/>
      <c r="AM496" s="66"/>
      <c r="AN496" s="66"/>
      <c r="AO496" s="66"/>
      <c r="AP496" s="66"/>
      <c r="AQ496" s="66"/>
      <c r="AR496" s="66"/>
      <c r="AS496" s="66"/>
      <c r="AT496" s="66"/>
    </row>
    <row r="497">
      <c r="A497" s="8"/>
      <c r="B497" s="66"/>
      <c r="C497" s="66"/>
      <c r="D497" s="66"/>
      <c r="E497" s="8"/>
      <c r="F497" s="66"/>
      <c r="G497" s="66"/>
      <c r="H497" s="66"/>
      <c r="I497" s="8"/>
      <c r="J497" s="66"/>
      <c r="K497" s="66"/>
      <c r="L497" s="66"/>
      <c r="M497" s="8"/>
      <c r="N497" s="66"/>
      <c r="O497" s="66"/>
      <c r="P497" s="66"/>
      <c r="Q497" s="8"/>
      <c r="R497" s="66"/>
      <c r="S497" s="66"/>
      <c r="T497" s="66"/>
      <c r="U497" s="8"/>
      <c r="V497" s="66"/>
      <c r="W497" s="66"/>
      <c r="X497" s="66"/>
      <c r="Y497" s="189"/>
      <c r="Z497" s="184"/>
      <c r="AA497" s="184"/>
      <c r="AB497" s="184"/>
      <c r="AC497" s="8"/>
      <c r="AD497" s="66"/>
      <c r="AE497" s="66"/>
      <c r="AF497" s="66"/>
      <c r="AG497" s="190"/>
      <c r="AH497" s="191"/>
      <c r="AI497" s="190"/>
      <c r="AJ497" s="190"/>
      <c r="AK497" s="66"/>
      <c r="AL497" s="66"/>
      <c r="AM497" s="66"/>
      <c r="AN497" s="66"/>
      <c r="AO497" s="66"/>
      <c r="AP497" s="66"/>
      <c r="AQ497" s="66"/>
      <c r="AR497" s="66"/>
      <c r="AS497" s="66"/>
      <c r="AT497" s="66"/>
    </row>
    <row r="498">
      <c r="A498" s="8"/>
      <c r="B498" s="66"/>
      <c r="C498" s="66"/>
      <c r="D498" s="66"/>
      <c r="E498" s="8"/>
      <c r="F498" s="66"/>
      <c r="G498" s="66"/>
      <c r="H498" s="66"/>
      <c r="I498" s="8"/>
      <c r="J498" s="66"/>
      <c r="K498" s="66"/>
      <c r="L498" s="66"/>
      <c r="M498" s="8"/>
      <c r="N498" s="66"/>
      <c r="O498" s="66"/>
      <c r="P498" s="66"/>
      <c r="Q498" s="8"/>
      <c r="R498" s="66"/>
      <c r="S498" s="66"/>
      <c r="T498" s="66"/>
      <c r="U498" s="8"/>
      <c r="V498" s="66"/>
      <c r="W498" s="66"/>
      <c r="X498" s="66"/>
      <c r="Y498" s="189"/>
      <c r="Z498" s="184"/>
      <c r="AA498" s="184"/>
      <c r="AB498" s="184"/>
      <c r="AC498" s="8"/>
      <c r="AD498" s="66"/>
      <c r="AE498" s="66"/>
      <c r="AF498" s="66"/>
      <c r="AG498" s="190"/>
      <c r="AH498" s="191"/>
      <c r="AI498" s="190"/>
      <c r="AJ498" s="190"/>
      <c r="AK498" s="66"/>
      <c r="AL498" s="66"/>
      <c r="AM498" s="66"/>
      <c r="AN498" s="66"/>
      <c r="AO498" s="66"/>
      <c r="AP498" s="66"/>
      <c r="AQ498" s="66"/>
      <c r="AR498" s="66"/>
      <c r="AS498" s="66"/>
      <c r="AT498" s="66"/>
    </row>
    <row r="499">
      <c r="A499" s="8"/>
      <c r="B499" s="66"/>
      <c r="C499" s="66"/>
      <c r="D499" s="66"/>
      <c r="E499" s="8"/>
      <c r="F499" s="66"/>
      <c r="G499" s="66"/>
      <c r="H499" s="66"/>
      <c r="I499" s="8"/>
      <c r="J499" s="66"/>
      <c r="K499" s="66"/>
      <c r="L499" s="66"/>
      <c r="M499" s="8"/>
      <c r="N499" s="66"/>
      <c r="O499" s="66"/>
      <c r="P499" s="66"/>
      <c r="Q499" s="8"/>
      <c r="R499" s="66"/>
      <c r="S499" s="66"/>
      <c r="T499" s="66"/>
      <c r="U499" s="8"/>
      <c r="V499" s="66"/>
      <c r="W499" s="66"/>
      <c r="X499" s="66"/>
      <c r="Y499" s="189"/>
      <c r="Z499" s="184"/>
      <c r="AA499" s="184"/>
      <c r="AB499" s="184"/>
      <c r="AC499" s="8"/>
      <c r="AD499" s="66"/>
      <c r="AE499" s="66"/>
      <c r="AF499" s="66"/>
      <c r="AG499" s="190"/>
      <c r="AH499" s="191"/>
      <c r="AI499" s="190"/>
      <c r="AJ499" s="190"/>
      <c r="AK499" s="66"/>
      <c r="AL499" s="66"/>
      <c r="AM499" s="66"/>
      <c r="AN499" s="66"/>
      <c r="AO499" s="66"/>
      <c r="AP499" s="66"/>
      <c r="AQ499" s="66"/>
      <c r="AR499" s="66"/>
      <c r="AS499" s="66"/>
      <c r="AT499" s="66"/>
    </row>
    <row r="500">
      <c r="A500" s="8"/>
      <c r="B500" s="66"/>
      <c r="C500" s="66"/>
      <c r="D500" s="66"/>
      <c r="E500" s="8"/>
      <c r="F500" s="66"/>
      <c r="G500" s="66"/>
      <c r="H500" s="66"/>
      <c r="I500" s="8"/>
      <c r="J500" s="66"/>
      <c r="K500" s="66"/>
      <c r="L500" s="66"/>
      <c r="M500" s="8"/>
      <c r="N500" s="66"/>
      <c r="O500" s="66"/>
      <c r="P500" s="66"/>
      <c r="Q500" s="8"/>
      <c r="R500" s="66"/>
      <c r="S500" s="66"/>
      <c r="T500" s="66"/>
      <c r="U500" s="8"/>
      <c r="V500" s="66"/>
      <c r="W500" s="66"/>
      <c r="X500" s="66"/>
      <c r="Y500" s="189"/>
      <c r="Z500" s="184"/>
      <c r="AA500" s="184"/>
      <c r="AB500" s="184"/>
      <c r="AC500" s="8"/>
      <c r="AD500" s="66"/>
      <c r="AE500" s="66"/>
      <c r="AF500" s="66"/>
      <c r="AG500" s="190"/>
      <c r="AH500" s="191"/>
      <c r="AI500" s="190"/>
      <c r="AJ500" s="190"/>
      <c r="AK500" s="66"/>
      <c r="AL500" s="66"/>
      <c r="AM500" s="66"/>
      <c r="AN500" s="66"/>
      <c r="AO500" s="66"/>
      <c r="AP500" s="66"/>
      <c r="AQ500" s="66"/>
      <c r="AR500" s="66"/>
      <c r="AS500" s="66"/>
      <c r="AT500" s="66"/>
    </row>
    <row r="501">
      <c r="A501" s="8"/>
      <c r="B501" s="66"/>
      <c r="C501" s="66"/>
      <c r="D501" s="66"/>
      <c r="E501" s="8"/>
      <c r="F501" s="66"/>
      <c r="G501" s="66"/>
      <c r="H501" s="66"/>
      <c r="I501" s="8"/>
      <c r="J501" s="66"/>
      <c r="K501" s="66"/>
      <c r="L501" s="66"/>
      <c r="M501" s="8"/>
      <c r="N501" s="66"/>
      <c r="O501" s="66"/>
      <c r="P501" s="66"/>
      <c r="Q501" s="8"/>
      <c r="R501" s="66"/>
      <c r="S501" s="66"/>
      <c r="T501" s="66"/>
      <c r="U501" s="8"/>
      <c r="V501" s="66"/>
      <c r="W501" s="66"/>
      <c r="X501" s="66"/>
      <c r="Y501" s="189"/>
      <c r="Z501" s="184"/>
      <c r="AA501" s="184"/>
      <c r="AB501" s="184"/>
      <c r="AC501" s="8"/>
      <c r="AD501" s="66"/>
      <c r="AE501" s="66"/>
      <c r="AF501" s="66"/>
      <c r="AG501" s="190"/>
      <c r="AH501" s="191"/>
      <c r="AI501" s="190"/>
      <c r="AJ501" s="190"/>
      <c r="AK501" s="66"/>
      <c r="AL501" s="66"/>
      <c r="AM501" s="66"/>
      <c r="AN501" s="66"/>
      <c r="AO501" s="66"/>
      <c r="AP501" s="66"/>
      <c r="AQ501" s="66"/>
      <c r="AR501" s="66"/>
      <c r="AS501" s="66"/>
      <c r="AT501" s="66"/>
    </row>
    <row r="502">
      <c r="A502" s="8"/>
      <c r="B502" s="66"/>
      <c r="C502" s="66"/>
      <c r="D502" s="66"/>
      <c r="E502" s="8"/>
      <c r="F502" s="66"/>
      <c r="G502" s="66"/>
      <c r="H502" s="66"/>
      <c r="I502" s="8"/>
      <c r="J502" s="66"/>
      <c r="K502" s="66"/>
      <c r="L502" s="66"/>
      <c r="M502" s="8"/>
      <c r="N502" s="66"/>
      <c r="O502" s="66"/>
      <c r="P502" s="66"/>
      <c r="Q502" s="8"/>
      <c r="R502" s="66"/>
      <c r="S502" s="66"/>
      <c r="T502" s="66"/>
      <c r="U502" s="8"/>
      <c r="V502" s="66"/>
      <c r="W502" s="66"/>
      <c r="X502" s="66"/>
      <c r="Y502" s="189"/>
      <c r="Z502" s="184"/>
      <c r="AA502" s="184"/>
      <c r="AB502" s="184"/>
      <c r="AC502" s="8"/>
      <c r="AD502" s="66"/>
      <c r="AE502" s="66"/>
      <c r="AF502" s="66"/>
      <c r="AG502" s="190"/>
      <c r="AH502" s="191"/>
      <c r="AI502" s="190"/>
      <c r="AJ502" s="190"/>
      <c r="AK502" s="66"/>
      <c r="AL502" s="66"/>
      <c r="AM502" s="66"/>
      <c r="AN502" s="66"/>
      <c r="AO502" s="66"/>
      <c r="AP502" s="66"/>
      <c r="AQ502" s="66"/>
      <c r="AR502" s="66"/>
      <c r="AS502" s="66"/>
      <c r="AT502" s="66"/>
    </row>
    <row r="503">
      <c r="A503" s="8"/>
      <c r="B503" s="66"/>
      <c r="C503" s="66"/>
      <c r="D503" s="66"/>
      <c r="E503" s="8"/>
      <c r="F503" s="66"/>
      <c r="G503" s="66"/>
      <c r="H503" s="66"/>
      <c r="I503" s="8"/>
      <c r="J503" s="66"/>
      <c r="K503" s="66"/>
      <c r="L503" s="66"/>
      <c r="M503" s="8"/>
      <c r="N503" s="66"/>
      <c r="O503" s="66"/>
      <c r="P503" s="66"/>
      <c r="Q503" s="8"/>
      <c r="R503" s="66"/>
      <c r="S503" s="66"/>
      <c r="T503" s="66"/>
      <c r="U503" s="8"/>
      <c r="V503" s="66"/>
      <c r="W503" s="66"/>
      <c r="X503" s="66"/>
      <c r="Y503" s="189"/>
      <c r="Z503" s="184"/>
      <c r="AA503" s="184"/>
      <c r="AB503" s="184"/>
      <c r="AC503" s="8"/>
      <c r="AD503" s="66"/>
      <c r="AE503" s="66"/>
      <c r="AF503" s="66"/>
      <c r="AG503" s="190"/>
      <c r="AH503" s="191"/>
      <c r="AI503" s="190"/>
      <c r="AJ503" s="190"/>
      <c r="AK503" s="66"/>
      <c r="AL503" s="66"/>
      <c r="AM503" s="66"/>
      <c r="AN503" s="66"/>
      <c r="AO503" s="66"/>
      <c r="AP503" s="66"/>
      <c r="AQ503" s="66"/>
      <c r="AR503" s="66"/>
      <c r="AS503" s="66"/>
      <c r="AT503" s="66"/>
    </row>
    <row r="504">
      <c r="A504" s="8"/>
      <c r="B504" s="66"/>
      <c r="C504" s="66"/>
      <c r="D504" s="66"/>
      <c r="E504" s="8"/>
      <c r="F504" s="66"/>
      <c r="G504" s="66"/>
      <c r="H504" s="66"/>
      <c r="I504" s="8"/>
      <c r="J504" s="66"/>
      <c r="K504" s="66"/>
      <c r="L504" s="66"/>
      <c r="M504" s="8"/>
      <c r="N504" s="66"/>
      <c r="O504" s="66"/>
      <c r="P504" s="66"/>
      <c r="Q504" s="8"/>
      <c r="R504" s="66"/>
      <c r="S504" s="66"/>
      <c r="T504" s="66"/>
      <c r="U504" s="8"/>
      <c r="V504" s="66"/>
      <c r="W504" s="66"/>
      <c r="X504" s="66"/>
      <c r="Y504" s="189"/>
      <c r="Z504" s="184"/>
      <c r="AA504" s="184"/>
      <c r="AB504" s="184"/>
      <c r="AC504" s="8"/>
      <c r="AD504" s="66"/>
      <c r="AE504" s="66"/>
      <c r="AF504" s="66"/>
      <c r="AG504" s="190"/>
      <c r="AH504" s="191"/>
      <c r="AI504" s="190"/>
      <c r="AJ504" s="190"/>
      <c r="AK504" s="66"/>
      <c r="AL504" s="66"/>
      <c r="AM504" s="66"/>
      <c r="AN504" s="66"/>
      <c r="AO504" s="66"/>
      <c r="AP504" s="66"/>
      <c r="AQ504" s="66"/>
      <c r="AR504" s="66"/>
      <c r="AS504" s="66"/>
      <c r="AT504" s="66"/>
    </row>
    <row r="505">
      <c r="A505" s="8"/>
      <c r="B505" s="66"/>
      <c r="C505" s="66"/>
      <c r="D505" s="66"/>
      <c r="E505" s="8"/>
      <c r="F505" s="66"/>
      <c r="G505" s="66"/>
      <c r="H505" s="66"/>
      <c r="I505" s="8"/>
      <c r="J505" s="66"/>
      <c r="K505" s="66"/>
      <c r="L505" s="66"/>
      <c r="M505" s="8"/>
      <c r="N505" s="66"/>
      <c r="O505" s="66"/>
      <c r="P505" s="66"/>
      <c r="Q505" s="8"/>
      <c r="R505" s="66"/>
      <c r="S505" s="66"/>
      <c r="T505" s="66"/>
      <c r="U505" s="8"/>
      <c r="V505" s="66"/>
      <c r="W505" s="66"/>
      <c r="X505" s="66"/>
      <c r="Y505" s="189"/>
      <c r="Z505" s="184"/>
      <c r="AA505" s="184"/>
      <c r="AB505" s="184"/>
      <c r="AC505" s="8"/>
      <c r="AD505" s="66"/>
      <c r="AE505" s="66"/>
      <c r="AF505" s="66"/>
      <c r="AG505" s="190"/>
      <c r="AH505" s="191"/>
      <c r="AI505" s="190"/>
      <c r="AJ505" s="190"/>
      <c r="AK505" s="66"/>
      <c r="AL505" s="66"/>
      <c r="AM505" s="66"/>
      <c r="AN505" s="66"/>
      <c r="AO505" s="66"/>
      <c r="AP505" s="66"/>
      <c r="AQ505" s="66"/>
      <c r="AR505" s="66"/>
      <c r="AS505" s="66"/>
      <c r="AT505" s="66"/>
    </row>
    <row r="506">
      <c r="A506" s="8"/>
      <c r="B506" s="66"/>
      <c r="C506" s="66"/>
      <c r="D506" s="66"/>
      <c r="E506" s="8"/>
      <c r="F506" s="66"/>
      <c r="G506" s="66"/>
      <c r="H506" s="66"/>
      <c r="I506" s="8"/>
      <c r="J506" s="66"/>
      <c r="K506" s="66"/>
      <c r="L506" s="66"/>
      <c r="M506" s="8"/>
      <c r="N506" s="66"/>
      <c r="O506" s="66"/>
      <c r="P506" s="66"/>
      <c r="Q506" s="8"/>
      <c r="R506" s="66"/>
      <c r="S506" s="66"/>
      <c r="T506" s="66"/>
      <c r="U506" s="8"/>
      <c r="V506" s="66"/>
      <c r="W506" s="66"/>
      <c r="X506" s="66"/>
      <c r="Y506" s="189"/>
      <c r="Z506" s="184"/>
      <c r="AA506" s="184"/>
      <c r="AB506" s="184"/>
      <c r="AC506" s="8"/>
      <c r="AD506" s="66"/>
      <c r="AE506" s="66"/>
      <c r="AF506" s="66"/>
      <c r="AG506" s="190"/>
      <c r="AH506" s="191"/>
      <c r="AI506" s="190"/>
      <c r="AJ506" s="190"/>
      <c r="AK506" s="66"/>
      <c r="AL506" s="66"/>
      <c r="AM506" s="66"/>
      <c r="AN506" s="66"/>
      <c r="AO506" s="66"/>
      <c r="AP506" s="66"/>
      <c r="AQ506" s="66"/>
      <c r="AR506" s="66"/>
      <c r="AS506" s="66"/>
      <c r="AT506" s="66"/>
    </row>
    <row r="507">
      <c r="A507" s="8"/>
      <c r="B507" s="66"/>
      <c r="C507" s="66"/>
      <c r="D507" s="66"/>
      <c r="E507" s="8"/>
      <c r="F507" s="66"/>
      <c r="G507" s="66"/>
      <c r="H507" s="66"/>
      <c r="I507" s="8"/>
      <c r="J507" s="66"/>
      <c r="K507" s="66"/>
      <c r="L507" s="66"/>
      <c r="M507" s="8"/>
      <c r="N507" s="66"/>
      <c r="O507" s="66"/>
      <c r="P507" s="66"/>
      <c r="Q507" s="8"/>
      <c r="R507" s="66"/>
      <c r="S507" s="66"/>
      <c r="T507" s="66"/>
      <c r="U507" s="8"/>
      <c r="V507" s="66"/>
      <c r="W507" s="66"/>
      <c r="X507" s="66"/>
      <c r="Y507" s="189"/>
      <c r="Z507" s="184"/>
      <c r="AA507" s="184"/>
      <c r="AB507" s="184"/>
      <c r="AC507" s="8"/>
      <c r="AD507" s="66"/>
      <c r="AE507" s="66"/>
      <c r="AF507" s="66"/>
      <c r="AG507" s="190"/>
      <c r="AH507" s="191"/>
      <c r="AI507" s="190"/>
      <c r="AJ507" s="190"/>
      <c r="AK507" s="66"/>
      <c r="AL507" s="66"/>
      <c r="AM507" s="66"/>
      <c r="AN507" s="66"/>
      <c r="AO507" s="66"/>
      <c r="AP507" s="66"/>
      <c r="AQ507" s="66"/>
      <c r="AR507" s="66"/>
      <c r="AS507" s="66"/>
      <c r="AT507" s="66"/>
    </row>
    <row r="508">
      <c r="A508" s="8"/>
      <c r="B508" s="66"/>
      <c r="C508" s="66"/>
      <c r="D508" s="66"/>
      <c r="E508" s="8"/>
      <c r="F508" s="66"/>
      <c r="G508" s="66"/>
      <c r="H508" s="66"/>
      <c r="I508" s="8"/>
      <c r="J508" s="66"/>
      <c r="K508" s="66"/>
      <c r="L508" s="66"/>
      <c r="M508" s="8"/>
      <c r="N508" s="66"/>
      <c r="O508" s="66"/>
      <c r="P508" s="66"/>
      <c r="Q508" s="8"/>
      <c r="R508" s="66"/>
      <c r="S508" s="66"/>
      <c r="T508" s="66"/>
      <c r="U508" s="8"/>
      <c r="V508" s="66"/>
      <c r="W508" s="66"/>
      <c r="X508" s="66"/>
      <c r="Y508" s="189"/>
      <c r="Z508" s="184"/>
      <c r="AA508" s="184"/>
      <c r="AB508" s="184"/>
      <c r="AC508" s="8"/>
      <c r="AD508" s="66"/>
      <c r="AE508" s="66"/>
      <c r="AF508" s="66"/>
      <c r="AG508" s="190"/>
      <c r="AH508" s="191"/>
      <c r="AI508" s="190"/>
      <c r="AJ508" s="190"/>
      <c r="AK508" s="66"/>
      <c r="AL508" s="66"/>
      <c r="AM508" s="66"/>
      <c r="AN508" s="66"/>
      <c r="AO508" s="66"/>
      <c r="AP508" s="66"/>
      <c r="AQ508" s="66"/>
      <c r="AR508" s="66"/>
      <c r="AS508" s="66"/>
      <c r="AT508" s="66"/>
    </row>
    <row r="509">
      <c r="A509" s="8"/>
      <c r="B509" s="66"/>
      <c r="C509" s="66"/>
      <c r="D509" s="66"/>
      <c r="E509" s="8"/>
      <c r="F509" s="66"/>
      <c r="G509" s="66"/>
      <c r="H509" s="66"/>
      <c r="I509" s="8"/>
      <c r="J509" s="66"/>
      <c r="K509" s="66"/>
      <c r="L509" s="66"/>
      <c r="M509" s="8"/>
      <c r="N509" s="66"/>
      <c r="O509" s="66"/>
      <c r="P509" s="66"/>
      <c r="Q509" s="8"/>
      <c r="R509" s="66"/>
      <c r="S509" s="66"/>
      <c r="T509" s="66"/>
      <c r="U509" s="8"/>
      <c r="V509" s="66"/>
      <c r="W509" s="66"/>
      <c r="X509" s="66"/>
      <c r="Y509" s="189"/>
      <c r="Z509" s="184"/>
      <c r="AA509" s="184"/>
      <c r="AB509" s="184"/>
      <c r="AC509" s="8"/>
      <c r="AD509" s="66"/>
      <c r="AE509" s="66"/>
      <c r="AF509" s="66"/>
      <c r="AG509" s="190"/>
      <c r="AH509" s="191"/>
      <c r="AI509" s="190"/>
      <c r="AJ509" s="190"/>
      <c r="AK509" s="66"/>
      <c r="AL509" s="66"/>
      <c r="AM509" s="66"/>
      <c r="AN509" s="66"/>
      <c r="AO509" s="66"/>
      <c r="AP509" s="66"/>
      <c r="AQ509" s="66"/>
      <c r="AR509" s="66"/>
      <c r="AS509" s="66"/>
      <c r="AT509" s="66"/>
    </row>
    <row r="510">
      <c r="A510" s="8"/>
      <c r="B510" s="66"/>
      <c r="C510" s="66"/>
      <c r="D510" s="66"/>
      <c r="E510" s="8"/>
      <c r="F510" s="66"/>
      <c r="G510" s="66"/>
      <c r="H510" s="66"/>
      <c r="I510" s="8"/>
      <c r="J510" s="66"/>
      <c r="K510" s="66"/>
      <c r="L510" s="66"/>
      <c r="M510" s="8"/>
      <c r="N510" s="66"/>
      <c r="O510" s="66"/>
      <c r="P510" s="66"/>
      <c r="Q510" s="8"/>
      <c r="R510" s="66"/>
      <c r="S510" s="66"/>
      <c r="T510" s="66"/>
      <c r="U510" s="8"/>
      <c r="V510" s="66"/>
      <c r="W510" s="66"/>
      <c r="X510" s="66"/>
      <c r="Y510" s="189"/>
      <c r="Z510" s="184"/>
      <c r="AA510" s="184"/>
      <c r="AB510" s="184"/>
      <c r="AC510" s="8"/>
      <c r="AD510" s="66"/>
      <c r="AE510" s="66"/>
      <c r="AF510" s="66"/>
      <c r="AG510" s="190"/>
      <c r="AH510" s="191"/>
      <c r="AI510" s="190"/>
      <c r="AJ510" s="190"/>
      <c r="AK510" s="66"/>
      <c r="AL510" s="66"/>
      <c r="AM510" s="66"/>
      <c r="AN510" s="66"/>
      <c r="AO510" s="66"/>
      <c r="AP510" s="66"/>
      <c r="AQ510" s="66"/>
      <c r="AR510" s="66"/>
      <c r="AS510" s="66"/>
      <c r="AT510" s="66"/>
    </row>
    <row r="511">
      <c r="A511" s="8"/>
      <c r="B511" s="66"/>
      <c r="C511" s="66"/>
      <c r="D511" s="66"/>
      <c r="E511" s="8"/>
      <c r="F511" s="66"/>
      <c r="G511" s="66"/>
      <c r="H511" s="66"/>
      <c r="I511" s="8"/>
      <c r="J511" s="66"/>
      <c r="K511" s="66"/>
      <c r="L511" s="66"/>
      <c r="M511" s="8"/>
      <c r="N511" s="66"/>
      <c r="O511" s="66"/>
      <c r="P511" s="66"/>
      <c r="Q511" s="8"/>
      <c r="R511" s="66"/>
      <c r="S511" s="66"/>
      <c r="T511" s="66"/>
      <c r="U511" s="8"/>
      <c r="V511" s="66"/>
      <c r="W511" s="66"/>
      <c r="X511" s="66"/>
      <c r="Y511" s="189"/>
      <c r="Z511" s="184"/>
      <c r="AA511" s="184"/>
      <c r="AB511" s="184"/>
      <c r="AC511" s="8"/>
      <c r="AD511" s="66"/>
      <c r="AE511" s="66"/>
      <c r="AF511" s="66"/>
      <c r="AG511" s="190"/>
      <c r="AH511" s="191"/>
      <c r="AI511" s="190"/>
      <c r="AJ511" s="190"/>
      <c r="AK511" s="66"/>
      <c r="AL511" s="66"/>
      <c r="AM511" s="66"/>
      <c r="AN511" s="66"/>
      <c r="AO511" s="66"/>
      <c r="AP511" s="66"/>
      <c r="AQ511" s="66"/>
      <c r="AR511" s="66"/>
      <c r="AS511" s="66"/>
      <c r="AT511" s="66"/>
    </row>
    <row r="512">
      <c r="A512" s="8"/>
      <c r="B512" s="66"/>
      <c r="C512" s="66"/>
      <c r="D512" s="66"/>
      <c r="E512" s="8"/>
      <c r="F512" s="66"/>
      <c r="G512" s="66"/>
      <c r="H512" s="66"/>
      <c r="I512" s="8"/>
      <c r="J512" s="66"/>
      <c r="K512" s="66"/>
      <c r="L512" s="66"/>
      <c r="M512" s="8"/>
      <c r="N512" s="66"/>
      <c r="O512" s="66"/>
      <c r="P512" s="66"/>
      <c r="Q512" s="8"/>
      <c r="R512" s="66"/>
      <c r="S512" s="66"/>
      <c r="T512" s="66"/>
      <c r="U512" s="8"/>
      <c r="V512" s="66"/>
      <c r="W512" s="66"/>
      <c r="X512" s="66"/>
      <c r="Y512" s="189"/>
      <c r="Z512" s="184"/>
      <c r="AA512" s="184"/>
      <c r="AB512" s="184"/>
      <c r="AC512" s="8"/>
      <c r="AD512" s="66"/>
      <c r="AE512" s="66"/>
      <c r="AF512" s="66"/>
      <c r="AG512" s="190"/>
      <c r="AH512" s="191"/>
      <c r="AI512" s="190"/>
      <c r="AJ512" s="190"/>
      <c r="AK512" s="66"/>
      <c r="AL512" s="66"/>
      <c r="AM512" s="66"/>
      <c r="AN512" s="66"/>
      <c r="AO512" s="66"/>
      <c r="AP512" s="66"/>
      <c r="AQ512" s="66"/>
      <c r="AR512" s="66"/>
      <c r="AS512" s="66"/>
      <c r="AT512" s="66"/>
    </row>
    <row r="513">
      <c r="A513" s="8"/>
      <c r="B513" s="66"/>
      <c r="C513" s="66"/>
      <c r="D513" s="66"/>
      <c r="E513" s="8"/>
      <c r="F513" s="66"/>
      <c r="G513" s="66"/>
      <c r="H513" s="66"/>
      <c r="I513" s="8"/>
      <c r="J513" s="66"/>
      <c r="K513" s="66"/>
      <c r="L513" s="66"/>
      <c r="M513" s="8"/>
      <c r="N513" s="66"/>
      <c r="O513" s="66"/>
      <c r="P513" s="66"/>
      <c r="Q513" s="8"/>
      <c r="R513" s="66"/>
      <c r="S513" s="66"/>
      <c r="T513" s="66"/>
      <c r="U513" s="8"/>
      <c r="V513" s="66"/>
      <c r="W513" s="66"/>
      <c r="X513" s="66"/>
      <c r="Y513" s="189"/>
      <c r="Z513" s="184"/>
      <c r="AA513" s="184"/>
      <c r="AB513" s="184"/>
      <c r="AC513" s="8"/>
      <c r="AD513" s="66"/>
      <c r="AE513" s="66"/>
      <c r="AF513" s="66"/>
      <c r="AG513" s="190"/>
      <c r="AH513" s="191"/>
      <c r="AI513" s="190"/>
      <c r="AJ513" s="190"/>
      <c r="AK513" s="66"/>
      <c r="AL513" s="66"/>
      <c r="AM513" s="66"/>
      <c r="AN513" s="66"/>
      <c r="AO513" s="66"/>
      <c r="AP513" s="66"/>
      <c r="AQ513" s="66"/>
      <c r="AR513" s="66"/>
      <c r="AS513" s="66"/>
      <c r="AT513" s="66"/>
    </row>
    <row r="514">
      <c r="A514" s="8"/>
      <c r="B514" s="66"/>
      <c r="C514" s="66"/>
      <c r="D514" s="66"/>
      <c r="E514" s="8"/>
      <c r="F514" s="66"/>
      <c r="G514" s="66"/>
      <c r="H514" s="66"/>
      <c r="I514" s="8"/>
      <c r="J514" s="66"/>
      <c r="K514" s="66"/>
      <c r="L514" s="66"/>
      <c r="M514" s="8"/>
      <c r="N514" s="66"/>
      <c r="O514" s="66"/>
      <c r="P514" s="66"/>
      <c r="Q514" s="8"/>
      <c r="R514" s="66"/>
      <c r="S514" s="66"/>
      <c r="T514" s="66"/>
      <c r="U514" s="8"/>
      <c r="V514" s="66"/>
      <c r="W514" s="66"/>
      <c r="X514" s="66"/>
      <c r="Y514" s="189"/>
      <c r="Z514" s="184"/>
      <c r="AA514" s="184"/>
      <c r="AB514" s="184"/>
      <c r="AC514" s="8"/>
      <c r="AD514" s="66"/>
      <c r="AE514" s="66"/>
      <c r="AF514" s="66"/>
      <c r="AG514" s="190"/>
      <c r="AH514" s="191"/>
      <c r="AI514" s="190"/>
      <c r="AJ514" s="190"/>
      <c r="AK514" s="66"/>
      <c r="AL514" s="66"/>
      <c r="AM514" s="66"/>
      <c r="AN514" s="66"/>
      <c r="AO514" s="66"/>
      <c r="AP514" s="66"/>
      <c r="AQ514" s="66"/>
      <c r="AR514" s="66"/>
      <c r="AS514" s="66"/>
      <c r="AT514" s="66"/>
    </row>
    <row r="515">
      <c r="A515" s="8"/>
      <c r="B515" s="66"/>
      <c r="C515" s="66"/>
      <c r="D515" s="66"/>
      <c r="E515" s="8"/>
      <c r="F515" s="66"/>
      <c r="G515" s="66"/>
      <c r="H515" s="66"/>
      <c r="I515" s="8"/>
      <c r="J515" s="66"/>
      <c r="K515" s="66"/>
      <c r="L515" s="66"/>
      <c r="M515" s="8"/>
      <c r="N515" s="66"/>
      <c r="O515" s="66"/>
      <c r="P515" s="66"/>
      <c r="Q515" s="8"/>
      <c r="R515" s="66"/>
      <c r="S515" s="66"/>
      <c r="T515" s="66"/>
      <c r="U515" s="8"/>
      <c r="V515" s="66"/>
      <c r="W515" s="66"/>
      <c r="X515" s="66"/>
      <c r="Y515" s="189"/>
      <c r="Z515" s="184"/>
      <c r="AA515" s="184"/>
      <c r="AB515" s="184"/>
      <c r="AC515" s="8"/>
      <c r="AD515" s="66"/>
      <c r="AE515" s="66"/>
      <c r="AF515" s="66"/>
      <c r="AG515" s="190"/>
      <c r="AH515" s="191"/>
      <c r="AI515" s="190"/>
      <c r="AJ515" s="190"/>
      <c r="AK515" s="66"/>
      <c r="AL515" s="66"/>
      <c r="AM515" s="66"/>
      <c r="AN515" s="66"/>
      <c r="AO515" s="66"/>
      <c r="AP515" s="66"/>
      <c r="AQ515" s="66"/>
      <c r="AR515" s="66"/>
      <c r="AS515" s="66"/>
      <c r="AT515" s="66"/>
    </row>
    <row r="516">
      <c r="A516" s="8"/>
      <c r="B516" s="66"/>
      <c r="C516" s="66"/>
      <c r="D516" s="66"/>
      <c r="E516" s="8"/>
      <c r="F516" s="66"/>
      <c r="G516" s="66"/>
      <c r="H516" s="66"/>
      <c r="I516" s="8"/>
      <c r="J516" s="66"/>
      <c r="K516" s="66"/>
      <c r="L516" s="66"/>
      <c r="M516" s="8"/>
      <c r="N516" s="66"/>
      <c r="O516" s="66"/>
      <c r="P516" s="66"/>
      <c r="Q516" s="8"/>
      <c r="R516" s="66"/>
      <c r="S516" s="66"/>
      <c r="T516" s="66"/>
      <c r="U516" s="8"/>
      <c r="V516" s="66"/>
      <c r="W516" s="66"/>
      <c r="X516" s="66"/>
      <c r="Y516" s="189"/>
      <c r="Z516" s="184"/>
      <c r="AA516" s="184"/>
      <c r="AB516" s="184"/>
      <c r="AC516" s="8"/>
      <c r="AD516" s="66"/>
      <c r="AE516" s="66"/>
      <c r="AF516" s="66"/>
      <c r="AG516" s="190"/>
      <c r="AH516" s="191"/>
      <c r="AI516" s="190"/>
      <c r="AJ516" s="190"/>
      <c r="AK516" s="66"/>
      <c r="AL516" s="66"/>
      <c r="AM516" s="66"/>
      <c r="AN516" s="66"/>
      <c r="AO516" s="66"/>
      <c r="AP516" s="66"/>
      <c r="AQ516" s="66"/>
      <c r="AR516" s="66"/>
      <c r="AS516" s="66"/>
      <c r="AT516" s="66"/>
    </row>
    <row r="517">
      <c r="A517" s="8"/>
      <c r="B517" s="66"/>
      <c r="C517" s="66"/>
      <c r="D517" s="66"/>
      <c r="E517" s="8"/>
      <c r="F517" s="66"/>
      <c r="G517" s="66"/>
      <c r="H517" s="66"/>
      <c r="I517" s="8"/>
      <c r="J517" s="66"/>
      <c r="K517" s="66"/>
      <c r="L517" s="66"/>
      <c r="M517" s="8"/>
      <c r="N517" s="66"/>
      <c r="O517" s="66"/>
      <c r="P517" s="66"/>
      <c r="Q517" s="8"/>
      <c r="R517" s="66"/>
      <c r="S517" s="66"/>
      <c r="T517" s="66"/>
      <c r="U517" s="8"/>
      <c r="V517" s="66"/>
      <c r="W517" s="66"/>
      <c r="X517" s="66"/>
      <c r="Y517" s="189"/>
      <c r="Z517" s="184"/>
      <c r="AA517" s="184"/>
      <c r="AB517" s="184"/>
      <c r="AC517" s="8"/>
      <c r="AD517" s="66"/>
      <c r="AE517" s="66"/>
      <c r="AF517" s="66"/>
      <c r="AG517" s="190"/>
      <c r="AH517" s="191"/>
      <c r="AI517" s="190"/>
      <c r="AJ517" s="190"/>
      <c r="AK517" s="66"/>
      <c r="AL517" s="66"/>
      <c r="AM517" s="66"/>
      <c r="AN517" s="66"/>
      <c r="AO517" s="66"/>
      <c r="AP517" s="66"/>
      <c r="AQ517" s="66"/>
      <c r="AR517" s="66"/>
      <c r="AS517" s="66"/>
      <c r="AT517" s="66"/>
    </row>
    <row r="518">
      <c r="A518" s="8"/>
      <c r="B518" s="66"/>
      <c r="C518" s="66"/>
      <c r="D518" s="66"/>
      <c r="E518" s="8"/>
      <c r="F518" s="66"/>
      <c r="G518" s="66"/>
      <c r="H518" s="66"/>
      <c r="I518" s="8"/>
      <c r="J518" s="66"/>
      <c r="K518" s="66"/>
      <c r="L518" s="66"/>
      <c r="M518" s="8"/>
      <c r="N518" s="66"/>
      <c r="O518" s="66"/>
      <c r="P518" s="66"/>
      <c r="Q518" s="8"/>
      <c r="R518" s="66"/>
      <c r="S518" s="66"/>
      <c r="T518" s="66"/>
      <c r="U518" s="8"/>
      <c r="V518" s="66"/>
      <c r="W518" s="66"/>
      <c r="X518" s="66"/>
      <c r="Y518" s="189"/>
      <c r="Z518" s="184"/>
      <c r="AA518" s="184"/>
      <c r="AB518" s="184"/>
      <c r="AC518" s="8"/>
      <c r="AD518" s="66"/>
      <c r="AE518" s="66"/>
      <c r="AF518" s="66"/>
      <c r="AG518" s="190"/>
      <c r="AH518" s="191"/>
      <c r="AI518" s="190"/>
      <c r="AJ518" s="190"/>
      <c r="AK518" s="66"/>
      <c r="AL518" s="66"/>
      <c r="AM518" s="66"/>
      <c r="AN518" s="66"/>
      <c r="AO518" s="66"/>
      <c r="AP518" s="66"/>
      <c r="AQ518" s="66"/>
      <c r="AR518" s="66"/>
      <c r="AS518" s="66"/>
      <c r="AT518" s="66"/>
    </row>
    <row r="519">
      <c r="A519" s="8"/>
      <c r="B519" s="66"/>
      <c r="C519" s="66"/>
      <c r="D519" s="66"/>
      <c r="E519" s="8"/>
      <c r="F519" s="66"/>
      <c r="G519" s="66"/>
      <c r="H519" s="66"/>
      <c r="I519" s="8"/>
      <c r="J519" s="66"/>
      <c r="K519" s="66"/>
      <c r="L519" s="66"/>
      <c r="M519" s="8"/>
      <c r="N519" s="66"/>
      <c r="O519" s="66"/>
      <c r="P519" s="66"/>
      <c r="Q519" s="8"/>
      <c r="R519" s="66"/>
      <c r="S519" s="66"/>
      <c r="T519" s="66"/>
      <c r="U519" s="8"/>
      <c r="V519" s="66"/>
      <c r="W519" s="66"/>
      <c r="X519" s="66"/>
      <c r="Y519" s="189"/>
      <c r="Z519" s="184"/>
      <c r="AA519" s="184"/>
      <c r="AB519" s="184"/>
      <c r="AC519" s="8"/>
      <c r="AD519" s="66"/>
      <c r="AE519" s="66"/>
      <c r="AF519" s="66"/>
      <c r="AG519" s="190"/>
      <c r="AH519" s="191"/>
      <c r="AI519" s="190"/>
      <c r="AJ519" s="190"/>
      <c r="AK519" s="66"/>
      <c r="AL519" s="66"/>
      <c r="AM519" s="66"/>
      <c r="AN519" s="66"/>
      <c r="AO519" s="66"/>
      <c r="AP519" s="66"/>
      <c r="AQ519" s="66"/>
      <c r="AR519" s="66"/>
      <c r="AS519" s="66"/>
      <c r="AT519" s="66"/>
    </row>
    <row r="520">
      <c r="A520" s="8"/>
      <c r="B520" s="66"/>
      <c r="C520" s="66"/>
      <c r="D520" s="66"/>
      <c r="E520" s="8"/>
      <c r="F520" s="66"/>
      <c r="G520" s="66"/>
      <c r="H520" s="66"/>
      <c r="I520" s="8"/>
      <c r="J520" s="66"/>
      <c r="K520" s="66"/>
      <c r="L520" s="66"/>
      <c r="M520" s="8"/>
      <c r="N520" s="66"/>
      <c r="O520" s="66"/>
      <c r="P520" s="66"/>
      <c r="Q520" s="8"/>
      <c r="R520" s="66"/>
      <c r="S520" s="66"/>
      <c r="T520" s="66"/>
      <c r="U520" s="8"/>
      <c r="V520" s="66"/>
      <c r="W520" s="66"/>
      <c r="X520" s="66"/>
      <c r="Y520" s="189"/>
      <c r="Z520" s="184"/>
      <c r="AA520" s="184"/>
      <c r="AB520" s="184"/>
      <c r="AC520" s="8"/>
      <c r="AD520" s="66"/>
      <c r="AE520" s="66"/>
      <c r="AF520" s="66"/>
      <c r="AG520" s="190"/>
      <c r="AH520" s="191"/>
      <c r="AI520" s="190"/>
      <c r="AJ520" s="190"/>
      <c r="AK520" s="66"/>
      <c r="AL520" s="66"/>
      <c r="AM520" s="66"/>
      <c r="AN520" s="66"/>
      <c r="AO520" s="66"/>
      <c r="AP520" s="66"/>
      <c r="AQ520" s="66"/>
      <c r="AR520" s="66"/>
      <c r="AS520" s="66"/>
      <c r="AT520" s="66"/>
    </row>
    <row r="521">
      <c r="A521" s="8"/>
      <c r="B521" s="66"/>
      <c r="C521" s="66"/>
      <c r="D521" s="66"/>
      <c r="E521" s="8"/>
      <c r="F521" s="66"/>
      <c r="G521" s="66"/>
      <c r="H521" s="66"/>
      <c r="I521" s="8"/>
      <c r="J521" s="66"/>
      <c r="K521" s="66"/>
      <c r="L521" s="66"/>
      <c r="M521" s="8"/>
      <c r="N521" s="66"/>
      <c r="O521" s="66"/>
      <c r="P521" s="66"/>
      <c r="Q521" s="8"/>
      <c r="R521" s="66"/>
      <c r="S521" s="66"/>
      <c r="T521" s="66"/>
      <c r="U521" s="8"/>
      <c r="V521" s="66"/>
      <c r="W521" s="66"/>
      <c r="X521" s="66"/>
      <c r="Y521" s="189"/>
      <c r="Z521" s="184"/>
      <c r="AA521" s="184"/>
      <c r="AB521" s="184"/>
      <c r="AC521" s="8"/>
      <c r="AD521" s="66"/>
      <c r="AE521" s="66"/>
      <c r="AF521" s="66"/>
      <c r="AG521" s="190"/>
      <c r="AH521" s="191"/>
      <c r="AI521" s="190"/>
      <c r="AJ521" s="190"/>
      <c r="AK521" s="66"/>
      <c r="AL521" s="66"/>
      <c r="AM521" s="66"/>
      <c r="AN521" s="66"/>
      <c r="AO521" s="66"/>
      <c r="AP521" s="66"/>
      <c r="AQ521" s="66"/>
      <c r="AR521" s="66"/>
      <c r="AS521" s="66"/>
      <c r="AT521" s="66"/>
    </row>
    <row r="522">
      <c r="A522" s="8"/>
      <c r="B522" s="66"/>
      <c r="C522" s="66"/>
      <c r="D522" s="66"/>
      <c r="E522" s="8"/>
      <c r="F522" s="66"/>
      <c r="G522" s="66"/>
      <c r="H522" s="66"/>
      <c r="I522" s="8"/>
      <c r="J522" s="66"/>
      <c r="K522" s="66"/>
      <c r="L522" s="66"/>
      <c r="M522" s="8"/>
      <c r="N522" s="66"/>
      <c r="O522" s="66"/>
      <c r="P522" s="66"/>
      <c r="Q522" s="8"/>
      <c r="R522" s="66"/>
      <c r="S522" s="66"/>
      <c r="T522" s="66"/>
      <c r="U522" s="8"/>
      <c r="V522" s="66"/>
      <c r="W522" s="66"/>
      <c r="X522" s="66"/>
      <c r="Y522" s="189"/>
      <c r="Z522" s="184"/>
      <c r="AA522" s="184"/>
      <c r="AB522" s="184"/>
      <c r="AC522" s="8"/>
      <c r="AD522" s="66"/>
      <c r="AE522" s="66"/>
      <c r="AF522" s="66"/>
      <c r="AG522" s="190"/>
      <c r="AH522" s="191"/>
      <c r="AI522" s="190"/>
      <c r="AJ522" s="190"/>
      <c r="AK522" s="66"/>
      <c r="AL522" s="66"/>
      <c r="AM522" s="66"/>
      <c r="AN522" s="66"/>
      <c r="AO522" s="66"/>
      <c r="AP522" s="66"/>
      <c r="AQ522" s="66"/>
      <c r="AR522" s="66"/>
      <c r="AS522" s="66"/>
      <c r="AT522" s="66"/>
    </row>
    <row r="523">
      <c r="A523" s="8"/>
      <c r="B523" s="66"/>
      <c r="C523" s="66"/>
      <c r="D523" s="66"/>
      <c r="E523" s="8"/>
      <c r="F523" s="66"/>
      <c r="G523" s="66"/>
      <c r="H523" s="66"/>
      <c r="I523" s="8"/>
      <c r="J523" s="66"/>
      <c r="K523" s="66"/>
      <c r="L523" s="66"/>
      <c r="M523" s="8"/>
      <c r="N523" s="66"/>
      <c r="O523" s="66"/>
      <c r="P523" s="66"/>
      <c r="Q523" s="8"/>
      <c r="R523" s="66"/>
      <c r="S523" s="66"/>
      <c r="T523" s="66"/>
      <c r="U523" s="8"/>
      <c r="V523" s="66"/>
      <c r="W523" s="66"/>
      <c r="X523" s="66"/>
      <c r="Y523" s="189"/>
      <c r="Z523" s="184"/>
      <c r="AA523" s="184"/>
      <c r="AB523" s="184"/>
      <c r="AC523" s="8"/>
      <c r="AD523" s="66"/>
      <c r="AE523" s="66"/>
      <c r="AF523" s="66"/>
      <c r="AG523" s="190"/>
      <c r="AH523" s="191"/>
      <c r="AI523" s="190"/>
      <c r="AJ523" s="190"/>
      <c r="AK523" s="66"/>
      <c r="AL523" s="66"/>
      <c r="AM523" s="66"/>
      <c r="AN523" s="66"/>
      <c r="AO523" s="66"/>
      <c r="AP523" s="66"/>
      <c r="AQ523" s="66"/>
      <c r="AR523" s="66"/>
      <c r="AS523" s="66"/>
      <c r="AT523" s="66"/>
    </row>
    <row r="524">
      <c r="A524" s="8"/>
      <c r="B524" s="66"/>
      <c r="C524" s="66"/>
      <c r="D524" s="66"/>
      <c r="E524" s="8"/>
      <c r="F524" s="66"/>
      <c r="G524" s="66"/>
      <c r="H524" s="66"/>
      <c r="I524" s="8"/>
      <c r="J524" s="66"/>
      <c r="K524" s="66"/>
      <c r="L524" s="66"/>
      <c r="M524" s="8"/>
      <c r="N524" s="66"/>
      <c r="O524" s="66"/>
      <c r="P524" s="66"/>
      <c r="Q524" s="8"/>
      <c r="R524" s="66"/>
      <c r="S524" s="66"/>
      <c r="T524" s="66"/>
      <c r="U524" s="8"/>
      <c r="V524" s="66"/>
      <c r="W524" s="66"/>
      <c r="X524" s="66"/>
      <c r="Y524" s="189"/>
      <c r="Z524" s="184"/>
      <c r="AA524" s="184"/>
      <c r="AB524" s="184"/>
      <c r="AC524" s="8"/>
      <c r="AD524" s="66"/>
      <c r="AE524" s="66"/>
      <c r="AF524" s="66"/>
      <c r="AG524" s="190"/>
      <c r="AH524" s="191"/>
      <c r="AI524" s="190"/>
      <c r="AJ524" s="190"/>
      <c r="AK524" s="66"/>
      <c r="AL524" s="66"/>
      <c r="AM524" s="66"/>
      <c r="AN524" s="66"/>
      <c r="AO524" s="66"/>
      <c r="AP524" s="66"/>
      <c r="AQ524" s="66"/>
      <c r="AR524" s="66"/>
      <c r="AS524" s="66"/>
      <c r="AT524" s="66"/>
    </row>
    <row r="525">
      <c r="A525" s="8"/>
      <c r="B525" s="66"/>
      <c r="C525" s="66"/>
      <c r="D525" s="66"/>
      <c r="E525" s="8"/>
      <c r="F525" s="66"/>
      <c r="G525" s="66"/>
      <c r="H525" s="66"/>
      <c r="I525" s="8"/>
      <c r="J525" s="66"/>
      <c r="K525" s="66"/>
      <c r="L525" s="66"/>
      <c r="M525" s="8"/>
      <c r="N525" s="66"/>
      <c r="O525" s="66"/>
      <c r="P525" s="66"/>
      <c r="Q525" s="8"/>
      <c r="R525" s="66"/>
      <c r="S525" s="66"/>
      <c r="T525" s="66"/>
      <c r="U525" s="8"/>
      <c r="V525" s="66"/>
      <c r="W525" s="66"/>
      <c r="X525" s="66"/>
      <c r="Y525" s="189"/>
      <c r="Z525" s="184"/>
      <c r="AA525" s="184"/>
      <c r="AB525" s="184"/>
      <c r="AC525" s="8"/>
      <c r="AD525" s="66"/>
      <c r="AE525" s="66"/>
      <c r="AF525" s="66"/>
      <c r="AG525" s="190"/>
      <c r="AH525" s="191"/>
      <c r="AI525" s="190"/>
      <c r="AJ525" s="190"/>
      <c r="AK525" s="66"/>
      <c r="AL525" s="66"/>
      <c r="AM525" s="66"/>
      <c r="AN525" s="66"/>
      <c r="AO525" s="66"/>
      <c r="AP525" s="66"/>
      <c r="AQ525" s="66"/>
      <c r="AR525" s="66"/>
      <c r="AS525" s="66"/>
      <c r="AT525" s="66"/>
    </row>
    <row r="526">
      <c r="A526" s="8"/>
      <c r="B526" s="66"/>
      <c r="C526" s="66"/>
      <c r="D526" s="66"/>
      <c r="E526" s="8"/>
      <c r="F526" s="66"/>
      <c r="G526" s="66"/>
      <c r="H526" s="66"/>
      <c r="I526" s="8"/>
      <c r="J526" s="66"/>
      <c r="K526" s="66"/>
      <c r="L526" s="66"/>
      <c r="M526" s="8"/>
      <c r="N526" s="66"/>
      <c r="O526" s="66"/>
      <c r="P526" s="66"/>
      <c r="Q526" s="8"/>
      <c r="R526" s="66"/>
      <c r="S526" s="66"/>
      <c r="T526" s="66"/>
      <c r="U526" s="8"/>
      <c r="V526" s="66"/>
      <c r="W526" s="66"/>
      <c r="X526" s="66"/>
      <c r="Y526" s="189"/>
      <c r="Z526" s="184"/>
      <c r="AA526" s="184"/>
      <c r="AB526" s="184"/>
      <c r="AC526" s="8"/>
      <c r="AD526" s="66"/>
      <c r="AE526" s="66"/>
      <c r="AF526" s="66"/>
      <c r="AG526" s="190"/>
      <c r="AH526" s="191"/>
      <c r="AI526" s="190"/>
      <c r="AJ526" s="190"/>
      <c r="AK526" s="66"/>
      <c r="AL526" s="66"/>
      <c r="AM526" s="66"/>
      <c r="AN526" s="66"/>
      <c r="AO526" s="66"/>
      <c r="AP526" s="66"/>
      <c r="AQ526" s="66"/>
      <c r="AR526" s="66"/>
      <c r="AS526" s="66"/>
      <c r="AT526" s="66"/>
    </row>
    <row r="527">
      <c r="A527" s="8"/>
      <c r="B527" s="66"/>
      <c r="C527" s="66"/>
      <c r="D527" s="66"/>
      <c r="E527" s="8"/>
      <c r="F527" s="66"/>
      <c r="G527" s="66"/>
      <c r="H527" s="66"/>
      <c r="I527" s="8"/>
      <c r="J527" s="66"/>
      <c r="K527" s="66"/>
      <c r="L527" s="66"/>
      <c r="M527" s="8"/>
      <c r="N527" s="66"/>
      <c r="O527" s="66"/>
      <c r="P527" s="66"/>
      <c r="Q527" s="8"/>
      <c r="R527" s="66"/>
      <c r="S527" s="66"/>
      <c r="T527" s="66"/>
      <c r="U527" s="8"/>
      <c r="V527" s="66"/>
      <c r="W527" s="66"/>
      <c r="X527" s="66"/>
      <c r="Y527" s="189"/>
      <c r="Z527" s="184"/>
      <c r="AA527" s="184"/>
      <c r="AB527" s="184"/>
      <c r="AC527" s="8"/>
      <c r="AD527" s="66"/>
      <c r="AE527" s="66"/>
      <c r="AF527" s="66"/>
      <c r="AG527" s="190"/>
      <c r="AH527" s="191"/>
      <c r="AI527" s="190"/>
      <c r="AJ527" s="190"/>
      <c r="AK527" s="66"/>
      <c r="AL527" s="66"/>
      <c r="AM527" s="66"/>
      <c r="AN527" s="66"/>
      <c r="AO527" s="66"/>
      <c r="AP527" s="66"/>
      <c r="AQ527" s="66"/>
      <c r="AR527" s="66"/>
      <c r="AS527" s="66"/>
      <c r="AT527" s="66"/>
    </row>
    <row r="528">
      <c r="A528" s="8"/>
      <c r="B528" s="66"/>
      <c r="C528" s="66"/>
      <c r="D528" s="66"/>
      <c r="E528" s="8"/>
      <c r="F528" s="66"/>
      <c r="G528" s="66"/>
      <c r="H528" s="66"/>
      <c r="I528" s="8"/>
      <c r="J528" s="66"/>
      <c r="K528" s="66"/>
      <c r="L528" s="66"/>
      <c r="M528" s="8"/>
      <c r="N528" s="66"/>
      <c r="O528" s="66"/>
      <c r="P528" s="66"/>
      <c r="Q528" s="8"/>
      <c r="R528" s="66"/>
      <c r="S528" s="66"/>
      <c r="T528" s="66"/>
      <c r="U528" s="8"/>
      <c r="V528" s="66"/>
      <c r="W528" s="66"/>
      <c r="X528" s="66"/>
      <c r="Y528" s="189"/>
      <c r="Z528" s="184"/>
      <c r="AA528" s="184"/>
      <c r="AB528" s="184"/>
      <c r="AC528" s="8"/>
      <c r="AD528" s="66"/>
      <c r="AE528" s="66"/>
      <c r="AF528" s="66"/>
      <c r="AG528" s="190"/>
      <c r="AH528" s="191"/>
      <c r="AI528" s="190"/>
      <c r="AJ528" s="190"/>
      <c r="AK528" s="66"/>
      <c r="AL528" s="66"/>
      <c r="AM528" s="66"/>
      <c r="AN528" s="66"/>
      <c r="AO528" s="66"/>
      <c r="AP528" s="66"/>
      <c r="AQ528" s="66"/>
      <c r="AR528" s="66"/>
      <c r="AS528" s="66"/>
      <c r="AT528" s="66"/>
    </row>
    <row r="529">
      <c r="A529" s="8"/>
      <c r="B529" s="66"/>
      <c r="C529" s="66"/>
      <c r="D529" s="66"/>
      <c r="E529" s="8"/>
      <c r="F529" s="66"/>
      <c r="G529" s="66"/>
      <c r="H529" s="66"/>
      <c r="I529" s="8"/>
      <c r="J529" s="66"/>
      <c r="K529" s="66"/>
      <c r="L529" s="66"/>
      <c r="M529" s="8"/>
      <c r="N529" s="66"/>
      <c r="O529" s="66"/>
      <c r="P529" s="66"/>
      <c r="Q529" s="8"/>
      <c r="R529" s="66"/>
      <c r="S529" s="66"/>
      <c r="T529" s="66"/>
      <c r="U529" s="8"/>
      <c r="V529" s="66"/>
      <c r="W529" s="66"/>
      <c r="X529" s="66"/>
      <c r="Y529" s="189"/>
      <c r="Z529" s="184"/>
      <c r="AA529" s="184"/>
      <c r="AB529" s="184"/>
      <c r="AC529" s="8"/>
      <c r="AD529" s="66"/>
      <c r="AE529" s="66"/>
      <c r="AF529" s="66"/>
      <c r="AG529" s="190"/>
      <c r="AH529" s="191"/>
      <c r="AI529" s="190"/>
      <c r="AJ529" s="190"/>
      <c r="AK529" s="66"/>
      <c r="AL529" s="66"/>
      <c r="AM529" s="66"/>
      <c r="AN529" s="66"/>
      <c r="AO529" s="66"/>
      <c r="AP529" s="66"/>
      <c r="AQ529" s="66"/>
      <c r="AR529" s="66"/>
      <c r="AS529" s="66"/>
      <c r="AT529" s="66"/>
    </row>
    <row r="530">
      <c r="A530" s="8"/>
      <c r="B530" s="66"/>
      <c r="C530" s="66"/>
      <c r="D530" s="66"/>
      <c r="E530" s="8"/>
      <c r="F530" s="66"/>
      <c r="G530" s="66"/>
      <c r="H530" s="66"/>
      <c r="I530" s="8"/>
      <c r="J530" s="66"/>
      <c r="K530" s="66"/>
      <c r="L530" s="66"/>
      <c r="M530" s="8"/>
      <c r="N530" s="66"/>
      <c r="O530" s="66"/>
      <c r="P530" s="66"/>
      <c r="Q530" s="8"/>
      <c r="R530" s="66"/>
      <c r="S530" s="66"/>
      <c r="T530" s="66"/>
      <c r="U530" s="8"/>
      <c r="V530" s="66"/>
      <c r="W530" s="66"/>
      <c r="X530" s="66"/>
      <c r="Y530" s="189"/>
      <c r="Z530" s="184"/>
      <c r="AA530" s="184"/>
      <c r="AB530" s="184"/>
      <c r="AC530" s="8"/>
      <c r="AD530" s="66"/>
      <c r="AE530" s="66"/>
      <c r="AF530" s="66"/>
      <c r="AG530" s="190"/>
      <c r="AH530" s="191"/>
      <c r="AI530" s="190"/>
      <c r="AJ530" s="190"/>
      <c r="AK530" s="66"/>
      <c r="AL530" s="66"/>
      <c r="AM530" s="66"/>
      <c r="AN530" s="66"/>
      <c r="AO530" s="66"/>
      <c r="AP530" s="66"/>
      <c r="AQ530" s="66"/>
      <c r="AR530" s="66"/>
      <c r="AS530" s="66"/>
      <c r="AT530" s="66"/>
    </row>
    <row r="531">
      <c r="A531" s="8"/>
      <c r="B531" s="66"/>
      <c r="C531" s="66"/>
      <c r="D531" s="66"/>
      <c r="E531" s="8"/>
      <c r="F531" s="66"/>
      <c r="G531" s="66"/>
      <c r="H531" s="66"/>
      <c r="I531" s="8"/>
      <c r="J531" s="66"/>
      <c r="K531" s="66"/>
      <c r="L531" s="66"/>
      <c r="M531" s="8"/>
      <c r="N531" s="66"/>
      <c r="O531" s="66"/>
      <c r="P531" s="66"/>
      <c r="Q531" s="8"/>
      <c r="R531" s="66"/>
      <c r="S531" s="66"/>
      <c r="T531" s="66"/>
      <c r="U531" s="8"/>
      <c r="V531" s="66"/>
      <c r="W531" s="66"/>
      <c r="X531" s="66"/>
      <c r="Y531" s="189"/>
      <c r="Z531" s="184"/>
      <c r="AA531" s="184"/>
      <c r="AB531" s="184"/>
      <c r="AC531" s="8"/>
      <c r="AD531" s="66"/>
      <c r="AE531" s="66"/>
      <c r="AF531" s="66"/>
      <c r="AG531" s="190"/>
      <c r="AH531" s="191"/>
      <c r="AI531" s="190"/>
      <c r="AJ531" s="190"/>
      <c r="AK531" s="66"/>
      <c r="AL531" s="66"/>
      <c r="AM531" s="66"/>
      <c r="AN531" s="66"/>
      <c r="AO531" s="66"/>
      <c r="AP531" s="66"/>
      <c r="AQ531" s="66"/>
      <c r="AR531" s="66"/>
      <c r="AS531" s="66"/>
      <c r="AT531" s="66"/>
    </row>
    <row r="532">
      <c r="A532" s="8"/>
      <c r="B532" s="66"/>
      <c r="C532" s="66"/>
      <c r="D532" s="66"/>
      <c r="E532" s="8"/>
      <c r="F532" s="66"/>
      <c r="G532" s="66"/>
      <c r="H532" s="66"/>
      <c r="I532" s="8"/>
      <c r="J532" s="66"/>
      <c r="K532" s="66"/>
      <c r="L532" s="66"/>
      <c r="M532" s="8"/>
      <c r="N532" s="66"/>
      <c r="O532" s="66"/>
      <c r="P532" s="66"/>
      <c r="Q532" s="8"/>
      <c r="R532" s="66"/>
      <c r="S532" s="66"/>
      <c r="T532" s="66"/>
      <c r="U532" s="8"/>
      <c r="V532" s="66"/>
      <c r="W532" s="66"/>
      <c r="X532" s="66"/>
      <c r="Y532" s="189"/>
      <c r="Z532" s="184"/>
      <c r="AA532" s="184"/>
      <c r="AB532" s="184"/>
      <c r="AC532" s="8"/>
      <c r="AD532" s="66"/>
      <c r="AE532" s="66"/>
      <c r="AF532" s="66"/>
      <c r="AG532" s="190"/>
      <c r="AH532" s="191"/>
      <c r="AI532" s="190"/>
      <c r="AJ532" s="190"/>
      <c r="AK532" s="66"/>
      <c r="AL532" s="66"/>
      <c r="AM532" s="66"/>
      <c r="AN532" s="66"/>
      <c r="AO532" s="66"/>
      <c r="AP532" s="66"/>
      <c r="AQ532" s="66"/>
      <c r="AR532" s="66"/>
      <c r="AS532" s="66"/>
      <c r="AT532" s="66"/>
    </row>
    <row r="533">
      <c r="A533" s="8"/>
      <c r="B533" s="66"/>
      <c r="C533" s="66"/>
      <c r="D533" s="66"/>
      <c r="E533" s="8"/>
      <c r="F533" s="66"/>
      <c r="G533" s="66"/>
      <c r="H533" s="66"/>
      <c r="I533" s="8"/>
      <c r="J533" s="66"/>
      <c r="K533" s="66"/>
      <c r="L533" s="66"/>
      <c r="M533" s="8"/>
      <c r="N533" s="66"/>
      <c r="O533" s="66"/>
      <c r="P533" s="66"/>
      <c r="Q533" s="8"/>
      <c r="R533" s="66"/>
      <c r="S533" s="66"/>
      <c r="T533" s="66"/>
      <c r="U533" s="8"/>
      <c r="V533" s="66"/>
      <c r="W533" s="66"/>
      <c r="X533" s="66"/>
      <c r="Y533" s="189"/>
      <c r="Z533" s="184"/>
      <c r="AA533" s="184"/>
      <c r="AB533" s="184"/>
      <c r="AC533" s="8"/>
      <c r="AD533" s="66"/>
      <c r="AE533" s="66"/>
      <c r="AF533" s="66"/>
      <c r="AG533" s="190"/>
      <c r="AH533" s="191"/>
      <c r="AI533" s="190"/>
      <c r="AJ533" s="190"/>
      <c r="AK533" s="66"/>
      <c r="AL533" s="66"/>
      <c r="AM533" s="66"/>
      <c r="AN533" s="66"/>
      <c r="AO533" s="66"/>
      <c r="AP533" s="66"/>
      <c r="AQ533" s="66"/>
      <c r="AR533" s="66"/>
      <c r="AS533" s="66"/>
      <c r="AT533" s="66"/>
    </row>
    <row r="534">
      <c r="A534" s="8"/>
      <c r="B534" s="66"/>
      <c r="C534" s="66"/>
      <c r="D534" s="66"/>
      <c r="E534" s="8"/>
      <c r="F534" s="66"/>
      <c r="G534" s="66"/>
      <c r="H534" s="66"/>
      <c r="I534" s="8"/>
      <c r="J534" s="66"/>
      <c r="K534" s="66"/>
      <c r="L534" s="66"/>
      <c r="M534" s="8"/>
      <c r="N534" s="66"/>
      <c r="O534" s="66"/>
      <c r="P534" s="66"/>
      <c r="Q534" s="8"/>
      <c r="R534" s="66"/>
      <c r="S534" s="66"/>
      <c r="T534" s="66"/>
      <c r="U534" s="8"/>
      <c r="V534" s="66"/>
      <c r="W534" s="66"/>
      <c r="X534" s="66"/>
      <c r="Y534" s="189"/>
      <c r="Z534" s="184"/>
      <c r="AA534" s="184"/>
      <c r="AB534" s="184"/>
      <c r="AC534" s="8"/>
      <c r="AD534" s="66"/>
      <c r="AE534" s="66"/>
      <c r="AF534" s="66"/>
      <c r="AG534" s="190"/>
      <c r="AH534" s="191"/>
      <c r="AI534" s="190"/>
      <c r="AJ534" s="190"/>
      <c r="AK534" s="66"/>
      <c r="AL534" s="66"/>
      <c r="AM534" s="66"/>
      <c r="AN534" s="66"/>
      <c r="AO534" s="66"/>
      <c r="AP534" s="66"/>
      <c r="AQ534" s="66"/>
      <c r="AR534" s="66"/>
      <c r="AS534" s="66"/>
      <c r="AT534" s="66"/>
    </row>
    <row r="535">
      <c r="A535" s="8"/>
      <c r="B535" s="66"/>
      <c r="C535" s="66"/>
      <c r="D535" s="66"/>
      <c r="E535" s="8"/>
      <c r="F535" s="66"/>
      <c r="G535" s="66"/>
      <c r="H535" s="66"/>
      <c r="I535" s="8"/>
      <c r="J535" s="66"/>
      <c r="K535" s="66"/>
      <c r="L535" s="66"/>
      <c r="M535" s="8"/>
      <c r="N535" s="66"/>
      <c r="O535" s="66"/>
      <c r="P535" s="66"/>
      <c r="Q535" s="8"/>
      <c r="R535" s="66"/>
      <c r="S535" s="66"/>
      <c r="T535" s="66"/>
      <c r="U535" s="8"/>
      <c r="V535" s="66"/>
      <c r="W535" s="66"/>
      <c r="X535" s="66"/>
      <c r="Y535" s="189"/>
      <c r="Z535" s="184"/>
      <c r="AA535" s="184"/>
      <c r="AB535" s="184"/>
      <c r="AC535" s="8"/>
      <c r="AD535" s="66"/>
      <c r="AE535" s="66"/>
      <c r="AF535" s="66"/>
      <c r="AG535" s="190"/>
      <c r="AH535" s="191"/>
      <c r="AI535" s="190"/>
      <c r="AJ535" s="190"/>
      <c r="AK535" s="66"/>
      <c r="AL535" s="66"/>
      <c r="AM535" s="66"/>
      <c r="AN535" s="66"/>
      <c r="AO535" s="66"/>
      <c r="AP535" s="66"/>
      <c r="AQ535" s="66"/>
      <c r="AR535" s="66"/>
      <c r="AS535" s="66"/>
      <c r="AT535" s="66"/>
    </row>
    <row r="536">
      <c r="A536" s="8"/>
      <c r="B536" s="66"/>
      <c r="C536" s="66"/>
      <c r="D536" s="66"/>
      <c r="E536" s="8"/>
      <c r="F536" s="66"/>
      <c r="G536" s="66"/>
      <c r="H536" s="66"/>
      <c r="I536" s="8"/>
      <c r="J536" s="66"/>
      <c r="K536" s="66"/>
      <c r="L536" s="66"/>
      <c r="M536" s="8"/>
      <c r="N536" s="66"/>
      <c r="O536" s="66"/>
      <c r="P536" s="66"/>
      <c r="Q536" s="8"/>
      <c r="R536" s="66"/>
      <c r="S536" s="66"/>
      <c r="T536" s="66"/>
      <c r="U536" s="8"/>
      <c r="V536" s="66"/>
      <c r="W536" s="66"/>
      <c r="X536" s="66"/>
      <c r="Y536" s="189"/>
      <c r="Z536" s="184"/>
      <c r="AA536" s="184"/>
      <c r="AB536" s="184"/>
      <c r="AC536" s="8"/>
      <c r="AD536" s="66"/>
      <c r="AE536" s="66"/>
      <c r="AF536" s="66"/>
      <c r="AG536" s="190"/>
      <c r="AH536" s="191"/>
      <c r="AI536" s="190"/>
      <c r="AJ536" s="190"/>
      <c r="AK536" s="66"/>
      <c r="AL536" s="66"/>
      <c r="AM536" s="66"/>
      <c r="AN536" s="66"/>
      <c r="AO536" s="66"/>
      <c r="AP536" s="66"/>
      <c r="AQ536" s="66"/>
      <c r="AR536" s="66"/>
      <c r="AS536" s="66"/>
      <c r="AT536" s="66"/>
    </row>
    <row r="537">
      <c r="A537" s="8"/>
      <c r="B537" s="66"/>
      <c r="C537" s="66"/>
      <c r="D537" s="66"/>
      <c r="E537" s="8"/>
      <c r="F537" s="66"/>
      <c r="G537" s="66"/>
      <c r="H537" s="66"/>
      <c r="I537" s="8"/>
      <c r="J537" s="66"/>
      <c r="K537" s="66"/>
      <c r="L537" s="66"/>
      <c r="M537" s="8"/>
      <c r="N537" s="66"/>
      <c r="O537" s="66"/>
      <c r="P537" s="66"/>
      <c r="Q537" s="8"/>
      <c r="R537" s="66"/>
      <c r="S537" s="66"/>
      <c r="T537" s="66"/>
      <c r="U537" s="8"/>
      <c r="V537" s="66"/>
      <c r="W537" s="66"/>
      <c r="X537" s="66"/>
      <c r="Y537" s="189"/>
      <c r="Z537" s="184"/>
      <c r="AA537" s="184"/>
      <c r="AB537" s="184"/>
      <c r="AC537" s="8"/>
      <c r="AD537" s="66"/>
      <c r="AE537" s="66"/>
      <c r="AF537" s="66"/>
      <c r="AG537" s="190"/>
      <c r="AH537" s="191"/>
      <c r="AI537" s="190"/>
      <c r="AJ537" s="190"/>
      <c r="AK537" s="66"/>
      <c r="AL537" s="66"/>
      <c r="AM537" s="66"/>
      <c r="AN537" s="66"/>
      <c r="AO537" s="66"/>
      <c r="AP537" s="66"/>
      <c r="AQ537" s="66"/>
      <c r="AR537" s="66"/>
      <c r="AS537" s="66"/>
      <c r="AT537" s="66"/>
    </row>
    <row r="538">
      <c r="A538" s="8"/>
      <c r="B538" s="66"/>
      <c r="C538" s="66"/>
      <c r="D538" s="66"/>
      <c r="E538" s="8"/>
      <c r="F538" s="66"/>
      <c r="G538" s="66"/>
      <c r="H538" s="66"/>
      <c r="I538" s="8"/>
      <c r="J538" s="66"/>
      <c r="K538" s="66"/>
      <c r="L538" s="66"/>
      <c r="M538" s="8"/>
      <c r="N538" s="66"/>
      <c r="O538" s="66"/>
      <c r="P538" s="66"/>
      <c r="Q538" s="8"/>
      <c r="R538" s="66"/>
      <c r="S538" s="66"/>
      <c r="T538" s="66"/>
      <c r="U538" s="8"/>
      <c r="V538" s="66"/>
      <c r="W538" s="66"/>
      <c r="X538" s="66"/>
      <c r="Y538" s="189"/>
      <c r="Z538" s="184"/>
      <c r="AA538" s="184"/>
      <c r="AB538" s="184"/>
      <c r="AC538" s="8"/>
      <c r="AD538" s="66"/>
      <c r="AE538" s="66"/>
      <c r="AF538" s="66"/>
      <c r="AG538" s="190"/>
      <c r="AH538" s="191"/>
      <c r="AI538" s="190"/>
      <c r="AJ538" s="190"/>
      <c r="AK538" s="66"/>
      <c r="AL538" s="66"/>
      <c r="AM538" s="66"/>
      <c r="AN538" s="66"/>
      <c r="AO538" s="66"/>
      <c r="AP538" s="66"/>
      <c r="AQ538" s="66"/>
      <c r="AR538" s="66"/>
      <c r="AS538" s="66"/>
      <c r="AT538" s="66"/>
    </row>
    <row r="539">
      <c r="A539" s="8"/>
      <c r="B539" s="66"/>
      <c r="C539" s="66"/>
      <c r="D539" s="66"/>
      <c r="E539" s="8"/>
      <c r="F539" s="66"/>
      <c r="G539" s="66"/>
      <c r="H539" s="66"/>
      <c r="I539" s="8"/>
      <c r="J539" s="66"/>
      <c r="K539" s="66"/>
      <c r="L539" s="66"/>
      <c r="M539" s="8"/>
      <c r="N539" s="66"/>
      <c r="O539" s="66"/>
      <c r="P539" s="66"/>
      <c r="Q539" s="8"/>
      <c r="R539" s="66"/>
      <c r="S539" s="66"/>
      <c r="T539" s="66"/>
      <c r="U539" s="8"/>
      <c r="V539" s="66"/>
      <c r="W539" s="66"/>
      <c r="X539" s="66"/>
      <c r="Y539" s="189"/>
      <c r="Z539" s="184"/>
      <c r="AA539" s="184"/>
      <c r="AB539" s="184"/>
      <c r="AC539" s="8"/>
      <c r="AD539" s="66"/>
      <c r="AE539" s="66"/>
      <c r="AF539" s="66"/>
      <c r="AG539" s="190"/>
      <c r="AH539" s="191"/>
      <c r="AI539" s="190"/>
      <c r="AJ539" s="190"/>
      <c r="AK539" s="66"/>
      <c r="AL539" s="66"/>
      <c r="AM539" s="66"/>
      <c r="AN539" s="66"/>
      <c r="AO539" s="66"/>
      <c r="AP539" s="66"/>
      <c r="AQ539" s="66"/>
      <c r="AR539" s="66"/>
      <c r="AS539" s="66"/>
      <c r="AT539" s="66"/>
    </row>
    <row r="540">
      <c r="A540" s="8"/>
      <c r="B540" s="66"/>
      <c r="C540" s="66"/>
      <c r="D540" s="66"/>
      <c r="E540" s="8"/>
      <c r="F540" s="66"/>
      <c r="G540" s="66"/>
      <c r="H540" s="66"/>
      <c r="I540" s="8"/>
      <c r="J540" s="66"/>
      <c r="K540" s="66"/>
      <c r="L540" s="66"/>
      <c r="M540" s="8"/>
      <c r="N540" s="66"/>
      <c r="O540" s="66"/>
      <c r="P540" s="66"/>
      <c r="Q540" s="8"/>
      <c r="R540" s="66"/>
      <c r="S540" s="66"/>
      <c r="T540" s="66"/>
      <c r="U540" s="8"/>
      <c r="V540" s="66"/>
      <c r="W540" s="66"/>
      <c r="X540" s="66"/>
      <c r="Y540" s="189"/>
      <c r="Z540" s="184"/>
      <c r="AA540" s="184"/>
      <c r="AB540" s="184"/>
      <c r="AC540" s="8"/>
      <c r="AD540" s="66"/>
      <c r="AE540" s="66"/>
      <c r="AF540" s="66"/>
      <c r="AG540" s="190"/>
      <c r="AH540" s="191"/>
      <c r="AI540" s="190"/>
      <c r="AJ540" s="190"/>
      <c r="AK540" s="66"/>
      <c r="AL540" s="66"/>
      <c r="AM540" s="66"/>
      <c r="AN540" s="66"/>
      <c r="AO540" s="66"/>
      <c r="AP540" s="66"/>
      <c r="AQ540" s="66"/>
      <c r="AR540" s="66"/>
      <c r="AS540" s="66"/>
      <c r="AT540" s="66"/>
    </row>
    <row r="541">
      <c r="A541" s="8"/>
      <c r="B541" s="66"/>
      <c r="C541" s="66"/>
      <c r="D541" s="66"/>
      <c r="E541" s="8"/>
      <c r="F541" s="66"/>
      <c r="G541" s="66"/>
      <c r="H541" s="66"/>
      <c r="I541" s="8"/>
      <c r="J541" s="66"/>
      <c r="K541" s="66"/>
      <c r="L541" s="66"/>
      <c r="M541" s="8"/>
      <c r="N541" s="66"/>
      <c r="O541" s="66"/>
      <c r="P541" s="66"/>
      <c r="Q541" s="8"/>
      <c r="R541" s="66"/>
      <c r="S541" s="66"/>
      <c r="T541" s="66"/>
      <c r="U541" s="8"/>
      <c r="V541" s="66"/>
      <c r="W541" s="66"/>
      <c r="X541" s="66"/>
      <c r="Y541" s="189"/>
      <c r="Z541" s="184"/>
      <c r="AA541" s="184"/>
      <c r="AB541" s="184"/>
      <c r="AC541" s="8"/>
      <c r="AD541" s="66"/>
      <c r="AE541" s="66"/>
      <c r="AF541" s="66"/>
      <c r="AG541" s="190"/>
      <c r="AH541" s="191"/>
      <c r="AI541" s="190"/>
      <c r="AJ541" s="190"/>
      <c r="AK541" s="66"/>
      <c r="AL541" s="66"/>
      <c r="AM541" s="66"/>
      <c r="AN541" s="66"/>
      <c r="AO541" s="66"/>
      <c r="AP541" s="66"/>
      <c r="AQ541" s="66"/>
      <c r="AR541" s="66"/>
      <c r="AS541" s="66"/>
      <c r="AT541" s="66"/>
    </row>
    <row r="542">
      <c r="A542" s="8"/>
      <c r="B542" s="66"/>
      <c r="C542" s="66"/>
      <c r="D542" s="66"/>
      <c r="E542" s="8"/>
      <c r="F542" s="66"/>
      <c r="G542" s="66"/>
      <c r="H542" s="66"/>
      <c r="I542" s="8"/>
      <c r="J542" s="66"/>
      <c r="K542" s="66"/>
      <c r="L542" s="66"/>
      <c r="M542" s="8"/>
      <c r="N542" s="66"/>
      <c r="O542" s="66"/>
      <c r="P542" s="66"/>
      <c r="Q542" s="8"/>
      <c r="R542" s="66"/>
      <c r="S542" s="66"/>
      <c r="T542" s="66"/>
      <c r="U542" s="8"/>
      <c r="V542" s="66"/>
      <c r="W542" s="66"/>
      <c r="X542" s="66"/>
      <c r="Y542" s="189"/>
      <c r="Z542" s="184"/>
      <c r="AA542" s="184"/>
      <c r="AB542" s="184"/>
      <c r="AC542" s="8"/>
      <c r="AD542" s="66"/>
      <c r="AE542" s="66"/>
      <c r="AF542" s="66"/>
      <c r="AG542" s="190"/>
      <c r="AH542" s="191"/>
      <c r="AI542" s="190"/>
      <c r="AJ542" s="190"/>
      <c r="AK542" s="66"/>
      <c r="AL542" s="66"/>
      <c r="AM542" s="66"/>
      <c r="AN542" s="66"/>
      <c r="AO542" s="66"/>
      <c r="AP542" s="66"/>
      <c r="AQ542" s="66"/>
      <c r="AR542" s="66"/>
      <c r="AS542" s="66"/>
      <c r="AT542" s="66"/>
    </row>
    <row r="543">
      <c r="A543" s="8"/>
      <c r="B543" s="66"/>
      <c r="C543" s="66"/>
      <c r="D543" s="66"/>
      <c r="E543" s="8"/>
      <c r="F543" s="66"/>
      <c r="G543" s="66"/>
      <c r="H543" s="66"/>
      <c r="I543" s="8"/>
      <c r="J543" s="66"/>
      <c r="K543" s="66"/>
      <c r="L543" s="66"/>
      <c r="M543" s="8"/>
      <c r="N543" s="66"/>
      <c r="O543" s="66"/>
      <c r="P543" s="66"/>
      <c r="Q543" s="8"/>
      <c r="R543" s="66"/>
      <c r="S543" s="66"/>
      <c r="T543" s="66"/>
      <c r="U543" s="8"/>
      <c r="V543" s="66"/>
      <c r="W543" s="66"/>
      <c r="X543" s="66"/>
      <c r="Y543" s="189"/>
      <c r="Z543" s="184"/>
      <c r="AA543" s="184"/>
      <c r="AB543" s="184"/>
      <c r="AC543" s="8"/>
      <c r="AD543" s="66"/>
      <c r="AE543" s="66"/>
      <c r="AF543" s="66"/>
      <c r="AG543" s="190"/>
      <c r="AH543" s="191"/>
      <c r="AI543" s="190"/>
      <c r="AJ543" s="190"/>
      <c r="AK543" s="66"/>
      <c r="AL543" s="66"/>
      <c r="AM543" s="66"/>
      <c r="AN543" s="66"/>
      <c r="AO543" s="66"/>
      <c r="AP543" s="66"/>
      <c r="AQ543" s="66"/>
      <c r="AR543" s="66"/>
      <c r="AS543" s="66"/>
      <c r="AT543" s="66"/>
    </row>
    <row r="544">
      <c r="A544" s="8"/>
      <c r="B544" s="66"/>
      <c r="C544" s="66"/>
      <c r="D544" s="66"/>
      <c r="E544" s="8"/>
      <c r="F544" s="66"/>
      <c r="G544" s="66"/>
      <c r="H544" s="66"/>
      <c r="I544" s="8"/>
      <c r="J544" s="66"/>
      <c r="K544" s="66"/>
      <c r="L544" s="66"/>
      <c r="M544" s="8"/>
      <c r="N544" s="66"/>
      <c r="O544" s="66"/>
      <c r="P544" s="66"/>
      <c r="Q544" s="8"/>
      <c r="R544" s="66"/>
      <c r="S544" s="66"/>
      <c r="T544" s="66"/>
      <c r="U544" s="8"/>
      <c r="V544" s="66"/>
      <c r="W544" s="66"/>
      <c r="X544" s="66"/>
      <c r="Y544" s="189"/>
      <c r="Z544" s="184"/>
      <c r="AA544" s="184"/>
      <c r="AB544" s="184"/>
      <c r="AC544" s="8"/>
      <c r="AD544" s="66"/>
      <c r="AE544" s="66"/>
      <c r="AF544" s="66"/>
      <c r="AG544" s="190"/>
      <c r="AH544" s="191"/>
      <c r="AI544" s="190"/>
      <c r="AJ544" s="190"/>
      <c r="AK544" s="66"/>
      <c r="AL544" s="66"/>
      <c r="AM544" s="66"/>
      <c r="AN544" s="66"/>
      <c r="AO544" s="66"/>
      <c r="AP544" s="66"/>
      <c r="AQ544" s="66"/>
      <c r="AR544" s="66"/>
      <c r="AS544" s="66"/>
      <c r="AT544" s="66"/>
    </row>
    <row r="545">
      <c r="A545" s="8"/>
      <c r="B545" s="66"/>
      <c r="C545" s="66"/>
      <c r="D545" s="66"/>
      <c r="E545" s="8"/>
      <c r="F545" s="66"/>
      <c r="G545" s="66"/>
      <c r="H545" s="66"/>
      <c r="I545" s="8"/>
      <c r="J545" s="66"/>
      <c r="K545" s="66"/>
      <c r="L545" s="66"/>
      <c r="M545" s="8"/>
      <c r="N545" s="66"/>
      <c r="O545" s="66"/>
      <c r="P545" s="66"/>
      <c r="Q545" s="8"/>
      <c r="R545" s="66"/>
      <c r="S545" s="66"/>
      <c r="T545" s="66"/>
      <c r="U545" s="8"/>
      <c r="V545" s="66"/>
      <c r="W545" s="66"/>
      <c r="X545" s="66"/>
      <c r="Y545" s="189"/>
      <c r="Z545" s="184"/>
      <c r="AA545" s="184"/>
      <c r="AB545" s="184"/>
      <c r="AC545" s="8"/>
      <c r="AD545" s="66"/>
      <c r="AE545" s="66"/>
      <c r="AF545" s="66"/>
      <c r="AG545" s="190"/>
      <c r="AH545" s="191"/>
      <c r="AI545" s="190"/>
      <c r="AJ545" s="190"/>
      <c r="AK545" s="66"/>
      <c r="AL545" s="66"/>
      <c r="AM545" s="66"/>
      <c r="AN545" s="66"/>
      <c r="AO545" s="66"/>
      <c r="AP545" s="66"/>
      <c r="AQ545" s="66"/>
      <c r="AR545" s="66"/>
      <c r="AS545" s="66"/>
      <c r="AT545" s="66"/>
    </row>
    <row r="546">
      <c r="A546" s="8"/>
      <c r="B546" s="66"/>
      <c r="C546" s="66"/>
      <c r="D546" s="66"/>
      <c r="E546" s="8"/>
      <c r="F546" s="66"/>
      <c r="G546" s="66"/>
      <c r="H546" s="66"/>
      <c r="I546" s="8"/>
      <c r="J546" s="66"/>
      <c r="K546" s="66"/>
      <c r="L546" s="66"/>
      <c r="M546" s="8"/>
      <c r="N546" s="66"/>
      <c r="O546" s="66"/>
      <c r="P546" s="66"/>
      <c r="Q546" s="8"/>
      <c r="R546" s="66"/>
      <c r="S546" s="66"/>
      <c r="T546" s="66"/>
      <c r="U546" s="8"/>
      <c r="V546" s="66"/>
      <c r="W546" s="66"/>
      <c r="X546" s="66"/>
      <c r="Y546" s="189"/>
      <c r="Z546" s="184"/>
      <c r="AA546" s="184"/>
      <c r="AB546" s="184"/>
      <c r="AC546" s="8"/>
      <c r="AD546" s="66"/>
      <c r="AE546" s="66"/>
      <c r="AF546" s="66"/>
      <c r="AG546" s="190"/>
      <c r="AH546" s="191"/>
      <c r="AI546" s="190"/>
      <c r="AJ546" s="190"/>
      <c r="AK546" s="66"/>
      <c r="AL546" s="66"/>
      <c r="AM546" s="66"/>
      <c r="AN546" s="66"/>
      <c r="AO546" s="66"/>
      <c r="AP546" s="66"/>
      <c r="AQ546" s="66"/>
      <c r="AR546" s="66"/>
      <c r="AS546" s="66"/>
      <c r="AT546" s="66"/>
    </row>
    <row r="547">
      <c r="A547" s="8"/>
      <c r="B547" s="66"/>
      <c r="C547" s="66"/>
      <c r="D547" s="66"/>
      <c r="E547" s="8"/>
      <c r="F547" s="66"/>
      <c r="G547" s="66"/>
      <c r="H547" s="66"/>
      <c r="I547" s="8"/>
      <c r="J547" s="66"/>
      <c r="K547" s="66"/>
      <c r="L547" s="66"/>
      <c r="M547" s="8"/>
      <c r="N547" s="66"/>
      <c r="O547" s="66"/>
      <c r="P547" s="66"/>
      <c r="Q547" s="8"/>
      <c r="R547" s="66"/>
      <c r="S547" s="66"/>
      <c r="T547" s="66"/>
      <c r="U547" s="8"/>
      <c r="V547" s="66"/>
      <c r="W547" s="66"/>
      <c r="X547" s="66"/>
      <c r="Y547" s="189"/>
      <c r="Z547" s="184"/>
      <c r="AA547" s="184"/>
      <c r="AB547" s="184"/>
      <c r="AC547" s="8"/>
      <c r="AD547" s="66"/>
      <c r="AE547" s="66"/>
      <c r="AF547" s="66"/>
      <c r="AG547" s="190"/>
      <c r="AH547" s="191"/>
      <c r="AI547" s="190"/>
      <c r="AJ547" s="190"/>
      <c r="AK547" s="66"/>
      <c r="AL547" s="66"/>
      <c r="AM547" s="66"/>
      <c r="AN547" s="66"/>
      <c r="AO547" s="66"/>
      <c r="AP547" s="66"/>
      <c r="AQ547" s="66"/>
      <c r="AR547" s="66"/>
      <c r="AS547" s="66"/>
      <c r="AT547" s="66"/>
    </row>
    <row r="548">
      <c r="A548" s="8"/>
      <c r="B548" s="66"/>
      <c r="C548" s="66"/>
      <c r="D548" s="66"/>
      <c r="E548" s="8"/>
      <c r="F548" s="66"/>
      <c r="G548" s="66"/>
      <c r="H548" s="66"/>
      <c r="I548" s="8"/>
      <c r="J548" s="66"/>
      <c r="K548" s="66"/>
      <c r="L548" s="66"/>
      <c r="M548" s="8"/>
      <c r="N548" s="66"/>
      <c r="O548" s="66"/>
      <c r="P548" s="66"/>
      <c r="Q548" s="8"/>
      <c r="R548" s="66"/>
      <c r="S548" s="66"/>
      <c r="T548" s="66"/>
      <c r="U548" s="8"/>
      <c r="V548" s="66"/>
      <c r="W548" s="66"/>
      <c r="X548" s="66"/>
      <c r="Y548" s="189"/>
      <c r="Z548" s="184"/>
      <c r="AA548" s="184"/>
      <c r="AB548" s="184"/>
      <c r="AC548" s="8"/>
      <c r="AD548" s="66"/>
      <c r="AE548" s="66"/>
      <c r="AF548" s="66"/>
      <c r="AG548" s="190"/>
      <c r="AH548" s="191"/>
      <c r="AI548" s="190"/>
      <c r="AJ548" s="190"/>
      <c r="AK548" s="66"/>
      <c r="AL548" s="66"/>
      <c r="AM548" s="66"/>
      <c r="AN548" s="66"/>
      <c r="AO548" s="66"/>
      <c r="AP548" s="66"/>
      <c r="AQ548" s="66"/>
      <c r="AR548" s="66"/>
      <c r="AS548" s="66"/>
      <c r="AT548" s="66"/>
    </row>
    <row r="549">
      <c r="A549" s="8"/>
      <c r="B549" s="66"/>
      <c r="C549" s="66"/>
      <c r="D549" s="66"/>
      <c r="E549" s="8"/>
      <c r="F549" s="66"/>
      <c r="G549" s="66"/>
      <c r="H549" s="66"/>
      <c r="I549" s="8"/>
      <c r="J549" s="66"/>
      <c r="K549" s="66"/>
      <c r="L549" s="66"/>
      <c r="M549" s="8"/>
      <c r="N549" s="66"/>
      <c r="O549" s="66"/>
      <c r="P549" s="66"/>
      <c r="Q549" s="8"/>
      <c r="R549" s="66"/>
      <c r="S549" s="66"/>
      <c r="T549" s="66"/>
      <c r="U549" s="8"/>
      <c r="V549" s="66"/>
      <c r="W549" s="66"/>
      <c r="X549" s="66"/>
      <c r="Y549" s="189"/>
      <c r="Z549" s="184"/>
      <c r="AA549" s="184"/>
      <c r="AB549" s="184"/>
      <c r="AC549" s="8"/>
      <c r="AD549" s="66"/>
      <c r="AE549" s="66"/>
      <c r="AF549" s="66"/>
      <c r="AG549" s="190"/>
      <c r="AH549" s="191"/>
      <c r="AI549" s="190"/>
      <c r="AJ549" s="190"/>
      <c r="AK549" s="66"/>
      <c r="AL549" s="66"/>
      <c r="AM549" s="66"/>
      <c r="AN549" s="66"/>
      <c r="AO549" s="66"/>
      <c r="AP549" s="66"/>
      <c r="AQ549" s="66"/>
      <c r="AR549" s="66"/>
      <c r="AS549" s="66"/>
      <c r="AT549" s="66"/>
    </row>
    <row r="550">
      <c r="A550" s="8"/>
      <c r="B550" s="66"/>
      <c r="C550" s="66"/>
      <c r="D550" s="66"/>
      <c r="E550" s="8"/>
      <c r="F550" s="66"/>
      <c r="G550" s="66"/>
      <c r="H550" s="66"/>
      <c r="I550" s="8"/>
      <c r="J550" s="66"/>
      <c r="K550" s="66"/>
      <c r="L550" s="66"/>
      <c r="M550" s="8"/>
      <c r="N550" s="66"/>
      <c r="O550" s="66"/>
      <c r="P550" s="66"/>
      <c r="Q550" s="8"/>
      <c r="R550" s="66"/>
      <c r="S550" s="66"/>
      <c r="T550" s="66"/>
      <c r="U550" s="8"/>
      <c r="V550" s="66"/>
      <c r="W550" s="66"/>
      <c r="X550" s="66"/>
      <c r="Y550" s="189"/>
      <c r="Z550" s="184"/>
      <c r="AA550" s="184"/>
      <c r="AB550" s="184"/>
      <c r="AC550" s="8"/>
      <c r="AD550" s="66"/>
      <c r="AE550" s="66"/>
      <c r="AF550" s="66"/>
      <c r="AG550" s="190"/>
      <c r="AH550" s="191"/>
      <c r="AI550" s="190"/>
      <c r="AJ550" s="190"/>
      <c r="AK550" s="66"/>
      <c r="AL550" s="66"/>
      <c r="AM550" s="66"/>
      <c r="AN550" s="66"/>
      <c r="AO550" s="66"/>
      <c r="AP550" s="66"/>
      <c r="AQ550" s="66"/>
      <c r="AR550" s="66"/>
      <c r="AS550" s="66"/>
      <c r="AT550" s="66"/>
    </row>
    <row r="551">
      <c r="A551" s="8"/>
      <c r="B551" s="66"/>
      <c r="C551" s="66"/>
      <c r="D551" s="66"/>
      <c r="E551" s="8"/>
      <c r="F551" s="66"/>
      <c r="G551" s="66"/>
      <c r="H551" s="66"/>
      <c r="I551" s="8"/>
      <c r="J551" s="66"/>
      <c r="K551" s="66"/>
      <c r="L551" s="66"/>
      <c r="M551" s="8"/>
      <c r="N551" s="66"/>
      <c r="O551" s="66"/>
      <c r="P551" s="66"/>
      <c r="Q551" s="8"/>
      <c r="R551" s="66"/>
      <c r="S551" s="66"/>
      <c r="T551" s="66"/>
      <c r="U551" s="8"/>
      <c r="V551" s="66"/>
      <c r="W551" s="66"/>
      <c r="X551" s="66"/>
      <c r="Y551" s="189"/>
      <c r="Z551" s="184"/>
      <c r="AA551" s="184"/>
      <c r="AB551" s="184"/>
      <c r="AC551" s="8"/>
      <c r="AD551" s="66"/>
      <c r="AE551" s="66"/>
      <c r="AF551" s="66"/>
      <c r="AG551" s="190"/>
      <c r="AH551" s="191"/>
      <c r="AI551" s="190"/>
      <c r="AJ551" s="190"/>
      <c r="AK551" s="66"/>
      <c r="AL551" s="66"/>
      <c r="AM551" s="66"/>
      <c r="AN551" s="66"/>
      <c r="AO551" s="66"/>
      <c r="AP551" s="66"/>
      <c r="AQ551" s="66"/>
      <c r="AR551" s="66"/>
      <c r="AS551" s="66"/>
      <c r="AT551" s="66"/>
    </row>
    <row r="552">
      <c r="A552" s="8"/>
      <c r="B552" s="66"/>
      <c r="C552" s="66"/>
      <c r="D552" s="66"/>
      <c r="E552" s="8"/>
      <c r="F552" s="66"/>
      <c r="G552" s="66"/>
      <c r="H552" s="66"/>
      <c r="I552" s="8"/>
      <c r="J552" s="66"/>
      <c r="K552" s="66"/>
      <c r="L552" s="66"/>
      <c r="M552" s="8"/>
      <c r="N552" s="66"/>
      <c r="O552" s="66"/>
      <c r="P552" s="66"/>
      <c r="Q552" s="8"/>
      <c r="R552" s="66"/>
      <c r="S552" s="66"/>
      <c r="T552" s="66"/>
      <c r="U552" s="8"/>
      <c r="V552" s="66"/>
      <c r="W552" s="66"/>
      <c r="X552" s="66"/>
      <c r="Y552" s="189"/>
      <c r="Z552" s="184"/>
      <c r="AA552" s="184"/>
      <c r="AB552" s="184"/>
      <c r="AC552" s="8"/>
      <c r="AD552" s="66"/>
      <c r="AE552" s="66"/>
      <c r="AF552" s="66"/>
      <c r="AG552" s="190"/>
      <c r="AH552" s="191"/>
      <c r="AI552" s="190"/>
      <c r="AJ552" s="190"/>
      <c r="AK552" s="66"/>
      <c r="AL552" s="66"/>
      <c r="AM552" s="66"/>
      <c r="AN552" s="66"/>
      <c r="AO552" s="66"/>
      <c r="AP552" s="66"/>
      <c r="AQ552" s="66"/>
      <c r="AR552" s="66"/>
      <c r="AS552" s="66"/>
      <c r="AT552" s="66"/>
    </row>
    <row r="553">
      <c r="A553" s="8"/>
      <c r="B553" s="66"/>
      <c r="C553" s="66"/>
      <c r="D553" s="66"/>
      <c r="E553" s="8"/>
      <c r="F553" s="66"/>
      <c r="G553" s="66"/>
      <c r="H553" s="66"/>
      <c r="I553" s="8"/>
      <c r="J553" s="66"/>
      <c r="K553" s="66"/>
      <c r="L553" s="66"/>
      <c r="M553" s="8"/>
      <c r="N553" s="66"/>
      <c r="O553" s="66"/>
      <c r="P553" s="66"/>
      <c r="Q553" s="8"/>
      <c r="R553" s="66"/>
      <c r="S553" s="66"/>
      <c r="T553" s="66"/>
      <c r="U553" s="8"/>
      <c r="V553" s="66"/>
      <c r="W553" s="66"/>
      <c r="X553" s="66"/>
      <c r="Y553" s="189"/>
      <c r="Z553" s="184"/>
      <c r="AA553" s="184"/>
      <c r="AB553" s="184"/>
      <c r="AC553" s="8"/>
      <c r="AD553" s="66"/>
      <c r="AE553" s="66"/>
      <c r="AF553" s="66"/>
      <c r="AG553" s="190"/>
      <c r="AH553" s="191"/>
      <c r="AI553" s="190"/>
      <c r="AJ553" s="190"/>
      <c r="AK553" s="66"/>
      <c r="AL553" s="66"/>
      <c r="AM553" s="66"/>
      <c r="AN553" s="66"/>
      <c r="AO553" s="66"/>
      <c r="AP553" s="66"/>
      <c r="AQ553" s="66"/>
      <c r="AR553" s="66"/>
      <c r="AS553" s="66"/>
      <c r="AT553" s="66"/>
    </row>
    <row r="554">
      <c r="A554" s="8"/>
      <c r="B554" s="66"/>
      <c r="C554" s="66"/>
      <c r="D554" s="66"/>
      <c r="E554" s="8"/>
      <c r="F554" s="66"/>
      <c r="G554" s="66"/>
      <c r="H554" s="66"/>
      <c r="I554" s="8"/>
      <c r="J554" s="66"/>
      <c r="K554" s="66"/>
      <c r="L554" s="66"/>
      <c r="M554" s="8"/>
      <c r="N554" s="66"/>
      <c r="O554" s="66"/>
      <c r="P554" s="66"/>
      <c r="Q554" s="8"/>
      <c r="R554" s="66"/>
      <c r="S554" s="66"/>
      <c r="T554" s="66"/>
      <c r="U554" s="8"/>
      <c r="V554" s="66"/>
      <c r="W554" s="66"/>
      <c r="X554" s="66"/>
      <c r="Y554" s="189"/>
      <c r="Z554" s="184"/>
      <c r="AA554" s="184"/>
      <c r="AB554" s="184"/>
      <c r="AC554" s="8"/>
      <c r="AD554" s="66"/>
      <c r="AE554" s="66"/>
      <c r="AF554" s="66"/>
      <c r="AG554" s="190"/>
      <c r="AH554" s="191"/>
      <c r="AI554" s="190"/>
      <c r="AJ554" s="190"/>
      <c r="AK554" s="66"/>
      <c r="AL554" s="66"/>
      <c r="AM554" s="66"/>
      <c r="AN554" s="66"/>
      <c r="AO554" s="66"/>
      <c r="AP554" s="66"/>
      <c r="AQ554" s="66"/>
      <c r="AR554" s="66"/>
      <c r="AS554" s="66"/>
      <c r="AT554" s="66"/>
    </row>
    <row r="555">
      <c r="A555" s="8"/>
      <c r="B555" s="66"/>
      <c r="C555" s="66"/>
      <c r="D555" s="66"/>
      <c r="E555" s="8"/>
      <c r="F555" s="66"/>
      <c r="G555" s="66"/>
      <c r="H555" s="66"/>
      <c r="I555" s="8"/>
      <c r="J555" s="66"/>
      <c r="K555" s="66"/>
      <c r="L555" s="66"/>
      <c r="M555" s="8"/>
      <c r="N555" s="66"/>
      <c r="O555" s="66"/>
      <c r="P555" s="66"/>
      <c r="Q555" s="8"/>
      <c r="R555" s="66"/>
      <c r="S555" s="66"/>
      <c r="T555" s="66"/>
      <c r="U555" s="8"/>
      <c r="V555" s="66"/>
      <c r="W555" s="66"/>
      <c r="X555" s="66"/>
      <c r="Y555" s="189"/>
      <c r="Z555" s="184"/>
      <c r="AA555" s="184"/>
      <c r="AB555" s="184"/>
      <c r="AC555" s="8"/>
      <c r="AD555" s="66"/>
      <c r="AE555" s="66"/>
      <c r="AF555" s="66"/>
      <c r="AG555" s="190"/>
      <c r="AH555" s="191"/>
      <c r="AI555" s="190"/>
      <c r="AJ555" s="190"/>
      <c r="AK555" s="66"/>
      <c r="AL555" s="66"/>
      <c r="AM555" s="66"/>
      <c r="AN555" s="66"/>
      <c r="AO555" s="66"/>
      <c r="AP555" s="66"/>
      <c r="AQ555" s="66"/>
      <c r="AR555" s="66"/>
      <c r="AS555" s="66"/>
      <c r="AT555" s="66"/>
    </row>
    <row r="556">
      <c r="A556" s="8"/>
      <c r="B556" s="66"/>
      <c r="C556" s="66"/>
      <c r="D556" s="66"/>
      <c r="E556" s="8"/>
      <c r="F556" s="66"/>
      <c r="G556" s="66"/>
      <c r="H556" s="66"/>
      <c r="I556" s="8"/>
      <c r="J556" s="66"/>
      <c r="K556" s="66"/>
      <c r="L556" s="66"/>
      <c r="M556" s="8"/>
      <c r="N556" s="66"/>
      <c r="O556" s="66"/>
      <c r="P556" s="66"/>
      <c r="Q556" s="8"/>
      <c r="R556" s="66"/>
      <c r="S556" s="66"/>
      <c r="T556" s="66"/>
      <c r="U556" s="8"/>
      <c r="V556" s="66"/>
      <c r="W556" s="66"/>
      <c r="X556" s="66"/>
      <c r="Y556" s="189"/>
      <c r="Z556" s="184"/>
      <c r="AA556" s="184"/>
      <c r="AB556" s="184"/>
      <c r="AC556" s="8"/>
      <c r="AD556" s="66"/>
      <c r="AE556" s="66"/>
      <c r="AF556" s="66"/>
      <c r="AG556" s="190"/>
      <c r="AH556" s="191"/>
      <c r="AI556" s="190"/>
      <c r="AJ556" s="190"/>
      <c r="AK556" s="66"/>
      <c r="AL556" s="66"/>
      <c r="AM556" s="66"/>
      <c r="AN556" s="66"/>
      <c r="AO556" s="66"/>
      <c r="AP556" s="66"/>
      <c r="AQ556" s="66"/>
      <c r="AR556" s="66"/>
      <c r="AS556" s="66"/>
      <c r="AT556" s="66"/>
    </row>
    <row r="557">
      <c r="A557" s="8"/>
      <c r="B557" s="66"/>
      <c r="C557" s="66"/>
      <c r="D557" s="66"/>
      <c r="E557" s="8"/>
      <c r="F557" s="66"/>
      <c r="G557" s="66"/>
      <c r="H557" s="66"/>
      <c r="I557" s="8"/>
      <c r="J557" s="66"/>
      <c r="K557" s="66"/>
      <c r="L557" s="66"/>
      <c r="M557" s="8"/>
      <c r="N557" s="66"/>
      <c r="O557" s="66"/>
      <c r="P557" s="66"/>
      <c r="Q557" s="8"/>
      <c r="R557" s="66"/>
      <c r="S557" s="66"/>
      <c r="T557" s="66"/>
      <c r="U557" s="8"/>
      <c r="V557" s="66"/>
      <c r="W557" s="66"/>
      <c r="X557" s="66"/>
      <c r="Y557" s="189"/>
      <c r="Z557" s="184"/>
      <c r="AA557" s="184"/>
      <c r="AB557" s="184"/>
      <c r="AC557" s="8"/>
      <c r="AD557" s="66"/>
      <c r="AE557" s="66"/>
      <c r="AF557" s="66"/>
      <c r="AG557" s="190"/>
      <c r="AH557" s="191"/>
      <c r="AI557" s="190"/>
      <c r="AJ557" s="190"/>
      <c r="AK557" s="66"/>
      <c r="AL557" s="66"/>
      <c r="AM557" s="66"/>
      <c r="AN557" s="66"/>
      <c r="AO557" s="66"/>
      <c r="AP557" s="66"/>
      <c r="AQ557" s="66"/>
      <c r="AR557" s="66"/>
      <c r="AS557" s="66"/>
      <c r="AT557" s="66"/>
    </row>
    <row r="558">
      <c r="A558" s="8"/>
      <c r="B558" s="66"/>
      <c r="C558" s="66"/>
      <c r="D558" s="66"/>
      <c r="E558" s="8"/>
      <c r="F558" s="66"/>
      <c r="G558" s="66"/>
      <c r="H558" s="66"/>
      <c r="I558" s="8"/>
      <c r="J558" s="66"/>
      <c r="K558" s="66"/>
      <c r="L558" s="66"/>
      <c r="M558" s="8"/>
      <c r="N558" s="66"/>
      <c r="O558" s="66"/>
      <c r="P558" s="66"/>
      <c r="Q558" s="8"/>
      <c r="R558" s="66"/>
      <c r="S558" s="66"/>
      <c r="T558" s="66"/>
      <c r="U558" s="8"/>
      <c r="V558" s="66"/>
      <c r="W558" s="66"/>
      <c r="X558" s="66"/>
      <c r="Y558" s="189"/>
      <c r="Z558" s="184"/>
      <c r="AA558" s="184"/>
      <c r="AB558" s="184"/>
      <c r="AC558" s="8"/>
      <c r="AD558" s="66"/>
      <c r="AE558" s="66"/>
      <c r="AF558" s="66"/>
      <c r="AG558" s="190"/>
      <c r="AH558" s="191"/>
      <c r="AI558" s="190"/>
      <c r="AJ558" s="190"/>
      <c r="AK558" s="66"/>
      <c r="AL558" s="66"/>
      <c r="AM558" s="66"/>
      <c r="AN558" s="66"/>
      <c r="AO558" s="66"/>
      <c r="AP558" s="66"/>
      <c r="AQ558" s="66"/>
      <c r="AR558" s="66"/>
      <c r="AS558" s="66"/>
      <c r="AT558" s="66"/>
    </row>
    <row r="559">
      <c r="A559" s="8"/>
      <c r="B559" s="66"/>
      <c r="C559" s="66"/>
      <c r="D559" s="66"/>
      <c r="E559" s="8"/>
      <c r="F559" s="66"/>
      <c r="G559" s="66"/>
      <c r="H559" s="66"/>
      <c r="I559" s="8"/>
      <c r="J559" s="66"/>
      <c r="K559" s="66"/>
      <c r="L559" s="66"/>
      <c r="M559" s="8"/>
      <c r="N559" s="66"/>
      <c r="O559" s="66"/>
      <c r="P559" s="66"/>
      <c r="Q559" s="8"/>
      <c r="R559" s="66"/>
      <c r="S559" s="66"/>
      <c r="T559" s="66"/>
      <c r="U559" s="8"/>
      <c r="V559" s="66"/>
      <c r="W559" s="66"/>
      <c r="X559" s="66"/>
      <c r="Y559" s="189"/>
      <c r="Z559" s="184"/>
      <c r="AA559" s="184"/>
      <c r="AB559" s="184"/>
      <c r="AC559" s="8"/>
      <c r="AD559" s="66"/>
      <c r="AE559" s="66"/>
      <c r="AF559" s="66"/>
      <c r="AG559" s="190"/>
      <c r="AH559" s="191"/>
      <c r="AI559" s="190"/>
      <c r="AJ559" s="190"/>
      <c r="AK559" s="66"/>
      <c r="AL559" s="66"/>
      <c r="AM559" s="66"/>
      <c r="AN559" s="66"/>
      <c r="AO559" s="66"/>
      <c r="AP559" s="66"/>
      <c r="AQ559" s="66"/>
      <c r="AR559" s="66"/>
      <c r="AS559" s="66"/>
      <c r="AT559" s="66"/>
    </row>
    <row r="560">
      <c r="A560" s="8"/>
      <c r="B560" s="66"/>
      <c r="C560" s="66"/>
      <c r="D560" s="66"/>
      <c r="E560" s="8"/>
      <c r="F560" s="66"/>
      <c r="G560" s="66"/>
      <c r="H560" s="66"/>
      <c r="I560" s="8"/>
      <c r="J560" s="66"/>
      <c r="K560" s="66"/>
      <c r="L560" s="66"/>
      <c r="M560" s="8"/>
      <c r="N560" s="66"/>
      <c r="O560" s="66"/>
      <c r="P560" s="66"/>
      <c r="Q560" s="8"/>
      <c r="R560" s="66"/>
      <c r="S560" s="66"/>
      <c r="T560" s="66"/>
      <c r="U560" s="8"/>
      <c r="V560" s="66"/>
      <c r="W560" s="66"/>
      <c r="X560" s="66"/>
      <c r="Y560" s="189"/>
      <c r="Z560" s="184"/>
      <c r="AA560" s="184"/>
      <c r="AB560" s="184"/>
      <c r="AC560" s="8"/>
      <c r="AD560" s="66"/>
      <c r="AE560" s="66"/>
      <c r="AF560" s="66"/>
      <c r="AG560" s="190"/>
      <c r="AH560" s="191"/>
      <c r="AI560" s="190"/>
      <c r="AJ560" s="190"/>
      <c r="AK560" s="66"/>
      <c r="AL560" s="66"/>
      <c r="AM560" s="66"/>
      <c r="AN560" s="66"/>
      <c r="AO560" s="66"/>
      <c r="AP560" s="66"/>
      <c r="AQ560" s="66"/>
      <c r="AR560" s="66"/>
      <c r="AS560" s="66"/>
      <c r="AT560" s="66"/>
    </row>
    <row r="561">
      <c r="A561" s="8"/>
      <c r="B561" s="66"/>
      <c r="C561" s="66"/>
      <c r="D561" s="66"/>
      <c r="E561" s="8"/>
      <c r="F561" s="66"/>
      <c r="G561" s="66"/>
      <c r="H561" s="66"/>
      <c r="I561" s="8"/>
      <c r="J561" s="66"/>
      <c r="K561" s="66"/>
      <c r="L561" s="66"/>
      <c r="M561" s="8"/>
      <c r="N561" s="66"/>
      <c r="O561" s="66"/>
      <c r="P561" s="66"/>
      <c r="Q561" s="8"/>
      <c r="R561" s="66"/>
      <c r="S561" s="66"/>
      <c r="T561" s="66"/>
      <c r="U561" s="8"/>
      <c r="V561" s="66"/>
      <c r="W561" s="66"/>
      <c r="X561" s="66"/>
      <c r="Y561" s="189"/>
      <c r="Z561" s="184"/>
      <c r="AA561" s="184"/>
      <c r="AB561" s="184"/>
      <c r="AC561" s="8"/>
      <c r="AD561" s="66"/>
      <c r="AE561" s="66"/>
      <c r="AF561" s="66"/>
      <c r="AG561" s="190"/>
      <c r="AH561" s="191"/>
      <c r="AI561" s="190"/>
      <c r="AJ561" s="190"/>
      <c r="AK561" s="66"/>
      <c r="AL561" s="66"/>
      <c r="AM561" s="66"/>
      <c r="AN561" s="66"/>
      <c r="AO561" s="66"/>
      <c r="AP561" s="66"/>
      <c r="AQ561" s="66"/>
      <c r="AR561" s="66"/>
      <c r="AS561" s="66"/>
      <c r="AT561" s="66"/>
    </row>
    <row r="562">
      <c r="A562" s="8"/>
      <c r="B562" s="66"/>
      <c r="C562" s="66"/>
      <c r="D562" s="66"/>
      <c r="E562" s="8"/>
      <c r="F562" s="66"/>
      <c r="G562" s="66"/>
      <c r="H562" s="66"/>
      <c r="I562" s="8"/>
      <c r="J562" s="66"/>
      <c r="K562" s="66"/>
      <c r="L562" s="66"/>
      <c r="M562" s="8"/>
      <c r="N562" s="66"/>
      <c r="O562" s="66"/>
      <c r="P562" s="66"/>
      <c r="Q562" s="8"/>
      <c r="R562" s="66"/>
      <c r="S562" s="66"/>
      <c r="T562" s="66"/>
      <c r="U562" s="8"/>
      <c r="V562" s="66"/>
      <c r="W562" s="66"/>
      <c r="X562" s="66"/>
      <c r="Y562" s="189"/>
      <c r="Z562" s="184"/>
      <c r="AA562" s="184"/>
      <c r="AB562" s="184"/>
      <c r="AC562" s="8"/>
      <c r="AD562" s="66"/>
      <c r="AE562" s="66"/>
      <c r="AF562" s="66"/>
      <c r="AG562" s="190"/>
      <c r="AH562" s="191"/>
      <c r="AI562" s="190"/>
      <c r="AJ562" s="190"/>
      <c r="AK562" s="66"/>
      <c r="AL562" s="66"/>
      <c r="AM562" s="66"/>
      <c r="AN562" s="66"/>
      <c r="AO562" s="66"/>
      <c r="AP562" s="66"/>
      <c r="AQ562" s="66"/>
      <c r="AR562" s="66"/>
      <c r="AS562" s="66"/>
      <c r="AT562" s="66"/>
    </row>
    <row r="563">
      <c r="A563" s="8"/>
      <c r="B563" s="66"/>
      <c r="C563" s="66"/>
      <c r="D563" s="66"/>
      <c r="E563" s="8"/>
      <c r="F563" s="66"/>
      <c r="G563" s="66"/>
      <c r="H563" s="66"/>
      <c r="I563" s="8"/>
      <c r="J563" s="66"/>
      <c r="K563" s="66"/>
      <c r="L563" s="66"/>
      <c r="M563" s="8"/>
      <c r="N563" s="66"/>
      <c r="O563" s="66"/>
      <c r="P563" s="66"/>
      <c r="Q563" s="8"/>
      <c r="R563" s="66"/>
      <c r="S563" s="66"/>
      <c r="T563" s="66"/>
      <c r="U563" s="8"/>
      <c r="V563" s="66"/>
      <c r="W563" s="66"/>
      <c r="X563" s="66"/>
      <c r="Y563" s="189"/>
      <c r="Z563" s="184"/>
      <c r="AA563" s="184"/>
      <c r="AB563" s="184"/>
      <c r="AC563" s="8"/>
      <c r="AD563" s="66"/>
      <c r="AE563" s="66"/>
      <c r="AF563" s="66"/>
      <c r="AG563" s="190"/>
      <c r="AH563" s="191"/>
      <c r="AI563" s="190"/>
      <c r="AJ563" s="190"/>
      <c r="AK563" s="66"/>
      <c r="AL563" s="66"/>
      <c r="AM563" s="66"/>
      <c r="AN563" s="66"/>
      <c r="AO563" s="66"/>
      <c r="AP563" s="66"/>
      <c r="AQ563" s="66"/>
      <c r="AR563" s="66"/>
      <c r="AS563" s="66"/>
      <c r="AT563" s="66"/>
    </row>
    <row r="564">
      <c r="A564" s="8"/>
      <c r="B564" s="66"/>
      <c r="C564" s="66"/>
      <c r="D564" s="66"/>
      <c r="E564" s="8"/>
      <c r="F564" s="66"/>
      <c r="G564" s="66"/>
      <c r="H564" s="66"/>
      <c r="I564" s="8"/>
      <c r="J564" s="66"/>
      <c r="K564" s="66"/>
      <c r="L564" s="66"/>
      <c r="M564" s="8"/>
      <c r="N564" s="66"/>
      <c r="O564" s="66"/>
      <c r="P564" s="66"/>
      <c r="Q564" s="8"/>
      <c r="R564" s="66"/>
      <c r="S564" s="66"/>
      <c r="T564" s="66"/>
      <c r="U564" s="8"/>
      <c r="V564" s="66"/>
      <c r="W564" s="66"/>
      <c r="X564" s="66"/>
      <c r="Y564" s="189"/>
      <c r="Z564" s="184"/>
      <c r="AA564" s="184"/>
      <c r="AB564" s="184"/>
      <c r="AC564" s="8"/>
      <c r="AD564" s="66"/>
      <c r="AE564" s="66"/>
      <c r="AF564" s="66"/>
      <c r="AG564" s="190"/>
      <c r="AH564" s="191"/>
      <c r="AI564" s="190"/>
      <c r="AJ564" s="190"/>
      <c r="AK564" s="66"/>
      <c r="AL564" s="66"/>
      <c r="AM564" s="66"/>
      <c r="AN564" s="66"/>
      <c r="AO564" s="66"/>
      <c r="AP564" s="66"/>
      <c r="AQ564" s="66"/>
      <c r="AR564" s="66"/>
      <c r="AS564" s="66"/>
      <c r="AT564" s="66"/>
    </row>
    <row r="565">
      <c r="A565" s="8"/>
      <c r="B565" s="66"/>
      <c r="C565" s="66"/>
      <c r="D565" s="66"/>
      <c r="E565" s="8"/>
      <c r="F565" s="66"/>
      <c r="G565" s="66"/>
      <c r="H565" s="66"/>
      <c r="I565" s="8"/>
      <c r="J565" s="66"/>
      <c r="K565" s="66"/>
      <c r="L565" s="66"/>
      <c r="M565" s="8"/>
      <c r="N565" s="66"/>
      <c r="O565" s="66"/>
      <c r="P565" s="66"/>
      <c r="Q565" s="8"/>
      <c r="R565" s="66"/>
      <c r="S565" s="66"/>
      <c r="T565" s="66"/>
      <c r="U565" s="8"/>
      <c r="V565" s="66"/>
      <c r="W565" s="66"/>
      <c r="X565" s="66"/>
      <c r="Y565" s="189"/>
      <c r="Z565" s="184"/>
      <c r="AA565" s="184"/>
      <c r="AB565" s="184"/>
      <c r="AC565" s="8"/>
      <c r="AD565" s="66"/>
      <c r="AE565" s="66"/>
      <c r="AF565" s="66"/>
      <c r="AG565" s="190"/>
      <c r="AH565" s="191"/>
      <c r="AI565" s="190"/>
      <c r="AJ565" s="190"/>
      <c r="AK565" s="66"/>
      <c r="AL565" s="66"/>
      <c r="AM565" s="66"/>
      <c r="AN565" s="66"/>
      <c r="AO565" s="66"/>
      <c r="AP565" s="66"/>
      <c r="AQ565" s="66"/>
      <c r="AR565" s="66"/>
      <c r="AS565" s="66"/>
      <c r="AT565" s="66"/>
    </row>
    <row r="566">
      <c r="A566" s="8"/>
      <c r="B566" s="66"/>
      <c r="C566" s="66"/>
      <c r="D566" s="66"/>
      <c r="E566" s="8"/>
      <c r="F566" s="66"/>
      <c r="G566" s="66"/>
      <c r="H566" s="66"/>
      <c r="I566" s="8"/>
      <c r="J566" s="66"/>
      <c r="K566" s="66"/>
      <c r="L566" s="66"/>
      <c r="M566" s="8"/>
      <c r="N566" s="66"/>
      <c r="O566" s="66"/>
      <c r="P566" s="66"/>
      <c r="Q566" s="8"/>
      <c r="R566" s="66"/>
      <c r="S566" s="66"/>
      <c r="T566" s="66"/>
      <c r="U566" s="8"/>
      <c r="V566" s="66"/>
      <c r="W566" s="66"/>
      <c r="X566" s="66"/>
      <c r="Y566" s="189"/>
      <c r="Z566" s="184"/>
      <c r="AA566" s="184"/>
      <c r="AB566" s="184"/>
      <c r="AC566" s="8"/>
      <c r="AD566" s="66"/>
      <c r="AE566" s="66"/>
      <c r="AF566" s="66"/>
      <c r="AG566" s="190"/>
      <c r="AH566" s="191"/>
      <c r="AI566" s="190"/>
      <c r="AJ566" s="190"/>
      <c r="AK566" s="66"/>
      <c r="AL566" s="66"/>
      <c r="AM566" s="66"/>
      <c r="AN566" s="66"/>
      <c r="AO566" s="66"/>
      <c r="AP566" s="66"/>
      <c r="AQ566" s="66"/>
      <c r="AR566" s="66"/>
      <c r="AS566" s="66"/>
      <c r="AT566" s="66"/>
    </row>
    <row r="567">
      <c r="A567" s="8"/>
      <c r="B567" s="66"/>
      <c r="C567" s="66"/>
      <c r="D567" s="66"/>
      <c r="E567" s="8"/>
      <c r="F567" s="66"/>
      <c r="G567" s="66"/>
      <c r="H567" s="66"/>
      <c r="I567" s="8"/>
      <c r="J567" s="66"/>
      <c r="K567" s="66"/>
      <c r="L567" s="66"/>
      <c r="M567" s="8"/>
      <c r="N567" s="66"/>
      <c r="O567" s="66"/>
      <c r="P567" s="66"/>
      <c r="Q567" s="8"/>
      <c r="R567" s="66"/>
      <c r="S567" s="66"/>
      <c r="T567" s="66"/>
      <c r="U567" s="8"/>
      <c r="V567" s="66"/>
      <c r="W567" s="66"/>
      <c r="X567" s="66"/>
      <c r="Y567" s="189"/>
      <c r="Z567" s="184"/>
      <c r="AA567" s="184"/>
      <c r="AB567" s="184"/>
      <c r="AC567" s="8"/>
      <c r="AD567" s="66"/>
      <c r="AE567" s="66"/>
      <c r="AF567" s="66"/>
      <c r="AG567" s="190"/>
      <c r="AH567" s="191"/>
      <c r="AI567" s="190"/>
      <c r="AJ567" s="190"/>
      <c r="AK567" s="66"/>
      <c r="AL567" s="66"/>
      <c r="AM567" s="66"/>
      <c r="AN567" s="66"/>
      <c r="AO567" s="66"/>
      <c r="AP567" s="66"/>
      <c r="AQ567" s="66"/>
      <c r="AR567" s="66"/>
      <c r="AS567" s="66"/>
      <c r="AT567" s="66"/>
    </row>
    <row r="568">
      <c r="A568" s="8"/>
      <c r="B568" s="66"/>
      <c r="C568" s="66"/>
      <c r="D568" s="66"/>
      <c r="E568" s="8"/>
      <c r="F568" s="66"/>
      <c r="G568" s="66"/>
      <c r="H568" s="66"/>
      <c r="I568" s="8"/>
      <c r="J568" s="66"/>
      <c r="K568" s="66"/>
      <c r="L568" s="66"/>
      <c r="M568" s="8"/>
      <c r="N568" s="66"/>
      <c r="O568" s="66"/>
      <c r="P568" s="66"/>
      <c r="Q568" s="8"/>
      <c r="R568" s="66"/>
      <c r="S568" s="66"/>
      <c r="T568" s="66"/>
      <c r="U568" s="8"/>
      <c r="V568" s="66"/>
      <c r="W568" s="66"/>
      <c r="X568" s="66"/>
      <c r="Y568" s="189"/>
      <c r="Z568" s="184"/>
      <c r="AA568" s="184"/>
      <c r="AB568" s="184"/>
      <c r="AC568" s="8"/>
      <c r="AD568" s="66"/>
      <c r="AE568" s="66"/>
      <c r="AF568" s="66"/>
      <c r="AG568" s="190"/>
      <c r="AH568" s="191"/>
      <c r="AI568" s="190"/>
      <c r="AJ568" s="190"/>
      <c r="AK568" s="66"/>
      <c r="AL568" s="66"/>
      <c r="AM568" s="66"/>
      <c r="AN568" s="66"/>
      <c r="AO568" s="66"/>
      <c r="AP568" s="66"/>
      <c r="AQ568" s="66"/>
      <c r="AR568" s="66"/>
      <c r="AS568" s="66"/>
      <c r="AT568" s="66"/>
    </row>
    <row r="569">
      <c r="A569" s="8"/>
      <c r="B569" s="66"/>
      <c r="C569" s="66"/>
      <c r="D569" s="66"/>
      <c r="E569" s="8"/>
      <c r="F569" s="66"/>
      <c r="G569" s="66"/>
      <c r="H569" s="66"/>
      <c r="I569" s="8"/>
      <c r="J569" s="66"/>
      <c r="K569" s="66"/>
      <c r="L569" s="66"/>
      <c r="M569" s="8"/>
      <c r="N569" s="66"/>
      <c r="O569" s="66"/>
      <c r="P569" s="66"/>
      <c r="Q569" s="8"/>
      <c r="R569" s="66"/>
      <c r="S569" s="66"/>
      <c r="T569" s="66"/>
      <c r="U569" s="8"/>
      <c r="V569" s="66"/>
      <c r="W569" s="66"/>
      <c r="X569" s="66"/>
      <c r="Y569" s="189"/>
      <c r="Z569" s="184"/>
      <c r="AA569" s="184"/>
      <c r="AB569" s="184"/>
      <c r="AC569" s="8"/>
      <c r="AD569" s="66"/>
      <c r="AE569" s="66"/>
      <c r="AF569" s="66"/>
      <c r="AG569" s="190"/>
      <c r="AH569" s="191"/>
      <c r="AI569" s="190"/>
      <c r="AJ569" s="190"/>
      <c r="AK569" s="66"/>
      <c r="AL569" s="66"/>
      <c r="AM569" s="66"/>
      <c r="AN569" s="66"/>
      <c r="AO569" s="66"/>
      <c r="AP569" s="66"/>
      <c r="AQ569" s="66"/>
      <c r="AR569" s="66"/>
      <c r="AS569" s="66"/>
      <c r="AT569" s="66"/>
    </row>
    <row r="570">
      <c r="A570" s="8"/>
      <c r="B570" s="66"/>
      <c r="C570" s="66"/>
      <c r="D570" s="66"/>
      <c r="E570" s="8"/>
      <c r="F570" s="66"/>
      <c r="G570" s="66"/>
      <c r="H570" s="66"/>
      <c r="I570" s="8"/>
      <c r="J570" s="66"/>
      <c r="K570" s="66"/>
      <c r="L570" s="66"/>
      <c r="M570" s="8"/>
      <c r="N570" s="66"/>
      <c r="O570" s="66"/>
      <c r="P570" s="66"/>
      <c r="Q570" s="8"/>
      <c r="R570" s="66"/>
      <c r="S570" s="66"/>
      <c r="T570" s="66"/>
      <c r="U570" s="8"/>
      <c r="V570" s="66"/>
      <c r="W570" s="66"/>
      <c r="X570" s="66"/>
      <c r="Y570" s="189"/>
      <c r="Z570" s="184"/>
      <c r="AA570" s="184"/>
      <c r="AB570" s="184"/>
      <c r="AC570" s="8"/>
      <c r="AD570" s="66"/>
      <c r="AE570" s="66"/>
      <c r="AF570" s="66"/>
      <c r="AG570" s="190"/>
      <c r="AH570" s="191"/>
      <c r="AI570" s="190"/>
      <c r="AJ570" s="190"/>
      <c r="AK570" s="66"/>
      <c r="AL570" s="66"/>
      <c r="AM570" s="66"/>
      <c r="AN570" s="66"/>
      <c r="AO570" s="66"/>
      <c r="AP570" s="66"/>
      <c r="AQ570" s="66"/>
      <c r="AR570" s="66"/>
      <c r="AS570" s="66"/>
      <c r="AT570" s="66"/>
    </row>
    <row r="571">
      <c r="A571" s="8"/>
      <c r="B571" s="66"/>
      <c r="C571" s="66"/>
      <c r="D571" s="66"/>
      <c r="E571" s="8"/>
      <c r="F571" s="66"/>
      <c r="G571" s="66"/>
      <c r="H571" s="66"/>
      <c r="I571" s="8"/>
      <c r="J571" s="66"/>
      <c r="K571" s="66"/>
      <c r="L571" s="66"/>
      <c r="M571" s="8"/>
      <c r="N571" s="66"/>
      <c r="O571" s="66"/>
      <c r="P571" s="66"/>
      <c r="Q571" s="8"/>
      <c r="R571" s="66"/>
      <c r="S571" s="66"/>
      <c r="T571" s="66"/>
      <c r="U571" s="8"/>
      <c r="V571" s="66"/>
      <c r="W571" s="66"/>
      <c r="X571" s="66"/>
      <c r="Y571" s="189"/>
      <c r="Z571" s="184"/>
      <c r="AA571" s="184"/>
      <c r="AB571" s="184"/>
      <c r="AC571" s="8"/>
      <c r="AD571" s="66"/>
      <c r="AE571" s="66"/>
      <c r="AF571" s="66"/>
      <c r="AG571" s="190"/>
      <c r="AH571" s="191"/>
      <c r="AI571" s="190"/>
      <c r="AJ571" s="190"/>
      <c r="AK571" s="66"/>
      <c r="AL571" s="66"/>
      <c r="AM571" s="66"/>
      <c r="AN571" s="66"/>
      <c r="AO571" s="66"/>
      <c r="AP571" s="66"/>
      <c r="AQ571" s="66"/>
      <c r="AR571" s="66"/>
      <c r="AS571" s="66"/>
      <c r="AT571" s="66"/>
    </row>
    <row r="572">
      <c r="A572" s="8"/>
      <c r="B572" s="66"/>
      <c r="C572" s="66"/>
      <c r="D572" s="66"/>
      <c r="E572" s="8"/>
      <c r="F572" s="66"/>
      <c r="G572" s="66"/>
      <c r="H572" s="66"/>
      <c r="I572" s="8"/>
      <c r="J572" s="66"/>
      <c r="K572" s="66"/>
      <c r="L572" s="66"/>
      <c r="M572" s="8"/>
      <c r="N572" s="66"/>
      <c r="O572" s="66"/>
      <c r="P572" s="66"/>
      <c r="Q572" s="8"/>
      <c r="R572" s="66"/>
      <c r="S572" s="66"/>
      <c r="T572" s="66"/>
      <c r="U572" s="8"/>
      <c r="V572" s="66"/>
      <c r="W572" s="66"/>
      <c r="X572" s="66"/>
      <c r="Y572" s="189"/>
      <c r="Z572" s="184"/>
      <c r="AA572" s="184"/>
      <c r="AB572" s="184"/>
      <c r="AC572" s="8"/>
      <c r="AD572" s="66"/>
      <c r="AE572" s="66"/>
      <c r="AF572" s="66"/>
      <c r="AG572" s="190"/>
      <c r="AH572" s="191"/>
      <c r="AI572" s="190"/>
      <c r="AJ572" s="190"/>
      <c r="AK572" s="66"/>
      <c r="AL572" s="66"/>
      <c r="AM572" s="66"/>
      <c r="AN572" s="66"/>
      <c r="AO572" s="66"/>
      <c r="AP572" s="66"/>
      <c r="AQ572" s="66"/>
      <c r="AR572" s="66"/>
      <c r="AS572" s="66"/>
      <c r="AT572" s="66"/>
    </row>
    <row r="573">
      <c r="A573" s="8"/>
      <c r="B573" s="66"/>
      <c r="C573" s="66"/>
      <c r="D573" s="66"/>
      <c r="E573" s="8"/>
      <c r="F573" s="66"/>
      <c r="G573" s="66"/>
      <c r="H573" s="66"/>
      <c r="I573" s="8"/>
      <c r="J573" s="66"/>
      <c r="K573" s="66"/>
      <c r="L573" s="66"/>
      <c r="M573" s="8"/>
      <c r="N573" s="66"/>
      <c r="O573" s="66"/>
      <c r="P573" s="66"/>
      <c r="Q573" s="8"/>
      <c r="R573" s="66"/>
      <c r="S573" s="66"/>
      <c r="T573" s="66"/>
      <c r="U573" s="8"/>
      <c r="V573" s="66"/>
      <c r="W573" s="66"/>
      <c r="X573" s="66"/>
      <c r="Y573" s="189"/>
      <c r="Z573" s="184"/>
      <c r="AA573" s="184"/>
      <c r="AB573" s="184"/>
      <c r="AC573" s="8"/>
      <c r="AD573" s="66"/>
      <c r="AE573" s="66"/>
      <c r="AF573" s="66"/>
      <c r="AG573" s="190"/>
      <c r="AH573" s="191"/>
      <c r="AI573" s="190"/>
      <c r="AJ573" s="190"/>
      <c r="AK573" s="66"/>
      <c r="AL573" s="66"/>
      <c r="AM573" s="66"/>
      <c r="AN573" s="66"/>
      <c r="AO573" s="66"/>
      <c r="AP573" s="66"/>
      <c r="AQ573" s="66"/>
      <c r="AR573" s="66"/>
      <c r="AS573" s="66"/>
      <c r="AT573" s="66"/>
    </row>
    <row r="574">
      <c r="A574" s="8"/>
      <c r="B574" s="66"/>
      <c r="C574" s="66"/>
      <c r="D574" s="66"/>
      <c r="E574" s="8"/>
      <c r="F574" s="66"/>
      <c r="G574" s="66"/>
      <c r="H574" s="66"/>
      <c r="I574" s="8"/>
      <c r="J574" s="66"/>
      <c r="K574" s="66"/>
      <c r="L574" s="66"/>
      <c r="M574" s="8"/>
      <c r="N574" s="66"/>
      <c r="O574" s="66"/>
      <c r="P574" s="66"/>
      <c r="Q574" s="8"/>
      <c r="R574" s="66"/>
      <c r="S574" s="66"/>
      <c r="T574" s="66"/>
      <c r="U574" s="8"/>
      <c r="V574" s="66"/>
      <c r="W574" s="66"/>
      <c r="X574" s="66"/>
      <c r="Y574" s="189"/>
      <c r="Z574" s="184"/>
      <c r="AA574" s="184"/>
      <c r="AB574" s="184"/>
      <c r="AC574" s="8"/>
      <c r="AD574" s="66"/>
      <c r="AE574" s="66"/>
      <c r="AF574" s="66"/>
      <c r="AG574" s="190"/>
      <c r="AH574" s="191"/>
      <c r="AI574" s="190"/>
      <c r="AJ574" s="190"/>
      <c r="AK574" s="66"/>
      <c r="AL574" s="66"/>
      <c r="AM574" s="66"/>
      <c r="AN574" s="66"/>
      <c r="AO574" s="66"/>
      <c r="AP574" s="66"/>
      <c r="AQ574" s="66"/>
      <c r="AR574" s="66"/>
      <c r="AS574" s="66"/>
      <c r="AT574" s="66"/>
    </row>
    <row r="575">
      <c r="A575" s="8"/>
      <c r="B575" s="66"/>
      <c r="C575" s="66"/>
      <c r="D575" s="66"/>
      <c r="E575" s="8"/>
      <c r="F575" s="66"/>
      <c r="G575" s="66"/>
      <c r="H575" s="66"/>
      <c r="I575" s="8"/>
      <c r="J575" s="66"/>
      <c r="K575" s="66"/>
      <c r="L575" s="66"/>
      <c r="M575" s="8"/>
      <c r="N575" s="66"/>
      <c r="O575" s="66"/>
      <c r="P575" s="66"/>
      <c r="Q575" s="8"/>
      <c r="R575" s="66"/>
      <c r="S575" s="66"/>
      <c r="T575" s="66"/>
      <c r="U575" s="8"/>
      <c r="V575" s="66"/>
      <c r="W575" s="66"/>
      <c r="X575" s="66"/>
      <c r="Y575" s="189"/>
      <c r="Z575" s="184"/>
      <c r="AA575" s="184"/>
      <c r="AB575" s="184"/>
      <c r="AC575" s="8"/>
      <c r="AD575" s="66"/>
      <c r="AE575" s="66"/>
      <c r="AF575" s="66"/>
      <c r="AG575" s="190"/>
      <c r="AH575" s="191"/>
      <c r="AI575" s="190"/>
      <c r="AJ575" s="190"/>
      <c r="AK575" s="66"/>
      <c r="AL575" s="66"/>
      <c r="AM575" s="66"/>
      <c r="AN575" s="66"/>
      <c r="AO575" s="66"/>
      <c r="AP575" s="66"/>
      <c r="AQ575" s="66"/>
      <c r="AR575" s="66"/>
      <c r="AS575" s="66"/>
      <c r="AT575" s="66"/>
    </row>
    <row r="576">
      <c r="A576" s="8"/>
      <c r="B576" s="66"/>
      <c r="C576" s="66"/>
      <c r="D576" s="66"/>
      <c r="E576" s="8"/>
      <c r="F576" s="66"/>
      <c r="G576" s="66"/>
      <c r="H576" s="66"/>
      <c r="I576" s="8"/>
      <c r="J576" s="66"/>
      <c r="K576" s="66"/>
      <c r="L576" s="66"/>
      <c r="M576" s="8"/>
      <c r="N576" s="66"/>
      <c r="O576" s="66"/>
      <c r="P576" s="66"/>
      <c r="Q576" s="8"/>
      <c r="R576" s="66"/>
      <c r="S576" s="66"/>
      <c r="T576" s="66"/>
      <c r="U576" s="8"/>
      <c r="V576" s="66"/>
      <c r="W576" s="66"/>
      <c r="X576" s="66"/>
      <c r="Y576" s="189"/>
      <c r="Z576" s="184"/>
      <c r="AA576" s="184"/>
      <c r="AB576" s="184"/>
      <c r="AC576" s="8"/>
      <c r="AD576" s="66"/>
      <c r="AE576" s="66"/>
      <c r="AF576" s="66"/>
      <c r="AG576" s="190"/>
      <c r="AH576" s="191"/>
      <c r="AI576" s="190"/>
      <c r="AJ576" s="190"/>
      <c r="AK576" s="66"/>
      <c r="AL576" s="66"/>
      <c r="AM576" s="66"/>
      <c r="AN576" s="66"/>
      <c r="AO576" s="66"/>
      <c r="AP576" s="66"/>
      <c r="AQ576" s="66"/>
      <c r="AR576" s="66"/>
      <c r="AS576" s="66"/>
      <c r="AT576" s="66"/>
    </row>
    <row r="577">
      <c r="A577" s="8"/>
      <c r="B577" s="66"/>
      <c r="C577" s="66"/>
      <c r="D577" s="66"/>
      <c r="E577" s="8"/>
      <c r="F577" s="66"/>
      <c r="G577" s="66"/>
      <c r="H577" s="66"/>
      <c r="I577" s="8"/>
      <c r="J577" s="66"/>
      <c r="K577" s="66"/>
      <c r="L577" s="66"/>
      <c r="M577" s="8"/>
      <c r="N577" s="66"/>
      <c r="O577" s="66"/>
      <c r="P577" s="66"/>
      <c r="Q577" s="8"/>
      <c r="R577" s="66"/>
      <c r="S577" s="66"/>
      <c r="T577" s="66"/>
      <c r="U577" s="8"/>
      <c r="V577" s="66"/>
      <c r="W577" s="66"/>
      <c r="X577" s="66"/>
      <c r="Y577" s="189"/>
      <c r="Z577" s="184"/>
      <c r="AA577" s="184"/>
      <c r="AB577" s="184"/>
      <c r="AC577" s="8"/>
      <c r="AD577" s="66"/>
      <c r="AE577" s="66"/>
      <c r="AF577" s="66"/>
      <c r="AG577" s="190"/>
      <c r="AH577" s="191"/>
      <c r="AI577" s="190"/>
      <c r="AJ577" s="190"/>
      <c r="AK577" s="66"/>
      <c r="AL577" s="66"/>
      <c r="AM577" s="66"/>
      <c r="AN577" s="66"/>
      <c r="AO577" s="66"/>
      <c r="AP577" s="66"/>
      <c r="AQ577" s="66"/>
      <c r="AR577" s="66"/>
      <c r="AS577" s="66"/>
      <c r="AT577" s="66"/>
    </row>
    <row r="578">
      <c r="A578" s="8"/>
      <c r="B578" s="66"/>
      <c r="C578" s="66"/>
      <c r="D578" s="66"/>
      <c r="E578" s="8"/>
      <c r="F578" s="66"/>
      <c r="G578" s="66"/>
      <c r="H578" s="66"/>
      <c r="I578" s="8"/>
      <c r="J578" s="66"/>
      <c r="K578" s="66"/>
      <c r="L578" s="66"/>
      <c r="M578" s="8"/>
      <c r="N578" s="66"/>
      <c r="O578" s="66"/>
      <c r="P578" s="66"/>
      <c r="Q578" s="8"/>
      <c r="R578" s="66"/>
      <c r="S578" s="66"/>
      <c r="T578" s="66"/>
      <c r="U578" s="8"/>
      <c r="V578" s="66"/>
      <c r="W578" s="66"/>
      <c r="X578" s="66"/>
      <c r="Y578" s="189"/>
      <c r="Z578" s="184"/>
      <c r="AA578" s="184"/>
      <c r="AB578" s="184"/>
      <c r="AC578" s="8"/>
      <c r="AD578" s="66"/>
      <c r="AE578" s="66"/>
      <c r="AF578" s="66"/>
      <c r="AG578" s="190"/>
      <c r="AH578" s="191"/>
      <c r="AI578" s="190"/>
      <c r="AJ578" s="190"/>
      <c r="AK578" s="66"/>
      <c r="AL578" s="66"/>
      <c r="AM578" s="66"/>
      <c r="AN578" s="66"/>
      <c r="AO578" s="66"/>
      <c r="AP578" s="66"/>
      <c r="AQ578" s="66"/>
      <c r="AR578" s="66"/>
      <c r="AS578" s="66"/>
      <c r="AT578" s="66"/>
    </row>
    <row r="579">
      <c r="A579" s="8"/>
      <c r="B579" s="66"/>
      <c r="C579" s="66"/>
      <c r="D579" s="66"/>
      <c r="E579" s="8"/>
      <c r="F579" s="66"/>
      <c r="G579" s="66"/>
      <c r="H579" s="66"/>
      <c r="I579" s="8"/>
      <c r="J579" s="66"/>
      <c r="K579" s="66"/>
      <c r="L579" s="66"/>
      <c r="M579" s="8"/>
      <c r="N579" s="66"/>
      <c r="O579" s="66"/>
      <c r="P579" s="66"/>
      <c r="Q579" s="8"/>
      <c r="R579" s="66"/>
      <c r="S579" s="66"/>
      <c r="T579" s="66"/>
      <c r="U579" s="8"/>
      <c r="V579" s="66"/>
      <c r="W579" s="66"/>
      <c r="X579" s="66"/>
      <c r="Y579" s="189"/>
      <c r="Z579" s="184"/>
      <c r="AA579" s="184"/>
      <c r="AB579" s="184"/>
      <c r="AC579" s="8"/>
      <c r="AD579" s="66"/>
      <c r="AE579" s="66"/>
      <c r="AF579" s="66"/>
      <c r="AG579" s="190"/>
      <c r="AH579" s="191"/>
      <c r="AI579" s="190"/>
      <c r="AJ579" s="190"/>
      <c r="AK579" s="66"/>
      <c r="AL579" s="66"/>
      <c r="AM579" s="66"/>
      <c r="AN579" s="66"/>
      <c r="AO579" s="66"/>
      <c r="AP579" s="66"/>
      <c r="AQ579" s="66"/>
      <c r="AR579" s="66"/>
      <c r="AS579" s="66"/>
      <c r="AT579" s="66"/>
    </row>
    <row r="580">
      <c r="A580" s="8"/>
      <c r="B580" s="66"/>
      <c r="C580" s="66"/>
      <c r="D580" s="66"/>
      <c r="E580" s="8"/>
      <c r="F580" s="66"/>
      <c r="G580" s="66"/>
      <c r="H580" s="66"/>
      <c r="I580" s="8"/>
      <c r="J580" s="66"/>
      <c r="K580" s="66"/>
      <c r="L580" s="66"/>
      <c r="M580" s="8"/>
      <c r="N580" s="66"/>
      <c r="O580" s="66"/>
      <c r="P580" s="66"/>
      <c r="Q580" s="8"/>
      <c r="R580" s="66"/>
      <c r="S580" s="66"/>
      <c r="T580" s="66"/>
      <c r="U580" s="8"/>
      <c r="V580" s="66"/>
      <c r="W580" s="66"/>
      <c r="X580" s="66"/>
      <c r="Y580" s="189"/>
      <c r="Z580" s="184"/>
      <c r="AA580" s="184"/>
      <c r="AB580" s="184"/>
      <c r="AC580" s="8"/>
      <c r="AD580" s="66"/>
      <c r="AE580" s="66"/>
      <c r="AF580" s="66"/>
      <c r="AG580" s="190"/>
      <c r="AH580" s="191"/>
      <c r="AI580" s="190"/>
      <c r="AJ580" s="190"/>
      <c r="AK580" s="66"/>
      <c r="AL580" s="66"/>
      <c r="AM580" s="66"/>
      <c r="AN580" s="66"/>
      <c r="AO580" s="66"/>
      <c r="AP580" s="66"/>
      <c r="AQ580" s="66"/>
      <c r="AR580" s="66"/>
      <c r="AS580" s="66"/>
      <c r="AT580" s="66"/>
    </row>
    <row r="581">
      <c r="A581" s="8"/>
      <c r="B581" s="66"/>
      <c r="C581" s="66"/>
      <c r="D581" s="66"/>
      <c r="E581" s="8"/>
      <c r="F581" s="66"/>
      <c r="G581" s="66"/>
      <c r="H581" s="66"/>
      <c r="I581" s="8"/>
      <c r="J581" s="66"/>
      <c r="K581" s="66"/>
      <c r="L581" s="66"/>
      <c r="M581" s="8"/>
      <c r="N581" s="66"/>
      <c r="O581" s="66"/>
      <c r="P581" s="66"/>
      <c r="Q581" s="8"/>
      <c r="R581" s="66"/>
      <c r="S581" s="66"/>
      <c r="T581" s="66"/>
      <c r="U581" s="8"/>
      <c r="V581" s="66"/>
      <c r="W581" s="66"/>
      <c r="X581" s="66"/>
      <c r="Y581" s="189"/>
      <c r="Z581" s="184"/>
      <c r="AA581" s="184"/>
      <c r="AB581" s="184"/>
      <c r="AC581" s="8"/>
      <c r="AD581" s="66"/>
      <c r="AE581" s="66"/>
      <c r="AF581" s="66"/>
      <c r="AG581" s="190"/>
      <c r="AH581" s="191"/>
      <c r="AI581" s="190"/>
      <c r="AJ581" s="190"/>
      <c r="AK581" s="66"/>
      <c r="AL581" s="66"/>
      <c r="AM581" s="66"/>
      <c r="AN581" s="66"/>
      <c r="AO581" s="66"/>
      <c r="AP581" s="66"/>
      <c r="AQ581" s="66"/>
      <c r="AR581" s="66"/>
      <c r="AS581" s="66"/>
      <c r="AT581" s="66"/>
    </row>
    <row r="582">
      <c r="A582" s="8"/>
      <c r="B582" s="66"/>
      <c r="C582" s="66"/>
      <c r="D582" s="66"/>
      <c r="E582" s="8"/>
      <c r="F582" s="66"/>
      <c r="G582" s="66"/>
      <c r="H582" s="66"/>
      <c r="I582" s="8"/>
      <c r="J582" s="66"/>
      <c r="K582" s="66"/>
      <c r="L582" s="66"/>
      <c r="M582" s="8"/>
      <c r="N582" s="66"/>
      <c r="O582" s="66"/>
      <c r="P582" s="66"/>
      <c r="Q582" s="8"/>
      <c r="R582" s="66"/>
      <c r="S582" s="66"/>
      <c r="T582" s="66"/>
      <c r="U582" s="8"/>
      <c r="V582" s="66"/>
      <c r="W582" s="66"/>
      <c r="X582" s="66"/>
      <c r="Y582" s="189"/>
      <c r="Z582" s="184"/>
      <c r="AA582" s="184"/>
      <c r="AB582" s="184"/>
      <c r="AC582" s="8"/>
      <c r="AD582" s="66"/>
      <c r="AE582" s="66"/>
      <c r="AF582" s="66"/>
      <c r="AG582" s="190"/>
      <c r="AH582" s="191"/>
      <c r="AI582" s="190"/>
      <c r="AJ582" s="190"/>
      <c r="AK582" s="66"/>
      <c r="AL582" s="66"/>
      <c r="AM582" s="66"/>
      <c r="AN582" s="66"/>
      <c r="AO582" s="66"/>
      <c r="AP582" s="66"/>
      <c r="AQ582" s="66"/>
      <c r="AR582" s="66"/>
      <c r="AS582" s="66"/>
      <c r="AT582" s="66"/>
    </row>
    <row r="583">
      <c r="A583" s="8"/>
      <c r="B583" s="66"/>
      <c r="C583" s="66"/>
      <c r="D583" s="66"/>
      <c r="E583" s="8"/>
      <c r="F583" s="66"/>
      <c r="G583" s="66"/>
      <c r="H583" s="66"/>
      <c r="I583" s="8"/>
      <c r="J583" s="66"/>
      <c r="K583" s="66"/>
      <c r="L583" s="66"/>
      <c r="M583" s="8"/>
      <c r="N583" s="66"/>
      <c r="O583" s="66"/>
      <c r="P583" s="66"/>
      <c r="Q583" s="8"/>
      <c r="R583" s="66"/>
      <c r="S583" s="66"/>
      <c r="T583" s="66"/>
      <c r="U583" s="8"/>
      <c r="V583" s="66"/>
      <c r="W583" s="66"/>
      <c r="X583" s="66"/>
      <c r="Y583" s="189"/>
      <c r="Z583" s="184"/>
      <c r="AA583" s="184"/>
      <c r="AB583" s="184"/>
      <c r="AC583" s="8"/>
      <c r="AD583" s="66"/>
      <c r="AE583" s="66"/>
      <c r="AF583" s="66"/>
      <c r="AG583" s="190"/>
      <c r="AH583" s="191"/>
      <c r="AI583" s="190"/>
      <c r="AJ583" s="190"/>
      <c r="AK583" s="66"/>
      <c r="AL583" s="66"/>
      <c r="AM583" s="66"/>
      <c r="AN583" s="66"/>
      <c r="AO583" s="66"/>
      <c r="AP583" s="66"/>
      <c r="AQ583" s="66"/>
      <c r="AR583" s="66"/>
      <c r="AS583" s="66"/>
      <c r="AT583" s="66"/>
    </row>
    <row r="584">
      <c r="A584" s="8"/>
      <c r="B584" s="66"/>
      <c r="C584" s="66"/>
      <c r="D584" s="66"/>
      <c r="E584" s="8"/>
      <c r="F584" s="66"/>
      <c r="G584" s="66"/>
      <c r="H584" s="66"/>
      <c r="I584" s="8"/>
      <c r="J584" s="66"/>
      <c r="K584" s="66"/>
      <c r="L584" s="66"/>
      <c r="M584" s="8"/>
      <c r="N584" s="66"/>
      <c r="O584" s="66"/>
      <c r="P584" s="66"/>
      <c r="Q584" s="8"/>
      <c r="R584" s="66"/>
      <c r="S584" s="66"/>
      <c r="T584" s="66"/>
      <c r="U584" s="8"/>
      <c r="V584" s="66"/>
      <c r="W584" s="66"/>
      <c r="X584" s="66"/>
      <c r="Y584" s="189"/>
      <c r="Z584" s="184"/>
      <c r="AA584" s="184"/>
      <c r="AB584" s="184"/>
      <c r="AC584" s="8"/>
      <c r="AD584" s="66"/>
      <c r="AE584" s="66"/>
      <c r="AF584" s="66"/>
      <c r="AG584" s="190"/>
      <c r="AH584" s="191"/>
      <c r="AI584" s="190"/>
      <c r="AJ584" s="190"/>
      <c r="AK584" s="66"/>
      <c r="AL584" s="66"/>
      <c r="AM584" s="66"/>
      <c r="AN584" s="66"/>
      <c r="AO584" s="66"/>
      <c r="AP584" s="66"/>
      <c r="AQ584" s="66"/>
      <c r="AR584" s="66"/>
      <c r="AS584" s="66"/>
      <c r="AT584" s="66"/>
    </row>
    <row r="585">
      <c r="A585" s="8"/>
      <c r="B585" s="66"/>
      <c r="C585" s="66"/>
      <c r="D585" s="66"/>
      <c r="E585" s="8"/>
      <c r="F585" s="66"/>
      <c r="G585" s="66"/>
      <c r="H585" s="66"/>
      <c r="I585" s="8"/>
      <c r="J585" s="66"/>
      <c r="K585" s="66"/>
      <c r="L585" s="66"/>
      <c r="M585" s="8"/>
      <c r="N585" s="66"/>
      <c r="O585" s="66"/>
      <c r="P585" s="66"/>
      <c r="Q585" s="8"/>
      <c r="R585" s="66"/>
      <c r="S585" s="66"/>
      <c r="T585" s="66"/>
      <c r="U585" s="8"/>
      <c r="V585" s="66"/>
      <c r="W585" s="66"/>
      <c r="X585" s="66"/>
      <c r="Y585" s="189"/>
      <c r="Z585" s="184"/>
      <c r="AA585" s="184"/>
      <c r="AB585" s="184"/>
      <c r="AC585" s="8"/>
      <c r="AD585" s="66"/>
      <c r="AE585" s="66"/>
      <c r="AF585" s="66"/>
      <c r="AG585" s="190"/>
      <c r="AH585" s="191"/>
      <c r="AI585" s="190"/>
      <c r="AJ585" s="190"/>
      <c r="AK585" s="66"/>
      <c r="AL585" s="66"/>
      <c r="AM585" s="66"/>
      <c r="AN585" s="66"/>
      <c r="AO585" s="66"/>
      <c r="AP585" s="66"/>
      <c r="AQ585" s="66"/>
      <c r="AR585" s="66"/>
      <c r="AS585" s="66"/>
      <c r="AT585" s="66"/>
    </row>
    <row r="586">
      <c r="A586" s="8"/>
      <c r="B586" s="66"/>
      <c r="C586" s="66"/>
      <c r="D586" s="66"/>
      <c r="E586" s="8"/>
      <c r="F586" s="66"/>
      <c r="G586" s="66"/>
      <c r="H586" s="66"/>
      <c r="I586" s="8"/>
      <c r="J586" s="66"/>
      <c r="K586" s="66"/>
      <c r="L586" s="66"/>
      <c r="M586" s="8"/>
      <c r="N586" s="66"/>
      <c r="O586" s="66"/>
      <c r="P586" s="66"/>
      <c r="Q586" s="8"/>
      <c r="R586" s="66"/>
      <c r="S586" s="66"/>
      <c r="T586" s="66"/>
      <c r="U586" s="8"/>
      <c r="V586" s="66"/>
      <c r="W586" s="66"/>
      <c r="X586" s="66"/>
      <c r="Y586" s="189"/>
      <c r="Z586" s="184"/>
      <c r="AA586" s="184"/>
      <c r="AB586" s="184"/>
      <c r="AC586" s="8"/>
      <c r="AD586" s="66"/>
      <c r="AE586" s="66"/>
      <c r="AF586" s="66"/>
      <c r="AG586" s="190"/>
      <c r="AH586" s="191"/>
      <c r="AI586" s="190"/>
      <c r="AJ586" s="190"/>
      <c r="AK586" s="66"/>
      <c r="AL586" s="66"/>
      <c r="AM586" s="66"/>
      <c r="AN586" s="66"/>
      <c r="AO586" s="66"/>
      <c r="AP586" s="66"/>
      <c r="AQ586" s="66"/>
      <c r="AR586" s="66"/>
      <c r="AS586" s="66"/>
      <c r="AT586" s="66"/>
    </row>
    <row r="587">
      <c r="A587" s="8"/>
      <c r="B587" s="66"/>
      <c r="C587" s="66"/>
      <c r="D587" s="66"/>
      <c r="E587" s="8"/>
      <c r="F587" s="66"/>
      <c r="G587" s="66"/>
      <c r="H587" s="66"/>
      <c r="I587" s="8"/>
      <c r="J587" s="66"/>
      <c r="K587" s="66"/>
      <c r="L587" s="66"/>
      <c r="M587" s="8"/>
      <c r="N587" s="66"/>
      <c r="O587" s="66"/>
      <c r="P587" s="66"/>
      <c r="Q587" s="8"/>
      <c r="R587" s="66"/>
      <c r="S587" s="66"/>
      <c r="T587" s="66"/>
      <c r="U587" s="8"/>
      <c r="V587" s="66"/>
      <c r="W587" s="66"/>
      <c r="X587" s="66"/>
      <c r="Y587" s="189"/>
      <c r="Z587" s="184"/>
      <c r="AA587" s="184"/>
      <c r="AB587" s="184"/>
      <c r="AC587" s="8"/>
      <c r="AD587" s="66"/>
      <c r="AE587" s="66"/>
      <c r="AF587" s="66"/>
      <c r="AG587" s="190"/>
      <c r="AH587" s="191"/>
      <c r="AI587" s="190"/>
      <c r="AJ587" s="190"/>
      <c r="AK587" s="66"/>
      <c r="AL587" s="66"/>
      <c r="AM587" s="66"/>
      <c r="AN587" s="66"/>
      <c r="AO587" s="66"/>
      <c r="AP587" s="66"/>
      <c r="AQ587" s="66"/>
      <c r="AR587" s="66"/>
      <c r="AS587" s="66"/>
      <c r="AT587" s="66"/>
    </row>
    <row r="588">
      <c r="A588" s="8"/>
      <c r="B588" s="66"/>
      <c r="C588" s="66"/>
      <c r="D588" s="66"/>
      <c r="E588" s="8"/>
      <c r="F588" s="66"/>
      <c r="G588" s="66"/>
      <c r="H588" s="66"/>
      <c r="I588" s="8"/>
      <c r="J588" s="66"/>
      <c r="K588" s="66"/>
      <c r="L588" s="66"/>
      <c r="M588" s="8"/>
      <c r="N588" s="66"/>
      <c r="O588" s="66"/>
      <c r="P588" s="66"/>
      <c r="Q588" s="8"/>
      <c r="R588" s="66"/>
      <c r="S588" s="66"/>
      <c r="T588" s="66"/>
      <c r="U588" s="8"/>
      <c r="V588" s="66"/>
      <c r="W588" s="66"/>
      <c r="X588" s="66"/>
      <c r="Y588" s="189"/>
      <c r="Z588" s="184"/>
      <c r="AA588" s="184"/>
      <c r="AB588" s="184"/>
      <c r="AC588" s="8"/>
      <c r="AD588" s="66"/>
      <c r="AE588" s="66"/>
      <c r="AF588" s="66"/>
      <c r="AG588" s="190"/>
      <c r="AH588" s="191"/>
      <c r="AI588" s="190"/>
      <c r="AJ588" s="190"/>
      <c r="AK588" s="66"/>
      <c r="AL588" s="66"/>
      <c r="AM588" s="66"/>
      <c r="AN588" s="66"/>
      <c r="AO588" s="66"/>
      <c r="AP588" s="66"/>
      <c r="AQ588" s="66"/>
      <c r="AR588" s="66"/>
      <c r="AS588" s="66"/>
      <c r="AT588" s="66"/>
    </row>
    <row r="589">
      <c r="A589" s="8"/>
      <c r="B589" s="66"/>
      <c r="C589" s="66"/>
      <c r="D589" s="66"/>
      <c r="E589" s="8"/>
      <c r="F589" s="66"/>
      <c r="G589" s="66"/>
      <c r="H589" s="66"/>
      <c r="I589" s="8"/>
      <c r="J589" s="66"/>
      <c r="K589" s="66"/>
      <c r="L589" s="66"/>
      <c r="M589" s="8"/>
      <c r="N589" s="66"/>
      <c r="O589" s="66"/>
      <c r="P589" s="66"/>
      <c r="Q589" s="8"/>
      <c r="R589" s="66"/>
      <c r="S589" s="66"/>
      <c r="T589" s="66"/>
      <c r="U589" s="8"/>
      <c r="V589" s="66"/>
      <c r="W589" s="66"/>
      <c r="X589" s="66"/>
      <c r="Y589" s="189"/>
      <c r="Z589" s="184"/>
      <c r="AA589" s="184"/>
      <c r="AB589" s="184"/>
      <c r="AC589" s="8"/>
      <c r="AD589" s="66"/>
      <c r="AE589" s="66"/>
      <c r="AF589" s="66"/>
      <c r="AG589" s="190"/>
      <c r="AH589" s="191"/>
      <c r="AI589" s="190"/>
      <c r="AJ589" s="190"/>
      <c r="AK589" s="66"/>
      <c r="AL589" s="66"/>
      <c r="AM589" s="66"/>
      <c r="AN589" s="66"/>
      <c r="AO589" s="66"/>
      <c r="AP589" s="66"/>
      <c r="AQ589" s="66"/>
      <c r="AR589" s="66"/>
      <c r="AS589" s="66"/>
      <c r="AT589" s="66"/>
    </row>
    <row r="590">
      <c r="A590" s="8"/>
      <c r="B590" s="66"/>
      <c r="C590" s="66"/>
      <c r="D590" s="66"/>
      <c r="E590" s="8"/>
      <c r="F590" s="66"/>
      <c r="G590" s="66"/>
      <c r="H590" s="66"/>
      <c r="I590" s="8"/>
      <c r="J590" s="66"/>
      <c r="K590" s="66"/>
      <c r="L590" s="66"/>
      <c r="M590" s="8"/>
      <c r="N590" s="66"/>
      <c r="O590" s="66"/>
      <c r="P590" s="66"/>
      <c r="Q590" s="8"/>
      <c r="R590" s="66"/>
      <c r="S590" s="66"/>
      <c r="T590" s="66"/>
      <c r="U590" s="8"/>
      <c r="V590" s="66"/>
      <c r="W590" s="66"/>
      <c r="X590" s="66"/>
      <c r="Y590" s="189"/>
      <c r="Z590" s="184"/>
      <c r="AA590" s="184"/>
      <c r="AB590" s="184"/>
      <c r="AC590" s="8"/>
      <c r="AD590" s="66"/>
      <c r="AE590" s="66"/>
      <c r="AF590" s="66"/>
      <c r="AG590" s="190"/>
      <c r="AH590" s="191"/>
      <c r="AI590" s="190"/>
      <c r="AJ590" s="190"/>
      <c r="AK590" s="66"/>
      <c r="AL590" s="66"/>
      <c r="AM590" s="66"/>
      <c r="AN590" s="66"/>
      <c r="AO590" s="66"/>
      <c r="AP590" s="66"/>
      <c r="AQ590" s="66"/>
      <c r="AR590" s="66"/>
      <c r="AS590" s="66"/>
      <c r="AT590" s="66"/>
    </row>
    <row r="591">
      <c r="A591" s="8"/>
      <c r="B591" s="66"/>
      <c r="C591" s="66"/>
      <c r="D591" s="66"/>
      <c r="E591" s="8"/>
      <c r="F591" s="66"/>
      <c r="G591" s="66"/>
      <c r="H591" s="66"/>
      <c r="I591" s="8"/>
      <c r="J591" s="66"/>
      <c r="K591" s="66"/>
      <c r="L591" s="66"/>
      <c r="M591" s="8"/>
      <c r="N591" s="66"/>
      <c r="O591" s="66"/>
      <c r="P591" s="66"/>
      <c r="Q591" s="8"/>
      <c r="R591" s="66"/>
      <c r="S591" s="66"/>
      <c r="T591" s="66"/>
      <c r="U591" s="8"/>
      <c r="V591" s="66"/>
      <c r="W591" s="66"/>
      <c r="X591" s="66"/>
      <c r="Y591" s="189"/>
      <c r="Z591" s="184"/>
      <c r="AA591" s="184"/>
      <c r="AB591" s="184"/>
      <c r="AC591" s="8"/>
      <c r="AD591" s="66"/>
      <c r="AE591" s="66"/>
      <c r="AF591" s="66"/>
      <c r="AG591" s="190"/>
      <c r="AH591" s="191"/>
      <c r="AI591" s="190"/>
      <c r="AJ591" s="190"/>
      <c r="AK591" s="66"/>
      <c r="AL591" s="66"/>
      <c r="AM591" s="66"/>
      <c r="AN591" s="66"/>
      <c r="AO591" s="66"/>
      <c r="AP591" s="66"/>
      <c r="AQ591" s="66"/>
      <c r="AR591" s="66"/>
      <c r="AS591" s="66"/>
      <c r="AT591" s="66"/>
    </row>
    <row r="592">
      <c r="A592" s="8"/>
      <c r="B592" s="66"/>
      <c r="C592" s="66"/>
      <c r="D592" s="66"/>
      <c r="E592" s="8"/>
      <c r="F592" s="66"/>
      <c r="G592" s="66"/>
      <c r="H592" s="66"/>
      <c r="I592" s="8"/>
      <c r="J592" s="66"/>
      <c r="K592" s="66"/>
      <c r="L592" s="66"/>
      <c r="M592" s="8"/>
      <c r="N592" s="66"/>
      <c r="O592" s="66"/>
      <c r="P592" s="66"/>
      <c r="Q592" s="8"/>
      <c r="R592" s="66"/>
      <c r="S592" s="66"/>
      <c r="T592" s="66"/>
      <c r="U592" s="8"/>
      <c r="V592" s="66"/>
      <c r="W592" s="66"/>
      <c r="X592" s="66"/>
      <c r="Y592" s="189"/>
      <c r="Z592" s="184"/>
      <c r="AA592" s="184"/>
      <c r="AB592" s="184"/>
      <c r="AC592" s="8"/>
      <c r="AD592" s="66"/>
      <c r="AE592" s="66"/>
      <c r="AF592" s="66"/>
      <c r="AG592" s="190"/>
      <c r="AH592" s="191"/>
      <c r="AI592" s="190"/>
      <c r="AJ592" s="190"/>
      <c r="AK592" s="66"/>
      <c r="AL592" s="66"/>
      <c r="AM592" s="66"/>
      <c r="AN592" s="66"/>
      <c r="AO592" s="66"/>
      <c r="AP592" s="66"/>
      <c r="AQ592" s="66"/>
      <c r="AR592" s="66"/>
      <c r="AS592" s="66"/>
      <c r="AT592" s="66"/>
    </row>
    <row r="593">
      <c r="A593" s="8"/>
      <c r="B593" s="66"/>
      <c r="C593" s="66"/>
      <c r="D593" s="66"/>
      <c r="E593" s="8"/>
      <c r="F593" s="66"/>
      <c r="G593" s="66"/>
      <c r="H593" s="66"/>
      <c r="I593" s="8"/>
      <c r="J593" s="66"/>
      <c r="K593" s="66"/>
      <c r="L593" s="66"/>
      <c r="M593" s="8"/>
      <c r="N593" s="66"/>
      <c r="O593" s="66"/>
      <c r="P593" s="66"/>
      <c r="Q593" s="8"/>
      <c r="R593" s="66"/>
      <c r="S593" s="66"/>
      <c r="T593" s="66"/>
      <c r="U593" s="8"/>
      <c r="V593" s="66"/>
      <c r="W593" s="66"/>
      <c r="X593" s="66"/>
      <c r="Y593" s="189"/>
      <c r="Z593" s="184"/>
      <c r="AA593" s="184"/>
      <c r="AB593" s="184"/>
      <c r="AC593" s="8"/>
      <c r="AD593" s="66"/>
      <c r="AE593" s="66"/>
      <c r="AF593" s="66"/>
      <c r="AG593" s="190"/>
      <c r="AH593" s="191"/>
      <c r="AI593" s="190"/>
      <c r="AJ593" s="190"/>
      <c r="AK593" s="66"/>
      <c r="AL593" s="66"/>
      <c r="AM593" s="66"/>
      <c r="AN593" s="66"/>
      <c r="AO593" s="66"/>
      <c r="AP593" s="66"/>
      <c r="AQ593" s="66"/>
      <c r="AR593" s="66"/>
      <c r="AS593" s="66"/>
      <c r="AT593" s="66"/>
    </row>
    <row r="594">
      <c r="A594" s="8"/>
      <c r="B594" s="66"/>
      <c r="C594" s="66"/>
      <c r="D594" s="66"/>
      <c r="E594" s="8"/>
      <c r="F594" s="66"/>
      <c r="G594" s="66"/>
      <c r="H594" s="66"/>
      <c r="I594" s="8"/>
      <c r="J594" s="66"/>
      <c r="K594" s="66"/>
      <c r="L594" s="66"/>
      <c r="M594" s="8"/>
      <c r="N594" s="66"/>
      <c r="O594" s="66"/>
      <c r="P594" s="66"/>
      <c r="Q594" s="8"/>
      <c r="R594" s="66"/>
      <c r="S594" s="66"/>
      <c r="T594" s="66"/>
      <c r="U594" s="8"/>
      <c r="V594" s="66"/>
      <c r="W594" s="66"/>
      <c r="X594" s="66"/>
      <c r="Y594" s="189"/>
      <c r="Z594" s="184"/>
      <c r="AA594" s="184"/>
      <c r="AB594" s="184"/>
      <c r="AC594" s="8"/>
      <c r="AD594" s="66"/>
      <c r="AE594" s="66"/>
      <c r="AF594" s="66"/>
      <c r="AG594" s="190"/>
      <c r="AH594" s="191"/>
      <c r="AI594" s="190"/>
      <c r="AJ594" s="190"/>
      <c r="AK594" s="66"/>
      <c r="AL594" s="66"/>
      <c r="AM594" s="66"/>
      <c r="AN594" s="66"/>
      <c r="AO594" s="66"/>
      <c r="AP594" s="66"/>
      <c r="AQ594" s="66"/>
      <c r="AR594" s="66"/>
      <c r="AS594" s="66"/>
      <c r="AT594" s="66"/>
    </row>
    <row r="595">
      <c r="A595" s="8"/>
      <c r="B595" s="66"/>
      <c r="C595" s="66"/>
      <c r="D595" s="66"/>
      <c r="E595" s="8"/>
      <c r="F595" s="66"/>
      <c r="G595" s="66"/>
      <c r="H595" s="66"/>
      <c r="I595" s="8"/>
      <c r="J595" s="66"/>
      <c r="K595" s="66"/>
      <c r="L595" s="66"/>
      <c r="M595" s="8"/>
      <c r="N595" s="66"/>
      <c r="O595" s="66"/>
      <c r="P595" s="66"/>
      <c r="Q595" s="8"/>
      <c r="R595" s="66"/>
      <c r="S595" s="66"/>
      <c r="T595" s="66"/>
      <c r="U595" s="8"/>
      <c r="V595" s="66"/>
      <c r="W595" s="66"/>
      <c r="X595" s="66"/>
      <c r="Y595" s="189"/>
      <c r="Z595" s="184"/>
      <c r="AA595" s="184"/>
      <c r="AB595" s="184"/>
      <c r="AC595" s="8"/>
      <c r="AD595" s="66"/>
      <c r="AE595" s="66"/>
      <c r="AF595" s="66"/>
      <c r="AG595" s="190"/>
      <c r="AH595" s="191"/>
      <c r="AI595" s="190"/>
      <c r="AJ595" s="190"/>
      <c r="AK595" s="66"/>
      <c r="AL595" s="66"/>
      <c r="AM595" s="66"/>
      <c r="AN595" s="66"/>
      <c r="AO595" s="66"/>
      <c r="AP595" s="66"/>
      <c r="AQ595" s="66"/>
      <c r="AR595" s="66"/>
      <c r="AS595" s="66"/>
      <c r="AT595" s="66"/>
    </row>
    <row r="596">
      <c r="A596" s="8"/>
      <c r="B596" s="66"/>
      <c r="C596" s="66"/>
      <c r="D596" s="66"/>
      <c r="E596" s="8"/>
      <c r="F596" s="66"/>
      <c r="G596" s="66"/>
      <c r="H596" s="66"/>
      <c r="I596" s="8"/>
      <c r="J596" s="66"/>
      <c r="K596" s="66"/>
      <c r="L596" s="66"/>
      <c r="M596" s="8"/>
      <c r="N596" s="66"/>
      <c r="O596" s="66"/>
      <c r="P596" s="66"/>
      <c r="Q596" s="8"/>
      <c r="R596" s="66"/>
      <c r="S596" s="66"/>
      <c r="T596" s="66"/>
      <c r="U596" s="8"/>
      <c r="V596" s="66"/>
      <c r="W596" s="66"/>
      <c r="X596" s="66"/>
      <c r="Y596" s="189"/>
      <c r="Z596" s="184"/>
      <c r="AA596" s="184"/>
      <c r="AB596" s="184"/>
      <c r="AC596" s="8"/>
      <c r="AD596" s="66"/>
      <c r="AE596" s="66"/>
      <c r="AF596" s="66"/>
      <c r="AG596" s="190"/>
      <c r="AH596" s="191"/>
      <c r="AI596" s="190"/>
      <c r="AJ596" s="190"/>
      <c r="AK596" s="66"/>
      <c r="AL596" s="66"/>
      <c r="AM596" s="66"/>
      <c r="AN596" s="66"/>
      <c r="AO596" s="66"/>
      <c r="AP596" s="66"/>
      <c r="AQ596" s="66"/>
      <c r="AR596" s="66"/>
      <c r="AS596" s="66"/>
      <c r="AT596" s="66"/>
    </row>
    <row r="597">
      <c r="A597" s="8"/>
      <c r="B597" s="66"/>
      <c r="C597" s="66"/>
      <c r="D597" s="66"/>
      <c r="E597" s="8"/>
      <c r="F597" s="66"/>
      <c r="G597" s="66"/>
      <c r="H597" s="66"/>
      <c r="I597" s="8"/>
      <c r="J597" s="66"/>
      <c r="K597" s="66"/>
      <c r="L597" s="66"/>
      <c r="M597" s="8"/>
      <c r="N597" s="66"/>
      <c r="O597" s="66"/>
      <c r="P597" s="66"/>
      <c r="Q597" s="8"/>
      <c r="R597" s="66"/>
      <c r="S597" s="66"/>
      <c r="T597" s="66"/>
      <c r="U597" s="8"/>
      <c r="V597" s="66"/>
      <c r="W597" s="66"/>
      <c r="X597" s="66"/>
      <c r="Y597" s="189"/>
      <c r="Z597" s="184"/>
      <c r="AA597" s="184"/>
      <c r="AB597" s="184"/>
      <c r="AC597" s="8"/>
      <c r="AD597" s="66"/>
      <c r="AE597" s="66"/>
      <c r="AF597" s="66"/>
      <c r="AG597" s="190"/>
      <c r="AH597" s="191"/>
      <c r="AI597" s="190"/>
      <c r="AJ597" s="190"/>
      <c r="AK597" s="66"/>
      <c r="AL597" s="66"/>
      <c r="AM597" s="66"/>
      <c r="AN597" s="66"/>
      <c r="AO597" s="66"/>
      <c r="AP597" s="66"/>
      <c r="AQ597" s="66"/>
      <c r="AR597" s="66"/>
      <c r="AS597" s="66"/>
      <c r="AT597" s="66"/>
    </row>
    <row r="598">
      <c r="A598" s="8"/>
      <c r="B598" s="66"/>
      <c r="C598" s="66"/>
      <c r="D598" s="66"/>
      <c r="E598" s="8"/>
      <c r="F598" s="66"/>
      <c r="G598" s="66"/>
      <c r="H598" s="66"/>
      <c r="I598" s="8"/>
      <c r="J598" s="66"/>
      <c r="K598" s="66"/>
      <c r="L598" s="66"/>
      <c r="M598" s="8"/>
      <c r="N598" s="66"/>
      <c r="O598" s="66"/>
      <c r="P598" s="66"/>
      <c r="Q598" s="8"/>
      <c r="R598" s="66"/>
      <c r="S598" s="66"/>
      <c r="T598" s="66"/>
      <c r="U598" s="8"/>
      <c r="V598" s="66"/>
      <c r="W598" s="66"/>
      <c r="X598" s="66"/>
      <c r="Y598" s="189"/>
      <c r="Z598" s="184"/>
      <c r="AA598" s="184"/>
      <c r="AB598" s="184"/>
      <c r="AC598" s="8"/>
      <c r="AD598" s="66"/>
      <c r="AE598" s="66"/>
      <c r="AF598" s="66"/>
      <c r="AG598" s="190"/>
      <c r="AH598" s="191"/>
      <c r="AI598" s="190"/>
      <c r="AJ598" s="190"/>
      <c r="AK598" s="66"/>
      <c r="AL598" s="66"/>
      <c r="AM598" s="66"/>
      <c r="AN598" s="66"/>
      <c r="AO598" s="66"/>
      <c r="AP598" s="66"/>
      <c r="AQ598" s="66"/>
      <c r="AR598" s="66"/>
      <c r="AS598" s="66"/>
      <c r="AT598" s="66"/>
    </row>
    <row r="599">
      <c r="A599" s="8"/>
      <c r="B599" s="66"/>
      <c r="C599" s="66"/>
      <c r="D599" s="66"/>
      <c r="E599" s="8"/>
      <c r="F599" s="66"/>
      <c r="G599" s="66"/>
      <c r="H599" s="66"/>
      <c r="I599" s="8"/>
      <c r="J599" s="66"/>
      <c r="K599" s="66"/>
      <c r="L599" s="66"/>
      <c r="M599" s="8"/>
      <c r="N599" s="66"/>
      <c r="O599" s="66"/>
      <c r="P599" s="66"/>
      <c r="Q599" s="8"/>
      <c r="R599" s="66"/>
      <c r="S599" s="66"/>
      <c r="T599" s="66"/>
      <c r="U599" s="8"/>
      <c r="V599" s="66"/>
      <c r="W599" s="66"/>
      <c r="X599" s="66"/>
      <c r="Y599" s="189"/>
      <c r="Z599" s="184"/>
      <c r="AA599" s="184"/>
      <c r="AB599" s="184"/>
      <c r="AC599" s="8"/>
      <c r="AD599" s="66"/>
      <c r="AE599" s="66"/>
      <c r="AF599" s="66"/>
      <c r="AG599" s="190"/>
      <c r="AH599" s="191"/>
      <c r="AI599" s="190"/>
      <c r="AJ599" s="190"/>
      <c r="AK599" s="66"/>
      <c r="AL599" s="66"/>
      <c r="AM599" s="66"/>
      <c r="AN599" s="66"/>
      <c r="AO599" s="66"/>
      <c r="AP599" s="66"/>
      <c r="AQ599" s="66"/>
      <c r="AR599" s="66"/>
      <c r="AS599" s="66"/>
      <c r="AT599" s="66"/>
    </row>
    <row r="600">
      <c r="A600" s="8"/>
      <c r="B600" s="66"/>
      <c r="C600" s="66"/>
      <c r="D600" s="66"/>
      <c r="E600" s="8"/>
      <c r="F600" s="66"/>
      <c r="G600" s="66"/>
      <c r="H600" s="66"/>
      <c r="I600" s="8"/>
      <c r="J600" s="66"/>
      <c r="K600" s="66"/>
      <c r="L600" s="66"/>
      <c r="M600" s="8"/>
      <c r="N600" s="66"/>
      <c r="O600" s="66"/>
      <c r="P600" s="66"/>
      <c r="Q600" s="8"/>
      <c r="R600" s="66"/>
      <c r="S600" s="66"/>
      <c r="T600" s="66"/>
      <c r="U600" s="8"/>
      <c r="V600" s="66"/>
      <c r="W600" s="66"/>
      <c r="X600" s="66"/>
      <c r="Y600" s="189"/>
      <c r="Z600" s="184"/>
      <c r="AA600" s="184"/>
      <c r="AB600" s="184"/>
      <c r="AC600" s="8"/>
      <c r="AD600" s="66"/>
      <c r="AE600" s="66"/>
      <c r="AF600" s="66"/>
      <c r="AG600" s="190"/>
      <c r="AH600" s="191"/>
      <c r="AI600" s="190"/>
      <c r="AJ600" s="190"/>
      <c r="AK600" s="66"/>
      <c r="AL600" s="66"/>
      <c r="AM600" s="66"/>
      <c r="AN600" s="66"/>
      <c r="AO600" s="66"/>
      <c r="AP600" s="66"/>
      <c r="AQ600" s="66"/>
      <c r="AR600" s="66"/>
      <c r="AS600" s="66"/>
      <c r="AT600" s="66"/>
    </row>
    <row r="601">
      <c r="A601" s="8"/>
      <c r="B601" s="66"/>
      <c r="C601" s="66"/>
      <c r="D601" s="66"/>
      <c r="E601" s="8"/>
      <c r="F601" s="66"/>
      <c r="G601" s="66"/>
      <c r="H601" s="66"/>
      <c r="I601" s="8"/>
      <c r="J601" s="66"/>
      <c r="K601" s="66"/>
      <c r="L601" s="66"/>
      <c r="M601" s="8"/>
      <c r="N601" s="66"/>
      <c r="O601" s="66"/>
      <c r="P601" s="66"/>
      <c r="Q601" s="8"/>
      <c r="R601" s="66"/>
      <c r="S601" s="66"/>
      <c r="T601" s="66"/>
      <c r="U601" s="8"/>
      <c r="V601" s="66"/>
      <c r="W601" s="66"/>
      <c r="X601" s="66"/>
      <c r="Y601" s="189"/>
      <c r="Z601" s="184"/>
      <c r="AA601" s="184"/>
      <c r="AB601" s="184"/>
      <c r="AC601" s="8"/>
      <c r="AD601" s="66"/>
      <c r="AE601" s="66"/>
      <c r="AF601" s="66"/>
      <c r="AG601" s="190"/>
      <c r="AH601" s="191"/>
      <c r="AI601" s="190"/>
      <c r="AJ601" s="190"/>
      <c r="AK601" s="66"/>
      <c r="AL601" s="66"/>
      <c r="AM601" s="66"/>
      <c r="AN601" s="66"/>
      <c r="AO601" s="66"/>
      <c r="AP601" s="66"/>
      <c r="AQ601" s="66"/>
      <c r="AR601" s="66"/>
      <c r="AS601" s="66"/>
      <c r="AT601" s="66"/>
    </row>
    <row r="602">
      <c r="A602" s="8"/>
      <c r="B602" s="66"/>
      <c r="C602" s="66"/>
      <c r="D602" s="66"/>
      <c r="E602" s="8"/>
      <c r="F602" s="66"/>
      <c r="G602" s="66"/>
      <c r="H602" s="66"/>
      <c r="I602" s="8"/>
      <c r="J602" s="66"/>
      <c r="K602" s="66"/>
      <c r="L602" s="66"/>
      <c r="M602" s="8"/>
      <c r="N602" s="66"/>
      <c r="O602" s="66"/>
      <c r="P602" s="66"/>
      <c r="Q602" s="8"/>
      <c r="R602" s="66"/>
      <c r="S602" s="66"/>
      <c r="T602" s="66"/>
      <c r="U602" s="8"/>
      <c r="V602" s="66"/>
      <c r="W602" s="66"/>
      <c r="X602" s="66"/>
      <c r="Y602" s="189"/>
      <c r="Z602" s="184"/>
      <c r="AA602" s="184"/>
      <c r="AB602" s="184"/>
      <c r="AC602" s="8"/>
      <c r="AD602" s="66"/>
      <c r="AE602" s="66"/>
      <c r="AF602" s="66"/>
      <c r="AG602" s="190"/>
      <c r="AH602" s="191"/>
      <c r="AI602" s="190"/>
      <c r="AJ602" s="190"/>
      <c r="AK602" s="66"/>
      <c r="AL602" s="66"/>
      <c r="AM602" s="66"/>
      <c r="AN602" s="66"/>
      <c r="AO602" s="66"/>
      <c r="AP602" s="66"/>
      <c r="AQ602" s="66"/>
      <c r="AR602" s="66"/>
      <c r="AS602" s="66"/>
      <c r="AT602" s="66"/>
    </row>
    <row r="603">
      <c r="A603" s="8"/>
      <c r="B603" s="66"/>
      <c r="C603" s="66"/>
      <c r="D603" s="66"/>
      <c r="E603" s="8"/>
      <c r="F603" s="66"/>
      <c r="G603" s="66"/>
      <c r="H603" s="66"/>
      <c r="I603" s="8"/>
      <c r="J603" s="66"/>
      <c r="K603" s="66"/>
      <c r="L603" s="66"/>
      <c r="M603" s="8"/>
      <c r="N603" s="66"/>
      <c r="O603" s="66"/>
      <c r="P603" s="66"/>
      <c r="Q603" s="8"/>
      <c r="R603" s="66"/>
      <c r="S603" s="66"/>
      <c r="T603" s="66"/>
      <c r="U603" s="8"/>
      <c r="V603" s="66"/>
      <c r="W603" s="66"/>
      <c r="X603" s="66"/>
      <c r="Y603" s="189"/>
      <c r="Z603" s="184"/>
      <c r="AA603" s="184"/>
      <c r="AB603" s="184"/>
      <c r="AC603" s="8"/>
      <c r="AD603" s="66"/>
      <c r="AE603" s="66"/>
      <c r="AF603" s="66"/>
      <c r="AG603" s="190"/>
      <c r="AH603" s="191"/>
      <c r="AI603" s="190"/>
      <c r="AJ603" s="190"/>
      <c r="AK603" s="66"/>
      <c r="AL603" s="66"/>
      <c r="AM603" s="66"/>
      <c r="AN603" s="66"/>
      <c r="AO603" s="66"/>
      <c r="AP603" s="66"/>
      <c r="AQ603" s="66"/>
      <c r="AR603" s="66"/>
      <c r="AS603" s="66"/>
      <c r="AT603" s="66"/>
    </row>
    <row r="604">
      <c r="A604" s="8"/>
      <c r="B604" s="66"/>
      <c r="C604" s="66"/>
      <c r="D604" s="66"/>
      <c r="E604" s="8"/>
      <c r="F604" s="66"/>
      <c r="G604" s="66"/>
      <c r="H604" s="66"/>
      <c r="I604" s="8"/>
      <c r="J604" s="66"/>
      <c r="K604" s="66"/>
      <c r="L604" s="66"/>
      <c r="M604" s="8"/>
      <c r="N604" s="66"/>
      <c r="O604" s="66"/>
      <c r="P604" s="66"/>
      <c r="Q604" s="8"/>
      <c r="R604" s="66"/>
      <c r="S604" s="66"/>
      <c r="T604" s="66"/>
      <c r="U604" s="8"/>
      <c r="V604" s="66"/>
      <c r="W604" s="66"/>
      <c r="X604" s="66"/>
      <c r="Y604" s="189"/>
      <c r="Z604" s="184"/>
      <c r="AA604" s="184"/>
      <c r="AB604" s="184"/>
      <c r="AC604" s="8"/>
      <c r="AD604" s="66"/>
      <c r="AE604" s="66"/>
      <c r="AF604" s="66"/>
      <c r="AG604" s="190"/>
      <c r="AH604" s="191"/>
      <c r="AI604" s="190"/>
      <c r="AJ604" s="190"/>
      <c r="AK604" s="66"/>
      <c r="AL604" s="66"/>
      <c r="AM604" s="66"/>
      <c r="AN604" s="66"/>
      <c r="AO604" s="66"/>
      <c r="AP604" s="66"/>
      <c r="AQ604" s="66"/>
      <c r="AR604" s="66"/>
      <c r="AS604" s="66"/>
      <c r="AT604" s="66"/>
    </row>
    <row r="605">
      <c r="A605" s="8"/>
      <c r="B605" s="66"/>
      <c r="C605" s="66"/>
      <c r="D605" s="66"/>
      <c r="E605" s="8"/>
      <c r="F605" s="66"/>
      <c r="G605" s="66"/>
      <c r="H605" s="66"/>
      <c r="I605" s="8"/>
      <c r="J605" s="66"/>
      <c r="K605" s="66"/>
      <c r="L605" s="66"/>
      <c r="M605" s="8"/>
      <c r="N605" s="66"/>
      <c r="O605" s="66"/>
      <c r="P605" s="66"/>
      <c r="Q605" s="8"/>
      <c r="R605" s="66"/>
      <c r="S605" s="66"/>
      <c r="T605" s="66"/>
      <c r="U605" s="8"/>
      <c r="V605" s="66"/>
      <c r="W605" s="66"/>
      <c r="X605" s="66"/>
      <c r="Y605" s="189"/>
      <c r="Z605" s="184"/>
      <c r="AA605" s="184"/>
      <c r="AB605" s="184"/>
      <c r="AC605" s="8"/>
      <c r="AD605" s="66"/>
      <c r="AE605" s="66"/>
      <c r="AF605" s="66"/>
      <c r="AG605" s="190"/>
      <c r="AH605" s="191"/>
      <c r="AI605" s="190"/>
      <c r="AJ605" s="190"/>
      <c r="AK605" s="66"/>
      <c r="AL605" s="66"/>
      <c r="AM605" s="66"/>
      <c r="AN605" s="66"/>
      <c r="AO605" s="66"/>
      <c r="AP605" s="66"/>
      <c r="AQ605" s="66"/>
      <c r="AR605" s="66"/>
      <c r="AS605" s="66"/>
      <c r="AT605" s="66"/>
    </row>
    <row r="606">
      <c r="A606" s="8"/>
      <c r="B606" s="66"/>
      <c r="C606" s="66"/>
      <c r="D606" s="66"/>
      <c r="E606" s="8"/>
      <c r="F606" s="66"/>
      <c r="G606" s="66"/>
      <c r="H606" s="66"/>
      <c r="I606" s="8"/>
      <c r="J606" s="66"/>
      <c r="K606" s="66"/>
      <c r="L606" s="66"/>
      <c r="M606" s="8"/>
      <c r="N606" s="66"/>
      <c r="O606" s="66"/>
      <c r="P606" s="66"/>
      <c r="Q606" s="8"/>
      <c r="R606" s="66"/>
      <c r="S606" s="66"/>
      <c r="T606" s="66"/>
      <c r="U606" s="8"/>
      <c r="V606" s="66"/>
      <c r="W606" s="66"/>
      <c r="X606" s="66"/>
      <c r="Y606" s="189"/>
      <c r="Z606" s="184"/>
      <c r="AA606" s="184"/>
      <c r="AB606" s="184"/>
      <c r="AC606" s="8"/>
      <c r="AD606" s="66"/>
      <c r="AE606" s="66"/>
      <c r="AF606" s="66"/>
      <c r="AG606" s="190"/>
      <c r="AH606" s="191"/>
      <c r="AI606" s="190"/>
      <c r="AJ606" s="190"/>
      <c r="AK606" s="66"/>
      <c r="AL606" s="66"/>
      <c r="AM606" s="66"/>
      <c r="AN606" s="66"/>
      <c r="AO606" s="66"/>
      <c r="AP606" s="66"/>
      <c r="AQ606" s="66"/>
      <c r="AR606" s="66"/>
      <c r="AS606" s="66"/>
      <c r="AT606" s="66"/>
    </row>
    <row r="607">
      <c r="A607" s="8"/>
      <c r="B607" s="66"/>
      <c r="C607" s="66"/>
      <c r="D607" s="66"/>
      <c r="E607" s="8"/>
      <c r="F607" s="66"/>
      <c r="G607" s="66"/>
      <c r="H607" s="66"/>
      <c r="I607" s="8"/>
      <c r="J607" s="66"/>
      <c r="K607" s="66"/>
      <c r="L607" s="66"/>
      <c r="M607" s="8"/>
      <c r="N607" s="66"/>
      <c r="O607" s="66"/>
      <c r="P607" s="66"/>
      <c r="Q607" s="8"/>
      <c r="R607" s="66"/>
      <c r="S607" s="66"/>
      <c r="T607" s="66"/>
      <c r="U607" s="8"/>
      <c r="V607" s="66"/>
      <c r="W607" s="66"/>
      <c r="X607" s="66"/>
      <c r="Y607" s="189"/>
      <c r="Z607" s="184"/>
      <c r="AA607" s="184"/>
      <c r="AB607" s="184"/>
      <c r="AC607" s="8"/>
      <c r="AD607" s="66"/>
      <c r="AE607" s="66"/>
      <c r="AF607" s="66"/>
      <c r="AG607" s="190"/>
      <c r="AH607" s="191"/>
      <c r="AI607" s="190"/>
      <c r="AJ607" s="190"/>
      <c r="AK607" s="66"/>
      <c r="AL607" s="66"/>
      <c r="AM607" s="66"/>
      <c r="AN607" s="66"/>
      <c r="AO607" s="66"/>
      <c r="AP607" s="66"/>
      <c r="AQ607" s="66"/>
      <c r="AR607" s="66"/>
      <c r="AS607" s="66"/>
      <c r="AT607" s="66"/>
    </row>
    <row r="608">
      <c r="A608" s="8"/>
      <c r="B608" s="66"/>
      <c r="C608" s="66"/>
      <c r="D608" s="66"/>
      <c r="E608" s="8"/>
      <c r="F608" s="66"/>
      <c r="G608" s="66"/>
      <c r="H608" s="66"/>
      <c r="I608" s="8"/>
      <c r="J608" s="66"/>
      <c r="K608" s="66"/>
      <c r="L608" s="66"/>
      <c r="M608" s="8"/>
      <c r="N608" s="66"/>
      <c r="O608" s="66"/>
      <c r="P608" s="66"/>
      <c r="Q608" s="8"/>
      <c r="R608" s="66"/>
      <c r="S608" s="66"/>
      <c r="T608" s="66"/>
      <c r="U608" s="8"/>
      <c r="V608" s="66"/>
      <c r="W608" s="66"/>
      <c r="X608" s="66"/>
      <c r="Y608" s="189"/>
      <c r="Z608" s="184"/>
      <c r="AA608" s="184"/>
      <c r="AB608" s="184"/>
      <c r="AC608" s="8"/>
      <c r="AD608" s="66"/>
      <c r="AE608" s="66"/>
      <c r="AF608" s="66"/>
      <c r="AG608" s="190"/>
      <c r="AH608" s="191"/>
      <c r="AI608" s="190"/>
      <c r="AJ608" s="190"/>
      <c r="AK608" s="66"/>
      <c r="AL608" s="66"/>
      <c r="AM608" s="66"/>
      <c r="AN608" s="66"/>
      <c r="AO608" s="66"/>
      <c r="AP608" s="66"/>
      <c r="AQ608" s="66"/>
      <c r="AR608" s="66"/>
      <c r="AS608" s="66"/>
      <c r="AT608" s="66"/>
    </row>
    <row r="609">
      <c r="A609" s="8"/>
      <c r="B609" s="66"/>
      <c r="C609" s="66"/>
      <c r="D609" s="66"/>
      <c r="E609" s="8"/>
      <c r="F609" s="66"/>
      <c r="G609" s="66"/>
      <c r="H609" s="66"/>
      <c r="I609" s="8"/>
      <c r="J609" s="66"/>
      <c r="K609" s="66"/>
      <c r="L609" s="66"/>
      <c r="M609" s="8"/>
      <c r="N609" s="66"/>
      <c r="O609" s="66"/>
      <c r="P609" s="66"/>
      <c r="Q609" s="8"/>
      <c r="R609" s="66"/>
      <c r="S609" s="66"/>
      <c r="T609" s="66"/>
      <c r="U609" s="8"/>
      <c r="V609" s="66"/>
      <c r="W609" s="66"/>
      <c r="X609" s="66"/>
      <c r="Y609" s="189"/>
      <c r="Z609" s="184"/>
      <c r="AA609" s="184"/>
      <c r="AB609" s="184"/>
      <c r="AC609" s="8"/>
      <c r="AD609" s="66"/>
      <c r="AE609" s="66"/>
      <c r="AF609" s="66"/>
      <c r="AG609" s="190"/>
      <c r="AH609" s="191"/>
      <c r="AI609" s="190"/>
      <c r="AJ609" s="190"/>
      <c r="AK609" s="66"/>
      <c r="AL609" s="66"/>
      <c r="AM609" s="66"/>
      <c r="AN609" s="66"/>
      <c r="AO609" s="66"/>
      <c r="AP609" s="66"/>
      <c r="AQ609" s="66"/>
      <c r="AR609" s="66"/>
      <c r="AS609" s="66"/>
      <c r="AT609" s="66"/>
    </row>
    <row r="610">
      <c r="A610" s="8"/>
      <c r="B610" s="66"/>
      <c r="C610" s="66"/>
      <c r="D610" s="66"/>
      <c r="E610" s="8"/>
      <c r="F610" s="66"/>
      <c r="G610" s="66"/>
      <c r="H610" s="66"/>
      <c r="I610" s="8"/>
      <c r="J610" s="66"/>
      <c r="K610" s="66"/>
      <c r="L610" s="66"/>
      <c r="M610" s="8"/>
      <c r="N610" s="66"/>
      <c r="O610" s="66"/>
      <c r="P610" s="66"/>
      <c r="Q610" s="8"/>
      <c r="R610" s="66"/>
      <c r="S610" s="66"/>
      <c r="T610" s="66"/>
      <c r="U610" s="8"/>
      <c r="V610" s="66"/>
      <c r="W610" s="66"/>
      <c r="X610" s="66"/>
      <c r="Y610" s="189"/>
      <c r="Z610" s="184"/>
      <c r="AA610" s="184"/>
      <c r="AB610" s="184"/>
      <c r="AC610" s="8"/>
      <c r="AD610" s="66"/>
      <c r="AE610" s="66"/>
      <c r="AF610" s="66"/>
      <c r="AG610" s="190"/>
      <c r="AH610" s="191"/>
      <c r="AI610" s="190"/>
      <c r="AJ610" s="190"/>
      <c r="AK610" s="66"/>
      <c r="AL610" s="66"/>
      <c r="AM610" s="66"/>
      <c r="AN610" s="66"/>
      <c r="AO610" s="66"/>
      <c r="AP610" s="66"/>
      <c r="AQ610" s="66"/>
      <c r="AR610" s="66"/>
      <c r="AS610" s="66"/>
      <c r="AT610" s="66"/>
    </row>
    <row r="611">
      <c r="A611" s="8"/>
      <c r="B611" s="66"/>
      <c r="C611" s="66"/>
      <c r="D611" s="66"/>
      <c r="E611" s="8"/>
      <c r="F611" s="66"/>
      <c r="G611" s="66"/>
      <c r="H611" s="66"/>
      <c r="I611" s="8"/>
      <c r="J611" s="66"/>
      <c r="K611" s="66"/>
      <c r="L611" s="66"/>
      <c r="M611" s="8"/>
      <c r="N611" s="66"/>
      <c r="O611" s="66"/>
      <c r="P611" s="66"/>
      <c r="Q611" s="8"/>
      <c r="R611" s="66"/>
      <c r="S611" s="66"/>
      <c r="T611" s="66"/>
      <c r="U611" s="8"/>
      <c r="V611" s="66"/>
      <c r="W611" s="66"/>
      <c r="X611" s="66"/>
      <c r="Y611" s="189"/>
      <c r="Z611" s="184"/>
      <c r="AA611" s="184"/>
      <c r="AB611" s="184"/>
      <c r="AC611" s="8"/>
      <c r="AD611" s="66"/>
      <c r="AE611" s="66"/>
      <c r="AF611" s="66"/>
      <c r="AG611" s="190"/>
      <c r="AH611" s="191"/>
      <c r="AI611" s="190"/>
      <c r="AJ611" s="190"/>
      <c r="AK611" s="66"/>
      <c r="AL611" s="66"/>
      <c r="AM611" s="66"/>
      <c r="AN611" s="66"/>
      <c r="AO611" s="66"/>
      <c r="AP611" s="66"/>
      <c r="AQ611" s="66"/>
      <c r="AR611" s="66"/>
      <c r="AS611" s="66"/>
      <c r="AT611" s="66"/>
    </row>
    <row r="612">
      <c r="A612" s="8"/>
      <c r="B612" s="66"/>
      <c r="C612" s="66"/>
      <c r="D612" s="66"/>
      <c r="E612" s="8"/>
      <c r="F612" s="66"/>
      <c r="G612" s="66"/>
      <c r="H612" s="66"/>
      <c r="I612" s="8"/>
      <c r="J612" s="66"/>
      <c r="K612" s="66"/>
      <c r="L612" s="66"/>
      <c r="M612" s="8"/>
      <c r="N612" s="66"/>
      <c r="O612" s="66"/>
      <c r="P612" s="66"/>
      <c r="Q612" s="8"/>
      <c r="R612" s="66"/>
      <c r="S612" s="66"/>
      <c r="T612" s="66"/>
      <c r="U612" s="8"/>
      <c r="V612" s="66"/>
      <c r="W612" s="66"/>
      <c r="X612" s="66"/>
      <c r="Y612" s="189"/>
      <c r="Z612" s="184"/>
      <c r="AA612" s="184"/>
      <c r="AB612" s="184"/>
      <c r="AC612" s="8"/>
      <c r="AD612" s="66"/>
      <c r="AE612" s="66"/>
      <c r="AF612" s="66"/>
      <c r="AG612" s="190"/>
      <c r="AH612" s="191"/>
      <c r="AI612" s="190"/>
      <c r="AJ612" s="190"/>
      <c r="AK612" s="66"/>
      <c r="AL612" s="66"/>
      <c r="AM612" s="66"/>
      <c r="AN612" s="66"/>
      <c r="AO612" s="66"/>
      <c r="AP612" s="66"/>
      <c r="AQ612" s="66"/>
      <c r="AR612" s="66"/>
      <c r="AS612" s="66"/>
      <c r="AT612" s="66"/>
    </row>
    <row r="613">
      <c r="A613" s="8"/>
      <c r="B613" s="66"/>
      <c r="C613" s="66"/>
      <c r="D613" s="66"/>
      <c r="E613" s="8"/>
      <c r="F613" s="66"/>
      <c r="G613" s="66"/>
      <c r="H613" s="66"/>
      <c r="I613" s="8"/>
      <c r="J613" s="66"/>
      <c r="K613" s="66"/>
      <c r="L613" s="66"/>
      <c r="M613" s="8"/>
      <c r="N613" s="66"/>
      <c r="O613" s="66"/>
      <c r="P613" s="66"/>
      <c r="Q613" s="8"/>
      <c r="R613" s="66"/>
      <c r="S613" s="66"/>
      <c r="T613" s="66"/>
      <c r="U613" s="8"/>
      <c r="V613" s="66"/>
      <c r="W613" s="66"/>
      <c r="X613" s="66"/>
      <c r="Y613" s="189"/>
      <c r="Z613" s="184"/>
      <c r="AA613" s="184"/>
      <c r="AB613" s="184"/>
      <c r="AC613" s="8"/>
      <c r="AD613" s="66"/>
      <c r="AE613" s="66"/>
      <c r="AF613" s="66"/>
      <c r="AG613" s="190"/>
      <c r="AH613" s="191"/>
      <c r="AI613" s="190"/>
      <c r="AJ613" s="190"/>
      <c r="AK613" s="66"/>
      <c r="AL613" s="66"/>
      <c r="AM613" s="66"/>
      <c r="AN613" s="66"/>
      <c r="AO613" s="66"/>
      <c r="AP613" s="66"/>
      <c r="AQ613" s="66"/>
      <c r="AR613" s="66"/>
      <c r="AS613" s="66"/>
      <c r="AT613" s="66"/>
    </row>
    <row r="614">
      <c r="A614" s="8"/>
      <c r="B614" s="66"/>
      <c r="C614" s="66"/>
      <c r="D614" s="66"/>
      <c r="E614" s="8"/>
      <c r="F614" s="66"/>
      <c r="G614" s="66"/>
      <c r="H614" s="66"/>
      <c r="I614" s="8"/>
      <c r="J614" s="66"/>
      <c r="K614" s="66"/>
      <c r="L614" s="66"/>
      <c r="M614" s="8"/>
      <c r="N614" s="66"/>
      <c r="O614" s="66"/>
      <c r="P614" s="66"/>
      <c r="Q614" s="8"/>
      <c r="R614" s="66"/>
      <c r="S614" s="66"/>
      <c r="T614" s="66"/>
      <c r="U614" s="8"/>
      <c r="V614" s="66"/>
      <c r="W614" s="66"/>
      <c r="X614" s="66"/>
      <c r="Y614" s="189"/>
      <c r="Z614" s="184"/>
      <c r="AA614" s="184"/>
      <c r="AB614" s="184"/>
      <c r="AC614" s="8"/>
      <c r="AD614" s="66"/>
      <c r="AE614" s="66"/>
      <c r="AF614" s="66"/>
      <c r="AG614" s="190"/>
      <c r="AH614" s="191"/>
      <c r="AI614" s="190"/>
      <c r="AJ614" s="190"/>
      <c r="AK614" s="66"/>
      <c r="AL614" s="66"/>
      <c r="AM614" s="66"/>
      <c r="AN614" s="66"/>
      <c r="AO614" s="66"/>
      <c r="AP614" s="66"/>
      <c r="AQ614" s="66"/>
      <c r="AR614" s="66"/>
      <c r="AS614" s="66"/>
      <c r="AT614" s="66"/>
    </row>
    <row r="615">
      <c r="A615" s="8"/>
      <c r="B615" s="66"/>
      <c r="C615" s="66"/>
      <c r="D615" s="66"/>
      <c r="E615" s="8"/>
      <c r="F615" s="66"/>
      <c r="G615" s="66"/>
      <c r="H615" s="66"/>
      <c r="I615" s="8"/>
      <c r="J615" s="66"/>
      <c r="K615" s="66"/>
      <c r="L615" s="66"/>
      <c r="M615" s="8"/>
      <c r="N615" s="66"/>
      <c r="O615" s="66"/>
      <c r="P615" s="66"/>
      <c r="Q615" s="8"/>
      <c r="R615" s="66"/>
      <c r="S615" s="66"/>
      <c r="T615" s="66"/>
      <c r="U615" s="8"/>
      <c r="V615" s="66"/>
      <c r="W615" s="66"/>
      <c r="X615" s="66"/>
      <c r="Y615" s="189"/>
      <c r="Z615" s="184"/>
      <c r="AA615" s="184"/>
      <c r="AB615" s="184"/>
      <c r="AC615" s="8"/>
      <c r="AD615" s="66"/>
      <c r="AE615" s="66"/>
      <c r="AF615" s="66"/>
      <c r="AG615" s="190"/>
      <c r="AH615" s="191"/>
      <c r="AI615" s="190"/>
      <c r="AJ615" s="190"/>
      <c r="AK615" s="66"/>
      <c r="AL615" s="66"/>
      <c r="AM615" s="66"/>
      <c r="AN615" s="66"/>
      <c r="AO615" s="66"/>
      <c r="AP615" s="66"/>
      <c r="AQ615" s="66"/>
      <c r="AR615" s="66"/>
      <c r="AS615" s="66"/>
      <c r="AT615" s="66"/>
    </row>
    <row r="616">
      <c r="A616" s="8"/>
      <c r="B616" s="66"/>
      <c r="C616" s="66"/>
      <c r="D616" s="66"/>
      <c r="E616" s="8"/>
      <c r="F616" s="66"/>
      <c r="G616" s="66"/>
      <c r="H616" s="66"/>
      <c r="I616" s="8"/>
      <c r="J616" s="66"/>
      <c r="K616" s="66"/>
      <c r="L616" s="66"/>
      <c r="M616" s="8"/>
      <c r="N616" s="66"/>
      <c r="O616" s="66"/>
      <c r="P616" s="66"/>
      <c r="Q616" s="8"/>
      <c r="R616" s="66"/>
      <c r="S616" s="66"/>
      <c r="T616" s="66"/>
      <c r="U616" s="8"/>
      <c r="V616" s="66"/>
      <c r="W616" s="66"/>
      <c r="X616" s="66"/>
      <c r="Y616" s="189"/>
      <c r="Z616" s="184"/>
      <c r="AA616" s="184"/>
      <c r="AB616" s="184"/>
      <c r="AC616" s="8"/>
      <c r="AD616" s="66"/>
      <c r="AE616" s="66"/>
      <c r="AF616" s="66"/>
      <c r="AG616" s="190"/>
      <c r="AH616" s="191"/>
      <c r="AI616" s="190"/>
      <c r="AJ616" s="190"/>
      <c r="AK616" s="66"/>
      <c r="AL616" s="66"/>
      <c r="AM616" s="66"/>
      <c r="AN616" s="66"/>
      <c r="AO616" s="66"/>
      <c r="AP616" s="66"/>
      <c r="AQ616" s="66"/>
      <c r="AR616" s="66"/>
      <c r="AS616" s="66"/>
      <c r="AT616" s="66"/>
    </row>
    <row r="617">
      <c r="A617" s="8"/>
      <c r="B617" s="66"/>
      <c r="C617" s="66"/>
      <c r="D617" s="66"/>
      <c r="E617" s="8"/>
      <c r="F617" s="66"/>
      <c r="G617" s="66"/>
      <c r="H617" s="66"/>
      <c r="I617" s="8"/>
      <c r="J617" s="66"/>
      <c r="K617" s="66"/>
      <c r="L617" s="66"/>
      <c r="M617" s="8"/>
      <c r="N617" s="66"/>
      <c r="O617" s="66"/>
      <c r="P617" s="66"/>
      <c r="Q617" s="8"/>
      <c r="R617" s="66"/>
      <c r="S617" s="66"/>
      <c r="T617" s="66"/>
      <c r="U617" s="8"/>
      <c r="V617" s="66"/>
      <c r="W617" s="66"/>
      <c r="X617" s="66"/>
      <c r="Y617" s="189"/>
      <c r="Z617" s="184"/>
      <c r="AA617" s="184"/>
      <c r="AB617" s="184"/>
      <c r="AC617" s="8"/>
      <c r="AD617" s="66"/>
      <c r="AE617" s="66"/>
      <c r="AF617" s="66"/>
      <c r="AG617" s="190"/>
      <c r="AH617" s="191"/>
      <c r="AI617" s="190"/>
      <c r="AJ617" s="190"/>
      <c r="AK617" s="66"/>
      <c r="AL617" s="66"/>
      <c r="AM617" s="66"/>
      <c r="AN617" s="66"/>
      <c r="AO617" s="66"/>
      <c r="AP617" s="66"/>
      <c r="AQ617" s="66"/>
      <c r="AR617" s="66"/>
      <c r="AS617" s="66"/>
      <c r="AT617" s="66"/>
    </row>
    <row r="618">
      <c r="A618" s="8"/>
      <c r="B618" s="66"/>
      <c r="C618" s="66"/>
      <c r="D618" s="66"/>
      <c r="E618" s="8"/>
      <c r="F618" s="66"/>
      <c r="G618" s="66"/>
      <c r="H618" s="66"/>
      <c r="I618" s="8"/>
      <c r="J618" s="66"/>
      <c r="K618" s="66"/>
      <c r="L618" s="66"/>
      <c r="M618" s="8"/>
      <c r="N618" s="66"/>
      <c r="O618" s="66"/>
      <c r="P618" s="66"/>
      <c r="Q618" s="8"/>
      <c r="R618" s="66"/>
      <c r="S618" s="66"/>
      <c r="T618" s="66"/>
      <c r="U618" s="8"/>
      <c r="V618" s="66"/>
      <c r="W618" s="66"/>
      <c r="X618" s="66"/>
      <c r="Y618" s="189"/>
      <c r="Z618" s="184"/>
      <c r="AA618" s="184"/>
      <c r="AB618" s="184"/>
      <c r="AC618" s="8"/>
      <c r="AD618" s="66"/>
      <c r="AE618" s="66"/>
      <c r="AF618" s="66"/>
      <c r="AG618" s="190"/>
      <c r="AH618" s="191"/>
      <c r="AI618" s="190"/>
      <c r="AJ618" s="190"/>
      <c r="AK618" s="66"/>
      <c r="AL618" s="66"/>
      <c r="AM618" s="66"/>
      <c r="AN618" s="66"/>
      <c r="AO618" s="66"/>
      <c r="AP618" s="66"/>
      <c r="AQ618" s="66"/>
      <c r="AR618" s="66"/>
      <c r="AS618" s="66"/>
      <c r="AT618" s="66"/>
    </row>
    <row r="619">
      <c r="A619" s="8"/>
      <c r="B619" s="66"/>
      <c r="C619" s="66"/>
      <c r="D619" s="66"/>
      <c r="E619" s="8"/>
      <c r="F619" s="66"/>
      <c r="G619" s="66"/>
      <c r="H619" s="66"/>
      <c r="I619" s="8"/>
      <c r="J619" s="66"/>
      <c r="K619" s="66"/>
      <c r="L619" s="66"/>
      <c r="M619" s="8"/>
      <c r="N619" s="66"/>
      <c r="O619" s="66"/>
      <c r="P619" s="66"/>
      <c r="Q619" s="8"/>
      <c r="R619" s="66"/>
      <c r="S619" s="66"/>
      <c r="T619" s="66"/>
      <c r="U619" s="8"/>
      <c r="V619" s="66"/>
      <c r="W619" s="66"/>
      <c r="X619" s="66"/>
      <c r="Y619" s="189"/>
      <c r="Z619" s="184"/>
      <c r="AA619" s="184"/>
      <c r="AB619" s="184"/>
      <c r="AC619" s="8"/>
      <c r="AD619" s="66"/>
      <c r="AE619" s="66"/>
      <c r="AF619" s="66"/>
      <c r="AG619" s="190"/>
      <c r="AH619" s="191"/>
      <c r="AI619" s="190"/>
      <c r="AJ619" s="190"/>
      <c r="AK619" s="66"/>
      <c r="AL619" s="66"/>
      <c r="AM619" s="66"/>
      <c r="AN619" s="66"/>
      <c r="AO619" s="66"/>
      <c r="AP619" s="66"/>
      <c r="AQ619" s="66"/>
      <c r="AR619" s="66"/>
      <c r="AS619" s="66"/>
      <c r="AT619" s="66"/>
    </row>
    <row r="620">
      <c r="A620" s="8"/>
      <c r="B620" s="66"/>
      <c r="C620" s="66"/>
      <c r="D620" s="66"/>
      <c r="E620" s="8"/>
      <c r="F620" s="66"/>
      <c r="G620" s="66"/>
      <c r="H620" s="66"/>
      <c r="I620" s="8"/>
      <c r="J620" s="66"/>
      <c r="K620" s="66"/>
      <c r="L620" s="66"/>
      <c r="M620" s="8"/>
      <c r="N620" s="66"/>
      <c r="O620" s="66"/>
      <c r="P620" s="66"/>
      <c r="Q620" s="8"/>
      <c r="R620" s="66"/>
      <c r="S620" s="66"/>
      <c r="T620" s="66"/>
      <c r="U620" s="8"/>
      <c r="V620" s="66"/>
      <c r="W620" s="66"/>
      <c r="X620" s="66"/>
      <c r="Y620" s="189"/>
      <c r="Z620" s="184"/>
      <c r="AA620" s="184"/>
      <c r="AB620" s="184"/>
      <c r="AC620" s="8"/>
      <c r="AD620" s="66"/>
      <c r="AE620" s="66"/>
      <c r="AF620" s="66"/>
      <c r="AG620" s="190"/>
      <c r="AH620" s="191"/>
      <c r="AI620" s="190"/>
      <c r="AJ620" s="190"/>
      <c r="AK620" s="66"/>
      <c r="AL620" s="66"/>
      <c r="AM620" s="66"/>
      <c r="AN620" s="66"/>
      <c r="AO620" s="66"/>
      <c r="AP620" s="66"/>
      <c r="AQ620" s="66"/>
      <c r="AR620" s="66"/>
      <c r="AS620" s="66"/>
      <c r="AT620" s="66"/>
    </row>
    <row r="621">
      <c r="A621" s="8"/>
      <c r="B621" s="66"/>
      <c r="C621" s="66"/>
      <c r="D621" s="66"/>
      <c r="E621" s="8"/>
      <c r="F621" s="66"/>
      <c r="G621" s="66"/>
      <c r="H621" s="66"/>
      <c r="I621" s="8"/>
      <c r="J621" s="66"/>
      <c r="K621" s="66"/>
      <c r="L621" s="66"/>
      <c r="M621" s="8"/>
      <c r="N621" s="66"/>
      <c r="O621" s="66"/>
      <c r="P621" s="66"/>
      <c r="Q621" s="8"/>
      <c r="R621" s="66"/>
      <c r="S621" s="66"/>
      <c r="T621" s="66"/>
      <c r="U621" s="8"/>
      <c r="V621" s="66"/>
      <c r="W621" s="66"/>
      <c r="X621" s="66"/>
      <c r="Y621" s="189"/>
      <c r="Z621" s="184"/>
      <c r="AA621" s="184"/>
      <c r="AB621" s="184"/>
      <c r="AC621" s="8"/>
      <c r="AD621" s="66"/>
      <c r="AE621" s="66"/>
      <c r="AF621" s="66"/>
      <c r="AG621" s="190"/>
      <c r="AH621" s="191"/>
      <c r="AI621" s="190"/>
      <c r="AJ621" s="190"/>
      <c r="AK621" s="66"/>
      <c r="AL621" s="66"/>
      <c r="AM621" s="66"/>
      <c r="AN621" s="66"/>
      <c r="AO621" s="66"/>
      <c r="AP621" s="66"/>
      <c r="AQ621" s="66"/>
      <c r="AR621" s="66"/>
      <c r="AS621" s="66"/>
      <c r="AT621" s="66"/>
    </row>
    <row r="622">
      <c r="A622" s="8"/>
      <c r="B622" s="66"/>
      <c r="C622" s="66"/>
      <c r="D622" s="66"/>
      <c r="E622" s="8"/>
      <c r="F622" s="66"/>
      <c r="G622" s="66"/>
      <c r="H622" s="66"/>
      <c r="I622" s="8"/>
      <c r="J622" s="66"/>
      <c r="K622" s="66"/>
      <c r="L622" s="66"/>
      <c r="M622" s="8"/>
      <c r="N622" s="66"/>
      <c r="O622" s="66"/>
      <c r="P622" s="66"/>
      <c r="Q622" s="8"/>
      <c r="R622" s="66"/>
      <c r="S622" s="66"/>
      <c r="T622" s="66"/>
      <c r="U622" s="8"/>
      <c r="V622" s="66"/>
      <c r="W622" s="66"/>
      <c r="X622" s="66"/>
      <c r="Y622" s="189"/>
      <c r="Z622" s="184"/>
      <c r="AA622" s="184"/>
      <c r="AB622" s="184"/>
      <c r="AC622" s="8"/>
      <c r="AD622" s="66"/>
      <c r="AE622" s="66"/>
      <c r="AF622" s="66"/>
      <c r="AG622" s="190"/>
      <c r="AH622" s="191"/>
      <c r="AI622" s="190"/>
      <c r="AJ622" s="190"/>
      <c r="AK622" s="66"/>
      <c r="AL622" s="66"/>
      <c r="AM622" s="66"/>
      <c r="AN622" s="66"/>
      <c r="AO622" s="66"/>
      <c r="AP622" s="66"/>
      <c r="AQ622" s="66"/>
      <c r="AR622" s="66"/>
      <c r="AS622" s="66"/>
      <c r="AT622" s="66"/>
    </row>
    <row r="623">
      <c r="A623" s="8"/>
      <c r="B623" s="66"/>
      <c r="C623" s="66"/>
      <c r="D623" s="66"/>
      <c r="E623" s="8"/>
      <c r="F623" s="66"/>
      <c r="G623" s="66"/>
      <c r="H623" s="66"/>
      <c r="I623" s="8"/>
      <c r="J623" s="66"/>
      <c r="K623" s="66"/>
      <c r="L623" s="66"/>
      <c r="M623" s="8"/>
      <c r="N623" s="66"/>
      <c r="O623" s="66"/>
      <c r="P623" s="66"/>
      <c r="Q623" s="8"/>
      <c r="R623" s="66"/>
      <c r="S623" s="66"/>
      <c r="T623" s="66"/>
      <c r="U623" s="8"/>
      <c r="V623" s="66"/>
      <c r="W623" s="66"/>
      <c r="X623" s="66"/>
      <c r="Y623" s="189"/>
      <c r="Z623" s="184"/>
      <c r="AA623" s="184"/>
      <c r="AB623" s="184"/>
      <c r="AC623" s="8"/>
      <c r="AD623" s="66"/>
      <c r="AE623" s="66"/>
      <c r="AF623" s="66"/>
      <c r="AG623" s="190"/>
      <c r="AH623" s="191"/>
      <c r="AI623" s="190"/>
      <c r="AJ623" s="190"/>
      <c r="AK623" s="66"/>
      <c r="AL623" s="66"/>
      <c r="AM623" s="66"/>
      <c r="AN623" s="66"/>
      <c r="AO623" s="66"/>
      <c r="AP623" s="66"/>
      <c r="AQ623" s="66"/>
      <c r="AR623" s="66"/>
      <c r="AS623" s="66"/>
      <c r="AT623" s="66"/>
    </row>
    <row r="624">
      <c r="A624" s="8"/>
      <c r="B624" s="66"/>
      <c r="C624" s="66"/>
      <c r="D624" s="66"/>
      <c r="E624" s="8"/>
      <c r="F624" s="66"/>
      <c r="G624" s="66"/>
      <c r="H624" s="66"/>
      <c r="I624" s="8"/>
      <c r="J624" s="66"/>
      <c r="K624" s="66"/>
      <c r="L624" s="66"/>
      <c r="M624" s="8"/>
      <c r="N624" s="66"/>
      <c r="O624" s="66"/>
      <c r="P624" s="66"/>
      <c r="Q624" s="8"/>
      <c r="R624" s="66"/>
      <c r="S624" s="66"/>
      <c r="T624" s="66"/>
      <c r="U624" s="8"/>
      <c r="V624" s="66"/>
      <c r="W624" s="66"/>
      <c r="X624" s="66"/>
      <c r="Y624" s="189"/>
      <c r="Z624" s="184"/>
      <c r="AA624" s="184"/>
      <c r="AB624" s="184"/>
      <c r="AC624" s="8"/>
      <c r="AD624" s="66"/>
      <c r="AE624" s="66"/>
      <c r="AF624" s="66"/>
      <c r="AG624" s="190"/>
      <c r="AH624" s="191"/>
      <c r="AI624" s="190"/>
      <c r="AJ624" s="190"/>
      <c r="AK624" s="66"/>
      <c r="AL624" s="66"/>
      <c r="AM624" s="66"/>
      <c r="AN624" s="66"/>
      <c r="AO624" s="66"/>
      <c r="AP624" s="66"/>
      <c r="AQ624" s="66"/>
      <c r="AR624" s="66"/>
      <c r="AS624" s="66"/>
      <c r="AT624" s="66"/>
    </row>
    <row r="625">
      <c r="A625" s="8"/>
      <c r="B625" s="66"/>
      <c r="C625" s="66"/>
      <c r="D625" s="66"/>
      <c r="E625" s="8"/>
      <c r="F625" s="66"/>
      <c r="G625" s="66"/>
      <c r="H625" s="66"/>
      <c r="I625" s="8"/>
      <c r="J625" s="66"/>
      <c r="K625" s="66"/>
      <c r="L625" s="66"/>
      <c r="M625" s="8"/>
      <c r="N625" s="66"/>
      <c r="O625" s="66"/>
      <c r="P625" s="66"/>
      <c r="Q625" s="8"/>
      <c r="R625" s="66"/>
      <c r="S625" s="66"/>
      <c r="T625" s="66"/>
      <c r="U625" s="8"/>
      <c r="V625" s="66"/>
      <c r="W625" s="66"/>
      <c r="X625" s="66"/>
      <c r="Y625" s="189"/>
      <c r="Z625" s="184"/>
      <c r="AA625" s="184"/>
      <c r="AB625" s="184"/>
      <c r="AC625" s="8"/>
      <c r="AD625" s="66"/>
      <c r="AE625" s="66"/>
      <c r="AF625" s="66"/>
      <c r="AG625" s="190"/>
      <c r="AH625" s="191"/>
      <c r="AI625" s="190"/>
      <c r="AJ625" s="190"/>
      <c r="AK625" s="66"/>
      <c r="AL625" s="66"/>
      <c r="AM625" s="66"/>
      <c r="AN625" s="66"/>
      <c r="AO625" s="66"/>
      <c r="AP625" s="66"/>
      <c r="AQ625" s="66"/>
      <c r="AR625" s="66"/>
      <c r="AS625" s="66"/>
      <c r="AT625" s="66"/>
    </row>
    <row r="626">
      <c r="A626" s="8"/>
      <c r="B626" s="66"/>
      <c r="C626" s="66"/>
      <c r="D626" s="66"/>
      <c r="E626" s="8"/>
      <c r="F626" s="66"/>
      <c r="G626" s="66"/>
      <c r="H626" s="66"/>
      <c r="I626" s="8"/>
      <c r="J626" s="66"/>
      <c r="K626" s="66"/>
      <c r="L626" s="66"/>
      <c r="M626" s="8"/>
      <c r="N626" s="66"/>
      <c r="O626" s="66"/>
      <c r="P626" s="66"/>
      <c r="Q626" s="8"/>
      <c r="R626" s="66"/>
      <c r="S626" s="66"/>
      <c r="T626" s="66"/>
      <c r="U626" s="8"/>
      <c r="V626" s="66"/>
      <c r="W626" s="66"/>
      <c r="X626" s="66"/>
      <c r="Y626" s="189"/>
      <c r="Z626" s="184"/>
      <c r="AA626" s="184"/>
      <c r="AB626" s="184"/>
      <c r="AC626" s="8"/>
      <c r="AD626" s="66"/>
      <c r="AE626" s="66"/>
      <c r="AF626" s="66"/>
      <c r="AG626" s="190"/>
      <c r="AH626" s="191"/>
      <c r="AI626" s="190"/>
      <c r="AJ626" s="190"/>
      <c r="AK626" s="66"/>
      <c r="AL626" s="66"/>
      <c r="AM626" s="66"/>
      <c r="AN626" s="66"/>
      <c r="AO626" s="66"/>
      <c r="AP626" s="66"/>
      <c r="AQ626" s="66"/>
      <c r="AR626" s="66"/>
      <c r="AS626" s="66"/>
      <c r="AT626" s="66"/>
    </row>
    <row r="627">
      <c r="A627" s="8"/>
      <c r="B627" s="66"/>
      <c r="C627" s="66"/>
      <c r="D627" s="66"/>
      <c r="E627" s="8"/>
      <c r="F627" s="66"/>
      <c r="G627" s="66"/>
      <c r="H627" s="66"/>
      <c r="I627" s="8"/>
      <c r="J627" s="66"/>
      <c r="K627" s="66"/>
      <c r="L627" s="66"/>
      <c r="M627" s="8"/>
      <c r="N627" s="66"/>
      <c r="O627" s="66"/>
      <c r="P627" s="66"/>
      <c r="Q627" s="8"/>
      <c r="R627" s="66"/>
      <c r="S627" s="66"/>
      <c r="T627" s="66"/>
      <c r="U627" s="8"/>
      <c r="V627" s="66"/>
      <c r="W627" s="66"/>
      <c r="X627" s="66"/>
      <c r="Y627" s="189"/>
      <c r="Z627" s="184"/>
      <c r="AA627" s="184"/>
      <c r="AB627" s="184"/>
      <c r="AC627" s="8"/>
      <c r="AD627" s="66"/>
      <c r="AE627" s="66"/>
      <c r="AF627" s="66"/>
      <c r="AG627" s="190"/>
      <c r="AH627" s="191"/>
      <c r="AI627" s="190"/>
      <c r="AJ627" s="190"/>
      <c r="AK627" s="66"/>
      <c r="AL627" s="66"/>
      <c r="AM627" s="66"/>
      <c r="AN627" s="66"/>
      <c r="AO627" s="66"/>
      <c r="AP627" s="66"/>
      <c r="AQ627" s="66"/>
      <c r="AR627" s="66"/>
      <c r="AS627" s="66"/>
      <c r="AT627" s="66"/>
    </row>
    <row r="628">
      <c r="A628" s="8"/>
      <c r="B628" s="66"/>
      <c r="C628" s="66"/>
      <c r="D628" s="66"/>
      <c r="E628" s="8"/>
      <c r="F628" s="66"/>
      <c r="G628" s="66"/>
      <c r="H628" s="66"/>
      <c r="I628" s="8"/>
      <c r="J628" s="66"/>
      <c r="K628" s="66"/>
      <c r="L628" s="66"/>
      <c r="M628" s="8"/>
      <c r="N628" s="66"/>
      <c r="O628" s="66"/>
      <c r="P628" s="66"/>
      <c r="Q628" s="8"/>
      <c r="R628" s="66"/>
      <c r="S628" s="66"/>
      <c r="T628" s="66"/>
      <c r="U628" s="8"/>
      <c r="V628" s="66"/>
      <c r="W628" s="66"/>
      <c r="X628" s="66"/>
      <c r="Y628" s="189"/>
      <c r="Z628" s="184"/>
      <c r="AA628" s="184"/>
      <c r="AB628" s="184"/>
      <c r="AC628" s="8"/>
      <c r="AD628" s="66"/>
      <c r="AE628" s="66"/>
      <c r="AF628" s="66"/>
      <c r="AG628" s="190"/>
      <c r="AH628" s="191"/>
      <c r="AI628" s="190"/>
      <c r="AJ628" s="190"/>
      <c r="AK628" s="66"/>
      <c r="AL628" s="66"/>
      <c r="AM628" s="66"/>
      <c r="AN628" s="66"/>
      <c r="AO628" s="66"/>
      <c r="AP628" s="66"/>
      <c r="AQ628" s="66"/>
      <c r="AR628" s="66"/>
      <c r="AS628" s="66"/>
      <c r="AT628" s="66"/>
    </row>
    <row r="629">
      <c r="A629" s="8"/>
      <c r="B629" s="66"/>
      <c r="C629" s="66"/>
      <c r="D629" s="66"/>
      <c r="E629" s="8"/>
      <c r="F629" s="66"/>
      <c r="G629" s="66"/>
      <c r="H629" s="66"/>
      <c r="I629" s="8"/>
      <c r="J629" s="66"/>
      <c r="K629" s="66"/>
      <c r="L629" s="66"/>
      <c r="M629" s="8"/>
      <c r="N629" s="66"/>
      <c r="O629" s="66"/>
      <c r="P629" s="66"/>
      <c r="Q629" s="8"/>
      <c r="R629" s="66"/>
      <c r="S629" s="66"/>
      <c r="T629" s="66"/>
      <c r="U629" s="8"/>
      <c r="V629" s="66"/>
      <c r="W629" s="66"/>
      <c r="X629" s="66"/>
      <c r="Y629" s="189"/>
      <c r="Z629" s="184"/>
      <c r="AA629" s="184"/>
      <c r="AB629" s="184"/>
      <c r="AC629" s="8"/>
      <c r="AD629" s="66"/>
      <c r="AE629" s="66"/>
      <c r="AF629" s="66"/>
      <c r="AG629" s="190"/>
      <c r="AH629" s="191"/>
      <c r="AI629" s="190"/>
      <c r="AJ629" s="190"/>
      <c r="AK629" s="66"/>
      <c r="AL629" s="66"/>
      <c r="AM629" s="66"/>
      <c r="AN629" s="66"/>
      <c r="AO629" s="66"/>
      <c r="AP629" s="66"/>
      <c r="AQ629" s="66"/>
      <c r="AR629" s="66"/>
      <c r="AS629" s="66"/>
      <c r="AT629" s="66"/>
    </row>
    <row r="630">
      <c r="A630" s="8"/>
      <c r="B630" s="66"/>
      <c r="C630" s="66"/>
      <c r="D630" s="66"/>
      <c r="E630" s="8"/>
      <c r="F630" s="66"/>
      <c r="G630" s="66"/>
      <c r="H630" s="66"/>
      <c r="I630" s="8"/>
      <c r="J630" s="66"/>
      <c r="K630" s="66"/>
      <c r="L630" s="66"/>
      <c r="M630" s="8"/>
      <c r="N630" s="66"/>
      <c r="O630" s="66"/>
      <c r="P630" s="66"/>
      <c r="Q630" s="8"/>
      <c r="R630" s="66"/>
      <c r="S630" s="66"/>
      <c r="T630" s="66"/>
      <c r="U630" s="8"/>
      <c r="V630" s="66"/>
      <c r="W630" s="66"/>
      <c r="X630" s="66"/>
      <c r="Y630" s="189"/>
      <c r="Z630" s="184"/>
      <c r="AA630" s="184"/>
      <c r="AB630" s="184"/>
      <c r="AC630" s="8"/>
      <c r="AD630" s="66"/>
      <c r="AE630" s="66"/>
      <c r="AF630" s="66"/>
      <c r="AG630" s="190"/>
      <c r="AH630" s="191"/>
      <c r="AI630" s="190"/>
      <c r="AJ630" s="190"/>
      <c r="AK630" s="66"/>
      <c r="AL630" s="66"/>
      <c r="AM630" s="66"/>
      <c r="AN630" s="66"/>
      <c r="AO630" s="66"/>
      <c r="AP630" s="66"/>
      <c r="AQ630" s="66"/>
      <c r="AR630" s="66"/>
      <c r="AS630" s="66"/>
      <c r="AT630" s="66"/>
    </row>
    <row r="631">
      <c r="A631" s="8"/>
      <c r="B631" s="66"/>
      <c r="C631" s="66"/>
      <c r="D631" s="66"/>
      <c r="E631" s="8"/>
      <c r="F631" s="66"/>
      <c r="G631" s="66"/>
      <c r="H631" s="66"/>
      <c r="I631" s="8"/>
      <c r="J631" s="66"/>
      <c r="K631" s="66"/>
      <c r="L631" s="66"/>
      <c r="M631" s="8"/>
      <c r="N631" s="66"/>
      <c r="O631" s="66"/>
      <c r="P631" s="66"/>
      <c r="Q631" s="8"/>
      <c r="R631" s="66"/>
      <c r="S631" s="66"/>
      <c r="T631" s="66"/>
      <c r="U631" s="8"/>
      <c r="V631" s="66"/>
      <c r="W631" s="66"/>
      <c r="X631" s="66"/>
      <c r="Y631" s="189"/>
      <c r="Z631" s="184"/>
      <c r="AA631" s="184"/>
      <c r="AB631" s="184"/>
      <c r="AC631" s="8"/>
      <c r="AD631" s="66"/>
      <c r="AE631" s="66"/>
      <c r="AF631" s="66"/>
      <c r="AG631" s="190"/>
      <c r="AH631" s="191"/>
      <c r="AI631" s="190"/>
      <c r="AJ631" s="190"/>
      <c r="AK631" s="66"/>
      <c r="AL631" s="66"/>
      <c r="AM631" s="66"/>
      <c r="AN631" s="66"/>
      <c r="AO631" s="66"/>
      <c r="AP631" s="66"/>
      <c r="AQ631" s="66"/>
      <c r="AR631" s="66"/>
      <c r="AS631" s="66"/>
      <c r="AT631" s="66"/>
    </row>
    <row r="632">
      <c r="A632" s="8"/>
      <c r="B632" s="66"/>
      <c r="C632" s="66"/>
      <c r="D632" s="66"/>
      <c r="E632" s="8"/>
      <c r="F632" s="66"/>
      <c r="G632" s="66"/>
      <c r="H632" s="66"/>
      <c r="I632" s="8"/>
      <c r="J632" s="66"/>
      <c r="K632" s="66"/>
      <c r="L632" s="66"/>
      <c r="M632" s="8"/>
      <c r="N632" s="66"/>
      <c r="O632" s="66"/>
      <c r="P632" s="66"/>
      <c r="Q632" s="8"/>
      <c r="R632" s="66"/>
      <c r="S632" s="66"/>
      <c r="T632" s="66"/>
      <c r="U632" s="8"/>
      <c r="V632" s="66"/>
      <c r="W632" s="66"/>
      <c r="X632" s="66"/>
      <c r="Y632" s="189"/>
      <c r="Z632" s="184"/>
      <c r="AA632" s="184"/>
      <c r="AB632" s="184"/>
      <c r="AC632" s="8"/>
      <c r="AD632" s="66"/>
      <c r="AE632" s="66"/>
      <c r="AF632" s="66"/>
      <c r="AG632" s="190"/>
      <c r="AH632" s="191"/>
      <c r="AI632" s="190"/>
      <c r="AJ632" s="190"/>
      <c r="AK632" s="66"/>
      <c r="AL632" s="66"/>
      <c r="AM632" s="66"/>
      <c r="AN632" s="66"/>
      <c r="AO632" s="66"/>
      <c r="AP632" s="66"/>
      <c r="AQ632" s="66"/>
      <c r="AR632" s="66"/>
      <c r="AS632" s="66"/>
      <c r="AT632" s="66"/>
    </row>
    <row r="633">
      <c r="A633" s="8"/>
      <c r="B633" s="66"/>
      <c r="C633" s="66"/>
      <c r="D633" s="66"/>
      <c r="E633" s="8"/>
      <c r="F633" s="66"/>
      <c r="G633" s="66"/>
      <c r="H633" s="66"/>
      <c r="I633" s="8"/>
      <c r="J633" s="66"/>
      <c r="K633" s="66"/>
      <c r="L633" s="66"/>
      <c r="M633" s="8"/>
      <c r="N633" s="66"/>
      <c r="O633" s="66"/>
      <c r="P633" s="66"/>
      <c r="Q633" s="8"/>
      <c r="R633" s="66"/>
      <c r="S633" s="66"/>
      <c r="T633" s="66"/>
      <c r="U633" s="8"/>
      <c r="V633" s="66"/>
      <c r="W633" s="66"/>
      <c r="X633" s="66"/>
      <c r="Y633" s="189"/>
      <c r="Z633" s="184"/>
      <c r="AA633" s="184"/>
      <c r="AB633" s="184"/>
      <c r="AC633" s="8"/>
      <c r="AD633" s="66"/>
      <c r="AE633" s="66"/>
      <c r="AF633" s="66"/>
      <c r="AG633" s="190"/>
      <c r="AH633" s="191"/>
      <c r="AI633" s="190"/>
      <c r="AJ633" s="190"/>
      <c r="AK633" s="66"/>
      <c r="AL633" s="66"/>
      <c r="AM633" s="66"/>
      <c r="AN633" s="66"/>
      <c r="AO633" s="66"/>
      <c r="AP633" s="66"/>
      <c r="AQ633" s="66"/>
      <c r="AR633" s="66"/>
      <c r="AS633" s="66"/>
      <c r="AT633" s="66"/>
    </row>
    <row r="634">
      <c r="A634" s="8"/>
      <c r="B634" s="66"/>
      <c r="C634" s="66"/>
      <c r="D634" s="66"/>
      <c r="E634" s="8"/>
      <c r="F634" s="66"/>
      <c r="G634" s="66"/>
      <c r="H634" s="66"/>
      <c r="I634" s="8"/>
      <c r="J634" s="66"/>
      <c r="K634" s="66"/>
      <c r="L634" s="66"/>
      <c r="M634" s="8"/>
      <c r="N634" s="66"/>
      <c r="O634" s="66"/>
      <c r="P634" s="66"/>
      <c r="Q634" s="8"/>
      <c r="R634" s="66"/>
      <c r="S634" s="66"/>
      <c r="T634" s="66"/>
      <c r="U634" s="8"/>
      <c r="V634" s="66"/>
      <c r="W634" s="66"/>
      <c r="X634" s="66"/>
      <c r="Y634" s="189"/>
      <c r="Z634" s="184"/>
      <c r="AA634" s="184"/>
      <c r="AB634" s="184"/>
      <c r="AC634" s="8"/>
      <c r="AD634" s="66"/>
      <c r="AE634" s="66"/>
      <c r="AF634" s="66"/>
      <c r="AG634" s="190"/>
      <c r="AH634" s="191"/>
      <c r="AI634" s="190"/>
      <c r="AJ634" s="190"/>
      <c r="AK634" s="66"/>
      <c r="AL634" s="66"/>
      <c r="AM634" s="66"/>
      <c r="AN634" s="66"/>
      <c r="AO634" s="66"/>
      <c r="AP634" s="66"/>
      <c r="AQ634" s="66"/>
      <c r="AR634" s="66"/>
      <c r="AS634" s="66"/>
      <c r="AT634" s="66"/>
    </row>
    <row r="635">
      <c r="A635" s="8"/>
      <c r="B635" s="66"/>
      <c r="C635" s="66"/>
      <c r="D635" s="66"/>
      <c r="E635" s="8"/>
      <c r="F635" s="66"/>
      <c r="G635" s="66"/>
      <c r="H635" s="66"/>
      <c r="I635" s="8"/>
      <c r="J635" s="66"/>
      <c r="K635" s="66"/>
      <c r="L635" s="66"/>
      <c r="M635" s="8"/>
      <c r="N635" s="66"/>
      <c r="O635" s="66"/>
      <c r="P635" s="66"/>
      <c r="Q635" s="8"/>
      <c r="R635" s="66"/>
      <c r="S635" s="66"/>
      <c r="T635" s="66"/>
      <c r="U635" s="8"/>
      <c r="V635" s="66"/>
      <c r="W635" s="66"/>
      <c r="X635" s="66"/>
      <c r="Y635" s="189"/>
      <c r="Z635" s="184"/>
      <c r="AA635" s="184"/>
      <c r="AB635" s="184"/>
      <c r="AC635" s="8"/>
      <c r="AD635" s="66"/>
      <c r="AE635" s="66"/>
      <c r="AF635" s="66"/>
      <c r="AG635" s="190"/>
      <c r="AH635" s="191"/>
      <c r="AI635" s="190"/>
      <c r="AJ635" s="190"/>
      <c r="AK635" s="66"/>
      <c r="AL635" s="66"/>
      <c r="AM635" s="66"/>
      <c r="AN635" s="66"/>
      <c r="AO635" s="66"/>
      <c r="AP635" s="66"/>
      <c r="AQ635" s="66"/>
      <c r="AR635" s="66"/>
      <c r="AS635" s="66"/>
      <c r="AT635" s="66"/>
    </row>
    <row r="636">
      <c r="A636" s="8"/>
      <c r="B636" s="66"/>
      <c r="C636" s="66"/>
      <c r="D636" s="66"/>
      <c r="E636" s="8"/>
      <c r="F636" s="66"/>
      <c r="G636" s="66"/>
      <c r="H636" s="66"/>
      <c r="I636" s="8"/>
      <c r="J636" s="66"/>
      <c r="K636" s="66"/>
      <c r="L636" s="66"/>
      <c r="M636" s="8"/>
      <c r="N636" s="66"/>
      <c r="O636" s="66"/>
      <c r="P636" s="66"/>
      <c r="Q636" s="8"/>
      <c r="R636" s="66"/>
      <c r="S636" s="66"/>
      <c r="T636" s="66"/>
      <c r="U636" s="8"/>
      <c r="V636" s="66"/>
      <c r="W636" s="66"/>
      <c r="X636" s="66"/>
      <c r="Y636" s="189"/>
      <c r="Z636" s="184"/>
      <c r="AA636" s="184"/>
      <c r="AB636" s="184"/>
      <c r="AC636" s="8"/>
      <c r="AD636" s="66"/>
      <c r="AE636" s="66"/>
      <c r="AF636" s="66"/>
      <c r="AG636" s="190"/>
      <c r="AH636" s="191"/>
      <c r="AI636" s="190"/>
      <c r="AJ636" s="190"/>
      <c r="AK636" s="66"/>
      <c r="AL636" s="66"/>
      <c r="AM636" s="66"/>
      <c r="AN636" s="66"/>
      <c r="AO636" s="66"/>
      <c r="AP636" s="66"/>
      <c r="AQ636" s="66"/>
      <c r="AR636" s="66"/>
      <c r="AS636" s="66"/>
      <c r="AT636" s="66"/>
    </row>
    <row r="637">
      <c r="A637" s="8"/>
      <c r="B637" s="66"/>
      <c r="C637" s="66"/>
      <c r="D637" s="66"/>
      <c r="E637" s="8"/>
      <c r="F637" s="66"/>
      <c r="G637" s="66"/>
      <c r="H637" s="66"/>
      <c r="I637" s="8"/>
      <c r="J637" s="66"/>
      <c r="K637" s="66"/>
      <c r="L637" s="66"/>
      <c r="M637" s="8"/>
      <c r="N637" s="66"/>
      <c r="O637" s="66"/>
      <c r="P637" s="66"/>
      <c r="Q637" s="8"/>
      <c r="R637" s="66"/>
      <c r="S637" s="66"/>
      <c r="T637" s="66"/>
      <c r="U637" s="8"/>
      <c r="V637" s="66"/>
      <c r="W637" s="66"/>
      <c r="X637" s="66"/>
      <c r="Y637" s="189"/>
      <c r="Z637" s="184"/>
      <c r="AA637" s="184"/>
      <c r="AB637" s="184"/>
      <c r="AC637" s="8"/>
      <c r="AD637" s="66"/>
      <c r="AE637" s="66"/>
      <c r="AF637" s="66"/>
      <c r="AG637" s="190"/>
      <c r="AH637" s="191"/>
      <c r="AI637" s="190"/>
      <c r="AJ637" s="190"/>
      <c r="AK637" s="66"/>
      <c r="AL637" s="66"/>
      <c r="AM637" s="66"/>
      <c r="AN637" s="66"/>
      <c r="AO637" s="66"/>
      <c r="AP637" s="66"/>
      <c r="AQ637" s="66"/>
      <c r="AR637" s="66"/>
      <c r="AS637" s="66"/>
      <c r="AT637" s="66"/>
    </row>
    <row r="638">
      <c r="A638" s="8"/>
      <c r="B638" s="66"/>
      <c r="C638" s="66"/>
      <c r="D638" s="66"/>
      <c r="E638" s="8"/>
      <c r="F638" s="66"/>
      <c r="G638" s="66"/>
      <c r="H638" s="66"/>
      <c r="I638" s="8"/>
      <c r="J638" s="66"/>
      <c r="K638" s="66"/>
      <c r="L638" s="66"/>
      <c r="M638" s="8"/>
      <c r="N638" s="66"/>
      <c r="O638" s="66"/>
      <c r="P638" s="66"/>
      <c r="Q638" s="8"/>
      <c r="R638" s="66"/>
      <c r="S638" s="66"/>
      <c r="T638" s="66"/>
      <c r="U638" s="8"/>
      <c r="V638" s="66"/>
      <c r="W638" s="66"/>
      <c r="X638" s="66"/>
      <c r="Y638" s="189"/>
      <c r="Z638" s="184"/>
      <c r="AA638" s="184"/>
      <c r="AB638" s="184"/>
      <c r="AC638" s="8"/>
      <c r="AD638" s="66"/>
      <c r="AE638" s="66"/>
      <c r="AF638" s="66"/>
      <c r="AG638" s="190"/>
      <c r="AH638" s="191"/>
      <c r="AI638" s="190"/>
      <c r="AJ638" s="190"/>
      <c r="AK638" s="66"/>
      <c r="AL638" s="66"/>
      <c r="AM638" s="66"/>
      <c r="AN638" s="66"/>
      <c r="AO638" s="66"/>
      <c r="AP638" s="66"/>
      <c r="AQ638" s="66"/>
      <c r="AR638" s="66"/>
      <c r="AS638" s="66"/>
      <c r="AT638" s="66"/>
    </row>
    <row r="639">
      <c r="A639" s="8"/>
      <c r="B639" s="66"/>
      <c r="C639" s="66"/>
      <c r="D639" s="66"/>
      <c r="E639" s="8"/>
      <c r="F639" s="66"/>
      <c r="G639" s="66"/>
      <c r="H639" s="66"/>
      <c r="I639" s="8"/>
      <c r="J639" s="66"/>
      <c r="K639" s="66"/>
      <c r="L639" s="66"/>
      <c r="M639" s="8"/>
      <c r="N639" s="66"/>
      <c r="O639" s="66"/>
      <c r="P639" s="66"/>
      <c r="Q639" s="8"/>
      <c r="R639" s="66"/>
      <c r="S639" s="66"/>
      <c r="T639" s="66"/>
      <c r="U639" s="8"/>
      <c r="V639" s="66"/>
      <c r="W639" s="66"/>
      <c r="X639" s="66"/>
      <c r="Y639" s="189"/>
      <c r="Z639" s="184"/>
      <c r="AA639" s="184"/>
      <c r="AB639" s="184"/>
      <c r="AC639" s="8"/>
      <c r="AD639" s="66"/>
      <c r="AE639" s="66"/>
      <c r="AF639" s="66"/>
      <c r="AG639" s="190"/>
      <c r="AH639" s="191"/>
      <c r="AI639" s="190"/>
      <c r="AJ639" s="190"/>
      <c r="AK639" s="66"/>
      <c r="AL639" s="66"/>
      <c r="AM639" s="66"/>
      <c r="AN639" s="66"/>
      <c r="AO639" s="66"/>
      <c r="AP639" s="66"/>
      <c r="AQ639" s="66"/>
      <c r="AR639" s="66"/>
      <c r="AS639" s="66"/>
      <c r="AT639" s="66"/>
    </row>
    <row r="640">
      <c r="A640" s="8"/>
      <c r="B640" s="66"/>
      <c r="C640" s="66"/>
      <c r="D640" s="66"/>
      <c r="E640" s="8"/>
      <c r="F640" s="66"/>
      <c r="G640" s="66"/>
      <c r="H640" s="66"/>
      <c r="I640" s="8"/>
      <c r="J640" s="66"/>
      <c r="K640" s="66"/>
      <c r="L640" s="66"/>
      <c r="M640" s="8"/>
      <c r="N640" s="66"/>
      <c r="O640" s="66"/>
      <c r="P640" s="66"/>
      <c r="Q640" s="8"/>
      <c r="R640" s="66"/>
      <c r="S640" s="66"/>
      <c r="T640" s="66"/>
      <c r="U640" s="8"/>
      <c r="V640" s="66"/>
      <c r="W640" s="66"/>
      <c r="X640" s="66"/>
      <c r="Y640" s="189"/>
      <c r="Z640" s="184"/>
      <c r="AA640" s="184"/>
      <c r="AB640" s="184"/>
      <c r="AC640" s="8"/>
      <c r="AD640" s="66"/>
      <c r="AE640" s="66"/>
      <c r="AF640" s="66"/>
      <c r="AG640" s="190"/>
      <c r="AH640" s="191"/>
      <c r="AI640" s="190"/>
      <c r="AJ640" s="190"/>
      <c r="AK640" s="66"/>
      <c r="AL640" s="66"/>
      <c r="AM640" s="66"/>
      <c r="AN640" s="66"/>
      <c r="AO640" s="66"/>
      <c r="AP640" s="66"/>
      <c r="AQ640" s="66"/>
      <c r="AR640" s="66"/>
      <c r="AS640" s="66"/>
      <c r="AT640" s="66"/>
    </row>
    <row r="641">
      <c r="A641" s="8"/>
      <c r="B641" s="66"/>
      <c r="C641" s="66"/>
      <c r="D641" s="66"/>
      <c r="E641" s="8"/>
      <c r="F641" s="66"/>
      <c r="G641" s="66"/>
      <c r="H641" s="66"/>
      <c r="I641" s="8"/>
      <c r="J641" s="66"/>
      <c r="K641" s="66"/>
      <c r="L641" s="66"/>
      <c r="M641" s="8"/>
      <c r="N641" s="66"/>
      <c r="O641" s="66"/>
      <c r="P641" s="66"/>
      <c r="Q641" s="8"/>
      <c r="R641" s="66"/>
      <c r="S641" s="66"/>
      <c r="T641" s="66"/>
      <c r="U641" s="8"/>
      <c r="V641" s="66"/>
      <c r="W641" s="66"/>
      <c r="X641" s="66"/>
      <c r="Y641" s="189"/>
      <c r="Z641" s="184"/>
      <c r="AA641" s="184"/>
      <c r="AB641" s="184"/>
      <c r="AC641" s="8"/>
      <c r="AD641" s="66"/>
      <c r="AE641" s="66"/>
      <c r="AF641" s="66"/>
      <c r="AG641" s="190"/>
      <c r="AH641" s="191"/>
      <c r="AI641" s="190"/>
      <c r="AJ641" s="190"/>
      <c r="AK641" s="66"/>
      <c r="AL641" s="66"/>
      <c r="AM641" s="66"/>
      <c r="AN641" s="66"/>
      <c r="AO641" s="66"/>
      <c r="AP641" s="66"/>
      <c r="AQ641" s="66"/>
      <c r="AR641" s="66"/>
      <c r="AS641" s="66"/>
      <c r="AT641" s="66"/>
    </row>
    <row r="642">
      <c r="A642" s="8"/>
      <c r="B642" s="66"/>
      <c r="C642" s="66"/>
      <c r="D642" s="66"/>
      <c r="E642" s="8"/>
      <c r="F642" s="66"/>
      <c r="G642" s="66"/>
      <c r="H642" s="66"/>
      <c r="I642" s="8"/>
      <c r="J642" s="66"/>
      <c r="K642" s="66"/>
      <c r="L642" s="66"/>
      <c r="M642" s="8"/>
      <c r="N642" s="66"/>
      <c r="O642" s="66"/>
      <c r="P642" s="66"/>
      <c r="Q642" s="8"/>
      <c r="R642" s="66"/>
      <c r="S642" s="66"/>
      <c r="T642" s="66"/>
      <c r="U642" s="8"/>
      <c r="V642" s="66"/>
      <c r="W642" s="66"/>
      <c r="X642" s="66"/>
      <c r="Y642" s="189"/>
      <c r="Z642" s="184"/>
      <c r="AA642" s="184"/>
      <c r="AB642" s="184"/>
      <c r="AC642" s="8"/>
      <c r="AD642" s="66"/>
      <c r="AE642" s="66"/>
      <c r="AF642" s="66"/>
      <c r="AG642" s="190"/>
      <c r="AH642" s="191"/>
      <c r="AI642" s="190"/>
      <c r="AJ642" s="190"/>
      <c r="AK642" s="66"/>
      <c r="AL642" s="66"/>
      <c r="AM642" s="66"/>
      <c r="AN642" s="66"/>
      <c r="AO642" s="66"/>
      <c r="AP642" s="66"/>
      <c r="AQ642" s="66"/>
      <c r="AR642" s="66"/>
      <c r="AS642" s="66"/>
      <c r="AT642" s="66"/>
    </row>
    <row r="643">
      <c r="A643" s="8"/>
      <c r="B643" s="66"/>
      <c r="C643" s="66"/>
      <c r="D643" s="66"/>
      <c r="E643" s="8"/>
      <c r="F643" s="66"/>
      <c r="G643" s="66"/>
      <c r="H643" s="66"/>
      <c r="I643" s="8"/>
      <c r="J643" s="66"/>
      <c r="K643" s="66"/>
      <c r="L643" s="66"/>
      <c r="M643" s="8"/>
      <c r="N643" s="66"/>
      <c r="O643" s="66"/>
      <c r="P643" s="66"/>
      <c r="Q643" s="8"/>
      <c r="R643" s="66"/>
      <c r="S643" s="66"/>
      <c r="T643" s="66"/>
      <c r="U643" s="8"/>
      <c r="V643" s="66"/>
      <c r="W643" s="66"/>
      <c r="X643" s="66"/>
      <c r="Y643" s="189"/>
      <c r="Z643" s="184"/>
      <c r="AA643" s="184"/>
      <c r="AB643" s="184"/>
      <c r="AC643" s="8"/>
      <c r="AD643" s="66"/>
      <c r="AE643" s="66"/>
      <c r="AF643" s="66"/>
      <c r="AG643" s="190"/>
      <c r="AH643" s="191"/>
      <c r="AI643" s="190"/>
      <c r="AJ643" s="190"/>
      <c r="AK643" s="66"/>
      <c r="AL643" s="66"/>
      <c r="AM643" s="66"/>
      <c r="AN643" s="66"/>
      <c r="AO643" s="66"/>
      <c r="AP643" s="66"/>
      <c r="AQ643" s="66"/>
      <c r="AR643" s="66"/>
      <c r="AS643" s="66"/>
      <c r="AT643" s="66"/>
    </row>
    <row r="644">
      <c r="A644" s="8"/>
      <c r="B644" s="66"/>
      <c r="C644" s="66"/>
      <c r="D644" s="66"/>
      <c r="E644" s="8"/>
      <c r="F644" s="66"/>
      <c r="G644" s="66"/>
      <c r="H644" s="66"/>
      <c r="I644" s="8"/>
      <c r="J644" s="66"/>
      <c r="K644" s="66"/>
      <c r="L644" s="66"/>
      <c r="M644" s="8"/>
      <c r="N644" s="66"/>
      <c r="O644" s="66"/>
      <c r="P644" s="66"/>
      <c r="Q644" s="8"/>
      <c r="R644" s="66"/>
      <c r="S644" s="66"/>
      <c r="T644" s="66"/>
      <c r="U644" s="8"/>
      <c r="V644" s="66"/>
      <c r="W644" s="66"/>
      <c r="X644" s="66"/>
      <c r="Y644" s="189"/>
      <c r="Z644" s="184"/>
      <c r="AA644" s="184"/>
      <c r="AB644" s="184"/>
      <c r="AC644" s="8"/>
      <c r="AD644" s="66"/>
      <c r="AE644" s="66"/>
      <c r="AF644" s="66"/>
      <c r="AG644" s="190"/>
      <c r="AH644" s="191"/>
      <c r="AI644" s="190"/>
      <c r="AJ644" s="190"/>
      <c r="AK644" s="66"/>
      <c r="AL644" s="66"/>
      <c r="AM644" s="66"/>
      <c r="AN644" s="66"/>
      <c r="AO644" s="66"/>
      <c r="AP644" s="66"/>
      <c r="AQ644" s="66"/>
      <c r="AR644" s="66"/>
      <c r="AS644" s="66"/>
      <c r="AT644" s="66"/>
    </row>
    <row r="645">
      <c r="A645" s="8"/>
      <c r="B645" s="66"/>
      <c r="C645" s="66"/>
      <c r="D645" s="66"/>
      <c r="E645" s="8"/>
      <c r="F645" s="66"/>
      <c r="G645" s="66"/>
      <c r="H645" s="66"/>
      <c r="I645" s="8"/>
      <c r="J645" s="66"/>
      <c r="K645" s="66"/>
      <c r="L645" s="66"/>
      <c r="M645" s="8"/>
      <c r="N645" s="66"/>
      <c r="O645" s="66"/>
      <c r="P645" s="66"/>
      <c r="Q645" s="8"/>
      <c r="R645" s="66"/>
      <c r="S645" s="66"/>
      <c r="T645" s="66"/>
      <c r="U645" s="8"/>
      <c r="V645" s="66"/>
      <c r="W645" s="66"/>
      <c r="X645" s="66"/>
      <c r="Y645" s="189"/>
      <c r="Z645" s="184"/>
      <c r="AA645" s="184"/>
      <c r="AB645" s="184"/>
      <c r="AC645" s="8"/>
      <c r="AD645" s="66"/>
      <c r="AE645" s="66"/>
      <c r="AF645" s="66"/>
      <c r="AG645" s="190"/>
      <c r="AH645" s="191"/>
      <c r="AI645" s="190"/>
      <c r="AJ645" s="190"/>
      <c r="AK645" s="66"/>
      <c r="AL645" s="66"/>
      <c r="AM645" s="66"/>
      <c r="AN645" s="66"/>
      <c r="AO645" s="66"/>
      <c r="AP645" s="66"/>
      <c r="AQ645" s="66"/>
      <c r="AR645" s="66"/>
      <c r="AS645" s="66"/>
      <c r="AT645" s="66"/>
    </row>
    <row r="646">
      <c r="A646" s="8"/>
      <c r="B646" s="66"/>
      <c r="C646" s="66"/>
      <c r="D646" s="66"/>
      <c r="E646" s="8"/>
      <c r="F646" s="66"/>
      <c r="G646" s="66"/>
      <c r="H646" s="66"/>
      <c r="I646" s="8"/>
      <c r="J646" s="66"/>
      <c r="K646" s="66"/>
      <c r="L646" s="66"/>
      <c r="M646" s="8"/>
      <c r="N646" s="66"/>
      <c r="O646" s="66"/>
      <c r="P646" s="66"/>
      <c r="Q646" s="8"/>
      <c r="R646" s="66"/>
      <c r="S646" s="66"/>
      <c r="T646" s="66"/>
      <c r="U646" s="8"/>
      <c r="V646" s="66"/>
      <c r="W646" s="66"/>
      <c r="X646" s="66"/>
      <c r="Y646" s="189"/>
      <c r="Z646" s="184"/>
      <c r="AA646" s="184"/>
      <c r="AB646" s="184"/>
      <c r="AC646" s="8"/>
      <c r="AD646" s="66"/>
      <c r="AE646" s="66"/>
      <c r="AF646" s="66"/>
      <c r="AG646" s="190"/>
      <c r="AH646" s="191"/>
      <c r="AI646" s="190"/>
      <c r="AJ646" s="190"/>
      <c r="AK646" s="66"/>
      <c r="AL646" s="66"/>
      <c r="AM646" s="66"/>
      <c r="AN646" s="66"/>
      <c r="AO646" s="66"/>
      <c r="AP646" s="66"/>
      <c r="AQ646" s="66"/>
      <c r="AR646" s="66"/>
      <c r="AS646" s="66"/>
      <c r="AT646" s="66"/>
    </row>
    <row r="647">
      <c r="A647" s="8"/>
      <c r="B647" s="66"/>
      <c r="C647" s="66"/>
      <c r="D647" s="66"/>
      <c r="E647" s="8"/>
      <c r="F647" s="66"/>
      <c r="G647" s="66"/>
      <c r="H647" s="66"/>
      <c r="I647" s="8"/>
      <c r="J647" s="66"/>
      <c r="K647" s="66"/>
      <c r="L647" s="66"/>
      <c r="M647" s="8"/>
      <c r="N647" s="66"/>
      <c r="O647" s="66"/>
      <c r="P647" s="66"/>
      <c r="Q647" s="8"/>
      <c r="R647" s="66"/>
      <c r="S647" s="66"/>
      <c r="T647" s="66"/>
      <c r="U647" s="8"/>
      <c r="V647" s="66"/>
      <c r="W647" s="66"/>
      <c r="X647" s="66"/>
      <c r="Y647" s="189"/>
      <c r="Z647" s="184"/>
      <c r="AA647" s="184"/>
      <c r="AB647" s="184"/>
      <c r="AC647" s="8"/>
      <c r="AD647" s="66"/>
      <c r="AE647" s="66"/>
      <c r="AF647" s="66"/>
      <c r="AG647" s="190"/>
      <c r="AH647" s="191"/>
      <c r="AI647" s="190"/>
      <c r="AJ647" s="190"/>
      <c r="AK647" s="66"/>
      <c r="AL647" s="66"/>
      <c r="AM647" s="66"/>
      <c r="AN647" s="66"/>
      <c r="AO647" s="66"/>
      <c r="AP647" s="66"/>
      <c r="AQ647" s="66"/>
      <c r="AR647" s="66"/>
      <c r="AS647" s="66"/>
      <c r="AT647" s="66"/>
    </row>
    <row r="648">
      <c r="A648" s="8"/>
      <c r="B648" s="66"/>
      <c r="C648" s="66"/>
      <c r="D648" s="66"/>
      <c r="E648" s="8"/>
      <c r="F648" s="66"/>
      <c r="G648" s="66"/>
      <c r="H648" s="66"/>
      <c r="I648" s="8"/>
      <c r="J648" s="66"/>
      <c r="K648" s="66"/>
      <c r="L648" s="66"/>
      <c r="M648" s="8"/>
      <c r="N648" s="66"/>
      <c r="O648" s="66"/>
      <c r="P648" s="66"/>
      <c r="Q648" s="8"/>
      <c r="R648" s="66"/>
      <c r="S648" s="66"/>
      <c r="T648" s="66"/>
      <c r="U648" s="8"/>
      <c r="V648" s="66"/>
      <c r="W648" s="66"/>
      <c r="X648" s="66"/>
      <c r="Y648" s="189"/>
      <c r="Z648" s="184"/>
      <c r="AA648" s="184"/>
      <c r="AB648" s="184"/>
      <c r="AC648" s="8"/>
      <c r="AD648" s="66"/>
      <c r="AE648" s="66"/>
      <c r="AF648" s="66"/>
      <c r="AG648" s="190"/>
      <c r="AH648" s="191"/>
      <c r="AI648" s="190"/>
      <c r="AJ648" s="190"/>
      <c r="AK648" s="66"/>
      <c r="AL648" s="66"/>
      <c r="AM648" s="66"/>
      <c r="AN648" s="66"/>
      <c r="AO648" s="66"/>
      <c r="AP648" s="66"/>
      <c r="AQ648" s="66"/>
      <c r="AR648" s="66"/>
      <c r="AS648" s="66"/>
      <c r="AT648" s="66"/>
    </row>
    <row r="649">
      <c r="A649" s="8"/>
      <c r="B649" s="66"/>
      <c r="C649" s="66"/>
      <c r="D649" s="66"/>
      <c r="E649" s="8"/>
      <c r="F649" s="66"/>
      <c r="G649" s="66"/>
      <c r="H649" s="66"/>
      <c r="I649" s="8"/>
      <c r="J649" s="66"/>
      <c r="K649" s="66"/>
      <c r="L649" s="66"/>
      <c r="M649" s="8"/>
      <c r="N649" s="66"/>
      <c r="O649" s="66"/>
      <c r="P649" s="66"/>
      <c r="Q649" s="8"/>
      <c r="R649" s="66"/>
      <c r="S649" s="66"/>
      <c r="T649" s="66"/>
      <c r="U649" s="8"/>
      <c r="V649" s="66"/>
      <c r="W649" s="66"/>
      <c r="X649" s="66"/>
      <c r="Y649" s="189"/>
      <c r="Z649" s="184"/>
      <c r="AA649" s="184"/>
      <c r="AB649" s="184"/>
      <c r="AC649" s="8"/>
      <c r="AD649" s="66"/>
      <c r="AE649" s="66"/>
      <c r="AF649" s="66"/>
      <c r="AG649" s="190"/>
      <c r="AH649" s="191"/>
      <c r="AI649" s="190"/>
      <c r="AJ649" s="190"/>
      <c r="AK649" s="66"/>
      <c r="AL649" s="66"/>
      <c r="AM649" s="66"/>
      <c r="AN649" s="66"/>
      <c r="AO649" s="66"/>
      <c r="AP649" s="66"/>
      <c r="AQ649" s="66"/>
      <c r="AR649" s="66"/>
      <c r="AS649" s="66"/>
      <c r="AT649" s="66"/>
    </row>
    <row r="650">
      <c r="A650" s="8"/>
      <c r="B650" s="66"/>
      <c r="C650" s="66"/>
      <c r="D650" s="66"/>
      <c r="E650" s="8"/>
      <c r="F650" s="66"/>
      <c r="G650" s="66"/>
      <c r="H650" s="66"/>
      <c r="I650" s="8"/>
      <c r="J650" s="66"/>
      <c r="K650" s="66"/>
      <c r="L650" s="66"/>
      <c r="M650" s="8"/>
      <c r="N650" s="66"/>
      <c r="O650" s="66"/>
      <c r="P650" s="66"/>
      <c r="Q650" s="8"/>
      <c r="R650" s="66"/>
      <c r="S650" s="66"/>
      <c r="T650" s="66"/>
      <c r="U650" s="8"/>
      <c r="V650" s="66"/>
      <c r="W650" s="66"/>
      <c r="X650" s="66"/>
      <c r="Y650" s="189"/>
      <c r="Z650" s="184"/>
      <c r="AA650" s="184"/>
      <c r="AB650" s="184"/>
      <c r="AC650" s="8"/>
      <c r="AD650" s="66"/>
      <c r="AE650" s="66"/>
      <c r="AF650" s="66"/>
      <c r="AG650" s="190"/>
      <c r="AH650" s="191"/>
      <c r="AI650" s="190"/>
      <c r="AJ650" s="190"/>
      <c r="AK650" s="66"/>
      <c r="AL650" s="66"/>
      <c r="AM650" s="66"/>
      <c r="AN650" s="66"/>
      <c r="AO650" s="66"/>
      <c r="AP650" s="66"/>
      <c r="AQ650" s="66"/>
      <c r="AR650" s="66"/>
      <c r="AS650" s="66"/>
      <c r="AT650" s="66"/>
    </row>
    <row r="651">
      <c r="A651" s="8"/>
      <c r="B651" s="66"/>
      <c r="C651" s="66"/>
      <c r="D651" s="66"/>
      <c r="E651" s="8"/>
      <c r="F651" s="66"/>
      <c r="G651" s="66"/>
      <c r="H651" s="66"/>
      <c r="I651" s="8"/>
      <c r="J651" s="66"/>
      <c r="K651" s="66"/>
      <c r="L651" s="66"/>
      <c r="M651" s="8"/>
      <c r="N651" s="66"/>
      <c r="O651" s="66"/>
      <c r="P651" s="66"/>
      <c r="Q651" s="8"/>
      <c r="R651" s="66"/>
      <c r="S651" s="66"/>
      <c r="T651" s="66"/>
      <c r="U651" s="8"/>
      <c r="V651" s="66"/>
      <c r="W651" s="66"/>
      <c r="X651" s="66"/>
      <c r="Y651" s="189"/>
      <c r="Z651" s="184"/>
      <c r="AA651" s="184"/>
      <c r="AB651" s="184"/>
      <c r="AC651" s="8"/>
      <c r="AD651" s="66"/>
      <c r="AE651" s="66"/>
      <c r="AF651" s="66"/>
      <c r="AG651" s="190"/>
      <c r="AH651" s="191"/>
      <c r="AI651" s="190"/>
      <c r="AJ651" s="190"/>
      <c r="AK651" s="66"/>
      <c r="AL651" s="66"/>
      <c r="AM651" s="66"/>
      <c r="AN651" s="66"/>
      <c r="AO651" s="66"/>
      <c r="AP651" s="66"/>
      <c r="AQ651" s="66"/>
      <c r="AR651" s="66"/>
      <c r="AS651" s="66"/>
      <c r="AT651" s="66"/>
    </row>
    <row r="652">
      <c r="A652" s="8"/>
      <c r="B652" s="66"/>
      <c r="C652" s="66"/>
      <c r="D652" s="66"/>
      <c r="E652" s="8"/>
      <c r="F652" s="66"/>
      <c r="G652" s="66"/>
      <c r="H652" s="66"/>
      <c r="I652" s="8"/>
      <c r="J652" s="66"/>
      <c r="K652" s="66"/>
      <c r="L652" s="66"/>
      <c r="M652" s="8"/>
      <c r="N652" s="66"/>
      <c r="O652" s="66"/>
      <c r="P652" s="66"/>
      <c r="Q652" s="8"/>
      <c r="R652" s="66"/>
      <c r="S652" s="66"/>
      <c r="T652" s="66"/>
      <c r="U652" s="8"/>
      <c r="V652" s="66"/>
      <c r="W652" s="66"/>
      <c r="X652" s="66"/>
      <c r="Y652" s="189"/>
      <c r="Z652" s="184"/>
      <c r="AA652" s="184"/>
      <c r="AB652" s="184"/>
      <c r="AC652" s="8"/>
      <c r="AD652" s="66"/>
      <c r="AE652" s="66"/>
      <c r="AF652" s="66"/>
      <c r="AG652" s="190"/>
      <c r="AH652" s="191"/>
      <c r="AI652" s="190"/>
      <c r="AJ652" s="190"/>
      <c r="AK652" s="66"/>
      <c r="AL652" s="66"/>
      <c r="AM652" s="66"/>
      <c r="AN652" s="66"/>
      <c r="AO652" s="66"/>
      <c r="AP652" s="66"/>
      <c r="AQ652" s="66"/>
      <c r="AR652" s="66"/>
      <c r="AS652" s="66"/>
      <c r="AT652" s="66"/>
    </row>
    <row r="653">
      <c r="A653" s="8"/>
      <c r="B653" s="66"/>
      <c r="C653" s="66"/>
      <c r="D653" s="66"/>
      <c r="E653" s="8"/>
      <c r="F653" s="66"/>
      <c r="G653" s="66"/>
      <c r="H653" s="66"/>
      <c r="I653" s="8"/>
      <c r="J653" s="66"/>
      <c r="K653" s="66"/>
      <c r="L653" s="66"/>
      <c r="M653" s="8"/>
      <c r="N653" s="66"/>
      <c r="O653" s="66"/>
      <c r="P653" s="66"/>
      <c r="Q653" s="8"/>
      <c r="R653" s="66"/>
      <c r="S653" s="66"/>
      <c r="T653" s="66"/>
      <c r="U653" s="8"/>
      <c r="V653" s="66"/>
      <c r="W653" s="66"/>
      <c r="X653" s="66"/>
      <c r="Y653" s="189"/>
      <c r="Z653" s="184"/>
      <c r="AA653" s="184"/>
      <c r="AB653" s="184"/>
      <c r="AC653" s="8"/>
      <c r="AD653" s="66"/>
      <c r="AE653" s="66"/>
      <c r="AF653" s="66"/>
      <c r="AG653" s="190"/>
      <c r="AH653" s="191"/>
      <c r="AI653" s="190"/>
      <c r="AJ653" s="190"/>
      <c r="AK653" s="66"/>
      <c r="AL653" s="66"/>
      <c r="AM653" s="66"/>
      <c r="AN653" s="66"/>
      <c r="AO653" s="66"/>
      <c r="AP653" s="66"/>
      <c r="AQ653" s="66"/>
      <c r="AR653" s="66"/>
      <c r="AS653" s="66"/>
      <c r="AT653" s="66"/>
    </row>
    <row r="654">
      <c r="A654" s="8"/>
      <c r="B654" s="66"/>
      <c r="C654" s="66"/>
      <c r="D654" s="66"/>
      <c r="E654" s="8"/>
      <c r="F654" s="66"/>
      <c r="G654" s="66"/>
      <c r="H654" s="66"/>
      <c r="I654" s="8"/>
      <c r="J654" s="66"/>
      <c r="K654" s="66"/>
      <c r="L654" s="66"/>
      <c r="M654" s="8"/>
      <c r="N654" s="66"/>
      <c r="O654" s="66"/>
      <c r="P654" s="66"/>
      <c r="Q654" s="8"/>
      <c r="R654" s="66"/>
      <c r="S654" s="66"/>
      <c r="T654" s="66"/>
      <c r="U654" s="8"/>
      <c r="V654" s="66"/>
      <c r="W654" s="66"/>
      <c r="X654" s="66"/>
      <c r="Y654" s="189"/>
      <c r="Z654" s="184"/>
      <c r="AA654" s="184"/>
      <c r="AB654" s="184"/>
      <c r="AC654" s="8"/>
      <c r="AD654" s="66"/>
      <c r="AE654" s="66"/>
      <c r="AF654" s="66"/>
      <c r="AG654" s="190"/>
      <c r="AH654" s="191"/>
      <c r="AI654" s="190"/>
      <c r="AJ654" s="190"/>
      <c r="AK654" s="66"/>
      <c r="AL654" s="66"/>
      <c r="AM654" s="66"/>
      <c r="AN654" s="66"/>
      <c r="AO654" s="66"/>
      <c r="AP654" s="66"/>
      <c r="AQ654" s="66"/>
      <c r="AR654" s="66"/>
      <c r="AS654" s="66"/>
      <c r="AT654" s="66"/>
    </row>
    <row r="655">
      <c r="A655" s="8"/>
      <c r="B655" s="66"/>
      <c r="C655" s="66"/>
      <c r="D655" s="66"/>
      <c r="E655" s="8"/>
      <c r="F655" s="66"/>
      <c r="G655" s="66"/>
      <c r="H655" s="66"/>
      <c r="I655" s="8"/>
      <c r="J655" s="66"/>
      <c r="K655" s="66"/>
      <c r="L655" s="66"/>
      <c r="M655" s="8"/>
      <c r="N655" s="66"/>
      <c r="O655" s="66"/>
      <c r="P655" s="66"/>
      <c r="Q655" s="8"/>
      <c r="R655" s="66"/>
      <c r="S655" s="66"/>
      <c r="T655" s="66"/>
      <c r="U655" s="8"/>
      <c r="V655" s="66"/>
      <c r="W655" s="66"/>
      <c r="X655" s="66"/>
      <c r="Y655" s="189"/>
      <c r="Z655" s="184"/>
      <c r="AA655" s="184"/>
      <c r="AB655" s="184"/>
      <c r="AC655" s="8"/>
      <c r="AD655" s="66"/>
      <c r="AE655" s="66"/>
      <c r="AF655" s="66"/>
      <c r="AG655" s="190"/>
      <c r="AH655" s="191"/>
      <c r="AI655" s="190"/>
      <c r="AJ655" s="190"/>
      <c r="AK655" s="66"/>
      <c r="AL655" s="66"/>
      <c r="AM655" s="66"/>
      <c r="AN655" s="66"/>
      <c r="AO655" s="66"/>
      <c r="AP655" s="66"/>
      <c r="AQ655" s="66"/>
      <c r="AR655" s="66"/>
      <c r="AS655" s="66"/>
      <c r="AT655" s="66"/>
    </row>
    <row r="656">
      <c r="A656" s="8"/>
      <c r="B656" s="66"/>
      <c r="C656" s="66"/>
      <c r="D656" s="66"/>
      <c r="E656" s="8"/>
      <c r="F656" s="66"/>
      <c r="G656" s="66"/>
      <c r="H656" s="66"/>
      <c r="I656" s="8"/>
      <c r="J656" s="66"/>
      <c r="K656" s="66"/>
      <c r="L656" s="66"/>
      <c r="M656" s="8"/>
      <c r="N656" s="66"/>
      <c r="O656" s="66"/>
      <c r="P656" s="66"/>
      <c r="Q656" s="8"/>
      <c r="R656" s="66"/>
      <c r="S656" s="66"/>
      <c r="T656" s="66"/>
      <c r="U656" s="8"/>
      <c r="V656" s="66"/>
      <c r="W656" s="66"/>
      <c r="X656" s="66"/>
      <c r="Y656" s="189"/>
      <c r="Z656" s="184"/>
      <c r="AA656" s="184"/>
      <c r="AB656" s="184"/>
      <c r="AC656" s="8"/>
      <c r="AD656" s="66"/>
      <c r="AE656" s="66"/>
      <c r="AF656" s="66"/>
      <c r="AG656" s="190"/>
      <c r="AH656" s="191"/>
      <c r="AI656" s="190"/>
      <c r="AJ656" s="190"/>
      <c r="AK656" s="66"/>
      <c r="AL656" s="66"/>
      <c r="AM656" s="66"/>
      <c r="AN656" s="66"/>
      <c r="AO656" s="66"/>
      <c r="AP656" s="66"/>
      <c r="AQ656" s="66"/>
      <c r="AR656" s="66"/>
      <c r="AS656" s="66"/>
      <c r="AT656" s="66"/>
    </row>
    <row r="657">
      <c r="A657" s="8"/>
      <c r="B657" s="66"/>
      <c r="C657" s="66"/>
      <c r="D657" s="66"/>
      <c r="E657" s="8"/>
      <c r="F657" s="66"/>
      <c r="G657" s="66"/>
      <c r="H657" s="66"/>
      <c r="I657" s="8"/>
      <c r="J657" s="66"/>
      <c r="K657" s="66"/>
      <c r="L657" s="66"/>
      <c r="M657" s="8"/>
      <c r="N657" s="66"/>
      <c r="O657" s="66"/>
      <c r="P657" s="66"/>
      <c r="Q657" s="8"/>
      <c r="R657" s="66"/>
      <c r="S657" s="66"/>
      <c r="T657" s="66"/>
      <c r="U657" s="8"/>
      <c r="V657" s="66"/>
      <c r="W657" s="66"/>
      <c r="X657" s="66"/>
      <c r="Y657" s="189"/>
      <c r="Z657" s="184"/>
      <c r="AA657" s="184"/>
      <c r="AB657" s="184"/>
      <c r="AC657" s="8"/>
      <c r="AD657" s="66"/>
      <c r="AE657" s="66"/>
      <c r="AF657" s="66"/>
      <c r="AG657" s="190"/>
      <c r="AH657" s="191"/>
      <c r="AI657" s="190"/>
      <c r="AJ657" s="190"/>
      <c r="AK657" s="66"/>
      <c r="AL657" s="66"/>
      <c r="AM657" s="66"/>
      <c r="AN657" s="66"/>
      <c r="AO657" s="66"/>
      <c r="AP657" s="66"/>
      <c r="AQ657" s="66"/>
      <c r="AR657" s="66"/>
      <c r="AS657" s="66"/>
      <c r="AT657" s="66"/>
    </row>
    <row r="658">
      <c r="A658" s="8"/>
      <c r="B658" s="66"/>
      <c r="C658" s="66"/>
      <c r="D658" s="66"/>
      <c r="E658" s="8"/>
      <c r="F658" s="66"/>
      <c r="G658" s="66"/>
      <c r="H658" s="66"/>
      <c r="I658" s="8"/>
      <c r="J658" s="66"/>
      <c r="K658" s="66"/>
      <c r="L658" s="66"/>
      <c r="M658" s="8"/>
      <c r="N658" s="66"/>
      <c r="O658" s="66"/>
      <c r="P658" s="66"/>
      <c r="Q658" s="8"/>
      <c r="R658" s="66"/>
      <c r="S658" s="66"/>
      <c r="T658" s="66"/>
      <c r="U658" s="8"/>
      <c r="V658" s="66"/>
      <c r="W658" s="66"/>
      <c r="X658" s="66"/>
      <c r="Y658" s="189"/>
      <c r="Z658" s="184"/>
      <c r="AA658" s="184"/>
      <c r="AB658" s="184"/>
      <c r="AC658" s="8"/>
      <c r="AD658" s="66"/>
      <c r="AE658" s="66"/>
      <c r="AF658" s="66"/>
      <c r="AG658" s="190"/>
      <c r="AH658" s="191"/>
      <c r="AI658" s="190"/>
      <c r="AJ658" s="190"/>
      <c r="AK658" s="66"/>
      <c r="AL658" s="66"/>
      <c r="AM658" s="66"/>
      <c r="AN658" s="66"/>
      <c r="AO658" s="66"/>
      <c r="AP658" s="66"/>
      <c r="AQ658" s="66"/>
      <c r="AR658" s="66"/>
      <c r="AS658" s="66"/>
      <c r="AT658" s="66"/>
    </row>
    <row r="659">
      <c r="A659" s="8"/>
      <c r="B659" s="66"/>
      <c r="C659" s="66"/>
      <c r="D659" s="66"/>
      <c r="E659" s="8"/>
      <c r="F659" s="66"/>
      <c r="G659" s="66"/>
      <c r="H659" s="66"/>
      <c r="I659" s="8"/>
      <c r="J659" s="66"/>
      <c r="K659" s="66"/>
      <c r="L659" s="66"/>
      <c r="M659" s="8"/>
      <c r="N659" s="66"/>
      <c r="O659" s="66"/>
      <c r="P659" s="66"/>
      <c r="Q659" s="8"/>
      <c r="R659" s="66"/>
      <c r="S659" s="66"/>
      <c r="T659" s="66"/>
      <c r="U659" s="8"/>
      <c r="V659" s="66"/>
      <c r="W659" s="66"/>
      <c r="X659" s="66"/>
      <c r="Y659" s="189"/>
      <c r="Z659" s="184"/>
      <c r="AA659" s="184"/>
      <c r="AB659" s="184"/>
      <c r="AC659" s="8"/>
      <c r="AD659" s="66"/>
      <c r="AE659" s="66"/>
      <c r="AF659" s="66"/>
      <c r="AG659" s="190"/>
      <c r="AH659" s="191"/>
      <c r="AI659" s="190"/>
      <c r="AJ659" s="190"/>
      <c r="AK659" s="66"/>
      <c r="AL659" s="66"/>
      <c r="AM659" s="66"/>
      <c r="AN659" s="66"/>
      <c r="AO659" s="66"/>
      <c r="AP659" s="66"/>
      <c r="AQ659" s="66"/>
      <c r="AR659" s="66"/>
      <c r="AS659" s="66"/>
      <c r="AT659" s="66"/>
    </row>
    <row r="660">
      <c r="A660" s="8"/>
      <c r="B660" s="66"/>
      <c r="C660" s="66"/>
      <c r="D660" s="66"/>
      <c r="E660" s="8"/>
      <c r="F660" s="66"/>
      <c r="G660" s="66"/>
      <c r="H660" s="66"/>
      <c r="I660" s="8"/>
      <c r="J660" s="66"/>
      <c r="K660" s="66"/>
      <c r="L660" s="66"/>
      <c r="M660" s="8"/>
      <c r="N660" s="66"/>
      <c r="O660" s="66"/>
      <c r="P660" s="66"/>
      <c r="Q660" s="8"/>
      <c r="R660" s="66"/>
      <c r="S660" s="66"/>
      <c r="T660" s="66"/>
      <c r="U660" s="8"/>
      <c r="V660" s="66"/>
      <c r="W660" s="66"/>
      <c r="X660" s="66"/>
      <c r="Y660" s="189"/>
      <c r="Z660" s="184"/>
      <c r="AA660" s="184"/>
      <c r="AB660" s="184"/>
      <c r="AC660" s="8"/>
      <c r="AD660" s="66"/>
      <c r="AE660" s="66"/>
      <c r="AF660" s="66"/>
      <c r="AG660" s="190"/>
      <c r="AH660" s="191"/>
      <c r="AI660" s="190"/>
      <c r="AJ660" s="190"/>
      <c r="AK660" s="66"/>
      <c r="AL660" s="66"/>
      <c r="AM660" s="66"/>
      <c r="AN660" s="66"/>
      <c r="AO660" s="66"/>
      <c r="AP660" s="66"/>
      <c r="AQ660" s="66"/>
      <c r="AR660" s="66"/>
      <c r="AS660" s="66"/>
      <c r="AT660" s="66"/>
    </row>
    <row r="661">
      <c r="A661" s="8"/>
      <c r="B661" s="66"/>
      <c r="C661" s="66"/>
      <c r="D661" s="66"/>
      <c r="E661" s="8"/>
      <c r="F661" s="66"/>
      <c r="G661" s="66"/>
      <c r="H661" s="66"/>
      <c r="I661" s="8"/>
      <c r="J661" s="66"/>
      <c r="K661" s="66"/>
      <c r="L661" s="66"/>
      <c r="M661" s="8"/>
      <c r="N661" s="66"/>
      <c r="O661" s="66"/>
      <c r="P661" s="66"/>
      <c r="Q661" s="8"/>
      <c r="R661" s="66"/>
      <c r="S661" s="66"/>
      <c r="T661" s="66"/>
      <c r="U661" s="8"/>
      <c r="V661" s="66"/>
      <c r="W661" s="66"/>
      <c r="X661" s="66"/>
      <c r="Y661" s="189"/>
      <c r="Z661" s="184"/>
      <c r="AA661" s="184"/>
      <c r="AB661" s="184"/>
      <c r="AC661" s="8"/>
      <c r="AD661" s="66"/>
      <c r="AE661" s="66"/>
      <c r="AF661" s="66"/>
      <c r="AG661" s="190"/>
      <c r="AH661" s="191"/>
      <c r="AI661" s="190"/>
      <c r="AJ661" s="190"/>
      <c r="AK661" s="66"/>
      <c r="AL661" s="66"/>
      <c r="AM661" s="66"/>
      <c r="AN661" s="66"/>
      <c r="AO661" s="66"/>
      <c r="AP661" s="66"/>
      <c r="AQ661" s="66"/>
      <c r="AR661" s="66"/>
      <c r="AS661" s="66"/>
      <c r="AT661" s="66"/>
    </row>
    <row r="662">
      <c r="A662" s="8"/>
      <c r="B662" s="66"/>
      <c r="C662" s="66"/>
      <c r="D662" s="66"/>
      <c r="E662" s="8"/>
      <c r="F662" s="66"/>
      <c r="G662" s="66"/>
      <c r="H662" s="66"/>
      <c r="I662" s="8"/>
      <c r="J662" s="66"/>
      <c r="K662" s="66"/>
      <c r="L662" s="66"/>
      <c r="M662" s="8"/>
      <c r="N662" s="66"/>
      <c r="O662" s="66"/>
      <c r="P662" s="66"/>
      <c r="Q662" s="8"/>
      <c r="R662" s="66"/>
      <c r="S662" s="66"/>
      <c r="T662" s="66"/>
      <c r="U662" s="8"/>
      <c r="V662" s="66"/>
      <c r="W662" s="66"/>
      <c r="X662" s="66"/>
      <c r="Y662" s="189"/>
      <c r="Z662" s="184"/>
      <c r="AA662" s="184"/>
      <c r="AB662" s="184"/>
      <c r="AC662" s="8"/>
      <c r="AD662" s="66"/>
      <c r="AE662" s="66"/>
      <c r="AF662" s="66"/>
      <c r="AG662" s="190"/>
      <c r="AH662" s="191"/>
      <c r="AI662" s="190"/>
      <c r="AJ662" s="190"/>
      <c r="AK662" s="66"/>
      <c r="AL662" s="66"/>
      <c r="AM662" s="66"/>
      <c r="AN662" s="66"/>
      <c r="AO662" s="66"/>
      <c r="AP662" s="66"/>
      <c r="AQ662" s="66"/>
      <c r="AR662" s="66"/>
      <c r="AS662" s="66"/>
      <c r="AT662" s="66"/>
    </row>
    <row r="663">
      <c r="A663" s="8"/>
      <c r="B663" s="66"/>
      <c r="C663" s="66"/>
      <c r="D663" s="66"/>
      <c r="E663" s="8"/>
      <c r="F663" s="66"/>
      <c r="G663" s="66"/>
      <c r="H663" s="66"/>
      <c r="I663" s="8"/>
      <c r="J663" s="66"/>
      <c r="K663" s="66"/>
      <c r="L663" s="66"/>
      <c r="M663" s="8"/>
      <c r="N663" s="66"/>
      <c r="O663" s="66"/>
      <c r="P663" s="66"/>
      <c r="Q663" s="8"/>
      <c r="R663" s="66"/>
      <c r="S663" s="66"/>
      <c r="T663" s="66"/>
      <c r="U663" s="8"/>
      <c r="V663" s="66"/>
      <c r="W663" s="66"/>
      <c r="X663" s="66"/>
      <c r="Y663" s="189"/>
      <c r="Z663" s="184"/>
      <c r="AA663" s="184"/>
      <c r="AB663" s="184"/>
      <c r="AC663" s="8"/>
      <c r="AD663" s="66"/>
      <c r="AE663" s="66"/>
      <c r="AF663" s="66"/>
      <c r="AG663" s="190"/>
      <c r="AH663" s="191"/>
      <c r="AI663" s="190"/>
      <c r="AJ663" s="190"/>
      <c r="AK663" s="66"/>
      <c r="AL663" s="66"/>
      <c r="AM663" s="66"/>
      <c r="AN663" s="66"/>
      <c r="AO663" s="66"/>
      <c r="AP663" s="66"/>
      <c r="AQ663" s="66"/>
      <c r="AR663" s="66"/>
      <c r="AS663" s="66"/>
      <c r="AT663" s="66"/>
    </row>
    <row r="664">
      <c r="A664" s="8"/>
      <c r="B664" s="66"/>
      <c r="C664" s="66"/>
      <c r="D664" s="66"/>
      <c r="E664" s="8"/>
      <c r="F664" s="66"/>
      <c r="G664" s="66"/>
      <c r="H664" s="66"/>
      <c r="I664" s="8"/>
      <c r="J664" s="66"/>
      <c r="K664" s="66"/>
      <c r="L664" s="66"/>
      <c r="M664" s="8"/>
      <c r="N664" s="66"/>
      <c r="O664" s="66"/>
      <c r="P664" s="66"/>
      <c r="Q664" s="8"/>
      <c r="R664" s="66"/>
      <c r="S664" s="66"/>
      <c r="T664" s="66"/>
      <c r="U664" s="8"/>
      <c r="V664" s="66"/>
      <c r="W664" s="66"/>
      <c r="X664" s="66"/>
      <c r="Y664" s="189"/>
      <c r="Z664" s="184"/>
      <c r="AA664" s="184"/>
      <c r="AB664" s="184"/>
      <c r="AC664" s="8"/>
      <c r="AD664" s="66"/>
      <c r="AE664" s="66"/>
      <c r="AF664" s="66"/>
      <c r="AG664" s="190"/>
      <c r="AH664" s="191"/>
      <c r="AI664" s="190"/>
      <c r="AJ664" s="190"/>
      <c r="AK664" s="66"/>
      <c r="AL664" s="66"/>
      <c r="AM664" s="66"/>
      <c r="AN664" s="66"/>
      <c r="AO664" s="66"/>
      <c r="AP664" s="66"/>
      <c r="AQ664" s="66"/>
      <c r="AR664" s="66"/>
      <c r="AS664" s="66"/>
      <c r="AT664" s="66"/>
    </row>
    <row r="665">
      <c r="A665" s="8"/>
      <c r="B665" s="66"/>
      <c r="C665" s="66"/>
      <c r="D665" s="66"/>
      <c r="E665" s="8"/>
      <c r="F665" s="66"/>
      <c r="G665" s="66"/>
      <c r="H665" s="66"/>
      <c r="I665" s="8"/>
      <c r="J665" s="66"/>
      <c r="K665" s="66"/>
      <c r="L665" s="66"/>
      <c r="M665" s="8"/>
      <c r="N665" s="66"/>
      <c r="O665" s="66"/>
      <c r="P665" s="66"/>
      <c r="Q665" s="8"/>
      <c r="R665" s="66"/>
      <c r="S665" s="66"/>
      <c r="T665" s="66"/>
      <c r="U665" s="8"/>
      <c r="V665" s="66"/>
      <c r="W665" s="66"/>
      <c r="X665" s="66"/>
      <c r="Y665" s="189"/>
      <c r="Z665" s="184"/>
      <c r="AA665" s="184"/>
      <c r="AB665" s="184"/>
      <c r="AC665" s="8"/>
      <c r="AD665" s="66"/>
      <c r="AE665" s="66"/>
      <c r="AF665" s="66"/>
      <c r="AG665" s="190"/>
      <c r="AH665" s="191"/>
      <c r="AI665" s="190"/>
      <c r="AJ665" s="190"/>
      <c r="AK665" s="66"/>
      <c r="AL665" s="66"/>
      <c r="AM665" s="66"/>
      <c r="AN665" s="66"/>
      <c r="AO665" s="66"/>
      <c r="AP665" s="66"/>
      <c r="AQ665" s="66"/>
      <c r="AR665" s="66"/>
      <c r="AS665" s="66"/>
      <c r="AT665" s="66"/>
    </row>
    <row r="666">
      <c r="A666" s="8"/>
      <c r="B666" s="66"/>
      <c r="C666" s="66"/>
      <c r="D666" s="66"/>
      <c r="E666" s="8"/>
      <c r="F666" s="66"/>
      <c r="G666" s="66"/>
      <c r="H666" s="66"/>
      <c r="I666" s="8"/>
      <c r="J666" s="66"/>
      <c r="K666" s="66"/>
      <c r="L666" s="66"/>
      <c r="M666" s="8"/>
      <c r="N666" s="66"/>
      <c r="O666" s="66"/>
      <c r="P666" s="66"/>
      <c r="Q666" s="8"/>
      <c r="R666" s="66"/>
      <c r="S666" s="66"/>
      <c r="T666" s="66"/>
      <c r="U666" s="8"/>
      <c r="V666" s="66"/>
      <c r="W666" s="66"/>
      <c r="X666" s="66"/>
      <c r="Y666" s="189"/>
      <c r="Z666" s="184"/>
      <c r="AA666" s="184"/>
      <c r="AB666" s="184"/>
      <c r="AC666" s="8"/>
      <c r="AD666" s="66"/>
      <c r="AE666" s="66"/>
      <c r="AF666" s="66"/>
      <c r="AG666" s="190"/>
      <c r="AH666" s="191"/>
      <c r="AI666" s="190"/>
      <c r="AJ666" s="190"/>
      <c r="AK666" s="66"/>
      <c r="AL666" s="66"/>
      <c r="AM666" s="66"/>
      <c r="AN666" s="66"/>
      <c r="AO666" s="66"/>
      <c r="AP666" s="66"/>
      <c r="AQ666" s="66"/>
      <c r="AR666" s="66"/>
      <c r="AS666" s="66"/>
      <c r="AT666" s="66"/>
    </row>
    <row r="667">
      <c r="A667" s="8"/>
      <c r="B667" s="66"/>
      <c r="C667" s="66"/>
      <c r="D667" s="66"/>
      <c r="E667" s="8"/>
      <c r="F667" s="66"/>
      <c r="G667" s="66"/>
      <c r="H667" s="66"/>
      <c r="I667" s="8"/>
      <c r="J667" s="66"/>
      <c r="K667" s="66"/>
      <c r="L667" s="66"/>
      <c r="M667" s="8"/>
      <c r="N667" s="66"/>
      <c r="O667" s="66"/>
      <c r="P667" s="66"/>
      <c r="Q667" s="8"/>
      <c r="R667" s="66"/>
      <c r="S667" s="66"/>
      <c r="T667" s="66"/>
      <c r="U667" s="8"/>
      <c r="V667" s="66"/>
      <c r="W667" s="66"/>
      <c r="X667" s="66"/>
      <c r="Y667" s="189"/>
      <c r="Z667" s="184"/>
      <c r="AA667" s="184"/>
      <c r="AB667" s="184"/>
      <c r="AC667" s="8"/>
      <c r="AD667" s="66"/>
      <c r="AE667" s="66"/>
      <c r="AF667" s="66"/>
      <c r="AG667" s="190"/>
      <c r="AH667" s="191"/>
      <c r="AI667" s="190"/>
      <c r="AJ667" s="190"/>
      <c r="AK667" s="66"/>
      <c r="AL667" s="66"/>
      <c r="AM667" s="66"/>
      <c r="AN667" s="66"/>
      <c r="AO667" s="66"/>
      <c r="AP667" s="66"/>
      <c r="AQ667" s="66"/>
      <c r="AR667" s="66"/>
      <c r="AS667" s="66"/>
      <c r="AT667" s="66"/>
    </row>
    <row r="668">
      <c r="A668" s="8"/>
      <c r="B668" s="66"/>
      <c r="C668" s="66"/>
      <c r="D668" s="66"/>
      <c r="E668" s="8"/>
      <c r="F668" s="66"/>
      <c r="G668" s="66"/>
      <c r="H668" s="66"/>
      <c r="I668" s="8"/>
      <c r="J668" s="66"/>
      <c r="K668" s="66"/>
      <c r="L668" s="66"/>
      <c r="M668" s="8"/>
      <c r="N668" s="66"/>
      <c r="O668" s="66"/>
      <c r="P668" s="66"/>
      <c r="Q668" s="8"/>
      <c r="R668" s="66"/>
      <c r="S668" s="66"/>
      <c r="T668" s="66"/>
      <c r="U668" s="8"/>
      <c r="V668" s="66"/>
      <c r="W668" s="66"/>
      <c r="X668" s="66"/>
      <c r="Y668" s="189"/>
      <c r="Z668" s="184"/>
      <c r="AA668" s="184"/>
      <c r="AB668" s="184"/>
      <c r="AC668" s="8"/>
      <c r="AD668" s="66"/>
      <c r="AE668" s="66"/>
      <c r="AF668" s="66"/>
      <c r="AG668" s="190"/>
      <c r="AH668" s="191"/>
      <c r="AI668" s="190"/>
      <c r="AJ668" s="190"/>
      <c r="AK668" s="66"/>
      <c r="AL668" s="66"/>
      <c r="AM668" s="66"/>
      <c r="AN668" s="66"/>
      <c r="AO668" s="66"/>
      <c r="AP668" s="66"/>
      <c r="AQ668" s="66"/>
      <c r="AR668" s="66"/>
      <c r="AS668" s="66"/>
      <c r="AT668" s="66"/>
    </row>
    <row r="669">
      <c r="A669" s="8"/>
      <c r="B669" s="66"/>
      <c r="C669" s="66"/>
      <c r="D669" s="66"/>
      <c r="E669" s="8"/>
      <c r="F669" s="66"/>
      <c r="G669" s="66"/>
      <c r="H669" s="66"/>
      <c r="I669" s="8"/>
      <c r="J669" s="66"/>
      <c r="K669" s="66"/>
      <c r="L669" s="66"/>
      <c r="M669" s="8"/>
      <c r="N669" s="66"/>
      <c r="O669" s="66"/>
      <c r="P669" s="66"/>
      <c r="Q669" s="8"/>
      <c r="R669" s="66"/>
      <c r="S669" s="66"/>
      <c r="T669" s="66"/>
      <c r="U669" s="8"/>
      <c r="V669" s="66"/>
      <c r="W669" s="66"/>
      <c r="X669" s="66"/>
      <c r="Y669" s="189"/>
      <c r="Z669" s="184"/>
      <c r="AA669" s="184"/>
      <c r="AB669" s="184"/>
      <c r="AC669" s="8"/>
      <c r="AD669" s="66"/>
      <c r="AE669" s="66"/>
      <c r="AF669" s="66"/>
      <c r="AG669" s="190"/>
      <c r="AH669" s="191"/>
      <c r="AI669" s="190"/>
      <c r="AJ669" s="190"/>
      <c r="AK669" s="66"/>
      <c r="AL669" s="66"/>
      <c r="AM669" s="66"/>
      <c r="AN669" s="66"/>
      <c r="AO669" s="66"/>
      <c r="AP669" s="66"/>
      <c r="AQ669" s="66"/>
      <c r="AR669" s="66"/>
      <c r="AS669" s="66"/>
      <c r="AT669" s="66"/>
    </row>
    <row r="670">
      <c r="A670" s="8"/>
      <c r="B670" s="66"/>
      <c r="C670" s="66"/>
      <c r="D670" s="66"/>
      <c r="E670" s="8"/>
      <c r="F670" s="66"/>
      <c r="G670" s="66"/>
      <c r="H670" s="66"/>
      <c r="I670" s="8"/>
      <c r="J670" s="66"/>
      <c r="K670" s="66"/>
      <c r="L670" s="66"/>
      <c r="M670" s="8"/>
      <c r="N670" s="66"/>
      <c r="O670" s="66"/>
      <c r="P670" s="66"/>
      <c r="Q670" s="8"/>
      <c r="R670" s="66"/>
      <c r="S670" s="66"/>
      <c r="T670" s="66"/>
      <c r="U670" s="8"/>
      <c r="V670" s="66"/>
      <c r="W670" s="66"/>
      <c r="X670" s="66"/>
      <c r="Y670" s="189"/>
      <c r="Z670" s="184"/>
      <c r="AA670" s="184"/>
      <c r="AB670" s="184"/>
      <c r="AC670" s="8"/>
      <c r="AD670" s="66"/>
      <c r="AE670" s="66"/>
      <c r="AF670" s="66"/>
      <c r="AG670" s="190"/>
      <c r="AH670" s="191"/>
      <c r="AI670" s="190"/>
      <c r="AJ670" s="190"/>
      <c r="AK670" s="66"/>
      <c r="AL670" s="66"/>
      <c r="AM670" s="66"/>
      <c r="AN670" s="66"/>
      <c r="AO670" s="66"/>
      <c r="AP670" s="66"/>
      <c r="AQ670" s="66"/>
      <c r="AR670" s="66"/>
      <c r="AS670" s="66"/>
      <c r="AT670" s="66"/>
    </row>
    <row r="671">
      <c r="A671" s="8"/>
      <c r="B671" s="66"/>
      <c r="C671" s="66"/>
      <c r="D671" s="66"/>
      <c r="E671" s="8"/>
      <c r="F671" s="66"/>
      <c r="G671" s="66"/>
      <c r="H671" s="66"/>
      <c r="I671" s="8"/>
      <c r="J671" s="66"/>
      <c r="K671" s="66"/>
      <c r="L671" s="66"/>
      <c r="M671" s="8"/>
      <c r="N671" s="66"/>
      <c r="O671" s="66"/>
      <c r="P671" s="66"/>
      <c r="Q671" s="8"/>
      <c r="R671" s="66"/>
      <c r="S671" s="66"/>
      <c r="T671" s="66"/>
      <c r="U671" s="8"/>
      <c r="V671" s="66"/>
      <c r="W671" s="66"/>
      <c r="X671" s="66"/>
      <c r="Y671" s="189"/>
      <c r="Z671" s="184"/>
      <c r="AA671" s="184"/>
      <c r="AB671" s="184"/>
      <c r="AC671" s="8"/>
      <c r="AD671" s="66"/>
      <c r="AE671" s="66"/>
      <c r="AF671" s="66"/>
      <c r="AG671" s="190"/>
      <c r="AH671" s="191"/>
      <c r="AI671" s="190"/>
      <c r="AJ671" s="190"/>
      <c r="AK671" s="66"/>
      <c r="AL671" s="66"/>
      <c r="AM671" s="66"/>
      <c r="AN671" s="66"/>
      <c r="AO671" s="66"/>
      <c r="AP671" s="66"/>
      <c r="AQ671" s="66"/>
      <c r="AR671" s="66"/>
      <c r="AS671" s="66"/>
      <c r="AT671" s="66"/>
    </row>
    <row r="672">
      <c r="A672" s="8"/>
      <c r="B672" s="66"/>
      <c r="C672" s="66"/>
      <c r="D672" s="66"/>
      <c r="E672" s="8"/>
      <c r="F672" s="66"/>
      <c r="G672" s="66"/>
      <c r="H672" s="66"/>
      <c r="I672" s="8"/>
      <c r="J672" s="66"/>
      <c r="K672" s="66"/>
      <c r="L672" s="66"/>
      <c r="M672" s="8"/>
      <c r="N672" s="66"/>
      <c r="O672" s="66"/>
      <c r="P672" s="66"/>
      <c r="Q672" s="8"/>
      <c r="R672" s="66"/>
      <c r="S672" s="66"/>
      <c r="T672" s="66"/>
      <c r="U672" s="8"/>
      <c r="V672" s="66"/>
      <c r="W672" s="66"/>
      <c r="X672" s="66"/>
      <c r="Y672" s="189"/>
      <c r="Z672" s="184"/>
      <c r="AA672" s="184"/>
      <c r="AB672" s="184"/>
      <c r="AC672" s="8"/>
      <c r="AD672" s="66"/>
      <c r="AE672" s="66"/>
      <c r="AF672" s="66"/>
      <c r="AG672" s="190"/>
      <c r="AH672" s="191"/>
      <c r="AI672" s="190"/>
      <c r="AJ672" s="190"/>
      <c r="AK672" s="66"/>
      <c r="AL672" s="66"/>
      <c r="AM672" s="66"/>
      <c r="AN672" s="66"/>
      <c r="AO672" s="66"/>
      <c r="AP672" s="66"/>
      <c r="AQ672" s="66"/>
      <c r="AR672" s="66"/>
      <c r="AS672" s="66"/>
      <c r="AT672" s="66"/>
    </row>
    <row r="673">
      <c r="A673" s="8"/>
      <c r="B673" s="66"/>
      <c r="C673" s="66"/>
      <c r="D673" s="66"/>
      <c r="E673" s="8"/>
      <c r="F673" s="66"/>
      <c r="G673" s="66"/>
      <c r="H673" s="66"/>
      <c r="I673" s="8"/>
      <c r="J673" s="66"/>
      <c r="K673" s="66"/>
      <c r="L673" s="66"/>
      <c r="M673" s="8"/>
      <c r="N673" s="66"/>
      <c r="O673" s="66"/>
      <c r="P673" s="66"/>
      <c r="Q673" s="8"/>
      <c r="R673" s="66"/>
      <c r="S673" s="66"/>
      <c r="T673" s="66"/>
      <c r="U673" s="8"/>
      <c r="V673" s="66"/>
      <c r="W673" s="66"/>
      <c r="X673" s="66"/>
      <c r="Y673" s="189"/>
      <c r="Z673" s="184"/>
      <c r="AA673" s="184"/>
      <c r="AB673" s="184"/>
      <c r="AC673" s="8"/>
      <c r="AD673" s="66"/>
      <c r="AE673" s="66"/>
      <c r="AF673" s="66"/>
      <c r="AG673" s="190"/>
      <c r="AH673" s="191"/>
      <c r="AI673" s="190"/>
      <c r="AJ673" s="190"/>
      <c r="AK673" s="66"/>
      <c r="AL673" s="66"/>
      <c r="AM673" s="66"/>
      <c r="AN673" s="66"/>
      <c r="AO673" s="66"/>
      <c r="AP673" s="66"/>
      <c r="AQ673" s="66"/>
      <c r="AR673" s="66"/>
      <c r="AS673" s="66"/>
      <c r="AT673" s="66"/>
    </row>
    <row r="674">
      <c r="A674" s="8"/>
      <c r="B674" s="66"/>
      <c r="C674" s="66"/>
      <c r="D674" s="66"/>
      <c r="E674" s="8"/>
      <c r="F674" s="66"/>
      <c r="G674" s="66"/>
      <c r="H674" s="66"/>
      <c r="I674" s="8"/>
      <c r="J674" s="66"/>
      <c r="K674" s="66"/>
      <c r="L674" s="66"/>
      <c r="M674" s="8"/>
      <c r="N674" s="66"/>
      <c r="O674" s="66"/>
      <c r="P674" s="66"/>
      <c r="Q674" s="8"/>
      <c r="R674" s="66"/>
      <c r="S674" s="66"/>
      <c r="T674" s="66"/>
      <c r="U674" s="8"/>
      <c r="V674" s="66"/>
      <c r="W674" s="66"/>
      <c r="X674" s="66"/>
      <c r="Y674" s="189"/>
      <c r="Z674" s="184"/>
      <c r="AA674" s="184"/>
      <c r="AB674" s="184"/>
      <c r="AC674" s="8"/>
      <c r="AD674" s="66"/>
      <c r="AE674" s="66"/>
      <c r="AF674" s="66"/>
      <c r="AG674" s="190"/>
      <c r="AH674" s="191"/>
      <c r="AI674" s="190"/>
      <c r="AJ674" s="190"/>
      <c r="AK674" s="66"/>
      <c r="AL674" s="66"/>
      <c r="AM674" s="66"/>
      <c r="AN674" s="66"/>
      <c r="AO674" s="66"/>
      <c r="AP674" s="66"/>
      <c r="AQ674" s="66"/>
      <c r="AR674" s="66"/>
      <c r="AS674" s="66"/>
      <c r="AT674" s="66"/>
    </row>
    <row r="675">
      <c r="A675" s="8"/>
      <c r="B675" s="66"/>
      <c r="C675" s="66"/>
      <c r="D675" s="66"/>
      <c r="E675" s="8"/>
      <c r="F675" s="66"/>
      <c r="G675" s="66"/>
      <c r="H675" s="66"/>
      <c r="I675" s="8"/>
      <c r="J675" s="66"/>
      <c r="K675" s="66"/>
      <c r="L675" s="66"/>
      <c r="M675" s="8"/>
      <c r="N675" s="66"/>
      <c r="O675" s="66"/>
      <c r="P675" s="66"/>
      <c r="Q675" s="8"/>
      <c r="R675" s="66"/>
      <c r="S675" s="66"/>
      <c r="T675" s="66"/>
      <c r="U675" s="8"/>
      <c r="V675" s="66"/>
      <c r="W675" s="66"/>
      <c r="X675" s="66"/>
      <c r="Y675" s="189"/>
      <c r="Z675" s="184"/>
      <c r="AA675" s="184"/>
      <c r="AB675" s="184"/>
      <c r="AC675" s="8"/>
      <c r="AD675" s="66"/>
      <c r="AE675" s="66"/>
      <c r="AF675" s="66"/>
      <c r="AG675" s="190"/>
      <c r="AH675" s="191"/>
      <c r="AI675" s="190"/>
      <c r="AJ675" s="190"/>
      <c r="AK675" s="66"/>
      <c r="AL675" s="66"/>
      <c r="AM675" s="66"/>
      <c r="AN675" s="66"/>
      <c r="AO675" s="66"/>
      <c r="AP675" s="66"/>
      <c r="AQ675" s="66"/>
      <c r="AR675" s="66"/>
      <c r="AS675" s="66"/>
      <c r="AT675" s="66"/>
    </row>
    <row r="676">
      <c r="A676" s="8"/>
      <c r="B676" s="66"/>
      <c r="C676" s="66"/>
      <c r="D676" s="66"/>
      <c r="E676" s="8"/>
      <c r="F676" s="66"/>
      <c r="G676" s="66"/>
      <c r="H676" s="66"/>
      <c r="I676" s="8"/>
      <c r="J676" s="66"/>
      <c r="K676" s="66"/>
      <c r="L676" s="66"/>
      <c r="M676" s="8"/>
      <c r="N676" s="66"/>
      <c r="O676" s="66"/>
      <c r="P676" s="66"/>
      <c r="Q676" s="8"/>
      <c r="R676" s="66"/>
      <c r="S676" s="66"/>
      <c r="T676" s="66"/>
      <c r="U676" s="8"/>
      <c r="V676" s="66"/>
      <c r="W676" s="66"/>
      <c r="X676" s="66"/>
      <c r="Y676" s="189"/>
      <c r="Z676" s="184"/>
      <c r="AA676" s="184"/>
      <c r="AB676" s="184"/>
      <c r="AC676" s="8"/>
      <c r="AD676" s="66"/>
      <c r="AE676" s="66"/>
      <c r="AF676" s="66"/>
      <c r="AG676" s="190"/>
      <c r="AH676" s="191"/>
      <c r="AI676" s="190"/>
      <c r="AJ676" s="190"/>
      <c r="AK676" s="66"/>
      <c r="AL676" s="66"/>
      <c r="AM676" s="66"/>
      <c r="AN676" s="66"/>
      <c r="AO676" s="66"/>
      <c r="AP676" s="66"/>
      <c r="AQ676" s="66"/>
      <c r="AR676" s="66"/>
      <c r="AS676" s="66"/>
      <c r="AT676" s="66"/>
    </row>
    <row r="677">
      <c r="A677" s="8"/>
      <c r="B677" s="66"/>
      <c r="C677" s="66"/>
      <c r="D677" s="66"/>
      <c r="E677" s="8"/>
      <c r="F677" s="66"/>
      <c r="G677" s="66"/>
      <c r="H677" s="66"/>
      <c r="I677" s="8"/>
      <c r="J677" s="66"/>
      <c r="K677" s="66"/>
      <c r="L677" s="66"/>
      <c r="M677" s="8"/>
      <c r="N677" s="66"/>
      <c r="O677" s="66"/>
      <c r="P677" s="66"/>
      <c r="Q677" s="8"/>
      <c r="R677" s="66"/>
      <c r="S677" s="66"/>
      <c r="T677" s="66"/>
      <c r="U677" s="8"/>
      <c r="V677" s="66"/>
      <c r="W677" s="66"/>
      <c r="X677" s="66"/>
      <c r="Y677" s="189"/>
      <c r="Z677" s="184"/>
      <c r="AA677" s="184"/>
      <c r="AB677" s="184"/>
      <c r="AC677" s="8"/>
      <c r="AD677" s="66"/>
      <c r="AE677" s="66"/>
      <c r="AF677" s="66"/>
      <c r="AG677" s="190"/>
      <c r="AH677" s="191"/>
      <c r="AI677" s="190"/>
      <c r="AJ677" s="190"/>
      <c r="AK677" s="66"/>
      <c r="AL677" s="66"/>
      <c r="AM677" s="66"/>
      <c r="AN677" s="66"/>
      <c r="AO677" s="66"/>
      <c r="AP677" s="66"/>
      <c r="AQ677" s="66"/>
      <c r="AR677" s="66"/>
      <c r="AS677" s="66"/>
      <c r="AT677" s="66"/>
    </row>
    <row r="678">
      <c r="A678" s="8"/>
      <c r="B678" s="66"/>
      <c r="C678" s="66"/>
      <c r="D678" s="66"/>
      <c r="E678" s="8"/>
      <c r="F678" s="66"/>
      <c r="G678" s="66"/>
      <c r="H678" s="66"/>
      <c r="I678" s="8"/>
      <c r="J678" s="66"/>
      <c r="K678" s="66"/>
      <c r="L678" s="66"/>
      <c r="M678" s="8"/>
      <c r="N678" s="66"/>
      <c r="O678" s="66"/>
      <c r="P678" s="66"/>
      <c r="Q678" s="8"/>
      <c r="R678" s="66"/>
      <c r="S678" s="66"/>
      <c r="T678" s="66"/>
      <c r="U678" s="8"/>
      <c r="V678" s="66"/>
      <c r="W678" s="66"/>
      <c r="X678" s="66"/>
      <c r="Y678" s="189"/>
      <c r="Z678" s="184"/>
      <c r="AA678" s="184"/>
      <c r="AB678" s="184"/>
      <c r="AC678" s="8"/>
      <c r="AD678" s="66"/>
      <c r="AE678" s="66"/>
      <c r="AF678" s="66"/>
      <c r="AG678" s="190"/>
      <c r="AH678" s="191"/>
      <c r="AI678" s="190"/>
      <c r="AJ678" s="190"/>
      <c r="AK678" s="66"/>
      <c r="AL678" s="66"/>
      <c r="AM678" s="66"/>
      <c r="AN678" s="66"/>
      <c r="AO678" s="66"/>
      <c r="AP678" s="66"/>
      <c r="AQ678" s="66"/>
      <c r="AR678" s="66"/>
      <c r="AS678" s="66"/>
      <c r="AT678" s="66"/>
    </row>
    <row r="679">
      <c r="A679" s="8"/>
      <c r="B679" s="66"/>
      <c r="C679" s="66"/>
      <c r="D679" s="66"/>
      <c r="E679" s="8"/>
      <c r="F679" s="66"/>
      <c r="G679" s="66"/>
      <c r="H679" s="66"/>
      <c r="I679" s="8"/>
      <c r="J679" s="66"/>
      <c r="K679" s="66"/>
      <c r="L679" s="66"/>
      <c r="M679" s="8"/>
      <c r="N679" s="66"/>
      <c r="O679" s="66"/>
      <c r="P679" s="66"/>
      <c r="Q679" s="8"/>
      <c r="R679" s="66"/>
      <c r="S679" s="66"/>
      <c r="T679" s="66"/>
      <c r="U679" s="8"/>
      <c r="V679" s="66"/>
      <c r="W679" s="66"/>
      <c r="X679" s="66"/>
      <c r="Y679" s="189"/>
      <c r="Z679" s="184"/>
      <c r="AA679" s="184"/>
      <c r="AB679" s="184"/>
      <c r="AC679" s="8"/>
      <c r="AD679" s="66"/>
      <c r="AE679" s="66"/>
      <c r="AF679" s="66"/>
      <c r="AG679" s="190"/>
      <c r="AH679" s="191"/>
      <c r="AI679" s="190"/>
      <c r="AJ679" s="190"/>
      <c r="AK679" s="66"/>
      <c r="AL679" s="66"/>
      <c r="AM679" s="66"/>
      <c r="AN679" s="66"/>
      <c r="AO679" s="66"/>
      <c r="AP679" s="66"/>
      <c r="AQ679" s="66"/>
      <c r="AR679" s="66"/>
      <c r="AS679" s="66"/>
      <c r="AT679" s="66"/>
    </row>
    <row r="680">
      <c r="A680" s="8"/>
      <c r="B680" s="66"/>
      <c r="C680" s="66"/>
      <c r="D680" s="66"/>
      <c r="E680" s="8"/>
      <c r="F680" s="66"/>
      <c r="G680" s="66"/>
      <c r="H680" s="66"/>
      <c r="I680" s="8"/>
      <c r="J680" s="66"/>
      <c r="K680" s="66"/>
      <c r="L680" s="66"/>
      <c r="M680" s="8"/>
      <c r="N680" s="66"/>
      <c r="O680" s="66"/>
      <c r="P680" s="66"/>
      <c r="Q680" s="8"/>
      <c r="R680" s="66"/>
      <c r="S680" s="66"/>
      <c r="T680" s="66"/>
      <c r="U680" s="8"/>
      <c r="V680" s="66"/>
      <c r="W680" s="66"/>
      <c r="X680" s="66"/>
      <c r="Y680" s="189"/>
      <c r="Z680" s="184"/>
      <c r="AA680" s="184"/>
      <c r="AB680" s="184"/>
      <c r="AC680" s="8"/>
      <c r="AD680" s="66"/>
      <c r="AE680" s="66"/>
      <c r="AF680" s="66"/>
      <c r="AG680" s="190"/>
      <c r="AH680" s="191"/>
      <c r="AI680" s="190"/>
      <c r="AJ680" s="190"/>
      <c r="AK680" s="66"/>
      <c r="AL680" s="66"/>
      <c r="AM680" s="66"/>
      <c r="AN680" s="66"/>
      <c r="AO680" s="66"/>
      <c r="AP680" s="66"/>
      <c r="AQ680" s="66"/>
      <c r="AR680" s="66"/>
      <c r="AS680" s="66"/>
      <c r="AT680" s="66"/>
    </row>
    <row r="681">
      <c r="A681" s="8"/>
      <c r="B681" s="66"/>
      <c r="C681" s="66"/>
      <c r="D681" s="66"/>
      <c r="E681" s="8"/>
      <c r="F681" s="66"/>
      <c r="G681" s="66"/>
      <c r="H681" s="66"/>
      <c r="I681" s="8"/>
      <c r="J681" s="66"/>
      <c r="K681" s="66"/>
      <c r="L681" s="66"/>
      <c r="M681" s="8"/>
      <c r="N681" s="66"/>
      <c r="O681" s="66"/>
      <c r="P681" s="66"/>
      <c r="Q681" s="8"/>
      <c r="R681" s="66"/>
      <c r="S681" s="66"/>
      <c r="T681" s="66"/>
      <c r="U681" s="8"/>
      <c r="V681" s="66"/>
      <c r="W681" s="66"/>
      <c r="X681" s="66"/>
      <c r="Y681" s="189"/>
      <c r="Z681" s="184"/>
      <c r="AA681" s="184"/>
      <c r="AB681" s="184"/>
      <c r="AC681" s="8"/>
      <c r="AD681" s="66"/>
      <c r="AE681" s="66"/>
      <c r="AF681" s="66"/>
      <c r="AG681" s="190"/>
      <c r="AH681" s="191"/>
      <c r="AI681" s="190"/>
      <c r="AJ681" s="190"/>
      <c r="AK681" s="66"/>
      <c r="AL681" s="66"/>
      <c r="AM681" s="66"/>
      <c r="AN681" s="66"/>
      <c r="AO681" s="66"/>
      <c r="AP681" s="66"/>
      <c r="AQ681" s="66"/>
      <c r="AR681" s="66"/>
      <c r="AS681" s="66"/>
      <c r="AT681" s="66"/>
    </row>
    <row r="682">
      <c r="A682" s="8"/>
      <c r="B682" s="66"/>
      <c r="C682" s="66"/>
      <c r="D682" s="66"/>
      <c r="E682" s="8"/>
      <c r="F682" s="66"/>
      <c r="G682" s="66"/>
      <c r="H682" s="66"/>
      <c r="I682" s="8"/>
      <c r="J682" s="66"/>
      <c r="K682" s="66"/>
      <c r="L682" s="66"/>
      <c r="M682" s="8"/>
      <c r="N682" s="66"/>
      <c r="O682" s="66"/>
      <c r="P682" s="66"/>
      <c r="Q682" s="8"/>
      <c r="R682" s="66"/>
      <c r="S682" s="66"/>
      <c r="T682" s="66"/>
      <c r="U682" s="8"/>
      <c r="V682" s="66"/>
      <c r="W682" s="66"/>
      <c r="X682" s="66"/>
      <c r="Y682" s="189"/>
      <c r="Z682" s="184"/>
      <c r="AA682" s="184"/>
      <c r="AB682" s="184"/>
      <c r="AC682" s="8"/>
      <c r="AD682" s="66"/>
      <c r="AE682" s="66"/>
      <c r="AF682" s="66"/>
      <c r="AG682" s="190"/>
      <c r="AH682" s="191"/>
      <c r="AI682" s="190"/>
      <c r="AJ682" s="190"/>
      <c r="AK682" s="66"/>
      <c r="AL682" s="66"/>
      <c r="AM682" s="66"/>
      <c r="AN682" s="66"/>
      <c r="AO682" s="66"/>
      <c r="AP682" s="66"/>
      <c r="AQ682" s="66"/>
      <c r="AR682" s="66"/>
      <c r="AS682" s="66"/>
      <c r="AT682" s="66"/>
    </row>
    <row r="683">
      <c r="A683" s="8"/>
      <c r="B683" s="66"/>
      <c r="C683" s="66"/>
      <c r="D683" s="66"/>
      <c r="E683" s="8"/>
      <c r="F683" s="66"/>
      <c r="G683" s="66"/>
      <c r="H683" s="66"/>
      <c r="I683" s="8"/>
      <c r="J683" s="66"/>
      <c r="K683" s="66"/>
      <c r="L683" s="66"/>
      <c r="M683" s="8"/>
      <c r="N683" s="66"/>
      <c r="O683" s="66"/>
      <c r="P683" s="66"/>
      <c r="Q683" s="8"/>
      <c r="R683" s="66"/>
      <c r="S683" s="66"/>
      <c r="T683" s="66"/>
      <c r="U683" s="8"/>
      <c r="V683" s="66"/>
      <c r="W683" s="66"/>
      <c r="X683" s="66"/>
      <c r="Y683" s="189"/>
      <c r="Z683" s="184"/>
      <c r="AA683" s="184"/>
      <c r="AB683" s="184"/>
      <c r="AC683" s="8"/>
      <c r="AD683" s="66"/>
      <c r="AE683" s="66"/>
      <c r="AF683" s="66"/>
      <c r="AG683" s="190"/>
      <c r="AH683" s="191"/>
      <c r="AI683" s="190"/>
      <c r="AJ683" s="190"/>
      <c r="AK683" s="66"/>
      <c r="AL683" s="66"/>
      <c r="AM683" s="66"/>
      <c r="AN683" s="66"/>
      <c r="AO683" s="66"/>
      <c r="AP683" s="66"/>
      <c r="AQ683" s="66"/>
      <c r="AR683" s="66"/>
      <c r="AS683" s="66"/>
      <c r="AT683" s="66"/>
    </row>
    <row r="684">
      <c r="A684" s="8"/>
      <c r="B684" s="66"/>
      <c r="C684" s="66"/>
      <c r="D684" s="66"/>
      <c r="E684" s="8"/>
      <c r="F684" s="66"/>
      <c r="G684" s="66"/>
      <c r="H684" s="66"/>
      <c r="I684" s="8"/>
      <c r="J684" s="66"/>
      <c r="K684" s="66"/>
      <c r="L684" s="66"/>
      <c r="M684" s="8"/>
      <c r="N684" s="66"/>
      <c r="O684" s="66"/>
      <c r="P684" s="66"/>
      <c r="Q684" s="8"/>
      <c r="R684" s="66"/>
      <c r="S684" s="66"/>
      <c r="T684" s="66"/>
      <c r="U684" s="8"/>
      <c r="V684" s="66"/>
      <c r="W684" s="66"/>
      <c r="X684" s="66"/>
      <c r="Y684" s="189"/>
      <c r="Z684" s="184"/>
      <c r="AA684" s="184"/>
      <c r="AB684" s="184"/>
      <c r="AC684" s="8"/>
      <c r="AD684" s="66"/>
      <c r="AE684" s="66"/>
      <c r="AF684" s="66"/>
      <c r="AG684" s="190"/>
      <c r="AH684" s="191"/>
      <c r="AI684" s="190"/>
      <c r="AJ684" s="190"/>
      <c r="AK684" s="66"/>
      <c r="AL684" s="66"/>
      <c r="AM684" s="66"/>
      <c r="AN684" s="66"/>
      <c r="AO684" s="66"/>
      <c r="AP684" s="66"/>
      <c r="AQ684" s="66"/>
      <c r="AR684" s="66"/>
      <c r="AS684" s="66"/>
      <c r="AT684" s="66"/>
    </row>
    <row r="685">
      <c r="A685" s="8"/>
      <c r="B685" s="66"/>
      <c r="C685" s="66"/>
      <c r="D685" s="66"/>
      <c r="E685" s="8"/>
      <c r="F685" s="66"/>
      <c r="G685" s="66"/>
      <c r="H685" s="66"/>
      <c r="I685" s="8"/>
      <c r="J685" s="66"/>
      <c r="K685" s="66"/>
      <c r="L685" s="66"/>
      <c r="M685" s="8"/>
      <c r="N685" s="66"/>
      <c r="O685" s="66"/>
      <c r="P685" s="66"/>
      <c r="Q685" s="8"/>
      <c r="R685" s="66"/>
      <c r="S685" s="66"/>
      <c r="T685" s="66"/>
      <c r="U685" s="8"/>
      <c r="V685" s="66"/>
      <c r="W685" s="66"/>
      <c r="X685" s="66"/>
      <c r="Y685" s="189"/>
      <c r="Z685" s="184"/>
      <c r="AA685" s="184"/>
      <c r="AB685" s="184"/>
      <c r="AC685" s="8"/>
      <c r="AD685" s="66"/>
      <c r="AE685" s="66"/>
      <c r="AF685" s="66"/>
      <c r="AG685" s="190"/>
      <c r="AH685" s="191"/>
      <c r="AI685" s="190"/>
      <c r="AJ685" s="190"/>
      <c r="AK685" s="66"/>
      <c r="AL685" s="66"/>
      <c r="AM685" s="66"/>
      <c r="AN685" s="66"/>
      <c r="AO685" s="66"/>
      <c r="AP685" s="66"/>
      <c r="AQ685" s="66"/>
      <c r="AR685" s="66"/>
      <c r="AS685" s="66"/>
      <c r="AT685" s="66"/>
    </row>
    <row r="686">
      <c r="A686" s="8"/>
      <c r="B686" s="66"/>
      <c r="C686" s="66"/>
      <c r="D686" s="66"/>
      <c r="E686" s="8"/>
      <c r="F686" s="66"/>
      <c r="G686" s="66"/>
      <c r="H686" s="66"/>
      <c r="I686" s="8"/>
      <c r="J686" s="66"/>
      <c r="K686" s="66"/>
      <c r="L686" s="66"/>
      <c r="M686" s="8"/>
      <c r="N686" s="66"/>
      <c r="O686" s="66"/>
      <c r="P686" s="66"/>
      <c r="Q686" s="8"/>
      <c r="R686" s="66"/>
      <c r="S686" s="66"/>
      <c r="T686" s="66"/>
      <c r="U686" s="8"/>
      <c r="V686" s="66"/>
      <c r="W686" s="66"/>
      <c r="X686" s="66"/>
      <c r="Y686" s="189"/>
      <c r="Z686" s="184"/>
      <c r="AA686" s="184"/>
      <c r="AB686" s="184"/>
      <c r="AC686" s="8"/>
      <c r="AD686" s="66"/>
      <c r="AE686" s="66"/>
      <c r="AF686" s="66"/>
      <c r="AG686" s="190"/>
      <c r="AH686" s="191"/>
      <c r="AI686" s="190"/>
      <c r="AJ686" s="190"/>
      <c r="AK686" s="66"/>
      <c r="AL686" s="66"/>
      <c r="AM686" s="66"/>
      <c r="AN686" s="66"/>
      <c r="AO686" s="66"/>
      <c r="AP686" s="66"/>
      <c r="AQ686" s="66"/>
      <c r="AR686" s="66"/>
      <c r="AS686" s="66"/>
      <c r="AT686" s="66"/>
    </row>
    <row r="687">
      <c r="A687" s="8"/>
      <c r="B687" s="66"/>
      <c r="C687" s="66"/>
      <c r="D687" s="66"/>
      <c r="E687" s="8"/>
      <c r="F687" s="66"/>
      <c r="G687" s="66"/>
      <c r="H687" s="66"/>
      <c r="I687" s="8"/>
      <c r="J687" s="66"/>
      <c r="K687" s="66"/>
      <c r="L687" s="66"/>
      <c r="M687" s="8"/>
      <c r="N687" s="66"/>
      <c r="O687" s="66"/>
      <c r="P687" s="66"/>
      <c r="Q687" s="8"/>
      <c r="R687" s="66"/>
      <c r="S687" s="66"/>
      <c r="T687" s="66"/>
      <c r="U687" s="8"/>
      <c r="V687" s="66"/>
      <c r="W687" s="66"/>
      <c r="X687" s="66"/>
      <c r="Y687" s="189"/>
      <c r="Z687" s="184"/>
      <c r="AA687" s="184"/>
      <c r="AB687" s="184"/>
      <c r="AC687" s="8"/>
      <c r="AD687" s="66"/>
      <c r="AE687" s="66"/>
      <c r="AF687" s="66"/>
      <c r="AG687" s="190"/>
      <c r="AH687" s="191"/>
      <c r="AI687" s="190"/>
      <c r="AJ687" s="190"/>
      <c r="AK687" s="66"/>
      <c r="AL687" s="66"/>
      <c r="AM687" s="66"/>
      <c r="AN687" s="66"/>
      <c r="AO687" s="66"/>
      <c r="AP687" s="66"/>
      <c r="AQ687" s="66"/>
      <c r="AR687" s="66"/>
      <c r="AS687" s="66"/>
      <c r="AT687" s="66"/>
    </row>
    <row r="688">
      <c r="A688" s="8"/>
      <c r="B688" s="66"/>
      <c r="C688" s="66"/>
      <c r="D688" s="66"/>
      <c r="E688" s="8"/>
      <c r="F688" s="66"/>
      <c r="G688" s="66"/>
      <c r="H688" s="66"/>
      <c r="I688" s="8"/>
      <c r="J688" s="66"/>
      <c r="K688" s="66"/>
      <c r="L688" s="66"/>
      <c r="M688" s="8"/>
      <c r="N688" s="66"/>
      <c r="O688" s="66"/>
      <c r="P688" s="66"/>
      <c r="Q688" s="8"/>
      <c r="R688" s="66"/>
      <c r="S688" s="66"/>
      <c r="T688" s="66"/>
      <c r="U688" s="8"/>
      <c r="V688" s="66"/>
      <c r="W688" s="66"/>
      <c r="X688" s="66"/>
      <c r="Y688" s="189"/>
      <c r="Z688" s="184"/>
      <c r="AA688" s="184"/>
      <c r="AB688" s="184"/>
      <c r="AC688" s="8"/>
      <c r="AD688" s="66"/>
      <c r="AE688" s="66"/>
      <c r="AF688" s="66"/>
      <c r="AG688" s="190"/>
      <c r="AH688" s="191"/>
      <c r="AI688" s="190"/>
      <c r="AJ688" s="190"/>
      <c r="AK688" s="66"/>
      <c r="AL688" s="66"/>
      <c r="AM688" s="66"/>
      <c r="AN688" s="66"/>
      <c r="AO688" s="66"/>
      <c r="AP688" s="66"/>
      <c r="AQ688" s="66"/>
      <c r="AR688" s="66"/>
      <c r="AS688" s="66"/>
      <c r="AT688" s="66"/>
    </row>
    <row r="689">
      <c r="A689" s="8"/>
      <c r="B689" s="66"/>
      <c r="C689" s="66"/>
      <c r="D689" s="66"/>
      <c r="E689" s="8"/>
      <c r="F689" s="66"/>
      <c r="G689" s="66"/>
      <c r="H689" s="66"/>
      <c r="I689" s="8"/>
      <c r="J689" s="66"/>
      <c r="K689" s="66"/>
      <c r="L689" s="66"/>
      <c r="M689" s="8"/>
      <c r="N689" s="66"/>
      <c r="O689" s="66"/>
      <c r="P689" s="66"/>
      <c r="Q689" s="8"/>
      <c r="R689" s="66"/>
      <c r="S689" s="66"/>
      <c r="T689" s="66"/>
      <c r="U689" s="8"/>
      <c r="V689" s="66"/>
      <c r="W689" s="66"/>
      <c r="X689" s="66"/>
      <c r="Y689" s="189"/>
      <c r="Z689" s="184"/>
      <c r="AA689" s="184"/>
      <c r="AB689" s="184"/>
      <c r="AC689" s="8"/>
      <c r="AD689" s="66"/>
      <c r="AE689" s="66"/>
      <c r="AF689" s="66"/>
      <c r="AG689" s="190"/>
      <c r="AH689" s="191"/>
      <c r="AI689" s="190"/>
      <c r="AJ689" s="190"/>
      <c r="AK689" s="66"/>
      <c r="AL689" s="66"/>
      <c r="AM689" s="66"/>
      <c r="AN689" s="66"/>
      <c r="AO689" s="66"/>
      <c r="AP689" s="66"/>
      <c r="AQ689" s="66"/>
      <c r="AR689" s="66"/>
      <c r="AS689" s="66"/>
      <c r="AT689" s="66"/>
    </row>
    <row r="690">
      <c r="A690" s="8"/>
      <c r="B690" s="66"/>
      <c r="C690" s="66"/>
      <c r="D690" s="66"/>
      <c r="E690" s="8"/>
      <c r="F690" s="66"/>
      <c r="G690" s="66"/>
      <c r="H690" s="66"/>
      <c r="I690" s="8"/>
      <c r="J690" s="66"/>
      <c r="K690" s="66"/>
      <c r="L690" s="66"/>
      <c r="M690" s="8"/>
      <c r="N690" s="66"/>
      <c r="O690" s="66"/>
      <c r="P690" s="66"/>
      <c r="Q690" s="8"/>
      <c r="R690" s="66"/>
      <c r="S690" s="66"/>
      <c r="T690" s="66"/>
      <c r="U690" s="8"/>
      <c r="V690" s="66"/>
      <c r="W690" s="66"/>
      <c r="X690" s="66"/>
      <c r="Y690" s="189"/>
      <c r="Z690" s="184"/>
      <c r="AA690" s="184"/>
      <c r="AB690" s="184"/>
      <c r="AC690" s="8"/>
      <c r="AD690" s="66"/>
      <c r="AE690" s="66"/>
      <c r="AF690" s="66"/>
      <c r="AG690" s="190"/>
      <c r="AH690" s="191"/>
      <c r="AI690" s="190"/>
      <c r="AJ690" s="190"/>
      <c r="AK690" s="66"/>
      <c r="AL690" s="66"/>
      <c r="AM690" s="66"/>
      <c r="AN690" s="66"/>
      <c r="AO690" s="66"/>
      <c r="AP690" s="66"/>
      <c r="AQ690" s="66"/>
      <c r="AR690" s="66"/>
      <c r="AS690" s="66"/>
      <c r="AT690" s="66"/>
    </row>
    <row r="691">
      <c r="A691" s="8"/>
      <c r="B691" s="66"/>
      <c r="C691" s="66"/>
      <c r="D691" s="66"/>
      <c r="E691" s="8"/>
      <c r="F691" s="66"/>
      <c r="G691" s="66"/>
      <c r="H691" s="66"/>
      <c r="I691" s="8"/>
      <c r="J691" s="66"/>
      <c r="K691" s="66"/>
      <c r="L691" s="66"/>
      <c r="M691" s="8"/>
      <c r="N691" s="66"/>
      <c r="O691" s="66"/>
      <c r="P691" s="66"/>
      <c r="Q691" s="8"/>
      <c r="R691" s="66"/>
      <c r="S691" s="66"/>
      <c r="T691" s="66"/>
      <c r="U691" s="8"/>
      <c r="V691" s="66"/>
      <c r="W691" s="66"/>
      <c r="X691" s="66"/>
      <c r="Y691" s="189"/>
      <c r="Z691" s="184"/>
      <c r="AA691" s="184"/>
      <c r="AB691" s="184"/>
      <c r="AC691" s="8"/>
      <c r="AD691" s="66"/>
      <c r="AE691" s="66"/>
      <c r="AF691" s="66"/>
      <c r="AG691" s="190"/>
      <c r="AH691" s="191"/>
      <c r="AI691" s="190"/>
      <c r="AJ691" s="190"/>
      <c r="AK691" s="66"/>
      <c r="AL691" s="66"/>
      <c r="AM691" s="66"/>
      <c r="AN691" s="66"/>
      <c r="AO691" s="66"/>
      <c r="AP691" s="66"/>
      <c r="AQ691" s="66"/>
      <c r="AR691" s="66"/>
      <c r="AS691" s="66"/>
      <c r="AT691" s="66"/>
    </row>
    <row r="692">
      <c r="A692" s="8"/>
      <c r="B692" s="66"/>
      <c r="C692" s="66"/>
      <c r="D692" s="66"/>
      <c r="E692" s="8"/>
      <c r="F692" s="66"/>
      <c r="G692" s="66"/>
      <c r="H692" s="66"/>
      <c r="I692" s="8"/>
      <c r="J692" s="66"/>
      <c r="K692" s="66"/>
      <c r="L692" s="66"/>
      <c r="M692" s="8"/>
      <c r="N692" s="66"/>
      <c r="O692" s="66"/>
      <c r="P692" s="66"/>
      <c r="Q692" s="8"/>
      <c r="R692" s="66"/>
      <c r="S692" s="66"/>
      <c r="T692" s="66"/>
      <c r="U692" s="8"/>
      <c r="V692" s="66"/>
      <c r="W692" s="66"/>
      <c r="X692" s="66"/>
      <c r="Y692" s="189"/>
      <c r="Z692" s="184"/>
      <c r="AA692" s="184"/>
      <c r="AB692" s="184"/>
      <c r="AC692" s="8"/>
      <c r="AD692" s="66"/>
      <c r="AE692" s="66"/>
      <c r="AF692" s="66"/>
      <c r="AG692" s="190"/>
      <c r="AH692" s="191"/>
      <c r="AI692" s="190"/>
      <c r="AJ692" s="190"/>
      <c r="AK692" s="66"/>
      <c r="AL692" s="66"/>
      <c r="AM692" s="66"/>
      <c r="AN692" s="66"/>
      <c r="AO692" s="66"/>
      <c r="AP692" s="66"/>
      <c r="AQ692" s="66"/>
      <c r="AR692" s="66"/>
      <c r="AS692" s="66"/>
      <c r="AT692" s="66"/>
    </row>
    <row r="693">
      <c r="A693" s="8"/>
      <c r="B693" s="66"/>
      <c r="C693" s="66"/>
      <c r="D693" s="66"/>
      <c r="E693" s="8"/>
      <c r="F693" s="66"/>
      <c r="G693" s="66"/>
      <c r="H693" s="66"/>
      <c r="I693" s="8"/>
      <c r="J693" s="66"/>
      <c r="K693" s="66"/>
      <c r="L693" s="66"/>
      <c r="M693" s="8"/>
      <c r="N693" s="66"/>
      <c r="O693" s="66"/>
      <c r="P693" s="66"/>
      <c r="Q693" s="8"/>
      <c r="R693" s="66"/>
      <c r="S693" s="66"/>
      <c r="T693" s="66"/>
      <c r="U693" s="8"/>
      <c r="V693" s="66"/>
      <c r="W693" s="66"/>
      <c r="X693" s="66"/>
      <c r="Y693" s="189"/>
      <c r="Z693" s="184"/>
      <c r="AA693" s="184"/>
      <c r="AB693" s="184"/>
      <c r="AC693" s="8"/>
      <c r="AD693" s="66"/>
      <c r="AE693" s="66"/>
      <c r="AF693" s="66"/>
      <c r="AG693" s="190"/>
      <c r="AH693" s="191"/>
      <c r="AI693" s="190"/>
      <c r="AJ693" s="190"/>
      <c r="AK693" s="66"/>
      <c r="AL693" s="66"/>
      <c r="AM693" s="66"/>
      <c r="AN693" s="66"/>
      <c r="AO693" s="66"/>
      <c r="AP693" s="66"/>
      <c r="AQ693" s="66"/>
      <c r="AR693" s="66"/>
      <c r="AS693" s="66"/>
      <c r="AT693" s="66"/>
    </row>
    <row r="694">
      <c r="A694" s="8"/>
      <c r="B694" s="66"/>
      <c r="C694" s="66"/>
      <c r="D694" s="66"/>
      <c r="E694" s="8"/>
      <c r="F694" s="66"/>
      <c r="G694" s="66"/>
      <c r="H694" s="66"/>
      <c r="I694" s="8"/>
      <c r="J694" s="66"/>
      <c r="K694" s="66"/>
      <c r="L694" s="66"/>
      <c r="M694" s="8"/>
      <c r="N694" s="66"/>
      <c r="O694" s="66"/>
      <c r="P694" s="66"/>
      <c r="Q694" s="8"/>
      <c r="R694" s="66"/>
      <c r="S694" s="66"/>
      <c r="T694" s="66"/>
      <c r="U694" s="8"/>
      <c r="V694" s="66"/>
      <c r="W694" s="66"/>
      <c r="X694" s="66"/>
      <c r="Y694" s="189"/>
      <c r="Z694" s="184"/>
      <c r="AA694" s="184"/>
      <c r="AB694" s="184"/>
      <c r="AC694" s="8"/>
      <c r="AD694" s="66"/>
      <c r="AE694" s="66"/>
      <c r="AF694" s="66"/>
      <c r="AG694" s="190"/>
      <c r="AH694" s="191"/>
      <c r="AI694" s="190"/>
      <c r="AJ694" s="190"/>
      <c r="AK694" s="66"/>
      <c r="AL694" s="66"/>
      <c r="AM694" s="66"/>
      <c r="AN694" s="66"/>
      <c r="AO694" s="66"/>
      <c r="AP694" s="66"/>
      <c r="AQ694" s="66"/>
      <c r="AR694" s="66"/>
      <c r="AS694" s="66"/>
      <c r="AT694" s="66"/>
    </row>
    <row r="695">
      <c r="A695" s="8"/>
      <c r="B695" s="66"/>
      <c r="C695" s="66"/>
      <c r="D695" s="66"/>
      <c r="E695" s="8"/>
      <c r="F695" s="66"/>
      <c r="G695" s="66"/>
      <c r="H695" s="66"/>
      <c r="I695" s="8"/>
      <c r="J695" s="66"/>
      <c r="K695" s="66"/>
      <c r="L695" s="66"/>
      <c r="M695" s="8"/>
      <c r="N695" s="66"/>
      <c r="O695" s="66"/>
      <c r="P695" s="66"/>
      <c r="Q695" s="8"/>
      <c r="R695" s="66"/>
      <c r="S695" s="66"/>
      <c r="T695" s="66"/>
      <c r="U695" s="8"/>
      <c r="V695" s="66"/>
      <c r="W695" s="66"/>
      <c r="X695" s="66"/>
      <c r="Y695" s="189"/>
      <c r="Z695" s="184"/>
      <c r="AA695" s="184"/>
      <c r="AB695" s="184"/>
      <c r="AC695" s="8"/>
      <c r="AD695" s="66"/>
      <c r="AE695" s="66"/>
      <c r="AF695" s="66"/>
      <c r="AG695" s="190"/>
      <c r="AH695" s="191"/>
      <c r="AI695" s="190"/>
      <c r="AJ695" s="190"/>
      <c r="AK695" s="66"/>
      <c r="AL695" s="66"/>
      <c r="AM695" s="66"/>
      <c r="AN695" s="66"/>
      <c r="AO695" s="66"/>
      <c r="AP695" s="66"/>
      <c r="AQ695" s="66"/>
      <c r="AR695" s="66"/>
      <c r="AS695" s="66"/>
      <c r="AT695" s="66"/>
    </row>
    <row r="696">
      <c r="A696" s="8"/>
      <c r="B696" s="66"/>
      <c r="C696" s="66"/>
      <c r="D696" s="66"/>
      <c r="E696" s="8"/>
      <c r="F696" s="66"/>
      <c r="G696" s="66"/>
      <c r="H696" s="66"/>
      <c r="I696" s="8"/>
      <c r="J696" s="66"/>
      <c r="K696" s="66"/>
      <c r="L696" s="66"/>
      <c r="M696" s="8"/>
      <c r="N696" s="66"/>
      <c r="O696" s="66"/>
      <c r="P696" s="66"/>
      <c r="Q696" s="8"/>
      <c r="R696" s="66"/>
      <c r="S696" s="66"/>
      <c r="T696" s="66"/>
      <c r="U696" s="8"/>
      <c r="V696" s="66"/>
      <c r="W696" s="66"/>
      <c r="X696" s="66"/>
      <c r="Y696" s="189"/>
      <c r="Z696" s="184"/>
      <c r="AA696" s="184"/>
      <c r="AB696" s="184"/>
      <c r="AC696" s="8"/>
      <c r="AD696" s="66"/>
      <c r="AE696" s="66"/>
      <c r="AF696" s="66"/>
      <c r="AG696" s="190"/>
      <c r="AH696" s="191"/>
      <c r="AI696" s="190"/>
      <c r="AJ696" s="190"/>
      <c r="AK696" s="66"/>
      <c r="AL696" s="66"/>
      <c r="AM696" s="66"/>
      <c r="AN696" s="66"/>
      <c r="AO696" s="66"/>
      <c r="AP696" s="66"/>
      <c r="AQ696" s="66"/>
      <c r="AR696" s="66"/>
      <c r="AS696" s="66"/>
      <c r="AT696" s="66"/>
    </row>
    <row r="697">
      <c r="A697" s="8"/>
      <c r="B697" s="66"/>
      <c r="C697" s="66"/>
      <c r="D697" s="66"/>
      <c r="E697" s="8"/>
      <c r="F697" s="66"/>
      <c r="G697" s="66"/>
      <c r="H697" s="66"/>
      <c r="I697" s="8"/>
      <c r="J697" s="66"/>
      <c r="K697" s="66"/>
      <c r="L697" s="66"/>
      <c r="M697" s="8"/>
      <c r="N697" s="66"/>
      <c r="O697" s="66"/>
      <c r="P697" s="66"/>
      <c r="Q697" s="8"/>
      <c r="R697" s="66"/>
      <c r="S697" s="66"/>
      <c r="T697" s="66"/>
      <c r="U697" s="8"/>
      <c r="V697" s="66"/>
      <c r="W697" s="66"/>
      <c r="X697" s="66"/>
      <c r="Y697" s="189"/>
      <c r="Z697" s="184"/>
      <c r="AA697" s="184"/>
      <c r="AB697" s="184"/>
      <c r="AC697" s="8"/>
      <c r="AD697" s="66"/>
      <c r="AE697" s="66"/>
      <c r="AF697" s="66"/>
      <c r="AG697" s="190"/>
      <c r="AH697" s="191"/>
      <c r="AI697" s="190"/>
      <c r="AJ697" s="190"/>
      <c r="AK697" s="66"/>
      <c r="AL697" s="66"/>
      <c r="AM697" s="66"/>
      <c r="AN697" s="66"/>
      <c r="AO697" s="66"/>
      <c r="AP697" s="66"/>
      <c r="AQ697" s="66"/>
      <c r="AR697" s="66"/>
      <c r="AS697" s="66"/>
      <c r="AT697" s="66"/>
    </row>
    <row r="698">
      <c r="A698" s="8"/>
      <c r="B698" s="66"/>
      <c r="C698" s="66"/>
      <c r="D698" s="66"/>
      <c r="E698" s="8"/>
      <c r="F698" s="66"/>
      <c r="G698" s="66"/>
      <c r="H698" s="66"/>
      <c r="I698" s="8"/>
      <c r="J698" s="66"/>
      <c r="K698" s="66"/>
      <c r="L698" s="66"/>
      <c r="M698" s="8"/>
      <c r="N698" s="66"/>
      <c r="O698" s="66"/>
      <c r="P698" s="66"/>
      <c r="Q698" s="8"/>
      <c r="R698" s="66"/>
      <c r="S698" s="66"/>
      <c r="T698" s="66"/>
      <c r="U698" s="8"/>
      <c r="V698" s="66"/>
      <c r="W698" s="66"/>
      <c r="X698" s="66"/>
      <c r="Y698" s="189"/>
      <c r="Z698" s="184"/>
      <c r="AA698" s="184"/>
      <c r="AB698" s="184"/>
      <c r="AC698" s="8"/>
      <c r="AD698" s="66"/>
      <c r="AE698" s="66"/>
      <c r="AF698" s="66"/>
      <c r="AG698" s="190"/>
      <c r="AH698" s="191"/>
      <c r="AI698" s="190"/>
      <c r="AJ698" s="190"/>
      <c r="AK698" s="66"/>
      <c r="AL698" s="66"/>
      <c r="AM698" s="66"/>
      <c r="AN698" s="66"/>
      <c r="AO698" s="66"/>
      <c r="AP698" s="66"/>
      <c r="AQ698" s="66"/>
      <c r="AR698" s="66"/>
      <c r="AS698" s="66"/>
      <c r="AT698" s="66"/>
    </row>
    <row r="699">
      <c r="A699" s="8"/>
      <c r="B699" s="66"/>
      <c r="C699" s="66"/>
      <c r="D699" s="66"/>
      <c r="E699" s="8"/>
      <c r="F699" s="66"/>
      <c r="G699" s="66"/>
      <c r="H699" s="66"/>
      <c r="I699" s="8"/>
      <c r="J699" s="66"/>
      <c r="K699" s="66"/>
      <c r="L699" s="66"/>
      <c r="M699" s="8"/>
      <c r="N699" s="66"/>
      <c r="O699" s="66"/>
      <c r="P699" s="66"/>
      <c r="Q699" s="8"/>
      <c r="R699" s="66"/>
      <c r="S699" s="66"/>
      <c r="T699" s="66"/>
      <c r="U699" s="8"/>
      <c r="V699" s="66"/>
      <c r="W699" s="66"/>
      <c r="X699" s="66"/>
      <c r="Y699" s="189"/>
      <c r="Z699" s="184"/>
      <c r="AA699" s="184"/>
      <c r="AB699" s="184"/>
      <c r="AC699" s="8"/>
      <c r="AD699" s="66"/>
      <c r="AE699" s="66"/>
      <c r="AF699" s="66"/>
      <c r="AG699" s="190"/>
      <c r="AH699" s="191"/>
      <c r="AI699" s="190"/>
      <c r="AJ699" s="190"/>
      <c r="AK699" s="66"/>
      <c r="AL699" s="66"/>
      <c r="AM699" s="66"/>
      <c r="AN699" s="66"/>
      <c r="AO699" s="66"/>
      <c r="AP699" s="66"/>
      <c r="AQ699" s="66"/>
      <c r="AR699" s="66"/>
      <c r="AS699" s="66"/>
      <c r="AT699" s="66"/>
    </row>
    <row r="700">
      <c r="A700" s="8"/>
      <c r="B700" s="66"/>
      <c r="C700" s="66"/>
      <c r="D700" s="66"/>
      <c r="E700" s="8"/>
      <c r="F700" s="66"/>
      <c r="G700" s="66"/>
      <c r="H700" s="66"/>
      <c r="I700" s="8"/>
      <c r="J700" s="66"/>
      <c r="K700" s="66"/>
      <c r="L700" s="66"/>
      <c r="M700" s="8"/>
      <c r="N700" s="66"/>
      <c r="O700" s="66"/>
      <c r="P700" s="66"/>
      <c r="Q700" s="8"/>
      <c r="R700" s="66"/>
      <c r="S700" s="66"/>
      <c r="T700" s="66"/>
      <c r="U700" s="8"/>
      <c r="V700" s="66"/>
      <c r="W700" s="66"/>
      <c r="X700" s="66"/>
      <c r="Y700" s="189"/>
      <c r="Z700" s="184"/>
      <c r="AA700" s="184"/>
      <c r="AB700" s="184"/>
      <c r="AC700" s="8"/>
      <c r="AD700" s="66"/>
      <c r="AE700" s="66"/>
      <c r="AF700" s="66"/>
      <c r="AG700" s="190"/>
      <c r="AH700" s="191"/>
      <c r="AI700" s="190"/>
      <c r="AJ700" s="190"/>
      <c r="AK700" s="66"/>
      <c r="AL700" s="66"/>
      <c r="AM700" s="66"/>
      <c r="AN700" s="66"/>
      <c r="AO700" s="66"/>
      <c r="AP700" s="66"/>
      <c r="AQ700" s="66"/>
      <c r="AR700" s="66"/>
      <c r="AS700" s="66"/>
      <c r="AT700" s="66"/>
    </row>
    <row r="701">
      <c r="A701" s="8"/>
      <c r="B701" s="66"/>
      <c r="C701" s="66"/>
      <c r="D701" s="66"/>
      <c r="E701" s="8"/>
      <c r="F701" s="66"/>
      <c r="G701" s="66"/>
      <c r="H701" s="66"/>
      <c r="I701" s="8"/>
      <c r="J701" s="66"/>
      <c r="K701" s="66"/>
      <c r="L701" s="66"/>
      <c r="M701" s="8"/>
      <c r="N701" s="66"/>
      <c r="O701" s="66"/>
      <c r="P701" s="66"/>
      <c r="Q701" s="8"/>
      <c r="R701" s="66"/>
      <c r="S701" s="66"/>
      <c r="T701" s="66"/>
      <c r="U701" s="8"/>
      <c r="V701" s="66"/>
      <c r="W701" s="66"/>
      <c r="X701" s="66"/>
      <c r="Y701" s="189"/>
      <c r="Z701" s="184"/>
      <c r="AA701" s="184"/>
      <c r="AB701" s="184"/>
      <c r="AC701" s="8"/>
      <c r="AD701" s="66"/>
      <c r="AE701" s="66"/>
      <c r="AF701" s="66"/>
      <c r="AG701" s="190"/>
      <c r="AH701" s="191"/>
      <c r="AI701" s="190"/>
      <c r="AJ701" s="190"/>
      <c r="AK701" s="66"/>
      <c r="AL701" s="66"/>
      <c r="AM701" s="66"/>
      <c r="AN701" s="66"/>
      <c r="AO701" s="66"/>
      <c r="AP701" s="66"/>
      <c r="AQ701" s="66"/>
      <c r="AR701" s="66"/>
      <c r="AS701" s="66"/>
      <c r="AT701" s="66"/>
    </row>
    <row r="702">
      <c r="A702" s="8"/>
      <c r="B702" s="66"/>
      <c r="C702" s="66"/>
      <c r="D702" s="66"/>
      <c r="E702" s="8"/>
      <c r="F702" s="66"/>
      <c r="G702" s="66"/>
      <c r="H702" s="66"/>
      <c r="I702" s="8"/>
      <c r="J702" s="66"/>
      <c r="K702" s="66"/>
      <c r="L702" s="66"/>
      <c r="M702" s="8"/>
      <c r="N702" s="66"/>
      <c r="O702" s="66"/>
      <c r="P702" s="66"/>
      <c r="Q702" s="8"/>
      <c r="R702" s="66"/>
      <c r="S702" s="66"/>
      <c r="T702" s="66"/>
      <c r="U702" s="8"/>
      <c r="V702" s="66"/>
      <c r="W702" s="66"/>
      <c r="X702" s="66"/>
      <c r="Y702" s="189"/>
      <c r="Z702" s="184"/>
      <c r="AA702" s="184"/>
      <c r="AB702" s="184"/>
      <c r="AC702" s="8"/>
      <c r="AD702" s="66"/>
      <c r="AE702" s="66"/>
      <c r="AF702" s="66"/>
      <c r="AG702" s="190"/>
      <c r="AH702" s="191"/>
      <c r="AI702" s="190"/>
      <c r="AJ702" s="190"/>
      <c r="AK702" s="66"/>
      <c r="AL702" s="66"/>
      <c r="AM702" s="66"/>
      <c r="AN702" s="66"/>
      <c r="AO702" s="66"/>
      <c r="AP702" s="66"/>
      <c r="AQ702" s="66"/>
      <c r="AR702" s="66"/>
      <c r="AS702" s="66"/>
      <c r="AT702" s="66"/>
    </row>
    <row r="703">
      <c r="A703" s="8"/>
      <c r="B703" s="66"/>
      <c r="C703" s="66"/>
      <c r="D703" s="66"/>
      <c r="E703" s="8"/>
      <c r="F703" s="66"/>
      <c r="G703" s="66"/>
      <c r="H703" s="66"/>
      <c r="I703" s="8"/>
      <c r="J703" s="66"/>
      <c r="K703" s="66"/>
      <c r="L703" s="66"/>
      <c r="M703" s="8"/>
      <c r="N703" s="66"/>
      <c r="O703" s="66"/>
      <c r="P703" s="66"/>
      <c r="Q703" s="8"/>
      <c r="R703" s="66"/>
      <c r="S703" s="66"/>
      <c r="T703" s="66"/>
      <c r="U703" s="8"/>
      <c r="V703" s="66"/>
      <c r="W703" s="66"/>
      <c r="X703" s="66"/>
      <c r="Y703" s="189"/>
      <c r="Z703" s="184"/>
      <c r="AA703" s="184"/>
      <c r="AB703" s="184"/>
      <c r="AC703" s="8"/>
      <c r="AD703" s="66"/>
      <c r="AE703" s="66"/>
      <c r="AF703" s="66"/>
      <c r="AG703" s="190"/>
      <c r="AH703" s="191"/>
      <c r="AI703" s="190"/>
      <c r="AJ703" s="190"/>
      <c r="AK703" s="66"/>
      <c r="AL703" s="66"/>
      <c r="AM703" s="66"/>
      <c r="AN703" s="66"/>
      <c r="AO703" s="66"/>
      <c r="AP703" s="66"/>
      <c r="AQ703" s="66"/>
      <c r="AR703" s="66"/>
      <c r="AS703" s="66"/>
      <c r="AT703" s="66"/>
    </row>
    <row r="704">
      <c r="A704" s="8"/>
      <c r="B704" s="66"/>
      <c r="C704" s="66"/>
      <c r="D704" s="66"/>
      <c r="E704" s="8"/>
      <c r="F704" s="66"/>
      <c r="G704" s="66"/>
      <c r="H704" s="66"/>
      <c r="I704" s="8"/>
      <c r="J704" s="66"/>
      <c r="K704" s="66"/>
      <c r="L704" s="66"/>
      <c r="M704" s="8"/>
      <c r="N704" s="66"/>
      <c r="O704" s="66"/>
      <c r="P704" s="66"/>
      <c r="Q704" s="8"/>
      <c r="R704" s="66"/>
      <c r="S704" s="66"/>
      <c r="T704" s="66"/>
      <c r="U704" s="8"/>
      <c r="V704" s="66"/>
      <c r="W704" s="66"/>
      <c r="X704" s="66"/>
      <c r="Y704" s="189"/>
      <c r="Z704" s="184"/>
      <c r="AA704" s="184"/>
      <c r="AB704" s="184"/>
      <c r="AC704" s="8"/>
      <c r="AD704" s="66"/>
      <c r="AE704" s="66"/>
      <c r="AF704" s="66"/>
      <c r="AG704" s="190"/>
      <c r="AH704" s="191"/>
      <c r="AI704" s="190"/>
      <c r="AJ704" s="190"/>
      <c r="AK704" s="66"/>
      <c r="AL704" s="66"/>
      <c r="AM704" s="66"/>
      <c r="AN704" s="66"/>
      <c r="AO704" s="66"/>
      <c r="AP704" s="66"/>
      <c r="AQ704" s="66"/>
      <c r="AR704" s="66"/>
      <c r="AS704" s="66"/>
      <c r="AT704" s="66"/>
    </row>
    <row r="705">
      <c r="A705" s="8"/>
      <c r="B705" s="66"/>
      <c r="C705" s="66"/>
      <c r="D705" s="66"/>
      <c r="E705" s="8"/>
      <c r="F705" s="66"/>
      <c r="G705" s="66"/>
      <c r="H705" s="66"/>
      <c r="I705" s="8"/>
      <c r="J705" s="66"/>
      <c r="K705" s="66"/>
      <c r="L705" s="66"/>
      <c r="M705" s="8"/>
      <c r="N705" s="66"/>
      <c r="O705" s="66"/>
      <c r="P705" s="66"/>
      <c r="Q705" s="8"/>
      <c r="R705" s="66"/>
      <c r="S705" s="66"/>
      <c r="T705" s="66"/>
      <c r="U705" s="8"/>
      <c r="V705" s="66"/>
      <c r="W705" s="66"/>
      <c r="X705" s="66"/>
      <c r="Y705" s="189"/>
      <c r="Z705" s="184"/>
      <c r="AA705" s="184"/>
      <c r="AB705" s="184"/>
      <c r="AC705" s="8"/>
      <c r="AD705" s="66"/>
      <c r="AE705" s="66"/>
      <c r="AF705" s="66"/>
      <c r="AG705" s="190"/>
      <c r="AH705" s="191"/>
      <c r="AI705" s="190"/>
      <c r="AJ705" s="190"/>
      <c r="AK705" s="66"/>
      <c r="AL705" s="66"/>
      <c r="AM705" s="66"/>
      <c r="AN705" s="66"/>
      <c r="AO705" s="66"/>
      <c r="AP705" s="66"/>
      <c r="AQ705" s="66"/>
      <c r="AR705" s="66"/>
      <c r="AS705" s="66"/>
      <c r="AT705" s="66"/>
    </row>
    <row r="706">
      <c r="A706" s="8"/>
      <c r="B706" s="66"/>
      <c r="C706" s="66"/>
      <c r="D706" s="66"/>
      <c r="E706" s="8"/>
      <c r="F706" s="66"/>
      <c r="G706" s="66"/>
      <c r="H706" s="66"/>
      <c r="I706" s="8"/>
      <c r="J706" s="66"/>
      <c r="K706" s="66"/>
      <c r="L706" s="66"/>
      <c r="M706" s="8"/>
      <c r="N706" s="66"/>
      <c r="O706" s="66"/>
      <c r="P706" s="66"/>
      <c r="Q706" s="8"/>
      <c r="R706" s="66"/>
      <c r="S706" s="66"/>
      <c r="T706" s="66"/>
      <c r="U706" s="8"/>
      <c r="V706" s="66"/>
      <c r="W706" s="66"/>
      <c r="X706" s="66"/>
      <c r="Y706" s="189"/>
      <c r="Z706" s="184"/>
      <c r="AA706" s="184"/>
      <c r="AB706" s="184"/>
      <c r="AC706" s="8"/>
      <c r="AD706" s="66"/>
      <c r="AE706" s="66"/>
      <c r="AF706" s="66"/>
      <c r="AG706" s="190"/>
      <c r="AH706" s="191"/>
      <c r="AI706" s="190"/>
      <c r="AJ706" s="190"/>
      <c r="AK706" s="66"/>
      <c r="AL706" s="66"/>
      <c r="AM706" s="66"/>
      <c r="AN706" s="66"/>
      <c r="AO706" s="66"/>
      <c r="AP706" s="66"/>
      <c r="AQ706" s="66"/>
      <c r="AR706" s="66"/>
      <c r="AS706" s="66"/>
      <c r="AT706" s="66"/>
    </row>
    <row r="707">
      <c r="A707" s="8"/>
      <c r="B707" s="66"/>
      <c r="C707" s="66"/>
      <c r="D707" s="66"/>
      <c r="E707" s="8"/>
      <c r="F707" s="66"/>
      <c r="G707" s="66"/>
      <c r="H707" s="66"/>
      <c r="I707" s="8"/>
      <c r="J707" s="66"/>
      <c r="K707" s="66"/>
      <c r="L707" s="66"/>
      <c r="M707" s="8"/>
      <c r="N707" s="66"/>
      <c r="O707" s="66"/>
      <c r="P707" s="66"/>
      <c r="Q707" s="8"/>
      <c r="R707" s="66"/>
      <c r="S707" s="66"/>
      <c r="T707" s="66"/>
      <c r="U707" s="8"/>
      <c r="V707" s="66"/>
      <c r="W707" s="66"/>
      <c r="X707" s="66"/>
      <c r="Y707" s="189"/>
      <c r="Z707" s="184"/>
      <c r="AA707" s="184"/>
      <c r="AB707" s="184"/>
      <c r="AC707" s="8"/>
      <c r="AD707" s="66"/>
      <c r="AE707" s="66"/>
      <c r="AF707" s="66"/>
      <c r="AG707" s="190"/>
      <c r="AH707" s="191"/>
      <c r="AI707" s="190"/>
      <c r="AJ707" s="190"/>
      <c r="AK707" s="66"/>
      <c r="AL707" s="66"/>
      <c r="AM707" s="66"/>
      <c r="AN707" s="66"/>
      <c r="AO707" s="66"/>
      <c r="AP707" s="66"/>
      <c r="AQ707" s="66"/>
      <c r="AR707" s="66"/>
      <c r="AS707" s="66"/>
      <c r="AT707" s="66"/>
    </row>
    <row r="708">
      <c r="A708" s="8"/>
      <c r="B708" s="66"/>
      <c r="C708" s="66"/>
      <c r="D708" s="66"/>
      <c r="E708" s="8"/>
      <c r="F708" s="66"/>
      <c r="G708" s="66"/>
      <c r="H708" s="66"/>
      <c r="I708" s="8"/>
      <c r="J708" s="66"/>
      <c r="K708" s="66"/>
      <c r="L708" s="66"/>
      <c r="M708" s="8"/>
      <c r="N708" s="66"/>
      <c r="O708" s="66"/>
      <c r="P708" s="66"/>
      <c r="Q708" s="8"/>
      <c r="R708" s="66"/>
      <c r="S708" s="66"/>
      <c r="T708" s="66"/>
      <c r="U708" s="8"/>
      <c r="V708" s="66"/>
      <c r="W708" s="66"/>
      <c r="X708" s="66"/>
      <c r="Y708" s="189"/>
      <c r="Z708" s="184"/>
      <c r="AA708" s="184"/>
      <c r="AB708" s="184"/>
      <c r="AC708" s="8"/>
      <c r="AD708" s="66"/>
      <c r="AE708" s="66"/>
      <c r="AF708" s="66"/>
      <c r="AG708" s="190"/>
      <c r="AH708" s="191"/>
      <c r="AI708" s="190"/>
      <c r="AJ708" s="190"/>
      <c r="AK708" s="66"/>
      <c r="AL708" s="66"/>
      <c r="AM708" s="66"/>
      <c r="AN708" s="66"/>
      <c r="AO708" s="66"/>
      <c r="AP708" s="66"/>
      <c r="AQ708" s="66"/>
      <c r="AR708" s="66"/>
      <c r="AS708" s="66"/>
      <c r="AT708" s="66"/>
    </row>
    <row r="709">
      <c r="A709" s="8"/>
      <c r="B709" s="66"/>
      <c r="C709" s="66"/>
      <c r="D709" s="66"/>
      <c r="E709" s="8"/>
      <c r="F709" s="66"/>
      <c r="G709" s="66"/>
      <c r="H709" s="66"/>
      <c r="I709" s="8"/>
      <c r="J709" s="66"/>
      <c r="K709" s="66"/>
      <c r="L709" s="66"/>
      <c r="M709" s="8"/>
      <c r="N709" s="66"/>
      <c r="O709" s="66"/>
      <c r="P709" s="66"/>
      <c r="Q709" s="8"/>
      <c r="R709" s="66"/>
      <c r="S709" s="66"/>
      <c r="T709" s="66"/>
      <c r="U709" s="8"/>
      <c r="V709" s="66"/>
      <c r="W709" s="66"/>
      <c r="X709" s="66"/>
      <c r="Y709" s="189"/>
      <c r="Z709" s="184"/>
      <c r="AA709" s="184"/>
      <c r="AB709" s="184"/>
      <c r="AC709" s="8"/>
      <c r="AD709" s="66"/>
      <c r="AE709" s="66"/>
      <c r="AF709" s="66"/>
      <c r="AG709" s="190"/>
      <c r="AH709" s="191"/>
      <c r="AI709" s="190"/>
      <c r="AJ709" s="190"/>
      <c r="AK709" s="66"/>
      <c r="AL709" s="66"/>
      <c r="AM709" s="66"/>
      <c r="AN709" s="66"/>
      <c r="AO709" s="66"/>
      <c r="AP709" s="66"/>
      <c r="AQ709" s="66"/>
      <c r="AR709" s="66"/>
      <c r="AS709" s="66"/>
      <c r="AT709" s="66"/>
    </row>
    <row r="710">
      <c r="A710" s="8"/>
      <c r="B710" s="66"/>
      <c r="C710" s="66"/>
      <c r="D710" s="66"/>
      <c r="E710" s="8"/>
      <c r="F710" s="66"/>
      <c r="G710" s="66"/>
      <c r="H710" s="66"/>
      <c r="I710" s="8"/>
      <c r="J710" s="66"/>
      <c r="K710" s="66"/>
      <c r="L710" s="66"/>
      <c r="M710" s="8"/>
      <c r="N710" s="66"/>
      <c r="O710" s="66"/>
      <c r="P710" s="66"/>
      <c r="Q710" s="8"/>
      <c r="R710" s="66"/>
      <c r="S710" s="66"/>
      <c r="T710" s="66"/>
      <c r="U710" s="8"/>
      <c r="V710" s="66"/>
      <c r="W710" s="66"/>
      <c r="X710" s="66"/>
      <c r="Y710" s="189"/>
      <c r="Z710" s="184"/>
      <c r="AA710" s="184"/>
      <c r="AB710" s="184"/>
      <c r="AC710" s="8"/>
      <c r="AD710" s="66"/>
      <c r="AE710" s="66"/>
      <c r="AF710" s="66"/>
      <c r="AG710" s="190"/>
      <c r="AH710" s="191"/>
      <c r="AI710" s="190"/>
      <c r="AJ710" s="190"/>
      <c r="AK710" s="66"/>
      <c r="AL710" s="66"/>
      <c r="AM710" s="66"/>
      <c r="AN710" s="66"/>
      <c r="AO710" s="66"/>
      <c r="AP710" s="66"/>
      <c r="AQ710" s="66"/>
      <c r="AR710" s="66"/>
      <c r="AS710" s="66"/>
      <c r="AT710" s="66"/>
    </row>
    <row r="711">
      <c r="A711" s="8"/>
      <c r="B711" s="66"/>
      <c r="C711" s="66"/>
      <c r="D711" s="66"/>
      <c r="E711" s="8"/>
      <c r="F711" s="66"/>
      <c r="G711" s="66"/>
      <c r="H711" s="66"/>
      <c r="I711" s="8"/>
      <c r="J711" s="66"/>
      <c r="K711" s="66"/>
      <c r="L711" s="66"/>
      <c r="M711" s="8"/>
      <c r="N711" s="66"/>
      <c r="O711" s="66"/>
      <c r="P711" s="66"/>
      <c r="Q711" s="8"/>
      <c r="R711" s="66"/>
      <c r="S711" s="66"/>
      <c r="T711" s="66"/>
      <c r="U711" s="8"/>
      <c r="V711" s="66"/>
      <c r="W711" s="66"/>
      <c r="X711" s="66"/>
      <c r="Y711" s="189"/>
      <c r="Z711" s="184"/>
      <c r="AA711" s="184"/>
      <c r="AB711" s="184"/>
      <c r="AC711" s="8"/>
      <c r="AD711" s="66"/>
      <c r="AE711" s="66"/>
      <c r="AF711" s="66"/>
      <c r="AG711" s="190"/>
      <c r="AH711" s="191"/>
      <c r="AI711" s="190"/>
      <c r="AJ711" s="190"/>
      <c r="AK711" s="66"/>
      <c r="AL711" s="66"/>
      <c r="AM711" s="66"/>
      <c r="AN711" s="66"/>
      <c r="AO711" s="66"/>
      <c r="AP711" s="66"/>
      <c r="AQ711" s="66"/>
      <c r="AR711" s="66"/>
      <c r="AS711" s="66"/>
      <c r="AT711" s="66"/>
    </row>
    <row r="712">
      <c r="A712" s="8"/>
      <c r="B712" s="66"/>
      <c r="C712" s="66"/>
      <c r="D712" s="66"/>
      <c r="E712" s="8"/>
      <c r="F712" s="66"/>
      <c r="G712" s="66"/>
      <c r="H712" s="66"/>
      <c r="I712" s="8"/>
      <c r="J712" s="66"/>
      <c r="K712" s="66"/>
      <c r="L712" s="66"/>
      <c r="M712" s="8"/>
      <c r="N712" s="66"/>
      <c r="O712" s="66"/>
      <c r="P712" s="66"/>
      <c r="Q712" s="8"/>
      <c r="R712" s="66"/>
      <c r="S712" s="66"/>
      <c r="T712" s="66"/>
      <c r="U712" s="8"/>
      <c r="V712" s="66"/>
      <c r="W712" s="66"/>
      <c r="X712" s="66"/>
      <c r="Y712" s="189"/>
      <c r="Z712" s="184"/>
      <c r="AA712" s="184"/>
      <c r="AB712" s="184"/>
      <c r="AC712" s="8"/>
      <c r="AD712" s="66"/>
      <c r="AE712" s="66"/>
      <c r="AF712" s="66"/>
      <c r="AG712" s="190"/>
      <c r="AH712" s="191"/>
      <c r="AI712" s="190"/>
      <c r="AJ712" s="190"/>
      <c r="AK712" s="66"/>
      <c r="AL712" s="66"/>
      <c r="AM712" s="66"/>
      <c r="AN712" s="66"/>
      <c r="AO712" s="66"/>
      <c r="AP712" s="66"/>
      <c r="AQ712" s="66"/>
      <c r="AR712" s="66"/>
      <c r="AS712" s="66"/>
      <c r="AT712" s="66"/>
    </row>
    <row r="713">
      <c r="A713" s="8"/>
      <c r="B713" s="66"/>
      <c r="C713" s="66"/>
      <c r="D713" s="66"/>
      <c r="E713" s="8"/>
      <c r="F713" s="66"/>
      <c r="G713" s="66"/>
      <c r="H713" s="66"/>
      <c r="I713" s="8"/>
      <c r="J713" s="66"/>
      <c r="K713" s="66"/>
      <c r="L713" s="66"/>
      <c r="M713" s="8"/>
      <c r="N713" s="66"/>
      <c r="O713" s="66"/>
      <c r="P713" s="66"/>
      <c r="Q713" s="8"/>
      <c r="R713" s="66"/>
      <c r="S713" s="66"/>
      <c r="T713" s="66"/>
      <c r="U713" s="8"/>
      <c r="V713" s="66"/>
      <c r="W713" s="66"/>
      <c r="X713" s="66"/>
      <c r="Y713" s="189"/>
      <c r="Z713" s="184"/>
      <c r="AA713" s="184"/>
      <c r="AB713" s="184"/>
      <c r="AC713" s="8"/>
      <c r="AD713" s="66"/>
      <c r="AE713" s="66"/>
      <c r="AF713" s="66"/>
      <c r="AG713" s="190"/>
      <c r="AH713" s="191"/>
      <c r="AI713" s="190"/>
      <c r="AJ713" s="190"/>
      <c r="AK713" s="66"/>
      <c r="AL713" s="66"/>
      <c r="AM713" s="66"/>
      <c r="AN713" s="66"/>
      <c r="AO713" s="66"/>
      <c r="AP713" s="66"/>
      <c r="AQ713" s="66"/>
      <c r="AR713" s="66"/>
      <c r="AS713" s="66"/>
      <c r="AT713" s="66"/>
    </row>
    <row r="714">
      <c r="A714" s="8"/>
      <c r="B714" s="66"/>
      <c r="C714" s="66"/>
      <c r="D714" s="66"/>
      <c r="E714" s="8"/>
      <c r="F714" s="66"/>
      <c r="G714" s="66"/>
      <c r="H714" s="66"/>
      <c r="I714" s="8"/>
      <c r="J714" s="66"/>
      <c r="K714" s="66"/>
      <c r="L714" s="66"/>
      <c r="M714" s="8"/>
      <c r="N714" s="66"/>
      <c r="O714" s="66"/>
      <c r="P714" s="66"/>
      <c r="Q714" s="8"/>
      <c r="R714" s="66"/>
      <c r="S714" s="66"/>
      <c r="T714" s="66"/>
      <c r="U714" s="8"/>
      <c r="V714" s="66"/>
      <c r="W714" s="66"/>
      <c r="X714" s="66"/>
      <c r="Y714" s="189"/>
      <c r="Z714" s="184"/>
      <c r="AA714" s="184"/>
      <c r="AB714" s="184"/>
      <c r="AC714" s="8"/>
      <c r="AD714" s="66"/>
      <c r="AE714" s="66"/>
      <c r="AF714" s="66"/>
      <c r="AG714" s="190"/>
      <c r="AH714" s="191"/>
      <c r="AI714" s="190"/>
      <c r="AJ714" s="190"/>
      <c r="AK714" s="66"/>
      <c r="AL714" s="66"/>
      <c r="AM714" s="66"/>
      <c r="AN714" s="66"/>
      <c r="AO714" s="66"/>
      <c r="AP714" s="66"/>
      <c r="AQ714" s="66"/>
      <c r="AR714" s="66"/>
      <c r="AS714" s="66"/>
      <c r="AT714" s="66"/>
    </row>
    <row r="715">
      <c r="A715" s="8"/>
      <c r="B715" s="66"/>
      <c r="C715" s="66"/>
      <c r="D715" s="66"/>
      <c r="E715" s="8"/>
      <c r="F715" s="66"/>
      <c r="G715" s="66"/>
      <c r="H715" s="66"/>
      <c r="I715" s="8"/>
      <c r="J715" s="66"/>
      <c r="K715" s="66"/>
      <c r="L715" s="66"/>
      <c r="M715" s="8"/>
      <c r="N715" s="66"/>
      <c r="O715" s="66"/>
      <c r="P715" s="66"/>
      <c r="Q715" s="8"/>
      <c r="R715" s="66"/>
      <c r="S715" s="66"/>
      <c r="T715" s="66"/>
      <c r="U715" s="8"/>
      <c r="V715" s="66"/>
      <c r="W715" s="66"/>
      <c r="X715" s="66"/>
      <c r="Y715" s="189"/>
      <c r="Z715" s="184"/>
      <c r="AA715" s="184"/>
      <c r="AB715" s="184"/>
      <c r="AC715" s="8"/>
      <c r="AD715" s="66"/>
      <c r="AE715" s="66"/>
      <c r="AF715" s="66"/>
      <c r="AG715" s="190"/>
      <c r="AH715" s="191"/>
      <c r="AI715" s="190"/>
      <c r="AJ715" s="190"/>
      <c r="AK715" s="66"/>
      <c r="AL715" s="66"/>
      <c r="AM715" s="66"/>
      <c r="AN715" s="66"/>
      <c r="AO715" s="66"/>
      <c r="AP715" s="66"/>
      <c r="AQ715" s="66"/>
      <c r="AR715" s="66"/>
      <c r="AS715" s="66"/>
      <c r="AT715" s="66"/>
    </row>
    <row r="716">
      <c r="A716" s="8"/>
      <c r="B716" s="66"/>
      <c r="C716" s="66"/>
      <c r="D716" s="66"/>
      <c r="E716" s="8"/>
      <c r="F716" s="66"/>
      <c r="G716" s="66"/>
      <c r="H716" s="66"/>
      <c r="I716" s="8"/>
      <c r="J716" s="66"/>
      <c r="K716" s="66"/>
      <c r="L716" s="66"/>
      <c r="M716" s="8"/>
      <c r="N716" s="66"/>
      <c r="O716" s="66"/>
      <c r="P716" s="66"/>
      <c r="Q716" s="8"/>
      <c r="R716" s="66"/>
      <c r="S716" s="66"/>
      <c r="T716" s="66"/>
      <c r="U716" s="8"/>
      <c r="V716" s="66"/>
      <c r="W716" s="66"/>
      <c r="X716" s="66"/>
      <c r="Y716" s="189"/>
      <c r="Z716" s="184"/>
      <c r="AA716" s="184"/>
      <c r="AB716" s="184"/>
      <c r="AC716" s="8"/>
      <c r="AD716" s="66"/>
      <c r="AE716" s="66"/>
      <c r="AF716" s="66"/>
      <c r="AG716" s="190"/>
      <c r="AH716" s="191"/>
      <c r="AI716" s="190"/>
      <c r="AJ716" s="190"/>
      <c r="AK716" s="66"/>
      <c r="AL716" s="66"/>
      <c r="AM716" s="66"/>
      <c r="AN716" s="66"/>
      <c r="AO716" s="66"/>
      <c r="AP716" s="66"/>
      <c r="AQ716" s="66"/>
      <c r="AR716" s="66"/>
      <c r="AS716" s="66"/>
      <c r="AT716" s="66"/>
    </row>
    <row r="717">
      <c r="A717" s="8"/>
      <c r="B717" s="66"/>
      <c r="C717" s="66"/>
      <c r="D717" s="66"/>
      <c r="E717" s="8"/>
      <c r="F717" s="66"/>
      <c r="G717" s="66"/>
      <c r="H717" s="66"/>
      <c r="I717" s="8"/>
      <c r="J717" s="66"/>
      <c r="K717" s="66"/>
      <c r="L717" s="66"/>
      <c r="M717" s="8"/>
      <c r="N717" s="66"/>
      <c r="O717" s="66"/>
      <c r="P717" s="66"/>
      <c r="Q717" s="8"/>
      <c r="R717" s="66"/>
      <c r="S717" s="66"/>
      <c r="T717" s="66"/>
      <c r="U717" s="8"/>
      <c r="V717" s="66"/>
      <c r="W717" s="66"/>
      <c r="X717" s="66"/>
      <c r="Y717" s="189"/>
      <c r="Z717" s="184"/>
      <c r="AA717" s="184"/>
      <c r="AB717" s="184"/>
      <c r="AC717" s="8"/>
      <c r="AD717" s="66"/>
      <c r="AE717" s="66"/>
      <c r="AF717" s="66"/>
      <c r="AG717" s="190"/>
      <c r="AH717" s="191"/>
      <c r="AI717" s="190"/>
      <c r="AJ717" s="190"/>
      <c r="AK717" s="66"/>
      <c r="AL717" s="66"/>
      <c r="AM717" s="66"/>
      <c r="AN717" s="66"/>
      <c r="AO717" s="66"/>
      <c r="AP717" s="66"/>
      <c r="AQ717" s="66"/>
      <c r="AR717" s="66"/>
      <c r="AS717" s="66"/>
      <c r="AT717" s="66"/>
    </row>
    <row r="718">
      <c r="A718" s="8"/>
      <c r="B718" s="66"/>
      <c r="C718" s="66"/>
      <c r="D718" s="66"/>
      <c r="E718" s="8"/>
      <c r="F718" s="66"/>
      <c r="G718" s="66"/>
      <c r="H718" s="66"/>
      <c r="I718" s="8"/>
      <c r="J718" s="66"/>
      <c r="K718" s="66"/>
      <c r="L718" s="66"/>
      <c r="M718" s="8"/>
      <c r="N718" s="66"/>
      <c r="O718" s="66"/>
      <c r="P718" s="66"/>
      <c r="Q718" s="8"/>
      <c r="R718" s="66"/>
      <c r="S718" s="66"/>
      <c r="T718" s="66"/>
      <c r="U718" s="8"/>
      <c r="V718" s="66"/>
      <c r="W718" s="66"/>
      <c r="X718" s="66"/>
      <c r="Y718" s="189"/>
      <c r="Z718" s="184"/>
      <c r="AA718" s="184"/>
      <c r="AB718" s="184"/>
      <c r="AC718" s="8"/>
      <c r="AD718" s="66"/>
      <c r="AE718" s="66"/>
      <c r="AF718" s="66"/>
      <c r="AG718" s="190"/>
      <c r="AH718" s="191"/>
      <c r="AI718" s="190"/>
      <c r="AJ718" s="190"/>
      <c r="AK718" s="66"/>
      <c r="AL718" s="66"/>
      <c r="AM718" s="66"/>
      <c r="AN718" s="66"/>
      <c r="AO718" s="66"/>
      <c r="AP718" s="66"/>
      <c r="AQ718" s="66"/>
      <c r="AR718" s="66"/>
      <c r="AS718" s="66"/>
      <c r="AT718" s="66"/>
    </row>
    <row r="719">
      <c r="A719" s="8"/>
      <c r="B719" s="66"/>
      <c r="C719" s="66"/>
      <c r="D719" s="66"/>
      <c r="E719" s="8"/>
      <c r="F719" s="66"/>
      <c r="G719" s="66"/>
      <c r="H719" s="66"/>
      <c r="I719" s="8"/>
      <c r="J719" s="66"/>
      <c r="K719" s="66"/>
      <c r="L719" s="66"/>
      <c r="M719" s="8"/>
      <c r="N719" s="66"/>
      <c r="O719" s="66"/>
      <c r="P719" s="66"/>
      <c r="Q719" s="8"/>
      <c r="R719" s="66"/>
      <c r="S719" s="66"/>
      <c r="T719" s="66"/>
      <c r="U719" s="8"/>
      <c r="V719" s="66"/>
      <c r="W719" s="66"/>
      <c r="X719" s="66"/>
      <c r="Y719" s="189"/>
      <c r="Z719" s="184"/>
      <c r="AA719" s="184"/>
      <c r="AB719" s="184"/>
      <c r="AC719" s="8"/>
      <c r="AD719" s="66"/>
      <c r="AE719" s="66"/>
      <c r="AF719" s="66"/>
      <c r="AG719" s="190"/>
      <c r="AH719" s="191"/>
      <c r="AI719" s="190"/>
      <c r="AJ719" s="190"/>
      <c r="AK719" s="66"/>
      <c r="AL719" s="66"/>
      <c r="AM719" s="66"/>
      <c r="AN719" s="66"/>
      <c r="AO719" s="66"/>
      <c r="AP719" s="66"/>
      <c r="AQ719" s="66"/>
      <c r="AR719" s="66"/>
      <c r="AS719" s="66"/>
      <c r="AT719" s="66"/>
    </row>
    <row r="720">
      <c r="A720" s="8"/>
      <c r="B720" s="66"/>
      <c r="C720" s="66"/>
      <c r="D720" s="66"/>
      <c r="E720" s="8"/>
      <c r="F720" s="66"/>
      <c r="G720" s="66"/>
      <c r="H720" s="66"/>
      <c r="I720" s="8"/>
      <c r="J720" s="66"/>
      <c r="K720" s="66"/>
      <c r="L720" s="66"/>
      <c r="M720" s="8"/>
      <c r="N720" s="66"/>
      <c r="O720" s="66"/>
      <c r="P720" s="66"/>
      <c r="Q720" s="8"/>
      <c r="R720" s="66"/>
      <c r="S720" s="66"/>
      <c r="T720" s="66"/>
      <c r="U720" s="8"/>
      <c r="V720" s="66"/>
      <c r="W720" s="66"/>
      <c r="X720" s="66"/>
      <c r="Y720" s="189"/>
      <c r="Z720" s="184"/>
      <c r="AA720" s="184"/>
      <c r="AB720" s="184"/>
      <c r="AC720" s="8"/>
      <c r="AD720" s="66"/>
      <c r="AE720" s="66"/>
      <c r="AF720" s="66"/>
      <c r="AG720" s="190"/>
      <c r="AH720" s="191"/>
      <c r="AI720" s="190"/>
      <c r="AJ720" s="190"/>
      <c r="AK720" s="66"/>
      <c r="AL720" s="66"/>
      <c r="AM720" s="66"/>
      <c r="AN720" s="66"/>
      <c r="AO720" s="66"/>
      <c r="AP720" s="66"/>
      <c r="AQ720" s="66"/>
      <c r="AR720" s="66"/>
      <c r="AS720" s="66"/>
      <c r="AT720" s="66"/>
    </row>
    <row r="721">
      <c r="A721" s="8"/>
      <c r="B721" s="66"/>
      <c r="C721" s="66"/>
      <c r="D721" s="66"/>
      <c r="E721" s="8"/>
      <c r="F721" s="66"/>
      <c r="G721" s="66"/>
      <c r="H721" s="66"/>
      <c r="I721" s="8"/>
      <c r="J721" s="66"/>
      <c r="K721" s="66"/>
      <c r="L721" s="66"/>
      <c r="M721" s="8"/>
      <c r="N721" s="66"/>
      <c r="O721" s="66"/>
      <c r="P721" s="66"/>
      <c r="Q721" s="8"/>
      <c r="R721" s="66"/>
      <c r="S721" s="66"/>
      <c r="T721" s="66"/>
      <c r="U721" s="8"/>
      <c r="V721" s="66"/>
      <c r="W721" s="66"/>
      <c r="X721" s="66"/>
      <c r="Y721" s="189"/>
      <c r="Z721" s="184"/>
      <c r="AA721" s="184"/>
      <c r="AB721" s="184"/>
      <c r="AC721" s="8"/>
      <c r="AD721" s="66"/>
      <c r="AE721" s="66"/>
      <c r="AF721" s="66"/>
      <c r="AG721" s="190"/>
      <c r="AH721" s="191"/>
      <c r="AI721" s="190"/>
      <c r="AJ721" s="190"/>
      <c r="AK721" s="66"/>
      <c r="AL721" s="66"/>
      <c r="AM721" s="66"/>
      <c r="AN721" s="66"/>
      <c r="AO721" s="66"/>
      <c r="AP721" s="66"/>
      <c r="AQ721" s="66"/>
      <c r="AR721" s="66"/>
      <c r="AS721" s="66"/>
      <c r="AT721" s="66"/>
    </row>
    <row r="722">
      <c r="A722" s="8"/>
      <c r="B722" s="66"/>
      <c r="C722" s="66"/>
      <c r="D722" s="66"/>
      <c r="E722" s="8"/>
      <c r="F722" s="66"/>
      <c r="G722" s="66"/>
      <c r="H722" s="66"/>
      <c r="I722" s="8"/>
      <c r="J722" s="66"/>
      <c r="K722" s="66"/>
      <c r="L722" s="66"/>
      <c r="M722" s="8"/>
      <c r="N722" s="66"/>
      <c r="O722" s="66"/>
      <c r="P722" s="66"/>
      <c r="Q722" s="8"/>
      <c r="R722" s="66"/>
      <c r="S722" s="66"/>
      <c r="T722" s="66"/>
      <c r="U722" s="8"/>
      <c r="V722" s="66"/>
      <c r="W722" s="66"/>
      <c r="X722" s="66"/>
      <c r="Y722" s="189"/>
      <c r="Z722" s="184"/>
      <c r="AA722" s="184"/>
      <c r="AB722" s="184"/>
      <c r="AC722" s="8"/>
      <c r="AD722" s="66"/>
      <c r="AE722" s="66"/>
      <c r="AF722" s="66"/>
      <c r="AG722" s="190"/>
      <c r="AH722" s="191"/>
      <c r="AI722" s="190"/>
      <c r="AJ722" s="190"/>
      <c r="AK722" s="66"/>
      <c r="AL722" s="66"/>
      <c r="AM722" s="66"/>
      <c r="AN722" s="66"/>
      <c r="AO722" s="66"/>
      <c r="AP722" s="66"/>
      <c r="AQ722" s="66"/>
      <c r="AR722" s="66"/>
      <c r="AS722" s="66"/>
      <c r="AT722" s="66"/>
    </row>
    <row r="723">
      <c r="A723" s="8"/>
      <c r="B723" s="66"/>
      <c r="C723" s="66"/>
      <c r="D723" s="66"/>
      <c r="E723" s="8"/>
      <c r="F723" s="66"/>
      <c r="G723" s="66"/>
      <c r="H723" s="66"/>
      <c r="I723" s="8"/>
      <c r="J723" s="66"/>
      <c r="K723" s="66"/>
      <c r="L723" s="66"/>
      <c r="M723" s="8"/>
      <c r="N723" s="66"/>
      <c r="O723" s="66"/>
      <c r="P723" s="66"/>
      <c r="Q723" s="8"/>
      <c r="R723" s="66"/>
      <c r="S723" s="66"/>
      <c r="T723" s="66"/>
      <c r="U723" s="8"/>
      <c r="V723" s="66"/>
      <c r="W723" s="66"/>
      <c r="X723" s="66"/>
      <c r="Y723" s="189"/>
      <c r="Z723" s="184"/>
      <c r="AA723" s="184"/>
      <c r="AB723" s="184"/>
      <c r="AC723" s="8"/>
      <c r="AD723" s="66"/>
      <c r="AE723" s="66"/>
      <c r="AF723" s="66"/>
      <c r="AG723" s="190"/>
      <c r="AH723" s="191"/>
      <c r="AI723" s="190"/>
      <c r="AJ723" s="190"/>
      <c r="AK723" s="66"/>
      <c r="AL723" s="66"/>
      <c r="AM723" s="66"/>
      <c r="AN723" s="66"/>
      <c r="AO723" s="66"/>
      <c r="AP723" s="66"/>
      <c r="AQ723" s="66"/>
      <c r="AR723" s="66"/>
      <c r="AS723" s="66"/>
      <c r="AT723" s="66"/>
    </row>
    <row r="724">
      <c r="A724" s="8"/>
      <c r="B724" s="66"/>
      <c r="C724" s="66"/>
      <c r="D724" s="66"/>
      <c r="E724" s="8"/>
      <c r="F724" s="66"/>
      <c r="G724" s="66"/>
      <c r="H724" s="66"/>
      <c r="I724" s="8"/>
      <c r="J724" s="66"/>
      <c r="K724" s="66"/>
      <c r="L724" s="66"/>
      <c r="M724" s="8"/>
      <c r="N724" s="66"/>
      <c r="O724" s="66"/>
      <c r="P724" s="66"/>
      <c r="Q724" s="8"/>
      <c r="R724" s="66"/>
      <c r="S724" s="66"/>
      <c r="T724" s="66"/>
      <c r="U724" s="8"/>
      <c r="V724" s="66"/>
      <c r="W724" s="66"/>
      <c r="X724" s="66"/>
      <c r="Y724" s="189"/>
      <c r="Z724" s="184"/>
      <c r="AA724" s="184"/>
      <c r="AB724" s="184"/>
      <c r="AC724" s="8"/>
      <c r="AD724" s="66"/>
      <c r="AE724" s="66"/>
      <c r="AF724" s="66"/>
      <c r="AG724" s="190"/>
      <c r="AH724" s="191"/>
      <c r="AI724" s="190"/>
      <c r="AJ724" s="190"/>
      <c r="AK724" s="66"/>
      <c r="AL724" s="66"/>
      <c r="AM724" s="66"/>
      <c r="AN724" s="66"/>
      <c r="AO724" s="66"/>
      <c r="AP724" s="66"/>
      <c r="AQ724" s="66"/>
      <c r="AR724" s="66"/>
      <c r="AS724" s="66"/>
      <c r="AT724" s="66"/>
    </row>
    <row r="725">
      <c r="A725" s="8"/>
      <c r="B725" s="66"/>
      <c r="C725" s="66"/>
      <c r="D725" s="66"/>
      <c r="E725" s="8"/>
      <c r="F725" s="66"/>
      <c r="G725" s="66"/>
      <c r="H725" s="66"/>
      <c r="I725" s="8"/>
      <c r="J725" s="66"/>
      <c r="K725" s="66"/>
      <c r="L725" s="66"/>
      <c r="M725" s="8"/>
      <c r="N725" s="66"/>
      <c r="O725" s="66"/>
      <c r="P725" s="66"/>
      <c r="Q725" s="8"/>
      <c r="R725" s="66"/>
      <c r="S725" s="66"/>
      <c r="T725" s="66"/>
      <c r="U725" s="8"/>
      <c r="V725" s="66"/>
      <c r="W725" s="66"/>
      <c r="X725" s="66"/>
      <c r="Y725" s="189"/>
      <c r="Z725" s="184"/>
      <c r="AA725" s="184"/>
      <c r="AB725" s="184"/>
      <c r="AC725" s="8"/>
      <c r="AD725" s="66"/>
      <c r="AE725" s="66"/>
      <c r="AF725" s="66"/>
      <c r="AG725" s="190"/>
      <c r="AH725" s="191"/>
      <c r="AI725" s="190"/>
      <c r="AJ725" s="190"/>
      <c r="AK725" s="66"/>
      <c r="AL725" s="66"/>
      <c r="AM725" s="66"/>
      <c r="AN725" s="66"/>
      <c r="AO725" s="66"/>
      <c r="AP725" s="66"/>
      <c r="AQ725" s="66"/>
      <c r="AR725" s="66"/>
      <c r="AS725" s="66"/>
      <c r="AT725" s="66"/>
    </row>
    <row r="726">
      <c r="A726" s="8"/>
      <c r="B726" s="66"/>
      <c r="C726" s="66"/>
      <c r="D726" s="66"/>
      <c r="E726" s="8"/>
      <c r="F726" s="66"/>
      <c r="G726" s="66"/>
      <c r="H726" s="66"/>
      <c r="I726" s="8"/>
      <c r="J726" s="66"/>
      <c r="K726" s="66"/>
      <c r="L726" s="66"/>
      <c r="M726" s="8"/>
      <c r="N726" s="66"/>
      <c r="O726" s="66"/>
      <c r="P726" s="66"/>
      <c r="Q726" s="8"/>
      <c r="R726" s="66"/>
      <c r="S726" s="66"/>
      <c r="T726" s="66"/>
      <c r="U726" s="8"/>
      <c r="V726" s="66"/>
      <c r="W726" s="66"/>
      <c r="X726" s="66"/>
      <c r="Y726" s="189"/>
      <c r="Z726" s="184"/>
      <c r="AA726" s="184"/>
      <c r="AB726" s="184"/>
      <c r="AC726" s="8"/>
      <c r="AD726" s="66"/>
      <c r="AE726" s="66"/>
      <c r="AF726" s="66"/>
      <c r="AG726" s="190"/>
      <c r="AH726" s="191"/>
      <c r="AI726" s="190"/>
      <c r="AJ726" s="190"/>
      <c r="AK726" s="66"/>
      <c r="AL726" s="66"/>
      <c r="AM726" s="66"/>
      <c r="AN726" s="66"/>
      <c r="AO726" s="66"/>
      <c r="AP726" s="66"/>
      <c r="AQ726" s="66"/>
      <c r="AR726" s="66"/>
      <c r="AS726" s="66"/>
      <c r="AT726" s="66"/>
    </row>
    <row r="727">
      <c r="A727" s="8"/>
      <c r="B727" s="66"/>
      <c r="C727" s="66"/>
      <c r="D727" s="66"/>
      <c r="E727" s="8"/>
      <c r="F727" s="66"/>
      <c r="G727" s="66"/>
      <c r="H727" s="66"/>
      <c r="I727" s="8"/>
      <c r="J727" s="66"/>
      <c r="K727" s="66"/>
      <c r="L727" s="66"/>
      <c r="M727" s="8"/>
      <c r="N727" s="66"/>
      <c r="O727" s="66"/>
      <c r="P727" s="66"/>
      <c r="Q727" s="8"/>
      <c r="R727" s="66"/>
      <c r="S727" s="66"/>
      <c r="T727" s="66"/>
      <c r="U727" s="8"/>
      <c r="V727" s="66"/>
      <c r="W727" s="66"/>
      <c r="X727" s="66"/>
      <c r="Y727" s="189"/>
      <c r="Z727" s="184"/>
      <c r="AA727" s="184"/>
      <c r="AB727" s="184"/>
      <c r="AC727" s="8"/>
      <c r="AD727" s="66"/>
      <c r="AE727" s="66"/>
      <c r="AF727" s="66"/>
      <c r="AG727" s="190"/>
      <c r="AH727" s="191"/>
      <c r="AI727" s="190"/>
      <c r="AJ727" s="190"/>
      <c r="AK727" s="66"/>
      <c r="AL727" s="66"/>
      <c r="AM727" s="66"/>
      <c r="AN727" s="66"/>
      <c r="AO727" s="66"/>
      <c r="AP727" s="66"/>
      <c r="AQ727" s="66"/>
      <c r="AR727" s="66"/>
      <c r="AS727" s="66"/>
      <c r="AT727" s="66"/>
    </row>
    <row r="728">
      <c r="A728" s="8"/>
      <c r="B728" s="66"/>
      <c r="C728" s="66"/>
      <c r="D728" s="66"/>
      <c r="E728" s="8"/>
      <c r="F728" s="66"/>
      <c r="G728" s="66"/>
      <c r="H728" s="66"/>
      <c r="I728" s="8"/>
      <c r="J728" s="66"/>
      <c r="K728" s="66"/>
      <c r="L728" s="66"/>
      <c r="M728" s="8"/>
      <c r="N728" s="66"/>
      <c r="O728" s="66"/>
      <c r="P728" s="66"/>
      <c r="Q728" s="8"/>
      <c r="R728" s="66"/>
      <c r="S728" s="66"/>
      <c r="T728" s="66"/>
      <c r="U728" s="8"/>
      <c r="V728" s="66"/>
      <c r="W728" s="66"/>
      <c r="X728" s="66"/>
      <c r="Y728" s="189"/>
      <c r="Z728" s="184"/>
      <c r="AA728" s="184"/>
      <c r="AB728" s="184"/>
      <c r="AC728" s="8"/>
      <c r="AD728" s="66"/>
      <c r="AE728" s="66"/>
      <c r="AF728" s="66"/>
      <c r="AG728" s="190"/>
      <c r="AH728" s="191"/>
      <c r="AI728" s="190"/>
      <c r="AJ728" s="190"/>
      <c r="AK728" s="66"/>
      <c r="AL728" s="66"/>
      <c r="AM728" s="66"/>
      <c r="AN728" s="66"/>
      <c r="AO728" s="66"/>
      <c r="AP728" s="66"/>
      <c r="AQ728" s="66"/>
      <c r="AR728" s="66"/>
      <c r="AS728" s="66"/>
      <c r="AT728" s="66"/>
    </row>
    <row r="729">
      <c r="A729" s="8"/>
      <c r="B729" s="66"/>
      <c r="C729" s="66"/>
      <c r="D729" s="66"/>
      <c r="E729" s="8"/>
      <c r="F729" s="66"/>
      <c r="G729" s="66"/>
      <c r="H729" s="66"/>
      <c r="I729" s="8"/>
      <c r="J729" s="66"/>
      <c r="K729" s="66"/>
      <c r="L729" s="66"/>
      <c r="M729" s="8"/>
      <c r="N729" s="66"/>
      <c r="O729" s="66"/>
      <c r="P729" s="66"/>
      <c r="Q729" s="8"/>
      <c r="R729" s="66"/>
      <c r="S729" s="66"/>
      <c r="T729" s="66"/>
      <c r="U729" s="8"/>
      <c r="V729" s="66"/>
      <c r="W729" s="66"/>
      <c r="X729" s="66"/>
      <c r="Y729" s="189"/>
      <c r="Z729" s="184"/>
      <c r="AA729" s="184"/>
      <c r="AB729" s="184"/>
      <c r="AC729" s="8"/>
      <c r="AD729" s="66"/>
      <c r="AE729" s="66"/>
      <c r="AF729" s="66"/>
      <c r="AG729" s="190"/>
      <c r="AH729" s="191"/>
      <c r="AI729" s="190"/>
      <c r="AJ729" s="190"/>
      <c r="AK729" s="66"/>
      <c r="AL729" s="66"/>
      <c r="AM729" s="66"/>
      <c r="AN729" s="66"/>
      <c r="AO729" s="66"/>
      <c r="AP729" s="66"/>
      <c r="AQ729" s="66"/>
      <c r="AR729" s="66"/>
      <c r="AS729" s="66"/>
      <c r="AT729" s="66"/>
    </row>
    <row r="730">
      <c r="A730" s="8"/>
      <c r="B730" s="66"/>
      <c r="C730" s="66"/>
      <c r="D730" s="66"/>
      <c r="E730" s="8"/>
      <c r="F730" s="66"/>
      <c r="G730" s="66"/>
      <c r="H730" s="66"/>
      <c r="I730" s="8"/>
      <c r="J730" s="66"/>
      <c r="K730" s="66"/>
      <c r="L730" s="66"/>
      <c r="M730" s="8"/>
      <c r="N730" s="66"/>
      <c r="O730" s="66"/>
      <c r="P730" s="66"/>
      <c r="Q730" s="8"/>
      <c r="R730" s="66"/>
      <c r="S730" s="66"/>
      <c r="T730" s="66"/>
      <c r="U730" s="8"/>
      <c r="V730" s="66"/>
      <c r="W730" s="66"/>
      <c r="X730" s="66"/>
      <c r="Y730" s="189"/>
      <c r="Z730" s="184"/>
      <c r="AA730" s="184"/>
      <c r="AB730" s="184"/>
      <c r="AC730" s="8"/>
      <c r="AD730" s="66"/>
      <c r="AE730" s="66"/>
      <c r="AF730" s="66"/>
      <c r="AG730" s="190"/>
      <c r="AH730" s="191"/>
      <c r="AI730" s="190"/>
      <c r="AJ730" s="190"/>
      <c r="AK730" s="66"/>
      <c r="AL730" s="66"/>
      <c r="AM730" s="66"/>
      <c r="AN730" s="66"/>
      <c r="AO730" s="66"/>
      <c r="AP730" s="66"/>
      <c r="AQ730" s="66"/>
      <c r="AR730" s="66"/>
      <c r="AS730" s="66"/>
      <c r="AT730" s="66"/>
    </row>
    <row r="731">
      <c r="A731" s="8"/>
      <c r="B731" s="66"/>
      <c r="C731" s="66"/>
      <c r="D731" s="66"/>
      <c r="E731" s="8"/>
      <c r="F731" s="66"/>
      <c r="G731" s="66"/>
      <c r="H731" s="66"/>
      <c r="I731" s="8"/>
      <c r="J731" s="66"/>
      <c r="K731" s="66"/>
      <c r="L731" s="66"/>
      <c r="M731" s="8"/>
      <c r="N731" s="66"/>
      <c r="O731" s="66"/>
      <c r="P731" s="66"/>
      <c r="Q731" s="8"/>
      <c r="R731" s="66"/>
      <c r="S731" s="66"/>
      <c r="T731" s="66"/>
      <c r="U731" s="8"/>
      <c r="V731" s="66"/>
      <c r="W731" s="66"/>
      <c r="X731" s="66"/>
      <c r="Y731" s="189"/>
      <c r="Z731" s="184"/>
      <c r="AA731" s="184"/>
      <c r="AB731" s="184"/>
      <c r="AC731" s="8"/>
      <c r="AD731" s="66"/>
      <c r="AE731" s="66"/>
      <c r="AF731" s="66"/>
      <c r="AG731" s="190"/>
      <c r="AH731" s="191"/>
      <c r="AI731" s="190"/>
      <c r="AJ731" s="190"/>
      <c r="AK731" s="66"/>
      <c r="AL731" s="66"/>
      <c r="AM731" s="66"/>
      <c r="AN731" s="66"/>
      <c r="AO731" s="66"/>
      <c r="AP731" s="66"/>
      <c r="AQ731" s="66"/>
      <c r="AR731" s="66"/>
      <c r="AS731" s="66"/>
      <c r="AT731" s="66"/>
    </row>
    <row r="732">
      <c r="A732" s="8"/>
      <c r="B732" s="66"/>
      <c r="C732" s="66"/>
      <c r="D732" s="66"/>
      <c r="E732" s="8"/>
      <c r="F732" s="66"/>
      <c r="G732" s="66"/>
      <c r="H732" s="66"/>
      <c r="I732" s="8"/>
      <c r="J732" s="66"/>
      <c r="K732" s="66"/>
      <c r="L732" s="66"/>
      <c r="M732" s="8"/>
      <c r="N732" s="66"/>
      <c r="O732" s="66"/>
      <c r="P732" s="66"/>
      <c r="Q732" s="8"/>
      <c r="R732" s="66"/>
      <c r="S732" s="66"/>
      <c r="T732" s="66"/>
      <c r="U732" s="8"/>
      <c r="V732" s="66"/>
      <c r="W732" s="66"/>
      <c r="X732" s="66"/>
      <c r="Y732" s="189"/>
      <c r="Z732" s="184"/>
      <c r="AA732" s="184"/>
      <c r="AB732" s="184"/>
      <c r="AC732" s="8"/>
      <c r="AD732" s="66"/>
      <c r="AE732" s="66"/>
      <c r="AF732" s="66"/>
      <c r="AG732" s="190"/>
      <c r="AH732" s="191"/>
      <c r="AI732" s="190"/>
      <c r="AJ732" s="190"/>
      <c r="AK732" s="66"/>
      <c r="AL732" s="66"/>
      <c r="AM732" s="66"/>
      <c r="AN732" s="66"/>
      <c r="AO732" s="66"/>
      <c r="AP732" s="66"/>
      <c r="AQ732" s="66"/>
      <c r="AR732" s="66"/>
      <c r="AS732" s="66"/>
      <c r="AT732" s="66"/>
    </row>
    <row r="733">
      <c r="A733" s="8"/>
      <c r="B733" s="66"/>
      <c r="C733" s="66"/>
      <c r="D733" s="66"/>
      <c r="E733" s="8"/>
      <c r="F733" s="66"/>
      <c r="G733" s="66"/>
      <c r="H733" s="66"/>
      <c r="I733" s="8"/>
      <c r="J733" s="66"/>
      <c r="K733" s="66"/>
      <c r="L733" s="66"/>
      <c r="M733" s="8"/>
      <c r="N733" s="66"/>
      <c r="O733" s="66"/>
      <c r="P733" s="66"/>
      <c r="Q733" s="8"/>
      <c r="R733" s="66"/>
      <c r="S733" s="66"/>
      <c r="T733" s="66"/>
      <c r="U733" s="8"/>
      <c r="V733" s="66"/>
      <c r="W733" s="66"/>
      <c r="X733" s="66"/>
      <c r="Y733" s="189"/>
      <c r="Z733" s="184"/>
      <c r="AA733" s="184"/>
      <c r="AB733" s="184"/>
      <c r="AC733" s="8"/>
      <c r="AD733" s="66"/>
      <c r="AE733" s="66"/>
      <c r="AF733" s="66"/>
      <c r="AG733" s="190"/>
      <c r="AH733" s="191"/>
      <c r="AI733" s="190"/>
      <c r="AJ733" s="190"/>
      <c r="AK733" s="66"/>
      <c r="AL733" s="66"/>
      <c r="AM733" s="66"/>
      <c r="AN733" s="66"/>
      <c r="AO733" s="66"/>
      <c r="AP733" s="66"/>
      <c r="AQ733" s="66"/>
      <c r="AR733" s="66"/>
      <c r="AS733" s="66"/>
      <c r="AT733" s="66"/>
    </row>
    <row r="734">
      <c r="A734" s="8"/>
      <c r="B734" s="66"/>
      <c r="C734" s="66"/>
      <c r="D734" s="66"/>
      <c r="E734" s="8"/>
      <c r="F734" s="66"/>
      <c r="G734" s="66"/>
      <c r="H734" s="66"/>
      <c r="I734" s="8"/>
      <c r="J734" s="66"/>
      <c r="K734" s="66"/>
      <c r="L734" s="66"/>
      <c r="M734" s="8"/>
      <c r="N734" s="66"/>
      <c r="O734" s="66"/>
      <c r="P734" s="66"/>
      <c r="Q734" s="8"/>
      <c r="R734" s="66"/>
      <c r="S734" s="66"/>
      <c r="T734" s="66"/>
      <c r="U734" s="8"/>
      <c r="V734" s="66"/>
      <c r="W734" s="66"/>
      <c r="X734" s="66"/>
      <c r="Y734" s="189"/>
      <c r="Z734" s="184"/>
      <c r="AA734" s="184"/>
      <c r="AB734" s="184"/>
      <c r="AC734" s="8"/>
      <c r="AD734" s="66"/>
      <c r="AE734" s="66"/>
      <c r="AF734" s="66"/>
      <c r="AG734" s="190"/>
      <c r="AH734" s="191"/>
      <c r="AI734" s="190"/>
      <c r="AJ734" s="190"/>
      <c r="AK734" s="66"/>
      <c r="AL734" s="66"/>
      <c r="AM734" s="66"/>
      <c r="AN734" s="66"/>
      <c r="AO734" s="66"/>
      <c r="AP734" s="66"/>
      <c r="AQ734" s="66"/>
      <c r="AR734" s="66"/>
      <c r="AS734" s="66"/>
      <c r="AT734" s="66"/>
    </row>
    <row r="735">
      <c r="A735" s="8"/>
      <c r="B735" s="66"/>
      <c r="C735" s="66"/>
      <c r="D735" s="66"/>
      <c r="E735" s="8"/>
      <c r="F735" s="66"/>
      <c r="G735" s="66"/>
      <c r="H735" s="66"/>
      <c r="I735" s="8"/>
      <c r="J735" s="66"/>
      <c r="K735" s="66"/>
      <c r="L735" s="66"/>
      <c r="M735" s="8"/>
      <c r="N735" s="66"/>
      <c r="O735" s="66"/>
      <c r="P735" s="66"/>
      <c r="Q735" s="8"/>
      <c r="R735" s="66"/>
      <c r="S735" s="66"/>
      <c r="T735" s="66"/>
      <c r="U735" s="8"/>
      <c r="V735" s="66"/>
      <c r="W735" s="66"/>
      <c r="X735" s="66"/>
      <c r="Y735" s="189"/>
      <c r="Z735" s="184"/>
      <c r="AA735" s="184"/>
      <c r="AB735" s="184"/>
      <c r="AC735" s="8"/>
      <c r="AD735" s="66"/>
      <c r="AE735" s="66"/>
      <c r="AF735" s="66"/>
      <c r="AG735" s="190"/>
      <c r="AH735" s="191"/>
      <c r="AI735" s="190"/>
      <c r="AJ735" s="190"/>
      <c r="AK735" s="66"/>
      <c r="AL735" s="66"/>
      <c r="AM735" s="66"/>
      <c r="AN735" s="66"/>
      <c r="AO735" s="66"/>
      <c r="AP735" s="66"/>
      <c r="AQ735" s="66"/>
      <c r="AR735" s="66"/>
      <c r="AS735" s="66"/>
      <c r="AT735" s="66"/>
    </row>
    <row r="736">
      <c r="A736" s="8"/>
      <c r="B736" s="66"/>
      <c r="C736" s="66"/>
      <c r="D736" s="66"/>
      <c r="E736" s="8"/>
      <c r="F736" s="66"/>
      <c r="G736" s="66"/>
      <c r="H736" s="66"/>
      <c r="I736" s="8"/>
      <c r="J736" s="66"/>
      <c r="K736" s="66"/>
      <c r="L736" s="66"/>
      <c r="M736" s="8"/>
      <c r="N736" s="66"/>
      <c r="O736" s="66"/>
      <c r="P736" s="66"/>
      <c r="Q736" s="8"/>
      <c r="R736" s="66"/>
      <c r="S736" s="66"/>
      <c r="T736" s="66"/>
      <c r="U736" s="8"/>
      <c r="V736" s="66"/>
      <c r="W736" s="66"/>
      <c r="X736" s="66"/>
      <c r="Y736" s="189"/>
      <c r="Z736" s="184"/>
      <c r="AA736" s="184"/>
      <c r="AB736" s="184"/>
      <c r="AC736" s="8"/>
      <c r="AD736" s="66"/>
      <c r="AE736" s="66"/>
      <c r="AF736" s="66"/>
      <c r="AG736" s="190"/>
      <c r="AH736" s="191"/>
      <c r="AI736" s="190"/>
      <c r="AJ736" s="190"/>
      <c r="AK736" s="66"/>
      <c r="AL736" s="66"/>
      <c r="AM736" s="66"/>
      <c r="AN736" s="66"/>
      <c r="AO736" s="66"/>
      <c r="AP736" s="66"/>
      <c r="AQ736" s="66"/>
      <c r="AR736" s="66"/>
      <c r="AS736" s="66"/>
      <c r="AT736" s="66"/>
    </row>
    <row r="737">
      <c r="A737" s="8"/>
      <c r="B737" s="66"/>
      <c r="C737" s="66"/>
      <c r="D737" s="66"/>
      <c r="E737" s="8"/>
      <c r="F737" s="66"/>
      <c r="G737" s="66"/>
      <c r="H737" s="66"/>
      <c r="I737" s="8"/>
      <c r="J737" s="66"/>
      <c r="K737" s="66"/>
      <c r="L737" s="66"/>
      <c r="M737" s="8"/>
      <c r="N737" s="66"/>
      <c r="O737" s="66"/>
      <c r="P737" s="66"/>
      <c r="Q737" s="8"/>
      <c r="R737" s="66"/>
      <c r="S737" s="66"/>
      <c r="T737" s="66"/>
      <c r="U737" s="8"/>
      <c r="V737" s="66"/>
      <c r="W737" s="66"/>
      <c r="X737" s="66"/>
      <c r="Y737" s="189"/>
      <c r="Z737" s="184"/>
      <c r="AA737" s="184"/>
      <c r="AB737" s="184"/>
      <c r="AC737" s="8"/>
      <c r="AD737" s="66"/>
      <c r="AE737" s="66"/>
      <c r="AF737" s="66"/>
      <c r="AG737" s="190"/>
      <c r="AH737" s="191"/>
      <c r="AI737" s="190"/>
      <c r="AJ737" s="190"/>
      <c r="AK737" s="66"/>
      <c r="AL737" s="66"/>
      <c r="AM737" s="66"/>
      <c r="AN737" s="66"/>
      <c r="AO737" s="66"/>
      <c r="AP737" s="66"/>
      <c r="AQ737" s="66"/>
      <c r="AR737" s="66"/>
      <c r="AS737" s="66"/>
      <c r="AT737" s="66"/>
    </row>
    <row r="738">
      <c r="A738" s="8"/>
      <c r="B738" s="66"/>
      <c r="C738" s="66"/>
      <c r="D738" s="66"/>
      <c r="E738" s="8"/>
      <c r="F738" s="66"/>
      <c r="G738" s="66"/>
      <c r="H738" s="66"/>
      <c r="I738" s="8"/>
      <c r="J738" s="66"/>
      <c r="K738" s="66"/>
      <c r="L738" s="66"/>
      <c r="M738" s="8"/>
      <c r="N738" s="66"/>
      <c r="O738" s="66"/>
      <c r="P738" s="66"/>
      <c r="Q738" s="8"/>
      <c r="R738" s="66"/>
      <c r="S738" s="66"/>
      <c r="T738" s="66"/>
      <c r="U738" s="8"/>
      <c r="V738" s="66"/>
      <c r="W738" s="66"/>
      <c r="X738" s="66"/>
      <c r="Y738" s="189"/>
      <c r="Z738" s="184"/>
      <c r="AA738" s="184"/>
      <c r="AB738" s="184"/>
      <c r="AC738" s="8"/>
      <c r="AD738" s="66"/>
      <c r="AE738" s="66"/>
      <c r="AF738" s="66"/>
      <c r="AG738" s="190"/>
      <c r="AH738" s="191"/>
      <c r="AI738" s="190"/>
      <c r="AJ738" s="190"/>
      <c r="AK738" s="66"/>
      <c r="AL738" s="66"/>
      <c r="AM738" s="66"/>
      <c r="AN738" s="66"/>
      <c r="AO738" s="66"/>
      <c r="AP738" s="66"/>
      <c r="AQ738" s="66"/>
      <c r="AR738" s="66"/>
      <c r="AS738" s="66"/>
      <c r="AT738" s="66"/>
    </row>
    <row r="739">
      <c r="A739" s="8"/>
      <c r="B739" s="66"/>
      <c r="C739" s="66"/>
      <c r="D739" s="66"/>
      <c r="E739" s="8"/>
      <c r="F739" s="66"/>
      <c r="G739" s="66"/>
      <c r="H739" s="66"/>
      <c r="I739" s="8"/>
      <c r="J739" s="66"/>
      <c r="K739" s="66"/>
      <c r="L739" s="66"/>
      <c r="M739" s="8"/>
      <c r="N739" s="66"/>
      <c r="O739" s="66"/>
      <c r="P739" s="66"/>
      <c r="Q739" s="8"/>
      <c r="R739" s="66"/>
      <c r="S739" s="66"/>
      <c r="T739" s="66"/>
      <c r="U739" s="8"/>
      <c r="V739" s="66"/>
      <c r="W739" s="66"/>
      <c r="X739" s="66"/>
      <c r="Y739" s="189"/>
      <c r="Z739" s="184"/>
      <c r="AA739" s="184"/>
      <c r="AB739" s="184"/>
      <c r="AC739" s="8"/>
      <c r="AD739" s="66"/>
      <c r="AE739" s="66"/>
      <c r="AF739" s="66"/>
      <c r="AG739" s="190"/>
      <c r="AH739" s="191"/>
      <c r="AI739" s="190"/>
      <c r="AJ739" s="190"/>
      <c r="AK739" s="66"/>
      <c r="AL739" s="66"/>
      <c r="AM739" s="66"/>
      <c r="AN739" s="66"/>
      <c r="AO739" s="66"/>
      <c r="AP739" s="66"/>
      <c r="AQ739" s="66"/>
      <c r="AR739" s="66"/>
      <c r="AS739" s="66"/>
      <c r="AT739" s="66"/>
    </row>
    <row r="740">
      <c r="A740" s="8"/>
      <c r="B740" s="66"/>
      <c r="C740" s="66"/>
      <c r="D740" s="66"/>
      <c r="E740" s="8"/>
      <c r="F740" s="66"/>
      <c r="G740" s="66"/>
      <c r="H740" s="66"/>
      <c r="I740" s="8"/>
      <c r="J740" s="66"/>
      <c r="K740" s="66"/>
      <c r="L740" s="66"/>
      <c r="M740" s="8"/>
      <c r="N740" s="66"/>
      <c r="O740" s="66"/>
      <c r="P740" s="66"/>
      <c r="Q740" s="8"/>
      <c r="R740" s="66"/>
      <c r="S740" s="66"/>
      <c r="T740" s="66"/>
      <c r="U740" s="8"/>
      <c r="V740" s="66"/>
      <c r="W740" s="66"/>
      <c r="X740" s="66"/>
      <c r="Y740" s="189"/>
      <c r="Z740" s="184"/>
      <c r="AA740" s="184"/>
      <c r="AB740" s="184"/>
      <c r="AC740" s="8"/>
      <c r="AD740" s="66"/>
      <c r="AE740" s="66"/>
      <c r="AF740" s="66"/>
      <c r="AG740" s="190"/>
      <c r="AH740" s="191"/>
      <c r="AI740" s="190"/>
      <c r="AJ740" s="190"/>
      <c r="AK740" s="66"/>
      <c r="AL740" s="66"/>
      <c r="AM740" s="66"/>
      <c r="AN740" s="66"/>
      <c r="AO740" s="66"/>
      <c r="AP740" s="66"/>
      <c r="AQ740" s="66"/>
      <c r="AR740" s="66"/>
      <c r="AS740" s="66"/>
      <c r="AT740" s="66"/>
    </row>
    <row r="741">
      <c r="A741" s="8"/>
      <c r="B741" s="66"/>
      <c r="C741" s="66"/>
      <c r="D741" s="66"/>
      <c r="E741" s="8"/>
      <c r="F741" s="66"/>
      <c r="G741" s="66"/>
      <c r="H741" s="66"/>
      <c r="I741" s="8"/>
      <c r="J741" s="66"/>
      <c r="K741" s="66"/>
      <c r="L741" s="66"/>
      <c r="M741" s="8"/>
      <c r="N741" s="66"/>
      <c r="O741" s="66"/>
      <c r="P741" s="66"/>
      <c r="Q741" s="8"/>
      <c r="R741" s="66"/>
      <c r="S741" s="66"/>
      <c r="T741" s="66"/>
      <c r="U741" s="8"/>
      <c r="V741" s="66"/>
      <c r="W741" s="66"/>
      <c r="X741" s="66"/>
      <c r="Y741" s="189"/>
      <c r="Z741" s="184"/>
      <c r="AA741" s="184"/>
      <c r="AB741" s="184"/>
      <c r="AC741" s="8"/>
      <c r="AD741" s="66"/>
      <c r="AE741" s="66"/>
      <c r="AF741" s="66"/>
      <c r="AG741" s="190"/>
      <c r="AH741" s="191"/>
      <c r="AI741" s="190"/>
      <c r="AJ741" s="190"/>
      <c r="AK741" s="66"/>
      <c r="AL741" s="66"/>
      <c r="AM741" s="66"/>
      <c r="AN741" s="66"/>
      <c r="AO741" s="66"/>
      <c r="AP741" s="66"/>
      <c r="AQ741" s="66"/>
      <c r="AR741" s="66"/>
      <c r="AS741" s="66"/>
      <c r="AT741" s="66"/>
    </row>
    <row r="742">
      <c r="A742" s="8"/>
      <c r="B742" s="66"/>
      <c r="C742" s="66"/>
      <c r="D742" s="66"/>
      <c r="E742" s="8"/>
      <c r="F742" s="66"/>
      <c r="G742" s="66"/>
      <c r="H742" s="66"/>
      <c r="I742" s="8"/>
      <c r="J742" s="66"/>
      <c r="K742" s="66"/>
      <c r="L742" s="66"/>
      <c r="M742" s="8"/>
      <c r="N742" s="66"/>
      <c r="O742" s="66"/>
      <c r="P742" s="66"/>
      <c r="Q742" s="8"/>
      <c r="R742" s="66"/>
      <c r="S742" s="66"/>
      <c r="T742" s="66"/>
      <c r="U742" s="8"/>
      <c r="V742" s="66"/>
      <c r="W742" s="66"/>
      <c r="X742" s="66"/>
      <c r="Y742" s="189"/>
      <c r="Z742" s="184"/>
      <c r="AA742" s="184"/>
      <c r="AB742" s="184"/>
      <c r="AC742" s="8"/>
      <c r="AD742" s="66"/>
      <c r="AE742" s="66"/>
      <c r="AF742" s="66"/>
      <c r="AG742" s="190"/>
      <c r="AH742" s="191"/>
      <c r="AI742" s="190"/>
      <c r="AJ742" s="190"/>
      <c r="AK742" s="66"/>
      <c r="AL742" s="66"/>
      <c r="AM742" s="66"/>
      <c r="AN742" s="66"/>
      <c r="AO742" s="66"/>
      <c r="AP742" s="66"/>
      <c r="AQ742" s="66"/>
      <c r="AR742" s="66"/>
      <c r="AS742" s="66"/>
      <c r="AT742" s="66"/>
    </row>
    <row r="743">
      <c r="A743" s="8"/>
      <c r="B743" s="66"/>
      <c r="C743" s="66"/>
      <c r="D743" s="66"/>
      <c r="E743" s="8"/>
      <c r="F743" s="66"/>
      <c r="G743" s="66"/>
      <c r="H743" s="66"/>
      <c r="I743" s="8"/>
      <c r="J743" s="66"/>
      <c r="K743" s="66"/>
      <c r="L743" s="66"/>
      <c r="M743" s="8"/>
      <c r="N743" s="66"/>
      <c r="O743" s="66"/>
      <c r="P743" s="66"/>
      <c r="Q743" s="8"/>
      <c r="R743" s="66"/>
      <c r="S743" s="66"/>
      <c r="T743" s="66"/>
      <c r="U743" s="8"/>
      <c r="V743" s="66"/>
      <c r="W743" s="66"/>
      <c r="X743" s="66"/>
      <c r="Y743" s="189"/>
      <c r="Z743" s="184"/>
      <c r="AA743" s="184"/>
      <c r="AB743" s="184"/>
      <c r="AC743" s="8"/>
      <c r="AD743" s="66"/>
      <c r="AE743" s="66"/>
      <c r="AF743" s="66"/>
      <c r="AG743" s="190"/>
      <c r="AH743" s="191"/>
      <c r="AI743" s="190"/>
      <c r="AJ743" s="190"/>
      <c r="AK743" s="66"/>
      <c r="AL743" s="66"/>
      <c r="AM743" s="66"/>
      <c r="AN743" s="66"/>
      <c r="AO743" s="66"/>
      <c r="AP743" s="66"/>
      <c r="AQ743" s="66"/>
      <c r="AR743" s="66"/>
      <c r="AS743" s="66"/>
      <c r="AT743" s="66"/>
    </row>
    <row r="744">
      <c r="A744" s="8"/>
      <c r="B744" s="66"/>
      <c r="C744" s="66"/>
      <c r="D744" s="66"/>
      <c r="E744" s="8"/>
      <c r="F744" s="66"/>
      <c r="G744" s="66"/>
      <c r="H744" s="66"/>
      <c r="I744" s="8"/>
      <c r="J744" s="66"/>
      <c r="K744" s="66"/>
      <c r="L744" s="66"/>
      <c r="M744" s="8"/>
      <c r="N744" s="66"/>
      <c r="O744" s="66"/>
      <c r="P744" s="66"/>
      <c r="Q744" s="8"/>
      <c r="R744" s="66"/>
      <c r="S744" s="66"/>
      <c r="T744" s="66"/>
      <c r="U744" s="8"/>
      <c r="V744" s="66"/>
      <c r="W744" s="66"/>
      <c r="X744" s="66"/>
      <c r="Y744" s="189"/>
      <c r="Z744" s="184"/>
      <c r="AA744" s="184"/>
      <c r="AB744" s="184"/>
      <c r="AC744" s="8"/>
      <c r="AD744" s="66"/>
      <c r="AE744" s="66"/>
      <c r="AF744" s="66"/>
      <c r="AG744" s="190"/>
      <c r="AH744" s="191"/>
      <c r="AI744" s="190"/>
      <c r="AJ744" s="190"/>
      <c r="AK744" s="66"/>
      <c r="AL744" s="66"/>
      <c r="AM744" s="66"/>
      <c r="AN744" s="66"/>
      <c r="AO744" s="66"/>
      <c r="AP744" s="66"/>
      <c r="AQ744" s="66"/>
      <c r="AR744" s="66"/>
      <c r="AS744" s="66"/>
      <c r="AT744" s="66"/>
    </row>
    <row r="745">
      <c r="A745" s="8"/>
      <c r="B745" s="66"/>
      <c r="C745" s="66"/>
      <c r="D745" s="66"/>
      <c r="E745" s="8"/>
      <c r="F745" s="66"/>
      <c r="G745" s="66"/>
      <c r="H745" s="66"/>
      <c r="I745" s="8"/>
      <c r="J745" s="66"/>
      <c r="K745" s="66"/>
      <c r="L745" s="66"/>
      <c r="M745" s="8"/>
      <c r="N745" s="66"/>
      <c r="O745" s="66"/>
      <c r="P745" s="66"/>
      <c r="Q745" s="8"/>
      <c r="R745" s="66"/>
      <c r="S745" s="66"/>
      <c r="T745" s="66"/>
      <c r="U745" s="8"/>
      <c r="V745" s="66"/>
      <c r="W745" s="66"/>
      <c r="X745" s="66"/>
      <c r="Y745" s="189"/>
      <c r="Z745" s="184"/>
      <c r="AA745" s="184"/>
      <c r="AB745" s="184"/>
      <c r="AC745" s="8"/>
      <c r="AD745" s="66"/>
      <c r="AE745" s="66"/>
      <c r="AF745" s="66"/>
      <c r="AG745" s="190"/>
      <c r="AH745" s="191"/>
      <c r="AI745" s="190"/>
      <c r="AJ745" s="190"/>
      <c r="AK745" s="66"/>
      <c r="AL745" s="66"/>
      <c r="AM745" s="66"/>
      <c r="AN745" s="66"/>
      <c r="AO745" s="66"/>
      <c r="AP745" s="66"/>
      <c r="AQ745" s="66"/>
      <c r="AR745" s="66"/>
      <c r="AS745" s="66"/>
      <c r="AT745" s="66"/>
    </row>
    <row r="746">
      <c r="A746" s="8"/>
      <c r="B746" s="66"/>
      <c r="C746" s="66"/>
      <c r="D746" s="66"/>
      <c r="E746" s="8"/>
      <c r="F746" s="66"/>
      <c r="G746" s="66"/>
      <c r="H746" s="66"/>
      <c r="I746" s="8"/>
      <c r="J746" s="66"/>
      <c r="K746" s="66"/>
      <c r="L746" s="66"/>
      <c r="M746" s="8"/>
      <c r="N746" s="66"/>
      <c r="O746" s="66"/>
      <c r="P746" s="66"/>
      <c r="Q746" s="8"/>
      <c r="R746" s="66"/>
      <c r="S746" s="66"/>
      <c r="T746" s="66"/>
      <c r="U746" s="8"/>
      <c r="V746" s="66"/>
      <c r="W746" s="66"/>
      <c r="X746" s="66"/>
      <c r="Y746" s="189"/>
      <c r="Z746" s="184"/>
      <c r="AA746" s="184"/>
      <c r="AB746" s="184"/>
      <c r="AC746" s="8"/>
      <c r="AD746" s="66"/>
      <c r="AE746" s="66"/>
      <c r="AF746" s="66"/>
      <c r="AG746" s="190"/>
      <c r="AH746" s="191"/>
      <c r="AI746" s="190"/>
      <c r="AJ746" s="190"/>
      <c r="AK746" s="66"/>
      <c r="AL746" s="66"/>
      <c r="AM746" s="66"/>
      <c r="AN746" s="66"/>
      <c r="AO746" s="66"/>
      <c r="AP746" s="66"/>
      <c r="AQ746" s="66"/>
      <c r="AR746" s="66"/>
      <c r="AS746" s="66"/>
      <c r="AT746" s="66"/>
    </row>
    <row r="747">
      <c r="A747" s="8"/>
      <c r="B747" s="66"/>
      <c r="C747" s="66"/>
      <c r="D747" s="66"/>
      <c r="E747" s="8"/>
      <c r="F747" s="66"/>
      <c r="G747" s="66"/>
      <c r="H747" s="66"/>
      <c r="I747" s="8"/>
      <c r="J747" s="66"/>
      <c r="K747" s="66"/>
      <c r="L747" s="66"/>
      <c r="M747" s="8"/>
      <c r="N747" s="66"/>
      <c r="O747" s="66"/>
      <c r="P747" s="66"/>
      <c r="Q747" s="8"/>
      <c r="R747" s="66"/>
      <c r="S747" s="66"/>
      <c r="T747" s="66"/>
      <c r="U747" s="8"/>
      <c r="V747" s="66"/>
      <c r="W747" s="66"/>
      <c r="X747" s="66"/>
      <c r="Y747" s="189"/>
      <c r="Z747" s="184"/>
      <c r="AA747" s="184"/>
      <c r="AB747" s="184"/>
      <c r="AC747" s="8"/>
      <c r="AD747" s="66"/>
      <c r="AE747" s="66"/>
      <c r="AF747" s="66"/>
      <c r="AG747" s="190"/>
      <c r="AH747" s="191"/>
      <c r="AI747" s="190"/>
      <c r="AJ747" s="190"/>
      <c r="AK747" s="66"/>
      <c r="AL747" s="66"/>
      <c r="AM747" s="66"/>
      <c r="AN747" s="66"/>
      <c r="AO747" s="66"/>
      <c r="AP747" s="66"/>
      <c r="AQ747" s="66"/>
      <c r="AR747" s="66"/>
      <c r="AS747" s="66"/>
      <c r="AT747" s="66"/>
    </row>
    <row r="748">
      <c r="A748" s="8"/>
      <c r="B748" s="66"/>
      <c r="C748" s="66"/>
      <c r="D748" s="66"/>
      <c r="E748" s="8"/>
      <c r="F748" s="66"/>
      <c r="G748" s="66"/>
      <c r="H748" s="66"/>
      <c r="I748" s="8"/>
      <c r="J748" s="66"/>
      <c r="K748" s="66"/>
      <c r="L748" s="66"/>
      <c r="M748" s="8"/>
      <c r="N748" s="66"/>
      <c r="O748" s="66"/>
      <c r="P748" s="66"/>
      <c r="Q748" s="8"/>
      <c r="R748" s="66"/>
      <c r="S748" s="66"/>
      <c r="T748" s="66"/>
      <c r="U748" s="8"/>
      <c r="V748" s="66"/>
      <c r="W748" s="66"/>
      <c r="X748" s="66"/>
      <c r="Y748" s="189"/>
      <c r="Z748" s="184"/>
      <c r="AA748" s="184"/>
      <c r="AB748" s="184"/>
      <c r="AC748" s="8"/>
      <c r="AD748" s="66"/>
      <c r="AE748" s="66"/>
      <c r="AF748" s="66"/>
      <c r="AG748" s="190"/>
      <c r="AH748" s="191"/>
      <c r="AI748" s="190"/>
      <c r="AJ748" s="190"/>
      <c r="AK748" s="66"/>
      <c r="AL748" s="66"/>
      <c r="AM748" s="66"/>
      <c r="AN748" s="66"/>
      <c r="AO748" s="66"/>
      <c r="AP748" s="66"/>
      <c r="AQ748" s="66"/>
      <c r="AR748" s="66"/>
      <c r="AS748" s="66"/>
      <c r="AT748" s="66"/>
    </row>
    <row r="749">
      <c r="A749" s="8"/>
      <c r="B749" s="66"/>
      <c r="C749" s="66"/>
      <c r="D749" s="66"/>
      <c r="E749" s="8"/>
      <c r="F749" s="66"/>
      <c r="G749" s="66"/>
      <c r="H749" s="66"/>
      <c r="I749" s="8"/>
      <c r="J749" s="66"/>
      <c r="K749" s="66"/>
      <c r="L749" s="66"/>
      <c r="M749" s="8"/>
      <c r="N749" s="66"/>
      <c r="O749" s="66"/>
      <c r="P749" s="66"/>
      <c r="Q749" s="8"/>
      <c r="R749" s="66"/>
      <c r="S749" s="66"/>
      <c r="T749" s="66"/>
      <c r="U749" s="8"/>
      <c r="V749" s="66"/>
      <c r="W749" s="66"/>
      <c r="X749" s="66"/>
      <c r="Y749" s="189"/>
      <c r="Z749" s="184"/>
      <c r="AA749" s="184"/>
      <c r="AB749" s="184"/>
      <c r="AC749" s="8"/>
      <c r="AD749" s="66"/>
      <c r="AE749" s="66"/>
      <c r="AF749" s="66"/>
      <c r="AG749" s="190"/>
      <c r="AH749" s="191"/>
      <c r="AI749" s="190"/>
      <c r="AJ749" s="190"/>
      <c r="AK749" s="66"/>
      <c r="AL749" s="66"/>
      <c r="AM749" s="66"/>
      <c r="AN749" s="66"/>
      <c r="AO749" s="66"/>
      <c r="AP749" s="66"/>
      <c r="AQ749" s="66"/>
      <c r="AR749" s="66"/>
      <c r="AS749" s="66"/>
      <c r="AT749" s="66"/>
    </row>
    <row r="750">
      <c r="A750" s="8"/>
      <c r="B750" s="66"/>
      <c r="C750" s="66"/>
      <c r="D750" s="66"/>
      <c r="E750" s="8"/>
      <c r="F750" s="66"/>
      <c r="G750" s="66"/>
      <c r="H750" s="66"/>
      <c r="I750" s="8"/>
      <c r="J750" s="66"/>
      <c r="K750" s="66"/>
      <c r="L750" s="66"/>
      <c r="M750" s="8"/>
      <c r="N750" s="66"/>
      <c r="O750" s="66"/>
      <c r="P750" s="66"/>
      <c r="Q750" s="8"/>
      <c r="R750" s="66"/>
      <c r="S750" s="66"/>
      <c r="T750" s="66"/>
      <c r="U750" s="8"/>
      <c r="V750" s="66"/>
      <c r="W750" s="66"/>
      <c r="X750" s="66"/>
      <c r="Y750" s="189"/>
      <c r="Z750" s="184"/>
      <c r="AA750" s="184"/>
      <c r="AB750" s="184"/>
      <c r="AC750" s="8"/>
      <c r="AD750" s="66"/>
      <c r="AE750" s="66"/>
      <c r="AF750" s="66"/>
      <c r="AG750" s="190"/>
      <c r="AH750" s="191"/>
      <c r="AI750" s="190"/>
      <c r="AJ750" s="190"/>
      <c r="AK750" s="66"/>
      <c r="AL750" s="66"/>
      <c r="AM750" s="66"/>
      <c r="AN750" s="66"/>
      <c r="AO750" s="66"/>
      <c r="AP750" s="66"/>
      <c r="AQ750" s="66"/>
      <c r="AR750" s="66"/>
      <c r="AS750" s="66"/>
      <c r="AT750" s="66"/>
    </row>
    <row r="751">
      <c r="A751" s="8"/>
      <c r="B751" s="66"/>
      <c r="C751" s="66"/>
      <c r="D751" s="66"/>
      <c r="E751" s="8"/>
      <c r="F751" s="66"/>
      <c r="G751" s="66"/>
      <c r="H751" s="66"/>
      <c r="I751" s="8"/>
      <c r="J751" s="66"/>
      <c r="K751" s="66"/>
      <c r="L751" s="66"/>
      <c r="M751" s="8"/>
      <c r="N751" s="66"/>
      <c r="O751" s="66"/>
      <c r="P751" s="66"/>
      <c r="Q751" s="8"/>
      <c r="R751" s="66"/>
      <c r="S751" s="66"/>
      <c r="T751" s="66"/>
      <c r="U751" s="8"/>
      <c r="V751" s="66"/>
      <c r="W751" s="66"/>
      <c r="X751" s="66"/>
      <c r="Y751" s="189"/>
      <c r="Z751" s="184"/>
      <c r="AA751" s="184"/>
      <c r="AB751" s="184"/>
      <c r="AC751" s="8"/>
      <c r="AD751" s="66"/>
      <c r="AE751" s="66"/>
      <c r="AF751" s="66"/>
      <c r="AG751" s="190"/>
      <c r="AH751" s="191"/>
      <c r="AI751" s="190"/>
      <c r="AJ751" s="190"/>
      <c r="AK751" s="66"/>
      <c r="AL751" s="66"/>
      <c r="AM751" s="66"/>
      <c r="AN751" s="66"/>
      <c r="AO751" s="66"/>
      <c r="AP751" s="66"/>
      <c r="AQ751" s="66"/>
      <c r="AR751" s="66"/>
      <c r="AS751" s="66"/>
      <c r="AT751" s="66"/>
    </row>
    <row r="752">
      <c r="A752" s="8"/>
      <c r="B752" s="66"/>
      <c r="C752" s="66"/>
      <c r="D752" s="66"/>
      <c r="E752" s="8"/>
      <c r="F752" s="66"/>
      <c r="G752" s="66"/>
      <c r="H752" s="66"/>
      <c r="I752" s="8"/>
      <c r="J752" s="66"/>
      <c r="K752" s="66"/>
      <c r="L752" s="66"/>
      <c r="M752" s="8"/>
      <c r="N752" s="66"/>
      <c r="O752" s="66"/>
      <c r="P752" s="66"/>
      <c r="Q752" s="8"/>
      <c r="R752" s="66"/>
      <c r="S752" s="66"/>
      <c r="T752" s="66"/>
      <c r="U752" s="8"/>
      <c r="V752" s="66"/>
      <c r="W752" s="66"/>
      <c r="X752" s="66"/>
      <c r="Y752" s="189"/>
      <c r="Z752" s="184"/>
      <c r="AA752" s="184"/>
      <c r="AB752" s="184"/>
      <c r="AC752" s="8"/>
      <c r="AD752" s="66"/>
      <c r="AE752" s="66"/>
      <c r="AF752" s="66"/>
      <c r="AG752" s="190"/>
      <c r="AH752" s="191"/>
      <c r="AI752" s="190"/>
      <c r="AJ752" s="190"/>
      <c r="AK752" s="66"/>
      <c r="AL752" s="66"/>
      <c r="AM752" s="66"/>
      <c r="AN752" s="66"/>
      <c r="AO752" s="66"/>
      <c r="AP752" s="66"/>
      <c r="AQ752" s="66"/>
      <c r="AR752" s="66"/>
      <c r="AS752" s="66"/>
      <c r="AT752" s="66"/>
    </row>
    <row r="753">
      <c r="A753" s="8"/>
      <c r="B753" s="66"/>
      <c r="C753" s="66"/>
      <c r="D753" s="66"/>
      <c r="E753" s="8"/>
      <c r="F753" s="66"/>
      <c r="G753" s="66"/>
      <c r="H753" s="66"/>
      <c r="I753" s="8"/>
      <c r="J753" s="66"/>
      <c r="K753" s="66"/>
      <c r="L753" s="66"/>
      <c r="M753" s="8"/>
      <c r="N753" s="66"/>
      <c r="O753" s="66"/>
      <c r="P753" s="66"/>
      <c r="Q753" s="8"/>
      <c r="R753" s="66"/>
      <c r="S753" s="66"/>
      <c r="T753" s="66"/>
      <c r="U753" s="8"/>
      <c r="V753" s="66"/>
      <c r="W753" s="66"/>
      <c r="X753" s="66"/>
      <c r="Y753" s="189"/>
      <c r="Z753" s="184"/>
      <c r="AA753" s="184"/>
      <c r="AB753" s="184"/>
      <c r="AC753" s="8"/>
      <c r="AD753" s="66"/>
      <c r="AE753" s="66"/>
      <c r="AF753" s="66"/>
      <c r="AG753" s="190"/>
      <c r="AH753" s="191"/>
      <c r="AI753" s="190"/>
      <c r="AJ753" s="190"/>
      <c r="AK753" s="66"/>
      <c r="AL753" s="66"/>
      <c r="AM753" s="66"/>
      <c r="AN753" s="66"/>
      <c r="AO753" s="66"/>
      <c r="AP753" s="66"/>
      <c r="AQ753" s="66"/>
      <c r="AR753" s="66"/>
      <c r="AS753" s="66"/>
      <c r="AT753" s="66"/>
    </row>
    <row r="754">
      <c r="A754" s="8"/>
      <c r="B754" s="66"/>
      <c r="C754" s="66"/>
      <c r="D754" s="66"/>
      <c r="E754" s="8"/>
      <c r="F754" s="66"/>
      <c r="G754" s="66"/>
      <c r="H754" s="66"/>
      <c r="I754" s="8"/>
      <c r="J754" s="66"/>
      <c r="K754" s="66"/>
      <c r="L754" s="66"/>
      <c r="M754" s="8"/>
      <c r="N754" s="66"/>
      <c r="O754" s="66"/>
      <c r="P754" s="66"/>
      <c r="Q754" s="8"/>
      <c r="R754" s="66"/>
      <c r="S754" s="66"/>
      <c r="T754" s="66"/>
      <c r="U754" s="8"/>
      <c r="V754" s="66"/>
      <c r="W754" s="66"/>
      <c r="X754" s="66"/>
      <c r="Y754" s="189"/>
      <c r="Z754" s="184"/>
      <c r="AA754" s="184"/>
      <c r="AB754" s="184"/>
      <c r="AC754" s="8"/>
      <c r="AD754" s="66"/>
      <c r="AE754" s="66"/>
      <c r="AF754" s="66"/>
      <c r="AG754" s="190"/>
      <c r="AH754" s="191"/>
      <c r="AI754" s="190"/>
      <c r="AJ754" s="190"/>
      <c r="AK754" s="66"/>
      <c r="AL754" s="66"/>
      <c r="AM754" s="66"/>
      <c r="AN754" s="66"/>
      <c r="AO754" s="66"/>
      <c r="AP754" s="66"/>
      <c r="AQ754" s="66"/>
      <c r="AR754" s="66"/>
      <c r="AS754" s="66"/>
      <c r="AT754" s="66"/>
    </row>
    <row r="755">
      <c r="A755" s="8"/>
      <c r="B755" s="66"/>
      <c r="C755" s="66"/>
      <c r="D755" s="66"/>
      <c r="E755" s="8"/>
      <c r="F755" s="66"/>
      <c r="G755" s="66"/>
      <c r="H755" s="66"/>
      <c r="I755" s="8"/>
      <c r="J755" s="66"/>
      <c r="K755" s="66"/>
      <c r="L755" s="66"/>
      <c r="M755" s="8"/>
      <c r="N755" s="66"/>
      <c r="O755" s="66"/>
      <c r="P755" s="66"/>
      <c r="Q755" s="8"/>
      <c r="R755" s="66"/>
      <c r="S755" s="66"/>
      <c r="T755" s="66"/>
      <c r="U755" s="8"/>
      <c r="V755" s="66"/>
      <c r="W755" s="66"/>
      <c r="X755" s="66"/>
      <c r="Y755" s="189"/>
      <c r="Z755" s="184"/>
      <c r="AA755" s="184"/>
      <c r="AB755" s="184"/>
      <c r="AC755" s="8"/>
      <c r="AD755" s="66"/>
      <c r="AE755" s="66"/>
      <c r="AF755" s="66"/>
      <c r="AG755" s="190"/>
      <c r="AH755" s="191"/>
      <c r="AI755" s="190"/>
      <c r="AJ755" s="190"/>
      <c r="AK755" s="66"/>
      <c r="AL755" s="66"/>
      <c r="AM755" s="66"/>
      <c r="AN755" s="66"/>
      <c r="AO755" s="66"/>
      <c r="AP755" s="66"/>
      <c r="AQ755" s="66"/>
      <c r="AR755" s="66"/>
      <c r="AS755" s="66"/>
      <c r="AT755" s="66"/>
    </row>
    <row r="756">
      <c r="A756" s="8"/>
      <c r="B756" s="66"/>
      <c r="C756" s="66"/>
      <c r="D756" s="66"/>
      <c r="E756" s="8"/>
      <c r="F756" s="66"/>
      <c r="G756" s="66"/>
      <c r="H756" s="66"/>
      <c r="I756" s="8"/>
      <c r="J756" s="66"/>
      <c r="K756" s="66"/>
      <c r="L756" s="66"/>
      <c r="M756" s="8"/>
      <c r="N756" s="66"/>
      <c r="O756" s="66"/>
      <c r="P756" s="66"/>
      <c r="Q756" s="8"/>
      <c r="R756" s="66"/>
      <c r="S756" s="66"/>
      <c r="T756" s="66"/>
      <c r="U756" s="8"/>
      <c r="V756" s="66"/>
      <c r="W756" s="66"/>
      <c r="X756" s="66"/>
      <c r="Y756" s="189"/>
      <c r="Z756" s="184"/>
      <c r="AA756" s="184"/>
      <c r="AB756" s="184"/>
      <c r="AC756" s="8"/>
      <c r="AD756" s="66"/>
      <c r="AE756" s="66"/>
      <c r="AF756" s="66"/>
      <c r="AG756" s="190"/>
      <c r="AH756" s="191"/>
      <c r="AI756" s="190"/>
      <c r="AJ756" s="190"/>
      <c r="AK756" s="66"/>
      <c r="AL756" s="66"/>
      <c r="AM756" s="66"/>
      <c r="AN756" s="66"/>
      <c r="AO756" s="66"/>
      <c r="AP756" s="66"/>
      <c r="AQ756" s="66"/>
      <c r="AR756" s="66"/>
      <c r="AS756" s="66"/>
      <c r="AT756" s="66"/>
    </row>
    <row r="757">
      <c r="A757" s="8"/>
      <c r="B757" s="66"/>
      <c r="C757" s="66"/>
      <c r="D757" s="66"/>
      <c r="E757" s="8"/>
      <c r="F757" s="66"/>
      <c r="G757" s="66"/>
      <c r="H757" s="66"/>
      <c r="I757" s="8"/>
      <c r="J757" s="66"/>
      <c r="K757" s="66"/>
      <c r="L757" s="66"/>
      <c r="M757" s="8"/>
      <c r="N757" s="66"/>
      <c r="O757" s="66"/>
      <c r="P757" s="66"/>
      <c r="Q757" s="8"/>
      <c r="R757" s="66"/>
      <c r="S757" s="66"/>
      <c r="T757" s="66"/>
      <c r="U757" s="8"/>
      <c r="V757" s="66"/>
      <c r="W757" s="66"/>
      <c r="X757" s="66"/>
      <c r="Y757" s="189"/>
      <c r="Z757" s="184"/>
      <c r="AA757" s="184"/>
      <c r="AB757" s="184"/>
      <c r="AC757" s="8"/>
      <c r="AD757" s="66"/>
      <c r="AE757" s="66"/>
      <c r="AF757" s="66"/>
      <c r="AG757" s="190"/>
      <c r="AH757" s="191"/>
      <c r="AI757" s="190"/>
      <c r="AJ757" s="190"/>
      <c r="AK757" s="66"/>
      <c r="AL757" s="66"/>
      <c r="AM757" s="66"/>
      <c r="AN757" s="66"/>
      <c r="AO757" s="66"/>
      <c r="AP757" s="66"/>
      <c r="AQ757" s="66"/>
      <c r="AR757" s="66"/>
      <c r="AS757" s="66"/>
      <c r="AT757" s="66"/>
    </row>
    <row r="758">
      <c r="A758" s="8"/>
      <c r="B758" s="66"/>
      <c r="C758" s="66"/>
      <c r="D758" s="66"/>
      <c r="E758" s="8"/>
      <c r="F758" s="66"/>
      <c r="G758" s="66"/>
      <c r="H758" s="66"/>
      <c r="I758" s="8"/>
      <c r="J758" s="66"/>
      <c r="K758" s="66"/>
      <c r="L758" s="66"/>
      <c r="M758" s="8"/>
      <c r="N758" s="66"/>
      <c r="O758" s="66"/>
      <c r="P758" s="66"/>
      <c r="Q758" s="8"/>
      <c r="R758" s="66"/>
      <c r="S758" s="66"/>
      <c r="T758" s="66"/>
      <c r="U758" s="8"/>
      <c r="V758" s="66"/>
      <c r="W758" s="66"/>
      <c r="X758" s="66"/>
      <c r="Y758" s="189"/>
      <c r="Z758" s="184"/>
      <c r="AA758" s="184"/>
      <c r="AB758" s="184"/>
      <c r="AC758" s="8"/>
      <c r="AD758" s="66"/>
      <c r="AE758" s="66"/>
      <c r="AF758" s="66"/>
      <c r="AG758" s="190"/>
      <c r="AH758" s="191"/>
      <c r="AI758" s="190"/>
      <c r="AJ758" s="190"/>
      <c r="AK758" s="66"/>
      <c r="AL758" s="66"/>
      <c r="AM758" s="66"/>
      <c r="AN758" s="66"/>
      <c r="AO758" s="66"/>
      <c r="AP758" s="66"/>
      <c r="AQ758" s="66"/>
      <c r="AR758" s="66"/>
      <c r="AS758" s="66"/>
      <c r="AT758" s="66"/>
    </row>
    <row r="759">
      <c r="A759" s="8"/>
      <c r="B759" s="66"/>
      <c r="C759" s="66"/>
      <c r="D759" s="66"/>
      <c r="E759" s="8"/>
      <c r="F759" s="66"/>
      <c r="G759" s="66"/>
      <c r="H759" s="66"/>
      <c r="I759" s="8"/>
      <c r="J759" s="66"/>
      <c r="K759" s="66"/>
      <c r="L759" s="66"/>
      <c r="M759" s="8"/>
      <c r="N759" s="66"/>
      <c r="O759" s="66"/>
      <c r="P759" s="66"/>
      <c r="Q759" s="8"/>
      <c r="R759" s="66"/>
      <c r="S759" s="66"/>
      <c r="T759" s="66"/>
      <c r="U759" s="8"/>
      <c r="V759" s="66"/>
      <c r="W759" s="66"/>
      <c r="X759" s="66"/>
      <c r="Y759" s="189"/>
      <c r="Z759" s="184"/>
      <c r="AA759" s="184"/>
      <c r="AB759" s="184"/>
      <c r="AC759" s="8"/>
      <c r="AD759" s="66"/>
      <c r="AE759" s="66"/>
      <c r="AF759" s="66"/>
      <c r="AG759" s="190"/>
      <c r="AH759" s="191"/>
      <c r="AI759" s="190"/>
      <c r="AJ759" s="190"/>
      <c r="AK759" s="66"/>
      <c r="AL759" s="66"/>
      <c r="AM759" s="66"/>
      <c r="AN759" s="66"/>
      <c r="AO759" s="66"/>
      <c r="AP759" s="66"/>
      <c r="AQ759" s="66"/>
      <c r="AR759" s="66"/>
      <c r="AS759" s="66"/>
      <c r="AT759" s="66"/>
    </row>
    <row r="760">
      <c r="A760" s="8"/>
      <c r="B760" s="66"/>
      <c r="C760" s="66"/>
      <c r="D760" s="66"/>
      <c r="E760" s="8"/>
      <c r="F760" s="66"/>
      <c r="G760" s="66"/>
      <c r="H760" s="66"/>
      <c r="I760" s="8"/>
      <c r="J760" s="66"/>
      <c r="K760" s="66"/>
      <c r="L760" s="66"/>
      <c r="M760" s="8"/>
      <c r="N760" s="66"/>
      <c r="O760" s="66"/>
      <c r="P760" s="66"/>
      <c r="Q760" s="8"/>
      <c r="R760" s="66"/>
      <c r="S760" s="66"/>
      <c r="T760" s="66"/>
      <c r="U760" s="8"/>
      <c r="V760" s="66"/>
      <c r="W760" s="66"/>
      <c r="X760" s="66"/>
      <c r="Y760" s="189"/>
      <c r="Z760" s="184"/>
      <c r="AA760" s="184"/>
      <c r="AB760" s="184"/>
      <c r="AC760" s="8"/>
      <c r="AD760" s="66"/>
      <c r="AE760" s="66"/>
      <c r="AF760" s="66"/>
      <c r="AG760" s="190"/>
      <c r="AH760" s="191"/>
      <c r="AI760" s="190"/>
      <c r="AJ760" s="190"/>
      <c r="AK760" s="66"/>
      <c r="AL760" s="66"/>
      <c r="AM760" s="66"/>
      <c r="AN760" s="66"/>
      <c r="AO760" s="66"/>
      <c r="AP760" s="66"/>
      <c r="AQ760" s="66"/>
      <c r="AR760" s="66"/>
      <c r="AS760" s="66"/>
      <c r="AT760" s="66"/>
    </row>
    <row r="761">
      <c r="A761" s="8"/>
      <c r="B761" s="66"/>
      <c r="C761" s="66"/>
      <c r="D761" s="66"/>
      <c r="E761" s="8"/>
      <c r="F761" s="66"/>
      <c r="G761" s="66"/>
      <c r="H761" s="66"/>
      <c r="I761" s="8"/>
      <c r="J761" s="66"/>
      <c r="K761" s="66"/>
      <c r="L761" s="66"/>
      <c r="M761" s="8"/>
      <c r="N761" s="66"/>
      <c r="O761" s="66"/>
      <c r="P761" s="66"/>
      <c r="Q761" s="8"/>
      <c r="R761" s="66"/>
      <c r="S761" s="66"/>
      <c r="T761" s="66"/>
      <c r="U761" s="8"/>
      <c r="V761" s="66"/>
      <c r="W761" s="66"/>
      <c r="X761" s="66"/>
      <c r="Y761" s="189"/>
      <c r="Z761" s="184"/>
      <c r="AA761" s="184"/>
      <c r="AB761" s="184"/>
      <c r="AC761" s="8"/>
      <c r="AD761" s="66"/>
      <c r="AE761" s="66"/>
      <c r="AF761" s="66"/>
      <c r="AG761" s="190"/>
      <c r="AH761" s="191"/>
      <c r="AI761" s="190"/>
      <c r="AJ761" s="190"/>
      <c r="AK761" s="66"/>
      <c r="AL761" s="66"/>
      <c r="AM761" s="66"/>
      <c r="AN761" s="66"/>
      <c r="AO761" s="66"/>
      <c r="AP761" s="66"/>
      <c r="AQ761" s="66"/>
      <c r="AR761" s="66"/>
      <c r="AS761" s="66"/>
      <c r="AT761" s="66"/>
    </row>
    <row r="762">
      <c r="A762" s="8"/>
      <c r="B762" s="66"/>
      <c r="C762" s="66"/>
      <c r="D762" s="66"/>
      <c r="E762" s="8"/>
      <c r="F762" s="66"/>
      <c r="G762" s="66"/>
      <c r="H762" s="66"/>
      <c r="I762" s="8"/>
      <c r="J762" s="66"/>
      <c r="K762" s="66"/>
      <c r="L762" s="66"/>
      <c r="M762" s="8"/>
      <c r="N762" s="66"/>
      <c r="O762" s="66"/>
      <c r="P762" s="66"/>
      <c r="Q762" s="8"/>
      <c r="R762" s="66"/>
      <c r="S762" s="66"/>
      <c r="T762" s="66"/>
      <c r="U762" s="8"/>
      <c r="V762" s="66"/>
      <c r="W762" s="66"/>
      <c r="X762" s="66"/>
      <c r="Y762" s="189"/>
      <c r="Z762" s="184"/>
      <c r="AA762" s="184"/>
      <c r="AB762" s="184"/>
      <c r="AC762" s="8"/>
      <c r="AD762" s="66"/>
      <c r="AE762" s="66"/>
      <c r="AF762" s="66"/>
      <c r="AG762" s="190"/>
      <c r="AH762" s="191"/>
      <c r="AI762" s="190"/>
      <c r="AJ762" s="190"/>
      <c r="AK762" s="66"/>
      <c r="AL762" s="66"/>
      <c r="AM762" s="66"/>
      <c r="AN762" s="66"/>
      <c r="AO762" s="66"/>
      <c r="AP762" s="66"/>
      <c r="AQ762" s="66"/>
      <c r="AR762" s="66"/>
      <c r="AS762" s="66"/>
      <c r="AT762" s="66"/>
    </row>
    <row r="763">
      <c r="A763" s="8"/>
      <c r="B763" s="66"/>
      <c r="C763" s="66"/>
      <c r="D763" s="66"/>
      <c r="E763" s="8"/>
      <c r="F763" s="66"/>
      <c r="G763" s="66"/>
      <c r="H763" s="66"/>
      <c r="I763" s="8"/>
      <c r="J763" s="66"/>
      <c r="K763" s="66"/>
      <c r="L763" s="66"/>
      <c r="M763" s="8"/>
      <c r="N763" s="66"/>
      <c r="O763" s="66"/>
      <c r="P763" s="66"/>
      <c r="Q763" s="8"/>
      <c r="R763" s="66"/>
      <c r="S763" s="66"/>
      <c r="T763" s="66"/>
      <c r="U763" s="8"/>
      <c r="V763" s="66"/>
      <c r="W763" s="66"/>
      <c r="X763" s="66"/>
      <c r="Y763" s="189"/>
      <c r="Z763" s="184"/>
      <c r="AA763" s="184"/>
      <c r="AB763" s="184"/>
      <c r="AC763" s="8"/>
      <c r="AD763" s="66"/>
      <c r="AE763" s="66"/>
      <c r="AF763" s="66"/>
      <c r="AG763" s="190"/>
      <c r="AH763" s="191"/>
      <c r="AI763" s="190"/>
      <c r="AJ763" s="190"/>
      <c r="AK763" s="66"/>
      <c r="AL763" s="66"/>
      <c r="AM763" s="66"/>
      <c r="AN763" s="66"/>
      <c r="AO763" s="66"/>
      <c r="AP763" s="66"/>
      <c r="AQ763" s="66"/>
      <c r="AR763" s="66"/>
      <c r="AS763" s="66"/>
      <c r="AT763" s="66"/>
    </row>
    <row r="764">
      <c r="A764" s="8"/>
      <c r="B764" s="66"/>
      <c r="C764" s="66"/>
      <c r="D764" s="66"/>
      <c r="E764" s="8"/>
      <c r="F764" s="66"/>
      <c r="G764" s="66"/>
      <c r="H764" s="66"/>
      <c r="I764" s="8"/>
      <c r="J764" s="66"/>
      <c r="K764" s="66"/>
      <c r="L764" s="66"/>
      <c r="M764" s="8"/>
      <c r="N764" s="66"/>
      <c r="O764" s="66"/>
      <c r="P764" s="66"/>
      <c r="Q764" s="8"/>
      <c r="R764" s="66"/>
      <c r="S764" s="66"/>
      <c r="T764" s="66"/>
      <c r="U764" s="8"/>
      <c r="V764" s="66"/>
      <c r="W764" s="66"/>
      <c r="X764" s="66"/>
      <c r="Y764" s="189"/>
      <c r="Z764" s="184"/>
      <c r="AA764" s="184"/>
      <c r="AB764" s="184"/>
      <c r="AC764" s="8"/>
      <c r="AD764" s="66"/>
      <c r="AE764" s="66"/>
      <c r="AF764" s="66"/>
      <c r="AG764" s="190"/>
      <c r="AH764" s="191"/>
      <c r="AI764" s="190"/>
      <c r="AJ764" s="190"/>
      <c r="AK764" s="66"/>
      <c r="AL764" s="66"/>
      <c r="AM764" s="66"/>
      <c r="AN764" s="66"/>
      <c r="AO764" s="66"/>
      <c r="AP764" s="66"/>
      <c r="AQ764" s="66"/>
      <c r="AR764" s="66"/>
      <c r="AS764" s="66"/>
      <c r="AT764" s="66"/>
    </row>
    <row r="765">
      <c r="A765" s="8"/>
      <c r="B765" s="66"/>
      <c r="C765" s="66"/>
      <c r="D765" s="66"/>
      <c r="E765" s="8"/>
      <c r="F765" s="66"/>
      <c r="G765" s="66"/>
      <c r="H765" s="66"/>
      <c r="I765" s="8"/>
      <c r="J765" s="66"/>
      <c r="K765" s="66"/>
      <c r="L765" s="66"/>
      <c r="M765" s="8"/>
      <c r="N765" s="66"/>
      <c r="O765" s="66"/>
      <c r="P765" s="66"/>
      <c r="Q765" s="8"/>
      <c r="R765" s="66"/>
      <c r="S765" s="66"/>
      <c r="T765" s="66"/>
      <c r="U765" s="8"/>
      <c r="V765" s="66"/>
      <c r="W765" s="66"/>
      <c r="X765" s="66"/>
      <c r="Y765" s="189"/>
      <c r="Z765" s="184"/>
      <c r="AA765" s="184"/>
      <c r="AB765" s="184"/>
      <c r="AC765" s="8"/>
      <c r="AD765" s="66"/>
      <c r="AE765" s="66"/>
      <c r="AF765" s="66"/>
      <c r="AG765" s="190"/>
      <c r="AH765" s="191"/>
      <c r="AI765" s="190"/>
      <c r="AJ765" s="190"/>
      <c r="AK765" s="66"/>
      <c r="AL765" s="66"/>
      <c r="AM765" s="66"/>
      <c r="AN765" s="66"/>
      <c r="AO765" s="66"/>
      <c r="AP765" s="66"/>
      <c r="AQ765" s="66"/>
      <c r="AR765" s="66"/>
      <c r="AS765" s="66"/>
      <c r="AT765" s="66"/>
    </row>
    <row r="766">
      <c r="A766" s="8"/>
      <c r="B766" s="66"/>
      <c r="C766" s="66"/>
      <c r="D766" s="66"/>
      <c r="E766" s="8"/>
      <c r="F766" s="66"/>
      <c r="G766" s="66"/>
      <c r="H766" s="66"/>
      <c r="I766" s="8"/>
      <c r="J766" s="66"/>
      <c r="K766" s="66"/>
      <c r="L766" s="66"/>
      <c r="M766" s="8"/>
      <c r="N766" s="66"/>
      <c r="O766" s="66"/>
      <c r="P766" s="66"/>
      <c r="Q766" s="8"/>
      <c r="R766" s="66"/>
      <c r="S766" s="66"/>
      <c r="T766" s="66"/>
      <c r="U766" s="8"/>
      <c r="V766" s="66"/>
      <c r="W766" s="66"/>
      <c r="X766" s="66"/>
      <c r="Y766" s="189"/>
      <c r="Z766" s="184"/>
      <c r="AA766" s="184"/>
      <c r="AB766" s="184"/>
      <c r="AC766" s="8"/>
      <c r="AD766" s="66"/>
      <c r="AE766" s="66"/>
      <c r="AF766" s="66"/>
      <c r="AG766" s="190"/>
      <c r="AH766" s="191"/>
      <c r="AI766" s="190"/>
      <c r="AJ766" s="190"/>
      <c r="AK766" s="66"/>
      <c r="AL766" s="66"/>
      <c r="AM766" s="66"/>
      <c r="AN766" s="66"/>
      <c r="AO766" s="66"/>
      <c r="AP766" s="66"/>
      <c r="AQ766" s="66"/>
      <c r="AR766" s="66"/>
      <c r="AS766" s="66"/>
      <c r="AT766" s="66"/>
    </row>
    <row r="767">
      <c r="A767" s="8"/>
      <c r="B767" s="66"/>
      <c r="C767" s="66"/>
      <c r="D767" s="66"/>
      <c r="E767" s="8"/>
      <c r="F767" s="66"/>
      <c r="G767" s="66"/>
      <c r="H767" s="66"/>
      <c r="I767" s="8"/>
      <c r="J767" s="66"/>
      <c r="K767" s="66"/>
      <c r="L767" s="66"/>
      <c r="M767" s="8"/>
      <c r="N767" s="66"/>
      <c r="O767" s="66"/>
      <c r="P767" s="66"/>
      <c r="Q767" s="8"/>
      <c r="R767" s="66"/>
      <c r="S767" s="66"/>
      <c r="T767" s="66"/>
      <c r="U767" s="8"/>
      <c r="V767" s="66"/>
      <c r="W767" s="66"/>
      <c r="X767" s="66"/>
      <c r="Y767" s="189"/>
      <c r="Z767" s="184"/>
      <c r="AA767" s="184"/>
      <c r="AB767" s="184"/>
      <c r="AC767" s="8"/>
      <c r="AD767" s="66"/>
      <c r="AE767" s="66"/>
      <c r="AF767" s="66"/>
      <c r="AG767" s="190"/>
      <c r="AH767" s="191"/>
      <c r="AI767" s="190"/>
      <c r="AJ767" s="190"/>
      <c r="AK767" s="66"/>
      <c r="AL767" s="66"/>
      <c r="AM767" s="66"/>
      <c r="AN767" s="66"/>
      <c r="AO767" s="66"/>
      <c r="AP767" s="66"/>
      <c r="AQ767" s="66"/>
      <c r="AR767" s="66"/>
      <c r="AS767" s="66"/>
      <c r="AT767" s="66"/>
    </row>
    <row r="768">
      <c r="A768" s="8"/>
      <c r="B768" s="66"/>
      <c r="C768" s="66"/>
      <c r="D768" s="66"/>
      <c r="E768" s="8"/>
      <c r="F768" s="66"/>
      <c r="G768" s="66"/>
      <c r="H768" s="66"/>
      <c r="I768" s="8"/>
      <c r="J768" s="66"/>
      <c r="K768" s="66"/>
      <c r="L768" s="66"/>
      <c r="M768" s="8"/>
      <c r="N768" s="66"/>
      <c r="O768" s="66"/>
      <c r="P768" s="66"/>
      <c r="Q768" s="8"/>
      <c r="R768" s="66"/>
      <c r="S768" s="66"/>
      <c r="T768" s="66"/>
      <c r="U768" s="8"/>
      <c r="V768" s="66"/>
      <c r="W768" s="66"/>
      <c r="X768" s="66"/>
      <c r="Y768" s="189"/>
      <c r="Z768" s="184"/>
      <c r="AA768" s="184"/>
      <c r="AB768" s="184"/>
      <c r="AC768" s="8"/>
      <c r="AD768" s="66"/>
      <c r="AE768" s="66"/>
      <c r="AF768" s="66"/>
      <c r="AG768" s="190"/>
      <c r="AH768" s="191"/>
      <c r="AI768" s="190"/>
      <c r="AJ768" s="190"/>
      <c r="AK768" s="66"/>
      <c r="AL768" s="66"/>
      <c r="AM768" s="66"/>
      <c r="AN768" s="66"/>
      <c r="AO768" s="66"/>
      <c r="AP768" s="66"/>
      <c r="AQ768" s="66"/>
      <c r="AR768" s="66"/>
      <c r="AS768" s="66"/>
      <c r="AT768" s="66"/>
    </row>
    <row r="769">
      <c r="A769" s="8"/>
      <c r="B769" s="66"/>
      <c r="C769" s="66"/>
      <c r="D769" s="66"/>
      <c r="E769" s="8"/>
      <c r="F769" s="66"/>
      <c r="G769" s="66"/>
      <c r="H769" s="66"/>
      <c r="I769" s="8"/>
      <c r="J769" s="66"/>
      <c r="K769" s="66"/>
      <c r="L769" s="66"/>
      <c r="M769" s="8"/>
      <c r="N769" s="66"/>
      <c r="O769" s="66"/>
      <c r="P769" s="66"/>
      <c r="Q769" s="8"/>
      <c r="R769" s="66"/>
      <c r="S769" s="66"/>
      <c r="T769" s="66"/>
      <c r="U769" s="8"/>
      <c r="V769" s="66"/>
      <c r="W769" s="66"/>
      <c r="X769" s="66"/>
      <c r="Y769" s="189"/>
      <c r="Z769" s="184"/>
      <c r="AA769" s="184"/>
      <c r="AB769" s="184"/>
      <c r="AC769" s="8"/>
      <c r="AD769" s="66"/>
      <c r="AE769" s="66"/>
      <c r="AF769" s="66"/>
      <c r="AG769" s="190"/>
      <c r="AH769" s="191"/>
      <c r="AI769" s="190"/>
      <c r="AJ769" s="190"/>
      <c r="AK769" s="66"/>
      <c r="AL769" s="66"/>
      <c r="AM769" s="66"/>
      <c r="AN769" s="66"/>
      <c r="AO769" s="66"/>
      <c r="AP769" s="66"/>
      <c r="AQ769" s="66"/>
      <c r="AR769" s="66"/>
      <c r="AS769" s="66"/>
      <c r="AT769" s="66"/>
    </row>
    <row r="770">
      <c r="A770" s="8"/>
      <c r="B770" s="66"/>
      <c r="C770" s="66"/>
      <c r="D770" s="66"/>
      <c r="E770" s="8"/>
      <c r="F770" s="66"/>
      <c r="G770" s="66"/>
      <c r="H770" s="66"/>
      <c r="I770" s="8"/>
      <c r="J770" s="66"/>
      <c r="K770" s="66"/>
      <c r="L770" s="66"/>
      <c r="M770" s="8"/>
      <c r="N770" s="66"/>
      <c r="O770" s="66"/>
      <c r="P770" s="66"/>
      <c r="Q770" s="8"/>
      <c r="R770" s="66"/>
      <c r="S770" s="66"/>
      <c r="T770" s="66"/>
      <c r="U770" s="8"/>
      <c r="V770" s="66"/>
      <c r="W770" s="66"/>
      <c r="X770" s="66"/>
      <c r="Y770" s="189"/>
      <c r="Z770" s="184"/>
      <c r="AA770" s="184"/>
      <c r="AB770" s="184"/>
      <c r="AC770" s="8"/>
      <c r="AD770" s="66"/>
      <c r="AE770" s="66"/>
      <c r="AF770" s="66"/>
      <c r="AG770" s="190"/>
      <c r="AH770" s="191"/>
      <c r="AI770" s="190"/>
      <c r="AJ770" s="190"/>
      <c r="AK770" s="66"/>
      <c r="AL770" s="66"/>
      <c r="AM770" s="66"/>
      <c r="AN770" s="66"/>
      <c r="AO770" s="66"/>
      <c r="AP770" s="66"/>
      <c r="AQ770" s="66"/>
      <c r="AR770" s="66"/>
      <c r="AS770" s="66"/>
      <c r="AT770" s="66"/>
    </row>
    <row r="771">
      <c r="A771" s="8"/>
      <c r="B771" s="66"/>
      <c r="C771" s="66"/>
      <c r="D771" s="66"/>
      <c r="E771" s="8"/>
      <c r="F771" s="66"/>
      <c r="G771" s="66"/>
      <c r="H771" s="66"/>
      <c r="I771" s="8"/>
      <c r="J771" s="66"/>
      <c r="K771" s="66"/>
      <c r="L771" s="66"/>
      <c r="M771" s="8"/>
      <c r="N771" s="66"/>
      <c r="O771" s="66"/>
      <c r="P771" s="66"/>
      <c r="Q771" s="8"/>
      <c r="R771" s="66"/>
      <c r="S771" s="66"/>
      <c r="T771" s="66"/>
      <c r="U771" s="8"/>
      <c r="V771" s="66"/>
      <c r="W771" s="66"/>
      <c r="X771" s="66"/>
      <c r="Y771" s="189"/>
      <c r="Z771" s="184"/>
      <c r="AA771" s="184"/>
      <c r="AB771" s="184"/>
      <c r="AC771" s="8"/>
      <c r="AD771" s="66"/>
      <c r="AE771" s="66"/>
      <c r="AF771" s="66"/>
      <c r="AG771" s="190"/>
      <c r="AH771" s="191"/>
      <c r="AI771" s="190"/>
      <c r="AJ771" s="190"/>
      <c r="AK771" s="66"/>
      <c r="AL771" s="66"/>
      <c r="AM771" s="66"/>
      <c r="AN771" s="66"/>
      <c r="AO771" s="66"/>
      <c r="AP771" s="66"/>
      <c r="AQ771" s="66"/>
      <c r="AR771" s="66"/>
      <c r="AS771" s="66"/>
      <c r="AT771" s="66"/>
    </row>
    <row r="772">
      <c r="A772" s="8"/>
      <c r="B772" s="66"/>
      <c r="C772" s="66"/>
      <c r="D772" s="66"/>
      <c r="E772" s="8"/>
      <c r="F772" s="66"/>
      <c r="G772" s="66"/>
      <c r="H772" s="66"/>
      <c r="I772" s="8"/>
      <c r="J772" s="66"/>
      <c r="K772" s="66"/>
      <c r="L772" s="66"/>
      <c r="M772" s="8"/>
      <c r="N772" s="66"/>
      <c r="O772" s="66"/>
      <c r="P772" s="66"/>
      <c r="Q772" s="8"/>
      <c r="R772" s="66"/>
      <c r="S772" s="66"/>
      <c r="T772" s="66"/>
      <c r="U772" s="8"/>
      <c r="V772" s="66"/>
      <c r="W772" s="66"/>
      <c r="X772" s="66"/>
      <c r="Y772" s="189"/>
      <c r="Z772" s="184"/>
      <c r="AA772" s="184"/>
      <c r="AB772" s="184"/>
      <c r="AC772" s="8"/>
      <c r="AD772" s="66"/>
      <c r="AE772" s="66"/>
      <c r="AF772" s="66"/>
      <c r="AG772" s="190"/>
      <c r="AH772" s="191"/>
      <c r="AI772" s="190"/>
      <c r="AJ772" s="190"/>
      <c r="AK772" s="66"/>
      <c r="AL772" s="66"/>
      <c r="AM772" s="66"/>
      <c r="AN772" s="66"/>
      <c r="AO772" s="66"/>
      <c r="AP772" s="66"/>
      <c r="AQ772" s="66"/>
      <c r="AR772" s="66"/>
      <c r="AS772" s="66"/>
      <c r="AT772" s="66"/>
    </row>
    <row r="773">
      <c r="A773" s="8"/>
      <c r="B773" s="66"/>
      <c r="C773" s="66"/>
      <c r="D773" s="66"/>
      <c r="E773" s="8"/>
      <c r="F773" s="66"/>
      <c r="G773" s="66"/>
      <c r="H773" s="66"/>
      <c r="I773" s="8"/>
      <c r="J773" s="66"/>
      <c r="K773" s="66"/>
      <c r="L773" s="66"/>
      <c r="M773" s="8"/>
      <c r="N773" s="66"/>
      <c r="O773" s="66"/>
      <c r="P773" s="66"/>
      <c r="Q773" s="8"/>
      <c r="R773" s="66"/>
      <c r="S773" s="66"/>
      <c r="T773" s="66"/>
      <c r="U773" s="8"/>
      <c r="V773" s="66"/>
      <c r="W773" s="66"/>
      <c r="X773" s="66"/>
      <c r="Y773" s="189"/>
      <c r="Z773" s="184"/>
      <c r="AA773" s="184"/>
      <c r="AB773" s="184"/>
      <c r="AC773" s="8"/>
      <c r="AD773" s="66"/>
      <c r="AE773" s="66"/>
      <c r="AF773" s="66"/>
      <c r="AG773" s="190"/>
      <c r="AH773" s="191"/>
      <c r="AI773" s="190"/>
      <c r="AJ773" s="190"/>
      <c r="AK773" s="66"/>
      <c r="AL773" s="66"/>
      <c r="AM773" s="66"/>
      <c r="AN773" s="66"/>
      <c r="AO773" s="66"/>
      <c r="AP773" s="66"/>
      <c r="AQ773" s="66"/>
      <c r="AR773" s="66"/>
      <c r="AS773" s="66"/>
      <c r="AT773" s="66"/>
    </row>
    <row r="774">
      <c r="A774" s="8"/>
      <c r="B774" s="66"/>
      <c r="C774" s="66"/>
      <c r="D774" s="66"/>
      <c r="E774" s="8"/>
      <c r="F774" s="66"/>
      <c r="G774" s="66"/>
      <c r="H774" s="66"/>
      <c r="I774" s="8"/>
      <c r="J774" s="66"/>
      <c r="K774" s="66"/>
      <c r="L774" s="66"/>
      <c r="M774" s="8"/>
      <c r="N774" s="66"/>
      <c r="O774" s="66"/>
      <c r="P774" s="66"/>
      <c r="Q774" s="8"/>
      <c r="R774" s="66"/>
      <c r="S774" s="66"/>
      <c r="T774" s="66"/>
      <c r="U774" s="8"/>
      <c r="V774" s="66"/>
      <c r="W774" s="66"/>
      <c r="X774" s="66"/>
      <c r="Y774" s="189"/>
      <c r="Z774" s="184"/>
      <c r="AA774" s="184"/>
      <c r="AB774" s="184"/>
      <c r="AC774" s="8"/>
      <c r="AD774" s="66"/>
      <c r="AE774" s="66"/>
      <c r="AF774" s="66"/>
      <c r="AG774" s="190"/>
      <c r="AH774" s="191"/>
      <c r="AI774" s="190"/>
      <c r="AJ774" s="190"/>
      <c r="AK774" s="66"/>
      <c r="AL774" s="66"/>
      <c r="AM774" s="66"/>
      <c r="AN774" s="66"/>
      <c r="AO774" s="66"/>
      <c r="AP774" s="66"/>
      <c r="AQ774" s="66"/>
      <c r="AR774" s="66"/>
      <c r="AS774" s="66"/>
      <c r="AT774" s="66"/>
    </row>
    <row r="775">
      <c r="A775" s="8"/>
      <c r="B775" s="66"/>
      <c r="C775" s="66"/>
      <c r="D775" s="66"/>
      <c r="E775" s="8"/>
      <c r="F775" s="66"/>
      <c r="G775" s="66"/>
      <c r="H775" s="66"/>
      <c r="I775" s="8"/>
      <c r="J775" s="66"/>
      <c r="K775" s="66"/>
      <c r="L775" s="66"/>
      <c r="M775" s="8"/>
      <c r="N775" s="66"/>
      <c r="O775" s="66"/>
      <c r="P775" s="66"/>
      <c r="Q775" s="8"/>
      <c r="R775" s="66"/>
      <c r="S775" s="66"/>
      <c r="T775" s="66"/>
      <c r="U775" s="8"/>
      <c r="V775" s="66"/>
      <c r="W775" s="66"/>
      <c r="X775" s="66"/>
      <c r="Y775" s="189"/>
      <c r="Z775" s="184"/>
      <c r="AA775" s="184"/>
      <c r="AB775" s="184"/>
      <c r="AC775" s="8"/>
      <c r="AD775" s="66"/>
      <c r="AE775" s="66"/>
      <c r="AF775" s="66"/>
      <c r="AG775" s="190"/>
      <c r="AH775" s="191"/>
      <c r="AI775" s="190"/>
      <c r="AJ775" s="190"/>
      <c r="AK775" s="66"/>
      <c r="AL775" s="66"/>
      <c r="AM775" s="66"/>
      <c r="AN775" s="66"/>
      <c r="AO775" s="66"/>
      <c r="AP775" s="66"/>
      <c r="AQ775" s="66"/>
      <c r="AR775" s="66"/>
      <c r="AS775" s="66"/>
      <c r="AT775" s="66"/>
    </row>
    <row r="776">
      <c r="A776" s="8"/>
      <c r="B776" s="66"/>
      <c r="C776" s="66"/>
      <c r="D776" s="66"/>
      <c r="E776" s="8"/>
      <c r="F776" s="66"/>
      <c r="G776" s="66"/>
      <c r="H776" s="66"/>
      <c r="I776" s="8"/>
      <c r="J776" s="66"/>
      <c r="K776" s="66"/>
      <c r="L776" s="66"/>
      <c r="M776" s="8"/>
      <c r="N776" s="66"/>
      <c r="O776" s="66"/>
      <c r="P776" s="66"/>
      <c r="Q776" s="8"/>
      <c r="R776" s="66"/>
      <c r="S776" s="66"/>
      <c r="T776" s="66"/>
      <c r="U776" s="8"/>
      <c r="V776" s="66"/>
      <c r="W776" s="66"/>
      <c r="X776" s="66"/>
      <c r="Y776" s="189"/>
      <c r="Z776" s="184"/>
      <c r="AA776" s="184"/>
      <c r="AB776" s="184"/>
      <c r="AC776" s="8"/>
      <c r="AD776" s="66"/>
      <c r="AE776" s="66"/>
      <c r="AF776" s="66"/>
      <c r="AG776" s="190"/>
      <c r="AH776" s="191"/>
      <c r="AI776" s="190"/>
      <c r="AJ776" s="190"/>
      <c r="AK776" s="66"/>
      <c r="AL776" s="66"/>
      <c r="AM776" s="66"/>
      <c r="AN776" s="66"/>
      <c r="AO776" s="66"/>
      <c r="AP776" s="66"/>
      <c r="AQ776" s="66"/>
      <c r="AR776" s="66"/>
      <c r="AS776" s="66"/>
      <c r="AT776" s="66"/>
    </row>
    <row r="777">
      <c r="A777" s="8"/>
      <c r="B777" s="66"/>
      <c r="C777" s="66"/>
      <c r="D777" s="66"/>
      <c r="E777" s="8"/>
      <c r="F777" s="66"/>
      <c r="G777" s="66"/>
      <c r="H777" s="66"/>
      <c r="I777" s="8"/>
      <c r="J777" s="66"/>
      <c r="K777" s="66"/>
      <c r="L777" s="66"/>
      <c r="M777" s="8"/>
      <c r="N777" s="66"/>
      <c r="O777" s="66"/>
      <c r="P777" s="66"/>
      <c r="Q777" s="8"/>
      <c r="R777" s="66"/>
      <c r="S777" s="66"/>
      <c r="T777" s="66"/>
      <c r="U777" s="8"/>
      <c r="V777" s="66"/>
      <c r="W777" s="66"/>
      <c r="X777" s="66"/>
      <c r="Y777" s="189"/>
      <c r="Z777" s="184"/>
      <c r="AA777" s="184"/>
      <c r="AB777" s="184"/>
      <c r="AC777" s="8"/>
      <c r="AD777" s="66"/>
      <c r="AE777" s="66"/>
      <c r="AF777" s="66"/>
      <c r="AG777" s="190"/>
      <c r="AH777" s="191"/>
      <c r="AI777" s="190"/>
      <c r="AJ777" s="190"/>
      <c r="AK777" s="66"/>
      <c r="AL777" s="66"/>
      <c r="AM777" s="66"/>
      <c r="AN777" s="66"/>
      <c r="AO777" s="66"/>
      <c r="AP777" s="66"/>
      <c r="AQ777" s="66"/>
      <c r="AR777" s="66"/>
      <c r="AS777" s="66"/>
      <c r="AT777" s="66"/>
    </row>
    <row r="778">
      <c r="A778" s="8"/>
      <c r="B778" s="66"/>
      <c r="C778" s="66"/>
      <c r="D778" s="66"/>
      <c r="E778" s="8"/>
      <c r="F778" s="66"/>
      <c r="G778" s="66"/>
      <c r="H778" s="66"/>
      <c r="I778" s="8"/>
      <c r="J778" s="66"/>
      <c r="K778" s="66"/>
      <c r="L778" s="66"/>
      <c r="M778" s="8"/>
      <c r="N778" s="66"/>
      <c r="O778" s="66"/>
      <c r="P778" s="66"/>
      <c r="Q778" s="8"/>
      <c r="R778" s="66"/>
      <c r="S778" s="66"/>
      <c r="T778" s="66"/>
      <c r="U778" s="8"/>
      <c r="V778" s="66"/>
      <c r="W778" s="66"/>
      <c r="X778" s="66"/>
      <c r="Y778" s="189"/>
      <c r="Z778" s="184"/>
      <c r="AA778" s="184"/>
      <c r="AB778" s="184"/>
      <c r="AC778" s="8"/>
      <c r="AD778" s="66"/>
      <c r="AE778" s="66"/>
      <c r="AF778" s="66"/>
      <c r="AG778" s="190"/>
      <c r="AH778" s="191"/>
      <c r="AI778" s="190"/>
      <c r="AJ778" s="190"/>
      <c r="AK778" s="66"/>
      <c r="AL778" s="66"/>
      <c r="AM778" s="66"/>
      <c r="AN778" s="66"/>
      <c r="AO778" s="66"/>
      <c r="AP778" s="66"/>
      <c r="AQ778" s="66"/>
      <c r="AR778" s="66"/>
      <c r="AS778" s="66"/>
      <c r="AT778" s="66"/>
    </row>
    <row r="779">
      <c r="A779" s="8"/>
      <c r="B779" s="66"/>
      <c r="C779" s="66"/>
      <c r="D779" s="66"/>
      <c r="E779" s="8"/>
      <c r="F779" s="66"/>
      <c r="G779" s="66"/>
      <c r="H779" s="66"/>
      <c r="I779" s="8"/>
      <c r="J779" s="66"/>
      <c r="K779" s="66"/>
      <c r="L779" s="66"/>
      <c r="M779" s="8"/>
      <c r="N779" s="66"/>
      <c r="O779" s="66"/>
      <c r="P779" s="66"/>
      <c r="Q779" s="8"/>
      <c r="R779" s="66"/>
      <c r="S779" s="66"/>
      <c r="T779" s="66"/>
      <c r="U779" s="8"/>
      <c r="V779" s="66"/>
      <c r="W779" s="66"/>
      <c r="X779" s="66"/>
      <c r="Y779" s="189"/>
      <c r="Z779" s="184"/>
      <c r="AA779" s="184"/>
      <c r="AB779" s="184"/>
      <c r="AC779" s="8"/>
      <c r="AD779" s="66"/>
      <c r="AE779" s="66"/>
      <c r="AF779" s="66"/>
      <c r="AG779" s="190"/>
      <c r="AH779" s="191"/>
      <c r="AI779" s="190"/>
      <c r="AJ779" s="190"/>
      <c r="AK779" s="66"/>
      <c r="AL779" s="66"/>
      <c r="AM779" s="66"/>
      <c r="AN779" s="66"/>
      <c r="AO779" s="66"/>
      <c r="AP779" s="66"/>
      <c r="AQ779" s="66"/>
      <c r="AR779" s="66"/>
      <c r="AS779" s="66"/>
      <c r="AT779" s="66"/>
    </row>
    <row r="780">
      <c r="A780" s="8"/>
      <c r="B780" s="66"/>
      <c r="C780" s="66"/>
      <c r="D780" s="66"/>
      <c r="E780" s="8"/>
      <c r="F780" s="66"/>
      <c r="G780" s="66"/>
      <c r="H780" s="66"/>
      <c r="I780" s="8"/>
      <c r="J780" s="66"/>
      <c r="K780" s="66"/>
      <c r="L780" s="66"/>
      <c r="M780" s="8"/>
      <c r="N780" s="66"/>
      <c r="O780" s="66"/>
      <c r="P780" s="66"/>
      <c r="Q780" s="8"/>
      <c r="R780" s="66"/>
      <c r="S780" s="66"/>
      <c r="T780" s="66"/>
      <c r="U780" s="8"/>
      <c r="V780" s="66"/>
      <c r="W780" s="66"/>
      <c r="X780" s="66"/>
      <c r="Y780" s="189"/>
      <c r="Z780" s="184"/>
      <c r="AA780" s="184"/>
      <c r="AB780" s="184"/>
      <c r="AC780" s="8"/>
      <c r="AD780" s="66"/>
      <c r="AE780" s="66"/>
      <c r="AF780" s="66"/>
      <c r="AG780" s="190"/>
      <c r="AH780" s="191"/>
      <c r="AI780" s="190"/>
      <c r="AJ780" s="190"/>
      <c r="AK780" s="66"/>
      <c r="AL780" s="66"/>
      <c r="AM780" s="66"/>
      <c r="AN780" s="66"/>
      <c r="AO780" s="66"/>
      <c r="AP780" s="66"/>
      <c r="AQ780" s="66"/>
      <c r="AR780" s="66"/>
      <c r="AS780" s="66"/>
      <c r="AT780" s="66"/>
    </row>
    <row r="781">
      <c r="A781" s="8"/>
      <c r="B781" s="66"/>
      <c r="C781" s="66"/>
      <c r="D781" s="66"/>
      <c r="E781" s="8"/>
      <c r="F781" s="66"/>
      <c r="G781" s="66"/>
      <c r="H781" s="66"/>
      <c r="I781" s="8"/>
      <c r="J781" s="66"/>
      <c r="K781" s="66"/>
      <c r="L781" s="66"/>
      <c r="M781" s="8"/>
      <c r="N781" s="66"/>
      <c r="O781" s="66"/>
      <c r="P781" s="66"/>
      <c r="Q781" s="8"/>
      <c r="R781" s="66"/>
      <c r="S781" s="66"/>
      <c r="T781" s="66"/>
      <c r="U781" s="8"/>
      <c r="V781" s="66"/>
      <c r="W781" s="66"/>
      <c r="X781" s="66"/>
      <c r="Y781" s="189"/>
      <c r="Z781" s="184"/>
      <c r="AA781" s="184"/>
      <c r="AB781" s="184"/>
      <c r="AC781" s="8"/>
      <c r="AD781" s="66"/>
      <c r="AE781" s="66"/>
      <c r="AF781" s="66"/>
      <c r="AG781" s="190"/>
      <c r="AH781" s="191"/>
      <c r="AI781" s="190"/>
      <c r="AJ781" s="190"/>
      <c r="AK781" s="66"/>
      <c r="AL781" s="66"/>
      <c r="AM781" s="66"/>
      <c r="AN781" s="66"/>
      <c r="AO781" s="66"/>
      <c r="AP781" s="66"/>
      <c r="AQ781" s="66"/>
      <c r="AR781" s="66"/>
      <c r="AS781" s="66"/>
      <c r="AT781" s="66"/>
    </row>
    <row r="782">
      <c r="A782" s="8"/>
      <c r="B782" s="66"/>
      <c r="C782" s="66"/>
      <c r="D782" s="66"/>
      <c r="E782" s="8"/>
      <c r="F782" s="66"/>
      <c r="G782" s="66"/>
      <c r="H782" s="66"/>
      <c r="I782" s="8"/>
      <c r="J782" s="66"/>
      <c r="K782" s="66"/>
      <c r="L782" s="66"/>
      <c r="M782" s="8"/>
      <c r="N782" s="66"/>
      <c r="O782" s="66"/>
      <c r="P782" s="66"/>
      <c r="Q782" s="8"/>
      <c r="R782" s="66"/>
      <c r="S782" s="66"/>
      <c r="T782" s="66"/>
      <c r="U782" s="8"/>
      <c r="V782" s="66"/>
      <c r="W782" s="66"/>
      <c r="X782" s="66"/>
      <c r="Y782" s="189"/>
      <c r="Z782" s="184"/>
      <c r="AA782" s="184"/>
      <c r="AB782" s="184"/>
      <c r="AC782" s="8"/>
      <c r="AD782" s="66"/>
      <c r="AE782" s="66"/>
      <c r="AF782" s="66"/>
      <c r="AG782" s="190"/>
      <c r="AH782" s="191"/>
      <c r="AI782" s="190"/>
      <c r="AJ782" s="190"/>
      <c r="AK782" s="66"/>
      <c r="AL782" s="66"/>
      <c r="AM782" s="66"/>
      <c r="AN782" s="66"/>
      <c r="AO782" s="66"/>
      <c r="AP782" s="66"/>
      <c r="AQ782" s="66"/>
      <c r="AR782" s="66"/>
      <c r="AS782" s="66"/>
      <c r="AT782" s="66"/>
    </row>
    <row r="783">
      <c r="A783" s="8"/>
      <c r="B783" s="66"/>
      <c r="C783" s="66"/>
      <c r="D783" s="66"/>
      <c r="E783" s="8"/>
      <c r="F783" s="66"/>
      <c r="G783" s="66"/>
      <c r="H783" s="66"/>
      <c r="I783" s="8"/>
      <c r="J783" s="66"/>
      <c r="K783" s="66"/>
      <c r="L783" s="66"/>
      <c r="M783" s="8"/>
      <c r="N783" s="66"/>
      <c r="O783" s="66"/>
      <c r="P783" s="66"/>
      <c r="Q783" s="8"/>
      <c r="R783" s="66"/>
      <c r="S783" s="66"/>
      <c r="T783" s="66"/>
      <c r="U783" s="8"/>
      <c r="V783" s="66"/>
      <c r="W783" s="66"/>
      <c r="X783" s="66"/>
      <c r="Y783" s="189"/>
      <c r="Z783" s="184"/>
      <c r="AA783" s="184"/>
      <c r="AB783" s="184"/>
      <c r="AC783" s="8"/>
      <c r="AD783" s="66"/>
      <c r="AE783" s="66"/>
      <c r="AF783" s="66"/>
      <c r="AG783" s="190"/>
      <c r="AH783" s="191"/>
      <c r="AI783" s="190"/>
      <c r="AJ783" s="190"/>
      <c r="AK783" s="66"/>
      <c r="AL783" s="66"/>
      <c r="AM783" s="66"/>
      <c r="AN783" s="66"/>
      <c r="AO783" s="66"/>
      <c r="AP783" s="66"/>
      <c r="AQ783" s="66"/>
      <c r="AR783" s="66"/>
      <c r="AS783" s="66"/>
      <c r="AT783" s="66"/>
    </row>
    <row r="784">
      <c r="A784" s="8"/>
      <c r="B784" s="66"/>
      <c r="C784" s="66"/>
      <c r="D784" s="66"/>
      <c r="E784" s="8"/>
      <c r="F784" s="66"/>
      <c r="G784" s="66"/>
      <c r="H784" s="66"/>
      <c r="I784" s="8"/>
      <c r="J784" s="66"/>
      <c r="K784" s="66"/>
      <c r="L784" s="66"/>
      <c r="M784" s="8"/>
      <c r="N784" s="66"/>
      <c r="O784" s="66"/>
      <c r="P784" s="66"/>
      <c r="Q784" s="8"/>
      <c r="R784" s="66"/>
      <c r="S784" s="66"/>
      <c r="T784" s="66"/>
      <c r="U784" s="8"/>
      <c r="V784" s="66"/>
      <c r="W784" s="66"/>
      <c r="X784" s="66"/>
      <c r="Y784" s="189"/>
      <c r="Z784" s="184"/>
      <c r="AA784" s="184"/>
      <c r="AB784" s="184"/>
      <c r="AC784" s="8"/>
      <c r="AD784" s="66"/>
      <c r="AE784" s="66"/>
      <c r="AF784" s="66"/>
      <c r="AG784" s="190"/>
      <c r="AH784" s="191"/>
      <c r="AI784" s="190"/>
      <c r="AJ784" s="190"/>
      <c r="AK784" s="66"/>
      <c r="AL784" s="66"/>
      <c r="AM784" s="66"/>
      <c r="AN784" s="66"/>
      <c r="AO784" s="66"/>
      <c r="AP784" s="66"/>
      <c r="AQ784" s="66"/>
      <c r="AR784" s="66"/>
      <c r="AS784" s="66"/>
      <c r="AT784" s="66"/>
    </row>
    <row r="785">
      <c r="A785" s="8"/>
      <c r="B785" s="66"/>
      <c r="C785" s="66"/>
      <c r="D785" s="66"/>
      <c r="E785" s="8"/>
      <c r="F785" s="66"/>
      <c r="G785" s="66"/>
      <c r="H785" s="66"/>
      <c r="I785" s="8"/>
      <c r="J785" s="66"/>
      <c r="K785" s="66"/>
      <c r="L785" s="66"/>
      <c r="M785" s="8"/>
      <c r="N785" s="66"/>
      <c r="O785" s="66"/>
      <c r="P785" s="66"/>
      <c r="Q785" s="8"/>
      <c r="R785" s="66"/>
      <c r="S785" s="66"/>
      <c r="T785" s="66"/>
      <c r="U785" s="8"/>
      <c r="V785" s="66"/>
      <c r="W785" s="66"/>
      <c r="X785" s="66"/>
      <c r="Y785" s="189"/>
      <c r="Z785" s="184"/>
      <c r="AA785" s="184"/>
      <c r="AB785" s="184"/>
      <c r="AC785" s="8"/>
      <c r="AD785" s="66"/>
      <c r="AE785" s="66"/>
      <c r="AF785" s="66"/>
      <c r="AG785" s="190"/>
      <c r="AH785" s="191"/>
      <c r="AI785" s="190"/>
      <c r="AJ785" s="190"/>
      <c r="AK785" s="66"/>
      <c r="AL785" s="66"/>
      <c r="AM785" s="66"/>
      <c r="AN785" s="66"/>
      <c r="AO785" s="66"/>
      <c r="AP785" s="66"/>
      <c r="AQ785" s="66"/>
      <c r="AR785" s="66"/>
      <c r="AS785" s="66"/>
      <c r="AT785" s="66"/>
    </row>
    <row r="786">
      <c r="A786" s="8"/>
      <c r="B786" s="66"/>
      <c r="C786" s="66"/>
      <c r="D786" s="66"/>
      <c r="E786" s="8"/>
      <c r="F786" s="66"/>
      <c r="G786" s="66"/>
      <c r="H786" s="66"/>
      <c r="I786" s="8"/>
      <c r="J786" s="66"/>
      <c r="K786" s="66"/>
      <c r="L786" s="66"/>
      <c r="M786" s="8"/>
      <c r="N786" s="66"/>
      <c r="O786" s="66"/>
      <c r="P786" s="66"/>
      <c r="Q786" s="8"/>
      <c r="R786" s="66"/>
      <c r="S786" s="66"/>
      <c r="T786" s="66"/>
      <c r="U786" s="8"/>
      <c r="V786" s="66"/>
      <c r="W786" s="66"/>
      <c r="X786" s="66"/>
      <c r="Y786" s="189"/>
      <c r="Z786" s="184"/>
      <c r="AA786" s="184"/>
      <c r="AB786" s="184"/>
      <c r="AC786" s="8"/>
      <c r="AD786" s="66"/>
      <c r="AE786" s="66"/>
      <c r="AF786" s="66"/>
      <c r="AG786" s="190"/>
      <c r="AH786" s="191"/>
      <c r="AI786" s="190"/>
      <c r="AJ786" s="190"/>
      <c r="AK786" s="66"/>
      <c r="AL786" s="66"/>
      <c r="AM786" s="66"/>
      <c r="AN786" s="66"/>
      <c r="AO786" s="66"/>
      <c r="AP786" s="66"/>
      <c r="AQ786" s="66"/>
      <c r="AR786" s="66"/>
      <c r="AS786" s="66"/>
      <c r="AT786" s="66"/>
    </row>
    <row r="787">
      <c r="A787" s="8"/>
      <c r="B787" s="66"/>
      <c r="C787" s="66"/>
      <c r="D787" s="66"/>
      <c r="E787" s="8"/>
      <c r="F787" s="66"/>
      <c r="G787" s="66"/>
      <c r="H787" s="66"/>
      <c r="I787" s="8"/>
      <c r="J787" s="66"/>
      <c r="K787" s="66"/>
      <c r="L787" s="66"/>
      <c r="M787" s="8"/>
      <c r="N787" s="66"/>
      <c r="O787" s="66"/>
      <c r="P787" s="66"/>
      <c r="Q787" s="8"/>
      <c r="R787" s="66"/>
      <c r="S787" s="66"/>
      <c r="T787" s="66"/>
      <c r="U787" s="8"/>
      <c r="V787" s="66"/>
      <c r="W787" s="66"/>
      <c r="X787" s="66"/>
      <c r="Y787" s="189"/>
      <c r="Z787" s="184"/>
      <c r="AA787" s="184"/>
      <c r="AB787" s="184"/>
      <c r="AC787" s="8"/>
      <c r="AD787" s="66"/>
      <c r="AE787" s="66"/>
      <c r="AF787" s="66"/>
      <c r="AG787" s="190"/>
      <c r="AH787" s="191"/>
      <c r="AI787" s="190"/>
      <c r="AJ787" s="190"/>
      <c r="AK787" s="66"/>
      <c r="AL787" s="66"/>
      <c r="AM787" s="66"/>
      <c r="AN787" s="66"/>
      <c r="AO787" s="66"/>
      <c r="AP787" s="66"/>
      <c r="AQ787" s="66"/>
      <c r="AR787" s="66"/>
      <c r="AS787" s="66"/>
      <c r="AT787" s="66"/>
    </row>
    <row r="788">
      <c r="A788" s="8"/>
      <c r="B788" s="66"/>
      <c r="C788" s="66"/>
      <c r="D788" s="66"/>
      <c r="E788" s="8"/>
      <c r="F788" s="66"/>
      <c r="G788" s="66"/>
      <c r="H788" s="66"/>
      <c r="I788" s="8"/>
      <c r="J788" s="66"/>
      <c r="K788" s="66"/>
      <c r="L788" s="66"/>
      <c r="M788" s="8"/>
      <c r="N788" s="66"/>
      <c r="O788" s="66"/>
      <c r="P788" s="66"/>
      <c r="Q788" s="8"/>
      <c r="R788" s="66"/>
      <c r="S788" s="66"/>
      <c r="T788" s="66"/>
      <c r="U788" s="8"/>
      <c r="V788" s="66"/>
      <c r="W788" s="66"/>
      <c r="X788" s="66"/>
      <c r="Y788" s="189"/>
      <c r="Z788" s="184"/>
      <c r="AA788" s="184"/>
      <c r="AB788" s="184"/>
      <c r="AC788" s="8"/>
      <c r="AD788" s="66"/>
      <c r="AE788" s="66"/>
      <c r="AF788" s="66"/>
      <c r="AG788" s="190"/>
      <c r="AH788" s="191"/>
      <c r="AI788" s="190"/>
      <c r="AJ788" s="190"/>
      <c r="AK788" s="66"/>
      <c r="AL788" s="66"/>
      <c r="AM788" s="66"/>
      <c r="AN788" s="66"/>
      <c r="AO788" s="66"/>
      <c r="AP788" s="66"/>
      <c r="AQ788" s="66"/>
      <c r="AR788" s="66"/>
      <c r="AS788" s="66"/>
      <c r="AT788" s="66"/>
    </row>
    <row r="789">
      <c r="A789" s="8"/>
      <c r="B789" s="66"/>
      <c r="C789" s="66"/>
      <c r="D789" s="66"/>
      <c r="E789" s="8"/>
      <c r="F789" s="66"/>
      <c r="G789" s="66"/>
      <c r="H789" s="66"/>
      <c r="I789" s="8"/>
      <c r="J789" s="66"/>
      <c r="K789" s="66"/>
      <c r="L789" s="66"/>
      <c r="M789" s="8"/>
      <c r="N789" s="66"/>
      <c r="O789" s="66"/>
      <c r="P789" s="66"/>
      <c r="Q789" s="8"/>
      <c r="R789" s="66"/>
      <c r="S789" s="66"/>
      <c r="T789" s="66"/>
      <c r="U789" s="8"/>
      <c r="V789" s="66"/>
      <c r="W789" s="66"/>
      <c r="X789" s="66"/>
      <c r="Y789" s="189"/>
      <c r="Z789" s="184"/>
      <c r="AA789" s="184"/>
      <c r="AB789" s="184"/>
      <c r="AC789" s="8"/>
      <c r="AD789" s="66"/>
      <c r="AE789" s="66"/>
      <c r="AF789" s="66"/>
      <c r="AG789" s="190"/>
      <c r="AH789" s="191"/>
      <c r="AI789" s="190"/>
      <c r="AJ789" s="190"/>
      <c r="AK789" s="66"/>
      <c r="AL789" s="66"/>
      <c r="AM789" s="66"/>
      <c r="AN789" s="66"/>
      <c r="AO789" s="66"/>
      <c r="AP789" s="66"/>
      <c r="AQ789" s="66"/>
      <c r="AR789" s="66"/>
      <c r="AS789" s="66"/>
      <c r="AT789" s="66"/>
    </row>
    <row r="790">
      <c r="A790" s="8"/>
      <c r="B790" s="66"/>
      <c r="C790" s="66"/>
      <c r="D790" s="66"/>
      <c r="E790" s="8"/>
      <c r="F790" s="66"/>
      <c r="G790" s="66"/>
      <c r="H790" s="66"/>
      <c r="I790" s="8"/>
      <c r="J790" s="66"/>
      <c r="K790" s="66"/>
      <c r="L790" s="66"/>
      <c r="M790" s="8"/>
      <c r="N790" s="66"/>
      <c r="O790" s="66"/>
      <c r="P790" s="66"/>
      <c r="Q790" s="8"/>
      <c r="R790" s="66"/>
      <c r="S790" s="66"/>
      <c r="T790" s="66"/>
      <c r="U790" s="8"/>
      <c r="V790" s="66"/>
      <c r="W790" s="66"/>
      <c r="X790" s="66"/>
      <c r="Y790" s="189"/>
      <c r="Z790" s="184"/>
      <c r="AA790" s="184"/>
      <c r="AB790" s="184"/>
      <c r="AC790" s="8"/>
      <c r="AD790" s="66"/>
      <c r="AE790" s="66"/>
      <c r="AF790" s="66"/>
      <c r="AG790" s="190"/>
      <c r="AH790" s="191"/>
      <c r="AI790" s="190"/>
      <c r="AJ790" s="190"/>
      <c r="AK790" s="66"/>
      <c r="AL790" s="66"/>
      <c r="AM790" s="66"/>
      <c r="AN790" s="66"/>
      <c r="AO790" s="66"/>
      <c r="AP790" s="66"/>
      <c r="AQ790" s="66"/>
      <c r="AR790" s="66"/>
      <c r="AS790" s="66"/>
      <c r="AT790" s="66"/>
    </row>
    <row r="791">
      <c r="A791" s="8"/>
      <c r="B791" s="66"/>
      <c r="C791" s="66"/>
      <c r="D791" s="66"/>
      <c r="E791" s="8"/>
      <c r="F791" s="66"/>
      <c r="G791" s="66"/>
      <c r="H791" s="66"/>
      <c r="I791" s="8"/>
      <c r="J791" s="66"/>
      <c r="K791" s="66"/>
      <c r="L791" s="66"/>
      <c r="M791" s="8"/>
      <c r="N791" s="66"/>
      <c r="O791" s="66"/>
      <c r="P791" s="66"/>
      <c r="Q791" s="8"/>
      <c r="R791" s="66"/>
      <c r="S791" s="66"/>
      <c r="T791" s="66"/>
      <c r="U791" s="8"/>
      <c r="V791" s="66"/>
      <c r="W791" s="66"/>
      <c r="X791" s="66"/>
      <c r="Y791" s="189"/>
      <c r="Z791" s="184"/>
      <c r="AA791" s="184"/>
      <c r="AB791" s="184"/>
      <c r="AC791" s="8"/>
      <c r="AD791" s="66"/>
      <c r="AE791" s="66"/>
      <c r="AF791" s="66"/>
      <c r="AG791" s="190"/>
      <c r="AH791" s="191"/>
      <c r="AI791" s="190"/>
      <c r="AJ791" s="190"/>
      <c r="AK791" s="66"/>
      <c r="AL791" s="66"/>
      <c r="AM791" s="66"/>
      <c r="AN791" s="66"/>
      <c r="AO791" s="66"/>
      <c r="AP791" s="66"/>
      <c r="AQ791" s="66"/>
      <c r="AR791" s="66"/>
      <c r="AS791" s="66"/>
      <c r="AT791" s="66"/>
    </row>
    <row r="792">
      <c r="A792" s="8"/>
      <c r="B792" s="66"/>
      <c r="C792" s="66"/>
      <c r="D792" s="66"/>
      <c r="E792" s="8"/>
      <c r="F792" s="66"/>
      <c r="G792" s="66"/>
      <c r="H792" s="66"/>
      <c r="I792" s="8"/>
      <c r="J792" s="66"/>
      <c r="K792" s="66"/>
      <c r="L792" s="66"/>
      <c r="M792" s="8"/>
      <c r="N792" s="66"/>
      <c r="O792" s="66"/>
      <c r="P792" s="66"/>
      <c r="Q792" s="8"/>
      <c r="R792" s="66"/>
      <c r="S792" s="66"/>
      <c r="T792" s="66"/>
      <c r="U792" s="8"/>
      <c r="V792" s="66"/>
      <c r="W792" s="66"/>
      <c r="X792" s="66"/>
      <c r="Y792" s="189"/>
      <c r="Z792" s="184"/>
      <c r="AA792" s="184"/>
      <c r="AB792" s="184"/>
      <c r="AC792" s="8"/>
      <c r="AD792" s="66"/>
      <c r="AE792" s="66"/>
      <c r="AF792" s="66"/>
      <c r="AG792" s="190"/>
      <c r="AH792" s="191"/>
      <c r="AI792" s="190"/>
      <c r="AJ792" s="190"/>
      <c r="AK792" s="66"/>
      <c r="AL792" s="66"/>
      <c r="AM792" s="66"/>
      <c r="AN792" s="66"/>
      <c r="AO792" s="66"/>
      <c r="AP792" s="66"/>
      <c r="AQ792" s="66"/>
      <c r="AR792" s="66"/>
      <c r="AS792" s="66"/>
      <c r="AT792" s="66"/>
    </row>
    <row r="793">
      <c r="A793" s="8"/>
      <c r="B793" s="66"/>
      <c r="C793" s="66"/>
      <c r="D793" s="66"/>
      <c r="E793" s="8"/>
      <c r="F793" s="66"/>
      <c r="G793" s="66"/>
      <c r="H793" s="66"/>
      <c r="I793" s="8"/>
      <c r="J793" s="66"/>
      <c r="K793" s="66"/>
      <c r="L793" s="66"/>
      <c r="M793" s="8"/>
      <c r="N793" s="66"/>
      <c r="O793" s="66"/>
      <c r="P793" s="66"/>
      <c r="Q793" s="8"/>
      <c r="R793" s="66"/>
      <c r="S793" s="66"/>
      <c r="T793" s="66"/>
      <c r="U793" s="8"/>
      <c r="V793" s="66"/>
      <c r="W793" s="66"/>
      <c r="X793" s="66"/>
      <c r="Y793" s="189"/>
      <c r="Z793" s="184"/>
      <c r="AA793" s="184"/>
      <c r="AB793" s="184"/>
      <c r="AC793" s="8"/>
      <c r="AD793" s="66"/>
      <c r="AE793" s="66"/>
      <c r="AF793" s="66"/>
      <c r="AG793" s="190"/>
      <c r="AH793" s="191"/>
      <c r="AI793" s="190"/>
      <c r="AJ793" s="190"/>
      <c r="AK793" s="66"/>
      <c r="AL793" s="66"/>
      <c r="AM793" s="66"/>
      <c r="AN793" s="66"/>
      <c r="AO793" s="66"/>
      <c r="AP793" s="66"/>
      <c r="AQ793" s="66"/>
      <c r="AR793" s="66"/>
      <c r="AS793" s="66"/>
      <c r="AT793" s="66"/>
    </row>
    <row r="794">
      <c r="A794" s="8"/>
      <c r="B794" s="66"/>
      <c r="C794" s="66"/>
      <c r="D794" s="66"/>
      <c r="E794" s="8"/>
      <c r="F794" s="66"/>
      <c r="G794" s="66"/>
      <c r="H794" s="66"/>
      <c r="I794" s="8"/>
      <c r="J794" s="66"/>
      <c r="K794" s="66"/>
      <c r="L794" s="66"/>
      <c r="M794" s="8"/>
      <c r="N794" s="66"/>
      <c r="O794" s="66"/>
      <c r="P794" s="66"/>
      <c r="Q794" s="8"/>
      <c r="R794" s="66"/>
      <c r="S794" s="66"/>
      <c r="T794" s="66"/>
      <c r="U794" s="8"/>
      <c r="V794" s="66"/>
      <c r="W794" s="66"/>
      <c r="X794" s="66"/>
      <c r="Y794" s="189"/>
      <c r="Z794" s="184"/>
      <c r="AA794" s="184"/>
      <c r="AB794" s="184"/>
      <c r="AC794" s="8"/>
      <c r="AD794" s="66"/>
      <c r="AE794" s="66"/>
      <c r="AF794" s="66"/>
      <c r="AG794" s="190"/>
      <c r="AH794" s="191"/>
      <c r="AI794" s="190"/>
      <c r="AJ794" s="190"/>
      <c r="AK794" s="66"/>
      <c r="AL794" s="66"/>
      <c r="AM794" s="66"/>
      <c r="AN794" s="66"/>
      <c r="AO794" s="66"/>
      <c r="AP794" s="66"/>
      <c r="AQ794" s="66"/>
      <c r="AR794" s="66"/>
      <c r="AS794" s="66"/>
      <c r="AT794" s="66"/>
    </row>
    <row r="795">
      <c r="A795" s="8"/>
      <c r="B795" s="66"/>
      <c r="C795" s="66"/>
      <c r="D795" s="66"/>
      <c r="E795" s="8"/>
      <c r="F795" s="66"/>
      <c r="G795" s="66"/>
      <c r="H795" s="66"/>
      <c r="I795" s="8"/>
      <c r="J795" s="66"/>
      <c r="K795" s="66"/>
      <c r="L795" s="66"/>
      <c r="M795" s="8"/>
      <c r="N795" s="66"/>
      <c r="O795" s="66"/>
      <c r="P795" s="66"/>
      <c r="Q795" s="8"/>
      <c r="R795" s="66"/>
      <c r="S795" s="66"/>
      <c r="T795" s="66"/>
      <c r="U795" s="8"/>
      <c r="V795" s="66"/>
      <c r="W795" s="66"/>
      <c r="X795" s="66"/>
      <c r="Y795" s="189"/>
      <c r="Z795" s="184"/>
      <c r="AA795" s="184"/>
      <c r="AB795" s="184"/>
      <c r="AC795" s="8"/>
      <c r="AD795" s="66"/>
      <c r="AE795" s="66"/>
      <c r="AF795" s="66"/>
      <c r="AG795" s="190"/>
      <c r="AH795" s="191"/>
      <c r="AI795" s="190"/>
      <c r="AJ795" s="190"/>
      <c r="AK795" s="66"/>
      <c r="AL795" s="66"/>
      <c r="AM795" s="66"/>
      <c r="AN795" s="66"/>
      <c r="AO795" s="66"/>
      <c r="AP795" s="66"/>
      <c r="AQ795" s="66"/>
      <c r="AR795" s="66"/>
      <c r="AS795" s="66"/>
      <c r="AT795" s="66"/>
    </row>
    <row r="796">
      <c r="A796" s="8"/>
      <c r="B796" s="66"/>
      <c r="C796" s="66"/>
      <c r="D796" s="66"/>
      <c r="E796" s="8"/>
      <c r="F796" s="66"/>
      <c r="G796" s="66"/>
      <c r="H796" s="66"/>
      <c r="I796" s="8"/>
      <c r="J796" s="66"/>
      <c r="K796" s="66"/>
      <c r="L796" s="66"/>
      <c r="M796" s="8"/>
      <c r="N796" s="66"/>
      <c r="O796" s="66"/>
      <c r="P796" s="66"/>
      <c r="Q796" s="8"/>
      <c r="R796" s="66"/>
      <c r="S796" s="66"/>
      <c r="T796" s="66"/>
      <c r="U796" s="8"/>
      <c r="V796" s="66"/>
      <c r="W796" s="66"/>
      <c r="X796" s="66"/>
      <c r="Y796" s="189"/>
      <c r="Z796" s="184"/>
      <c r="AA796" s="184"/>
      <c r="AB796" s="184"/>
      <c r="AC796" s="8"/>
      <c r="AD796" s="66"/>
      <c r="AE796" s="66"/>
      <c r="AF796" s="66"/>
      <c r="AG796" s="190"/>
      <c r="AH796" s="191"/>
      <c r="AI796" s="190"/>
      <c r="AJ796" s="190"/>
      <c r="AK796" s="66"/>
      <c r="AL796" s="66"/>
      <c r="AM796" s="66"/>
      <c r="AN796" s="66"/>
      <c r="AO796" s="66"/>
      <c r="AP796" s="66"/>
      <c r="AQ796" s="66"/>
      <c r="AR796" s="66"/>
      <c r="AS796" s="66"/>
      <c r="AT796" s="66"/>
    </row>
    <row r="797">
      <c r="A797" s="8"/>
      <c r="B797" s="66"/>
      <c r="C797" s="66"/>
      <c r="D797" s="66"/>
      <c r="E797" s="8"/>
      <c r="F797" s="66"/>
      <c r="G797" s="66"/>
      <c r="H797" s="66"/>
      <c r="I797" s="8"/>
      <c r="J797" s="66"/>
      <c r="K797" s="66"/>
      <c r="L797" s="66"/>
      <c r="M797" s="8"/>
      <c r="N797" s="66"/>
      <c r="O797" s="66"/>
      <c r="P797" s="66"/>
      <c r="Q797" s="8"/>
      <c r="R797" s="66"/>
      <c r="S797" s="66"/>
      <c r="T797" s="66"/>
      <c r="U797" s="8"/>
      <c r="V797" s="66"/>
      <c r="W797" s="66"/>
      <c r="X797" s="66"/>
      <c r="Y797" s="189"/>
      <c r="Z797" s="184"/>
      <c r="AA797" s="184"/>
      <c r="AB797" s="184"/>
      <c r="AC797" s="8"/>
      <c r="AD797" s="66"/>
      <c r="AE797" s="66"/>
      <c r="AF797" s="66"/>
      <c r="AG797" s="190"/>
      <c r="AH797" s="191"/>
      <c r="AI797" s="190"/>
      <c r="AJ797" s="190"/>
      <c r="AK797" s="66"/>
      <c r="AL797" s="66"/>
      <c r="AM797" s="66"/>
      <c r="AN797" s="66"/>
      <c r="AO797" s="66"/>
      <c r="AP797" s="66"/>
      <c r="AQ797" s="66"/>
      <c r="AR797" s="66"/>
      <c r="AS797" s="66"/>
      <c r="AT797" s="66"/>
    </row>
    <row r="798">
      <c r="A798" s="8"/>
      <c r="B798" s="66"/>
      <c r="C798" s="66"/>
      <c r="D798" s="66"/>
      <c r="E798" s="8"/>
      <c r="F798" s="66"/>
      <c r="G798" s="66"/>
      <c r="H798" s="66"/>
      <c r="I798" s="8"/>
      <c r="J798" s="66"/>
      <c r="K798" s="66"/>
      <c r="L798" s="66"/>
      <c r="M798" s="8"/>
      <c r="N798" s="66"/>
      <c r="O798" s="66"/>
      <c r="P798" s="66"/>
      <c r="Q798" s="8"/>
      <c r="R798" s="66"/>
      <c r="S798" s="66"/>
      <c r="T798" s="66"/>
      <c r="U798" s="8"/>
      <c r="V798" s="66"/>
      <c r="W798" s="66"/>
      <c r="X798" s="66"/>
      <c r="Y798" s="189"/>
      <c r="Z798" s="184"/>
      <c r="AA798" s="184"/>
      <c r="AB798" s="184"/>
      <c r="AC798" s="8"/>
      <c r="AD798" s="66"/>
      <c r="AE798" s="66"/>
      <c r="AF798" s="66"/>
      <c r="AG798" s="190"/>
      <c r="AH798" s="191"/>
      <c r="AI798" s="190"/>
      <c r="AJ798" s="190"/>
      <c r="AK798" s="66"/>
      <c r="AL798" s="66"/>
      <c r="AM798" s="66"/>
      <c r="AN798" s="66"/>
      <c r="AO798" s="66"/>
      <c r="AP798" s="66"/>
      <c r="AQ798" s="66"/>
      <c r="AR798" s="66"/>
      <c r="AS798" s="66"/>
      <c r="AT798" s="66"/>
    </row>
    <row r="799">
      <c r="A799" s="8"/>
      <c r="B799" s="66"/>
      <c r="C799" s="66"/>
      <c r="D799" s="66"/>
      <c r="E799" s="8"/>
      <c r="F799" s="66"/>
      <c r="G799" s="66"/>
      <c r="H799" s="66"/>
      <c r="I799" s="8"/>
      <c r="J799" s="66"/>
      <c r="K799" s="66"/>
      <c r="L799" s="66"/>
      <c r="M799" s="8"/>
      <c r="N799" s="66"/>
      <c r="O799" s="66"/>
      <c r="P799" s="66"/>
      <c r="Q799" s="8"/>
      <c r="R799" s="66"/>
      <c r="S799" s="66"/>
      <c r="T799" s="66"/>
      <c r="U799" s="8"/>
      <c r="V799" s="66"/>
      <c r="W799" s="66"/>
      <c r="X799" s="66"/>
      <c r="Y799" s="189"/>
      <c r="Z799" s="184"/>
      <c r="AA799" s="184"/>
      <c r="AB799" s="184"/>
      <c r="AC799" s="8"/>
      <c r="AD799" s="66"/>
      <c r="AE799" s="66"/>
      <c r="AF799" s="66"/>
      <c r="AG799" s="190"/>
      <c r="AH799" s="191"/>
      <c r="AI799" s="190"/>
      <c r="AJ799" s="190"/>
      <c r="AK799" s="66"/>
      <c r="AL799" s="66"/>
      <c r="AM799" s="66"/>
      <c r="AN799" s="66"/>
      <c r="AO799" s="66"/>
      <c r="AP799" s="66"/>
      <c r="AQ799" s="66"/>
      <c r="AR799" s="66"/>
      <c r="AS799" s="66"/>
      <c r="AT799" s="66"/>
    </row>
    <row r="800">
      <c r="A800" s="8"/>
      <c r="B800" s="66"/>
      <c r="C800" s="66"/>
      <c r="D800" s="66"/>
      <c r="E800" s="8"/>
      <c r="F800" s="66"/>
      <c r="G800" s="66"/>
      <c r="H800" s="66"/>
      <c r="I800" s="8"/>
      <c r="J800" s="66"/>
      <c r="K800" s="66"/>
      <c r="L800" s="66"/>
      <c r="M800" s="8"/>
      <c r="N800" s="66"/>
      <c r="O800" s="66"/>
      <c r="P800" s="66"/>
      <c r="Q800" s="8"/>
      <c r="R800" s="66"/>
      <c r="S800" s="66"/>
      <c r="T800" s="66"/>
      <c r="U800" s="8"/>
      <c r="V800" s="66"/>
      <c r="W800" s="66"/>
      <c r="X800" s="66"/>
      <c r="Y800" s="189"/>
      <c r="Z800" s="184"/>
      <c r="AA800" s="184"/>
      <c r="AB800" s="184"/>
      <c r="AC800" s="8"/>
      <c r="AD800" s="66"/>
      <c r="AE800" s="66"/>
      <c r="AF800" s="66"/>
      <c r="AG800" s="190"/>
      <c r="AH800" s="191"/>
      <c r="AI800" s="190"/>
      <c r="AJ800" s="190"/>
      <c r="AK800" s="66"/>
      <c r="AL800" s="66"/>
      <c r="AM800" s="66"/>
      <c r="AN800" s="66"/>
      <c r="AO800" s="66"/>
      <c r="AP800" s="66"/>
      <c r="AQ800" s="66"/>
      <c r="AR800" s="66"/>
      <c r="AS800" s="66"/>
      <c r="AT800" s="66"/>
    </row>
    <row r="801">
      <c r="A801" s="8"/>
      <c r="B801" s="66"/>
      <c r="C801" s="66"/>
      <c r="D801" s="66"/>
      <c r="E801" s="8"/>
      <c r="F801" s="66"/>
      <c r="G801" s="66"/>
      <c r="H801" s="66"/>
      <c r="I801" s="8"/>
      <c r="J801" s="66"/>
      <c r="K801" s="66"/>
      <c r="L801" s="66"/>
      <c r="M801" s="8"/>
      <c r="N801" s="66"/>
      <c r="O801" s="66"/>
      <c r="P801" s="66"/>
      <c r="Q801" s="8"/>
      <c r="R801" s="66"/>
      <c r="S801" s="66"/>
      <c r="T801" s="66"/>
      <c r="U801" s="8"/>
      <c r="V801" s="66"/>
      <c r="W801" s="66"/>
      <c r="X801" s="66"/>
      <c r="Y801" s="189"/>
      <c r="Z801" s="184"/>
      <c r="AA801" s="184"/>
      <c r="AB801" s="184"/>
      <c r="AC801" s="8"/>
      <c r="AD801" s="66"/>
      <c r="AE801" s="66"/>
      <c r="AF801" s="66"/>
      <c r="AG801" s="190"/>
      <c r="AH801" s="191"/>
      <c r="AI801" s="190"/>
      <c r="AJ801" s="190"/>
      <c r="AK801" s="66"/>
      <c r="AL801" s="66"/>
      <c r="AM801" s="66"/>
      <c r="AN801" s="66"/>
      <c r="AO801" s="66"/>
      <c r="AP801" s="66"/>
      <c r="AQ801" s="66"/>
      <c r="AR801" s="66"/>
      <c r="AS801" s="66"/>
      <c r="AT801" s="66"/>
    </row>
    <row r="802">
      <c r="A802" s="8"/>
      <c r="B802" s="66"/>
      <c r="C802" s="66"/>
      <c r="D802" s="66"/>
      <c r="E802" s="8"/>
      <c r="F802" s="66"/>
      <c r="G802" s="66"/>
      <c r="H802" s="66"/>
      <c r="I802" s="8"/>
      <c r="J802" s="66"/>
      <c r="K802" s="66"/>
      <c r="L802" s="66"/>
      <c r="M802" s="8"/>
      <c r="N802" s="66"/>
      <c r="O802" s="66"/>
      <c r="P802" s="66"/>
      <c r="Q802" s="8"/>
      <c r="R802" s="66"/>
      <c r="S802" s="66"/>
      <c r="T802" s="66"/>
      <c r="U802" s="8"/>
      <c r="V802" s="66"/>
      <c r="W802" s="66"/>
      <c r="X802" s="66"/>
      <c r="Y802" s="189"/>
      <c r="Z802" s="184"/>
      <c r="AA802" s="184"/>
      <c r="AB802" s="184"/>
      <c r="AC802" s="8"/>
      <c r="AD802" s="66"/>
      <c r="AE802" s="66"/>
      <c r="AF802" s="66"/>
      <c r="AG802" s="190"/>
      <c r="AH802" s="191"/>
      <c r="AI802" s="190"/>
      <c r="AJ802" s="190"/>
      <c r="AK802" s="66"/>
      <c r="AL802" s="66"/>
      <c r="AM802" s="66"/>
      <c r="AN802" s="66"/>
      <c r="AO802" s="66"/>
      <c r="AP802" s="66"/>
      <c r="AQ802" s="66"/>
      <c r="AR802" s="66"/>
      <c r="AS802" s="66"/>
      <c r="AT802" s="66"/>
    </row>
    <row r="803">
      <c r="A803" s="8"/>
      <c r="B803" s="66"/>
      <c r="C803" s="66"/>
      <c r="D803" s="66"/>
      <c r="E803" s="8"/>
      <c r="F803" s="66"/>
      <c r="G803" s="66"/>
      <c r="H803" s="66"/>
      <c r="I803" s="8"/>
      <c r="J803" s="66"/>
      <c r="K803" s="66"/>
      <c r="L803" s="66"/>
      <c r="M803" s="8"/>
      <c r="N803" s="66"/>
      <c r="O803" s="66"/>
      <c r="P803" s="66"/>
      <c r="Q803" s="8"/>
      <c r="R803" s="66"/>
      <c r="S803" s="66"/>
      <c r="T803" s="66"/>
      <c r="U803" s="8"/>
      <c r="V803" s="66"/>
      <c r="W803" s="66"/>
      <c r="X803" s="66"/>
      <c r="Y803" s="189"/>
      <c r="Z803" s="184"/>
      <c r="AA803" s="184"/>
      <c r="AB803" s="184"/>
      <c r="AC803" s="8"/>
      <c r="AD803" s="66"/>
      <c r="AE803" s="66"/>
      <c r="AF803" s="66"/>
      <c r="AG803" s="190"/>
      <c r="AH803" s="191"/>
      <c r="AI803" s="190"/>
      <c r="AJ803" s="190"/>
      <c r="AK803" s="66"/>
      <c r="AL803" s="66"/>
      <c r="AM803" s="66"/>
      <c r="AN803" s="66"/>
      <c r="AO803" s="66"/>
      <c r="AP803" s="66"/>
      <c r="AQ803" s="66"/>
      <c r="AR803" s="66"/>
      <c r="AS803" s="66"/>
      <c r="AT803" s="66"/>
    </row>
    <row r="804">
      <c r="A804" s="8"/>
      <c r="B804" s="66"/>
      <c r="C804" s="66"/>
      <c r="D804" s="66"/>
      <c r="E804" s="8"/>
      <c r="F804" s="66"/>
      <c r="G804" s="66"/>
      <c r="H804" s="66"/>
      <c r="I804" s="8"/>
      <c r="J804" s="66"/>
      <c r="K804" s="66"/>
      <c r="L804" s="66"/>
      <c r="M804" s="8"/>
      <c r="N804" s="66"/>
      <c r="O804" s="66"/>
      <c r="P804" s="66"/>
      <c r="Q804" s="8"/>
      <c r="R804" s="66"/>
      <c r="S804" s="66"/>
      <c r="T804" s="66"/>
      <c r="U804" s="8"/>
      <c r="V804" s="66"/>
      <c r="W804" s="66"/>
      <c r="X804" s="66"/>
      <c r="Y804" s="189"/>
      <c r="Z804" s="184"/>
      <c r="AA804" s="184"/>
      <c r="AB804" s="184"/>
      <c r="AC804" s="8"/>
      <c r="AD804" s="66"/>
      <c r="AE804" s="66"/>
      <c r="AF804" s="66"/>
      <c r="AG804" s="190"/>
      <c r="AH804" s="191"/>
      <c r="AI804" s="190"/>
      <c r="AJ804" s="190"/>
      <c r="AK804" s="66"/>
      <c r="AL804" s="66"/>
      <c r="AM804" s="66"/>
      <c r="AN804" s="66"/>
      <c r="AO804" s="66"/>
      <c r="AP804" s="66"/>
      <c r="AQ804" s="66"/>
      <c r="AR804" s="66"/>
      <c r="AS804" s="66"/>
      <c r="AT804" s="66"/>
    </row>
    <row r="805">
      <c r="A805" s="8"/>
      <c r="B805" s="66"/>
      <c r="C805" s="66"/>
      <c r="D805" s="66"/>
      <c r="E805" s="8"/>
      <c r="F805" s="66"/>
      <c r="G805" s="66"/>
      <c r="H805" s="66"/>
      <c r="I805" s="8"/>
      <c r="J805" s="66"/>
      <c r="K805" s="66"/>
      <c r="L805" s="66"/>
      <c r="M805" s="8"/>
      <c r="N805" s="66"/>
      <c r="O805" s="66"/>
      <c r="P805" s="66"/>
      <c r="Q805" s="8"/>
      <c r="R805" s="66"/>
      <c r="S805" s="66"/>
      <c r="T805" s="66"/>
      <c r="U805" s="8"/>
      <c r="V805" s="66"/>
      <c r="W805" s="66"/>
      <c r="X805" s="66"/>
      <c r="Y805" s="189"/>
      <c r="Z805" s="184"/>
      <c r="AA805" s="184"/>
      <c r="AB805" s="184"/>
      <c r="AC805" s="8"/>
      <c r="AD805" s="66"/>
      <c r="AE805" s="66"/>
      <c r="AF805" s="66"/>
      <c r="AG805" s="190"/>
      <c r="AH805" s="191"/>
      <c r="AI805" s="190"/>
      <c r="AJ805" s="190"/>
      <c r="AK805" s="66"/>
      <c r="AL805" s="66"/>
      <c r="AM805" s="66"/>
      <c r="AN805" s="66"/>
      <c r="AO805" s="66"/>
      <c r="AP805" s="66"/>
      <c r="AQ805" s="66"/>
      <c r="AR805" s="66"/>
      <c r="AS805" s="66"/>
      <c r="AT805" s="66"/>
    </row>
    <row r="806">
      <c r="A806" s="8"/>
      <c r="B806" s="66"/>
      <c r="C806" s="66"/>
      <c r="D806" s="66"/>
      <c r="E806" s="8"/>
      <c r="F806" s="66"/>
      <c r="G806" s="66"/>
      <c r="H806" s="66"/>
      <c r="I806" s="8"/>
      <c r="J806" s="66"/>
      <c r="K806" s="66"/>
      <c r="L806" s="66"/>
      <c r="M806" s="8"/>
      <c r="N806" s="66"/>
      <c r="O806" s="66"/>
      <c r="P806" s="66"/>
      <c r="Q806" s="8"/>
      <c r="R806" s="66"/>
      <c r="S806" s="66"/>
      <c r="T806" s="66"/>
      <c r="U806" s="8"/>
      <c r="V806" s="66"/>
      <c r="W806" s="66"/>
      <c r="X806" s="66"/>
      <c r="Y806" s="189"/>
      <c r="Z806" s="184"/>
      <c r="AA806" s="184"/>
      <c r="AB806" s="184"/>
      <c r="AC806" s="8"/>
      <c r="AD806" s="66"/>
      <c r="AE806" s="66"/>
      <c r="AF806" s="66"/>
      <c r="AG806" s="190"/>
      <c r="AH806" s="191"/>
      <c r="AI806" s="190"/>
      <c r="AJ806" s="190"/>
      <c r="AK806" s="66"/>
      <c r="AL806" s="66"/>
      <c r="AM806" s="66"/>
      <c r="AN806" s="66"/>
      <c r="AO806" s="66"/>
      <c r="AP806" s="66"/>
      <c r="AQ806" s="66"/>
      <c r="AR806" s="66"/>
      <c r="AS806" s="66"/>
      <c r="AT806" s="66"/>
    </row>
    <row r="807">
      <c r="A807" s="8"/>
      <c r="B807" s="66"/>
      <c r="C807" s="66"/>
      <c r="D807" s="66"/>
      <c r="E807" s="8"/>
      <c r="F807" s="66"/>
      <c r="G807" s="66"/>
      <c r="H807" s="66"/>
      <c r="I807" s="8"/>
      <c r="J807" s="66"/>
      <c r="K807" s="66"/>
      <c r="L807" s="66"/>
      <c r="M807" s="8"/>
      <c r="N807" s="66"/>
      <c r="O807" s="66"/>
      <c r="P807" s="66"/>
      <c r="Q807" s="8"/>
      <c r="R807" s="66"/>
      <c r="S807" s="66"/>
      <c r="T807" s="66"/>
      <c r="U807" s="8"/>
      <c r="V807" s="66"/>
      <c r="W807" s="66"/>
      <c r="X807" s="66"/>
      <c r="Y807" s="189"/>
      <c r="Z807" s="184"/>
      <c r="AA807" s="184"/>
      <c r="AB807" s="184"/>
      <c r="AC807" s="8"/>
      <c r="AD807" s="66"/>
      <c r="AE807" s="66"/>
      <c r="AF807" s="66"/>
      <c r="AG807" s="190"/>
      <c r="AH807" s="191"/>
      <c r="AI807" s="190"/>
      <c r="AJ807" s="190"/>
      <c r="AK807" s="66"/>
      <c r="AL807" s="66"/>
      <c r="AM807" s="66"/>
      <c r="AN807" s="66"/>
      <c r="AO807" s="66"/>
      <c r="AP807" s="66"/>
      <c r="AQ807" s="66"/>
      <c r="AR807" s="66"/>
      <c r="AS807" s="66"/>
      <c r="AT807" s="66"/>
    </row>
    <row r="808">
      <c r="A808" s="8"/>
      <c r="B808" s="66"/>
      <c r="C808" s="66"/>
      <c r="D808" s="66"/>
      <c r="E808" s="8"/>
      <c r="F808" s="66"/>
      <c r="G808" s="66"/>
      <c r="H808" s="66"/>
      <c r="I808" s="8"/>
      <c r="J808" s="66"/>
      <c r="K808" s="66"/>
      <c r="L808" s="66"/>
      <c r="M808" s="8"/>
      <c r="N808" s="66"/>
      <c r="O808" s="66"/>
      <c r="P808" s="66"/>
      <c r="Q808" s="8"/>
      <c r="R808" s="66"/>
      <c r="S808" s="66"/>
      <c r="T808" s="66"/>
      <c r="U808" s="8"/>
      <c r="V808" s="66"/>
      <c r="W808" s="66"/>
      <c r="X808" s="66"/>
      <c r="Y808" s="189"/>
      <c r="Z808" s="184"/>
      <c r="AA808" s="184"/>
      <c r="AB808" s="184"/>
      <c r="AC808" s="8"/>
      <c r="AD808" s="66"/>
      <c r="AE808" s="66"/>
      <c r="AF808" s="66"/>
      <c r="AG808" s="190"/>
      <c r="AH808" s="191"/>
      <c r="AI808" s="190"/>
      <c r="AJ808" s="190"/>
      <c r="AK808" s="66"/>
      <c r="AL808" s="66"/>
      <c r="AM808" s="66"/>
      <c r="AN808" s="66"/>
      <c r="AO808" s="66"/>
      <c r="AP808" s="66"/>
      <c r="AQ808" s="66"/>
      <c r="AR808" s="66"/>
      <c r="AS808" s="66"/>
      <c r="AT808" s="66"/>
    </row>
    <row r="809">
      <c r="A809" s="8"/>
      <c r="B809" s="66"/>
      <c r="C809" s="66"/>
      <c r="D809" s="66"/>
      <c r="E809" s="8"/>
      <c r="F809" s="66"/>
      <c r="G809" s="66"/>
      <c r="H809" s="66"/>
      <c r="I809" s="8"/>
      <c r="J809" s="66"/>
      <c r="K809" s="66"/>
      <c r="L809" s="66"/>
      <c r="M809" s="8"/>
      <c r="N809" s="66"/>
      <c r="O809" s="66"/>
      <c r="P809" s="66"/>
      <c r="Q809" s="8"/>
      <c r="R809" s="66"/>
      <c r="S809" s="66"/>
      <c r="T809" s="66"/>
      <c r="U809" s="8"/>
      <c r="V809" s="66"/>
      <c r="W809" s="66"/>
      <c r="X809" s="66"/>
      <c r="Y809" s="189"/>
      <c r="Z809" s="184"/>
      <c r="AA809" s="184"/>
      <c r="AB809" s="184"/>
      <c r="AC809" s="8"/>
      <c r="AD809" s="66"/>
      <c r="AE809" s="66"/>
      <c r="AF809" s="66"/>
      <c r="AG809" s="190"/>
      <c r="AH809" s="191"/>
      <c r="AI809" s="190"/>
      <c r="AJ809" s="190"/>
      <c r="AK809" s="66"/>
      <c r="AL809" s="66"/>
      <c r="AM809" s="66"/>
      <c r="AN809" s="66"/>
      <c r="AO809" s="66"/>
      <c r="AP809" s="66"/>
      <c r="AQ809" s="66"/>
      <c r="AR809" s="66"/>
      <c r="AS809" s="66"/>
      <c r="AT809" s="66"/>
    </row>
    <row r="810">
      <c r="A810" s="8"/>
      <c r="B810" s="66"/>
      <c r="C810" s="66"/>
      <c r="D810" s="66"/>
      <c r="E810" s="8"/>
      <c r="F810" s="66"/>
      <c r="G810" s="66"/>
      <c r="H810" s="66"/>
      <c r="I810" s="8"/>
      <c r="J810" s="66"/>
      <c r="K810" s="66"/>
      <c r="L810" s="66"/>
      <c r="M810" s="8"/>
      <c r="N810" s="66"/>
      <c r="O810" s="66"/>
      <c r="P810" s="66"/>
      <c r="Q810" s="8"/>
      <c r="R810" s="66"/>
      <c r="S810" s="66"/>
      <c r="T810" s="66"/>
      <c r="U810" s="8"/>
      <c r="V810" s="66"/>
      <c r="W810" s="66"/>
      <c r="X810" s="66"/>
      <c r="Y810" s="189"/>
      <c r="Z810" s="184"/>
      <c r="AA810" s="184"/>
      <c r="AB810" s="184"/>
      <c r="AC810" s="8"/>
      <c r="AD810" s="66"/>
      <c r="AE810" s="66"/>
      <c r="AF810" s="66"/>
      <c r="AG810" s="190"/>
      <c r="AH810" s="191"/>
      <c r="AI810" s="190"/>
      <c r="AJ810" s="190"/>
      <c r="AK810" s="66"/>
      <c r="AL810" s="66"/>
      <c r="AM810" s="66"/>
      <c r="AN810" s="66"/>
      <c r="AO810" s="66"/>
      <c r="AP810" s="66"/>
      <c r="AQ810" s="66"/>
      <c r="AR810" s="66"/>
      <c r="AS810" s="66"/>
      <c r="AT810" s="66"/>
    </row>
    <row r="811">
      <c r="A811" s="8"/>
      <c r="B811" s="66"/>
      <c r="C811" s="66"/>
      <c r="D811" s="66"/>
      <c r="E811" s="8"/>
      <c r="F811" s="66"/>
      <c r="G811" s="66"/>
      <c r="H811" s="66"/>
      <c r="I811" s="8"/>
      <c r="J811" s="66"/>
      <c r="K811" s="66"/>
      <c r="L811" s="66"/>
      <c r="M811" s="8"/>
      <c r="N811" s="66"/>
      <c r="O811" s="66"/>
      <c r="P811" s="66"/>
      <c r="Q811" s="8"/>
      <c r="R811" s="66"/>
      <c r="S811" s="66"/>
      <c r="T811" s="66"/>
      <c r="U811" s="8"/>
      <c r="V811" s="66"/>
      <c r="W811" s="66"/>
      <c r="X811" s="66"/>
      <c r="Y811" s="189"/>
      <c r="Z811" s="184"/>
      <c r="AA811" s="184"/>
      <c r="AB811" s="184"/>
      <c r="AC811" s="8"/>
      <c r="AD811" s="66"/>
      <c r="AE811" s="66"/>
      <c r="AF811" s="66"/>
      <c r="AG811" s="190"/>
      <c r="AH811" s="191"/>
      <c r="AI811" s="190"/>
      <c r="AJ811" s="190"/>
      <c r="AK811" s="66"/>
      <c r="AL811" s="66"/>
      <c r="AM811" s="66"/>
      <c r="AN811" s="66"/>
      <c r="AO811" s="66"/>
      <c r="AP811" s="66"/>
      <c r="AQ811" s="66"/>
      <c r="AR811" s="66"/>
      <c r="AS811" s="66"/>
      <c r="AT811" s="66"/>
    </row>
    <row r="812">
      <c r="A812" s="8"/>
      <c r="B812" s="66"/>
      <c r="C812" s="66"/>
      <c r="D812" s="66"/>
      <c r="E812" s="8"/>
      <c r="F812" s="66"/>
      <c r="G812" s="66"/>
      <c r="H812" s="66"/>
      <c r="I812" s="8"/>
      <c r="J812" s="66"/>
      <c r="K812" s="66"/>
      <c r="L812" s="66"/>
      <c r="M812" s="8"/>
      <c r="N812" s="66"/>
      <c r="O812" s="66"/>
      <c r="P812" s="66"/>
      <c r="Q812" s="8"/>
      <c r="R812" s="66"/>
      <c r="S812" s="66"/>
      <c r="T812" s="66"/>
      <c r="U812" s="8"/>
      <c r="V812" s="66"/>
      <c r="W812" s="66"/>
      <c r="X812" s="66"/>
      <c r="Y812" s="189"/>
      <c r="Z812" s="184"/>
      <c r="AA812" s="184"/>
      <c r="AB812" s="184"/>
      <c r="AC812" s="8"/>
      <c r="AD812" s="66"/>
      <c r="AE812" s="66"/>
      <c r="AF812" s="66"/>
      <c r="AG812" s="190"/>
      <c r="AH812" s="191"/>
      <c r="AI812" s="190"/>
      <c r="AJ812" s="190"/>
      <c r="AK812" s="66"/>
      <c r="AL812" s="66"/>
      <c r="AM812" s="66"/>
      <c r="AN812" s="66"/>
      <c r="AO812" s="66"/>
      <c r="AP812" s="66"/>
      <c r="AQ812" s="66"/>
      <c r="AR812" s="66"/>
      <c r="AS812" s="66"/>
      <c r="AT812" s="66"/>
    </row>
    <row r="813">
      <c r="A813" s="8"/>
      <c r="B813" s="66"/>
      <c r="C813" s="66"/>
      <c r="D813" s="66"/>
      <c r="E813" s="8"/>
      <c r="F813" s="66"/>
      <c r="G813" s="66"/>
      <c r="H813" s="66"/>
      <c r="I813" s="8"/>
      <c r="J813" s="66"/>
      <c r="K813" s="66"/>
      <c r="L813" s="66"/>
      <c r="M813" s="8"/>
      <c r="N813" s="66"/>
      <c r="O813" s="66"/>
      <c r="P813" s="66"/>
      <c r="Q813" s="8"/>
      <c r="R813" s="66"/>
      <c r="S813" s="66"/>
      <c r="T813" s="66"/>
      <c r="U813" s="8"/>
      <c r="V813" s="66"/>
      <c r="W813" s="66"/>
      <c r="X813" s="66"/>
      <c r="Y813" s="189"/>
      <c r="Z813" s="184"/>
      <c r="AA813" s="184"/>
      <c r="AB813" s="184"/>
      <c r="AC813" s="8"/>
      <c r="AD813" s="66"/>
      <c r="AE813" s="66"/>
      <c r="AF813" s="66"/>
      <c r="AG813" s="190"/>
      <c r="AH813" s="191"/>
      <c r="AI813" s="190"/>
      <c r="AJ813" s="190"/>
      <c r="AK813" s="66"/>
      <c r="AL813" s="66"/>
      <c r="AM813" s="66"/>
      <c r="AN813" s="66"/>
      <c r="AO813" s="66"/>
      <c r="AP813" s="66"/>
      <c r="AQ813" s="66"/>
      <c r="AR813" s="66"/>
      <c r="AS813" s="66"/>
      <c r="AT813" s="66"/>
    </row>
    <row r="814">
      <c r="A814" s="8"/>
      <c r="B814" s="66"/>
      <c r="C814" s="66"/>
      <c r="D814" s="66"/>
      <c r="E814" s="8"/>
      <c r="F814" s="66"/>
      <c r="G814" s="66"/>
      <c r="H814" s="66"/>
      <c r="I814" s="8"/>
      <c r="J814" s="66"/>
      <c r="K814" s="66"/>
      <c r="L814" s="66"/>
      <c r="M814" s="8"/>
      <c r="N814" s="66"/>
      <c r="O814" s="66"/>
      <c r="P814" s="66"/>
      <c r="Q814" s="8"/>
      <c r="R814" s="66"/>
      <c r="S814" s="66"/>
      <c r="T814" s="66"/>
      <c r="U814" s="8"/>
      <c r="V814" s="66"/>
      <c r="W814" s="66"/>
      <c r="X814" s="66"/>
      <c r="Y814" s="189"/>
      <c r="Z814" s="184"/>
      <c r="AA814" s="184"/>
      <c r="AB814" s="184"/>
      <c r="AC814" s="8"/>
      <c r="AD814" s="66"/>
      <c r="AE814" s="66"/>
      <c r="AF814" s="66"/>
      <c r="AG814" s="190"/>
      <c r="AH814" s="191"/>
      <c r="AI814" s="190"/>
      <c r="AJ814" s="190"/>
      <c r="AK814" s="66"/>
      <c r="AL814" s="66"/>
      <c r="AM814" s="66"/>
      <c r="AN814" s="66"/>
      <c r="AO814" s="66"/>
      <c r="AP814" s="66"/>
      <c r="AQ814" s="66"/>
      <c r="AR814" s="66"/>
      <c r="AS814" s="66"/>
      <c r="AT814" s="66"/>
    </row>
    <row r="815">
      <c r="A815" s="8"/>
      <c r="B815" s="66"/>
      <c r="C815" s="66"/>
      <c r="D815" s="66"/>
      <c r="E815" s="8"/>
      <c r="F815" s="66"/>
      <c r="G815" s="66"/>
      <c r="H815" s="66"/>
      <c r="I815" s="8"/>
      <c r="J815" s="66"/>
      <c r="K815" s="66"/>
      <c r="L815" s="66"/>
      <c r="M815" s="8"/>
      <c r="N815" s="66"/>
      <c r="O815" s="66"/>
      <c r="P815" s="66"/>
      <c r="Q815" s="8"/>
      <c r="R815" s="66"/>
      <c r="S815" s="66"/>
      <c r="T815" s="66"/>
      <c r="U815" s="8"/>
      <c r="V815" s="66"/>
      <c r="W815" s="66"/>
      <c r="X815" s="66"/>
      <c r="Y815" s="189"/>
      <c r="Z815" s="184"/>
      <c r="AA815" s="184"/>
      <c r="AB815" s="184"/>
      <c r="AC815" s="8"/>
      <c r="AD815" s="66"/>
      <c r="AE815" s="66"/>
      <c r="AF815" s="66"/>
      <c r="AG815" s="190"/>
      <c r="AH815" s="191"/>
      <c r="AI815" s="190"/>
      <c r="AJ815" s="190"/>
      <c r="AK815" s="66"/>
      <c r="AL815" s="66"/>
      <c r="AM815" s="66"/>
      <c r="AN815" s="66"/>
      <c r="AO815" s="66"/>
      <c r="AP815" s="66"/>
      <c r="AQ815" s="66"/>
      <c r="AR815" s="66"/>
      <c r="AS815" s="66"/>
      <c r="AT815" s="66"/>
    </row>
    <row r="816">
      <c r="A816" s="8"/>
      <c r="B816" s="66"/>
      <c r="C816" s="66"/>
      <c r="D816" s="66"/>
      <c r="E816" s="8"/>
      <c r="F816" s="66"/>
      <c r="G816" s="66"/>
      <c r="H816" s="66"/>
      <c r="I816" s="8"/>
      <c r="J816" s="66"/>
      <c r="K816" s="66"/>
      <c r="L816" s="66"/>
      <c r="M816" s="8"/>
      <c r="N816" s="66"/>
      <c r="O816" s="66"/>
      <c r="P816" s="66"/>
      <c r="Q816" s="8"/>
      <c r="R816" s="66"/>
      <c r="S816" s="66"/>
      <c r="T816" s="66"/>
      <c r="U816" s="8"/>
      <c r="V816" s="66"/>
      <c r="W816" s="66"/>
      <c r="X816" s="66"/>
      <c r="Y816" s="189"/>
      <c r="Z816" s="184"/>
      <c r="AA816" s="184"/>
      <c r="AB816" s="184"/>
      <c r="AC816" s="8"/>
      <c r="AD816" s="66"/>
      <c r="AE816" s="66"/>
      <c r="AF816" s="66"/>
      <c r="AG816" s="190"/>
      <c r="AH816" s="191"/>
      <c r="AI816" s="190"/>
      <c r="AJ816" s="190"/>
      <c r="AK816" s="66"/>
      <c r="AL816" s="66"/>
      <c r="AM816" s="66"/>
      <c r="AN816" s="66"/>
      <c r="AO816" s="66"/>
      <c r="AP816" s="66"/>
      <c r="AQ816" s="66"/>
      <c r="AR816" s="66"/>
      <c r="AS816" s="66"/>
      <c r="AT816" s="66"/>
    </row>
    <row r="817">
      <c r="A817" s="8"/>
      <c r="B817" s="66"/>
      <c r="C817" s="66"/>
      <c r="D817" s="66"/>
      <c r="E817" s="8"/>
      <c r="F817" s="66"/>
      <c r="G817" s="66"/>
      <c r="H817" s="66"/>
      <c r="I817" s="8"/>
      <c r="J817" s="66"/>
      <c r="K817" s="66"/>
      <c r="L817" s="66"/>
      <c r="M817" s="8"/>
      <c r="N817" s="66"/>
      <c r="O817" s="66"/>
      <c r="P817" s="66"/>
      <c r="Q817" s="8"/>
      <c r="R817" s="66"/>
      <c r="S817" s="66"/>
      <c r="T817" s="66"/>
      <c r="U817" s="8"/>
      <c r="V817" s="66"/>
      <c r="W817" s="66"/>
      <c r="X817" s="66"/>
      <c r="Y817" s="189"/>
      <c r="Z817" s="184"/>
      <c r="AA817" s="184"/>
      <c r="AB817" s="184"/>
      <c r="AC817" s="8"/>
      <c r="AD817" s="66"/>
      <c r="AE817" s="66"/>
      <c r="AF817" s="66"/>
      <c r="AG817" s="190"/>
      <c r="AH817" s="191"/>
      <c r="AI817" s="190"/>
      <c r="AJ817" s="190"/>
      <c r="AK817" s="66"/>
      <c r="AL817" s="66"/>
      <c r="AM817" s="66"/>
      <c r="AN817" s="66"/>
      <c r="AO817" s="66"/>
      <c r="AP817" s="66"/>
      <c r="AQ817" s="66"/>
      <c r="AR817" s="66"/>
      <c r="AS817" s="66"/>
      <c r="AT817" s="66"/>
    </row>
    <row r="818">
      <c r="A818" s="8"/>
      <c r="B818" s="66"/>
      <c r="C818" s="66"/>
      <c r="D818" s="66"/>
      <c r="E818" s="8"/>
      <c r="F818" s="66"/>
      <c r="G818" s="66"/>
      <c r="H818" s="66"/>
      <c r="I818" s="8"/>
      <c r="J818" s="66"/>
      <c r="K818" s="66"/>
      <c r="L818" s="66"/>
      <c r="M818" s="8"/>
      <c r="N818" s="66"/>
      <c r="O818" s="66"/>
      <c r="P818" s="66"/>
      <c r="Q818" s="8"/>
      <c r="R818" s="66"/>
      <c r="S818" s="66"/>
      <c r="T818" s="66"/>
      <c r="U818" s="8"/>
      <c r="V818" s="66"/>
      <c r="W818" s="66"/>
      <c r="X818" s="66"/>
      <c r="Y818" s="189"/>
      <c r="Z818" s="184"/>
      <c r="AA818" s="184"/>
      <c r="AB818" s="184"/>
      <c r="AC818" s="8"/>
      <c r="AD818" s="66"/>
      <c r="AE818" s="66"/>
      <c r="AF818" s="66"/>
      <c r="AG818" s="190"/>
      <c r="AH818" s="191"/>
      <c r="AI818" s="190"/>
      <c r="AJ818" s="190"/>
      <c r="AK818" s="66"/>
      <c r="AL818" s="66"/>
      <c r="AM818" s="66"/>
      <c r="AN818" s="66"/>
      <c r="AO818" s="66"/>
      <c r="AP818" s="66"/>
      <c r="AQ818" s="66"/>
      <c r="AR818" s="66"/>
      <c r="AS818" s="66"/>
      <c r="AT818" s="66"/>
    </row>
    <row r="819">
      <c r="A819" s="8"/>
      <c r="B819" s="66"/>
      <c r="C819" s="66"/>
      <c r="D819" s="66"/>
      <c r="E819" s="8"/>
      <c r="F819" s="66"/>
      <c r="G819" s="66"/>
      <c r="H819" s="66"/>
      <c r="I819" s="8"/>
      <c r="J819" s="66"/>
      <c r="K819" s="66"/>
      <c r="L819" s="66"/>
      <c r="M819" s="8"/>
      <c r="N819" s="66"/>
      <c r="O819" s="66"/>
      <c r="P819" s="66"/>
      <c r="Q819" s="8"/>
      <c r="R819" s="66"/>
      <c r="S819" s="66"/>
      <c r="T819" s="66"/>
      <c r="U819" s="8"/>
      <c r="V819" s="66"/>
      <c r="W819" s="66"/>
      <c r="X819" s="66"/>
      <c r="Y819" s="189"/>
      <c r="Z819" s="184"/>
      <c r="AA819" s="184"/>
      <c r="AB819" s="184"/>
      <c r="AC819" s="8"/>
      <c r="AD819" s="66"/>
      <c r="AE819" s="66"/>
      <c r="AF819" s="66"/>
      <c r="AG819" s="190"/>
      <c r="AH819" s="191"/>
      <c r="AI819" s="190"/>
      <c r="AJ819" s="190"/>
      <c r="AK819" s="66"/>
      <c r="AL819" s="66"/>
      <c r="AM819" s="66"/>
      <c r="AN819" s="66"/>
      <c r="AO819" s="66"/>
      <c r="AP819" s="66"/>
      <c r="AQ819" s="66"/>
      <c r="AR819" s="66"/>
      <c r="AS819" s="66"/>
      <c r="AT819" s="66"/>
    </row>
    <row r="820">
      <c r="A820" s="8"/>
      <c r="B820" s="66"/>
      <c r="C820" s="66"/>
      <c r="D820" s="66"/>
      <c r="E820" s="8"/>
      <c r="F820" s="66"/>
      <c r="G820" s="66"/>
      <c r="H820" s="66"/>
      <c r="I820" s="8"/>
      <c r="J820" s="66"/>
      <c r="K820" s="66"/>
      <c r="L820" s="66"/>
      <c r="M820" s="8"/>
      <c r="N820" s="66"/>
      <c r="O820" s="66"/>
      <c r="P820" s="66"/>
      <c r="Q820" s="8"/>
      <c r="R820" s="66"/>
      <c r="S820" s="66"/>
      <c r="T820" s="66"/>
      <c r="U820" s="8"/>
      <c r="V820" s="66"/>
      <c r="W820" s="66"/>
      <c r="X820" s="66"/>
      <c r="Y820" s="189"/>
      <c r="Z820" s="184"/>
      <c r="AA820" s="184"/>
      <c r="AB820" s="184"/>
      <c r="AC820" s="8"/>
      <c r="AD820" s="66"/>
      <c r="AE820" s="66"/>
      <c r="AF820" s="66"/>
      <c r="AG820" s="190"/>
      <c r="AH820" s="191"/>
      <c r="AI820" s="190"/>
      <c r="AJ820" s="190"/>
      <c r="AK820" s="66"/>
      <c r="AL820" s="66"/>
      <c r="AM820" s="66"/>
      <c r="AN820" s="66"/>
      <c r="AO820" s="66"/>
      <c r="AP820" s="66"/>
      <c r="AQ820" s="66"/>
      <c r="AR820" s="66"/>
      <c r="AS820" s="66"/>
      <c r="AT820" s="66"/>
    </row>
    <row r="821">
      <c r="A821" s="8"/>
      <c r="B821" s="66"/>
      <c r="C821" s="66"/>
      <c r="D821" s="66"/>
      <c r="E821" s="8"/>
      <c r="F821" s="66"/>
      <c r="G821" s="66"/>
      <c r="H821" s="66"/>
      <c r="I821" s="8"/>
      <c r="J821" s="66"/>
      <c r="K821" s="66"/>
      <c r="L821" s="66"/>
      <c r="M821" s="8"/>
      <c r="N821" s="66"/>
      <c r="O821" s="66"/>
      <c r="P821" s="66"/>
      <c r="Q821" s="8"/>
      <c r="R821" s="66"/>
      <c r="S821" s="66"/>
      <c r="T821" s="66"/>
      <c r="U821" s="8"/>
      <c r="V821" s="66"/>
      <c r="W821" s="66"/>
      <c r="X821" s="66"/>
      <c r="Y821" s="189"/>
      <c r="Z821" s="184"/>
      <c r="AA821" s="184"/>
      <c r="AB821" s="184"/>
      <c r="AC821" s="8"/>
      <c r="AD821" s="66"/>
      <c r="AE821" s="66"/>
      <c r="AF821" s="66"/>
      <c r="AG821" s="190"/>
      <c r="AH821" s="191"/>
      <c r="AI821" s="190"/>
      <c r="AJ821" s="190"/>
      <c r="AK821" s="66"/>
      <c r="AL821" s="66"/>
      <c r="AM821" s="66"/>
      <c r="AN821" s="66"/>
      <c r="AO821" s="66"/>
      <c r="AP821" s="66"/>
      <c r="AQ821" s="66"/>
      <c r="AR821" s="66"/>
      <c r="AS821" s="66"/>
      <c r="AT821" s="66"/>
    </row>
    <row r="822">
      <c r="A822" s="8"/>
      <c r="B822" s="66"/>
      <c r="C822" s="66"/>
      <c r="D822" s="66"/>
      <c r="E822" s="8"/>
      <c r="F822" s="66"/>
      <c r="G822" s="66"/>
      <c r="H822" s="66"/>
      <c r="I822" s="8"/>
      <c r="J822" s="66"/>
      <c r="K822" s="66"/>
      <c r="L822" s="66"/>
      <c r="M822" s="8"/>
      <c r="N822" s="66"/>
      <c r="O822" s="66"/>
      <c r="P822" s="66"/>
      <c r="Q822" s="8"/>
      <c r="R822" s="66"/>
      <c r="S822" s="66"/>
      <c r="T822" s="66"/>
      <c r="U822" s="8"/>
      <c r="V822" s="66"/>
      <c r="W822" s="66"/>
      <c r="X822" s="66"/>
      <c r="Y822" s="189"/>
      <c r="Z822" s="184"/>
      <c r="AA822" s="184"/>
      <c r="AB822" s="184"/>
      <c r="AC822" s="8"/>
      <c r="AD822" s="66"/>
      <c r="AE822" s="66"/>
      <c r="AF822" s="66"/>
      <c r="AG822" s="190"/>
      <c r="AH822" s="191"/>
      <c r="AI822" s="190"/>
      <c r="AJ822" s="190"/>
      <c r="AK822" s="66"/>
      <c r="AL822" s="66"/>
      <c r="AM822" s="66"/>
      <c r="AN822" s="66"/>
      <c r="AO822" s="66"/>
      <c r="AP822" s="66"/>
      <c r="AQ822" s="66"/>
      <c r="AR822" s="66"/>
      <c r="AS822" s="66"/>
      <c r="AT822" s="66"/>
    </row>
    <row r="823">
      <c r="A823" s="8"/>
      <c r="B823" s="66"/>
      <c r="C823" s="66"/>
      <c r="D823" s="66"/>
      <c r="E823" s="8"/>
      <c r="F823" s="66"/>
      <c r="G823" s="66"/>
      <c r="H823" s="66"/>
      <c r="I823" s="8"/>
      <c r="J823" s="66"/>
      <c r="K823" s="66"/>
      <c r="L823" s="66"/>
      <c r="M823" s="8"/>
      <c r="N823" s="66"/>
      <c r="O823" s="66"/>
      <c r="P823" s="66"/>
      <c r="Q823" s="8"/>
      <c r="R823" s="66"/>
      <c r="S823" s="66"/>
      <c r="T823" s="66"/>
      <c r="U823" s="8"/>
      <c r="V823" s="66"/>
      <c r="W823" s="66"/>
      <c r="X823" s="66"/>
      <c r="Y823" s="189"/>
      <c r="Z823" s="184"/>
      <c r="AA823" s="184"/>
      <c r="AB823" s="184"/>
      <c r="AC823" s="8"/>
      <c r="AD823" s="66"/>
      <c r="AE823" s="66"/>
      <c r="AF823" s="66"/>
      <c r="AG823" s="190"/>
      <c r="AH823" s="191"/>
      <c r="AI823" s="190"/>
      <c r="AJ823" s="190"/>
      <c r="AK823" s="66"/>
      <c r="AL823" s="66"/>
      <c r="AM823" s="66"/>
      <c r="AN823" s="66"/>
      <c r="AO823" s="66"/>
      <c r="AP823" s="66"/>
      <c r="AQ823" s="66"/>
      <c r="AR823" s="66"/>
      <c r="AS823" s="66"/>
      <c r="AT823" s="66"/>
    </row>
    <row r="824">
      <c r="A824" s="8"/>
      <c r="B824" s="66"/>
      <c r="C824" s="66"/>
      <c r="D824" s="66"/>
      <c r="E824" s="8"/>
      <c r="F824" s="66"/>
      <c r="G824" s="66"/>
      <c r="H824" s="66"/>
      <c r="I824" s="8"/>
      <c r="J824" s="66"/>
      <c r="K824" s="66"/>
      <c r="L824" s="66"/>
      <c r="M824" s="8"/>
      <c r="N824" s="66"/>
      <c r="O824" s="66"/>
      <c r="P824" s="66"/>
      <c r="Q824" s="8"/>
      <c r="R824" s="66"/>
      <c r="S824" s="66"/>
      <c r="T824" s="66"/>
      <c r="U824" s="8"/>
      <c r="V824" s="66"/>
      <c r="W824" s="66"/>
      <c r="X824" s="66"/>
      <c r="Y824" s="189"/>
      <c r="Z824" s="184"/>
      <c r="AA824" s="184"/>
      <c r="AB824" s="184"/>
      <c r="AC824" s="8"/>
      <c r="AD824" s="66"/>
      <c r="AE824" s="66"/>
      <c r="AF824" s="66"/>
      <c r="AG824" s="190"/>
      <c r="AH824" s="191"/>
      <c r="AI824" s="190"/>
      <c r="AJ824" s="190"/>
      <c r="AK824" s="66"/>
      <c r="AL824" s="66"/>
      <c r="AM824" s="66"/>
      <c r="AN824" s="66"/>
      <c r="AO824" s="66"/>
      <c r="AP824" s="66"/>
      <c r="AQ824" s="66"/>
      <c r="AR824" s="66"/>
      <c r="AS824" s="66"/>
      <c r="AT824" s="66"/>
    </row>
    <row r="825">
      <c r="A825" s="8"/>
      <c r="B825" s="66"/>
      <c r="C825" s="66"/>
      <c r="D825" s="66"/>
      <c r="E825" s="8"/>
      <c r="F825" s="66"/>
      <c r="G825" s="66"/>
      <c r="H825" s="66"/>
      <c r="I825" s="8"/>
      <c r="J825" s="66"/>
      <c r="K825" s="66"/>
      <c r="L825" s="66"/>
      <c r="M825" s="8"/>
      <c r="N825" s="66"/>
      <c r="O825" s="66"/>
      <c r="P825" s="66"/>
      <c r="Q825" s="8"/>
      <c r="R825" s="66"/>
      <c r="S825" s="66"/>
      <c r="T825" s="66"/>
      <c r="U825" s="8"/>
      <c r="V825" s="66"/>
      <c r="W825" s="66"/>
      <c r="X825" s="66"/>
      <c r="Y825" s="189"/>
      <c r="Z825" s="184"/>
      <c r="AA825" s="184"/>
      <c r="AB825" s="184"/>
      <c r="AC825" s="8"/>
      <c r="AD825" s="66"/>
      <c r="AE825" s="66"/>
      <c r="AF825" s="66"/>
      <c r="AG825" s="190"/>
      <c r="AH825" s="191"/>
      <c r="AI825" s="190"/>
      <c r="AJ825" s="190"/>
      <c r="AK825" s="66"/>
      <c r="AL825" s="66"/>
      <c r="AM825" s="66"/>
      <c r="AN825" s="66"/>
      <c r="AO825" s="66"/>
      <c r="AP825" s="66"/>
      <c r="AQ825" s="66"/>
      <c r="AR825" s="66"/>
      <c r="AS825" s="66"/>
      <c r="AT825" s="66"/>
    </row>
    <row r="826">
      <c r="A826" s="8"/>
      <c r="B826" s="66"/>
      <c r="C826" s="66"/>
      <c r="D826" s="66"/>
      <c r="E826" s="8"/>
      <c r="F826" s="66"/>
      <c r="G826" s="66"/>
      <c r="H826" s="66"/>
      <c r="I826" s="8"/>
      <c r="J826" s="66"/>
      <c r="K826" s="66"/>
      <c r="L826" s="66"/>
      <c r="M826" s="8"/>
      <c r="N826" s="66"/>
      <c r="O826" s="66"/>
      <c r="P826" s="66"/>
      <c r="Q826" s="8"/>
      <c r="R826" s="66"/>
      <c r="S826" s="66"/>
      <c r="T826" s="66"/>
      <c r="U826" s="8"/>
      <c r="V826" s="66"/>
      <c r="W826" s="66"/>
      <c r="X826" s="66"/>
      <c r="Y826" s="189"/>
      <c r="Z826" s="184"/>
      <c r="AA826" s="184"/>
      <c r="AB826" s="184"/>
      <c r="AC826" s="8"/>
      <c r="AD826" s="66"/>
      <c r="AE826" s="66"/>
      <c r="AF826" s="66"/>
      <c r="AG826" s="190"/>
      <c r="AH826" s="191"/>
      <c r="AI826" s="190"/>
      <c r="AJ826" s="190"/>
      <c r="AK826" s="66"/>
      <c r="AL826" s="66"/>
      <c r="AM826" s="66"/>
      <c r="AN826" s="66"/>
      <c r="AO826" s="66"/>
      <c r="AP826" s="66"/>
      <c r="AQ826" s="66"/>
      <c r="AR826" s="66"/>
      <c r="AS826" s="66"/>
      <c r="AT826" s="66"/>
    </row>
    <row r="827">
      <c r="A827" s="8"/>
      <c r="B827" s="66"/>
      <c r="C827" s="66"/>
      <c r="D827" s="66"/>
      <c r="E827" s="8"/>
      <c r="F827" s="66"/>
      <c r="G827" s="66"/>
      <c r="H827" s="66"/>
      <c r="I827" s="8"/>
      <c r="J827" s="66"/>
      <c r="K827" s="66"/>
      <c r="L827" s="66"/>
      <c r="M827" s="8"/>
      <c r="N827" s="66"/>
      <c r="O827" s="66"/>
      <c r="P827" s="66"/>
      <c r="Q827" s="8"/>
      <c r="R827" s="66"/>
      <c r="S827" s="66"/>
      <c r="T827" s="66"/>
      <c r="U827" s="8"/>
      <c r="V827" s="66"/>
      <c r="W827" s="66"/>
      <c r="X827" s="66"/>
      <c r="Y827" s="189"/>
      <c r="Z827" s="184"/>
      <c r="AA827" s="184"/>
      <c r="AB827" s="184"/>
      <c r="AC827" s="8"/>
      <c r="AD827" s="66"/>
      <c r="AE827" s="66"/>
      <c r="AF827" s="66"/>
      <c r="AG827" s="190"/>
      <c r="AH827" s="191"/>
      <c r="AI827" s="190"/>
      <c r="AJ827" s="190"/>
      <c r="AK827" s="66"/>
      <c r="AL827" s="66"/>
      <c r="AM827" s="66"/>
      <c r="AN827" s="66"/>
      <c r="AO827" s="66"/>
      <c r="AP827" s="66"/>
      <c r="AQ827" s="66"/>
      <c r="AR827" s="66"/>
      <c r="AS827" s="66"/>
      <c r="AT827" s="66"/>
    </row>
    <row r="828">
      <c r="A828" s="8"/>
      <c r="B828" s="66"/>
      <c r="C828" s="66"/>
      <c r="D828" s="66"/>
      <c r="E828" s="8"/>
      <c r="F828" s="66"/>
      <c r="G828" s="66"/>
      <c r="H828" s="66"/>
      <c r="I828" s="8"/>
      <c r="J828" s="66"/>
      <c r="K828" s="66"/>
      <c r="L828" s="66"/>
      <c r="M828" s="8"/>
      <c r="N828" s="66"/>
      <c r="O828" s="66"/>
      <c r="P828" s="66"/>
      <c r="Q828" s="8"/>
      <c r="R828" s="66"/>
      <c r="S828" s="66"/>
      <c r="T828" s="66"/>
      <c r="U828" s="8"/>
      <c r="V828" s="66"/>
      <c r="W828" s="66"/>
      <c r="X828" s="66"/>
      <c r="Y828" s="189"/>
      <c r="Z828" s="184"/>
      <c r="AA828" s="184"/>
      <c r="AB828" s="184"/>
      <c r="AC828" s="8"/>
      <c r="AD828" s="66"/>
      <c r="AE828" s="66"/>
      <c r="AF828" s="66"/>
      <c r="AG828" s="190"/>
      <c r="AH828" s="191"/>
      <c r="AI828" s="190"/>
      <c r="AJ828" s="190"/>
      <c r="AK828" s="66"/>
      <c r="AL828" s="66"/>
      <c r="AM828" s="66"/>
      <c r="AN828" s="66"/>
      <c r="AO828" s="66"/>
      <c r="AP828" s="66"/>
      <c r="AQ828" s="66"/>
      <c r="AR828" s="66"/>
      <c r="AS828" s="66"/>
      <c r="AT828" s="66"/>
    </row>
    <row r="829">
      <c r="A829" s="8"/>
      <c r="B829" s="66"/>
      <c r="C829" s="66"/>
      <c r="D829" s="66"/>
      <c r="E829" s="8"/>
      <c r="F829" s="66"/>
      <c r="G829" s="66"/>
      <c r="H829" s="66"/>
      <c r="I829" s="8"/>
      <c r="J829" s="66"/>
      <c r="K829" s="66"/>
      <c r="L829" s="66"/>
      <c r="M829" s="8"/>
      <c r="N829" s="66"/>
      <c r="O829" s="66"/>
      <c r="P829" s="66"/>
      <c r="Q829" s="8"/>
      <c r="R829" s="66"/>
      <c r="S829" s="66"/>
      <c r="T829" s="66"/>
      <c r="U829" s="8"/>
      <c r="V829" s="66"/>
      <c r="W829" s="66"/>
      <c r="X829" s="66"/>
      <c r="Y829" s="189"/>
      <c r="Z829" s="184"/>
      <c r="AA829" s="184"/>
      <c r="AB829" s="184"/>
      <c r="AC829" s="8"/>
      <c r="AD829" s="66"/>
      <c r="AE829" s="66"/>
      <c r="AF829" s="66"/>
      <c r="AG829" s="190"/>
      <c r="AH829" s="191"/>
      <c r="AI829" s="190"/>
      <c r="AJ829" s="190"/>
      <c r="AK829" s="66"/>
      <c r="AL829" s="66"/>
      <c r="AM829" s="66"/>
      <c r="AN829" s="66"/>
      <c r="AO829" s="66"/>
      <c r="AP829" s="66"/>
      <c r="AQ829" s="66"/>
      <c r="AR829" s="66"/>
      <c r="AS829" s="66"/>
      <c r="AT829" s="66"/>
    </row>
    <row r="830">
      <c r="A830" s="8"/>
      <c r="B830" s="66"/>
      <c r="C830" s="66"/>
      <c r="D830" s="66"/>
      <c r="E830" s="8"/>
      <c r="F830" s="66"/>
      <c r="G830" s="66"/>
      <c r="H830" s="66"/>
      <c r="I830" s="8"/>
      <c r="J830" s="66"/>
      <c r="K830" s="66"/>
      <c r="L830" s="66"/>
      <c r="M830" s="8"/>
      <c r="N830" s="66"/>
      <c r="O830" s="66"/>
      <c r="P830" s="66"/>
      <c r="Q830" s="8"/>
      <c r="R830" s="66"/>
      <c r="S830" s="66"/>
      <c r="T830" s="66"/>
      <c r="U830" s="8"/>
      <c r="V830" s="66"/>
      <c r="W830" s="66"/>
      <c r="X830" s="66"/>
      <c r="Y830" s="189"/>
      <c r="Z830" s="184"/>
      <c r="AA830" s="184"/>
      <c r="AB830" s="184"/>
      <c r="AC830" s="8"/>
      <c r="AD830" s="66"/>
      <c r="AE830" s="66"/>
      <c r="AF830" s="66"/>
      <c r="AG830" s="190"/>
      <c r="AH830" s="191"/>
      <c r="AI830" s="190"/>
      <c r="AJ830" s="190"/>
      <c r="AK830" s="66"/>
      <c r="AL830" s="66"/>
      <c r="AM830" s="66"/>
      <c r="AN830" s="66"/>
      <c r="AO830" s="66"/>
      <c r="AP830" s="66"/>
      <c r="AQ830" s="66"/>
      <c r="AR830" s="66"/>
      <c r="AS830" s="66"/>
      <c r="AT830" s="66"/>
    </row>
    <row r="831">
      <c r="A831" s="8"/>
      <c r="B831" s="66"/>
      <c r="C831" s="66"/>
      <c r="D831" s="66"/>
      <c r="E831" s="8"/>
      <c r="F831" s="66"/>
      <c r="G831" s="66"/>
      <c r="H831" s="66"/>
      <c r="I831" s="8"/>
      <c r="J831" s="66"/>
      <c r="K831" s="66"/>
      <c r="L831" s="66"/>
      <c r="M831" s="8"/>
      <c r="N831" s="66"/>
      <c r="O831" s="66"/>
      <c r="P831" s="66"/>
      <c r="Q831" s="8"/>
      <c r="R831" s="66"/>
      <c r="S831" s="66"/>
      <c r="T831" s="66"/>
      <c r="U831" s="8"/>
      <c r="V831" s="66"/>
      <c r="W831" s="66"/>
      <c r="X831" s="66"/>
      <c r="Y831" s="189"/>
      <c r="Z831" s="184"/>
      <c r="AA831" s="184"/>
      <c r="AB831" s="184"/>
      <c r="AC831" s="8"/>
      <c r="AD831" s="66"/>
      <c r="AE831" s="66"/>
      <c r="AF831" s="66"/>
      <c r="AG831" s="190"/>
      <c r="AH831" s="191"/>
      <c r="AI831" s="190"/>
      <c r="AJ831" s="190"/>
      <c r="AK831" s="66"/>
      <c r="AL831" s="66"/>
      <c r="AM831" s="66"/>
      <c r="AN831" s="66"/>
      <c r="AO831" s="66"/>
      <c r="AP831" s="66"/>
      <c r="AQ831" s="66"/>
      <c r="AR831" s="66"/>
      <c r="AS831" s="66"/>
      <c r="AT831" s="66"/>
    </row>
    <row r="832">
      <c r="A832" s="8"/>
      <c r="B832" s="66"/>
      <c r="C832" s="66"/>
      <c r="D832" s="66"/>
      <c r="E832" s="8"/>
      <c r="F832" s="66"/>
      <c r="G832" s="66"/>
      <c r="H832" s="66"/>
      <c r="I832" s="8"/>
      <c r="J832" s="66"/>
      <c r="K832" s="66"/>
      <c r="L832" s="66"/>
      <c r="M832" s="8"/>
      <c r="N832" s="66"/>
      <c r="O832" s="66"/>
      <c r="P832" s="66"/>
      <c r="Q832" s="8"/>
      <c r="R832" s="66"/>
      <c r="S832" s="66"/>
      <c r="T832" s="66"/>
      <c r="U832" s="8"/>
      <c r="V832" s="66"/>
      <c r="W832" s="66"/>
      <c r="X832" s="66"/>
      <c r="Y832" s="189"/>
      <c r="Z832" s="184"/>
      <c r="AA832" s="184"/>
      <c r="AB832" s="184"/>
      <c r="AC832" s="8"/>
      <c r="AD832" s="66"/>
      <c r="AE832" s="66"/>
      <c r="AF832" s="66"/>
      <c r="AG832" s="190"/>
      <c r="AH832" s="191"/>
      <c r="AI832" s="190"/>
      <c r="AJ832" s="190"/>
      <c r="AK832" s="66"/>
      <c r="AL832" s="66"/>
      <c r="AM832" s="66"/>
      <c r="AN832" s="66"/>
      <c r="AO832" s="66"/>
      <c r="AP832" s="66"/>
      <c r="AQ832" s="66"/>
      <c r="AR832" s="66"/>
      <c r="AS832" s="66"/>
      <c r="AT832" s="66"/>
    </row>
    <row r="833">
      <c r="A833" s="8"/>
      <c r="B833" s="66"/>
      <c r="C833" s="66"/>
      <c r="D833" s="66"/>
      <c r="E833" s="8"/>
      <c r="F833" s="66"/>
      <c r="G833" s="66"/>
      <c r="H833" s="66"/>
      <c r="I833" s="8"/>
      <c r="J833" s="66"/>
      <c r="K833" s="66"/>
      <c r="L833" s="66"/>
      <c r="M833" s="8"/>
      <c r="N833" s="66"/>
      <c r="O833" s="66"/>
      <c r="P833" s="66"/>
      <c r="Q833" s="8"/>
      <c r="R833" s="66"/>
      <c r="S833" s="66"/>
      <c r="T833" s="66"/>
      <c r="U833" s="8"/>
      <c r="V833" s="66"/>
      <c r="W833" s="66"/>
      <c r="X833" s="66"/>
      <c r="Y833" s="189"/>
      <c r="Z833" s="184"/>
      <c r="AA833" s="184"/>
      <c r="AB833" s="184"/>
      <c r="AC833" s="8"/>
      <c r="AD833" s="66"/>
      <c r="AE833" s="66"/>
      <c r="AF833" s="66"/>
      <c r="AG833" s="190"/>
      <c r="AH833" s="191"/>
      <c r="AI833" s="190"/>
      <c r="AJ833" s="190"/>
      <c r="AK833" s="66"/>
      <c r="AL833" s="66"/>
      <c r="AM833" s="66"/>
      <c r="AN833" s="66"/>
      <c r="AO833" s="66"/>
      <c r="AP833" s="66"/>
      <c r="AQ833" s="66"/>
      <c r="AR833" s="66"/>
      <c r="AS833" s="66"/>
      <c r="AT833" s="66"/>
    </row>
    <row r="834">
      <c r="A834" s="8"/>
      <c r="B834" s="66"/>
      <c r="C834" s="66"/>
      <c r="D834" s="66"/>
      <c r="E834" s="8"/>
      <c r="F834" s="66"/>
      <c r="G834" s="66"/>
      <c r="H834" s="66"/>
      <c r="I834" s="8"/>
      <c r="J834" s="66"/>
      <c r="K834" s="66"/>
      <c r="L834" s="66"/>
      <c r="M834" s="8"/>
      <c r="N834" s="66"/>
      <c r="O834" s="66"/>
      <c r="P834" s="66"/>
      <c r="Q834" s="8"/>
      <c r="R834" s="66"/>
      <c r="S834" s="66"/>
      <c r="T834" s="66"/>
      <c r="U834" s="8"/>
      <c r="V834" s="66"/>
      <c r="W834" s="66"/>
      <c r="X834" s="66"/>
      <c r="Y834" s="189"/>
      <c r="Z834" s="184"/>
      <c r="AA834" s="184"/>
      <c r="AB834" s="184"/>
      <c r="AC834" s="8"/>
      <c r="AD834" s="66"/>
      <c r="AE834" s="66"/>
      <c r="AF834" s="66"/>
      <c r="AG834" s="190"/>
      <c r="AH834" s="191"/>
      <c r="AI834" s="190"/>
      <c r="AJ834" s="190"/>
      <c r="AK834" s="66"/>
      <c r="AL834" s="66"/>
      <c r="AM834" s="66"/>
      <c r="AN834" s="66"/>
      <c r="AO834" s="66"/>
      <c r="AP834" s="66"/>
      <c r="AQ834" s="66"/>
      <c r="AR834" s="66"/>
      <c r="AS834" s="66"/>
      <c r="AT834" s="66"/>
    </row>
    <row r="835">
      <c r="A835" s="8"/>
      <c r="B835" s="66"/>
      <c r="C835" s="66"/>
      <c r="D835" s="66"/>
      <c r="E835" s="8"/>
      <c r="F835" s="66"/>
      <c r="G835" s="66"/>
      <c r="H835" s="66"/>
      <c r="I835" s="8"/>
      <c r="J835" s="66"/>
      <c r="K835" s="66"/>
      <c r="L835" s="66"/>
      <c r="M835" s="8"/>
      <c r="N835" s="66"/>
      <c r="O835" s="66"/>
      <c r="P835" s="66"/>
      <c r="Q835" s="8"/>
      <c r="R835" s="66"/>
      <c r="S835" s="66"/>
      <c r="T835" s="66"/>
      <c r="U835" s="8"/>
      <c r="V835" s="66"/>
      <c r="W835" s="66"/>
      <c r="X835" s="66"/>
      <c r="Y835" s="189"/>
      <c r="Z835" s="184"/>
      <c r="AA835" s="184"/>
      <c r="AB835" s="184"/>
      <c r="AC835" s="8"/>
      <c r="AD835" s="66"/>
      <c r="AE835" s="66"/>
      <c r="AF835" s="66"/>
      <c r="AG835" s="190"/>
      <c r="AH835" s="191"/>
      <c r="AI835" s="190"/>
      <c r="AJ835" s="190"/>
      <c r="AK835" s="66"/>
      <c r="AL835" s="66"/>
      <c r="AM835" s="66"/>
      <c r="AN835" s="66"/>
      <c r="AO835" s="66"/>
      <c r="AP835" s="66"/>
      <c r="AQ835" s="66"/>
      <c r="AR835" s="66"/>
      <c r="AS835" s="66"/>
      <c r="AT835" s="66"/>
    </row>
    <row r="836">
      <c r="A836" s="8"/>
      <c r="B836" s="66"/>
      <c r="C836" s="66"/>
      <c r="D836" s="66"/>
      <c r="E836" s="8"/>
      <c r="F836" s="66"/>
      <c r="G836" s="66"/>
      <c r="H836" s="66"/>
      <c r="I836" s="8"/>
      <c r="J836" s="66"/>
      <c r="K836" s="66"/>
      <c r="L836" s="66"/>
      <c r="M836" s="8"/>
      <c r="N836" s="66"/>
      <c r="O836" s="66"/>
      <c r="P836" s="66"/>
      <c r="Q836" s="8"/>
      <c r="R836" s="66"/>
      <c r="S836" s="66"/>
      <c r="T836" s="66"/>
      <c r="U836" s="8"/>
      <c r="V836" s="66"/>
      <c r="W836" s="66"/>
      <c r="X836" s="66"/>
      <c r="Y836" s="189"/>
      <c r="Z836" s="184"/>
      <c r="AA836" s="184"/>
      <c r="AB836" s="184"/>
      <c r="AC836" s="8"/>
      <c r="AD836" s="66"/>
      <c r="AE836" s="66"/>
      <c r="AF836" s="66"/>
      <c r="AG836" s="190"/>
      <c r="AH836" s="191"/>
      <c r="AI836" s="190"/>
      <c r="AJ836" s="190"/>
      <c r="AK836" s="66"/>
      <c r="AL836" s="66"/>
      <c r="AM836" s="66"/>
      <c r="AN836" s="66"/>
      <c r="AO836" s="66"/>
      <c r="AP836" s="66"/>
      <c r="AQ836" s="66"/>
      <c r="AR836" s="66"/>
      <c r="AS836" s="66"/>
      <c r="AT836" s="66"/>
    </row>
    <row r="837">
      <c r="A837" s="8"/>
      <c r="B837" s="66"/>
      <c r="C837" s="66"/>
      <c r="D837" s="66"/>
      <c r="E837" s="8"/>
      <c r="F837" s="66"/>
      <c r="G837" s="66"/>
      <c r="H837" s="66"/>
      <c r="I837" s="8"/>
      <c r="J837" s="66"/>
      <c r="K837" s="66"/>
      <c r="L837" s="66"/>
      <c r="M837" s="8"/>
      <c r="N837" s="66"/>
      <c r="O837" s="66"/>
      <c r="P837" s="66"/>
      <c r="Q837" s="8"/>
      <c r="R837" s="66"/>
      <c r="S837" s="66"/>
      <c r="T837" s="66"/>
      <c r="U837" s="8"/>
      <c r="V837" s="66"/>
      <c r="W837" s="66"/>
      <c r="X837" s="66"/>
      <c r="Y837" s="189"/>
      <c r="Z837" s="184"/>
      <c r="AA837" s="184"/>
      <c r="AB837" s="184"/>
      <c r="AC837" s="8"/>
      <c r="AD837" s="66"/>
      <c r="AE837" s="66"/>
      <c r="AF837" s="66"/>
      <c r="AG837" s="190"/>
      <c r="AH837" s="191"/>
      <c r="AI837" s="190"/>
      <c r="AJ837" s="190"/>
      <c r="AK837" s="66"/>
      <c r="AL837" s="66"/>
      <c r="AM837" s="66"/>
      <c r="AN837" s="66"/>
      <c r="AO837" s="66"/>
      <c r="AP837" s="66"/>
      <c r="AQ837" s="66"/>
      <c r="AR837" s="66"/>
      <c r="AS837" s="66"/>
      <c r="AT837" s="66"/>
    </row>
    <row r="838">
      <c r="A838" s="8"/>
      <c r="B838" s="66"/>
      <c r="C838" s="66"/>
      <c r="D838" s="66"/>
      <c r="E838" s="8"/>
      <c r="F838" s="66"/>
      <c r="G838" s="66"/>
      <c r="H838" s="66"/>
      <c r="I838" s="8"/>
      <c r="J838" s="66"/>
      <c r="K838" s="66"/>
      <c r="L838" s="66"/>
      <c r="M838" s="8"/>
      <c r="N838" s="66"/>
      <c r="O838" s="66"/>
      <c r="P838" s="66"/>
      <c r="Q838" s="8"/>
      <c r="R838" s="66"/>
      <c r="S838" s="66"/>
      <c r="T838" s="66"/>
      <c r="U838" s="8"/>
      <c r="V838" s="66"/>
      <c r="W838" s="66"/>
      <c r="X838" s="66"/>
      <c r="Y838" s="189"/>
      <c r="Z838" s="184"/>
      <c r="AA838" s="184"/>
      <c r="AB838" s="184"/>
      <c r="AC838" s="8"/>
      <c r="AD838" s="66"/>
      <c r="AE838" s="66"/>
      <c r="AF838" s="66"/>
      <c r="AG838" s="190"/>
      <c r="AH838" s="191"/>
      <c r="AI838" s="190"/>
      <c r="AJ838" s="190"/>
      <c r="AK838" s="66"/>
      <c r="AL838" s="66"/>
      <c r="AM838" s="66"/>
      <c r="AN838" s="66"/>
      <c r="AO838" s="66"/>
      <c r="AP838" s="66"/>
      <c r="AQ838" s="66"/>
      <c r="AR838" s="66"/>
      <c r="AS838" s="66"/>
      <c r="AT838" s="66"/>
    </row>
    <row r="839">
      <c r="A839" s="8"/>
      <c r="B839" s="66"/>
      <c r="C839" s="66"/>
      <c r="D839" s="66"/>
      <c r="E839" s="8"/>
      <c r="F839" s="66"/>
      <c r="G839" s="66"/>
      <c r="H839" s="66"/>
      <c r="I839" s="8"/>
      <c r="J839" s="66"/>
      <c r="K839" s="66"/>
      <c r="L839" s="66"/>
      <c r="M839" s="8"/>
      <c r="N839" s="66"/>
      <c r="O839" s="66"/>
      <c r="P839" s="66"/>
      <c r="Q839" s="8"/>
      <c r="R839" s="66"/>
      <c r="S839" s="66"/>
      <c r="T839" s="66"/>
      <c r="U839" s="8"/>
      <c r="V839" s="66"/>
      <c r="W839" s="66"/>
      <c r="X839" s="66"/>
      <c r="Y839" s="189"/>
      <c r="Z839" s="184"/>
      <c r="AA839" s="184"/>
      <c r="AB839" s="184"/>
      <c r="AC839" s="8"/>
      <c r="AD839" s="66"/>
      <c r="AE839" s="66"/>
      <c r="AF839" s="66"/>
      <c r="AG839" s="190"/>
      <c r="AH839" s="191"/>
      <c r="AI839" s="190"/>
      <c r="AJ839" s="190"/>
      <c r="AK839" s="66"/>
      <c r="AL839" s="66"/>
      <c r="AM839" s="66"/>
      <c r="AN839" s="66"/>
      <c r="AO839" s="66"/>
      <c r="AP839" s="66"/>
      <c r="AQ839" s="66"/>
      <c r="AR839" s="66"/>
      <c r="AS839" s="66"/>
      <c r="AT839" s="66"/>
    </row>
    <row r="840">
      <c r="A840" s="8"/>
      <c r="B840" s="66"/>
      <c r="C840" s="66"/>
      <c r="D840" s="66"/>
      <c r="E840" s="8"/>
      <c r="F840" s="66"/>
      <c r="G840" s="66"/>
      <c r="H840" s="66"/>
      <c r="I840" s="8"/>
      <c r="J840" s="66"/>
      <c r="K840" s="66"/>
      <c r="L840" s="66"/>
      <c r="M840" s="8"/>
      <c r="N840" s="66"/>
      <c r="O840" s="66"/>
      <c r="P840" s="66"/>
      <c r="Q840" s="8"/>
      <c r="R840" s="66"/>
      <c r="S840" s="66"/>
      <c r="T840" s="66"/>
      <c r="U840" s="8"/>
      <c r="V840" s="66"/>
      <c r="W840" s="66"/>
      <c r="X840" s="66"/>
      <c r="Y840" s="189"/>
      <c r="Z840" s="184"/>
      <c r="AA840" s="184"/>
      <c r="AB840" s="184"/>
      <c r="AC840" s="8"/>
      <c r="AD840" s="66"/>
      <c r="AE840" s="66"/>
      <c r="AF840" s="66"/>
      <c r="AG840" s="190"/>
      <c r="AH840" s="191"/>
      <c r="AI840" s="190"/>
      <c r="AJ840" s="190"/>
      <c r="AK840" s="66"/>
      <c r="AL840" s="66"/>
      <c r="AM840" s="66"/>
      <c r="AN840" s="66"/>
      <c r="AO840" s="66"/>
      <c r="AP840" s="66"/>
      <c r="AQ840" s="66"/>
      <c r="AR840" s="66"/>
      <c r="AS840" s="66"/>
      <c r="AT840" s="66"/>
    </row>
    <row r="841">
      <c r="A841" s="8"/>
      <c r="B841" s="66"/>
      <c r="C841" s="66"/>
      <c r="D841" s="66"/>
      <c r="E841" s="8"/>
      <c r="F841" s="66"/>
      <c r="G841" s="66"/>
      <c r="H841" s="66"/>
      <c r="I841" s="8"/>
      <c r="J841" s="66"/>
      <c r="K841" s="66"/>
      <c r="L841" s="66"/>
      <c r="M841" s="8"/>
      <c r="N841" s="66"/>
      <c r="O841" s="66"/>
      <c r="P841" s="66"/>
      <c r="Q841" s="8"/>
      <c r="R841" s="66"/>
      <c r="S841" s="66"/>
      <c r="T841" s="66"/>
      <c r="U841" s="8"/>
      <c r="V841" s="66"/>
      <c r="W841" s="66"/>
      <c r="X841" s="66"/>
      <c r="Y841" s="189"/>
      <c r="Z841" s="184"/>
      <c r="AA841" s="184"/>
      <c r="AB841" s="184"/>
      <c r="AC841" s="8"/>
      <c r="AD841" s="66"/>
      <c r="AE841" s="66"/>
      <c r="AF841" s="66"/>
      <c r="AG841" s="190"/>
      <c r="AH841" s="191"/>
      <c r="AI841" s="190"/>
      <c r="AJ841" s="190"/>
      <c r="AK841" s="66"/>
      <c r="AL841" s="66"/>
      <c r="AM841" s="66"/>
      <c r="AN841" s="66"/>
      <c r="AO841" s="66"/>
      <c r="AP841" s="66"/>
      <c r="AQ841" s="66"/>
      <c r="AR841" s="66"/>
      <c r="AS841" s="66"/>
      <c r="AT841" s="66"/>
    </row>
    <row r="842">
      <c r="A842" s="8"/>
      <c r="B842" s="66"/>
      <c r="C842" s="66"/>
      <c r="D842" s="66"/>
      <c r="E842" s="8"/>
      <c r="F842" s="66"/>
      <c r="G842" s="66"/>
      <c r="H842" s="66"/>
      <c r="I842" s="8"/>
      <c r="J842" s="66"/>
      <c r="K842" s="66"/>
      <c r="L842" s="66"/>
      <c r="M842" s="8"/>
      <c r="N842" s="66"/>
      <c r="O842" s="66"/>
      <c r="P842" s="66"/>
      <c r="Q842" s="8"/>
      <c r="R842" s="66"/>
      <c r="S842" s="66"/>
      <c r="T842" s="66"/>
      <c r="U842" s="8"/>
      <c r="V842" s="66"/>
      <c r="W842" s="66"/>
      <c r="X842" s="66"/>
      <c r="Y842" s="189"/>
      <c r="Z842" s="184"/>
      <c r="AA842" s="184"/>
      <c r="AB842" s="184"/>
      <c r="AC842" s="8"/>
      <c r="AD842" s="66"/>
      <c r="AE842" s="66"/>
      <c r="AF842" s="66"/>
      <c r="AG842" s="190"/>
      <c r="AH842" s="191"/>
      <c r="AI842" s="190"/>
      <c r="AJ842" s="190"/>
      <c r="AK842" s="66"/>
      <c r="AL842" s="66"/>
      <c r="AM842" s="66"/>
      <c r="AN842" s="66"/>
      <c r="AO842" s="66"/>
      <c r="AP842" s="66"/>
      <c r="AQ842" s="66"/>
      <c r="AR842" s="66"/>
      <c r="AS842" s="66"/>
      <c r="AT842" s="66"/>
    </row>
    <row r="843">
      <c r="A843" s="8"/>
      <c r="B843" s="66"/>
      <c r="C843" s="66"/>
      <c r="D843" s="66"/>
      <c r="E843" s="8"/>
      <c r="F843" s="66"/>
      <c r="G843" s="66"/>
      <c r="H843" s="66"/>
      <c r="I843" s="8"/>
      <c r="J843" s="66"/>
      <c r="K843" s="66"/>
      <c r="L843" s="66"/>
      <c r="M843" s="8"/>
      <c r="N843" s="66"/>
      <c r="O843" s="66"/>
      <c r="P843" s="66"/>
      <c r="Q843" s="8"/>
      <c r="R843" s="66"/>
      <c r="S843" s="66"/>
      <c r="T843" s="66"/>
      <c r="U843" s="8"/>
      <c r="V843" s="66"/>
      <c r="W843" s="66"/>
      <c r="X843" s="66"/>
      <c r="Y843" s="189"/>
      <c r="Z843" s="184"/>
      <c r="AA843" s="184"/>
      <c r="AB843" s="184"/>
      <c r="AC843" s="8"/>
      <c r="AD843" s="66"/>
      <c r="AE843" s="66"/>
      <c r="AF843" s="66"/>
      <c r="AG843" s="190"/>
      <c r="AH843" s="191"/>
      <c r="AI843" s="190"/>
      <c r="AJ843" s="190"/>
      <c r="AK843" s="66"/>
      <c r="AL843" s="66"/>
      <c r="AM843" s="66"/>
      <c r="AN843" s="66"/>
      <c r="AO843" s="66"/>
      <c r="AP843" s="66"/>
      <c r="AQ843" s="66"/>
      <c r="AR843" s="66"/>
      <c r="AS843" s="66"/>
      <c r="AT843" s="66"/>
    </row>
    <row r="844">
      <c r="A844" s="8"/>
      <c r="B844" s="66"/>
      <c r="C844" s="66"/>
      <c r="D844" s="66"/>
      <c r="E844" s="8"/>
      <c r="F844" s="66"/>
      <c r="G844" s="66"/>
      <c r="H844" s="66"/>
      <c r="I844" s="8"/>
      <c r="J844" s="66"/>
      <c r="K844" s="66"/>
      <c r="L844" s="66"/>
      <c r="M844" s="8"/>
      <c r="N844" s="66"/>
      <c r="O844" s="66"/>
      <c r="P844" s="66"/>
      <c r="Q844" s="8"/>
      <c r="R844" s="66"/>
      <c r="S844" s="66"/>
      <c r="T844" s="66"/>
      <c r="U844" s="8"/>
      <c r="V844" s="66"/>
      <c r="W844" s="66"/>
      <c r="X844" s="66"/>
      <c r="Y844" s="189"/>
      <c r="Z844" s="184"/>
      <c r="AA844" s="184"/>
      <c r="AB844" s="184"/>
      <c r="AC844" s="8"/>
      <c r="AD844" s="66"/>
      <c r="AE844" s="66"/>
      <c r="AF844" s="66"/>
      <c r="AG844" s="190"/>
      <c r="AH844" s="191"/>
      <c r="AI844" s="190"/>
      <c r="AJ844" s="190"/>
      <c r="AK844" s="66"/>
      <c r="AL844" s="66"/>
      <c r="AM844" s="66"/>
      <c r="AN844" s="66"/>
      <c r="AO844" s="66"/>
      <c r="AP844" s="66"/>
      <c r="AQ844" s="66"/>
      <c r="AR844" s="66"/>
      <c r="AS844" s="66"/>
      <c r="AT844" s="66"/>
    </row>
    <row r="845">
      <c r="A845" s="8"/>
      <c r="B845" s="66"/>
      <c r="C845" s="66"/>
      <c r="D845" s="66"/>
      <c r="E845" s="8"/>
      <c r="F845" s="66"/>
      <c r="G845" s="66"/>
      <c r="H845" s="66"/>
      <c r="I845" s="8"/>
      <c r="J845" s="66"/>
      <c r="K845" s="66"/>
      <c r="L845" s="66"/>
      <c r="M845" s="8"/>
      <c r="N845" s="66"/>
      <c r="O845" s="66"/>
      <c r="P845" s="66"/>
      <c r="Q845" s="8"/>
      <c r="R845" s="66"/>
      <c r="S845" s="66"/>
      <c r="T845" s="66"/>
      <c r="U845" s="8"/>
      <c r="V845" s="66"/>
      <c r="W845" s="66"/>
      <c r="X845" s="66"/>
      <c r="Y845" s="189"/>
      <c r="Z845" s="184"/>
      <c r="AA845" s="184"/>
      <c r="AB845" s="184"/>
      <c r="AC845" s="8"/>
      <c r="AD845" s="66"/>
      <c r="AE845" s="66"/>
      <c r="AF845" s="66"/>
      <c r="AG845" s="190"/>
      <c r="AH845" s="191"/>
      <c r="AI845" s="190"/>
      <c r="AJ845" s="190"/>
      <c r="AK845" s="66"/>
      <c r="AL845" s="66"/>
      <c r="AM845" s="66"/>
      <c r="AN845" s="66"/>
      <c r="AO845" s="66"/>
      <c r="AP845" s="66"/>
      <c r="AQ845" s="66"/>
      <c r="AR845" s="66"/>
      <c r="AS845" s="66"/>
      <c r="AT845" s="66"/>
    </row>
    <row r="846">
      <c r="A846" s="8"/>
      <c r="B846" s="66"/>
      <c r="C846" s="66"/>
      <c r="D846" s="66"/>
      <c r="E846" s="8"/>
      <c r="F846" s="66"/>
      <c r="G846" s="66"/>
      <c r="H846" s="66"/>
      <c r="I846" s="8"/>
      <c r="J846" s="66"/>
      <c r="K846" s="66"/>
      <c r="L846" s="66"/>
      <c r="M846" s="8"/>
      <c r="N846" s="66"/>
      <c r="O846" s="66"/>
      <c r="P846" s="66"/>
      <c r="Q846" s="8"/>
      <c r="R846" s="66"/>
      <c r="S846" s="66"/>
      <c r="T846" s="66"/>
      <c r="U846" s="8"/>
      <c r="V846" s="66"/>
      <c r="W846" s="66"/>
      <c r="X846" s="66"/>
      <c r="Y846" s="189"/>
      <c r="Z846" s="184"/>
      <c r="AA846" s="184"/>
      <c r="AB846" s="184"/>
      <c r="AC846" s="8"/>
      <c r="AD846" s="66"/>
      <c r="AE846" s="66"/>
      <c r="AF846" s="66"/>
      <c r="AG846" s="190"/>
      <c r="AH846" s="191"/>
      <c r="AI846" s="190"/>
      <c r="AJ846" s="190"/>
      <c r="AK846" s="66"/>
      <c r="AL846" s="66"/>
      <c r="AM846" s="66"/>
      <c r="AN846" s="66"/>
      <c r="AO846" s="66"/>
      <c r="AP846" s="66"/>
      <c r="AQ846" s="66"/>
      <c r="AR846" s="66"/>
      <c r="AS846" s="66"/>
      <c r="AT846" s="66"/>
    </row>
    <row r="847">
      <c r="A847" s="8"/>
      <c r="B847" s="66"/>
      <c r="C847" s="66"/>
      <c r="D847" s="66"/>
      <c r="E847" s="8"/>
      <c r="F847" s="66"/>
      <c r="G847" s="66"/>
      <c r="H847" s="66"/>
      <c r="I847" s="8"/>
      <c r="J847" s="66"/>
      <c r="K847" s="66"/>
      <c r="L847" s="66"/>
      <c r="M847" s="8"/>
      <c r="N847" s="66"/>
      <c r="O847" s="66"/>
      <c r="P847" s="66"/>
      <c r="Q847" s="8"/>
      <c r="R847" s="66"/>
      <c r="S847" s="66"/>
      <c r="T847" s="66"/>
      <c r="U847" s="8"/>
      <c r="V847" s="66"/>
      <c r="W847" s="66"/>
      <c r="X847" s="66"/>
      <c r="Y847" s="189"/>
      <c r="Z847" s="184"/>
      <c r="AA847" s="184"/>
      <c r="AB847" s="184"/>
      <c r="AC847" s="8"/>
      <c r="AD847" s="66"/>
      <c r="AE847" s="66"/>
      <c r="AF847" s="66"/>
      <c r="AG847" s="190"/>
      <c r="AH847" s="191"/>
      <c r="AI847" s="190"/>
      <c r="AJ847" s="190"/>
      <c r="AK847" s="66"/>
      <c r="AL847" s="66"/>
      <c r="AM847" s="66"/>
      <c r="AN847" s="66"/>
      <c r="AO847" s="66"/>
      <c r="AP847" s="66"/>
      <c r="AQ847" s="66"/>
      <c r="AR847" s="66"/>
      <c r="AS847" s="66"/>
      <c r="AT847" s="66"/>
    </row>
    <row r="848">
      <c r="A848" s="8"/>
      <c r="B848" s="66"/>
      <c r="C848" s="66"/>
      <c r="D848" s="66"/>
      <c r="E848" s="8"/>
      <c r="F848" s="66"/>
      <c r="G848" s="66"/>
      <c r="H848" s="66"/>
      <c r="I848" s="8"/>
      <c r="J848" s="66"/>
      <c r="K848" s="66"/>
      <c r="L848" s="66"/>
      <c r="M848" s="8"/>
      <c r="N848" s="66"/>
      <c r="O848" s="66"/>
      <c r="P848" s="66"/>
      <c r="Q848" s="8"/>
      <c r="R848" s="66"/>
      <c r="S848" s="66"/>
      <c r="T848" s="66"/>
      <c r="U848" s="8"/>
      <c r="V848" s="66"/>
      <c r="W848" s="66"/>
      <c r="X848" s="66"/>
      <c r="Y848" s="189"/>
      <c r="Z848" s="184"/>
      <c r="AA848" s="184"/>
      <c r="AB848" s="184"/>
      <c r="AC848" s="8"/>
      <c r="AD848" s="66"/>
      <c r="AE848" s="66"/>
      <c r="AF848" s="66"/>
      <c r="AG848" s="190"/>
      <c r="AH848" s="191"/>
      <c r="AI848" s="190"/>
      <c r="AJ848" s="190"/>
      <c r="AK848" s="66"/>
      <c r="AL848" s="66"/>
      <c r="AM848" s="66"/>
      <c r="AN848" s="66"/>
      <c r="AO848" s="66"/>
      <c r="AP848" s="66"/>
      <c r="AQ848" s="66"/>
      <c r="AR848" s="66"/>
      <c r="AS848" s="66"/>
      <c r="AT848" s="66"/>
    </row>
    <row r="849">
      <c r="A849" s="8"/>
      <c r="B849" s="66"/>
      <c r="C849" s="66"/>
      <c r="D849" s="66"/>
      <c r="E849" s="8"/>
      <c r="F849" s="66"/>
      <c r="G849" s="66"/>
      <c r="H849" s="66"/>
      <c r="I849" s="8"/>
      <c r="J849" s="66"/>
      <c r="K849" s="66"/>
      <c r="L849" s="66"/>
      <c r="M849" s="8"/>
      <c r="N849" s="66"/>
      <c r="O849" s="66"/>
      <c r="P849" s="66"/>
      <c r="Q849" s="8"/>
      <c r="R849" s="66"/>
      <c r="S849" s="66"/>
      <c r="T849" s="66"/>
      <c r="U849" s="8"/>
      <c r="V849" s="66"/>
      <c r="W849" s="66"/>
      <c r="X849" s="66"/>
      <c r="Y849" s="189"/>
      <c r="Z849" s="184"/>
      <c r="AA849" s="184"/>
      <c r="AB849" s="184"/>
      <c r="AC849" s="8"/>
      <c r="AD849" s="66"/>
      <c r="AE849" s="66"/>
      <c r="AF849" s="66"/>
      <c r="AG849" s="190"/>
      <c r="AH849" s="191"/>
      <c r="AI849" s="190"/>
      <c r="AJ849" s="190"/>
      <c r="AK849" s="66"/>
      <c r="AL849" s="66"/>
      <c r="AM849" s="66"/>
      <c r="AN849" s="66"/>
      <c r="AO849" s="66"/>
      <c r="AP849" s="66"/>
      <c r="AQ849" s="66"/>
      <c r="AR849" s="66"/>
      <c r="AS849" s="66"/>
      <c r="AT849" s="66"/>
    </row>
    <row r="850">
      <c r="A850" s="8"/>
      <c r="B850" s="66"/>
      <c r="C850" s="66"/>
      <c r="D850" s="66"/>
      <c r="E850" s="8"/>
      <c r="F850" s="66"/>
      <c r="G850" s="66"/>
      <c r="H850" s="66"/>
      <c r="I850" s="8"/>
      <c r="J850" s="66"/>
      <c r="K850" s="66"/>
      <c r="L850" s="66"/>
      <c r="M850" s="8"/>
      <c r="N850" s="66"/>
      <c r="O850" s="66"/>
      <c r="P850" s="66"/>
      <c r="Q850" s="8"/>
      <c r="R850" s="66"/>
      <c r="S850" s="66"/>
      <c r="T850" s="66"/>
      <c r="U850" s="8"/>
      <c r="V850" s="66"/>
      <c r="W850" s="66"/>
      <c r="X850" s="66"/>
      <c r="Y850" s="189"/>
      <c r="Z850" s="184"/>
      <c r="AA850" s="184"/>
      <c r="AB850" s="184"/>
      <c r="AC850" s="8"/>
      <c r="AD850" s="66"/>
      <c r="AE850" s="66"/>
      <c r="AF850" s="66"/>
      <c r="AG850" s="190"/>
      <c r="AH850" s="191"/>
      <c r="AI850" s="190"/>
      <c r="AJ850" s="190"/>
      <c r="AK850" s="66"/>
      <c r="AL850" s="66"/>
      <c r="AM850" s="66"/>
      <c r="AN850" s="66"/>
      <c r="AO850" s="66"/>
      <c r="AP850" s="66"/>
      <c r="AQ850" s="66"/>
      <c r="AR850" s="66"/>
      <c r="AS850" s="66"/>
      <c r="AT850" s="66"/>
    </row>
    <row r="851">
      <c r="A851" s="8"/>
      <c r="B851" s="66"/>
      <c r="C851" s="66"/>
      <c r="D851" s="66"/>
      <c r="E851" s="8"/>
      <c r="F851" s="66"/>
      <c r="G851" s="66"/>
      <c r="H851" s="66"/>
      <c r="I851" s="8"/>
      <c r="J851" s="66"/>
      <c r="K851" s="66"/>
      <c r="L851" s="66"/>
      <c r="M851" s="8"/>
      <c r="N851" s="66"/>
      <c r="O851" s="66"/>
      <c r="P851" s="66"/>
      <c r="Q851" s="8"/>
      <c r="R851" s="66"/>
      <c r="S851" s="66"/>
      <c r="T851" s="66"/>
      <c r="U851" s="8"/>
      <c r="V851" s="66"/>
      <c r="W851" s="66"/>
      <c r="X851" s="66"/>
      <c r="Y851" s="189"/>
      <c r="Z851" s="184"/>
      <c r="AA851" s="184"/>
      <c r="AB851" s="184"/>
      <c r="AC851" s="8"/>
      <c r="AD851" s="66"/>
      <c r="AE851" s="66"/>
      <c r="AF851" s="66"/>
      <c r="AG851" s="190"/>
      <c r="AH851" s="191"/>
      <c r="AI851" s="190"/>
      <c r="AJ851" s="190"/>
      <c r="AK851" s="66"/>
      <c r="AL851" s="66"/>
      <c r="AM851" s="66"/>
      <c r="AN851" s="66"/>
      <c r="AO851" s="66"/>
      <c r="AP851" s="66"/>
      <c r="AQ851" s="66"/>
      <c r="AR851" s="66"/>
      <c r="AS851" s="66"/>
      <c r="AT851" s="66"/>
    </row>
    <row r="852">
      <c r="A852" s="8"/>
      <c r="B852" s="66"/>
      <c r="C852" s="66"/>
      <c r="D852" s="66"/>
      <c r="E852" s="8"/>
      <c r="F852" s="66"/>
      <c r="G852" s="66"/>
      <c r="H852" s="66"/>
      <c r="I852" s="8"/>
      <c r="J852" s="66"/>
      <c r="K852" s="66"/>
      <c r="L852" s="66"/>
      <c r="M852" s="8"/>
      <c r="N852" s="66"/>
      <c r="O852" s="66"/>
      <c r="P852" s="66"/>
      <c r="Q852" s="8"/>
      <c r="R852" s="66"/>
      <c r="S852" s="66"/>
      <c r="T852" s="66"/>
      <c r="U852" s="8"/>
      <c r="V852" s="66"/>
      <c r="W852" s="66"/>
      <c r="X852" s="66"/>
      <c r="Y852" s="189"/>
      <c r="Z852" s="184"/>
      <c r="AA852" s="184"/>
      <c r="AB852" s="184"/>
      <c r="AC852" s="8"/>
      <c r="AD852" s="66"/>
      <c r="AE852" s="66"/>
      <c r="AF852" s="66"/>
      <c r="AG852" s="190"/>
      <c r="AH852" s="191"/>
      <c r="AI852" s="190"/>
      <c r="AJ852" s="190"/>
      <c r="AK852" s="66"/>
      <c r="AL852" s="66"/>
      <c r="AM852" s="66"/>
      <c r="AN852" s="66"/>
      <c r="AO852" s="66"/>
      <c r="AP852" s="66"/>
      <c r="AQ852" s="66"/>
      <c r="AR852" s="66"/>
      <c r="AS852" s="66"/>
      <c r="AT852" s="66"/>
    </row>
    <row r="853">
      <c r="A853" s="8"/>
      <c r="B853" s="66"/>
      <c r="C853" s="66"/>
      <c r="D853" s="66"/>
      <c r="E853" s="8"/>
      <c r="F853" s="66"/>
      <c r="G853" s="66"/>
      <c r="H853" s="66"/>
      <c r="I853" s="8"/>
      <c r="J853" s="66"/>
      <c r="K853" s="66"/>
      <c r="L853" s="66"/>
      <c r="M853" s="8"/>
      <c r="N853" s="66"/>
      <c r="O853" s="66"/>
      <c r="P853" s="66"/>
      <c r="Q853" s="8"/>
      <c r="R853" s="66"/>
      <c r="S853" s="66"/>
      <c r="T853" s="66"/>
      <c r="U853" s="8"/>
      <c r="V853" s="66"/>
      <c r="W853" s="66"/>
      <c r="X853" s="66"/>
      <c r="Y853" s="189"/>
      <c r="Z853" s="184"/>
      <c r="AA853" s="184"/>
      <c r="AB853" s="184"/>
      <c r="AC853" s="8"/>
      <c r="AD853" s="66"/>
      <c r="AE853" s="66"/>
      <c r="AF853" s="66"/>
      <c r="AG853" s="190"/>
      <c r="AH853" s="191"/>
      <c r="AI853" s="190"/>
      <c r="AJ853" s="190"/>
      <c r="AK853" s="66"/>
      <c r="AL853" s="66"/>
      <c r="AM853" s="66"/>
      <c r="AN853" s="66"/>
      <c r="AO853" s="66"/>
      <c r="AP853" s="66"/>
      <c r="AQ853" s="66"/>
      <c r="AR853" s="66"/>
      <c r="AS853" s="66"/>
      <c r="AT853" s="66"/>
    </row>
    <row r="854">
      <c r="A854" s="8"/>
      <c r="B854" s="66"/>
      <c r="C854" s="66"/>
      <c r="D854" s="66"/>
      <c r="E854" s="8"/>
      <c r="F854" s="66"/>
      <c r="G854" s="66"/>
      <c r="H854" s="66"/>
      <c r="I854" s="8"/>
      <c r="J854" s="66"/>
      <c r="K854" s="66"/>
      <c r="L854" s="66"/>
      <c r="M854" s="8"/>
      <c r="N854" s="66"/>
      <c r="O854" s="66"/>
      <c r="P854" s="66"/>
      <c r="Q854" s="8"/>
      <c r="R854" s="66"/>
      <c r="S854" s="66"/>
      <c r="T854" s="66"/>
      <c r="U854" s="8"/>
      <c r="V854" s="66"/>
      <c r="W854" s="66"/>
      <c r="X854" s="66"/>
      <c r="Y854" s="189"/>
      <c r="Z854" s="184"/>
      <c r="AA854" s="184"/>
      <c r="AB854" s="184"/>
      <c r="AC854" s="8"/>
      <c r="AD854" s="66"/>
      <c r="AE854" s="66"/>
      <c r="AF854" s="66"/>
      <c r="AG854" s="190"/>
      <c r="AH854" s="191"/>
      <c r="AI854" s="190"/>
      <c r="AJ854" s="190"/>
      <c r="AK854" s="66"/>
      <c r="AL854" s="66"/>
      <c r="AM854" s="66"/>
      <c r="AN854" s="66"/>
      <c r="AO854" s="66"/>
      <c r="AP854" s="66"/>
      <c r="AQ854" s="66"/>
      <c r="AR854" s="66"/>
      <c r="AS854" s="66"/>
      <c r="AT854" s="66"/>
    </row>
    <row r="855">
      <c r="A855" s="8"/>
      <c r="B855" s="66"/>
      <c r="C855" s="66"/>
      <c r="D855" s="66"/>
      <c r="E855" s="8"/>
      <c r="F855" s="66"/>
      <c r="G855" s="66"/>
      <c r="H855" s="66"/>
      <c r="I855" s="8"/>
      <c r="J855" s="66"/>
      <c r="K855" s="66"/>
      <c r="L855" s="66"/>
      <c r="M855" s="8"/>
      <c r="N855" s="66"/>
      <c r="O855" s="66"/>
      <c r="P855" s="66"/>
      <c r="Q855" s="8"/>
      <c r="R855" s="66"/>
      <c r="S855" s="66"/>
      <c r="T855" s="66"/>
      <c r="U855" s="8"/>
      <c r="V855" s="66"/>
      <c r="W855" s="66"/>
      <c r="X855" s="66"/>
      <c r="Y855" s="189"/>
      <c r="Z855" s="184"/>
      <c r="AA855" s="184"/>
      <c r="AB855" s="184"/>
      <c r="AC855" s="8"/>
      <c r="AD855" s="66"/>
      <c r="AE855" s="66"/>
      <c r="AF855" s="66"/>
      <c r="AG855" s="190"/>
      <c r="AH855" s="191"/>
      <c r="AI855" s="190"/>
      <c r="AJ855" s="190"/>
      <c r="AK855" s="66"/>
      <c r="AL855" s="66"/>
      <c r="AM855" s="66"/>
      <c r="AN855" s="66"/>
      <c r="AO855" s="66"/>
      <c r="AP855" s="66"/>
      <c r="AQ855" s="66"/>
      <c r="AR855" s="66"/>
      <c r="AS855" s="66"/>
      <c r="AT855" s="66"/>
    </row>
    <row r="856">
      <c r="A856" s="8"/>
      <c r="B856" s="66"/>
      <c r="C856" s="66"/>
      <c r="D856" s="66"/>
      <c r="E856" s="8"/>
      <c r="F856" s="66"/>
      <c r="G856" s="66"/>
      <c r="H856" s="66"/>
      <c r="I856" s="8"/>
      <c r="J856" s="66"/>
      <c r="K856" s="66"/>
      <c r="L856" s="66"/>
      <c r="M856" s="8"/>
      <c r="N856" s="66"/>
      <c r="O856" s="66"/>
      <c r="P856" s="66"/>
      <c r="Q856" s="8"/>
      <c r="R856" s="66"/>
      <c r="S856" s="66"/>
      <c r="T856" s="66"/>
      <c r="U856" s="8"/>
      <c r="V856" s="66"/>
      <c r="W856" s="66"/>
      <c r="X856" s="66"/>
      <c r="Y856" s="189"/>
      <c r="Z856" s="184"/>
      <c r="AA856" s="184"/>
      <c r="AB856" s="184"/>
      <c r="AC856" s="8"/>
      <c r="AD856" s="66"/>
      <c r="AE856" s="66"/>
      <c r="AF856" s="66"/>
      <c r="AG856" s="190"/>
      <c r="AH856" s="191"/>
      <c r="AI856" s="190"/>
      <c r="AJ856" s="190"/>
      <c r="AK856" s="66"/>
      <c r="AL856" s="66"/>
      <c r="AM856" s="66"/>
      <c r="AN856" s="66"/>
      <c r="AO856" s="66"/>
      <c r="AP856" s="66"/>
      <c r="AQ856" s="66"/>
      <c r="AR856" s="66"/>
      <c r="AS856" s="66"/>
      <c r="AT856" s="66"/>
    </row>
    <row r="857">
      <c r="A857" s="8"/>
      <c r="B857" s="66"/>
      <c r="C857" s="66"/>
      <c r="D857" s="66"/>
      <c r="E857" s="8"/>
      <c r="F857" s="66"/>
      <c r="G857" s="66"/>
      <c r="H857" s="66"/>
      <c r="I857" s="8"/>
      <c r="J857" s="66"/>
      <c r="K857" s="66"/>
      <c r="L857" s="66"/>
      <c r="M857" s="8"/>
      <c r="N857" s="66"/>
      <c r="O857" s="66"/>
      <c r="P857" s="66"/>
      <c r="Q857" s="8"/>
      <c r="R857" s="66"/>
      <c r="S857" s="66"/>
      <c r="T857" s="66"/>
      <c r="U857" s="8"/>
      <c r="V857" s="66"/>
      <c r="W857" s="66"/>
      <c r="X857" s="66"/>
      <c r="Y857" s="189"/>
      <c r="Z857" s="184"/>
      <c r="AA857" s="184"/>
      <c r="AB857" s="184"/>
      <c r="AC857" s="8"/>
      <c r="AD857" s="66"/>
      <c r="AE857" s="66"/>
      <c r="AF857" s="66"/>
      <c r="AG857" s="190"/>
      <c r="AH857" s="191"/>
      <c r="AI857" s="190"/>
      <c r="AJ857" s="190"/>
      <c r="AK857" s="66"/>
      <c r="AL857" s="66"/>
      <c r="AM857" s="66"/>
      <c r="AN857" s="66"/>
      <c r="AO857" s="66"/>
      <c r="AP857" s="66"/>
      <c r="AQ857" s="66"/>
      <c r="AR857" s="66"/>
      <c r="AS857" s="66"/>
      <c r="AT857" s="66"/>
    </row>
    <row r="858">
      <c r="A858" s="8"/>
      <c r="B858" s="66"/>
      <c r="C858" s="66"/>
      <c r="D858" s="66"/>
      <c r="E858" s="8"/>
      <c r="F858" s="66"/>
      <c r="G858" s="66"/>
      <c r="H858" s="66"/>
      <c r="I858" s="8"/>
      <c r="J858" s="66"/>
      <c r="K858" s="66"/>
      <c r="L858" s="66"/>
      <c r="M858" s="8"/>
      <c r="N858" s="66"/>
      <c r="O858" s="66"/>
      <c r="P858" s="66"/>
      <c r="Q858" s="8"/>
      <c r="R858" s="66"/>
      <c r="S858" s="66"/>
      <c r="T858" s="66"/>
      <c r="U858" s="8"/>
      <c r="V858" s="66"/>
      <c r="W858" s="66"/>
      <c r="X858" s="66"/>
      <c r="Y858" s="189"/>
      <c r="Z858" s="184"/>
      <c r="AA858" s="184"/>
      <c r="AB858" s="184"/>
      <c r="AC858" s="8"/>
      <c r="AD858" s="66"/>
      <c r="AE858" s="66"/>
      <c r="AF858" s="66"/>
      <c r="AG858" s="190"/>
      <c r="AH858" s="191"/>
      <c r="AI858" s="190"/>
      <c r="AJ858" s="190"/>
      <c r="AK858" s="66"/>
      <c r="AL858" s="66"/>
      <c r="AM858" s="66"/>
      <c r="AN858" s="66"/>
      <c r="AO858" s="66"/>
      <c r="AP858" s="66"/>
      <c r="AQ858" s="66"/>
      <c r="AR858" s="66"/>
      <c r="AS858" s="66"/>
      <c r="AT858" s="66"/>
    </row>
    <row r="859">
      <c r="A859" s="8"/>
      <c r="B859" s="66"/>
      <c r="C859" s="66"/>
      <c r="D859" s="66"/>
      <c r="E859" s="8"/>
      <c r="F859" s="66"/>
      <c r="G859" s="66"/>
      <c r="H859" s="66"/>
      <c r="I859" s="8"/>
      <c r="J859" s="66"/>
      <c r="K859" s="66"/>
      <c r="L859" s="66"/>
      <c r="M859" s="8"/>
      <c r="N859" s="66"/>
      <c r="O859" s="66"/>
      <c r="P859" s="66"/>
      <c r="Q859" s="8"/>
      <c r="R859" s="66"/>
      <c r="S859" s="66"/>
      <c r="T859" s="66"/>
      <c r="U859" s="8"/>
      <c r="V859" s="66"/>
      <c r="W859" s="66"/>
      <c r="X859" s="66"/>
      <c r="Y859" s="189"/>
      <c r="Z859" s="184"/>
      <c r="AA859" s="184"/>
      <c r="AB859" s="184"/>
      <c r="AC859" s="8"/>
      <c r="AD859" s="66"/>
      <c r="AE859" s="66"/>
      <c r="AF859" s="66"/>
      <c r="AG859" s="190"/>
      <c r="AH859" s="191"/>
      <c r="AI859" s="190"/>
      <c r="AJ859" s="190"/>
      <c r="AK859" s="66"/>
      <c r="AL859" s="66"/>
      <c r="AM859" s="66"/>
      <c r="AN859" s="66"/>
      <c r="AO859" s="66"/>
      <c r="AP859" s="66"/>
      <c r="AQ859" s="66"/>
      <c r="AR859" s="66"/>
      <c r="AS859" s="66"/>
      <c r="AT859" s="66"/>
    </row>
    <row r="860">
      <c r="A860" s="8"/>
      <c r="B860" s="66"/>
      <c r="C860" s="66"/>
      <c r="D860" s="66"/>
      <c r="E860" s="8"/>
      <c r="F860" s="66"/>
      <c r="G860" s="66"/>
      <c r="H860" s="66"/>
      <c r="I860" s="8"/>
      <c r="J860" s="66"/>
      <c r="K860" s="66"/>
      <c r="L860" s="66"/>
      <c r="M860" s="8"/>
      <c r="N860" s="66"/>
      <c r="O860" s="66"/>
      <c r="P860" s="66"/>
      <c r="Q860" s="8"/>
      <c r="R860" s="66"/>
      <c r="S860" s="66"/>
      <c r="T860" s="66"/>
      <c r="U860" s="8"/>
      <c r="V860" s="66"/>
      <c r="W860" s="66"/>
      <c r="X860" s="66"/>
      <c r="Y860" s="189"/>
      <c r="Z860" s="184"/>
      <c r="AA860" s="184"/>
      <c r="AB860" s="184"/>
      <c r="AC860" s="8"/>
      <c r="AD860" s="66"/>
      <c r="AE860" s="66"/>
      <c r="AF860" s="66"/>
      <c r="AG860" s="190"/>
      <c r="AH860" s="191"/>
      <c r="AI860" s="190"/>
      <c r="AJ860" s="190"/>
      <c r="AK860" s="66"/>
      <c r="AL860" s="66"/>
      <c r="AM860" s="66"/>
      <c r="AN860" s="66"/>
      <c r="AO860" s="66"/>
      <c r="AP860" s="66"/>
      <c r="AQ860" s="66"/>
      <c r="AR860" s="66"/>
      <c r="AS860" s="66"/>
      <c r="AT860" s="66"/>
    </row>
    <row r="861">
      <c r="A861" s="8"/>
      <c r="B861" s="66"/>
      <c r="C861" s="66"/>
      <c r="D861" s="66"/>
      <c r="E861" s="8"/>
      <c r="F861" s="66"/>
      <c r="G861" s="66"/>
      <c r="H861" s="66"/>
      <c r="I861" s="8"/>
      <c r="J861" s="66"/>
      <c r="K861" s="66"/>
      <c r="L861" s="66"/>
      <c r="M861" s="8"/>
      <c r="N861" s="66"/>
      <c r="O861" s="66"/>
      <c r="P861" s="66"/>
      <c r="Q861" s="8"/>
      <c r="R861" s="66"/>
      <c r="S861" s="66"/>
      <c r="T861" s="66"/>
      <c r="U861" s="8"/>
      <c r="V861" s="66"/>
      <c r="W861" s="66"/>
      <c r="X861" s="66"/>
      <c r="Y861" s="189"/>
      <c r="Z861" s="184"/>
      <c r="AA861" s="184"/>
      <c r="AB861" s="184"/>
      <c r="AC861" s="8"/>
      <c r="AD861" s="66"/>
      <c r="AE861" s="66"/>
      <c r="AF861" s="66"/>
      <c r="AG861" s="190"/>
      <c r="AH861" s="191"/>
      <c r="AI861" s="190"/>
      <c r="AJ861" s="190"/>
      <c r="AK861" s="66"/>
      <c r="AL861" s="66"/>
      <c r="AM861" s="66"/>
      <c r="AN861" s="66"/>
      <c r="AO861" s="66"/>
      <c r="AP861" s="66"/>
      <c r="AQ861" s="66"/>
      <c r="AR861" s="66"/>
      <c r="AS861" s="66"/>
      <c r="AT861" s="66"/>
    </row>
    <row r="862">
      <c r="A862" s="8"/>
      <c r="B862" s="66"/>
      <c r="C862" s="66"/>
      <c r="D862" s="66"/>
      <c r="E862" s="8"/>
      <c r="F862" s="66"/>
      <c r="G862" s="66"/>
      <c r="H862" s="66"/>
      <c r="I862" s="8"/>
      <c r="J862" s="66"/>
      <c r="K862" s="66"/>
      <c r="L862" s="66"/>
      <c r="M862" s="8"/>
      <c r="N862" s="66"/>
      <c r="O862" s="66"/>
      <c r="P862" s="66"/>
      <c r="Q862" s="8"/>
      <c r="R862" s="66"/>
      <c r="S862" s="66"/>
      <c r="T862" s="66"/>
      <c r="U862" s="8"/>
      <c r="V862" s="66"/>
      <c r="W862" s="66"/>
      <c r="X862" s="66"/>
      <c r="Y862" s="189"/>
      <c r="Z862" s="184"/>
      <c r="AA862" s="184"/>
      <c r="AB862" s="184"/>
      <c r="AC862" s="8"/>
      <c r="AD862" s="66"/>
      <c r="AE862" s="66"/>
      <c r="AF862" s="66"/>
      <c r="AG862" s="190"/>
      <c r="AH862" s="191"/>
      <c r="AI862" s="190"/>
      <c r="AJ862" s="190"/>
      <c r="AK862" s="66"/>
      <c r="AL862" s="66"/>
      <c r="AM862" s="66"/>
      <c r="AN862" s="66"/>
      <c r="AO862" s="66"/>
      <c r="AP862" s="66"/>
      <c r="AQ862" s="66"/>
      <c r="AR862" s="66"/>
      <c r="AS862" s="66"/>
      <c r="AT862" s="66"/>
    </row>
    <row r="863">
      <c r="A863" s="8"/>
      <c r="B863" s="66"/>
      <c r="C863" s="66"/>
      <c r="D863" s="66"/>
      <c r="E863" s="8"/>
      <c r="F863" s="66"/>
      <c r="G863" s="66"/>
      <c r="H863" s="66"/>
      <c r="I863" s="8"/>
      <c r="J863" s="66"/>
      <c r="K863" s="66"/>
      <c r="L863" s="66"/>
      <c r="M863" s="8"/>
      <c r="N863" s="66"/>
      <c r="O863" s="66"/>
      <c r="P863" s="66"/>
      <c r="Q863" s="8"/>
      <c r="R863" s="66"/>
      <c r="S863" s="66"/>
      <c r="T863" s="66"/>
      <c r="U863" s="8"/>
      <c r="V863" s="66"/>
      <c r="W863" s="66"/>
      <c r="X863" s="66"/>
      <c r="Y863" s="189"/>
      <c r="Z863" s="184"/>
      <c r="AA863" s="184"/>
      <c r="AB863" s="184"/>
      <c r="AC863" s="8"/>
      <c r="AD863" s="66"/>
      <c r="AE863" s="66"/>
      <c r="AF863" s="66"/>
      <c r="AG863" s="190"/>
      <c r="AH863" s="191"/>
      <c r="AI863" s="190"/>
      <c r="AJ863" s="190"/>
      <c r="AK863" s="66"/>
      <c r="AL863" s="66"/>
      <c r="AM863" s="66"/>
      <c r="AN863" s="66"/>
      <c r="AO863" s="66"/>
      <c r="AP863" s="66"/>
      <c r="AQ863" s="66"/>
      <c r="AR863" s="66"/>
      <c r="AS863" s="66"/>
      <c r="AT863" s="66"/>
    </row>
    <row r="864">
      <c r="A864" s="8"/>
      <c r="B864" s="66"/>
      <c r="C864" s="66"/>
      <c r="D864" s="66"/>
      <c r="E864" s="8"/>
      <c r="F864" s="66"/>
      <c r="G864" s="66"/>
      <c r="H864" s="66"/>
      <c r="I864" s="8"/>
      <c r="J864" s="66"/>
      <c r="K864" s="66"/>
      <c r="L864" s="66"/>
      <c r="M864" s="8"/>
      <c r="N864" s="66"/>
      <c r="O864" s="66"/>
      <c r="P864" s="66"/>
      <c r="Q864" s="8"/>
      <c r="R864" s="66"/>
      <c r="S864" s="66"/>
      <c r="T864" s="66"/>
      <c r="U864" s="8"/>
      <c r="V864" s="66"/>
      <c r="W864" s="66"/>
      <c r="X864" s="66"/>
      <c r="Y864" s="189"/>
      <c r="Z864" s="184"/>
      <c r="AA864" s="184"/>
      <c r="AB864" s="184"/>
      <c r="AC864" s="8"/>
      <c r="AD864" s="66"/>
      <c r="AE864" s="66"/>
      <c r="AF864" s="66"/>
      <c r="AG864" s="190"/>
      <c r="AH864" s="191"/>
      <c r="AI864" s="190"/>
      <c r="AJ864" s="190"/>
      <c r="AK864" s="66"/>
      <c r="AL864" s="66"/>
      <c r="AM864" s="66"/>
      <c r="AN864" s="66"/>
      <c r="AO864" s="66"/>
      <c r="AP864" s="66"/>
      <c r="AQ864" s="66"/>
      <c r="AR864" s="66"/>
      <c r="AS864" s="66"/>
      <c r="AT864" s="66"/>
    </row>
    <row r="865">
      <c r="A865" s="8"/>
      <c r="B865" s="66"/>
      <c r="C865" s="66"/>
      <c r="D865" s="66"/>
      <c r="E865" s="8"/>
      <c r="F865" s="66"/>
      <c r="G865" s="66"/>
      <c r="H865" s="66"/>
      <c r="I865" s="8"/>
      <c r="J865" s="66"/>
      <c r="K865" s="66"/>
      <c r="L865" s="66"/>
      <c r="M865" s="8"/>
      <c r="N865" s="66"/>
      <c r="O865" s="66"/>
      <c r="P865" s="66"/>
      <c r="Q865" s="8"/>
      <c r="R865" s="66"/>
      <c r="S865" s="66"/>
      <c r="T865" s="66"/>
      <c r="U865" s="8"/>
      <c r="V865" s="66"/>
      <c r="W865" s="66"/>
      <c r="X865" s="66"/>
      <c r="Y865" s="189"/>
      <c r="Z865" s="184"/>
      <c r="AA865" s="184"/>
      <c r="AB865" s="184"/>
      <c r="AC865" s="8"/>
      <c r="AD865" s="66"/>
      <c r="AE865" s="66"/>
      <c r="AF865" s="66"/>
      <c r="AG865" s="190"/>
      <c r="AH865" s="191"/>
      <c r="AI865" s="190"/>
      <c r="AJ865" s="190"/>
      <c r="AK865" s="66"/>
      <c r="AL865" s="66"/>
      <c r="AM865" s="66"/>
      <c r="AN865" s="66"/>
      <c r="AO865" s="66"/>
      <c r="AP865" s="66"/>
      <c r="AQ865" s="66"/>
      <c r="AR865" s="66"/>
      <c r="AS865" s="66"/>
      <c r="AT865" s="66"/>
    </row>
    <row r="866">
      <c r="A866" s="8"/>
      <c r="B866" s="66"/>
      <c r="C866" s="66"/>
      <c r="D866" s="66"/>
      <c r="E866" s="8"/>
      <c r="F866" s="66"/>
      <c r="G866" s="66"/>
      <c r="H866" s="66"/>
      <c r="I866" s="8"/>
      <c r="J866" s="66"/>
      <c r="K866" s="66"/>
      <c r="L866" s="66"/>
      <c r="M866" s="8"/>
      <c r="N866" s="66"/>
      <c r="O866" s="66"/>
      <c r="P866" s="66"/>
      <c r="Q866" s="8"/>
      <c r="R866" s="66"/>
      <c r="S866" s="66"/>
      <c r="T866" s="66"/>
      <c r="U866" s="8"/>
      <c r="V866" s="66"/>
      <c r="W866" s="66"/>
      <c r="X866" s="66"/>
      <c r="Y866" s="189"/>
      <c r="Z866" s="184"/>
      <c r="AA866" s="184"/>
      <c r="AB866" s="184"/>
      <c r="AC866" s="8"/>
      <c r="AD866" s="66"/>
      <c r="AE866" s="66"/>
      <c r="AF866" s="66"/>
      <c r="AG866" s="190"/>
      <c r="AH866" s="191"/>
      <c r="AI866" s="190"/>
      <c r="AJ866" s="190"/>
      <c r="AK866" s="66"/>
      <c r="AL866" s="66"/>
      <c r="AM866" s="66"/>
      <c r="AN866" s="66"/>
      <c r="AO866" s="66"/>
      <c r="AP866" s="66"/>
      <c r="AQ866" s="66"/>
      <c r="AR866" s="66"/>
      <c r="AS866" s="66"/>
      <c r="AT866" s="66"/>
    </row>
    <row r="867">
      <c r="A867" s="8"/>
      <c r="B867" s="66"/>
      <c r="C867" s="66"/>
      <c r="D867" s="66"/>
      <c r="E867" s="8"/>
      <c r="F867" s="66"/>
      <c r="G867" s="66"/>
      <c r="H867" s="66"/>
      <c r="I867" s="8"/>
      <c r="J867" s="66"/>
      <c r="K867" s="66"/>
      <c r="L867" s="66"/>
      <c r="M867" s="8"/>
      <c r="N867" s="66"/>
      <c r="O867" s="66"/>
      <c r="P867" s="66"/>
      <c r="Q867" s="8"/>
      <c r="R867" s="66"/>
      <c r="S867" s="66"/>
      <c r="T867" s="66"/>
      <c r="U867" s="8"/>
      <c r="V867" s="66"/>
      <c r="W867" s="66"/>
      <c r="X867" s="66"/>
      <c r="Y867" s="189"/>
      <c r="Z867" s="184"/>
      <c r="AA867" s="184"/>
      <c r="AB867" s="184"/>
      <c r="AC867" s="8"/>
      <c r="AD867" s="66"/>
      <c r="AE867" s="66"/>
      <c r="AF867" s="66"/>
      <c r="AG867" s="190"/>
      <c r="AH867" s="191"/>
      <c r="AI867" s="190"/>
      <c r="AJ867" s="190"/>
      <c r="AK867" s="66"/>
      <c r="AL867" s="66"/>
      <c r="AM867" s="66"/>
      <c r="AN867" s="66"/>
      <c r="AO867" s="66"/>
      <c r="AP867" s="66"/>
      <c r="AQ867" s="66"/>
      <c r="AR867" s="66"/>
      <c r="AS867" s="66"/>
      <c r="AT867" s="66"/>
    </row>
    <row r="868">
      <c r="A868" s="8"/>
      <c r="B868" s="66"/>
      <c r="C868" s="66"/>
      <c r="D868" s="66"/>
      <c r="E868" s="8"/>
      <c r="F868" s="66"/>
      <c r="G868" s="66"/>
      <c r="H868" s="66"/>
      <c r="I868" s="8"/>
      <c r="J868" s="66"/>
      <c r="K868" s="66"/>
      <c r="L868" s="66"/>
      <c r="M868" s="8"/>
      <c r="N868" s="66"/>
      <c r="O868" s="66"/>
      <c r="P868" s="66"/>
      <c r="Q868" s="8"/>
      <c r="R868" s="66"/>
      <c r="S868" s="66"/>
      <c r="T868" s="66"/>
      <c r="U868" s="8"/>
      <c r="V868" s="66"/>
      <c r="W868" s="66"/>
      <c r="X868" s="66"/>
      <c r="Y868" s="189"/>
      <c r="Z868" s="184"/>
      <c r="AA868" s="184"/>
      <c r="AB868" s="184"/>
      <c r="AC868" s="8"/>
      <c r="AD868" s="66"/>
      <c r="AE868" s="66"/>
      <c r="AF868" s="66"/>
      <c r="AG868" s="190"/>
      <c r="AH868" s="191"/>
      <c r="AI868" s="190"/>
      <c r="AJ868" s="190"/>
      <c r="AK868" s="66"/>
      <c r="AL868" s="66"/>
      <c r="AM868" s="66"/>
      <c r="AN868" s="66"/>
      <c r="AO868" s="66"/>
      <c r="AP868" s="66"/>
      <c r="AQ868" s="66"/>
      <c r="AR868" s="66"/>
      <c r="AS868" s="66"/>
      <c r="AT868" s="66"/>
    </row>
    <row r="869">
      <c r="A869" s="8"/>
      <c r="B869" s="66"/>
      <c r="C869" s="66"/>
      <c r="D869" s="66"/>
      <c r="E869" s="8"/>
      <c r="F869" s="66"/>
      <c r="G869" s="66"/>
      <c r="H869" s="66"/>
      <c r="I869" s="8"/>
      <c r="J869" s="66"/>
      <c r="K869" s="66"/>
      <c r="L869" s="66"/>
      <c r="M869" s="8"/>
      <c r="N869" s="66"/>
      <c r="O869" s="66"/>
      <c r="P869" s="66"/>
      <c r="Q869" s="8"/>
      <c r="R869" s="66"/>
      <c r="S869" s="66"/>
      <c r="T869" s="66"/>
      <c r="U869" s="8"/>
      <c r="V869" s="66"/>
      <c r="W869" s="66"/>
      <c r="X869" s="66"/>
      <c r="Y869" s="189"/>
      <c r="Z869" s="184"/>
      <c r="AA869" s="184"/>
      <c r="AB869" s="184"/>
      <c r="AC869" s="8"/>
      <c r="AD869" s="66"/>
      <c r="AE869" s="66"/>
      <c r="AF869" s="66"/>
      <c r="AG869" s="190"/>
      <c r="AH869" s="191"/>
      <c r="AI869" s="190"/>
      <c r="AJ869" s="190"/>
      <c r="AK869" s="66"/>
      <c r="AL869" s="66"/>
      <c r="AM869" s="66"/>
      <c r="AN869" s="66"/>
      <c r="AO869" s="66"/>
      <c r="AP869" s="66"/>
      <c r="AQ869" s="66"/>
      <c r="AR869" s="66"/>
      <c r="AS869" s="66"/>
      <c r="AT869" s="66"/>
    </row>
    <row r="870">
      <c r="A870" s="8"/>
      <c r="B870" s="66"/>
      <c r="C870" s="66"/>
      <c r="D870" s="66"/>
      <c r="E870" s="8"/>
      <c r="F870" s="66"/>
      <c r="G870" s="66"/>
      <c r="H870" s="66"/>
      <c r="I870" s="8"/>
      <c r="J870" s="66"/>
      <c r="K870" s="66"/>
      <c r="L870" s="66"/>
      <c r="M870" s="8"/>
      <c r="N870" s="66"/>
      <c r="O870" s="66"/>
      <c r="P870" s="66"/>
      <c r="Q870" s="8"/>
      <c r="R870" s="66"/>
      <c r="S870" s="66"/>
      <c r="T870" s="66"/>
      <c r="U870" s="8"/>
      <c r="V870" s="66"/>
      <c r="W870" s="66"/>
      <c r="X870" s="66"/>
      <c r="Y870" s="189"/>
      <c r="Z870" s="184"/>
      <c r="AA870" s="184"/>
      <c r="AB870" s="184"/>
      <c r="AC870" s="8"/>
      <c r="AD870" s="66"/>
      <c r="AE870" s="66"/>
      <c r="AF870" s="66"/>
      <c r="AG870" s="190"/>
      <c r="AH870" s="191"/>
      <c r="AI870" s="190"/>
      <c r="AJ870" s="190"/>
      <c r="AK870" s="66"/>
      <c r="AL870" s="66"/>
      <c r="AM870" s="66"/>
      <c r="AN870" s="66"/>
      <c r="AO870" s="66"/>
      <c r="AP870" s="66"/>
      <c r="AQ870" s="66"/>
      <c r="AR870" s="66"/>
      <c r="AS870" s="66"/>
      <c r="AT870" s="66"/>
    </row>
    <row r="871">
      <c r="A871" s="8"/>
      <c r="B871" s="66"/>
      <c r="C871" s="66"/>
      <c r="D871" s="66"/>
      <c r="E871" s="8"/>
      <c r="F871" s="66"/>
      <c r="G871" s="66"/>
      <c r="H871" s="66"/>
      <c r="I871" s="8"/>
      <c r="J871" s="66"/>
      <c r="K871" s="66"/>
      <c r="L871" s="66"/>
      <c r="M871" s="8"/>
      <c r="N871" s="66"/>
      <c r="O871" s="66"/>
      <c r="P871" s="66"/>
      <c r="Q871" s="8"/>
      <c r="R871" s="66"/>
      <c r="S871" s="66"/>
      <c r="T871" s="66"/>
      <c r="U871" s="8"/>
      <c r="V871" s="66"/>
      <c r="W871" s="66"/>
      <c r="X871" s="66"/>
      <c r="Y871" s="189"/>
      <c r="Z871" s="184"/>
      <c r="AA871" s="184"/>
      <c r="AB871" s="184"/>
      <c r="AC871" s="8"/>
      <c r="AD871" s="66"/>
      <c r="AE871" s="66"/>
      <c r="AF871" s="66"/>
      <c r="AG871" s="190"/>
      <c r="AH871" s="191"/>
      <c r="AI871" s="190"/>
      <c r="AJ871" s="190"/>
      <c r="AK871" s="66"/>
      <c r="AL871" s="66"/>
      <c r="AM871" s="66"/>
      <c r="AN871" s="66"/>
      <c r="AO871" s="66"/>
      <c r="AP871" s="66"/>
      <c r="AQ871" s="66"/>
      <c r="AR871" s="66"/>
      <c r="AS871" s="66"/>
      <c r="AT871" s="66"/>
    </row>
    <row r="872">
      <c r="A872" s="8"/>
      <c r="B872" s="66"/>
      <c r="C872" s="66"/>
      <c r="D872" s="66"/>
      <c r="E872" s="8"/>
      <c r="F872" s="66"/>
      <c r="G872" s="66"/>
      <c r="H872" s="66"/>
      <c r="I872" s="8"/>
      <c r="J872" s="66"/>
      <c r="K872" s="66"/>
      <c r="L872" s="66"/>
      <c r="M872" s="8"/>
      <c r="N872" s="66"/>
      <c r="O872" s="66"/>
      <c r="P872" s="66"/>
      <c r="Q872" s="8"/>
      <c r="R872" s="66"/>
      <c r="S872" s="66"/>
      <c r="T872" s="66"/>
      <c r="U872" s="8"/>
      <c r="V872" s="66"/>
      <c r="W872" s="66"/>
      <c r="X872" s="66"/>
      <c r="Y872" s="189"/>
      <c r="Z872" s="184"/>
      <c r="AA872" s="184"/>
      <c r="AB872" s="184"/>
      <c r="AC872" s="8"/>
      <c r="AD872" s="66"/>
      <c r="AE872" s="66"/>
      <c r="AF872" s="66"/>
      <c r="AG872" s="190"/>
      <c r="AH872" s="191"/>
      <c r="AI872" s="190"/>
      <c r="AJ872" s="190"/>
      <c r="AK872" s="66"/>
      <c r="AL872" s="66"/>
      <c r="AM872" s="66"/>
      <c r="AN872" s="66"/>
      <c r="AO872" s="66"/>
      <c r="AP872" s="66"/>
      <c r="AQ872" s="66"/>
      <c r="AR872" s="66"/>
      <c r="AS872" s="66"/>
      <c r="AT872" s="66"/>
    </row>
    <row r="873">
      <c r="A873" s="8"/>
      <c r="B873" s="66"/>
      <c r="C873" s="66"/>
      <c r="D873" s="66"/>
      <c r="E873" s="8"/>
      <c r="F873" s="66"/>
      <c r="G873" s="66"/>
      <c r="H873" s="66"/>
      <c r="I873" s="8"/>
      <c r="J873" s="66"/>
      <c r="K873" s="66"/>
      <c r="L873" s="66"/>
      <c r="M873" s="8"/>
      <c r="N873" s="66"/>
      <c r="O873" s="66"/>
      <c r="P873" s="66"/>
      <c r="Q873" s="8"/>
      <c r="R873" s="66"/>
      <c r="S873" s="66"/>
      <c r="T873" s="66"/>
      <c r="U873" s="8"/>
      <c r="V873" s="66"/>
      <c r="W873" s="66"/>
      <c r="X873" s="66"/>
      <c r="Y873" s="189"/>
      <c r="Z873" s="184"/>
      <c r="AA873" s="184"/>
      <c r="AB873" s="184"/>
      <c r="AC873" s="8"/>
      <c r="AD873" s="66"/>
      <c r="AE873" s="66"/>
      <c r="AF873" s="66"/>
      <c r="AG873" s="190"/>
      <c r="AH873" s="191"/>
      <c r="AI873" s="190"/>
      <c r="AJ873" s="190"/>
      <c r="AK873" s="66"/>
      <c r="AL873" s="66"/>
      <c r="AM873" s="66"/>
      <c r="AN873" s="66"/>
      <c r="AO873" s="66"/>
      <c r="AP873" s="66"/>
      <c r="AQ873" s="66"/>
      <c r="AR873" s="66"/>
      <c r="AS873" s="66"/>
      <c r="AT873" s="66"/>
    </row>
    <row r="874">
      <c r="A874" s="8"/>
      <c r="B874" s="66"/>
      <c r="C874" s="66"/>
      <c r="D874" s="66"/>
      <c r="E874" s="8"/>
      <c r="F874" s="66"/>
      <c r="G874" s="66"/>
      <c r="H874" s="66"/>
      <c r="I874" s="8"/>
      <c r="J874" s="66"/>
      <c r="K874" s="66"/>
      <c r="L874" s="66"/>
      <c r="M874" s="8"/>
      <c r="N874" s="66"/>
      <c r="O874" s="66"/>
      <c r="P874" s="66"/>
      <c r="Q874" s="8"/>
      <c r="R874" s="66"/>
      <c r="S874" s="66"/>
      <c r="T874" s="66"/>
      <c r="U874" s="8"/>
      <c r="V874" s="66"/>
      <c r="W874" s="66"/>
      <c r="X874" s="66"/>
      <c r="Y874" s="189"/>
      <c r="Z874" s="184"/>
      <c r="AA874" s="184"/>
      <c r="AB874" s="184"/>
      <c r="AC874" s="8"/>
      <c r="AD874" s="66"/>
      <c r="AE874" s="66"/>
      <c r="AF874" s="66"/>
      <c r="AG874" s="190"/>
      <c r="AH874" s="191"/>
      <c r="AI874" s="190"/>
      <c r="AJ874" s="190"/>
      <c r="AK874" s="66"/>
      <c r="AL874" s="66"/>
      <c r="AM874" s="66"/>
      <c r="AN874" s="66"/>
      <c r="AO874" s="66"/>
      <c r="AP874" s="66"/>
      <c r="AQ874" s="66"/>
      <c r="AR874" s="66"/>
      <c r="AS874" s="66"/>
      <c r="AT874" s="66"/>
    </row>
    <row r="875">
      <c r="A875" s="8"/>
      <c r="B875" s="66"/>
      <c r="C875" s="66"/>
      <c r="D875" s="66"/>
      <c r="E875" s="8"/>
      <c r="F875" s="66"/>
      <c r="G875" s="66"/>
      <c r="H875" s="66"/>
      <c r="I875" s="8"/>
      <c r="J875" s="66"/>
      <c r="K875" s="66"/>
      <c r="L875" s="66"/>
      <c r="M875" s="8"/>
      <c r="N875" s="66"/>
      <c r="O875" s="66"/>
      <c r="P875" s="66"/>
      <c r="Q875" s="8"/>
      <c r="R875" s="66"/>
      <c r="S875" s="66"/>
      <c r="T875" s="66"/>
      <c r="U875" s="8"/>
      <c r="V875" s="66"/>
      <c r="W875" s="66"/>
      <c r="X875" s="66"/>
      <c r="Y875" s="189"/>
      <c r="Z875" s="184"/>
      <c r="AA875" s="184"/>
      <c r="AB875" s="184"/>
      <c r="AC875" s="8"/>
      <c r="AD875" s="66"/>
      <c r="AE875" s="66"/>
      <c r="AF875" s="66"/>
      <c r="AG875" s="190"/>
      <c r="AH875" s="191"/>
      <c r="AI875" s="190"/>
      <c r="AJ875" s="190"/>
      <c r="AK875" s="66"/>
      <c r="AL875" s="66"/>
      <c r="AM875" s="66"/>
      <c r="AN875" s="66"/>
      <c r="AO875" s="66"/>
      <c r="AP875" s="66"/>
      <c r="AQ875" s="66"/>
      <c r="AR875" s="66"/>
      <c r="AS875" s="66"/>
      <c r="AT875" s="66"/>
    </row>
    <row r="876">
      <c r="A876" s="8"/>
      <c r="B876" s="66"/>
      <c r="C876" s="66"/>
      <c r="D876" s="66"/>
      <c r="E876" s="8"/>
      <c r="F876" s="66"/>
      <c r="G876" s="66"/>
      <c r="H876" s="66"/>
      <c r="I876" s="8"/>
      <c r="J876" s="66"/>
      <c r="K876" s="66"/>
      <c r="L876" s="66"/>
      <c r="M876" s="8"/>
      <c r="N876" s="66"/>
      <c r="O876" s="66"/>
      <c r="P876" s="66"/>
      <c r="Q876" s="8"/>
      <c r="R876" s="66"/>
      <c r="S876" s="66"/>
      <c r="T876" s="66"/>
      <c r="U876" s="8"/>
      <c r="V876" s="66"/>
      <c r="W876" s="66"/>
      <c r="X876" s="66"/>
      <c r="Y876" s="189"/>
      <c r="Z876" s="184"/>
      <c r="AA876" s="184"/>
      <c r="AB876" s="184"/>
      <c r="AC876" s="8"/>
      <c r="AD876" s="66"/>
      <c r="AE876" s="66"/>
      <c r="AF876" s="66"/>
      <c r="AG876" s="190"/>
      <c r="AH876" s="191"/>
      <c r="AI876" s="190"/>
      <c r="AJ876" s="190"/>
      <c r="AK876" s="66"/>
      <c r="AL876" s="66"/>
      <c r="AM876" s="66"/>
      <c r="AN876" s="66"/>
      <c r="AO876" s="66"/>
      <c r="AP876" s="66"/>
      <c r="AQ876" s="66"/>
      <c r="AR876" s="66"/>
      <c r="AS876" s="66"/>
      <c r="AT876" s="66"/>
    </row>
    <row r="877">
      <c r="A877" s="8"/>
      <c r="B877" s="66"/>
      <c r="C877" s="66"/>
      <c r="D877" s="66"/>
      <c r="E877" s="8"/>
      <c r="F877" s="66"/>
      <c r="G877" s="66"/>
      <c r="H877" s="66"/>
      <c r="I877" s="8"/>
      <c r="J877" s="66"/>
      <c r="K877" s="66"/>
      <c r="L877" s="66"/>
      <c r="M877" s="8"/>
      <c r="N877" s="66"/>
      <c r="O877" s="66"/>
      <c r="P877" s="66"/>
      <c r="Q877" s="8"/>
      <c r="R877" s="66"/>
      <c r="S877" s="66"/>
      <c r="T877" s="66"/>
      <c r="U877" s="8"/>
      <c r="V877" s="66"/>
      <c r="W877" s="66"/>
      <c r="X877" s="66"/>
      <c r="Y877" s="189"/>
      <c r="Z877" s="184"/>
      <c r="AA877" s="184"/>
      <c r="AB877" s="184"/>
      <c r="AC877" s="8"/>
      <c r="AD877" s="66"/>
      <c r="AE877" s="66"/>
      <c r="AF877" s="66"/>
      <c r="AG877" s="190"/>
      <c r="AH877" s="191"/>
      <c r="AI877" s="190"/>
      <c r="AJ877" s="190"/>
      <c r="AK877" s="66"/>
      <c r="AL877" s="66"/>
      <c r="AM877" s="66"/>
      <c r="AN877" s="66"/>
      <c r="AO877" s="66"/>
      <c r="AP877" s="66"/>
      <c r="AQ877" s="66"/>
      <c r="AR877" s="66"/>
      <c r="AS877" s="66"/>
      <c r="AT877" s="66"/>
    </row>
    <row r="878">
      <c r="A878" s="8"/>
      <c r="B878" s="66"/>
      <c r="C878" s="66"/>
      <c r="D878" s="66"/>
      <c r="E878" s="8"/>
      <c r="F878" s="66"/>
      <c r="G878" s="66"/>
      <c r="H878" s="66"/>
      <c r="I878" s="8"/>
      <c r="J878" s="66"/>
      <c r="K878" s="66"/>
      <c r="L878" s="66"/>
      <c r="M878" s="8"/>
      <c r="N878" s="66"/>
      <c r="O878" s="66"/>
      <c r="P878" s="66"/>
      <c r="Q878" s="8"/>
      <c r="R878" s="66"/>
      <c r="S878" s="66"/>
      <c r="T878" s="66"/>
      <c r="U878" s="8"/>
      <c r="V878" s="66"/>
      <c r="W878" s="66"/>
      <c r="X878" s="66"/>
      <c r="Y878" s="189"/>
      <c r="Z878" s="184"/>
      <c r="AA878" s="184"/>
      <c r="AB878" s="184"/>
      <c r="AC878" s="8"/>
      <c r="AD878" s="66"/>
      <c r="AE878" s="66"/>
      <c r="AF878" s="66"/>
      <c r="AG878" s="190"/>
      <c r="AH878" s="191"/>
      <c r="AI878" s="190"/>
      <c r="AJ878" s="190"/>
      <c r="AK878" s="66"/>
      <c r="AL878" s="66"/>
      <c r="AM878" s="66"/>
      <c r="AN878" s="66"/>
      <c r="AO878" s="66"/>
      <c r="AP878" s="66"/>
      <c r="AQ878" s="66"/>
      <c r="AR878" s="66"/>
      <c r="AS878" s="66"/>
      <c r="AT878" s="66"/>
    </row>
    <row r="879">
      <c r="A879" s="8"/>
      <c r="B879" s="66"/>
      <c r="C879" s="66"/>
      <c r="D879" s="66"/>
      <c r="E879" s="8"/>
      <c r="F879" s="66"/>
      <c r="G879" s="66"/>
      <c r="H879" s="66"/>
      <c r="I879" s="8"/>
      <c r="J879" s="66"/>
      <c r="K879" s="66"/>
      <c r="L879" s="66"/>
      <c r="M879" s="8"/>
      <c r="N879" s="66"/>
      <c r="O879" s="66"/>
      <c r="P879" s="66"/>
      <c r="Q879" s="8"/>
      <c r="R879" s="66"/>
      <c r="S879" s="66"/>
      <c r="T879" s="66"/>
      <c r="U879" s="8"/>
      <c r="V879" s="66"/>
      <c r="W879" s="66"/>
      <c r="X879" s="66"/>
      <c r="Y879" s="189"/>
      <c r="Z879" s="184"/>
      <c r="AA879" s="184"/>
      <c r="AB879" s="184"/>
      <c r="AC879" s="8"/>
      <c r="AD879" s="66"/>
      <c r="AE879" s="66"/>
      <c r="AF879" s="66"/>
      <c r="AG879" s="190"/>
      <c r="AH879" s="191"/>
      <c r="AI879" s="190"/>
      <c r="AJ879" s="190"/>
      <c r="AK879" s="66"/>
      <c r="AL879" s="66"/>
      <c r="AM879" s="66"/>
      <c r="AN879" s="66"/>
      <c r="AO879" s="66"/>
      <c r="AP879" s="66"/>
      <c r="AQ879" s="66"/>
      <c r="AR879" s="66"/>
      <c r="AS879" s="66"/>
      <c r="AT879" s="66"/>
    </row>
    <row r="880">
      <c r="A880" s="8"/>
      <c r="B880" s="66"/>
      <c r="C880" s="66"/>
      <c r="D880" s="66"/>
      <c r="E880" s="8"/>
      <c r="F880" s="66"/>
      <c r="G880" s="66"/>
      <c r="H880" s="66"/>
      <c r="I880" s="8"/>
      <c r="J880" s="66"/>
      <c r="K880" s="66"/>
      <c r="L880" s="66"/>
      <c r="M880" s="8"/>
      <c r="N880" s="66"/>
      <c r="O880" s="66"/>
      <c r="P880" s="66"/>
      <c r="Q880" s="8"/>
      <c r="R880" s="66"/>
      <c r="S880" s="66"/>
      <c r="T880" s="66"/>
      <c r="U880" s="8"/>
      <c r="V880" s="66"/>
      <c r="W880" s="66"/>
      <c r="X880" s="66"/>
      <c r="Y880" s="189"/>
      <c r="Z880" s="184"/>
      <c r="AA880" s="184"/>
      <c r="AB880" s="184"/>
      <c r="AC880" s="8"/>
      <c r="AD880" s="66"/>
      <c r="AE880" s="66"/>
      <c r="AF880" s="66"/>
      <c r="AG880" s="190"/>
      <c r="AH880" s="191"/>
      <c r="AI880" s="190"/>
      <c r="AJ880" s="190"/>
      <c r="AK880" s="66"/>
      <c r="AL880" s="66"/>
      <c r="AM880" s="66"/>
      <c r="AN880" s="66"/>
      <c r="AO880" s="66"/>
      <c r="AP880" s="66"/>
      <c r="AQ880" s="66"/>
      <c r="AR880" s="66"/>
      <c r="AS880" s="66"/>
      <c r="AT880" s="66"/>
    </row>
    <row r="881">
      <c r="A881" s="8"/>
      <c r="B881" s="66"/>
      <c r="C881" s="66"/>
      <c r="D881" s="66"/>
      <c r="E881" s="8"/>
      <c r="F881" s="66"/>
      <c r="G881" s="66"/>
      <c r="H881" s="66"/>
      <c r="I881" s="8"/>
      <c r="J881" s="66"/>
      <c r="K881" s="66"/>
      <c r="L881" s="66"/>
      <c r="M881" s="8"/>
      <c r="N881" s="66"/>
      <c r="O881" s="66"/>
      <c r="P881" s="66"/>
      <c r="Q881" s="8"/>
      <c r="R881" s="66"/>
      <c r="S881" s="66"/>
      <c r="T881" s="66"/>
      <c r="U881" s="8"/>
      <c r="V881" s="66"/>
      <c r="W881" s="66"/>
      <c r="X881" s="66"/>
      <c r="Y881" s="189"/>
      <c r="Z881" s="184"/>
      <c r="AA881" s="184"/>
      <c r="AB881" s="184"/>
      <c r="AC881" s="8"/>
      <c r="AD881" s="66"/>
      <c r="AE881" s="66"/>
      <c r="AF881" s="66"/>
      <c r="AG881" s="190"/>
      <c r="AH881" s="191"/>
      <c r="AI881" s="190"/>
      <c r="AJ881" s="190"/>
      <c r="AK881" s="66"/>
      <c r="AL881" s="66"/>
      <c r="AM881" s="66"/>
      <c r="AN881" s="66"/>
      <c r="AO881" s="66"/>
      <c r="AP881" s="66"/>
      <c r="AQ881" s="66"/>
      <c r="AR881" s="66"/>
      <c r="AS881" s="66"/>
      <c r="AT881" s="66"/>
    </row>
    <row r="882">
      <c r="A882" s="8"/>
      <c r="B882" s="66"/>
      <c r="C882" s="66"/>
      <c r="D882" s="66"/>
      <c r="E882" s="8"/>
      <c r="F882" s="66"/>
      <c r="G882" s="66"/>
      <c r="H882" s="66"/>
      <c r="I882" s="8"/>
      <c r="J882" s="66"/>
      <c r="K882" s="66"/>
      <c r="L882" s="66"/>
      <c r="M882" s="8"/>
      <c r="N882" s="66"/>
      <c r="O882" s="66"/>
      <c r="P882" s="66"/>
      <c r="Q882" s="8"/>
      <c r="R882" s="66"/>
      <c r="S882" s="66"/>
      <c r="T882" s="66"/>
      <c r="U882" s="8"/>
      <c r="V882" s="66"/>
      <c r="W882" s="66"/>
      <c r="X882" s="66"/>
      <c r="Y882" s="189"/>
      <c r="Z882" s="184"/>
      <c r="AA882" s="184"/>
      <c r="AB882" s="184"/>
      <c r="AC882" s="8"/>
      <c r="AD882" s="66"/>
      <c r="AE882" s="66"/>
      <c r="AF882" s="66"/>
      <c r="AG882" s="190"/>
      <c r="AH882" s="191"/>
      <c r="AI882" s="190"/>
      <c r="AJ882" s="190"/>
      <c r="AK882" s="66"/>
      <c r="AL882" s="66"/>
      <c r="AM882" s="66"/>
      <c r="AN882" s="66"/>
      <c r="AO882" s="66"/>
      <c r="AP882" s="66"/>
      <c r="AQ882" s="66"/>
      <c r="AR882" s="66"/>
      <c r="AS882" s="66"/>
      <c r="AT882" s="66"/>
    </row>
    <row r="883">
      <c r="A883" s="8"/>
      <c r="B883" s="66"/>
      <c r="C883" s="66"/>
      <c r="D883" s="66"/>
      <c r="E883" s="8"/>
      <c r="F883" s="66"/>
      <c r="G883" s="66"/>
      <c r="H883" s="66"/>
      <c r="I883" s="8"/>
      <c r="J883" s="66"/>
      <c r="K883" s="66"/>
      <c r="L883" s="66"/>
      <c r="M883" s="8"/>
      <c r="N883" s="66"/>
      <c r="O883" s="66"/>
      <c r="P883" s="66"/>
      <c r="Q883" s="8"/>
      <c r="R883" s="66"/>
      <c r="S883" s="66"/>
      <c r="T883" s="66"/>
      <c r="U883" s="8"/>
      <c r="V883" s="66"/>
      <c r="W883" s="66"/>
      <c r="X883" s="66"/>
      <c r="Y883" s="189"/>
      <c r="Z883" s="184"/>
      <c r="AA883" s="184"/>
      <c r="AB883" s="184"/>
      <c r="AC883" s="8"/>
      <c r="AD883" s="66"/>
      <c r="AE883" s="66"/>
      <c r="AF883" s="66"/>
      <c r="AG883" s="190"/>
      <c r="AH883" s="191"/>
      <c r="AI883" s="190"/>
      <c r="AJ883" s="190"/>
      <c r="AK883" s="66"/>
      <c r="AL883" s="66"/>
      <c r="AM883" s="66"/>
      <c r="AN883" s="66"/>
      <c r="AO883" s="66"/>
      <c r="AP883" s="66"/>
      <c r="AQ883" s="66"/>
      <c r="AR883" s="66"/>
      <c r="AS883" s="66"/>
      <c r="AT883" s="66"/>
    </row>
    <row r="884">
      <c r="A884" s="8"/>
      <c r="B884" s="66"/>
      <c r="C884" s="66"/>
      <c r="D884" s="66"/>
      <c r="E884" s="8"/>
      <c r="F884" s="66"/>
      <c r="G884" s="66"/>
      <c r="H884" s="66"/>
      <c r="I884" s="8"/>
      <c r="J884" s="66"/>
      <c r="K884" s="66"/>
      <c r="L884" s="66"/>
      <c r="M884" s="8"/>
      <c r="N884" s="66"/>
      <c r="O884" s="66"/>
      <c r="P884" s="66"/>
      <c r="Q884" s="8"/>
      <c r="R884" s="66"/>
      <c r="S884" s="66"/>
      <c r="T884" s="66"/>
      <c r="U884" s="8"/>
      <c r="V884" s="66"/>
      <c r="W884" s="66"/>
      <c r="X884" s="66"/>
      <c r="Y884" s="189"/>
      <c r="Z884" s="184"/>
      <c r="AA884" s="184"/>
      <c r="AB884" s="184"/>
      <c r="AC884" s="8"/>
      <c r="AD884" s="66"/>
      <c r="AE884" s="66"/>
      <c r="AF884" s="66"/>
      <c r="AG884" s="190"/>
      <c r="AH884" s="191"/>
      <c r="AI884" s="190"/>
      <c r="AJ884" s="190"/>
      <c r="AK884" s="66"/>
      <c r="AL884" s="66"/>
      <c r="AM884" s="66"/>
      <c r="AN884" s="66"/>
      <c r="AO884" s="66"/>
      <c r="AP884" s="66"/>
      <c r="AQ884" s="66"/>
      <c r="AR884" s="66"/>
      <c r="AS884" s="66"/>
      <c r="AT884" s="66"/>
    </row>
    <row r="885">
      <c r="A885" s="8"/>
      <c r="B885" s="66"/>
      <c r="C885" s="66"/>
      <c r="D885" s="66"/>
      <c r="E885" s="8"/>
      <c r="F885" s="66"/>
      <c r="G885" s="66"/>
      <c r="H885" s="66"/>
      <c r="I885" s="8"/>
      <c r="J885" s="66"/>
      <c r="K885" s="66"/>
      <c r="L885" s="66"/>
      <c r="M885" s="8"/>
      <c r="N885" s="66"/>
      <c r="O885" s="66"/>
      <c r="P885" s="66"/>
      <c r="Q885" s="8"/>
      <c r="R885" s="66"/>
      <c r="S885" s="66"/>
      <c r="T885" s="66"/>
      <c r="U885" s="8"/>
      <c r="V885" s="66"/>
      <c r="W885" s="66"/>
      <c r="X885" s="66"/>
      <c r="Y885" s="189"/>
      <c r="Z885" s="184"/>
      <c r="AA885" s="184"/>
      <c r="AB885" s="184"/>
      <c r="AC885" s="8"/>
      <c r="AD885" s="66"/>
      <c r="AE885" s="66"/>
      <c r="AF885" s="66"/>
      <c r="AG885" s="190"/>
      <c r="AH885" s="191"/>
      <c r="AI885" s="190"/>
      <c r="AJ885" s="190"/>
      <c r="AK885" s="66"/>
      <c r="AL885" s="66"/>
      <c r="AM885" s="66"/>
      <c r="AN885" s="66"/>
      <c r="AO885" s="66"/>
      <c r="AP885" s="66"/>
      <c r="AQ885" s="66"/>
      <c r="AR885" s="66"/>
      <c r="AS885" s="66"/>
      <c r="AT885" s="66"/>
    </row>
    <row r="886">
      <c r="A886" s="8"/>
      <c r="B886" s="66"/>
      <c r="C886" s="66"/>
      <c r="D886" s="66"/>
      <c r="E886" s="8"/>
      <c r="F886" s="66"/>
      <c r="G886" s="66"/>
      <c r="H886" s="66"/>
      <c r="I886" s="8"/>
      <c r="J886" s="66"/>
      <c r="K886" s="66"/>
      <c r="L886" s="66"/>
      <c r="M886" s="8"/>
      <c r="N886" s="66"/>
      <c r="O886" s="66"/>
      <c r="P886" s="66"/>
      <c r="Q886" s="8"/>
      <c r="R886" s="66"/>
      <c r="S886" s="66"/>
      <c r="T886" s="66"/>
      <c r="U886" s="8"/>
      <c r="V886" s="66"/>
      <c r="W886" s="66"/>
      <c r="X886" s="66"/>
      <c r="Y886" s="189"/>
      <c r="Z886" s="184"/>
      <c r="AA886" s="184"/>
      <c r="AB886" s="184"/>
      <c r="AC886" s="8"/>
      <c r="AD886" s="66"/>
      <c r="AE886" s="66"/>
      <c r="AF886" s="66"/>
      <c r="AG886" s="190"/>
      <c r="AH886" s="191"/>
      <c r="AI886" s="190"/>
      <c r="AJ886" s="190"/>
      <c r="AK886" s="66"/>
      <c r="AL886" s="66"/>
      <c r="AM886" s="66"/>
      <c r="AN886" s="66"/>
      <c r="AO886" s="66"/>
      <c r="AP886" s="66"/>
      <c r="AQ886" s="66"/>
      <c r="AR886" s="66"/>
      <c r="AS886" s="66"/>
      <c r="AT886" s="66"/>
    </row>
    <row r="887">
      <c r="A887" s="8"/>
      <c r="B887" s="66"/>
      <c r="C887" s="66"/>
      <c r="D887" s="66"/>
      <c r="E887" s="8"/>
      <c r="F887" s="66"/>
      <c r="G887" s="66"/>
      <c r="H887" s="66"/>
      <c r="I887" s="8"/>
      <c r="J887" s="66"/>
      <c r="K887" s="66"/>
      <c r="L887" s="66"/>
      <c r="M887" s="8"/>
      <c r="N887" s="66"/>
      <c r="O887" s="66"/>
      <c r="P887" s="66"/>
      <c r="Q887" s="8"/>
      <c r="R887" s="66"/>
      <c r="S887" s="66"/>
      <c r="T887" s="66"/>
      <c r="U887" s="8"/>
      <c r="V887" s="66"/>
      <c r="W887" s="66"/>
      <c r="X887" s="66"/>
      <c r="Y887" s="189"/>
      <c r="Z887" s="184"/>
      <c r="AA887" s="184"/>
      <c r="AB887" s="184"/>
      <c r="AC887" s="8"/>
      <c r="AD887" s="66"/>
      <c r="AE887" s="66"/>
      <c r="AF887" s="66"/>
      <c r="AG887" s="190"/>
      <c r="AH887" s="191"/>
      <c r="AI887" s="190"/>
      <c r="AJ887" s="190"/>
      <c r="AK887" s="66"/>
      <c r="AL887" s="66"/>
      <c r="AM887" s="66"/>
      <c r="AN887" s="66"/>
      <c r="AO887" s="66"/>
      <c r="AP887" s="66"/>
      <c r="AQ887" s="66"/>
      <c r="AR887" s="66"/>
      <c r="AS887" s="66"/>
      <c r="AT887" s="66"/>
    </row>
    <row r="888">
      <c r="A888" s="8"/>
      <c r="B888" s="66"/>
      <c r="C888" s="66"/>
      <c r="D888" s="66"/>
      <c r="E888" s="8"/>
      <c r="F888" s="66"/>
      <c r="G888" s="66"/>
      <c r="H888" s="66"/>
      <c r="I888" s="8"/>
      <c r="J888" s="66"/>
      <c r="K888" s="66"/>
      <c r="L888" s="66"/>
      <c r="M888" s="8"/>
      <c r="N888" s="66"/>
      <c r="O888" s="66"/>
      <c r="P888" s="66"/>
      <c r="Q888" s="8"/>
      <c r="R888" s="66"/>
      <c r="S888" s="66"/>
      <c r="T888" s="66"/>
      <c r="U888" s="8"/>
      <c r="V888" s="66"/>
      <c r="W888" s="66"/>
      <c r="X888" s="66"/>
      <c r="Y888" s="189"/>
      <c r="Z888" s="184"/>
      <c r="AA888" s="184"/>
      <c r="AB888" s="184"/>
      <c r="AC888" s="8"/>
      <c r="AD888" s="66"/>
      <c r="AE888" s="66"/>
      <c r="AF888" s="66"/>
      <c r="AG888" s="190"/>
      <c r="AH888" s="191"/>
      <c r="AI888" s="190"/>
      <c r="AJ888" s="190"/>
      <c r="AK888" s="66"/>
      <c r="AL888" s="66"/>
      <c r="AM888" s="66"/>
      <c r="AN888" s="66"/>
      <c r="AO888" s="66"/>
      <c r="AP888" s="66"/>
      <c r="AQ888" s="66"/>
      <c r="AR888" s="66"/>
      <c r="AS888" s="66"/>
      <c r="AT888" s="66"/>
    </row>
    <row r="889">
      <c r="A889" s="8"/>
      <c r="B889" s="66"/>
      <c r="C889" s="66"/>
      <c r="D889" s="66"/>
      <c r="E889" s="8"/>
      <c r="F889" s="66"/>
      <c r="G889" s="66"/>
      <c r="H889" s="66"/>
      <c r="I889" s="8"/>
      <c r="J889" s="66"/>
      <c r="K889" s="66"/>
      <c r="L889" s="66"/>
      <c r="M889" s="8"/>
      <c r="N889" s="66"/>
      <c r="O889" s="66"/>
      <c r="P889" s="66"/>
      <c r="Q889" s="8"/>
      <c r="R889" s="66"/>
      <c r="S889" s="66"/>
      <c r="T889" s="66"/>
      <c r="U889" s="8"/>
      <c r="V889" s="66"/>
      <c r="W889" s="66"/>
      <c r="X889" s="66"/>
      <c r="Y889" s="189"/>
      <c r="Z889" s="184"/>
      <c r="AA889" s="184"/>
      <c r="AB889" s="184"/>
      <c r="AC889" s="8"/>
      <c r="AD889" s="66"/>
      <c r="AE889" s="66"/>
      <c r="AF889" s="66"/>
      <c r="AG889" s="190"/>
      <c r="AH889" s="191"/>
      <c r="AI889" s="190"/>
      <c r="AJ889" s="190"/>
      <c r="AK889" s="66"/>
      <c r="AL889" s="66"/>
      <c r="AM889" s="66"/>
      <c r="AN889" s="66"/>
      <c r="AO889" s="66"/>
      <c r="AP889" s="66"/>
      <c r="AQ889" s="66"/>
      <c r="AR889" s="66"/>
      <c r="AS889" s="66"/>
      <c r="AT889" s="66"/>
    </row>
    <row r="890">
      <c r="A890" s="8"/>
      <c r="B890" s="66"/>
      <c r="C890" s="66"/>
      <c r="D890" s="66"/>
      <c r="E890" s="8"/>
      <c r="F890" s="66"/>
      <c r="G890" s="66"/>
      <c r="H890" s="66"/>
      <c r="I890" s="8"/>
      <c r="J890" s="66"/>
      <c r="K890" s="66"/>
      <c r="L890" s="66"/>
      <c r="M890" s="8"/>
      <c r="N890" s="66"/>
      <c r="O890" s="66"/>
      <c r="P890" s="66"/>
      <c r="Q890" s="8"/>
      <c r="R890" s="66"/>
      <c r="S890" s="66"/>
      <c r="T890" s="66"/>
      <c r="U890" s="8"/>
      <c r="V890" s="66"/>
      <c r="W890" s="66"/>
      <c r="X890" s="66"/>
      <c r="Y890" s="189"/>
      <c r="Z890" s="184"/>
      <c r="AA890" s="184"/>
      <c r="AB890" s="184"/>
      <c r="AC890" s="8"/>
      <c r="AD890" s="66"/>
      <c r="AE890" s="66"/>
      <c r="AF890" s="66"/>
      <c r="AG890" s="190"/>
      <c r="AH890" s="191"/>
      <c r="AI890" s="190"/>
      <c r="AJ890" s="190"/>
      <c r="AK890" s="66"/>
      <c r="AL890" s="66"/>
      <c r="AM890" s="66"/>
      <c r="AN890" s="66"/>
      <c r="AO890" s="66"/>
      <c r="AP890" s="66"/>
      <c r="AQ890" s="66"/>
      <c r="AR890" s="66"/>
      <c r="AS890" s="66"/>
      <c r="AT890" s="66"/>
    </row>
    <row r="891">
      <c r="A891" s="8"/>
      <c r="B891" s="66"/>
      <c r="C891" s="66"/>
      <c r="D891" s="66"/>
      <c r="E891" s="8"/>
      <c r="F891" s="66"/>
      <c r="G891" s="66"/>
      <c r="H891" s="66"/>
      <c r="I891" s="8"/>
      <c r="J891" s="66"/>
      <c r="K891" s="66"/>
      <c r="L891" s="66"/>
      <c r="M891" s="8"/>
      <c r="N891" s="66"/>
      <c r="O891" s="66"/>
      <c r="P891" s="66"/>
      <c r="Q891" s="8"/>
      <c r="R891" s="66"/>
      <c r="S891" s="66"/>
      <c r="T891" s="66"/>
      <c r="U891" s="8"/>
      <c r="V891" s="66"/>
      <c r="W891" s="66"/>
      <c r="X891" s="66"/>
      <c r="Y891" s="189"/>
      <c r="Z891" s="184"/>
      <c r="AA891" s="184"/>
      <c r="AB891" s="184"/>
      <c r="AC891" s="8"/>
      <c r="AD891" s="66"/>
      <c r="AE891" s="66"/>
      <c r="AF891" s="66"/>
      <c r="AG891" s="190"/>
      <c r="AH891" s="191"/>
      <c r="AI891" s="190"/>
      <c r="AJ891" s="190"/>
      <c r="AK891" s="66"/>
      <c r="AL891" s="66"/>
      <c r="AM891" s="66"/>
      <c r="AN891" s="66"/>
      <c r="AO891" s="66"/>
      <c r="AP891" s="66"/>
      <c r="AQ891" s="66"/>
      <c r="AR891" s="66"/>
      <c r="AS891" s="66"/>
      <c r="AT891" s="66"/>
    </row>
    <row r="892">
      <c r="A892" s="8"/>
      <c r="B892" s="66"/>
      <c r="C892" s="66"/>
      <c r="D892" s="66"/>
      <c r="E892" s="8"/>
      <c r="F892" s="66"/>
      <c r="G892" s="66"/>
      <c r="H892" s="66"/>
      <c r="I892" s="8"/>
      <c r="J892" s="66"/>
      <c r="K892" s="66"/>
      <c r="L892" s="66"/>
      <c r="M892" s="8"/>
      <c r="N892" s="66"/>
      <c r="O892" s="66"/>
      <c r="P892" s="66"/>
      <c r="Q892" s="8"/>
      <c r="R892" s="66"/>
      <c r="S892" s="66"/>
      <c r="T892" s="66"/>
      <c r="U892" s="8"/>
      <c r="V892" s="66"/>
      <c r="W892" s="66"/>
      <c r="X892" s="66"/>
      <c r="Y892" s="189"/>
      <c r="Z892" s="184"/>
      <c r="AA892" s="184"/>
      <c r="AB892" s="184"/>
      <c r="AC892" s="8"/>
      <c r="AD892" s="66"/>
      <c r="AE892" s="66"/>
      <c r="AF892" s="66"/>
      <c r="AG892" s="190"/>
      <c r="AH892" s="191"/>
      <c r="AI892" s="190"/>
      <c r="AJ892" s="190"/>
      <c r="AK892" s="66"/>
      <c r="AL892" s="66"/>
      <c r="AM892" s="66"/>
      <c r="AN892" s="66"/>
      <c r="AO892" s="66"/>
      <c r="AP892" s="66"/>
      <c r="AQ892" s="66"/>
      <c r="AR892" s="66"/>
      <c r="AS892" s="66"/>
      <c r="AT892" s="66"/>
    </row>
    <row r="893">
      <c r="A893" s="8"/>
      <c r="B893" s="66"/>
      <c r="C893" s="66"/>
      <c r="D893" s="66"/>
      <c r="E893" s="8"/>
      <c r="F893" s="66"/>
      <c r="G893" s="66"/>
      <c r="H893" s="66"/>
      <c r="I893" s="8"/>
      <c r="J893" s="66"/>
      <c r="K893" s="66"/>
      <c r="L893" s="66"/>
      <c r="M893" s="8"/>
      <c r="N893" s="66"/>
      <c r="O893" s="66"/>
      <c r="P893" s="66"/>
      <c r="Q893" s="8"/>
      <c r="R893" s="66"/>
      <c r="S893" s="66"/>
      <c r="T893" s="66"/>
      <c r="U893" s="8"/>
      <c r="V893" s="66"/>
      <c r="W893" s="66"/>
      <c r="X893" s="66"/>
      <c r="Y893" s="189"/>
      <c r="Z893" s="184"/>
      <c r="AA893" s="184"/>
      <c r="AB893" s="184"/>
      <c r="AC893" s="8"/>
      <c r="AD893" s="66"/>
      <c r="AE893" s="66"/>
      <c r="AF893" s="66"/>
      <c r="AG893" s="190"/>
      <c r="AH893" s="191"/>
      <c r="AI893" s="190"/>
      <c r="AJ893" s="190"/>
      <c r="AK893" s="66"/>
      <c r="AL893" s="66"/>
      <c r="AM893" s="66"/>
      <c r="AN893" s="66"/>
      <c r="AO893" s="66"/>
      <c r="AP893" s="66"/>
      <c r="AQ893" s="66"/>
      <c r="AR893" s="66"/>
      <c r="AS893" s="66"/>
      <c r="AT893" s="66"/>
    </row>
    <row r="894">
      <c r="A894" s="8"/>
      <c r="B894" s="66"/>
      <c r="C894" s="66"/>
      <c r="D894" s="66"/>
      <c r="E894" s="8"/>
      <c r="F894" s="66"/>
      <c r="G894" s="66"/>
      <c r="H894" s="66"/>
      <c r="I894" s="8"/>
      <c r="J894" s="66"/>
      <c r="K894" s="66"/>
      <c r="L894" s="66"/>
      <c r="M894" s="8"/>
      <c r="N894" s="66"/>
      <c r="O894" s="66"/>
      <c r="P894" s="66"/>
      <c r="Q894" s="8"/>
      <c r="R894" s="66"/>
      <c r="S894" s="66"/>
      <c r="T894" s="66"/>
      <c r="U894" s="8"/>
      <c r="V894" s="66"/>
      <c r="W894" s="66"/>
      <c r="X894" s="66"/>
      <c r="Y894" s="189"/>
      <c r="Z894" s="184"/>
      <c r="AA894" s="184"/>
      <c r="AB894" s="184"/>
      <c r="AC894" s="8"/>
      <c r="AD894" s="66"/>
      <c r="AE894" s="66"/>
      <c r="AF894" s="66"/>
      <c r="AG894" s="190"/>
      <c r="AH894" s="191"/>
      <c r="AI894" s="190"/>
      <c r="AJ894" s="190"/>
      <c r="AK894" s="66"/>
      <c r="AL894" s="66"/>
      <c r="AM894" s="66"/>
      <c r="AN894" s="66"/>
      <c r="AO894" s="66"/>
      <c r="AP894" s="66"/>
      <c r="AQ894" s="66"/>
      <c r="AR894" s="66"/>
      <c r="AS894" s="66"/>
      <c r="AT894" s="66"/>
    </row>
    <row r="895">
      <c r="A895" s="8"/>
      <c r="B895" s="66"/>
      <c r="C895" s="66"/>
      <c r="D895" s="66"/>
      <c r="E895" s="8"/>
      <c r="F895" s="66"/>
      <c r="G895" s="66"/>
      <c r="H895" s="66"/>
      <c r="I895" s="8"/>
      <c r="J895" s="66"/>
      <c r="K895" s="66"/>
      <c r="L895" s="66"/>
      <c r="M895" s="8"/>
      <c r="N895" s="66"/>
      <c r="O895" s="66"/>
      <c r="P895" s="66"/>
      <c r="Q895" s="8"/>
      <c r="R895" s="66"/>
      <c r="S895" s="66"/>
      <c r="T895" s="66"/>
      <c r="U895" s="8"/>
      <c r="V895" s="66"/>
      <c r="W895" s="66"/>
      <c r="X895" s="66"/>
      <c r="Y895" s="189"/>
      <c r="Z895" s="184"/>
      <c r="AA895" s="184"/>
      <c r="AB895" s="184"/>
      <c r="AC895" s="8"/>
      <c r="AD895" s="66"/>
      <c r="AE895" s="66"/>
      <c r="AF895" s="66"/>
      <c r="AG895" s="190"/>
      <c r="AH895" s="191"/>
      <c r="AI895" s="190"/>
      <c r="AJ895" s="190"/>
      <c r="AK895" s="66"/>
      <c r="AL895" s="66"/>
      <c r="AM895" s="66"/>
      <c r="AN895" s="66"/>
      <c r="AO895" s="66"/>
      <c r="AP895" s="66"/>
      <c r="AQ895" s="66"/>
      <c r="AR895" s="66"/>
      <c r="AS895" s="66"/>
      <c r="AT895" s="66"/>
    </row>
    <row r="896">
      <c r="A896" s="8"/>
      <c r="B896" s="66"/>
      <c r="C896" s="66"/>
      <c r="D896" s="66"/>
      <c r="E896" s="8"/>
      <c r="F896" s="66"/>
      <c r="G896" s="66"/>
      <c r="H896" s="66"/>
      <c r="I896" s="8"/>
      <c r="J896" s="66"/>
      <c r="K896" s="66"/>
      <c r="L896" s="66"/>
      <c r="M896" s="8"/>
      <c r="N896" s="66"/>
      <c r="O896" s="66"/>
      <c r="P896" s="66"/>
      <c r="Q896" s="8"/>
      <c r="R896" s="66"/>
      <c r="S896" s="66"/>
      <c r="T896" s="66"/>
      <c r="U896" s="8"/>
      <c r="V896" s="66"/>
      <c r="W896" s="66"/>
      <c r="X896" s="66"/>
      <c r="Y896" s="189"/>
      <c r="Z896" s="184"/>
      <c r="AA896" s="184"/>
      <c r="AB896" s="184"/>
      <c r="AC896" s="8"/>
      <c r="AD896" s="66"/>
      <c r="AE896" s="66"/>
      <c r="AF896" s="66"/>
      <c r="AG896" s="190"/>
      <c r="AH896" s="191"/>
      <c r="AI896" s="190"/>
      <c r="AJ896" s="190"/>
      <c r="AK896" s="66"/>
      <c r="AL896" s="66"/>
      <c r="AM896" s="66"/>
      <c r="AN896" s="66"/>
      <c r="AO896" s="66"/>
      <c r="AP896" s="66"/>
      <c r="AQ896" s="66"/>
      <c r="AR896" s="66"/>
      <c r="AS896" s="66"/>
      <c r="AT896" s="66"/>
    </row>
    <row r="897">
      <c r="A897" s="8"/>
      <c r="B897" s="66"/>
      <c r="C897" s="66"/>
      <c r="D897" s="66"/>
      <c r="E897" s="8"/>
      <c r="F897" s="66"/>
      <c r="G897" s="66"/>
      <c r="H897" s="66"/>
      <c r="I897" s="8"/>
      <c r="J897" s="66"/>
      <c r="K897" s="66"/>
      <c r="L897" s="66"/>
      <c r="M897" s="8"/>
      <c r="N897" s="66"/>
      <c r="O897" s="66"/>
      <c r="P897" s="66"/>
      <c r="Q897" s="8"/>
      <c r="R897" s="66"/>
      <c r="S897" s="66"/>
      <c r="T897" s="66"/>
      <c r="U897" s="8"/>
      <c r="V897" s="66"/>
      <c r="W897" s="66"/>
      <c r="X897" s="66"/>
      <c r="Y897" s="189"/>
      <c r="Z897" s="184"/>
      <c r="AA897" s="184"/>
      <c r="AB897" s="184"/>
      <c r="AC897" s="8"/>
      <c r="AD897" s="66"/>
      <c r="AE897" s="66"/>
      <c r="AF897" s="66"/>
      <c r="AG897" s="190"/>
      <c r="AH897" s="191"/>
      <c r="AI897" s="190"/>
      <c r="AJ897" s="190"/>
      <c r="AK897" s="66"/>
      <c r="AL897" s="66"/>
      <c r="AM897" s="66"/>
      <c r="AN897" s="66"/>
      <c r="AO897" s="66"/>
      <c r="AP897" s="66"/>
      <c r="AQ897" s="66"/>
      <c r="AR897" s="66"/>
      <c r="AS897" s="66"/>
      <c r="AT897" s="66"/>
    </row>
    <row r="898">
      <c r="A898" s="8"/>
      <c r="B898" s="66"/>
      <c r="C898" s="66"/>
      <c r="D898" s="66"/>
      <c r="E898" s="8"/>
      <c r="F898" s="66"/>
      <c r="G898" s="66"/>
      <c r="H898" s="66"/>
      <c r="I898" s="8"/>
      <c r="J898" s="66"/>
      <c r="K898" s="66"/>
      <c r="L898" s="66"/>
      <c r="M898" s="8"/>
      <c r="N898" s="66"/>
      <c r="O898" s="66"/>
      <c r="P898" s="66"/>
      <c r="Q898" s="8"/>
      <c r="R898" s="66"/>
      <c r="S898" s="66"/>
      <c r="T898" s="66"/>
      <c r="U898" s="8"/>
      <c r="V898" s="66"/>
      <c r="W898" s="66"/>
      <c r="X898" s="66"/>
      <c r="Y898" s="189"/>
      <c r="Z898" s="184"/>
      <c r="AA898" s="184"/>
      <c r="AB898" s="184"/>
      <c r="AC898" s="8"/>
      <c r="AD898" s="66"/>
      <c r="AE898" s="66"/>
      <c r="AF898" s="66"/>
      <c r="AG898" s="190"/>
      <c r="AH898" s="191"/>
      <c r="AI898" s="190"/>
      <c r="AJ898" s="190"/>
      <c r="AK898" s="66"/>
      <c r="AL898" s="66"/>
      <c r="AM898" s="66"/>
      <c r="AN898" s="66"/>
      <c r="AO898" s="66"/>
      <c r="AP898" s="66"/>
      <c r="AQ898" s="66"/>
      <c r="AR898" s="66"/>
      <c r="AS898" s="66"/>
      <c r="AT898" s="66"/>
    </row>
    <row r="899">
      <c r="A899" s="8"/>
      <c r="B899" s="66"/>
      <c r="C899" s="66"/>
      <c r="D899" s="66"/>
      <c r="E899" s="8"/>
      <c r="F899" s="66"/>
      <c r="G899" s="66"/>
      <c r="H899" s="66"/>
      <c r="I899" s="8"/>
      <c r="J899" s="66"/>
      <c r="K899" s="66"/>
      <c r="L899" s="66"/>
      <c r="M899" s="8"/>
      <c r="N899" s="66"/>
      <c r="O899" s="66"/>
      <c r="P899" s="66"/>
      <c r="Q899" s="8"/>
      <c r="R899" s="66"/>
      <c r="S899" s="66"/>
      <c r="T899" s="66"/>
      <c r="U899" s="8"/>
      <c r="V899" s="66"/>
      <c r="W899" s="66"/>
      <c r="X899" s="66"/>
      <c r="Y899" s="189"/>
      <c r="Z899" s="184"/>
      <c r="AA899" s="184"/>
      <c r="AB899" s="184"/>
      <c r="AC899" s="8"/>
      <c r="AD899" s="66"/>
      <c r="AE899" s="66"/>
      <c r="AF899" s="66"/>
      <c r="AG899" s="190"/>
      <c r="AH899" s="191"/>
      <c r="AI899" s="190"/>
      <c r="AJ899" s="190"/>
      <c r="AK899" s="66"/>
      <c r="AL899" s="66"/>
      <c r="AM899" s="66"/>
      <c r="AN899" s="66"/>
      <c r="AO899" s="66"/>
      <c r="AP899" s="66"/>
      <c r="AQ899" s="66"/>
      <c r="AR899" s="66"/>
      <c r="AS899" s="66"/>
      <c r="AT899" s="66"/>
    </row>
    <row r="900">
      <c r="A900" s="8"/>
      <c r="B900" s="66"/>
      <c r="C900" s="66"/>
      <c r="D900" s="66"/>
      <c r="E900" s="8"/>
      <c r="F900" s="66"/>
      <c r="G900" s="66"/>
      <c r="H900" s="66"/>
      <c r="I900" s="8"/>
      <c r="J900" s="66"/>
      <c r="K900" s="66"/>
      <c r="L900" s="66"/>
      <c r="M900" s="8"/>
      <c r="N900" s="66"/>
      <c r="O900" s="66"/>
      <c r="P900" s="66"/>
      <c r="Q900" s="8"/>
      <c r="R900" s="66"/>
      <c r="S900" s="66"/>
      <c r="T900" s="66"/>
      <c r="U900" s="8"/>
      <c r="V900" s="66"/>
      <c r="W900" s="66"/>
      <c r="X900" s="66"/>
      <c r="Y900" s="189"/>
      <c r="Z900" s="184"/>
      <c r="AA900" s="184"/>
      <c r="AB900" s="184"/>
      <c r="AC900" s="8"/>
      <c r="AD900" s="66"/>
      <c r="AE900" s="66"/>
      <c r="AF900" s="66"/>
      <c r="AG900" s="190"/>
      <c r="AH900" s="191"/>
      <c r="AI900" s="190"/>
      <c r="AJ900" s="190"/>
      <c r="AK900" s="66"/>
      <c r="AL900" s="66"/>
      <c r="AM900" s="66"/>
      <c r="AN900" s="66"/>
      <c r="AO900" s="66"/>
      <c r="AP900" s="66"/>
      <c r="AQ900" s="66"/>
      <c r="AR900" s="66"/>
      <c r="AS900" s="66"/>
      <c r="AT900" s="66"/>
    </row>
    <row r="901">
      <c r="A901" s="8"/>
      <c r="B901" s="66"/>
      <c r="C901" s="66"/>
      <c r="D901" s="66"/>
      <c r="E901" s="8"/>
      <c r="F901" s="66"/>
      <c r="G901" s="66"/>
      <c r="H901" s="66"/>
      <c r="I901" s="8"/>
      <c r="J901" s="66"/>
      <c r="K901" s="66"/>
      <c r="L901" s="66"/>
      <c r="M901" s="8"/>
      <c r="N901" s="66"/>
      <c r="O901" s="66"/>
      <c r="P901" s="66"/>
      <c r="Q901" s="8"/>
      <c r="R901" s="66"/>
      <c r="S901" s="66"/>
      <c r="T901" s="66"/>
      <c r="U901" s="8"/>
      <c r="V901" s="66"/>
      <c r="W901" s="66"/>
      <c r="X901" s="66"/>
      <c r="Y901" s="189"/>
      <c r="Z901" s="184"/>
      <c r="AA901" s="184"/>
      <c r="AB901" s="184"/>
      <c r="AC901" s="8"/>
      <c r="AD901" s="66"/>
      <c r="AE901" s="66"/>
      <c r="AF901" s="66"/>
      <c r="AG901" s="190"/>
      <c r="AH901" s="191"/>
      <c r="AI901" s="190"/>
      <c r="AJ901" s="190"/>
      <c r="AK901" s="66"/>
      <c r="AL901" s="66"/>
      <c r="AM901" s="66"/>
      <c r="AN901" s="66"/>
      <c r="AO901" s="66"/>
      <c r="AP901" s="66"/>
      <c r="AQ901" s="66"/>
      <c r="AR901" s="66"/>
      <c r="AS901" s="66"/>
      <c r="AT901" s="66"/>
    </row>
    <row r="902">
      <c r="A902" s="8"/>
      <c r="B902" s="66"/>
      <c r="C902" s="66"/>
      <c r="D902" s="66"/>
      <c r="E902" s="8"/>
      <c r="F902" s="66"/>
      <c r="G902" s="66"/>
      <c r="H902" s="66"/>
      <c r="I902" s="8"/>
      <c r="J902" s="66"/>
      <c r="K902" s="66"/>
      <c r="L902" s="66"/>
      <c r="M902" s="8"/>
      <c r="N902" s="66"/>
      <c r="O902" s="66"/>
      <c r="P902" s="66"/>
      <c r="Q902" s="8"/>
      <c r="R902" s="66"/>
      <c r="S902" s="66"/>
      <c r="T902" s="66"/>
      <c r="U902" s="8"/>
      <c r="V902" s="66"/>
      <c r="W902" s="66"/>
      <c r="X902" s="66"/>
      <c r="Y902" s="189"/>
      <c r="Z902" s="184"/>
      <c r="AA902" s="184"/>
      <c r="AB902" s="184"/>
      <c r="AC902" s="8"/>
      <c r="AD902" s="66"/>
      <c r="AE902" s="66"/>
      <c r="AF902" s="66"/>
      <c r="AG902" s="190"/>
      <c r="AH902" s="191"/>
      <c r="AI902" s="190"/>
      <c r="AJ902" s="190"/>
      <c r="AK902" s="66"/>
      <c r="AL902" s="66"/>
      <c r="AM902" s="66"/>
      <c r="AN902" s="66"/>
      <c r="AO902" s="66"/>
      <c r="AP902" s="66"/>
      <c r="AQ902" s="66"/>
      <c r="AR902" s="66"/>
      <c r="AS902" s="66"/>
      <c r="AT902" s="66"/>
    </row>
    <row r="903">
      <c r="A903" s="8"/>
      <c r="B903" s="66"/>
      <c r="C903" s="66"/>
      <c r="D903" s="66"/>
      <c r="E903" s="8"/>
      <c r="F903" s="66"/>
      <c r="G903" s="66"/>
      <c r="H903" s="66"/>
      <c r="I903" s="8"/>
      <c r="J903" s="66"/>
      <c r="K903" s="66"/>
      <c r="L903" s="66"/>
      <c r="M903" s="8"/>
      <c r="N903" s="66"/>
      <c r="O903" s="66"/>
      <c r="P903" s="66"/>
      <c r="Q903" s="8"/>
      <c r="R903" s="66"/>
      <c r="S903" s="66"/>
      <c r="T903" s="66"/>
      <c r="U903" s="8"/>
      <c r="V903" s="66"/>
      <c r="W903" s="66"/>
      <c r="X903" s="66"/>
      <c r="Y903" s="189"/>
      <c r="Z903" s="184"/>
      <c r="AA903" s="184"/>
      <c r="AB903" s="184"/>
      <c r="AC903" s="8"/>
      <c r="AD903" s="66"/>
      <c r="AE903" s="66"/>
      <c r="AF903" s="66"/>
      <c r="AG903" s="190"/>
      <c r="AH903" s="191"/>
      <c r="AI903" s="190"/>
      <c r="AJ903" s="190"/>
      <c r="AK903" s="66"/>
      <c r="AL903" s="66"/>
      <c r="AM903" s="66"/>
      <c r="AN903" s="66"/>
      <c r="AO903" s="66"/>
      <c r="AP903" s="66"/>
      <c r="AQ903" s="66"/>
      <c r="AR903" s="66"/>
      <c r="AS903" s="66"/>
      <c r="AT903" s="66"/>
    </row>
    <row r="904">
      <c r="A904" s="8"/>
      <c r="B904" s="66"/>
      <c r="C904" s="66"/>
      <c r="D904" s="66"/>
      <c r="E904" s="8"/>
      <c r="F904" s="66"/>
      <c r="G904" s="66"/>
      <c r="H904" s="66"/>
      <c r="I904" s="8"/>
      <c r="J904" s="66"/>
      <c r="K904" s="66"/>
      <c r="L904" s="66"/>
      <c r="M904" s="8"/>
      <c r="N904" s="66"/>
      <c r="O904" s="66"/>
      <c r="P904" s="66"/>
      <c r="Q904" s="8"/>
      <c r="R904" s="66"/>
      <c r="S904" s="66"/>
      <c r="T904" s="66"/>
      <c r="U904" s="8"/>
      <c r="V904" s="66"/>
      <c r="W904" s="66"/>
      <c r="X904" s="66"/>
      <c r="Y904" s="189"/>
      <c r="Z904" s="184"/>
      <c r="AA904" s="184"/>
      <c r="AB904" s="184"/>
      <c r="AC904" s="8"/>
      <c r="AD904" s="66"/>
      <c r="AE904" s="66"/>
      <c r="AF904" s="66"/>
      <c r="AG904" s="190"/>
      <c r="AH904" s="191"/>
      <c r="AI904" s="190"/>
      <c r="AJ904" s="190"/>
      <c r="AK904" s="66"/>
      <c r="AL904" s="66"/>
      <c r="AM904" s="66"/>
      <c r="AN904" s="66"/>
      <c r="AO904" s="66"/>
      <c r="AP904" s="66"/>
      <c r="AQ904" s="66"/>
      <c r="AR904" s="66"/>
      <c r="AS904" s="66"/>
      <c r="AT904" s="66"/>
    </row>
    <row r="905">
      <c r="A905" s="8"/>
      <c r="B905" s="66"/>
      <c r="C905" s="66"/>
      <c r="D905" s="66"/>
      <c r="E905" s="8"/>
      <c r="F905" s="66"/>
      <c r="G905" s="66"/>
      <c r="H905" s="66"/>
      <c r="I905" s="8"/>
      <c r="J905" s="66"/>
      <c r="K905" s="66"/>
      <c r="L905" s="66"/>
      <c r="M905" s="8"/>
      <c r="N905" s="66"/>
      <c r="O905" s="66"/>
      <c r="P905" s="66"/>
      <c r="Q905" s="8"/>
      <c r="R905" s="66"/>
      <c r="S905" s="66"/>
      <c r="T905" s="66"/>
      <c r="U905" s="8"/>
      <c r="V905" s="66"/>
      <c r="W905" s="66"/>
      <c r="X905" s="66"/>
      <c r="Y905" s="189"/>
      <c r="Z905" s="184"/>
      <c r="AA905" s="184"/>
      <c r="AB905" s="184"/>
      <c r="AC905" s="8"/>
      <c r="AD905" s="66"/>
      <c r="AE905" s="66"/>
      <c r="AF905" s="66"/>
      <c r="AG905" s="190"/>
      <c r="AH905" s="191"/>
      <c r="AI905" s="190"/>
      <c r="AJ905" s="190"/>
      <c r="AK905" s="66"/>
      <c r="AL905" s="66"/>
      <c r="AM905" s="66"/>
      <c r="AN905" s="66"/>
      <c r="AO905" s="66"/>
      <c r="AP905" s="66"/>
      <c r="AQ905" s="66"/>
      <c r="AR905" s="66"/>
      <c r="AS905" s="66"/>
      <c r="AT905" s="66"/>
    </row>
    <row r="906">
      <c r="A906" s="8"/>
      <c r="B906" s="66"/>
      <c r="C906" s="66"/>
      <c r="D906" s="66"/>
      <c r="E906" s="8"/>
      <c r="F906" s="66"/>
      <c r="G906" s="66"/>
      <c r="H906" s="66"/>
      <c r="I906" s="8"/>
      <c r="J906" s="66"/>
      <c r="K906" s="66"/>
      <c r="L906" s="66"/>
      <c r="M906" s="8"/>
      <c r="N906" s="66"/>
      <c r="O906" s="66"/>
      <c r="P906" s="66"/>
      <c r="Q906" s="8"/>
      <c r="R906" s="66"/>
      <c r="S906" s="66"/>
      <c r="T906" s="66"/>
      <c r="U906" s="8"/>
      <c r="V906" s="66"/>
      <c r="W906" s="66"/>
      <c r="X906" s="66"/>
      <c r="Y906" s="189"/>
      <c r="Z906" s="184"/>
      <c r="AA906" s="184"/>
      <c r="AB906" s="184"/>
      <c r="AC906" s="8"/>
      <c r="AD906" s="66"/>
      <c r="AE906" s="66"/>
      <c r="AF906" s="66"/>
      <c r="AG906" s="190"/>
      <c r="AH906" s="191"/>
      <c r="AI906" s="190"/>
      <c r="AJ906" s="190"/>
      <c r="AK906" s="66"/>
      <c r="AL906" s="66"/>
      <c r="AM906" s="66"/>
      <c r="AN906" s="66"/>
      <c r="AO906" s="66"/>
      <c r="AP906" s="66"/>
      <c r="AQ906" s="66"/>
      <c r="AR906" s="66"/>
      <c r="AS906" s="66"/>
      <c r="AT906" s="66"/>
    </row>
    <row r="907">
      <c r="A907" s="8"/>
      <c r="B907" s="66"/>
      <c r="C907" s="66"/>
      <c r="D907" s="66"/>
      <c r="E907" s="8"/>
      <c r="F907" s="66"/>
      <c r="G907" s="66"/>
      <c r="H907" s="66"/>
      <c r="I907" s="8"/>
      <c r="J907" s="66"/>
      <c r="K907" s="66"/>
      <c r="L907" s="66"/>
      <c r="M907" s="8"/>
      <c r="N907" s="66"/>
      <c r="O907" s="66"/>
      <c r="P907" s="66"/>
      <c r="Q907" s="8"/>
      <c r="R907" s="66"/>
      <c r="S907" s="66"/>
      <c r="T907" s="66"/>
      <c r="U907" s="8"/>
      <c r="V907" s="66"/>
      <c r="W907" s="66"/>
      <c r="X907" s="66"/>
      <c r="Y907" s="189"/>
      <c r="Z907" s="184"/>
      <c r="AA907" s="184"/>
      <c r="AB907" s="184"/>
      <c r="AC907" s="8"/>
      <c r="AD907" s="66"/>
      <c r="AE907" s="66"/>
      <c r="AF907" s="66"/>
      <c r="AG907" s="190"/>
      <c r="AH907" s="191"/>
      <c r="AI907" s="190"/>
      <c r="AJ907" s="190"/>
      <c r="AK907" s="66"/>
      <c r="AL907" s="66"/>
      <c r="AM907" s="66"/>
      <c r="AN907" s="66"/>
      <c r="AO907" s="66"/>
      <c r="AP907" s="66"/>
      <c r="AQ907" s="66"/>
      <c r="AR907" s="66"/>
      <c r="AS907" s="66"/>
      <c r="AT907" s="66"/>
    </row>
    <row r="908">
      <c r="A908" s="8"/>
      <c r="B908" s="66"/>
      <c r="C908" s="66"/>
      <c r="D908" s="66"/>
      <c r="E908" s="8"/>
      <c r="F908" s="66"/>
      <c r="G908" s="66"/>
      <c r="H908" s="66"/>
      <c r="I908" s="8"/>
      <c r="J908" s="66"/>
      <c r="K908" s="66"/>
      <c r="L908" s="66"/>
      <c r="M908" s="8"/>
      <c r="N908" s="66"/>
      <c r="O908" s="66"/>
      <c r="P908" s="66"/>
      <c r="Q908" s="8"/>
      <c r="R908" s="66"/>
      <c r="S908" s="66"/>
      <c r="T908" s="66"/>
      <c r="U908" s="8"/>
      <c r="V908" s="66"/>
      <c r="W908" s="66"/>
      <c r="X908" s="66"/>
      <c r="Y908" s="189"/>
      <c r="Z908" s="184"/>
      <c r="AA908" s="184"/>
      <c r="AB908" s="184"/>
      <c r="AC908" s="8"/>
      <c r="AD908" s="66"/>
      <c r="AE908" s="66"/>
      <c r="AF908" s="66"/>
      <c r="AG908" s="190"/>
      <c r="AH908" s="191"/>
      <c r="AI908" s="190"/>
      <c r="AJ908" s="190"/>
      <c r="AK908" s="66"/>
      <c r="AL908" s="66"/>
      <c r="AM908" s="66"/>
      <c r="AN908" s="66"/>
      <c r="AO908" s="66"/>
      <c r="AP908" s="66"/>
      <c r="AQ908" s="66"/>
      <c r="AR908" s="66"/>
      <c r="AS908" s="66"/>
      <c r="AT908" s="66"/>
    </row>
    <row r="909">
      <c r="A909" s="8"/>
      <c r="B909" s="66"/>
      <c r="C909" s="66"/>
      <c r="D909" s="66"/>
      <c r="E909" s="8"/>
      <c r="F909" s="66"/>
      <c r="G909" s="66"/>
      <c r="H909" s="66"/>
      <c r="I909" s="8"/>
      <c r="J909" s="66"/>
      <c r="K909" s="66"/>
      <c r="L909" s="66"/>
      <c r="M909" s="8"/>
      <c r="N909" s="66"/>
      <c r="O909" s="66"/>
      <c r="P909" s="66"/>
      <c r="Q909" s="8"/>
      <c r="R909" s="66"/>
      <c r="S909" s="66"/>
      <c r="T909" s="66"/>
      <c r="U909" s="8"/>
      <c r="V909" s="66"/>
      <c r="W909" s="66"/>
      <c r="X909" s="66"/>
      <c r="Y909" s="189"/>
      <c r="Z909" s="184"/>
      <c r="AA909" s="184"/>
      <c r="AB909" s="184"/>
      <c r="AC909" s="8"/>
      <c r="AD909" s="66"/>
      <c r="AE909" s="66"/>
      <c r="AF909" s="66"/>
      <c r="AG909" s="190"/>
      <c r="AH909" s="191"/>
      <c r="AI909" s="190"/>
      <c r="AJ909" s="190"/>
      <c r="AK909" s="66"/>
      <c r="AL909" s="66"/>
      <c r="AM909" s="66"/>
      <c r="AN909" s="66"/>
      <c r="AO909" s="66"/>
      <c r="AP909" s="66"/>
      <c r="AQ909" s="66"/>
      <c r="AR909" s="66"/>
      <c r="AS909" s="66"/>
      <c r="AT909" s="66"/>
    </row>
    <row r="910">
      <c r="A910" s="8"/>
      <c r="B910" s="66"/>
      <c r="C910" s="66"/>
      <c r="D910" s="66"/>
      <c r="E910" s="8"/>
      <c r="F910" s="66"/>
      <c r="G910" s="66"/>
      <c r="H910" s="66"/>
      <c r="I910" s="8"/>
      <c r="J910" s="66"/>
      <c r="K910" s="66"/>
      <c r="L910" s="66"/>
      <c r="M910" s="8"/>
      <c r="N910" s="66"/>
      <c r="O910" s="66"/>
      <c r="P910" s="66"/>
      <c r="Q910" s="8"/>
      <c r="R910" s="66"/>
      <c r="S910" s="66"/>
      <c r="T910" s="66"/>
      <c r="U910" s="8"/>
      <c r="V910" s="66"/>
      <c r="W910" s="66"/>
      <c r="X910" s="66"/>
      <c r="Y910" s="189"/>
      <c r="Z910" s="184"/>
      <c r="AA910" s="184"/>
      <c r="AB910" s="184"/>
      <c r="AC910" s="8"/>
      <c r="AD910" s="66"/>
      <c r="AE910" s="66"/>
      <c r="AF910" s="66"/>
      <c r="AG910" s="190"/>
      <c r="AH910" s="191"/>
      <c r="AI910" s="190"/>
      <c r="AJ910" s="190"/>
      <c r="AK910" s="66"/>
      <c r="AL910" s="66"/>
      <c r="AM910" s="66"/>
      <c r="AN910" s="66"/>
      <c r="AO910" s="66"/>
      <c r="AP910" s="66"/>
      <c r="AQ910" s="66"/>
      <c r="AR910" s="66"/>
      <c r="AS910" s="66"/>
      <c r="AT910" s="66"/>
    </row>
    <row r="911">
      <c r="A911" s="8"/>
      <c r="B911" s="66"/>
      <c r="C911" s="66"/>
      <c r="D911" s="66"/>
      <c r="E911" s="8"/>
      <c r="F911" s="66"/>
      <c r="G911" s="66"/>
      <c r="H911" s="66"/>
      <c r="I911" s="8"/>
      <c r="J911" s="66"/>
      <c r="K911" s="66"/>
      <c r="L911" s="66"/>
      <c r="M911" s="8"/>
      <c r="N911" s="66"/>
      <c r="O911" s="66"/>
      <c r="P911" s="66"/>
      <c r="Q911" s="8"/>
      <c r="R911" s="66"/>
      <c r="S911" s="66"/>
      <c r="T911" s="66"/>
      <c r="U911" s="8"/>
      <c r="V911" s="66"/>
      <c r="W911" s="66"/>
      <c r="X911" s="66"/>
      <c r="Y911" s="189"/>
      <c r="Z911" s="184"/>
      <c r="AA911" s="184"/>
      <c r="AB911" s="184"/>
      <c r="AC911" s="8"/>
      <c r="AD911" s="66"/>
      <c r="AE911" s="66"/>
      <c r="AF911" s="66"/>
      <c r="AG911" s="190"/>
      <c r="AH911" s="191"/>
      <c r="AI911" s="190"/>
      <c r="AJ911" s="190"/>
      <c r="AK911" s="66"/>
      <c r="AL911" s="66"/>
      <c r="AM911" s="66"/>
      <c r="AN911" s="66"/>
      <c r="AO911" s="66"/>
      <c r="AP911" s="66"/>
      <c r="AQ911" s="66"/>
      <c r="AR911" s="66"/>
      <c r="AS911" s="66"/>
      <c r="AT911" s="66"/>
    </row>
    <row r="912">
      <c r="A912" s="8"/>
      <c r="B912" s="66"/>
      <c r="C912" s="66"/>
      <c r="D912" s="66"/>
      <c r="E912" s="8"/>
      <c r="F912" s="66"/>
      <c r="G912" s="66"/>
      <c r="H912" s="66"/>
      <c r="I912" s="8"/>
      <c r="J912" s="66"/>
      <c r="K912" s="66"/>
      <c r="L912" s="66"/>
      <c r="M912" s="8"/>
      <c r="N912" s="66"/>
      <c r="O912" s="66"/>
      <c r="P912" s="66"/>
      <c r="Q912" s="8"/>
      <c r="R912" s="66"/>
      <c r="S912" s="66"/>
      <c r="T912" s="66"/>
      <c r="U912" s="8"/>
      <c r="V912" s="66"/>
      <c r="W912" s="66"/>
      <c r="X912" s="66"/>
      <c r="Y912" s="189"/>
      <c r="Z912" s="184"/>
      <c r="AA912" s="184"/>
      <c r="AB912" s="184"/>
      <c r="AC912" s="8"/>
      <c r="AD912" s="66"/>
      <c r="AE912" s="66"/>
      <c r="AF912" s="66"/>
      <c r="AG912" s="190"/>
      <c r="AH912" s="191"/>
      <c r="AI912" s="190"/>
      <c r="AJ912" s="190"/>
      <c r="AK912" s="66"/>
      <c r="AL912" s="66"/>
      <c r="AM912" s="66"/>
      <c r="AN912" s="66"/>
      <c r="AO912" s="66"/>
      <c r="AP912" s="66"/>
      <c r="AQ912" s="66"/>
      <c r="AR912" s="66"/>
      <c r="AS912" s="66"/>
      <c r="AT912" s="66"/>
    </row>
    <row r="913">
      <c r="A913" s="8"/>
      <c r="B913" s="66"/>
      <c r="C913" s="66"/>
      <c r="D913" s="66"/>
      <c r="E913" s="8"/>
      <c r="F913" s="66"/>
      <c r="G913" s="66"/>
      <c r="H913" s="66"/>
      <c r="I913" s="8"/>
      <c r="J913" s="66"/>
      <c r="K913" s="66"/>
      <c r="L913" s="66"/>
      <c r="M913" s="8"/>
      <c r="N913" s="66"/>
      <c r="O913" s="66"/>
      <c r="P913" s="66"/>
      <c r="Q913" s="8"/>
      <c r="R913" s="66"/>
      <c r="S913" s="66"/>
      <c r="T913" s="66"/>
      <c r="U913" s="8"/>
      <c r="V913" s="66"/>
      <c r="W913" s="66"/>
      <c r="X913" s="66"/>
      <c r="Y913" s="189"/>
      <c r="Z913" s="184"/>
      <c r="AA913" s="184"/>
      <c r="AB913" s="184"/>
      <c r="AC913" s="8"/>
      <c r="AD913" s="66"/>
      <c r="AE913" s="66"/>
      <c r="AF913" s="66"/>
      <c r="AG913" s="190"/>
      <c r="AH913" s="191"/>
      <c r="AI913" s="190"/>
      <c r="AJ913" s="190"/>
      <c r="AK913" s="66"/>
      <c r="AL913" s="66"/>
      <c r="AM913" s="66"/>
      <c r="AN913" s="66"/>
      <c r="AO913" s="66"/>
      <c r="AP913" s="66"/>
      <c r="AQ913" s="66"/>
      <c r="AR913" s="66"/>
      <c r="AS913" s="66"/>
      <c r="AT913" s="66"/>
    </row>
    <row r="914">
      <c r="A914" s="8"/>
      <c r="B914" s="66"/>
      <c r="C914" s="66"/>
      <c r="D914" s="66"/>
      <c r="E914" s="8"/>
      <c r="F914" s="66"/>
      <c r="G914" s="66"/>
      <c r="H914" s="66"/>
      <c r="I914" s="8"/>
      <c r="J914" s="66"/>
      <c r="K914" s="66"/>
      <c r="L914" s="66"/>
      <c r="M914" s="8"/>
      <c r="N914" s="66"/>
      <c r="O914" s="66"/>
      <c r="P914" s="66"/>
      <c r="Q914" s="8"/>
      <c r="R914" s="66"/>
      <c r="S914" s="66"/>
      <c r="T914" s="66"/>
      <c r="U914" s="8"/>
      <c r="V914" s="66"/>
      <c r="W914" s="66"/>
      <c r="X914" s="66"/>
      <c r="Y914" s="189"/>
      <c r="Z914" s="184"/>
      <c r="AA914" s="184"/>
      <c r="AB914" s="184"/>
      <c r="AC914" s="8"/>
      <c r="AD914" s="66"/>
      <c r="AE914" s="66"/>
      <c r="AF914" s="66"/>
      <c r="AG914" s="190"/>
      <c r="AH914" s="191"/>
      <c r="AI914" s="190"/>
      <c r="AJ914" s="190"/>
      <c r="AK914" s="66"/>
      <c r="AL914" s="66"/>
      <c r="AM914" s="66"/>
      <c r="AN914" s="66"/>
      <c r="AO914" s="66"/>
      <c r="AP914" s="66"/>
      <c r="AQ914" s="66"/>
      <c r="AR914" s="66"/>
      <c r="AS914" s="66"/>
      <c r="AT914" s="66"/>
    </row>
    <row r="915">
      <c r="A915" s="8"/>
      <c r="B915" s="66"/>
      <c r="C915" s="66"/>
      <c r="D915" s="66"/>
      <c r="E915" s="8"/>
      <c r="F915" s="66"/>
      <c r="G915" s="66"/>
      <c r="H915" s="66"/>
      <c r="I915" s="8"/>
      <c r="J915" s="66"/>
      <c r="K915" s="66"/>
      <c r="L915" s="66"/>
      <c r="M915" s="8"/>
      <c r="N915" s="66"/>
      <c r="O915" s="66"/>
      <c r="P915" s="66"/>
      <c r="Q915" s="8"/>
      <c r="R915" s="66"/>
      <c r="S915" s="66"/>
      <c r="T915" s="66"/>
      <c r="U915" s="8"/>
      <c r="V915" s="66"/>
      <c r="W915" s="66"/>
      <c r="X915" s="66"/>
      <c r="Y915" s="189"/>
      <c r="Z915" s="184"/>
      <c r="AA915" s="184"/>
      <c r="AB915" s="184"/>
      <c r="AC915" s="8"/>
      <c r="AD915" s="66"/>
      <c r="AE915" s="66"/>
      <c r="AF915" s="66"/>
      <c r="AG915" s="190"/>
      <c r="AH915" s="191"/>
      <c r="AI915" s="190"/>
      <c r="AJ915" s="190"/>
      <c r="AK915" s="66"/>
      <c r="AL915" s="66"/>
      <c r="AM915" s="66"/>
      <c r="AN915" s="66"/>
      <c r="AO915" s="66"/>
      <c r="AP915" s="66"/>
      <c r="AQ915" s="66"/>
      <c r="AR915" s="66"/>
      <c r="AS915" s="66"/>
      <c r="AT915" s="66"/>
    </row>
    <row r="916">
      <c r="A916" s="8"/>
      <c r="B916" s="66"/>
      <c r="C916" s="66"/>
      <c r="D916" s="66"/>
      <c r="E916" s="8"/>
      <c r="F916" s="66"/>
      <c r="G916" s="66"/>
      <c r="H916" s="66"/>
      <c r="I916" s="8"/>
      <c r="J916" s="66"/>
      <c r="K916" s="66"/>
      <c r="L916" s="66"/>
      <c r="M916" s="8"/>
      <c r="N916" s="66"/>
      <c r="O916" s="66"/>
      <c r="P916" s="66"/>
      <c r="Q916" s="8"/>
      <c r="R916" s="66"/>
      <c r="S916" s="66"/>
      <c r="T916" s="66"/>
      <c r="U916" s="8"/>
      <c r="V916" s="66"/>
      <c r="W916" s="66"/>
      <c r="X916" s="66"/>
      <c r="Y916" s="189"/>
      <c r="Z916" s="184"/>
      <c r="AA916" s="184"/>
      <c r="AB916" s="184"/>
      <c r="AC916" s="8"/>
      <c r="AD916" s="66"/>
      <c r="AE916" s="66"/>
      <c r="AF916" s="66"/>
      <c r="AG916" s="190"/>
      <c r="AH916" s="191"/>
      <c r="AI916" s="190"/>
      <c r="AJ916" s="190"/>
      <c r="AK916" s="66"/>
      <c r="AL916" s="66"/>
      <c r="AM916" s="66"/>
      <c r="AN916" s="66"/>
      <c r="AO916" s="66"/>
      <c r="AP916" s="66"/>
      <c r="AQ916" s="66"/>
      <c r="AR916" s="66"/>
      <c r="AS916" s="66"/>
      <c r="AT916" s="66"/>
    </row>
    <row r="917">
      <c r="A917" s="8"/>
      <c r="B917" s="66"/>
      <c r="C917" s="66"/>
      <c r="D917" s="66"/>
      <c r="E917" s="8"/>
      <c r="F917" s="66"/>
      <c r="G917" s="66"/>
      <c r="H917" s="66"/>
      <c r="I917" s="8"/>
      <c r="J917" s="66"/>
      <c r="K917" s="66"/>
      <c r="L917" s="66"/>
      <c r="M917" s="8"/>
      <c r="N917" s="66"/>
      <c r="O917" s="66"/>
      <c r="P917" s="66"/>
      <c r="Q917" s="8"/>
      <c r="R917" s="66"/>
      <c r="S917" s="66"/>
      <c r="T917" s="66"/>
      <c r="U917" s="8"/>
      <c r="V917" s="66"/>
      <c r="W917" s="66"/>
      <c r="X917" s="66"/>
      <c r="Y917" s="189"/>
      <c r="Z917" s="184"/>
      <c r="AA917" s="184"/>
      <c r="AB917" s="184"/>
      <c r="AC917" s="8"/>
      <c r="AD917" s="66"/>
      <c r="AE917" s="66"/>
      <c r="AF917" s="66"/>
      <c r="AG917" s="190"/>
      <c r="AH917" s="191"/>
      <c r="AI917" s="190"/>
      <c r="AJ917" s="190"/>
      <c r="AK917" s="66"/>
      <c r="AL917" s="66"/>
      <c r="AM917" s="66"/>
      <c r="AN917" s="66"/>
      <c r="AO917" s="66"/>
      <c r="AP917" s="66"/>
      <c r="AQ917" s="66"/>
      <c r="AR917" s="66"/>
      <c r="AS917" s="66"/>
      <c r="AT917" s="66"/>
    </row>
    <row r="918">
      <c r="A918" s="8"/>
      <c r="B918" s="66"/>
      <c r="C918" s="66"/>
      <c r="D918" s="66"/>
      <c r="E918" s="8"/>
      <c r="F918" s="66"/>
      <c r="G918" s="66"/>
      <c r="H918" s="66"/>
      <c r="I918" s="8"/>
      <c r="J918" s="66"/>
      <c r="K918" s="66"/>
      <c r="L918" s="66"/>
      <c r="M918" s="8"/>
      <c r="N918" s="66"/>
      <c r="O918" s="66"/>
      <c r="P918" s="66"/>
      <c r="Q918" s="8"/>
      <c r="R918" s="66"/>
      <c r="S918" s="66"/>
      <c r="T918" s="66"/>
      <c r="U918" s="8"/>
      <c r="V918" s="66"/>
      <c r="W918" s="66"/>
      <c r="X918" s="66"/>
      <c r="Y918" s="189"/>
      <c r="Z918" s="184"/>
      <c r="AA918" s="184"/>
      <c r="AB918" s="184"/>
      <c r="AC918" s="8"/>
      <c r="AD918" s="66"/>
      <c r="AE918" s="66"/>
      <c r="AF918" s="66"/>
      <c r="AG918" s="190"/>
      <c r="AH918" s="191"/>
      <c r="AI918" s="190"/>
      <c r="AJ918" s="190"/>
      <c r="AK918" s="66"/>
      <c r="AL918" s="66"/>
      <c r="AM918" s="66"/>
      <c r="AN918" s="66"/>
      <c r="AO918" s="66"/>
      <c r="AP918" s="66"/>
      <c r="AQ918" s="66"/>
      <c r="AR918" s="66"/>
      <c r="AS918" s="66"/>
      <c r="AT918" s="66"/>
    </row>
    <row r="919">
      <c r="A919" s="8"/>
      <c r="B919" s="66"/>
      <c r="C919" s="66"/>
      <c r="D919" s="66"/>
      <c r="E919" s="8"/>
      <c r="F919" s="66"/>
      <c r="G919" s="66"/>
      <c r="H919" s="66"/>
      <c r="I919" s="8"/>
      <c r="J919" s="66"/>
      <c r="K919" s="66"/>
      <c r="L919" s="66"/>
      <c r="M919" s="8"/>
      <c r="N919" s="66"/>
      <c r="O919" s="66"/>
      <c r="P919" s="66"/>
      <c r="Q919" s="8"/>
      <c r="R919" s="66"/>
      <c r="S919" s="66"/>
      <c r="T919" s="66"/>
      <c r="U919" s="8"/>
      <c r="V919" s="66"/>
      <c r="W919" s="66"/>
      <c r="X919" s="66"/>
      <c r="Y919" s="189"/>
      <c r="Z919" s="184"/>
      <c r="AA919" s="184"/>
      <c r="AB919" s="184"/>
      <c r="AC919" s="8"/>
      <c r="AD919" s="66"/>
      <c r="AE919" s="66"/>
      <c r="AF919" s="66"/>
      <c r="AG919" s="190"/>
      <c r="AH919" s="191"/>
      <c r="AI919" s="190"/>
      <c r="AJ919" s="190"/>
      <c r="AK919" s="66"/>
      <c r="AL919" s="66"/>
      <c r="AM919" s="66"/>
      <c r="AN919" s="66"/>
      <c r="AO919" s="66"/>
      <c r="AP919" s="66"/>
      <c r="AQ919" s="66"/>
      <c r="AR919" s="66"/>
      <c r="AS919" s="66"/>
      <c r="AT919" s="66"/>
    </row>
    <row r="920">
      <c r="A920" s="8"/>
      <c r="B920" s="66"/>
      <c r="C920" s="66"/>
      <c r="D920" s="66"/>
      <c r="E920" s="8"/>
      <c r="F920" s="66"/>
      <c r="G920" s="66"/>
      <c r="H920" s="66"/>
      <c r="I920" s="8"/>
      <c r="J920" s="66"/>
      <c r="K920" s="66"/>
      <c r="L920" s="66"/>
      <c r="M920" s="8"/>
      <c r="N920" s="66"/>
      <c r="O920" s="66"/>
      <c r="P920" s="66"/>
      <c r="Q920" s="8"/>
      <c r="R920" s="66"/>
      <c r="S920" s="66"/>
      <c r="T920" s="66"/>
      <c r="U920" s="8"/>
      <c r="V920" s="66"/>
      <c r="W920" s="66"/>
      <c r="X920" s="66"/>
      <c r="Y920" s="189"/>
      <c r="Z920" s="184"/>
      <c r="AA920" s="184"/>
      <c r="AB920" s="184"/>
      <c r="AC920" s="8"/>
      <c r="AD920" s="66"/>
      <c r="AE920" s="66"/>
      <c r="AF920" s="66"/>
      <c r="AG920" s="190"/>
      <c r="AH920" s="191"/>
      <c r="AI920" s="190"/>
      <c r="AJ920" s="190"/>
      <c r="AK920" s="66"/>
      <c r="AL920" s="66"/>
      <c r="AM920" s="66"/>
      <c r="AN920" s="66"/>
      <c r="AO920" s="66"/>
      <c r="AP920" s="66"/>
      <c r="AQ920" s="66"/>
      <c r="AR920" s="66"/>
      <c r="AS920" s="66"/>
      <c r="AT920" s="66"/>
    </row>
    <row r="921">
      <c r="A921" s="8"/>
      <c r="B921" s="66"/>
      <c r="C921" s="66"/>
      <c r="D921" s="66"/>
      <c r="E921" s="8"/>
      <c r="F921" s="66"/>
      <c r="G921" s="66"/>
      <c r="H921" s="66"/>
      <c r="I921" s="8"/>
      <c r="J921" s="66"/>
      <c r="K921" s="66"/>
      <c r="L921" s="66"/>
      <c r="M921" s="8"/>
      <c r="N921" s="66"/>
      <c r="O921" s="66"/>
      <c r="P921" s="66"/>
      <c r="Q921" s="8"/>
      <c r="R921" s="66"/>
      <c r="S921" s="66"/>
      <c r="T921" s="66"/>
      <c r="U921" s="8"/>
      <c r="V921" s="66"/>
      <c r="W921" s="66"/>
      <c r="X921" s="66"/>
      <c r="Y921" s="189"/>
      <c r="Z921" s="184"/>
      <c r="AA921" s="184"/>
      <c r="AB921" s="184"/>
      <c r="AC921" s="8"/>
      <c r="AD921" s="66"/>
      <c r="AE921" s="66"/>
      <c r="AF921" s="66"/>
      <c r="AG921" s="190"/>
      <c r="AH921" s="191"/>
      <c r="AI921" s="190"/>
      <c r="AJ921" s="190"/>
      <c r="AK921" s="66"/>
      <c r="AL921" s="66"/>
      <c r="AM921" s="66"/>
      <c r="AN921" s="66"/>
      <c r="AO921" s="66"/>
      <c r="AP921" s="66"/>
      <c r="AQ921" s="66"/>
      <c r="AR921" s="66"/>
      <c r="AS921" s="66"/>
      <c r="AT921" s="66"/>
    </row>
    <row r="922">
      <c r="A922" s="8"/>
      <c r="B922" s="66"/>
      <c r="C922" s="66"/>
      <c r="D922" s="66"/>
      <c r="E922" s="8"/>
      <c r="F922" s="66"/>
      <c r="G922" s="66"/>
      <c r="H922" s="66"/>
      <c r="I922" s="8"/>
      <c r="J922" s="66"/>
      <c r="K922" s="66"/>
      <c r="L922" s="66"/>
      <c r="M922" s="8"/>
      <c r="N922" s="66"/>
      <c r="O922" s="66"/>
      <c r="P922" s="66"/>
      <c r="Q922" s="8"/>
      <c r="R922" s="66"/>
      <c r="S922" s="66"/>
      <c r="T922" s="66"/>
      <c r="U922" s="8"/>
      <c r="V922" s="66"/>
      <c r="W922" s="66"/>
      <c r="X922" s="66"/>
      <c r="Y922" s="189"/>
      <c r="Z922" s="184"/>
      <c r="AA922" s="184"/>
      <c r="AB922" s="184"/>
      <c r="AC922" s="8"/>
      <c r="AD922" s="66"/>
      <c r="AE922" s="66"/>
      <c r="AF922" s="66"/>
      <c r="AG922" s="190"/>
      <c r="AH922" s="191"/>
      <c r="AI922" s="190"/>
      <c r="AJ922" s="190"/>
      <c r="AK922" s="66"/>
      <c r="AL922" s="66"/>
      <c r="AM922" s="66"/>
      <c r="AN922" s="66"/>
      <c r="AO922" s="66"/>
      <c r="AP922" s="66"/>
      <c r="AQ922" s="66"/>
      <c r="AR922" s="66"/>
      <c r="AS922" s="66"/>
      <c r="AT922" s="66"/>
    </row>
    <row r="923">
      <c r="A923" s="8"/>
      <c r="B923" s="66"/>
      <c r="C923" s="66"/>
      <c r="D923" s="66"/>
      <c r="E923" s="8"/>
      <c r="F923" s="66"/>
      <c r="G923" s="66"/>
      <c r="H923" s="66"/>
      <c r="I923" s="8"/>
      <c r="J923" s="66"/>
      <c r="K923" s="66"/>
      <c r="L923" s="66"/>
      <c r="M923" s="8"/>
      <c r="N923" s="66"/>
      <c r="O923" s="66"/>
      <c r="P923" s="66"/>
      <c r="Q923" s="8"/>
      <c r="R923" s="66"/>
      <c r="S923" s="66"/>
      <c r="T923" s="66"/>
      <c r="U923" s="8"/>
      <c r="V923" s="66"/>
      <c r="W923" s="66"/>
      <c r="X923" s="66"/>
      <c r="Y923" s="189"/>
      <c r="Z923" s="184"/>
      <c r="AA923" s="184"/>
      <c r="AB923" s="184"/>
      <c r="AC923" s="8"/>
      <c r="AD923" s="66"/>
      <c r="AE923" s="66"/>
      <c r="AF923" s="66"/>
      <c r="AG923" s="190"/>
      <c r="AH923" s="191"/>
      <c r="AI923" s="190"/>
      <c r="AJ923" s="190"/>
      <c r="AK923" s="66"/>
      <c r="AL923" s="66"/>
      <c r="AM923" s="66"/>
      <c r="AN923" s="66"/>
      <c r="AO923" s="66"/>
      <c r="AP923" s="66"/>
      <c r="AQ923" s="66"/>
      <c r="AR923" s="66"/>
      <c r="AS923" s="66"/>
      <c r="AT923" s="66"/>
    </row>
    <row r="924">
      <c r="A924" s="8"/>
      <c r="B924" s="66"/>
      <c r="C924" s="66"/>
      <c r="D924" s="66"/>
      <c r="E924" s="8"/>
      <c r="F924" s="66"/>
      <c r="G924" s="66"/>
      <c r="H924" s="66"/>
      <c r="I924" s="8"/>
      <c r="J924" s="66"/>
      <c r="K924" s="66"/>
      <c r="L924" s="66"/>
      <c r="M924" s="8"/>
      <c r="N924" s="66"/>
      <c r="O924" s="66"/>
      <c r="P924" s="66"/>
      <c r="Q924" s="8"/>
      <c r="R924" s="66"/>
      <c r="S924" s="66"/>
      <c r="T924" s="66"/>
      <c r="U924" s="8"/>
      <c r="V924" s="66"/>
      <c r="W924" s="66"/>
      <c r="X924" s="66"/>
      <c r="Y924" s="189"/>
      <c r="Z924" s="184"/>
      <c r="AA924" s="184"/>
      <c r="AB924" s="184"/>
      <c r="AC924" s="8"/>
      <c r="AD924" s="66"/>
      <c r="AE924" s="66"/>
      <c r="AF924" s="66"/>
      <c r="AG924" s="190"/>
      <c r="AH924" s="191"/>
      <c r="AI924" s="190"/>
      <c r="AJ924" s="190"/>
      <c r="AK924" s="66"/>
      <c r="AL924" s="66"/>
      <c r="AM924" s="66"/>
      <c r="AN924" s="66"/>
      <c r="AO924" s="66"/>
      <c r="AP924" s="66"/>
      <c r="AQ924" s="66"/>
      <c r="AR924" s="66"/>
      <c r="AS924" s="66"/>
      <c r="AT924" s="66"/>
    </row>
    <row r="925">
      <c r="A925" s="8"/>
      <c r="B925" s="66"/>
      <c r="C925" s="66"/>
      <c r="D925" s="66"/>
      <c r="E925" s="8"/>
      <c r="F925" s="66"/>
      <c r="G925" s="66"/>
      <c r="H925" s="66"/>
      <c r="I925" s="8"/>
      <c r="J925" s="66"/>
      <c r="K925" s="66"/>
      <c r="L925" s="66"/>
      <c r="M925" s="8"/>
      <c r="N925" s="66"/>
      <c r="O925" s="66"/>
      <c r="P925" s="66"/>
      <c r="Q925" s="8"/>
      <c r="R925" s="66"/>
      <c r="S925" s="66"/>
      <c r="T925" s="66"/>
      <c r="U925" s="8"/>
      <c r="V925" s="66"/>
      <c r="W925" s="66"/>
      <c r="X925" s="66"/>
      <c r="Y925" s="189"/>
      <c r="Z925" s="184"/>
      <c r="AA925" s="184"/>
      <c r="AB925" s="184"/>
      <c r="AC925" s="8"/>
      <c r="AD925" s="66"/>
      <c r="AE925" s="66"/>
      <c r="AF925" s="66"/>
      <c r="AG925" s="190"/>
      <c r="AH925" s="191"/>
      <c r="AI925" s="190"/>
      <c r="AJ925" s="190"/>
      <c r="AK925" s="66"/>
      <c r="AL925" s="66"/>
      <c r="AM925" s="66"/>
      <c r="AN925" s="66"/>
      <c r="AO925" s="66"/>
      <c r="AP925" s="66"/>
      <c r="AQ925" s="66"/>
      <c r="AR925" s="66"/>
      <c r="AS925" s="66"/>
      <c r="AT925" s="66"/>
    </row>
    <row r="926">
      <c r="A926" s="8"/>
      <c r="B926" s="66"/>
      <c r="C926" s="66"/>
      <c r="D926" s="66"/>
      <c r="E926" s="8"/>
      <c r="F926" s="66"/>
      <c r="G926" s="66"/>
      <c r="H926" s="66"/>
      <c r="I926" s="8"/>
      <c r="J926" s="66"/>
      <c r="K926" s="66"/>
      <c r="L926" s="66"/>
      <c r="M926" s="8"/>
      <c r="N926" s="66"/>
      <c r="O926" s="66"/>
      <c r="P926" s="66"/>
      <c r="Q926" s="8"/>
      <c r="R926" s="66"/>
      <c r="S926" s="66"/>
      <c r="T926" s="66"/>
      <c r="U926" s="8"/>
      <c r="V926" s="66"/>
      <c r="W926" s="66"/>
      <c r="X926" s="66"/>
      <c r="Y926" s="189"/>
      <c r="Z926" s="184"/>
      <c r="AA926" s="184"/>
      <c r="AB926" s="184"/>
      <c r="AC926" s="8"/>
      <c r="AD926" s="66"/>
      <c r="AE926" s="66"/>
      <c r="AF926" s="66"/>
      <c r="AG926" s="190"/>
      <c r="AH926" s="191"/>
      <c r="AI926" s="190"/>
      <c r="AJ926" s="190"/>
      <c r="AK926" s="66"/>
      <c r="AL926" s="66"/>
      <c r="AM926" s="66"/>
      <c r="AN926" s="66"/>
      <c r="AO926" s="66"/>
      <c r="AP926" s="66"/>
      <c r="AQ926" s="66"/>
      <c r="AR926" s="66"/>
      <c r="AS926" s="66"/>
      <c r="AT926" s="66"/>
    </row>
    <row r="927">
      <c r="A927" s="8"/>
      <c r="B927" s="66"/>
      <c r="C927" s="66"/>
      <c r="D927" s="66"/>
      <c r="E927" s="8"/>
      <c r="F927" s="66"/>
      <c r="G927" s="66"/>
      <c r="H927" s="66"/>
      <c r="I927" s="8"/>
      <c r="J927" s="66"/>
      <c r="K927" s="66"/>
      <c r="L927" s="66"/>
      <c r="M927" s="8"/>
      <c r="N927" s="66"/>
      <c r="O927" s="66"/>
      <c r="P927" s="66"/>
      <c r="Q927" s="8"/>
      <c r="R927" s="66"/>
      <c r="S927" s="66"/>
      <c r="T927" s="66"/>
      <c r="U927" s="8"/>
      <c r="V927" s="66"/>
      <c r="W927" s="66"/>
      <c r="X927" s="66"/>
      <c r="Y927" s="189"/>
      <c r="Z927" s="184"/>
      <c r="AA927" s="184"/>
      <c r="AB927" s="184"/>
      <c r="AC927" s="8"/>
      <c r="AD927" s="66"/>
      <c r="AE927" s="66"/>
      <c r="AF927" s="66"/>
      <c r="AG927" s="190"/>
      <c r="AH927" s="191"/>
      <c r="AI927" s="190"/>
      <c r="AJ927" s="190"/>
      <c r="AK927" s="66"/>
      <c r="AL927" s="66"/>
      <c r="AM927" s="66"/>
      <c r="AN927" s="66"/>
      <c r="AO927" s="66"/>
      <c r="AP927" s="66"/>
      <c r="AQ927" s="66"/>
      <c r="AR927" s="66"/>
      <c r="AS927" s="66"/>
      <c r="AT927" s="66"/>
    </row>
    <row r="928">
      <c r="A928" s="8"/>
      <c r="B928" s="66"/>
      <c r="C928" s="66"/>
      <c r="D928" s="66"/>
      <c r="E928" s="8"/>
      <c r="F928" s="66"/>
      <c r="G928" s="66"/>
      <c r="H928" s="66"/>
      <c r="I928" s="8"/>
      <c r="J928" s="66"/>
      <c r="K928" s="66"/>
      <c r="L928" s="66"/>
      <c r="M928" s="8"/>
      <c r="N928" s="66"/>
      <c r="O928" s="66"/>
      <c r="P928" s="66"/>
      <c r="Q928" s="8"/>
      <c r="R928" s="66"/>
      <c r="S928" s="66"/>
      <c r="T928" s="66"/>
      <c r="U928" s="8"/>
      <c r="V928" s="66"/>
      <c r="W928" s="66"/>
      <c r="X928" s="66"/>
      <c r="Y928" s="189"/>
      <c r="Z928" s="184"/>
      <c r="AA928" s="184"/>
      <c r="AB928" s="184"/>
      <c r="AC928" s="8"/>
      <c r="AD928" s="66"/>
      <c r="AE928" s="66"/>
      <c r="AF928" s="66"/>
      <c r="AG928" s="190"/>
      <c r="AH928" s="191"/>
      <c r="AI928" s="190"/>
      <c r="AJ928" s="190"/>
      <c r="AK928" s="66"/>
      <c r="AL928" s="66"/>
      <c r="AM928" s="66"/>
      <c r="AN928" s="66"/>
      <c r="AO928" s="66"/>
      <c r="AP928" s="66"/>
      <c r="AQ928" s="66"/>
      <c r="AR928" s="66"/>
      <c r="AS928" s="66"/>
      <c r="AT928" s="66"/>
    </row>
    <row r="929">
      <c r="A929" s="8"/>
      <c r="B929" s="66"/>
      <c r="C929" s="66"/>
      <c r="D929" s="66"/>
      <c r="E929" s="8"/>
      <c r="F929" s="66"/>
      <c r="G929" s="66"/>
      <c r="H929" s="66"/>
      <c r="I929" s="8"/>
      <c r="J929" s="66"/>
      <c r="K929" s="66"/>
      <c r="L929" s="66"/>
      <c r="M929" s="8"/>
      <c r="N929" s="66"/>
      <c r="O929" s="66"/>
      <c r="P929" s="66"/>
      <c r="Q929" s="8"/>
      <c r="R929" s="66"/>
      <c r="S929" s="66"/>
      <c r="T929" s="66"/>
      <c r="U929" s="8"/>
      <c r="V929" s="66"/>
      <c r="W929" s="66"/>
      <c r="X929" s="66"/>
      <c r="Y929" s="189"/>
      <c r="Z929" s="184"/>
      <c r="AA929" s="184"/>
      <c r="AB929" s="184"/>
      <c r="AC929" s="8"/>
      <c r="AD929" s="66"/>
      <c r="AE929" s="66"/>
      <c r="AF929" s="66"/>
      <c r="AG929" s="190"/>
      <c r="AH929" s="191"/>
      <c r="AI929" s="190"/>
      <c r="AJ929" s="190"/>
      <c r="AK929" s="66"/>
      <c r="AL929" s="66"/>
      <c r="AM929" s="66"/>
      <c r="AN929" s="66"/>
      <c r="AO929" s="66"/>
      <c r="AP929" s="66"/>
      <c r="AQ929" s="66"/>
      <c r="AR929" s="66"/>
      <c r="AS929" s="66"/>
      <c r="AT929" s="66"/>
    </row>
    <row r="930">
      <c r="A930" s="8"/>
      <c r="B930" s="66"/>
      <c r="C930" s="66"/>
      <c r="D930" s="66"/>
      <c r="E930" s="8"/>
      <c r="F930" s="66"/>
      <c r="G930" s="66"/>
      <c r="H930" s="66"/>
      <c r="I930" s="8"/>
      <c r="J930" s="66"/>
      <c r="K930" s="66"/>
      <c r="L930" s="66"/>
      <c r="M930" s="8"/>
      <c r="N930" s="66"/>
      <c r="O930" s="66"/>
      <c r="P930" s="66"/>
      <c r="Q930" s="8"/>
      <c r="R930" s="66"/>
      <c r="S930" s="66"/>
      <c r="T930" s="66"/>
      <c r="U930" s="8"/>
      <c r="V930" s="66"/>
      <c r="W930" s="66"/>
      <c r="X930" s="66"/>
      <c r="Y930" s="189"/>
      <c r="Z930" s="184"/>
      <c r="AA930" s="184"/>
      <c r="AB930" s="184"/>
      <c r="AC930" s="8"/>
      <c r="AD930" s="66"/>
      <c r="AE930" s="66"/>
      <c r="AF930" s="66"/>
      <c r="AG930" s="190"/>
      <c r="AH930" s="191"/>
      <c r="AI930" s="190"/>
      <c r="AJ930" s="190"/>
      <c r="AK930" s="66"/>
      <c r="AL930" s="66"/>
      <c r="AM930" s="66"/>
      <c r="AN930" s="66"/>
      <c r="AO930" s="66"/>
      <c r="AP930" s="66"/>
      <c r="AQ930" s="66"/>
      <c r="AR930" s="66"/>
      <c r="AS930" s="66"/>
      <c r="AT930" s="66"/>
    </row>
    <row r="931">
      <c r="A931" s="8"/>
      <c r="B931" s="66"/>
      <c r="C931" s="66"/>
      <c r="D931" s="66"/>
      <c r="E931" s="8"/>
      <c r="F931" s="66"/>
      <c r="G931" s="66"/>
      <c r="H931" s="66"/>
      <c r="I931" s="8"/>
      <c r="J931" s="66"/>
      <c r="K931" s="66"/>
      <c r="L931" s="66"/>
      <c r="M931" s="8"/>
      <c r="N931" s="66"/>
      <c r="O931" s="66"/>
      <c r="P931" s="66"/>
      <c r="Q931" s="8"/>
      <c r="R931" s="66"/>
      <c r="S931" s="66"/>
      <c r="T931" s="66"/>
      <c r="U931" s="8"/>
      <c r="V931" s="66"/>
      <c r="W931" s="66"/>
      <c r="X931" s="66"/>
      <c r="Y931" s="189"/>
      <c r="Z931" s="184"/>
      <c r="AA931" s="184"/>
      <c r="AB931" s="184"/>
      <c r="AC931" s="8"/>
      <c r="AD931" s="66"/>
      <c r="AE931" s="66"/>
      <c r="AF931" s="66"/>
      <c r="AG931" s="190"/>
      <c r="AH931" s="191"/>
      <c r="AI931" s="190"/>
      <c r="AJ931" s="190"/>
      <c r="AK931" s="66"/>
      <c r="AL931" s="66"/>
      <c r="AM931" s="66"/>
      <c r="AN931" s="66"/>
      <c r="AO931" s="66"/>
      <c r="AP931" s="66"/>
      <c r="AQ931" s="66"/>
      <c r="AR931" s="66"/>
      <c r="AS931" s="66"/>
      <c r="AT931" s="66"/>
    </row>
    <row r="932">
      <c r="A932" s="8"/>
      <c r="B932" s="66"/>
      <c r="C932" s="66"/>
      <c r="D932" s="66"/>
      <c r="E932" s="8"/>
      <c r="F932" s="66"/>
      <c r="G932" s="66"/>
      <c r="H932" s="66"/>
      <c r="I932" s="8"/>
      <c r="J932" s="66"/>
      <c r="K932" s="66"/>
      <c r="L932" s="66"/>
      <c r="M932" s="8"/>
      <c r="N932" s="66"/>
      <c r="O932" s="66"/>
      <c r="P932" s="66"/>
      <c r="Q932" s="8"/>
      <c r="R932" s="66"/>
      <c r="S932" s="66"/>
      <c r="T932" s="66"/>
      <c r="U932" s="8"/>
      <c r="V932" s="66"/>
      <c r="W932" s="66"/>
      <c r="X932" s="66"/>
      <c r="Y932" s="189"/>
      <c r="Z932" s="184"/>
      <c r="AA932" s="184"/>
      <c r="AB932" s="184"/>
      <c r="AC932" s="8"/>
      <c r="AD932" s="66"/>
      <c r="AE932" s="66"/>
      <c r="AF932" s="66"/>
      <c r="AG932" s="190"/>
      <c r="AH932" s="191"/>
      <c r="AI932" s="190"/>
      <c r="AJ932" s="190"/>
      <c r="AK932" s="66"/>
      <c r="AL932" s="66"/>
      <c r="AM932" s="66"/>
      <c r="AN932" s="66"/>
      <c r="AO932" s="66"/>
      <c r="AP932" s="66"/>
      <c r="AQ932" s="66"/>
      <c r="AR932" s="66"/>
      <c r="AS932" s="66"/>
      <c r="AT932" s="66"/>
    </row>
    <row r="933">
      <c r="A933" s="8"/>
      <c r="B933" s="66"/>
      <c r="C933" s="66"/>
      <c r="D933" s="66"/>
      <c r="E933" s="8"/>
      <c r="F933" s="66"/>
      <c r="G933" s="66"/>
      <c r="H933" s="66"/>
      <c r="I933" s="8"/>
      <c r="J933" s="66"/>
      <c r="K933" s="66"/>
      <c r="L933" s="66"/>
      <c r="M933" s="8"/>
      <c r="N933" s="66"/>
      <c r="O933" s="66"/>
      <c r="P933" s="66"/>
      <c r="Q933" s="8"/>
      <c r="R933" s="66"/>
      <c r="S933" s="66"/>
      <c r="T933" s="66"/>
      <c r="U933" s="8"/>
      <c r="V933" s="66"/>
      <c r="W933" s="66"/>
      <c r="X933" s="66"/>
      <c r="Y933" s="189"/>
      <c r="Z933" s="184"/>
      <c r="AA933" s="184"/>
      <c r="AB933" s="184"/>
      <c r="AC933" s="8"/>
      <c r="AD933" s="66"/>
      <c r="AE933" s="66"/>
      <c r="AF933" s="66"/>
      <c r="AG933" s="190"/>
      <c r="AH933" s="191"/>
      <c r="AI933" s="190"/>
      <c r="AJ933" s="190"/>
      <c r="AK933" s="66"/>
      <c r="AL933" s="66"/>
      <c r="AM933" s="66"/>
      <c r="AN933" s="66"/>
      <c r="AO933" s="66"/>
      <c r="AP933" s="66"/>
      <c r="AQ933" s="66"/>
      <c r="AR933" s="66"/>
      <c r="AS933" s="66"/>
      <c r="AT933" s="66"/>
    </row>
    <row r="934">
      <c r="A934" s="8"/>
      <c r="B934" s="66"/>
      <c r="C934" s="66"/>
      <c r="D934" s="66"/>
      <c r="E934" s="8"/>
      <c r="F934" s="66"/>
      <c r="G934" s="66"/>
      <c r="H934" s="66"/>
      <c r="I934" s="8"/>
      <c r="J934" s="66"/>
      <c r="K934" s="66"/>
      <c r="L934" s="66"/>
      <c r="M934" s="8"/>
      <c r="N934" s="66"/>
      <c r="O934" s="66"/>
      <c r="P934" s="66"/>
      <c r="Q934" s="8"/>
      <c r="R934" s="66"/>
      <c r="S934" s="66"/>
      <c r="T934" s="66"/>
      <c r="U934" s="8"/>
      <c r="V934" s="66"/>
      <c r="W934" s="66"/>
      <c r="X934" s="66"/>
      <c r="Y934" s="189"/>
      <c r="Z934" s="184"/>
      <c r="AA934" s="184"/>
      <c r="AB934" s="184"/>
      <c r="AC934" s="8"/>
      <c r="AD934" s="66"/>
      <c r="AE934" s="66"/>
      <c r="AF934" s="66"/>
      <c r="AG934" s="190"/>
      <c r="AH934" s="191"/>
      <c r="AI934" s="190"/>
      <c r="AJ934" s="190"/>
      <c r="AK934" s="66"/>
      <c r="AL934" s="66"/>
      <c r="AM934" s="66"/>
      <c r="AN934" s="66"/>
      <c r="AO934" s="66"/>
      <c r="AP934" s="66"/>
      <c r="AQ934" s="66"/>
      <c r="AR934" s="66"/>
      <c r="AS934" s="66"/>
      <c r="AT934" s="66"/>
    </row>
    <row r="935">
      <c r="A935" s="8"/>
      <c r="B935" s="66"/>
      <c r="C935" s="66"/>
      <c r="D935" s="66"/>
      <c r="E935" s="8"/>
      <c r="F935" s="66"/>
      <c r="G935" s="66"/>
      <c r="H935" s="66"/>
      <c r="I935" s="8"/>
      <c r="J935" s="66"/>
      <c r="K935" s="66"/>
      <c r="L935" s="66"/>
      <c r="M935" s="8"/>
      <c r="N935" s="66"/>
      <c r="O935" s="66"/>
      <c r="P935" s="66"/>
      <c r="Q935" s="8"/>
      <c r="R935" s="66"/>
      <c r="S935" s="66"/>
      <c r="T935" s="66"/>
      <c r="U935" s="8"/>
      <c r="V935" s="66"/>
      <c r="W935" s="66"/>
      <c r="X935" s="66"/>
      <c r="Y935" s="189"/>
      <c r="Z935" s="184"/>
      <c r="AA935" s="184"/>
      <c r="AB935" s="184"/>
      <c r="AC935" s="8"/>
      <c r="AD935" s="66"/>
      <c r="AE935" s="66"/>
      <c r="AF935" s="66"/>
      <c r="AG935" s="190"/>
      <c r="AH935" s="191"/>
      <c r="AI935" s="190"/>
      <c r="AJ935" s="190"/>
      <c r="AK935" s="66"/>
      <c r="AL935" s="66"/>
      <c r="AM935" s="66"/>
      <c r="AN935" s="66"/>
      <c r="AO935" s="66"/>
      <c r="AP935" s="66"/>
      <c r="AQ935" s="66"/>
      <c r="AR935" s="66"/>
      <c r="AS935" s="66"/>
      <c r="AT935" s="66"/>
    </row>
    <row r="936">
      <c r="A936" s="8"/>
      <c r="B936" s="66"/>
      <c r="C936" s="66"/>
      <c r="D936" s="66"/>
      <c r="E936" s="8"/>
      <c r="F936" s="66"/>
      <c r="G936" s="66"/>
      <c r="H936" s="66"/>
      <c r="I936" s="8"/>
      <c r="J936" s="66"/>
      <c r="K936" s="66"/>
      <c r="L936" s="66"/>
      <c r="M936" s="8"/>
      <c r="N936" s="66"/>
      <c r="O936" s="66"/>
      <c r="P936" s="66"/>
      <c r="Q936" s="8"/>
      <c r="R936" s="66"/>
      <c r="S936" s="66"/>
      <c r="T936" s="66"/>
      <c r="U936" s="8"/>
      <c r="V936" s="66"/>
      <c r="W936" s="66"/>
      <c r="X936" s="66"/>
      <c r="Y936" s="189"/>
      <c r="Z936" s="184"/>
      <c r="AA936" s="184"/>
      <c r="AB936" s="184"/>
      <c r="AC936" s="8"/>
      <c r="AD936" s="66"/>
      <c r="AE936" s="66"/>
      <c r="AF936" s="66"/>
      <c r="AG936" s="190"/>
      <c r="AH936" s="191"/>
      <c r="AI936" s="190"/>
      <c r="AJ936" s="190"/>
      <c r="AK936" s="66"/>
      <c r="AL936" s="66"/>
      <c r="AM936" s="66"/>
      <c r="AN936" s="66"/>
      <c r="AO936" s="66"/>
      <c r="AP936" s="66"/>
      <c r="AQ936" s="66"/>
      <c r="AR936" s="66"/>
      <c r="AS936" s="66"/>
      <c r="AT936" s="66"/>
    </row>
    <row r="937">
      <c r="A937" s="8"/>
      <c r="B937" s="66"/>
      <c r="C937" s="66"/>
      <c r="D937" s="66"/>
      <c r="E937" s="8"/>
      <c r="F937" s="66"/>
      <c r="G937" s="66"/>
      <c r="H937" s="66"/>
      <c r="I937" s="8"/>
      <c r="J937" s="66"/>
      <c r="K937" s="66"/>
      <c r="L937" s="66"/>
      <c r="M937" s="8"/>
      <c r="N937" s="66"/>
      <c r="O937" s="66"/>
      <c r="P937" s="66"/>
      <c r="Q937" s="8"/>
      <c r="R937" s="66"/>
      <c r="S937" s="66"/>
      <c r="T937" s="66"/>
      <c r="U937" s="8"/>
      <c r="V937" s="66"/>
      <c r="W937" s="66"/>
      <c r="X937" s="66"/>
      <c r="Y937" s="189"/>
      <c r="Z937" s="184"/>
      <c r="AA937" s="184"/>
      <c r="AB937" s="184"/>
      <c r="AC937" s="8"/>
      <c r="AD937" s="66"/>
      <c r="AE937" s="66"/>
      <c r="AF937" s="66"/>
      <c r="AG937" s="190"/>
      <c r="AH937" s="191"/>
      <c r="AI937" s="190"/>
      <c r="AJ937" s="190"/>
      <c r="AK937" s="66"/>
      <c r="AL937" s="66"/>
      <c r="AM937" s="66"/>
      <c r="AN937" s="66"/>
      <c r="AO937" s="66"/>
      <c r="AP937" s="66"/>
      <c r="AQ937" s="66"/>
      <c r="AR937" s="66"/>
      <c r="AS937" s="66"/>
      <c r="AT937" s="66"/>
    </row>
    <row r="938">
      <c r="A938" s="8"/>
      <c r="B938" s="66"/>
      <c r="C938" s="66"/>
      <c r="D938" s="66"/>
      <c r="E938" s="8"/>
      <c r="F938" s="66"/>
      <c r="G938" s="66"/>
      <c r="H938" s="66"/>
      <c r="I938" s="8"/>
      <c r="J938" s="66"/>
      <c r="K938" s="66"/>
      <c r="L938" s="66"/>
      <c r="M938" s="8"/>
      <c r="N938" s="66"/>
      <c r="O938" s="66"/>
      <c r="P938" s="66"/>
      <c r="Q938" s="8"/>
      <c r="R938" s="66"/>
      <c r="S938" s="66"/>
      <c r="T938" s="66"/>
      <c r="U938" s="8"/>
      <c r="V938" s="66"/>
      <c r="W938" s="66"/>
      <c r="X938" s="66"/>
      <c r="Y938" s="189"/>
      <c r="Z938" s="184"/>
      <c r="AA938" s="184"/>
      <c r="AB938" s="184"/>
      <c r="AC938" s="8"/>
      <c r="AD938" s="66"/>
      <c r="AE938" s="66"/>
      <c r="AF938" s="66"/>
      <c r="AG938" s="190"/>
      <c r="AH938" s="191"/>
      <c r="AI938" s="190"/>
      <c r="AJ938" s="190"/>
      <c r="AK938" s="66"/>
      <c r="AL938" s="66"/>
      <c r="AM938" s="66"/>
      <c r="AN938" s="66"/>
      <c r="AO938" s="66"/>
      <c r="AP938" s="66"/>
      <c r="AQ938" s="66"/>
      <c r="AR938" s="66"/>
      <c r="AS938" s="66"/>
      <c r="AT938" s="66"/>
    </row>
    <row r="939">
      <c r="A939" s="8"/>
      <c r="B939" s="66"/>
      <c r="C939" s="66"/>
      <c r="D939" s="66"/>
      <c r="E939" s="8"/>
      <c r="F939" s="66"/>
      <c r="G939" s="66"/>
      <c r="H939" s="66"/>
      <c r="I939" s="8"/>
      <c r="J939" s="66"/>
      <c r="K939" s="66"/>
      <c r="L939" s="66"/>
      <c r="M939" s="8"/>
      <c r="N939" s="66"/>
      <c r="O939" s="66"/>
      <c r="P939" s="66"/>
      <c r="Q939" s="8"/>
      <c r="R939" s="66"/>
      <c r="S939" s="66"/>
      <c r="T939" s="66"/>
      <c r="U939" s="8"/>
      <c r="V939" s="66"/>
      <c r="W939" s="66"/>
      <c r="X939" s="66"/>
      <c r="Y939" s="189"/>
      <c r="Z939" s="184"/>
      <c r="AA939" s="184"/>
      <c r="AB939" s="184"/>
      <c r="AC939" s="8"/>
      <c r="AD939" s="66"/>
      <c r="AE939" s="66"/>
      <c r="AF939" s="66"/>
      <c r="AG939" s="190"/>
      <c r="AH939" s="191"/>
      <c r="AI939" s="190"/>
      <c r="AJ939" s="190"/>
      <c r="AK939" s="66"/>
      <c r="AL939" s="66"/>
      <c r="AM939" s="66"/>
      <c r="AN939" s="66"/>
      <c r="AO939" s="66"/>
      <c r="AP939" s="66"/>
      <c r="AQ939" s="66"/>
      <c r="AR939" s="66"/>
      <c r="AS939" s="66"/>
      <c r="AT939" s="66"/>
    </row>
    <row r="940">
      <c r="A940" s="8"/>
      <c r="B940" s="66"/>
      <c r="C940" s="66"/>
      <c r="D940" s="66"/>
      <c r="E940" s="8"/>
      <c r="F940" s="66"/>
      <c r="G940" s="66"/>
      <c r="H940" s="66"/>
      <c r="I940" s="8"/>
      <c r="J940" s="66"/>
      <c r="K940" s="66"/>
      <c r="L940" s="66"/>
      <c r="M940" s="8"/>
      <c r="N940" s="66"/>
      <c r="O940" s="66"/>
      <c r="P940" s="66"/>
      <c r="Q940" s="8"/>
      <c r="R940" s="66"/>
      <c r="S940" s="66"/>
      <c r="T940" s="66"/>
      <c r="U940" s="8"/>
      <c r="V940" s="66"/>
      <c r="W940" s="66"/>
      <c r="X940" s="66"/>
      <c r="Y940" s="189"/>
      <c r="Z940" s="184"/>
      <c r="AA940" s="184"/>
      <c r="AB940" s="184"/>
      <c r="AC940" s="8"/>
      <c r="AD940" s="66"/>
      <c r="AE940" s="66"/>
      <c r="AF940" s="66"/>
      <c r="AG940" s="190"/>
      <c r="AH940" s="191"/>
      <c r="AI940" s="190"/>
      <c r="AJ940" s="190"/>
      <c r="AK940" s="66"/>
      <c r="AL940" s="66"/>
      <c r="AM940" s="66"/>
      <c r="AN940" s="66"/>
      <c r="AO940" s="66"/>
      <c r="AP940" s="66"/>
      <c r="AQ940" s="66"/>
      <c r="AR940" s="66"/>
      <c r="AS940" s="66"/>
      <c r="AT940" s="66"/>
    </row>
    <row r="941">
      <c r="A941" s="8"/>
      <c r="B941" s="66"/>
      <c r="C941" s="66"/>
      <c r="D941" s="66"/>
      <c r="E941" s="8"/>
      <c r="F941" s="66"/>
      <c r="G941" s="66"/>
      <c r="H941" s="66"/>
      <c r="I941" s="8"/>
      <c r="J941" s="66"/>
      <c r="K941" s="66"/>
      <c r="L941" s="66"/>
      <c r="M941" s="8"/>
      <c r="N941" s="66"/>
      <c r="O941" s="66"/>
      <c r="P941" s="66"/>
      <c r="Q941" s="8"/>
      <c r="R941" s="66"/>
      <c r="S941" s="66"/>
      <c r="T941" s="66"/>
      <c r="U941" s="8"/>
      <c r="V941" s="66"/>
      <c r="W941" s="66"/>
      <c r="X941" s="66"/>
      <c r="Y941" s="189"/>
      <c r="Z941" s="184"/>
      <c r="AA941" s="184"/>
      <c r="AB941" s="184"/>
      <c r="AC941" s="8"/>
      <c r="AD941" s="66"/>
      <c r="AE941" s="66"/>
      <c r="AF941" s="66"/>
      <c r="AG941" s="190"/>
      <c r="AH941" s="191"/>
      <c r="AI941" s="190"/>
      <c r="AJ941" s="190"/>
      <c r="AK941" s="66"/>
      <c r="AL941" s="66"/>
      <c r="AM941" s="66"/>
      <c r="AN941" s="66"/>
      <c r="AO941" s="66"/>
      <c r="AP941" s="66"/>
      <c r="AQ941" s="66"/>
      <c r="AR941" s="66"/>
      <c r="AS941" s="66"/>
      <c r="AT941" s="66"/>
    </row>
    <row r="942">
      <c r="A942" s="8"/>
      <c r="B942" s="66"/>
      <c r="C942" s="66"/>
      <c r="D942" s="66"/>
      <c r="E942" s="8"/>
      <c r="F942" s="66"/>
      <c r="G942" s="66"/>
      <c r="H942" s="66"/>
      <c r="I942" s="8"/>
      <c r="J942" s="66"/>
      <c r="K942" s="66"/>
      <c r="L942" s="66"/>
      <c r="M942" s="8"/>
      <c r="N942" s="66"/>
      <c r="O942" s="66"/>
      <c r="P942" s="66"/>
      <c r="Q942" s="8"/>
      <c r="R942" s="66"/>
      <c r="S942" s="66"/>
      <c r="T942" s="66"/>
      <c r="U942" s="8"/>
      <c r="V942" s="66"/>
      <c r="W942" s="66"/>
      <c r="X942" s="66"/>
      <c r="Y942" s="189"/>
      <c r="Z942" s="184"/>
      <c r="AA942" s="184"/>
      <c r="AB942" s="184"/>
      <c r="AC942" s="8"/>
      <c r="AD942" s="66"/>
      <c r="AE942" s="66"/>
      <c r="AF942" s="66"/>
      <c r="AG942" s="190"/>
      <c r="AH942" s="191"/>
      <c r="AI942" s="190"/>
      <c r="AJ942" s="190"/>
      <c r="AK942" s="66"/>
      <c r="AL942" s="66"/>
      <c r="AM942" s="66"/>
      <c r="AN942" s="66"/>
      <c r="AO942" s="66"/>
      <c r="AP942" s="66"/>
      <c r="AQ942" s="66"/>
      <c r="AR942" s="66"/>
      <c r="AS942" s="66"/>
      <c r="AT942" s="66"/>
    </row>
    <row r="943">
      <c r="A943" s="8"/>
      <c r="B943" s="66"/>
      <c r="C943" s="66"/>
      <c r="D943" s="66"/>
      <c r="E943" s="8"/>
      <c r="F943" s="66"/>
      <c r="G943" s="66"/>
      <c r="H943" s="66"/>
      <c r="I943" s="8"/>
      <c r="J943" s="66"/>
      <c r="K943" s="66"/>
      <c r="L943" s="66"/>
      <c r="M943" s="8"/>
      <c r="N943" s="66"/>
      <c r="O943" s="66"/>
      <c r="P943" s="66"/>
      <c r="Q943" s="8"/>
      <c r="R943" s="66"/>
      <c r="S943" s="66"/>
      <c r="T943" s="66"/>
      <c r="U943" s="8"/>
      <c r="V943" s="66"/>
      <c r="W943" s="66"/>
      <c r="X943" s="66"/>
      <c r="Y943" s="189"/>
      <c r="Z943" s="184"/>
      <c r="AA943" s="184"/>
      <c r="AB943" s="184"/>
      <c r="AC943" s="8"/>
      <c r="AD943" s="66"/>
      <c r="AE943" s="66"/>
      <c r="AF943" s="66"/>
      <c r="AG943" s="190"/>
      <c r="AH943" s="191"/>
      <c r="AI943" s="190"/>
      <c r="AJ943" s="190"/>
      <c r="AK943" s="66"/>
      <c r="AL943" s="66"/>
      <c r="AM943" s="66"/>
      <c r="AN943" s="66"/>
      <c r="AO943" s="66"/>
      <c r="AP943" s="66"/>
      <c r="AQ943" s="66"/>
      <c r="AR943" s="66"/>
      <c r="AS943" s="66"/>
      <c r="AT943" s="66"/>
    </row>
    <row r="944">
      <c r="A944" s="8"/>
      <c r="B944" s="66"/>
      <c r="C944" s="66"/>
      <c r="D944" s="66"/>
      <c r="E944" s="8"/>
      <c r="F944" s="66"/>
      <c r="G944" s="66"/>
      <c r="H944" s="66"/>
      <c r="I944" s="8"/>
      <c r="J944" s="66"/>
      <c r="K944" s="66"/>
      <c r="L944" s="66"/>
      <c r="M944" s="8"/>
      <c r="N944" s="66"/>
      <c r="O944" s="66"/>
      <c r="P944" s="66"/>
      <c r="Q944" s="8"/>
      <c r="R944" s="66"/>
      <c r="S944" s="66"/>
      <c r="T944" s="66"/>
      <c r="U944" s="8"/>
      <c r="V944" s="66"/>
      <c r="W944" s="66"/>
      <c r="X944" s="66"/>
      <c r="Y944" s="189"/>
      <c r="Z944" s="184"/>
      <c r="AA944" s="184"/>
      <c r="AB944" s="184"/>
      <c r="AC944" s="8"/>
      <c r="AD944" s="66"/>
      <c r="AE944" s="66"/>
      <c r="AF944" s="66"/>
      <c r="AG944" s="190"/>
      <c r="AH944" s="191"/>
      <c r="AI944" s="190"/>
      <c r="AJ944" s="190"/>
      <c r="AK944" s="66"/>
      <c r="AL944" s="66"/>
      <c r="AM944" s="66"/>
      <c r="AN944" s="66"/>
      <c r="AO944" s="66"/>
      <c r="AP944" s="66"/>
      <c r="AQ944" s="66"/>
      <c r="AR944" s="66"/>
      <c r="AS944" s="66"/>
      <c r="AT944" s="66"/>
    </row>
    <row r="945">
      <c r="A945" s="8"/>
      <c r="B945" s="66"/>
      <c r="C945" s="66"/>
      <c r="D945" s="66"/>
      <c r="E945" s="8"/>
      <c r="F945" s="66"/>
      <c r="G945" s="66"/>
      <c r="H945" s="66"/>
      <c r="I945" s="8"/>
      <c r="J945" s="66"/>
      <c r="K945" s="66"/>
      <c r="L945" s="66"/>
      <c r="M945" s="8"/>
      <c r="N945" s="66"/>
      <c r="O945" s="66"/>
      <c r="P945" s="66"/>
      <c r="Q945" s="8"/>
      <c r="R945" s="66"/>
      <c r="S945" s="66"/>
      <c r="T945" s="66"/>
      <c r="U945" s="8"/>
      <c r="V945" s="66"/>
      <c r="W945" s="66"/>
      <c r="X945" s="66"/>
      <c r="Y945" s="189"/>
      <c r="Z945" s="184"/>
      <c r="AA945" s="184"/>
      <c r="AB945" s="184"/>
      <c r="AC945" s="8"/>
      <c r="AD945" s="66"/>
      <c r="AE945" s="66"/>
      <c r="AF945" s="66"/>
      <c r="AG945" s="190"/>
      <c r="AH945" s="191"/>
      <c r="AI945" s="190"/>
      <c r="AJ945" s="190"/>
      <c r="AK945" s="66"/>
      <c r="AL945" s="66"/>
      <c r="AM945" s="66"/>
      <c r="AN945" s="66"/>
      <c r="AO945" s="66"/>
      <c r="AP945" s="66"/>
      <c r="AQ945" s="66"/>
      <c r="AR945" s="66"/>
      <c r="AS945" s="66"/>
      <c r="AT945" s="66"/>
    </row>
    <row r="946">
      <c r="A946" s="8"/>
      <c r="B946" s="66"/>
      <c r="C946" s="66"/>
      <c r="D946" s="66"/>
      <c r="E946" s="8"/>
      <c r="F946" s="66"/>
      <c r="G946" s="66"/>
      <c r="H946" s="66"/>
      <c r="I946" s="8"/>
      <c r="J946" s="66"/>
      <c r="K946" s="66"/>
      <c r="L946" s="66"/>
      <c r="M946" s="8"/>
      <c r="N946" s="66"/>
      <c r="O946" s="66"/>
      <c r="P946" s="66"/>
      <c r="Q946" s="8"/>
      <c r="R946" s="66"/>
      <c r="S946" s="66"/>
      <c r="T946" s="66"/>
      <c r="U946" s="8"/>
      <c r="V946" s="66"/>
      <c r="W946" s="66"/>
      <c r="X946" s="66"/>
      <c r="Y946" s="189"/>
      <c r="Z946" s="184"/>
      <c r="AA946" s="184"/>
      <c r="AB946" s="184"/>
      <c r="AC946" s="8"/>
      <c r="AD946" s="66"/>
      <c r="AE946" s="66"/>
      <c r="AF946" s="66"/>
      <c r="AG946" s="190"/>
      <c r="AH946" s="191"/>
      <c r="AI946" s="190"/>
      <c r="AJ946" s="190"/>
      <c r="AK946" s="66"/>
      <c r="AL946" s="66"/>
      <c r="AM946" s="66"/>
      <c r="AN946" s="66"/>
      <c r="AO946" s="66"/>
      <c r="AP946" s="66"/>
      <c r="AQ946" s="66"/>
      <c r="AR946" s="66"/>
      <c r="AS946" s="66"/>
      <c r="AT946" s="66"/>
    </row>
    <row r="947">
      <c r="A947" s="8"/>
      <c r="B947" s="66"/>
      <c r="C947" s="66"/>
      <c r="D947" s="66"/>
      <c r="E947" s="8"/>
      <c r="F947" s="66"/>
      <c r="G947" s="66"/>
      <c r="H947" s="66"/>
      <c r="I947" s="8"/>
      <c r="J947" s="66"/>
      <c r="K947" s="66"/>
      <c r="L947" s="66"/>
      <c r="M947" s="8"/>
      <c r="N947" s="66"/>
      <c r="O947" s="66"/>
      <c r="P947" s="66"/>
      <c r="Q947" s="8"/>
      <c r="R947" s="66"/>
      <c r="S947" s="66"/>
      <c r="T947" s="66"/>
      <c r="U947" s="8"/>
      <c r="V947" s="66"/>
      <c r="W947" s="66"/>
      <c r="X947" s="66"/>
      <c r="Y947" s="189"/>
      <c r="Z947" s="184"/>
      <c r="AA947" s="184"/>
      <c r="AB947" s="184"/>
      <c r="AC947" s="8"/>
      <c r="AD947" s="66"/>
      <c r="AE947" s="66"/>
      <c r="AF947" s="66"/>
      <c r="AG947" s="190"/>
      <c r="AH947" s="191"/>
      <c r="AI947" s="190"/>
      <c r="AJ947" s="190"/>
      <c r="AK947" s="66"/>
      <c r="AL947" s="66"/>
      <c r="AM947" s="66"/>
      <c r="AN947" s="66"/>
      <c r="AO947" s="66"/>
      <c r="AP947" s="66"/>
      <c r="AQ947" s="66"/>
      <c r="AR947" s="66"/>
      <c r="AS947" s="66"/>
      <c r="AT947" s="66"/>
    </row>
    <row r="948">
      <c r="A948" s="8"/>
      <c r="B948" s="66"/>
      <c r="C948" s="66"/>
      <c r="D948" s="66"/>
      <c r="E948" s="8"/>
      <c r="F948" s="66"/>
      <c r="G948" s="66"/>
      <c r="H948" s="66"/>
      <c r="I948" s="8"/>
      <c r="J948" s="66"/>
      <c r="K948" s="66"/>
      <c r="L948" s="66"/>
      <c r="M948" s="8"/>
      <c r="N948" s="66"/>
      <c r="O948" s="66"/>
      <c r="P948" s="66"/>
      <c r="Q948" s="8"/>
      <c r="R948" s="66"/>
      <c r="S948" s="66"/>
      <c r="T948" s="66"/>
      <c r="U948" s="8"/>
      <c r="V948" s="66"/>
      <c r="W948" s="66"/>
      <c r="X948" s="66"/>
      <c r="Y948" s="189"/>
      <c r="Z948" s="184"/>
      <c r="AA948" s="184"/>
      <c r="AB948" s="184"/>
      <c r="AC948" s="8"/>
      <c r="AD948" s="66"/>
      <c r="AE948" s="66"/>
      <c r="AF948" s="66"/>
      <c r="AG948" s="190"/>
      <c r="AH948" s="191"/>
      <c r="AI948" s="190"/>
      <c r="AJ948" s="190"/>
      <c r="AK948" s="66"/>
      <c r="AL948" s="66"/>
      <c r="AM948" s="66"/>
      <c r="AN948" s="66"/>
      <c r="AO948" s="66"/>
      <c r="AP948" s="66"/>
      <c r="AQ948" s="66"/>
      <c r="AR948" s="66"/>
      <c r="AS948" s="66"/>
      <c r="AT948" s="66"/>
    </row>
    <row r="949">
      <c r="A949" s="8"/>
      <c r="B949" s="66"/>
      <c r="C949" s="66"/>
      <c r="D949" s="66"/>
      <c r="E949" s="8"/>
      <c r="F949" s="66"/>
      <c r="G949" s="66"/>
      <c r="H949" s="66"/>
      <c r="I949" s="8"/>
      <c r="J949" s="66"/>
      <c r="K949" s="66"/>
      <c r="L949" s="66"/>
      <c r="M949" s="8"/>
      <c r="N949" s="66"/>
      <c r="O949" s="66"/>
      <c r="P949" s="66"/>
      <c r="Q949" s="8"/>
      <c r="R949" s="66"/>
      <c r="S949" s="66"/>
      <c r="T949" s="66"/>
      <c r="U949" s="8"/>
      <c r="V949" s="66"/>
      <c r="W949" s="66"/>
      <c r="X949" s="66"/>
      <c r="Y949" s="189"/>
      <c r="Z949" s="184"/>
      <c r="AA949" s="184"/>
      <c r="AB949" s="184"/>
      <c r="AC949" s="8"/>
      <c r="AD949" s="66"/>
      <c r="AE949" s="66"/>
      <c r="AF949" s="66"/>
      <c r="AG949" s="190"/>
      <c r="AH949" s="191"/>
      <c r="AI949" s="190"/>
      <c r="AJ949" s="190"/>
      <c r="AK949" s="66"/>
      <c r="AL949" s="66"/>
      <c r="AM949" s="66"/>
      <c r="AN949" s="66"/>
      <c r="AO949" s="66"/>
      <c r="AP949" s="66"/>
      <c r="AQ949" s="66"/>
      <c r="AR949" s="66"/>
      <c r="AS949" s="66"/>
      <c r="AT949" s="66"/>
    </row>
    <row r="950">
      <c r="A950" s="8"/>
      <c r="B950" s="66"/>
      <c r="C950" s="66"/>
      <c r="D950" s="66"/>
      <c r="E950" s="8"/>
      <c r="F950" s="66"/>
      <c r="G950" s="66"/>
      <c r="H950" s="66"/>
      <c r="I950" s="8"/>
      <c r="J950" s="66"/>
      <c r="K950" s="66"/>
      <c r="L950" s="66"/>
      <c r="M950" s="8"/>
      <c r="N950" s="66"/>
      <c r="O950" s="66"/>
      <c r="P950" s="66"/>
      <c r="Q950" s="8"/>
      <c r="R950" s="66"/>
      <c r="S950" s="66"/>
      <c r="T950" s="66"/>
      <c r="U950" s="8"/>
      <c r="V950" s="66"/>
      <c r="W950" s="66"/>
      <c r="X950" s="66"/>
      <c r="Y950" s="189"/>
      <c r="Z950" s="184"/>
      <c r="AA950" s="184"/>
      <c r="AB950" s="184"/>
      <c r="AC950" s="8"/>
      <c r="AD950" s="66"/>
      <c r="AE950" s="66"/>
      <c r="AF950" s="66"/>
      <c r="AG950" s="190"/>
      <c r="AH950" s="191"/>
      <c r="AI950" s="190"/>
      <c r="AJ950" s="190"/>
      <c r="AK950" s="66"/>
      <c r="AL950" s="66"/>
      <c r="AM950" s="66"/>
      <c r="AN950" s="66"/>
      <c r="AO950" s="66"/>
      <c r="AP950" s="66"/>
      <c r="AQ950" s="66"/>
      <c r="AR950" s="66"/>
      <c r="AS950" s="66"/>
      <c r="AT950" s="66"/>
    </row>
    <row r="951">
      <c r="A951" s="8"/>
      <c r="B951" s="66"/>
      <c r="C951" s="66"/>
      <c r="D951" s="66"/>
      <c r="E951" s="8"/>
      <c r="F951" s="66"/>
      <c r="G951" s="66"/>
      <c r="H951" s="66"/>
      <c r="I951" s="8"/>
      <c r="J951" s="66"/>
      <c r="K951" s="66"/>
      <c r="L951" s="66"/>
      <c r="M951" s="8"/>
      <c r="N951" s="66"/>
      <c r="O951" s="66"/>
      <c r="P951" s="66"/>
      <c r="Q951" s="8"/>
      <c r="R951" s="66"/>
      <c r="S951" s="66"/>
      <c r="T951" s="66"/>
      <c r="U951" s="8"/>
      <c r="V951" s="66"/>
      <c r="W951" s="66"/>
      <c r="X951" s="66"/>
      <c r="Y951" s="189"/>
      <c r="Z951" s="184"/>
      <c r="AA951" s="184"/>
      <c r="AB951" s="184"/>
      <c r="AC951" s="8"/>
      <c r="AD951" s="66"/>
      <c r="AE951" s="66"/>
      <c r="AF951" s="66"/>
      <c r="AG951" s="190"/>
      <c r="AH951" s="191"/>
      <c r="AI951" s="190"/>
      <c r="AJ951" s="190"/>
      <c r="AK951" s="66"/>
      <c r="AL951" s="66"/>
      <c r="AM951" s="66"/>
      <c r="AN951" s="66"/>
      <c r="AO951" s="66"/>
      <c r="AP951" s="66"/>
      <c r="AQ951" s="66"/>
      <c r="AR951" s="66"/>
      <c r="AS951" s="66"/>
      <c r="AT951" s="66"/>
    </row>
    <row r="952">
      <c r="A952" s="8"/>
      <c r="B952" s="66"/>
      <c r="C952" s="66"/>
      <c r="D952" s="66"/>
      <c r="E952" s="8"/>
      <c r="F952" s="66"/>
      <c r="G952" s="66"/>
      <c r="H952" s="66"/>
      <c r="I952" s="8"/>
      <c r="J952" s="66"/>
      <c r="K952" s="66"/>
      <c r="L952" s="66"/>
      <c r="M952" s="8"/>
      <c r="N952" s="66"/>
      <c r="O952" s="66"/>
      <c r="P952" s="66"/>
      <c r="Q952" s="8"/>
      <c r="R952" s="66"/>
      <c r="S952" s="66"/>
      <c r="T952" s="66"/>
      <c r="U952" s="8"/>
      <c r="V952" s="66"/>
      <c r="W952" s="66"/>
      <c r="X952" s="66"/>
      <c r="Y952" s="189"/>
      <c r="Z952" s="184"/>
      <c r="AA952" s="184"/>
      <c r="AB952" s="184"/>
      <c r="AC952" s="8"/>
      <c r="AD952" s="66"/>
      <c r="AE952" s="66"/>
      <c r="AF952" s="66"/>
      <c r="AG952" s="190"/>
      <c r="AH952" s="191"/>
      <c r="AI952" s="190"/>
      <c r="AJ952" s="190"/>
      <c r="AK952" s="66"/>
      <c r="AL952" s="66"/>
      <c r="AM952" s="66"/>
      <c r="AN952" s="66"/>
      <c r="AO952" s="66"/>
      <c r="AP952" s="66"/>
      <c r="AQ952" s="66"/>
      <c r="AR952" s="66"/>
      <c r="AS952" s="66"/>
      <c r="AT952" s="66"/>
    </row>
    <row r="953">
      <c r="A953" s="8"/>
      <c r="B953" s="66"/>
      <c r="C953" s="66"/>
      <c r="D953" s="66"/>
      <c r="E953" s="8"/>
      <c r="F953" s="66"/>
      <c r="G953" s="66"/>
      <c r="H953" s="66"/>
      <c r="I953" s="8"/>
      <c r="J953" s="66"/>
      <c r="K953" s="66"/>
      <c r="L953" s="66"/>
      <c r="M953" s="8"/>
      <c r="N953" s="66"/>
      <c r="O953" s="66"/>
      <c r="P953" s="66"/>
      <c r="Q953" s="8"/>
      <c r="R953" s="66"/>
      <c r="S953" s="66"/>
      <c r="T953" s="66"/>
      <c r="U953" s="8"/>
      <c r="V953" s="66"/>
      <c r="W953" s="66"/>
      <c r="X953" s="66"/>
      <c r="Y953" s="189"/>
      <c r="Z953" s="184"/>
      <c r="AA953" s="184"/>
      <c r="AB953" s="184"/>
      <c r="AC953" s="8"/>
      <c r="AD953" s="66"/>
      <c r="AE953" s="66"/>
      <c r="AF953" s="66"/>
      <c r="AG953" s="190"/>
      <c r="AH953" s="191"/>
      <c r="AI953" s="190"/>
      <c r="AJ953" s="190"/>
      <c r="AK953" s="66"/>
      <c r="AL953" s="66"/>
      <c r="AM953" s="66"/>
      <c r="AN953" s="66"/>
      <c r="AO953" s="66"/>
      <c r="AP953" s="66"/>
      <c r="AQ953" s="66"/>
      <c r="AR953" s="66"/>
      <c r="AS953" s="66"/>
      <c r="AT953" s="66"/>
    </row>
    <row r="954">
      <c r="A954" s="8"/>
      <c r="B954" s="66"/>
      <c r="C954" s="66"/>
      <c r="D954" s="66"/>
      <c r="E954" s="8"/>
      <c r="F954" s="66"/>
      <c r="G954" s="66"/>
      <c r="H954" s="66"/>
      <c r="I954" s="8"/>
      <c r="J954" s="66"/>
      <c r="K954" s="66"/>
      <c r="L954" s="66"/>
      <c r="M954" s="8"/>
      <c r="N954" s="66"/>
      <c r="O954" s="66"/>
      <c r="P954" s="66"/>
      <c r="Q954" s="8"/>
      <c r="R954" s="66"/>
      <c r="S954" s="66"/>
      <c r="T954" s="66"/>
      <c r="U954" s="8"/>
      <c r="V954" s="66"/>
      <c r="W954" s="66"/>
      <c r="X954" s="66"/>
      <c r="Y954" s="189"/>
      <c r="Z954" s="184"/>
      <c r="AA954" s="184"/>
      <c r="AB954" s="184"/>
      <c r="AC954" s="8"/>
      <c r="AD954" s="66"/>
      <c r="AE954" s="66"/>
      <c r="AF954" s="66"/>
      <c r="AG954" s="190"/>
      <c r="AH954" s="191"/>
      <c r="AI954" s="190"/>
      <c r="AJ954" s="190"/>
      <c r="AK954" s="66"/>
      <c r="AL954" s="66"/>
      <c r="AM954" s="66"/>
      <c r="AN954" s="66"/>
      <c r="AO954" s="66"/>
      <c r="AP954" s="66"/>
      <c r="AQ954" s="66"/>
      <c r="AR954" s="66"/>
      <c r="AS954" s="66"/>
      <c r="AT954" s="66"/>
    </row>
    <row r="955">
      <c r="A955" s="8"/>
      <c r="B955" s="66"/>
      <c r="C955" s="66"/>
      <c r="D955" s="66"/>
      <c r="E955" s="8"/>
      <c r="F955" s="66"/>
      <c r="G955" s="66"/>
      <c r="H955" s="66"/>
      <c r="I955" s="8"/>
      <c r="J955" s="66"/>
      <c r="K955" s="66"/>
      <c r="L955" s="66"/>
      <c r="M955" s="8"/>
      <c r="N955" s="66"/>
      <c r="O955" s="66"/>
      <c r="P955" s="66"/>
      <c r="Q955" s="8"/>
      <c r="R955" s="66"/>
      <c r="S955" s="66"/>
      <c r="T955" s="66"/>
      <c r="U955" s="8"/>
      <c r="V955" s="66"/>
      <c r="W955" s="66"/>
      <c r="X955" s="66"/>
      <c r="Y955" s="189"/>
      <c r="Z955" s="184"/>
      <c r="AA955" s="184"/>
      <c r="AB955" s="184"/>
      <c r="AC955" s="8"/>
      <c r="AD955" s="66"/>
      <c r="AE955" s="66"/>
      <c r="AF955" s="66"/>
      <c r="AG955" s="190"/>
      <c r="AH955" s="191"/>
      <c r="AI955" s="190"/>
      <c r="AJ955" s="190"/>
      <c r="AK955" s="66"/>
      <c r="AL955" s="66"/>
      <c r="AM955" s="66"/>
      <c r="AN955" s="66"/>
      <c r="AO955" s="66"/>
      <c r="AP955" s="66"/>
      <c r="AQ955" s="66"/>
      <c r="AR955" s="66"/>
      <c r="AS955" s="66"/>
      <c r="AT955" s="66"/>
    </row>
    <row r="956">
      <c r="A956" s="8"/>
      <c r="B956" s="66"/>
      <c r="C956" s="66"/>
      <c r="D956" s="66"/>
      <c r="E956" s="8"/>
      <c r="F956" s="66"/>
      <c r="G956" s="66"/>
      <c r="H956" s="66"/>
      <c r="I956" s="8"/>
      <c r="J956" s="66"/>
      <c r="K956" s="66"/>
      <c r="L956" s="66"/>
      <c r="M956" s="8"/>
      <c r="N956" s="66"/>
      <c r="O956" s="66"/>
      <c r="P956" s="66"/>
      <c r="Q956" s="8"/>
      <c r="R956" s="66"/>
      <c r="S956" s="66"/>
      <c r="T956" s="66"/>
      <c r="U956" s="8"/>
      <c r="V956" s="66"/>
      <c r="W956" s="66"/>
      <c r="X956" s="66"/>
      <c r="Y956" s="189"/>
      <c r="Z956" s="184"/>
      <c r="AA956" s="184"/>
      <c r="AB956" s="184"/>
      <c r="AC956" s="8"/>
      <c r="AD956" s="66"/>
      <c r="AE956" s="66"/>
      <c r="AF956" s="66"/>
      <c r="AG956" s="190"/>
      <c r="AH956" s="191"/>
      <c r="AI956" s="190"/>
      <c r="AJ956" s="190"/>
      <c r="AK956" s="66"/>
      <c r="AL956" s="66"/>
      <c r="AM956" s="66"/>
      <c r="AN956" s="66"/>
      <c r="AO956" s="66"/>
      <c r="AP956" s="66"/>
      <c r="AQ956" s="66"/>
      <c r="AR956" s="66"/>
      <c r="AS956" s="66"/>
      <c r="AT956" s="66"/>
    </row>
    <row r="957">
      <c r="A957" s="8"/>
      <c r="B957" s="66"/>
      <c r="C957" s="66"/>
      <c r="D957" s="66"/>
      <c r="E957" s="8"/>
      <c r="F957" s="66"/>
      <c r="G957" s="66"/>
      <c r="H957" s="66"/>
      <c r="I957" s="8"/>
      <c r="J957" s="66"/>
      <c r="K957" s="66"/>
      <c r="L957" s="66"/>
      <c r="M957" s="8"/>
      <c r="N957" s="66"/>
      <c r="O957" s="66"/>
      <c r="P957" s="66"/>
      <c r="Q957" s="8"/>
      <c r="R957" s="66"/>
      <c r="S957" s="66"/>
      <c r="T957" s="66"/>
      <c r="U957" s="8"/>
      <c r="V957" s="66"/>
      <c r="W957" s="66"/>
      <c r="X957" s="66"/>
      <c r="Y957" s="189"/>
      <c r="Z957" s="184"/>
      <c r="AA957" s="184"/>
      <c r="AB957" s="184"/>
      <c r="AC957" s="8"/>
      <c r="AD957" s="66"/>
      <c r="AE957" s="66"/>
      <c r="AF957" s="66"/>
      <c r="AG957" s="190"/>
      <c r="AH957" s="191"/>
      <c r="AI957" s="190"/>
      <c r="AJ957" s="190"/>
      <c r="AK957" s="66"/>
      <c r="AL957" s="66"/>
      <c r="AM957" s="66"/>
      <c r="AN957" s="66"/>
      <c r="AO957" s="66"/>
      <c r="AP957" s="66"/>
      <c r="AQ957" s="66"/>
      <c r="AR957" s="66"/>
      <c r="AS957" s="66"/>
      <c r="AT957" s="66"/>
    </row>
    <row r="958">
      <c r="A958" s="8"/>
      <c r="B958" s="66"/>
      <c r="C958" s="66"/>
      <c r="D958" s="66"/>
      <c r="E958" s="8"/>
      <c r="F958" s="66"/>
      <c r="G958" s="66"/>
      <c r="H958" s="66"/>
      <c r="I958" s="8"/>
      <c r="J958" s="66"/>
      <c r="K958" s="66"/>
      <c r="L958" s="66"/>
      <c r="M958" s="8"/>
      <c r="N958" s="66"/>
      <c r="O958" s="66"/>
      <c r="P958" s="66"/>
      <c r="Q958" s="8"/>
      <c r="R958" s="66"/>
      <c r="S958" s="66"/>
      <c r="T958" s="66"/>
      <c r="U958" s="8"/>
      <c r="V958" s="66"/>
      <c r="W958" s="66"/>
      <c r="X958" s="66"/>
      <c r="Y958" s="189"/>
      <c r="Z958" s="184"/>
      <c r="AA958" s="184"/>
      <c r="AB958" s="184"/>
      <c r="AC958" s="8"/>
      <c r="AD958" s="66"/>
      <c r="AE958" s="66"/>
      <c r="AF958" s="66"/>
      <c r="AG958" s="190"/>
      <c r="AH958" s="191"/>
      <c r="AI958" s="190"/>
      <c r="AJ958" s="190"/>
      <c r="AK958" s="66"/>
      <c r="AL958" s="66"/>
      <c r="AM958" s="66"/>
      <c r="AN958" s="66"/>
      <c r="AO958" s="66"/>
      <c r="AP958" s="66"/>
      <c r="AQ958" s="66"/>
      <c r="AR958" s="66"/>
      <c r="AS958" s="66"/>
      <c r="AT958" s="66"/>
    </row>
    <row r="959">
      <c r="A959" s="8"/>
      <c r="B959" s="66"/>
      <c r="C959" s="66"/>
      <c r="D959" s="66"/>
      <c r="E959" s="8"/>
      <c r="F959" s="66"/>
      <c r="G959" s="66"/>
      <c r="H959" s="66"/>
      <c r="I959" s="8"/>
      <c r="J959" s="66"/>
      <c r="K959" s="66"/>
      <c r="L959" s="66"/>
      <c r="M959" s="8"/>
      <c r="N959" s="66"/>
      <c r="O959" s="66"/>
      <c r="P959" s="66"/>
      <c r="Q959" s="8"/>
      <c r="R959" s="66"/>
      <c r="S959" s="66"/>
      <c r="T959" s="66"/>
      <c r="U959" s="8"/>
      <c r="V959" s="66"/>
      <c r="W959" s="66"/>
      <c r="X959" s="66"/>
      <c r="Y959" s="189"/>
      <c r="Z959" s="184"/>
      <c r="AA959" s="184"/>
      <c r="AB959" s="184"/>
      <c r="AC959" s="8"/>
      <c r="AD959" s="66"/>
      <c r="AE959" s="66"/>
      <c r="AF959" s="66"/>
      <c r="AG959" s="190"/>
      <c r="AH959" s="191"/>
      <c r="AI959" s="190"/>
      <c r="AJ959" s="190"/>
      <c r="AK959" s="66"/>
      <c r="AL959" s="66"/>
      <c r="AM959" s="66"/>
      <c r="AN959" s="66"/>
      <c r="AO959" s="66"/>
      <c r="AP959" s="66"/>
      <c r="AQ959" s="66"/>
      <c r="AR959" s="66"/>
      <c r="AS959" s="66"/>
      <c r="AT959" s="66"/>
    </row>
    <row r="960">
      <c r="A960" s="8"/>
      <c r="B960" s="66"/>
      <c r="C960" s="66"/>
      <c r="D960" s="66"/>
      <c r="E960" s="8"/>
      <c r="F960" s="66"/>
      <c r="G960" s="66"/>
      <c r="H960" s="66"/>
      <c r="I960" s="8"/>
      <c r="J960" s="66"/>
      <c r="K960" s="66"/>
      <c r="L960" s="66"/>
      <c r="M960" s="8"/>
      <c r="N960" s="66"/>
      <c r="O960" s="66"/>
      <c r="P960" s="66"/>
      <c r="Q960" s="8"/>
      <c r="R960" s="66"/>
      <c r="S960" s="66"/>
      <c r="T960" s="66"/>
      <c r="U960" s="8"/>
      <c r="V960" s="66"/>
      <c r="W960" s="66"/>
      <c r="X960" s="66"/>
      <c r="Y960" s="189"/>
      <c r="Z960" s="184"/>
      <c r="AA960" s="184"/>
      <c r="AB960" s="184"/>
      <c r="AC960" s="8"/>
      <c r="AD960" s="66"/>
      <c r="AE960" s="66"/>
      <c r="AF960" s="66"/>
      <c r="AG960" s="190"/>
      <c r="AH960" s="191"/>
      <c r="AI960" s="190"/>
      <c r="AJ960" s="190"/>
      <c r="AK960" s="66"/>
      <c r="AL960" s="66"/>
      <c r="AM960" s="66"/>
      <c r="AN960" s="66"/>
      <c r="AO960" s="66"/>
      <c r="AP960" s="66"/>
      <c r="AQ960" s="66"/>
      <c r="AR960" s="66"/>
      <c r="AS960" s="66"/>
      <c r="AT960" s="66"/>
    </row>
    <row r="961">
      <c r="A961" s="8"/>
      <c r="B961" s="66"/>
      <c r="C961" s="66"/>
      <c r="D961" s="66"/>
      <c r="E961" s="8"/>
      <c r="F961" s="66"/>
      <c r="G961" s="66"/>
      <c r="H961" s="66"/>
      <c r="I961" s="8"/>
      <c r="J961" s="66"/>
      <c r="K961" s="66"/>
      <c r="L961" s="66"/>
      <c r="M961" s="8"/>
      <c r="N961" s="66"/>
      <c r="O961" s="66"/>
      <c r="P961" s="66"/>
      <c r="Q961" s="8"/>
      <c r="R961" s="66"/>
      <c r="S961" s="66"/>
      <c r="T961" s="66"/>
      <c r="U961" s="8"/>
      <c r="V961" s="66"/>
      <c r="W961" s="66"/>
      <c r="X961" s="66"/>
      <c r="Y961" s="189"/>
      <c r="Z961" s="184"/>
      <c r="AA961" s="184"/>
      <c r="AB961" s="184"/>
      <c r="AC961" s="8"/>
      <c r="AD961" s="66"/>
      <c r="AE961" s="66"/>
      <c r="AF961" s="66"/>
      <c r="AG961" s="190"/>
      <c r="AH961" s="191"/>
      <c r="AI961" s="190"/>
      <c r="AJ961" s="190"/>
      <c r="AK961" s="66"/>
      <c r="AL961" s="66"/>
      <c r="AM961" s="66"/>
      <c r="AN961" s="66"/>
      <c r="AO961" s="66"/>
      <c r="AP961" s="66"/>
      <c r="AQ961" s="66"/>
      <c r="AR961" s="66"/>
      <c r="AS961" s="66"/>
      <c r="AT961" s="66"/>
    </row>
    <row r="962">
      <c r="A962" s="8"/>
      <c r="B962" s="66"/>
      <c r="C962" s="66"/>
      <c r="D962" s="66"/>
      <c r="E962" s="8"/>
      <c r="F962" s="66"/>
      <c r="G962" s="66"/>
      <c r="H962" s="66"/>
      <c r="I962" s="8"/>
      <c r="J962" s="66"/>
      <c r="K962" s="66"/>
      <c r="L962" s="66"/>
      <c r="M962" s="8"/>
      <c r="N962" s="66"/>
      <c r="O962" s="66"/>
      <c r="P962" s="66"/>
      <c r="Q962" s="8"/>
      <c r="R962" s="66"/>
      <c r="S962" s="66"/>
      <c r="T962" s="66"/>
      <c r="U962" s="8"/>
      <c r="V962" s="66"/>
      <c r="W962" s="66"/>
      <c r="X962" s="66"/>
      <c r="Y962" s="189"/>
      <c r="Z962" s="184"/>
      <c r="AA962" s="184"/>
      <c r="AB962" s="184"/>
      <c r="AC962" s="8"/>
      <c r="AD962" s="66"/>
      <c r="AE962" s="66"/>
      <c r="AF962" s="66"/>
      <c r="AG962" s="190"/>
      <c r="AH962" s="191"/>
      <c r="AI962" s="190"/>
      <c r="AJ962" s="190"/>
      <c r="AK962" s="66"/>
      <c r="AL962" s="66"/>
      <c r="AM962" s="66"/>
      <c r="AN962" s="66"/>
      <c r="AO962" s="66"/>
      <c r="AP962" s="66"/>
      <c r="AQ962" s="66"/>
      <c r="AR962" s="66"/>
      <c r="AS962" s="66"/>
      <c r="AT962" s="66"/>
    </row>
    <row r="963">
      <c r="A963" s="8"/>
      <c r="B963" s="66"/>
      <c r="C963" s="66"/>
      <c r="D963" s="66"/>
      <c r="E963" s="8"/>
      <c r="F963" s="66"/>
      <c r="G963" s="66"/>
      <c r="H963" s="66"/>
      <c r="I963" s="8"/>
      <c r="J963" s="66"/>
      <c r="K963" s="66"/>
      <c r="L963" s="66"/>
      <c r="M963" s="8"/>
      <c r="N963" s="66"/>
      <c r="O963" s="66"/>
      <c r="P963" s="66"/>
      <c r="Q963" s="8"/>
      <c r="R963" s="66"/>
      <c r="S963" s="66"/>
      <c r="T963" s="66"/>
      <c r="U963" s="8"/>
      <c r="V963" s="66"/>
      <c r="W963" s="66"/>
      <c r="X963" s="66"/>
      <c r="Y963" s="189"/>
      <c r="Z963" s="184"/>
      <c r="AA963" s="184"/>
      <c r="AB963" s="184"/>
      <c r="AC963" s="8"/>
      <c r="AD963" s="66"/>
      <c r="AE963" s="66"/>
      <c r="AF963" s="66"/>
      <c r="AG963" s="190"/>
      <c r="AH963" s="191"/>
      <c r="AI963" s="190"/>
      <c r="AJ963" s="190"/>
      <c r="AK963" s="66"/>
      <c r="AL963" s="66"/>
      <c r="AM963" s="66"/>
      <c r="AN963" s="66"/>
      <c r="AO963" s="66"/>
      <c r="AP963" s="66"/>
      <c r="AQ963" s="66"/>
      <c r="AR963" s="66"/>
      <c r="AS963" s="66"/>
      <c r="AT963" s="66"/>
    </row>
    <row r="964">
      <c r="A964" s="8"/>
      <c r="B964" s="66"/>
      <c r="C964" s="66"/>
      <c r="D964" s="66"/>
      <c r="E964" s="8"/>
      <c r="F964" s="66"/>
      <c r="G964" s="66"/>
      <c r="H964" s="66"/>
      <c r="I964" s="8"/>
      <c r="J964" s="66"/>
      <c r="K964" s="66"/>
      <c r="L964" s="66"/>
      <c r="M964" s="8"/>
      <c r="N964" s="66"/>
      <c r="O964" s="66"/>
      <c r="P964" s="66"/>
      <c r="Q964" s="8"/>
      <c r="R964" s="66"/>
      <c r="S964" s="66"/>
      <c r="T964" s="66"/>
      <c r="U964" s="8"/>
      <c r="V964" s="66"/>
      <c r="W964" s="66"/>
      <c r="X964" s="66"/>
      <c r="Y964" s="189"/>
      <c r="Z964" s="184"/>
      <c r="AA964" s="184"/>
      <c r="AB964" s="184"/>
      <c r="AC964" s="8"/>
      <c r="AD964" s="66"/>
      <c r="AE964" s="66"/>
      <c r="AF964" s="66"/>
      <c r="AG964" s="190"/>
      <c r="AH964" s="191"/>
      <c r="AI964" s="190"/>
      <c r="AJ964" s="190"/>
      <c r="AK964" s="66"/>
      <c r="AL964" s="66"/>
      <c r="AM964" s="66"/>
      <c r="AN964" s="66"/>
      <c r="AO964" s="66"/>
      <c r="AP964" s="66"/>
      <c r="AQ964" s="66"/>
      <c r="AR964" s="66"/>
      <c r="AS964" s="66"/>
      <c r="AT964" s="66"/>
    </row>
    <row r="965">
      <c r="A965" s="8"/>
      <c r="B965" s="66"/>
      <c r="C965" s="66"/>
      <c r="D965" s="66"/>
      <c r="E965" s="8"/>
      <c r="F965" s="66"/>
      <c r="G965" s="66"/>
      <c r="H965" s="66"/>
      <c r="I965" s="8"/>
      <c r="J965" s="66"/>
      <c r="K965" s="66"/>
      <c r="L965" s="66"/>
      <c r="M965" s="8"/>
      <c r="N965" s="66"/>
      <c r="O965" s="66"/>
      <c r="P965" s="66"/>
      <c r="Q965" s="8"/>
      <c r="R965" s="66"/>
      <c r="S965" s="66"/>
      <c r="T965" s="66"/>
      <c r="U965" s="8"/>
      <c r="V965" s="66"/>
      <c r="W965" s="66"/>
      <c r="X965" s="66"/>
      <c r="Y965" s="189"/>
      <c r="Z965" s="184"/>
      <c r="AA965" s="184"/>
      <c r="AB965" s="184"/>
      <c r="AC965" s="8"/>
      <c r="AD965" s="66"/>
      <c r="AE965" s="66"/>
      <c r="AF965" s="66"/>
      <c r="AG965" s="215"/>
      <c r="AH965" s="216"/>
      <c r="AI965" s="217"/>
      <c r="AJ965" s="188"/>
      <c r="AK965" s="218"/>
      <c r="AL965" s="219"/>
      <c r="AM965" s="220"/>
      <c r="AN965" s="75"/>
      <c r="AO965" s="221"/>
      <c r="AP965" s="125"/>
      <c r="AQ965" s="113"/>
      <c r="AR965" s="75"/>
      <c r="AS965" s="66"/>
      <c r="AT965" s="66"/>
    </row>
    <row r="966">
      <c r="A966" s="8"/>
      <c r="B966" s="66"/>
      <c r="C966" s="66"/>
      <c r="D966" s="66"/>
      <c r="E966" s="8"/>
      <c r="F966" s="66"/>
      <c r="G966" s="66"/>
      <c r="H966" s="66"/>
      <c r="I966" s="8"/>
      <c r="J966" s="66"/>
      <c r="K966" s="66"/>
      <c r="L966" s="66"/>
      <c r="M966" s="8"/>
      <c r="N966" s="66"/>
      <c r="O966" s="66"/>
      <c r="P966" s="66"/>
      <c r="Q966" s="8"/>
      <c r="R966" s="66"/>
      <c r="S966" s="66"/>
      <c r="T966" s="66"/>
      <c r="U966" s="8"/>
      <c r="V966" s="66"/>
      <c r="W966" s="66"/>
      <c r="X966" s="66"/>
      <c r="Y966" s="189"/>
      <c r="Z966" s="184"/>
      <c r="AA966" s="184"/>
      <c r="AB966" s="184"/>
      <c r="AC966" s="8"/>
      <c r="AD966" s="66"/>
      <c r="AE966" s="66"/>
      <c r="AF966" s="66"/>
      <c r="AG966" s="215"/>
      <c r="AH966" s="216"/>
      <c r="AI966" s="217"/>
      <c r="AJ966" s="188"/>
      <c r="AK966" s="218"/>
      <c r="AL966" s="219"/>
      <c r="AM966" s="220"/>
      <c r="AN966" s="75"/>
      <c r="AO966" s="221"/>
      <c r="AP966" s="125"/>
      <c r="AQ966" s="113"/>
      <c r="AR966" s="75"/>
      <c r="AS966" s="66"/>
      <c r="AT966" s="66"/>
    </row>
    <row r="967">
      <c r="A967" s="8"/>
      <c r="B967" s="66"/>
      <c r="C967" s="66"/>
      <c r="D967" s="66"/>
      <c r="E967" s="8"/>
      <c r="F967" s="66"/>
      <c r="G967" s="66"/>
      <c r="H967" s="66"/>
      <c r="I967" s="8"/>
      <c r="J967" s="66"/>
      <c r="K967" s="66"/>
      <c r="L967" s="66"/>
      <c r="M967" s="8"/>
      <c r="N967" s="66"/>
      <c r="O967" s="66"/>
      <c r="P967" s="66"/>
      <c r="Q967" s="8"/>
      <c r="R967" s="66"/>
      <c r="S967" s="66"/>
      <c r="T967" s="66"/>
      <c r="U967" s="8"/>
      <c r="V967" s="66"/>
      <c r="W967" s="66"/>
      <c r="X967" s="66"/>
      <c r="Y967" s="189"/>
      <c r="Z967" s="184"/>
      <c r="AA967" s="184"/>
      <c r="AB967" s="184"/>
      <c r="AC967" s="8"/>
      <c r="AD967" s="66"/>
      <c r="AE967" s="66"/>
      <c r="AF967" s="66"/>
      <c r="AG967" s="215"/>
      <c r="AH967" s="216"/>
      <c r="AI967" s="217"/>
      <c r="AJ967" s="188"/>
      <c r="AK967" s="218"/>
      <c r="AL967" s="219"/>
      <c r="AM967" s="220"/>
      <c r="AN967" s="75"/>
      <c r="AO967" s="221"/>
      <c r="AP967" s="125"/>
      <c r="AQ967" s="113"/>
      <c r="AR967" s="75"/>
      <c r="AS967" s="66"/>
      <c r="AT967" s="66"/>
    </row>
    <row r="968">
      <c r="A968" s="8"/>
      <c r="B968" s="66"/>
      <c r="C968" s="66"/>
      <c r="D968" s="66"/>
      <c r="E968" s="8"/>
      <c r="F968" s="66"/>
      <c r="G968" s="66"/>
      <c r="H968" s="66"/>
      <c r="I968" s="8"/>
      <c r="J968" s="66"/>
      <c r="K968" s="66"/>
      <c r="L968" s="66"/>
      <c r="M968" s="8"/>
      <c r="N968" s="66"/>
      <c r="O968" s="66"/>
      <c r="P968" s="66"/>
      <c r="Q968" s="8"/>
      <c r="R968" s="66"/>
      <c r="S968" s="66"/>
      <c r="T968" s="66"/>
      <c r="U968" s="8"/>
      <c r="V968" s="66"/>
      <c r="W968" s="66"/>
      <c r="X968" s="66"/>
      <c r="Y968" s="189"/>
      <c r="Z968" s="184"/>
      <c r="AA968" s="184"/>
      <c r="AB968" s="184"/>
      <c r="AC968" s="8"/>
      <c r="AD968" s="66"/>
      <c r="AE968" s="66"/>
      <c r="AF968" s="66"/>
      <c r="AG968" s="215"/>
      <c r="AH968" s="216"/>
      <c r="AI968" s="217"/>
      <c r="AJ968" s="188"/>
      <c r="AK968" s="218"/>
      <c r="AL968" s="219"/>
      <c r="AM968" s="220"/>
      <c r="AN968" s="75"/>
      <c r="AO968" s="221"/>
      <c r="AP968" s="125"/>
      <c r="AQ968" s="113"/>
      <c r="AR968" s="75"/>
      <c r="AS968" s="66"/>
      <c r="AT968" s="66"/>
    </row>
    <row r="969">
      <c r="A969" s="8"/>
      <c r="B969" s="66"/>
      <c r="C969" s="66"/>
      <c r="D969" s="66"/>
      <c r="E969" s="8"/>
      <c r="F969" s="66"/>
      <c r="G969" s="66"/>
      <c r="H969" s="66"/>
      <c r="I969" s="8"/>
      <c r="J969" s="66"/>
      <c r="K969" s="66"/>
      <c r="L969" s="66"/>
      <c r="M969" s="8"/>
      <c r="N969" s="66"/>
      <c r="O969" s="66"/>
      <c r="P969" s="66"/>
      <c r="Q969" s="8"/>
      <c r="R969" s="66"/>
      <c r="S969" s="66"/>
      <c r="T969" s="66"/>
      <c r="U969" s="8"/>
      <c r="V969" s="66"/>
      <c r="W969" s="66"/>
      <c r="X969" s="66"/>
      <c r="Y969" s="189"/>
      <c r="Z969" s="184"/>
      <c r="AA969" s="184"/>
      <c r="AB969" s="184"/>
      <c r="AC969" s="8"/>
      <c r="AD969" s="66"/>
      <c r="AE969" s="66"/>
      <c r="AF969" s="66"/>
      <c r="AG969" s="215"/>
      <c r="AH969" s="216"/>
      <c r="AI969" s="217"/>
      <c r="AJ969" s="188"/>
      <c r="AK969" s="218"/>
      <c r="AL969" s="219"/>
      <c r="AM969" s="220"/>
      <c r="AN969" s="75"/>
      <c r="AO969" s="221"/>
      <c r="AP969" s="125"/>
      <c r="AQ969" s="113"/>
      <c r="AR969" s="75"/>
      <c r="AS969" s="66"/>
      <c r="AT969" s="66"/>
    </row>
    <row r="970">
      <c r="A970" s="8"/>
      <c r="B970" s="66"/>
      <c r="C970" s="66"/>
      <c r="D970" s="66"/>
      <c r="E970" s="8"/>
      <c r="F970" s="66"/>
      <c r="G970" s="66"/>
      <c r="H970" s="66"/>
      <c r="I970" s="8"/>
      <c r="J970" s="66"/>
      <c r="K970" s="66"/>
      <c r="L970" s="66"/>
      <c r="M970" s="8"/>
      <c r="N970" s="66"/>
      <c r="O970" s="66"/>
      <c r="P970" s="66"/>
      <c r="Q970" s="8"/>
      <c r="R970" s="66"/>
      <c r="S970" s="66"/>
      <c r="T970" s="66"/>
      <c r="U970" s="8"/>
      <c r="V970" s="66"/>
      <c r="W970" s="66"/>
      <c r="X970" s="66"/>
      <c r="Y970" s="189"/>
      <c r="Z970" s="184"/>
      <c r="AA970" s="184"/>
      <c r="AB970" s="184"/>
      <c r="AC970" s="8"/>
      <c r="AD970" s="66"/>
      <c r="AE970" s="66"/>
      <c r="AF970" s="66"/>
      <c r="AG970" s="215"/>
      <c r="AH970" s="216"/>
      <c r="AI970" s="217"/>
      <c r="AJ970" s="188"/>
      <c r="AK970" s="218"/>
      <c r="AL970" s="219"/>
      <c r="AM970" s="220"/>
      <c r="AN970" s="75"/>
      <c r="AO970" s="221"/>
      <c r="AP970" s="125"/>
      <c r="AQ970" s="113"/>
      <c r="AR970" s="75"/>
      <c r="AS970" s="66"/>
      <c r="AT970" s="66"/>
    </row>
    <row r="971">
      <c r="A971" s="8"/>
      <c r="B971" s="66"/>
      <c r="C971" s="66"/>
      <c r="D971" s="66"/>
      <c r="E971" s="8"/>
      <c r="F971" s="66"/>
      <c r="G971" s="66"/>
      <c r="H971" s="66"/>
      <c r="I971" s="8"/>
      <c r="J971" s="66"/>
      <c r="K971" s="66"/>
      <c r="L971" s="66"/>
      <c r="M971" s="8"/>
      <c r="N971" s="66"/>
      <c r="O971" s="66"/>
      <c r="P971" s="66"/>
      <c r="Q971" s="8"/>
      <c r="R971" s="66"/>
      <c r="S971" s="66"/>
      <c r="T971" s="66"/>
      <c r="U971" s="8"/>
      <c r="V971" s="66"/>
      <c r="W971" s="66"/>
      <c r="X971" s="66"/>
      <c r="Y971" s="189"/>
      <c r="Z971" s="184"/>
      <c r="AA971" s="184"/>
      <c r="AB971" s="184"/>
      <c r="AC971" s="8"/>
      <c r="AD971" s="66"/>
      <c r="AE971" s="66"/>
      <c r="AF971" s="66"/>
      <c r="AG971" s="215"/>
      <c r="AH971" s="216"/>
      <c r="AI971" s="217"/>
      <c r="AJ971" s="188"/>
      <c r="AK971" s="218"/>
      <c r="AL971" s="219"/>
      <c r="AM971" s="220"/>
      <c r="AN971" s="75"/>
      <c r="AO971" s="221"/>
      <c r="AP971" s="125"/>
      <c r="AQ971" s="113"/>
      <c r="AR971" s="75"/>
      <c r="AS971" s="66"/>
      <c r="AT971" s="66"/>
    </row>
    <row r="972">
      <c r="A972" s="8"/>
      <c r="B972" s="66"/>
      <c r="C972" s="66"/>
      <c r="D972" s="66"/>
      <c r="E972" s="8"/>
      <c r="F972" s="66"/>
      <c r="G972" s="66"/>
      <c r="H972" s="66"/>
      <c r="I972" s="8"/>
      <c r="J972" s="66"/>
      <c r="K972" s="66"/>
      <c r="L972" s="66"/>
      <c r="M972" s="8"/>
      <c r="N972" s="66"/>
      <c r="O972" s="66"/>
      <c r="P972" s="66"/>
      <c r="Q972" s="8"/>
      <c r="R972" s="66"/>
      <c r="S972" s="66"/>
      <c r="T972" s="66"/>
      <c r="U972" s="8"/>
      <c r="V972" s="66"/>
      <c r="W972" s="66"/>
      <c r="X972" s="66"/>
      <c r="Y972" s="189"/>
      <c r="Z972" s="184"/>
      <c r="AA972" s="184"/>
      <c r="AB972" s="184"/>
      <c r="AC972" s="8"/>
      <c r="AD972" s="66"/>
      <c r="AE972" s="66"/>
      <c r="AF972" s="66"/>
      <c r="AG972" s="215"/>
      <c r="AH972" s="216"/>
      <c r="AI972" s="217"/>
      <c r="AJ972" s="188"/>
      <c r="AK972" s="218"/>
      <c r="AL972" s="219"/>
      <c r="AM972" s="220"/>
      <c r="AN972" s="75"/>
      <c r="AO972" s="221"/>
      <c r="AP972" s="125"/>
      <c r="AQ972" s="113"/>
      <c r="AR972" s="75"/>
      <c r="AS972" s="66"/>
      <c r="AT972" s="66"/>
    </row>
    <row r="973">
      <c r="A973" s="8"/>
      <c r="B973" s="66"/>
      <c r="C973" s="66"/>
      <c r="D973" s="66"/>
      <c r="E973" s="8"/>
      <c r="F973" s="66"/>
      <c r="G973" s="66"/>
      <c r="H973" s="66"/>
      <c r="I973" s="8"/>
      <c r="J973" s="66"/>
      <c r="K973" s="66"/>
      <c r="L973" s="66"/>
      <c r="M973" s="8"/>
      <c r="N973" s="66"/>
      <c r="O973" s="66"/>
      <c r="P973" s="66"/>
      <c r="Q973" s="8"/>
      <c r="R973" s="66"/>
      <c r="S973" s="66"/>
      <c r="T973" s="66"/>
      <c r="U973" s="8"/>
      <c r="V973" s="66"/>
      <c r="W973" s="66"/>
      <c r="X973" s="66"/>
      <c r="Y973" s="189"/>
      <c r="Z973" s="184"/>
      <c r="AA973" s="184"/>
      <c r="AB973" s="184"/>
      <c r="AC973" s="8"/>
      <c r="AD973" s="66"/>
      <c r="AE973" s="66"/>
      <c r="AF973" s="66"/>
      <c r="AG973" s="215"/>
      <c r="AH973" s="216"/>
      <c r="AI973" s="217"/>
      <c r="AJ973" s="188"/>
      <c r="AK973" s="218"/>
      <c r="AL973" s="219"/>
      <c r="AM973" s="220"/>
      <c r="AN973" s="75"/>
      <c r="AO973" s="221"/>
      <c r="AP973" s="125"/>
      <c r="AQ973" s="113"/>
      <c r="AR973" s="75"/>
      <c r="AS973" s="66"/>
      <c r="AT973" s="66"/>
    </row>
    <row r="974">
      <c r="A974" s="8"/>
      <c r="B974" s="66"/>
      <c r="C974" s="66"/>
      <c r="D974" s="66"/>
      <c r="E974" s="8"/>
      <c r="F974" s="66"/>
      <c r="G974" s="66"/>
      <c r="H974" s="66"/>
      <c r="I974" s="8"/>
      <c r="J974" s="66"/>
      <c r="K974" s="66"/>
      <c r="L974" s="66"/>
      <c r="M974" s="8"/>
      <c r="N974" s="66"/>
      <c r="O974" s="66"/>
      <c r="P974" s="66"/>
      <c r="Q974" s="8"/>
      <c r="R974" s="66"/>
      <c r="S974" s="66"/>
      <c r="T974" s="66"/>
      <c r="U974" s="8"/>
      <c r="V974" s="66"/>
      <c r="W974" s="66"/>
      <c r="X974" s="66"/>
      <c r="Y974" s="189"/>
      <c r="Z974" s="184"/>
      <c r="AA974" s="184"/>
      <c r="AB974" s="184"/>
      <c r="AC974" s="8"/>
      <c r="AD974" s="66"/>
      <c r="AE974" s="66"/>
      <c r="AF974" s="66"/>
      <c r="AG974" s="215"/>
      <c r="AH974" s="216"/>
      <c r="AI974" s="217"/>
      <c r="AJ974" s="188"/>
      <c r="AK974" s="218"/>
      <c r="AL974" s="219"/>
      <c r="AM974" s="220"/>
      <c r="AN974" s="75"/>
      <c r="AO974" s="221"/>
      <c r="AP974" s="125"/>
      <c r="AQ974" s="113"/>
      <c r="AR974" s="75"/>
      <c r="AS974" s="66"/>
      <c r="AT974" s="66"/>
    </row>
    <row r="975">
      <c r="A975" s="8"/>
      <c r="B975" s="66"/>
      <c r="C975" s="66"/>
      <c r="D975" s="66"/>
      <c r="E975" s="8"/>
      <c r="F975" s="66"/>
      <c r="G975" s="66"/>
      <c r="H975" s="66"/>
      <c r="I975" s="8"/>
      <c r="J975" s="66"/>
      <c r="K975" s="66"/>
      <c r="L975" s="66"/>
      <c r="M975" s="8"/>
      <c r="N975" s="66"/>
      <c r="O975" s="66"/>
      <c r="P975" s="66"/>
      <c r="Q975" s="8"/>
      <c r="R975" s="66"/>
      <c r="S975" s="66"/>
      <c r="T975" s="66"/>
      <c r="U975" s="8"/>
      <c r="V975" s="66"/>
      <c r="W975" s="66"/>
      <c r="X975" s="66"/>
      <c r="Y975" s="189"/>
      <c r="Z975" s="184"/>
      <c r="AA975" s="184"/>
      <c r="AB975" s="184"/>
      <c r="AC975" s="8"/>
      <c r="AD975" s="66"/>
      <c r="AE975" s="66"/>
      <c r="AF975" s="66"/>
      <c r="AG975" s="215"/>
      <c r="AH975" s="216"/>
      <c r="AI975" s="217"/>
      <c r="AJ975" s="188"/>
      <c r="AK975" s="218"/>
      <c r="AL975" s="219"/>
      <c r="AM975" s="220"/>
      <c r="AN975" s="75"/>
      <c r="AO975" s="221"/>
      <c r="AP975" s="125"/>
      <c r="AQ975" s="113"/>
      <c r="AR975" s="75"/>
      <c r="AS975" s="66"/>
      <c r="AT975" s="66"/>
    </row>
    <row r="976">
      <c r="A976" s="8"/>
      <c r="B976" s="66"/>
      <c r="C976" s="66"/>
      <c r="D976" s="66"/>
      <c r="E976" s="8"/>
      <c r="F976" s="66"/>
      <c r="G976" s="66"/>
      <c r="H976" s="66"/>
      <c r="I976" s="8"/>
      <c r="J976" s="66"/>
      <c r="K976" s="66"/>
      <c r="L976" s="66"/>
      <c r="M976" s="8"/>
      <c r="N976" s="66"/>
      <c r="O976" s="66"/>
      <c r="P976" s="66"/>
      <c r="Q976" s="8"/>
      <c r="R976" s="66"/>
      <c r="S976" s="66"/>
      <c r="T976" s="66"/>
      <c r="U976" s="8"/>
      <c r="V976" s="66"/>
      <c r="W976" s="66"/>
      <c r="X976" s="66"/>
      <c r="Y976" s="189"/>
      <c r="Z976" s="184"/>
      <c r="AA976" s="184"/>
      <c r="AB976" s="184"/>
      <c r="AC976" s="8"/>
      <c r="AD976" s="66"/>
      <c r="AE976" s="66"/>
      <c r="AF976" s="66"/>
      <c r="AG976" s="215"/>
      <c r="AH976" s="216"/>
      <c r="AI976" s="217"/>
      <c r="AJ976" s="188"/>
      <c r="AK976" s="218"/>
      <c r="AL976" s="219"/>
      <c r="AM976" s="220"/>
      <c r="AN976" s="75"/>
      <c r="AO976" s="221"/>
      <c r="AP976" s="125"/>
      <c r="AQ976" s="113"/>
      <c r="AR976" s="75"/>
      <c r="AS976" s="66"/>
      <c r="AT976" s="66"/>
    </row>
    <row r="977">
      <c r="A977" s="8"/>
      <c r="B977" s="66"/>
      <c r="C977" s="66"/>
      <c r="D977" s="66"/>
      <c r="E977" s="8"/>
      <c r="F977" s="66"/>
      <c r="G977" s="66"/>
      <c r="H977" s="66"/>
      <c r="I977" s="8"/>
      <c r="J977" s="66"/>
      <c r="K977" s="66"/>
      <c r="L977" s="66"/>
      <c r="M977" s="8"/>
      <c r="N977" s="66"/>
      <c r="O977" s="66"/>
      <c r="P977" s="66"/>
      <c r="Q977" s="8"/>
      <c r="R977" s="66"/>
      <c r="S977" s="66"/>
      <c r="T977" s="66"/>
      <c r="U977" s="8"/>
      <c r="V977" s="66"/>
      <c r="W977" s="66"/>
      <c r="X977" s="66"/>
      <c r="Y977" s="189"/>
      <c r="Z977" s="184"/>
      <c r="AA977" s="184"/>
      <c r="AB977" s="184"/>
      <c r="AC977" s="8"/>
      <c r="AD977" s="66"/>
      <c r="AE977" s="66"/>
      <c r="AF977" s="66"/>
      <c r="AG977" s="215"/>
      <c r="AH977" s="216"/>
      <c r="AI977" s="217"/>
      <c r="AJ977" s="188"/>
      <c r="AK977" s="218"/>
      <c r="AL977" s="219"/>
      <c r="AM977" s="220"/>
      <c r="AN977" s="75"/>
      <c r="AO977" s="221"/>
      <c r="AP977" s="125"/>
      <c r="AQ977" s="113"/>
      <c r="AR977" s="75"/>
      <c r="AS977" s="66"/>
      <c r="AT977" s="66"/>
    </row>
    <row r="978">
      <c r="A978" s="8"/>
      <c r="B978" s="66"/>
      <c r="C978" s="66"/>
      <c r="D978" s="66"/>
      <c r="E978" s="8"/>
      <c r="F978" s="66"/>
      <c r="G978" s="66"/>
      <c r="H978" s="66"/>
      <c r="I978" s="8"/>
      <c r="J978" s="66"/>
      <c r="K978" s="66"/>
      <c r="L978" s="66"/>
      <c r="M978" s="8"/>
      <c r="N978" s="66"/>
      <c r="O978" s="66"/>
      <c r="P978" s="66"/>
      <c r="Q978" s="8"/>
      <c r="R978" s="66"/>
      <c r="S978" s="66"/>
      <c r="T978" s="66"/>
      <c r="U978" s="8"/>
      <c r="V978" s="66"/>
      <c r="W978" s="66"/>
      <c r="X978" s="66"/>
      <c r="Y978" s="189"/>
      <c r="Z978" s="184"/>
      <c r="AA978" s="184"/>
      <c r="AB978" s="184"/>
      <c r="AC978" s="8"/>
      <c r="AD978" s="66"/>
      <c r="AE978" s="66"/>
      <c r="AF978" s="66"/>
      <c r="AG978" s="215"/>
      <c r="AH978" s="216"/>
      <c r="AI978" s="217"/>
      <c r="AJ978" s="188"/>
      <c r="AK978" s="218"/>
      <c r="AL978" s="219"/>
      <c r="AM978" s="220"/>
      <c r="AN978" s="75"/>
      <c r="AO978" s="221"/>
      <c r="AP978" s="125"/>
      <c r="AQ978" s="113"/>
      <c r="AR978" s="75"/>
      <c r="AS978" s="66"/>
      <c r="AT978" s="66"/>
    </row>
    <row r="979">
      <c r="A979" s="8"/>
      <c r="B979" s="66"/>
      <c r="C979" s="66"/>
      <c r="D979" s="66"/>
      <c r="E979" s="8"/>
      <c r="F979" s="66"/>
      <c r="G979" s="66"/>
      <c r="H979" s="66"/>
      <c r="I979" s="8"/>
      <c r="J979" s="66"/>
      <c r="K979" s="66"/>
      <c r="L979" s="66"/>
      <c r="M979" s="8"/>
      <c r="N979" s="66"/>
      <c r="O979" s="66"/>
      <c r="P979" s="66"/>
      <c r="Q979" s="8"/>
      <c r="R979" s="66"/>
      <c r="S979" s="66"/>
      <c r="T979" s="66"/>
      <c r="U979" s="8"/>
      <c r="V979" s="66"/>
      <c r="W979" s="66"/>
      <c r="X979" s="66"/>
      <c r="Y979" s="189"/>
      <c r="Z979" s="184"/>
      <c r="AA979" s="184"/>
      <c r="AB979" s="184"/>
      <c r="AC979" s="8"/>
      <c r="AD979" s="66"/>
      <c r="AE979" s="66"/>
      <c r="AF979" s="66"/>
      <c r="AG979" s="215"/>
      <c r="AH979" s="216"/>
      <c r="AI979" s="217"/>
      <c r="AJ979" s="188"/>
      <c r="AK979" s="218"/>
      <c r="AL979" s="219"/>
      <c r="AM979" s="220"/>
      <c r="AN979" s="75"/>
      <c r="AO979" s="221"/>
      <c r="AP979" s="125"/>
      <c r="AQ979" s="113"/>
      <c r="AR979" s="75"/>
      <c r="AS979" s="66"/>
      <c r="AT979" s="66"/>
    </row>
    <row r="980">
      <c r="A980" s="8"/>
      <c r="B980" s="66"/>
      <c r="C980" s="66"/>
      <c r="D980" s="66"/>
      <c r="E980" s="8"/>
      <c r="F980" s="66"/>
      <c r="G980" s="66"/>
      <c r="H980" s="66"/>
      <c r="I980" s="8"/>
      <c r="J980" s="66"/>
      <c r="K980" s="66"/>
      <c r="L980" s="66"/>
      <c r="M980" s="8"/>
      <c r="N980" s="66"/>
      <c r="O980" s="66"/>
      <c r="P980" s="66"/>
      <c r="Q980" s="8"/>
      <c r="R980" s="66"/>
      <c r="S980" s="66"/>
      <c r="T980" s="66"/>
      <c r="U980" s="8"/>
      <c r="V980" s="66"/>
      <c r="W980" s="66"/>
      <c r="X980" s="66"/>
      <c r="Y980" s="189"/>
      <c r="Z980" s="184"/>
      <c r="AA980" s="184"/>
      <c r="AB980" s="184"/>
      <c r="AC980" s="8"/>
      <c r="AD980" s="66"/>
      <c r="AE980" s="66"/>
      <c r="AF980" s="66"/>
      <c r="AG980" s="215"/>
      <c r="AH980" s="216"/>
      <c r="AI980" s="217"/>
      <c r="AJ980" s="188"/>
      <c r="AK980" s="218"/>
      <c r="AL980" s="219"/>
      <c r="AM980" s="220"/>
      <c r="AN980" s="75"/>
      <c r="AO980" s="221"/>
      <c r="AP980" s="125"/>
      <c r="AQ980" s="113"/>
      <c r="AR980" s="75"/>
      <c r="AS980" s="66"/>
      <c r="AT980" s="66"/>
    </row>
    <row r="981">
      <c r="A981" s="8"/>
      <c r="B981" s="66"/>
      <c r="C981" s="66"/>
      <c r="D981" s="66"/>
      <c r="E981" s="8"/>
      <c r="F981" s="66"/>
      <c r="G981" s="66"/>
      <c r="H981" s="66"/>
      <c r="I981" s="8"/>
      <c r="J981" s="66"/>
      <c r="K981" s="66"/>
      <c r="L981" s="66"/>
      <c r="M981" s="8"/>
      <c r="N981" s="66"/>
      <c r="O981" s="66"/>
      <c r="P981" s="66"/>
      <c r="Q981" s="8"/>
      <c r="R981" s="66"/>
      <c r="S981" s="66"/>
      <c r="T981" s="66"/>
      <c r="U981" s="8"/>
      <c r="V981" s="66"/>
      <c r="W981" s="66"/>
      <c r="X981" s="66"/>
      <c r="Y981" s="189"/>
      <c r="Z981" s="184"/>
      <c r="AA981" s="184"/>
      <c r="AB981" s="184"/>
      <c r="AC981" s="8"/>
      <c r="AD981" s="66"/>
      <c r="AE981" s="66"/>
      <c r="AF981" s="66"/>
      <c r="AG981" s="215"/>
      <c r="AH981" s="216"/>
      <c r="AI981" s="217"/>
      <c r="AJ981" s="188"/>
      <c r="AK981" s="218"/>
      <c r="AL981" s="219"/>
      <c r="AM981" s="220"/>
      <c r="AN981" s="75"/>
      <c r="AO981" s="221"/>
      <c r="AP981" s="125"/>
      <c r="AQ981" s="113"/>
      <c r="AR981" s="75"/>
      <c r="AS981" s="66"/>
      <c r="AT981" s="66"/>
    </row>
    <row r="982">
      <c r="A982" s="8"/>
      <c r="B982" s="66"/>
      <c r="C982" s="66"/>
      <c r="D982" s="66"/>
      <c r="E982" s="8"/>
      <c r="F982" s="66"/>
      <c r="G982" s="66"/>
      <c r="H982" s="66"/>
      <c r="I982" s="8"/>
      <c r="J982" s="66"/>
      <c r="K982" s="66"/>
      <c r="L982" s="66"/>
      <c r="M982" s="8"/>
      <c r="N982" s="66"/>
      <c r="O982" s="66"/>
      <c r="P982" s="66"/>
      <c r="Q982" s="8"/>
      <c r="R982" s="66"/>
      <c r="S982" s="66"/>
      <c r="T982" s="66"/>
      <c r="U982" s="8"/>
      <c r="V982" s="66"/>
      <c r="W982" s="66"/>
      <c r="X982" s="66"/>
      <c r="Y982" s="189"/>
      <c r="Z982" s="184"/>
      <c r="AA982" s="184"/>
      <c r="AB982" s="184"/>
      <c r="AC982" s="8"/>
      <c r="AD982" s="66"/>
      <c r="AE982" s="66"/>
      <c r="AF982" s="66"/>
      <c r="AG982" s="215"/>
      <c r="AH982" s="216"/>
      <c r="AI982" s="217"/>
      <c r="AJ982" s="188"/>
      <c r="AK982" s="218"/>
      <c r="AL982" s="219"/>
      <c r="AM982" s="220"/>
      <c r="AN982" s="75"/>
      <c r="AO982" s="221"/>
      <c r="AP982" s="125"/>
      <c r="AQ982" s="113"/>
      <c r="AR982" s="75"/>
      <c r="AS982" s="66"/>
      <c r="AT982" s="66"/>
    </row>
    <row r="983">
      <c r="A983" s="8"/>
      <c r="B983" s="66"/>
      <c r="C983" s="66"/>
      <c r="D983" s="66"/>
      <c r="E983" s="8"/>
      <c r="F983" s="66"/>
      <c r="G983" s="66"/>
      <c r="H983" s="66"/>
      <c r="I983" s="8"/>
      <c r="J983" s="66"/>
      <c r="K983" s="66"/>
      <c r="L983" s="66"/>
      <c r="M983" s="8"/>
      <c r="N983" s="66"/>
      <c r="O983" s="66"/>
      <c r="P983" s="66"/>
      <c r="Q983" s="8"/>
      <c r="R983" s="66"/>
      <c r="S983" s="66"/>
      <c r="T983" s="66"/>
      <c r="U983" s="8"/>
      <c r="V983" s="66"/>
      <c r="W983" s="66"/>
      <c r="X983" s="66"/>
      <c r="Y983" s="189"/>
      <c r="Z983" s="184"/>
      <c r="AA983" s="184"/>
      <c r="AB983" s="184"/>
      <c r="AC983" s="8"/>
      <c r="AD983" s="66"/>
      <c r="AE983" s="66"/>
      <c r="AF983" s="66"/>
      <c r="AG983" s="215"/>
      <c r="AH983" s="216"/>
      <c r="AI983" s="217"/>
      <c r="AJ983" s="188"/>
      <c r="AK983" s="218"/>
      <c r="AL983" s="219"/>
      <c r="AM983" s="220"/>
      <c r="AN983" s="75"/>
      <c r="AO983" s="221"/>
      <c r="AP983" s="125"/>
      <c r="AQ983" s="113"/>
      <c r="AR983" s="75"/>
      <c r="AS983" s="66"/>
      <c r="AT983" s="66"/>
    </row>
    <row r="984">
      <c r="A984" s="8"/>
      <c r="B984" s="66"/>
      <c r="C984" s="66"/>
      <c r="D984" s="66"/>
      <c r="E984" s="8"/>
      <c r="F984" s="66"/>
      <c r="G984" s="66"/>
      <c r="H984" s="66"/>
      <c r="I984" s="8"/>
      <c r="J984" s="66"/>
      <c r="K984" s="66"/>
      <c r="L984" s="66"/>
      <c r="M984" s="8"/>
      <c r="N984" s="66"/>
      <c r="O984" s="66"/>
      <c r="P984" s="66"/>
      <c r="Q984" s="8"/>
      <c r="R984" s="66"/>
      <c r="S984" s="66"/>
      <c r="T984" s="66"/>
      <c r="U984" s="8"/>
      <c r="V984" s="66"/>
      <c r="W984" s="66"/>
      <c r="X984" s="66"/>
      <c r="Y984" s="189"/>
      <c r="Z984" s="184"/>
      <c r="AA984" s="184"/>
      <c r="AB984" s="184"/>
      <c r="AC984" s="8"/>
      <c r="AD984" s="66"/>
      <c r="AE984" s="66"/>
      <c r="AF984" s="66"/>
      <c r="AG984" s="215"/>
      <c r="AH984" s="216"/>
      <c r="AI984" s="217"/>
      <c r="AJ984" s="188"/>
      <c r="AK984" s="218"/>
      <c r="AL984" s="219"/>
      <c r="AM984" s="220"/>
      <c r="AN984" s="75"/>
      <c r="AO984" s="221"/>
      <c r="AP984" s="125"/>
      <c r="AQ984" s="113"/>
      <c r="AR984" s="75"/>
      <c r="AS984" s="66"/>
      <c r="AT984" s="66"/>
    </row>
    <row r="985">
      <c r="A985" s="8"/>
      <c r="B985" s="66"/>
      <c r="C985" s="66"/>
      <c r="D985" s="66"/>
      <c r="E985" s="8"/>
      <c r="F985" s="66"/>
      <c r="G985" s="66"/>
      <c r="H985" s="66"/>
      <c r="I985" s="8"/>
      <c r="J985" s="66"/>
      <c r="K985" s="66"/>
      <c r="L985" s="66"/>
      <c r="M985" s="8"/>
      <c r="N985" s="66"/>
      <c r="O985" s="66"/>
      <c r="P985" s="66"/>
      <c r="Q985" s="8"/>
      <c r="R985" s="66"/>
      <c r="S985" s="66"/>
      <c r="T985" s="66"/>
      <c r="U985" s="8"/>
      <c r="V985" s="66"/>
      <c r="W985" s="66"/>
      <c r="X985" s="66"/>
      <c r="Y985" s="189"/>
      <c r="Z985" s="184"/>
      <c r="AA985" s="184"/>
      <c r="AB985" s="184"/>
      <c r="AC985" s="8"/>
      <c r="AD985" s="66"/>
      <c r="AE985" s="66"/>
      <c r="AF985" s="66"/>
      <c r="AG985" s="215"/>
      <c r="AH985" s="216"/>
      <c r="AI985" s="217"/>
      <c r="AJ985" s="188"/>
      <c r="AK985" s="218"/>
      <c r="AL985" s="219"/>
      <c r="AM985" s="220"/>
      <c r="AN985" s="75"/>
      <c r="AO985" s="221"/>
      <c r="AP985" s="125"/>
      <c r="AQ985" s="113"/>
      <c r="AR985" s="75"/>
      <c r="AS985" s="66"/>
      <c r="AT985" s="66"/>
    </row>
    <row r="986">
      <c r="A986" s="8"/>
      <c r="B986" s="66"/>
      <c r="C986" s="66"/>
      <c r="D986" s="66"/>
      <c r="E986" s="8"/>
      <c r="F986" s="66"/>
      <c r="G986" s="66"/>
      <c r="H986" s="66"/>
      <c r="I986" s="8"/>
      <c r="J986" s="66"/>
      <c r="K986" s="66"/>
      <c r="L986" s="66"/>
      <c r="M986" s="8"/>
      <c r="N986" s="66"/>
      <c r="O986" s="66"/>
      <c r="P986" s="66"/>
      <c r="Q986" s="8"/>
      <c r="R986" s="66"/>
      <c r="S986" s="66"/>
      <c r="T986" s="66"/>
      <c r="U986" s="8"/>
      <c r="V986" s="66"/>
      <c r="W986" s="66"/>
      <c r="X986" s="66"/>
      <c r="Y986" s="189"/>
      <c r="Z986" s="184"/>
      <c r="AA986" s="184"/>
      <c r="AB986" s="184"/>
      <c r="AC986" s="8"/>
      <c r="AD986" s="66"/>
      <c r="AE986" s="66"/>
      <c r="AF986" s="66"/>
      <c r="AG986" s="215"/>
      <c r="AH986" s="216"/>
      <c r="AI986" s="217"/>
      <c r="AJ986" s="188"/>
      <c r="AK986" s="218"/>
      <c r="AL986" s="219"/>
      <c r="AM986" s="220"/>
      <c r="AN986" s="75"/>
      <c r="AO986" s="221"/>
      <c r="AP986" s="125"/>
      <c r="AQ986" s="113"/>
      <c r="AR986" s="75"/>
      <c r="AS986" s="66"/>
      <c r="AT986" s="66"/>
    </row>
    <row r="987">
      <c r="A987" s="8"/>
      <c r="B987" s="66"/>
      <c r="C987" s="66"/>
      <c r="D987" s="66"/>
      <c r="E987" s="8"/>
      <c r="F987" s="66"/>
      <c r="G987" s="66"/>
      <c r="H987" s="66"/>
      <c r="I987" s="8"/>
      <c r="J987" s="66"/>
      <c r="K987" s="66"/>
      <c r="L987" s="66"/>
      <c r="M987" s="8"/>
      <c r="N987" s="66"/>
      <c r="O987" s="66"/>
      <c r="P987" s="66"/>
      <c r="Q987" s="8"/>
      <c r="R987" s="66"/>
      <c r="S987" s="66"/>
      <c r="T987" s="66"/>
      <c r="U987" s="8"/>
      <c r="V987" s="66"/>
      <c r="W987" s="66"/>
      <c r="X987" s="66"/>
      <c r="Y987" s="189"/>
      <c r="Z987" s="184"/>
      <c r="AA987" s="184"/>
      <c r="AB987" s="184"/>
      <c r="AC987" s="8"/>
      <c r="AD987" s="66"/>
      <c r="AE987" s="66"/>
      <c r="AF987" s="66"/>
      <c r="AG987" s="215"/>
      <c r="AH987" s="216"/>
      <c r="AI987" s="217"/>
      <c r="AJ987" s="188"/>
      <c r="AK987" s="218"/>
      <c r="AL987" s="219"/>
      <c r="AM987" s="220"/>
      <c r="AN987" s="75"/>
      <c r="AO987" s="221"/>
      <c r="AP987" s="125"/>
      <c r="AQ987" s="113"/>
      <c r="AR987" s="75"/>
      <c r="AS987" s="66"/>
      <c r="AT987" s="66"/>
    </row>
    <row r="988">
      <c r="A988" s="8"/>
      <c r="B988" s="66"/>
      <c r="C988" s="66"/>
      <c r="D988" s="66"/>
      <c r="E988" s="8"/>
      <c r="F988" s="66"/>
      <c r="G988" s="66"/>
      <c r="H988" s="66"/>
      <c r="I988" s="8"/>
      <c r="J988" s="66"/>
      <c r="K988" s="66"/>
      <c r="L988" s="66"/>
      <c r="M988" s="8"/>
      <c r="N988" s="66"/>
      <c r="O988" s="66"/>
      <c r="P988" s="66"/>
      <c r="Q988" s="8"/>
      <c r="R988" s="66"/>
      <c r="S988" s="66"/>
      <c r="T988" s="66"/>
      <c r="U988" s="8"/>
      <c r="V988" s="66"/>
      <c r="W988" s="66"/>
      <c r="X988" s="66"/>
      <c r="Y988" s="189"/>
      <c r="Z988" s="184"/>
      <c r="AA988" s="184"/>
      <c r="AB988" s="184"/>
      <c r="AC988" s="8"/>
      <c r="AD988" s="66"/>
      <c r="AE988" s="66"/>
      <c r="AF988" s="66"/>
      <c r="AG988" s="215"/>
      <c r="AH988" s="216"/>
      <c r="AI988" s="217"/>
      <c r="AJ988" s="188"/>
      <c r="AK988" s="218"/>
      <c r="AL988" s="219"/>
      <c r="AM988" s="220"/>
      <c r="AN988" s="75"/>
      <c r="AO988" s="221"/>
      <c r="AP988" s="125"/>
      <c r="AQ988" s="113"/>
      <c r="AR988" s="75"/>
      <c r="AS988" s="66"/>
      <c r="AT988" s="66"/>
    </row>
    <row r="989">
      <c r="A989" s="8"/>
      <c r="B989" s="66"/>
      <c r="C989" s="66"/>
      <c r="D989" s="66"/>
      <c r="E989" s="8"/>
      <c r="F989" s="66"/>
      <c r="G989" s="66"/>
      <c r="H989" s="66"/>
      <c r="I989" s="8"/>
      <c r="J989" s="66"/>
      <c r="K989" s="66"/>
      <c r="L989" s="66"/>
      <c r="M989" s="8"/>
      <c r="N989" s="66"/>
      <c r="O989" s="66"/>
      <c r="P989" s="66"/>
      <c r="Q989" s="8"/>
      <c r="R989" s="66"/>
      <c r="S989" s="66"/>
      <c r="T989" s="66"/>
      <c r="U989" s="8"/>
      <c r="V989" s="66"/>
      <c r="W989" s="66"/>
      <c r="X989" s="66"/>
      <c r="Y989" s="189"/>
      <c r="Z989" s="184"/>
      <c r="AA989" s="184"/>
      <c r="AB989" s="184"/>
      <c r="AC989" s="8"/>
      <c r="AD989" s="66"/>
      <c r="AE989" s="66"/>
      <c r="AF989" s="66"/>
      <c r="AG989" s="215"/>
      <c r="AH989" s="216"/>
      <c r="AI989" s="217"/>
      <c r="AJ989" s="188"/>
      <c r="AK989" s="218"/>
      <c r="AL989" s="219"/>
      <c r="AM989" s="220"/>
      <c r="AN989" s="75"/>
      <c r="AO989" s="221"/>
      <c r="AP989" s="125"/>
      <c r="AQ989" s="113"/>
      <c r="AR989" s="75"/>
      <c r="AS989" s="66"/>
      <c r="AT989" s="66"/>
    </row>
    <row r="990">
      <c r="A990" s="8"/>
      <c r="B990" s="66"/>
      <c r="C990" s="66"/>
      <c r="D990" s="66"/>
      <c r="E990" s="8"/>
      <c r="F990" s="66"/>
      <c r="G990" s="66"/>
      <c r="H990" s="66"/>
      <c r="I990" s="8"/>
      <c r="J990" s="66"/>
      <c r="K990" s="66"/>
      <c r="L990" s="66"/>
      <c r="M990" s="8"/>
      <c r="N990" s="66"/>
      <c r="O990" s="66"/>
      <c r="P990" s="66"/>
      <c r="Q990" s="8"/>
      <c r="R990" s="66"/>
      <c r="S990" s="66"/>
      <c r="T990" s="66"/>
      <c r="U990" s="8"/>
      <c r="V990" s="66"/>
      <c r="W990" s="66"/>
      <c r="X990" s="66"/>
      <c r="Y990" s="189"/>
      <c r="Z990" s="184"/>
      <c r="AA990" s="184"/>
      <c r="AB990" s="184"/>
      <c r="AC990" s="8"/>
      <c r="AD990" s="66"/>
      <c r="AE990" s="66"/>
      <c r="AF990" s="66"/>
      <c r="AG990" s="215"/>
      <c r="AH990" s="216"/>
      <c r="AI990" s="217"/>
      <c r="AJ990" s="188"/>
      <c r="AK990" s="218"/>
      <c r="AL990" s="219"/>
      <c r="AM990" s="220"/>
      <c r="AN990" s="75"/>
      <c r="AO990" s="221"/>
      <c r="AP990" s="125"/>
      <c r="AQ990" s="113"/>
      <c r="AR990" s="75"/>
      <c r="AS990" s="66"/>
      <c r="AT990" s="66"/>
    </row>
    <row r="991">
      <c r="A991" s="8"/>
      <c r="B991" s="66"/>
      <c r="C991" s="66"/>
      <c r="D991" s="66"/>
      <c r="E991" s="8"/>
      <c r="F991" s="66"/>
      <c r="G991" s="66"/>
      <c r="H991" s="66"/>
      <c r="I991" s="8"/>
      <c r="J991" s="66"/>
      <c r="K991" s="66"/>
      <c r="L991" s="66"/>
      <c r="M991" s="8"/>
      <c r="N991" s="66"/>
      <c r="O991" s="66"/>
      <c r="P991" s="66"/>
      <c r="Q991" s="8"/>
      <c r="R991" s="66"/>
      <c r="S991" s="66"/>
      <c r="T991" s="66"/>
      <c r="U991" s="8"/>
      <c r="V991" s="66"/>
      <c r="W991" s="66"/>
      <c r="X991" s="66"/>
      <c r="Y991" s="189"/>
      <c r="Z991" s="184"/>
      <c r="AA991" s="184"/>
      <c r="AB991" s="184"/>
      <c r="AC991" s="8"/>
      <c r="AD991" s="66"/>
      <c r="AE991" s="66"/>
      <c r="AF991" s="66"/>
      <c r="AG991" s="215"/>
      <c r="AH991" s="216"/>
      <c r="AI991" s="217"/>
      <c r="AJ991" s="188"/>
      <c r="AK991" s="218"/>
      <c r="AL991" s="219"/>
      <c r="AM991" s="220"/>
      <c r="AN991" s="75"/>
      <c r="AO991" s="221"/>
      <c r="AP991" s="125"/>
      <c r="AQ991" s="113"/>
      <c r="AR991" s="75"/>
      <c r="AS991" s="66"/>
      <c r="AT991" s="66"/>
    </row>
    <row r="992">
      <c r="A992" s="8"/>
      <c r="B992" s="66"/>
      <c r="C992" s="66"/>
      <c r="D992" s="66"/>
      <c r="E992" s="8"/>
      <c r="F992" s="66"/>
      <c r="G992" s="66"/>
      <c r="H992" s="66"/>
      <c r="I992" s="8"/>
      <c r="J992" s="66"/>
      <c r="K992" s="66"/>
      <c r="L992" s="66"/>
      <c r="M992" s="8"/>
      <c r="N992" s="66"/>
      <c r="O992" s="66"/>
      <c r="P992" s="66"/>
      <c r="Q992" s="8"/>
      <c r="R992" s="66"/>
      <c r="S992" s="66"/>
      <c r="T992" s="66"/>
      <c r="U992" s="8"/>
      <c r="V992" s="66"/>
      <c r="W992" s="66"/>
      <c r="X992" s="66"/>
      <c r="Y992" s="189"/>
      <c r="Z992" s="184"/>
      <c r="AA992" s="184"/>
      <c r="AB992" s="184"/>
      <c r="AC992" s="8"/>
      <c r="AD992" s="66"/>
      <c r="AE992" s="66"/>
      <c r="AF992" s="66"/>
      <c r="AG992" s="215"/>
      <c r="AH992" s="216"/>
      <c r="AI992" s="217"/>
      <c r="AJ992" s="188"/>
      <c r="AK992" s="218"/>
      <c r="AL992" s="219"/>
      <c r="AM992" s="220"/>
      <c r="AN992" s="75"/>
      <c r="AO992" s="221"/>
      <c r="AP992" s="125"/>
      <c r="AQ992" s="113"/>
      <c r="AR992" s="75"/>
      <c r="AS992" s="66"/>
      <c r="AT992" s="66"/>
    </row>
    <row r="993">
      <c r="A993" s="8"/>
      <c r="B993" s="66"/>
      <c r="C993" s="66"/>
      <c r="D993" s="66"/>
      <c r="E993" s="8"/>
      <c r="F993" s="66"/>
      <c r="G993" s="66"/>
      <c r="H993" s="66"/>
      <c r="I993" s="8"/>
      <c r="J993" s="66"/>
      <c r="K993" s="66"/>
      <c r="L993" s="66"/>
      <c r="M993" s="8"/>
      <c r="N993" s="66"/>
      <c r="O993" s="66"/>
      <c r="P993" s="66"/>
      <c r="Q993" s="8"/>
      <c r="R993" s="66"/>
      <c r="S993" s="66"/>
      <c r="T993" s="66"/>
      <c r="U993" s="8"/>
      <c r="V993" s="66"/>
      <c r="W993" s="66"/>
      <c r="X993" s="66"/>
      <c r="Y993" s="189"/>
      <c r="Z993" s="184"/>
      <c r="AA993" s="184"/>
      <c r="AB993" s="184"/>
      <c r="AC993" s="8"/>
      <c r="AD993" s="66"/>
      <c r="AE993" s="66"/>
      <c r="AF993" s="66"/>
      <c r="AG993" s="215"/>
      <c r="AH993" s="216"/>
      <c r="AI993" s="217"/>
      <c r="AJ993" s="188"/>
      <c r="AK993" s="218"/>
      <c r="AL993" s="219"/>
      <c r="AM993" s="220"/>
      <c r="AN993" s="75"/>
      <c r="AO993" s="221"/>
      <c r="AP993" s="125"/>
      <c r="AQ993" s="113"/>
      <c r="AR993" s="75"/>
      <c r="AS993" s="66"/>
      <c r="AT993" s="66"/>
    </row>
    <row r="994">
      <c r="A994" s="8"/>
      <c r="B994" s="66"/>
      <c r="C994" s="66"/>
      <c r="D994" s="66"/>
      <c r="E994" s="8"/>
      <c r="F994" s="66"/>
      <c r="G994" s="66"/>
      <c r="H994" s="66"/>
      <c r="I994" s="8"/>
      <c r="J994" s="66"/>
      <c r="K994" s="66"/>
      <c r="L994" s="66"/>
      <c r="M994" s="8"/>
      <c r="N994" s="66"/>
      <c r="O994" s="66"/>
      <c r="P994" s="66"/>
      <c r="Q994" s="8"/>
      <c r="R994" s="66"/>
      <c r="S994" s="66"/>
      <c r="T994" s="66"/>
      <c r="U994" s="8"/>
      <c r="V994" s="66"/>
      <c r="W994" s="66"/>
      <c r="X994" s="66"/>
      <c r="Y994" s="189"/>
      <c r="Z994" s="184"/>
      <c r="AA994" s="184"/>
      <c r="AB994" s="184"/>
      <c r="AC994" s="8"/>
      <c r="AD994" s="66"/>
      <c r="AE994" s="66"/>
      <c r="AF994" s="66"/>
      <c r="AG994" s="215"/>
      <c r="AH994" s="216"/>
      <c r="AI994" s="217"/>
      <c r="AJ994" s="188"/>
      <c r="AK994" s="218"/>
      <c r="AL994" s="219"/>
      <c r="AM994" s="220"/>
      <c r="AN994" s="75"/>
      <c r="AO994" s="221"/>
      <c r="AP994" s="125"/>
      <c r="AQ994" s="113"/>
      <c r="AR994" s="75"/>
      <c r="AS994" s="66"/>
      <c r="AT994" s="66"/>
    </row>
    <row r="995">
      <c r="A995" s="8"/>
      <c r="B995" s="66"/>
      <c r="C995" s="66"/>
      <c r="D995" s="66"/>
      <c r="E995" s="8"/>
      <c r="F995" s="66"/>
      <c r="G995" s="66"/>
      <c r="H995" s="66"/>
      <c r="I995" s="8"/>
      <c r="J995" s="66"/>
      <c r="K995" s="66"/>
      <c r="L995" s="66"/>
      <c r="M995" s="8"/>
      <c r="N995" s="66"/>
      <c r="O995" s="66"/>
      <c r="P995" s="66"/>
      <c r="Q995" s="8"/>
      <c r="R995" s="66"/>
      <c r="S995" s="66"/>
      <c r="T995" s="66"/>
      <c r="U995" s="8"/>
      <c r="V995" s="66"/>
      <c r="W995" s="66"/>
      <c r="X995" s="66"/>
      <c r="Y995" s="189"/>
      <c r="Z995" s="184"/>
      <c r="AA995" s="184"/>
      <c r="AB995" s="184"/>
      <c r="AC995" s="8"/>
      <c r="AD995" s="66"/>
      <c r="AE995" s="66"/>
      <c r="AF995" s="66"/>
      <c r="AG995" s="215"/>
      <c r="AH995" s="216"/>
      <c r="AI995" s="217"/>
      <c r="AJ995" s="188"/>
      <c r="AK995" s="218"/>
      <c r="AL995" s="219"/>
      <c r="AM995" s="220"/>
      <c r="AN995" s="75"/>
      <c r="AO995" s="221"/>
      <c r="AP995" s="125"/>
      <c r="AQ995" s="113"/>
      <c r="AR995" s="75"/>
      <c r="AS995" s="66"/>
      <c r="AT995" s="66"/>
    </row>
    <row r="996">
      <c r="A996" s="8"/>
      <c r="B996" s="66"/>
      <c r="C996" s="66"/>
      <c r="D996" s="66"/>
      <c r="E996" s="8"/>
      <c r="F996" s="66"/>
      <c r="G996" s="66"/>
      <c r="H996" s="66"/>
      <c r="I996" s="8"/>
      <c r="J996" s="66"/>
      <c r="K996" s="66"/>
      <c r="L996" s="66"/>
      <c r="M996" s="8"/>
      <c r="N996" s="66"/>
      <c r="O996" s="66"/>
      <c r="P996" s="66"/>
      <c r="Q996" s="8"/>
      <c r="R996" s="66"/>
      <c r="S996" s="66"/>
      <c r="T996" s="66"/>
      <c r="U996" s="8"/>
      <c r="V996" s="66"/>
      <c r="W996" s="66"/>
      <c r="X996" s="66"/>
      <c r="Y996" s="189"/>
      <c r="Z996" s="184"/>
      <c r="AA996" s="184"/>
      <c r="AB996" s="184"/>
      <c r="AC996" s="8"/>
      <c r="AD996" s="66"/>
      <c r="AE996" s="66"/>
      <c r="AF996" s="66"/>
      <c r="AG996" s="215"/>
      <c r="AH996" s="216"/>
      <c r="AI996" s="217"/>
      <c r="AJ996" s="188"/>
      <c r="AK996" s="218"/>
      <c r="AL996" s="219"/>
      <c r="AM996" s="220"/>
      <c r="AN996" s="75"/>
      <c r="AO996" s="221"/>
      <c r="AP996" s="125"/>
      <c r="AQ996" s="113"/>
      <c r="AR996" s="75"/>
      <c r="AS996" s="66"/>
      <c r="AT996" s="66"/>
    </row>
    <row r="997">
      <c r="A997" s="8"/>
      <c r="B997" s="66"/>
      <c r="C997" s="66"/>
      <c r="D997" s="66"/>
      <c r="E997" s="8"/>
      <c r="F997" s="66"/>
      <c r="G997" s="66"/>
      <c r="H997" s="66"/>
      <c r="I997" s="8"/>
      <c r="J997" s="66"/>
      <c r="K997" s="66"/>
      <c r="L997" s="66"/>
      <c r="M997" s="8"/>
      <c r="N997" s="66"/>
      <c r="O997" s="66"/>
      <c r="P997" s="66"/>
      <c r="Q997" s="8"/>
      <c r="R997" s="66"/>
      <c r="S997" s="66"/>
      <c r="T997" s="66"/>
      <c r="U997" s="8"/>
      <c r="V997" s="66"/>
      <c r="W997" s="66"/>
      <c r="X997" s="66"/>
      <c r="Y997" s="189"/>
      <c r="Z997" s="184"/>
      <c r="AA997" s="184"/>
      <c r="AB997" s="184"/>
      <c r="AC997" s="8"/>
      <c r="AD997" s="66"/>
      <c r="AE997" s="66"/>
      <c r="AF997" s="66"/>
      <c r="AG997" s="215"/>
      <c r="AH997" s="216"/>
      <c r="AI997" s="217"/>
      <c r="AJ997" s="188"/>
      <c r="AK997" s="218"/>
      <c r="AL997" s="219"/>
      <c r="AM997" s="220"/>
      <c r="AN997" s="75"/>
      <c r="AO997" s="221"/>
      <c r="AP997" s="125"/>
      <c r="AQ997" s="113"/>
      <c r="AR997" s="75"/>
      <c r="AS997" s="66"/>
      <c r="AT997" s="66"/>
    </row>
    <row r="998">
      <c r="A998" s="8"/>
      <c r="B998" s="66"/>
      <c r="C998" s="66"/>
      <c r="D998" s="66"/>
      <c r="E998" s="8"/>
      <c r="F998" s="66"/>
      <c r="G998" s="66"/>
      <c r="H998" s="66"/>
      <c r="I998" s="8"/>
      <c r="J998" s="66"/>
      <c r="K998" s="66"/>
      <c r="L998" s="66"/>
      <c r="M998" s="8"/>
      <c r="N998" s="66"/>
      <c r="O998" s="66"/>
      <c r="P998" s="66"/>
      <c r="Q998" s="8"/>
      <c r="R998" s="66"/>
      <c r="S998" s="66"/>
      <c r="T998" s="66"/>
      <c r="U998" s="8"/>
      <c r="V998" s="66"/>
      <c r="W998" s="66"/>
      <c r="X998" s="66"/>
      <c r="Y998" s="189"/>
      <c r="Z998" s="184"/>
      <c r="AA998" s="184"/>
      <c r="AB998" s="184"/>
      <c r="AC998" s="8"/>
      <c r="AD998" s="66"/>
      <c r="AE998" s="66"/>
      <c r="AF998" s="66"/>
      <c r="AG998" s="215"/>
      <c r="AH998" s="216"/>
      <c r="AI998" s="217"/>
      <c r="AJ998" s="188"/>
      <c r="AK998" s="218"/>
      <c r="AL998" s="219"/>
      <c r="AM998" s="220"/>
      <c r="AN998" s="75"/>
      <c r="AO998" s="221"/>
      <c r="AP998" s="125"/>
      <c r="AQ998" s="113"/>
      <c r="AR998" s="75"/>
      <c r="AS998" s="66"/>
      <c r="AT998" s="66"/>
    </row>
    <row r="999">
      <c r="A999" s="8"/>
      <c r="B999" s="66"/>
      <c r="C999" s="66"/>
      <c r="D999" s="66"/>
      <c r="E999" s="8"/>
      <c r="F999" s="66"/>
      <c r="G999" s="66"/>
      <c r="H999" s="66"/>
      <c r="I999" s="8"/>
      <c r="J999" s="66"/>
      <c r="K999" s="66"/>
      <c r="L999" s="66"/>
      <c r="M999" s="8"/>
      <c r="N999" s="66"/>
      <c r="O999" s="66"/>
      <c r="P999" s="66"/>
      <c r="Q999" s="8"/>
      <c r="R999" s="66"/>
      <c r="S999" s="66"/>
      <c r="T999" s="66"/>
      <c r="U999" s="8"/>
      <c r="V999" s="66"/>
      <c r="W999" s="66"/>
      <c r="X999" s="66"/>
      <c r="Y999" s="189"/>
      <c r="Z999" s="184"/>
      <c r="AA999" s="184"/>
      <c r="AB999" s="184"/>
      <c r="AC999" s="8"/>
      <c r="AD999" s="66"/>
      <c r="AE999" s="66"/>
      <c r="AF999" s="66"/>
      <c r="AG999" s="215"/>
      <c r="AH999" s="216"/>
      <c r="AI999" s="217"/>
      <c r="AJ999" s="188"/>
      <c r="AK999" s="218"/>
      <c r="AL999" s="219"/>
      <c r="AM999" s="220"/>
      <c r="AN999" s="75"/>
      <c r="AO999" s="221"/>
      <c r="AP999" s="125"/>
      <c r="AQ999" s="113"/>
      <c r="AR999" s="75"/>
      <c r="AS999" s="66"/>
      <c r="AT999" s="66"/>
    </row>
    <row r="1000">
      <c r="A1000" s="8"/>
      <c r="B1000" s="66"/>
      <c r="C1000" s="66"/>
      <c r="D1000" s="66"/>
      <c r="E1000" s="8"/>
      <c r="F1000" s="66"/>
      <c r="G1000" s="66"/>
      <c r="H1000" s="66"/>
      <c r="I1000" s="8"/>
      <c r="J1000" s="66"/>
      <c r="K1000" s="66"/>
      <c r="L1000" s="66"/>
      <c r="M1000" s="8"/>
      <c r="N1000" s="66"/>
      <c r="O1000" s="66"/>
      <c r="P1000" s="66"/>
      <c r="Q1000" s="8"/>
      <c r="R1000" s="66"/>
      <c r="S1000" s="66"/>
      <c r="T1000" s="66"/>
      <c r="U1000" s="8"/>
      <c r="V1000" s="66"/>
      <c r="W1000" s="66"/>
      <c r="X1000" s="66"/>
      <c r="Y1000" s="189"/>
      <c r="Z1000" s="184"/>
      <c r="AA1000" s="184"/>
      <c r="AB1000" s="184"/>
      <c r="AC1000" s="8"/>
      <c r="AD1000" s="66"/>
      <c r="AE1000" s="66"/>
      <c r="AF1000" s="66"/>
      <c r="AG1000" s="215"/>
      <c r="AH1000" s="216"/>
      <c r="AI1000" s="217"/>
      <c r="AJ1000" s="188"/>
      <c r="AK1000" s="218"/>
      <c r="AL1000" s="219"/>
      <c r="AM1000" s="220"/>
      <c r="AN1000" s="75"/>
      <c r="AO1000" s="221"/>
      <c r="AP1000" s="125"/>
      <c r="AQ1000" s="113"/>
      <c r="AR1000" s="75"/>
      <c r="AS1000" s="66"/>
      <c r="AT1000" s="66"/>
    </row>
    <row r="1001">
      <c r="A1001" s="8"/>
      <c r="B1001" s="66"/>
      <c r="C1001" s="66"/>
      <c r="D1001" s="66"/>
      <c r="E1001" s="8"/>
      <c r="F1001" s="66"/>
      <c r="G1001" s="66"/>
      <c r="H1001" s="66"/>
      <c r="I1001" s="8"/>
      <c r="J1001" s="66"/>
      <c r="K1001" s="66"/>
      <c r="L1001" s="66"/>
      <c r="M1001" s="8"/>
      <c r="N1001" s="66"/>
      <c r="O1001" s="66"/>
      <c r="P1001" s="66"/>
      <c r="Q1001" s="8"/>
      <c r="R1001" s="66"/>
      <c r="S1001" s="66"/>
      <c r="T1001" s="66"/>
      <c r="U1001" s="8"/>
      <c r="V1001" s="66"/>
      <c r="W1001" s="66"/>
      <c r="X1001" s="66"/>
      <c r="Y1001" s="189"/>
      <c r="Z1001" s="184"/>
      <c r="AA1001" s="184"/>
      <c r="AB1001" s="184"/>
      <c r="AC1001" s="8"/>
      <c r="AD1001" s="66"/>
      <c r="AE1001" s="66"/>
      <c r="AF1001" s="66"/>
      <c r="AG1001" s="215"/>
      <c r="AH1001" s="216"/>
      <c r="AI1001" s="217"/>
      <c r="AJ1001" s="188"/>
      <c r="AK1001" s="218"/>
      <c r="AL1001" s="219"/>
      <c r="AM1001" s="220"/>
      <c r="AN1001" s="75"/>
      <c r="AO1001" s="221"/>
      <c r="AP1001" s="125"/>
      <c r="AQ1001" s="113"/>
      <c r="AR1001" s="75"/>
      <c r="AS1001" s="66"/>
      <c r="AT1001" s="66"/>
    </row>
    <row r="1002">
      <c r="A1002" s="8"/>
      <c r="B1002" s="66"/>
      <c r="C1002" s="66"/>
      <c r="D1002" s="66"/>
      <c r="E1002" s="8"/>
      <c r="F1002" s="66"/>
      <c r="G1002" s="66"/>
      <c r="H1002" s="66"/>
      <c r="I1002" s="8"/>
      <c r="J1002" s="66"/>
      <c r="K1002" s="66"/>
      <c r="L1002" s="66"/>
      <c r="M1002" s="8"/>
      <c r="N1002" s="66"/>
      <c r="O1002" s="66"/>
      <c r="P1002" s="66"/>
      <c r="Q1002" s="8"/>
      <c r="R1002" s="66"/>
      <c r="S1002" s="66"/>
      <c r="T1002" s="66"/>
      <c r="U1002" s="8"/>
      <c r="V1002" s="66"/>
      <c r="W1002" s="66"/>
      <c r="X1002" s="66"/>
      <c r="Y1002" s="189"/>
      <c r="Z1002" s="184"/>
      <c r="AA1002" s="184"/>
      <c r="AB1002" s="184"/>
      <c r="AC1002" s="8"/>
      <c r="AD1002" s="66"/>
      <c r="AE1002" s="66"/>
      <c r="AF1002" s="66"/>
      <c r="AG1002" s="215"/>
      <c r="AH1002" s="216"/>
      <c r="AI1002" s="217"/>
      <c r="AJ1002" s="188"/>
      <c r="AK1002" s="218"/>
      <c r="AL1002" s="219"/>
      <c r="AM1002" s="220"/>
      <c r="AN1002" s="75"/>
      <c r="AO1002" s="221"/>
      <c r="AP1002" s="125"/>
      <c r="AQ1002" s="113"/>
      <c r="AR1002" s="75"/>
      <c r="AS1002" s="66"/>
      <c r="AT1002" s="66"/>
    </row>
    <row r="1003">
      <c r="A1003" s="8"/>
      <c r="B1003" s="66"/>
      <c r="C1003" s="66"/>
      <c r="D1003" s="66"/>
      <c r="E1003" s="8"/>
      <c r="F1003" s="66"/>
      <c r="G1003" s="66"/>
      <c r="H1003" s="66"/>
      <c r="I1003" s="8"/>
      <c r="J1003" s="66"/>
      <c r="K1003" s="66"/>
      <c r="L1003" s="66"/>
      <c r="M1003" s="8"/>
      <c r="N1003" s="66"/>
      <c r="O1003" s="66"/>
      <c r="P1003" s="66"/>
      <c r="Q1003" s="8"/>
      <c r="R1003" s="66"/>
      <c r="S1003" s="66"/>
      <c r="T1003" s="66"/>
      <c r="U1003" s="8"/>
      <c r="V1003" s="66"/>
      <c r="W1003" s="66"/>
      <c r="X1003" s="66"/>
      <c r="Y1003" s="189"/>
      <c r="Z1003" s="184"/>
      <c r="AA1003" s="184"/>
      <c r="AB1003" s="184"/>
      <c r="AC1003" s="8"/>
      <c r="AD1003" s="66"/>
      <c r="AE1003" s="66"/>
      <c r="AF1003" s="66"/>
      <c r="AG1003" s="215"/>
      <c r="AH1003" s="216"/>
      <c r="AI1003" s="217"/>
      <c r="AJ1003" s="188"/>
      <c r="AK1003" s="218"/>
      <c r="AL1003" s="219"/>
      <c r="AM1003" s="220"/>
      <c r="AN1003" s="75"/>
      <c r="AO1003" s="221"/>
      <c r="AP1003" s="125"/>
      <c r="AQ1003" s="113"/>
      <c r="AR1003" s="75"/>
      <c r="AS1003" s="66"/>
      <c r="AT1003" s="66"/>
    </row>
    <row r="1004">
      <c r="A1004" s="8"/>
      <c r="B1004" s="66"/>
      <c r="C1004" s="66"/>
      <c r="D1004" s="66"/>
      <c r="E1004" s="8"/>
      <c r="F1004" s="66"/>
      <c r="G1004" s="66"/>
      <c r="H1004" s="66"/>
      <c r="I1004" s="8"/>
      <c r="J1004" s="66"/>
      <c r="K1004" s="66"/>
      <c r="L1004" s="66"/>
      <c r="M1004" s="8"/>
      <c r="N1004" s="66"/>
      <c r="O1004" s="66"/>
      <c r="P1004" s="66"/>
      <c r="Q1004" s="8"/>
      <c r="R1004" s="66"/>
      <c r="S1004" s="66"/>
      <c r="T1004" s="66"/>
      <c r="U1004" s="8"/>
      <c r="V1004" s="66"/>
      <c r="W1004" s="66"/>
      <c r="X1004" s="66"/>
      <c r="Y1004" s="189"/>
      <c r="Z1004" s="184"/>
      <c r="AA1004" s="184"/>
      <c r="AB1004" s="184"/>
      <c r="AC1004" s="8"/>
      <c r="AD1004" s="66"/>
      <c r="AE1004" s="66"/>
      <c r="AF1004" s="66"/>
      <c r="AG1004" s="215"/>
      <c r="AH1004" s="216"/>
      <c r="AI1004" s="217"/>
      <c r="AJ1004" s="188"/>
      <c r="AK1004" s="218"/>
      <c r="AL1004" s="219"/>
      <c r="AM1004" s="220"/>
      <c r="AN1004" s="75"/>
      <c r="AO1004" s="221"/>
      <c r="AP1004" s="125"/>
      <c r="AQ1004" s="113"/>
      <c r="AR1004" s="75"/>
      <c r="AS1004" s="66"/>
      <c r="AT1004" s="66"/>
    </row>
    <row r="1005">
      <c r="A1005" s="8"/>
      <c r="B1005" s="66"/>
      <c r="C1005" s="66"/>
      <c r="D1005" s="66"/>
      <c r="E1005" s="8"/>
      <c r="F1005" s="66"/>
      <c r="G1005" s="66"/>
      <c r="H1005" s="66"/>
      <c r="I1005" s="8"/>
      <c r="J1005" s="66"/>
      <c r="K1005" s="66"/>
      <c r="L1005" s="66"/>
      <c r="M1005" s="8"/>
      <c r="N1005" s="66"/>
      <c r="O1005" s="66"/>
      <c r="P1005" s="66"/>
      <c r="Q1005" s="8"/>
      <c r="R1005" s="66"/>
      <c r="S1005" s="66"/>
      <c r="T1005" s="66"/>
      <c r="U1005" s="8"/>
      <c r="V1005" s="66"/>
      <c r="W1005" s="66"/>
      <c r="X1005" s="66"/>
      <c r="Y1005" s="189"/>
      <c r="Z1005" s="184"/>
      <c r="AA1005" s="184"/>
      <c r="AB1005" s="184"/>
      <c r="AC1005" s="8"/>
      <c r="AD1005" s="66"/>
      <c r="AE1005" s="66"/>
      <c r="AF1005" s="66"/>
      <c r="AG1005" s="215"/>
      <c r="AH1005" s="216"/>
      <c r="AI1005" s="217"/>
      <c r="AJ1005" s="188"/>
      <c r="AK1005" s="218"/>
      <c r="AL1005" s="219"/>
      <c r="AM1005" s="220"/>
      <c r="AN1005" s="75"/>
      <c r="AO1005" s="221"/>
      <c r="AP1005" s="125"/>
      <c r="AQ1005" s="113"/>
      <c r="AR1005" s="75"/>
      <c r="AS1005" s="66"/>
      <c r="AT1005" s="66"/>
    </row>
    <row r="1006">
      <c r="A1006" s="8"/>
      <c r="B1006" s="66"/>
      <c r="C1006" s="66"/>
      <c r="D1006" s="66"/>
      <c r="E1006" s="8"/>
      <c r="F1006" s="66"/>
      <c r="G1006" s="66"/>
      <c r="H1006" s="66"/>
      <c r="I1006" s="8"/>
      <c r="J1006" s="66"/>
      <c r="K1006" s="66"/>
      <c r="L1006" s="66"/>
      <c r="M1006" s="8"/>
      <c r="N1006" s="66"/>
      <c r="O1006" s="66"/>
      <c r="P1006" s="66"/>
      <c r="Q1006" s="8"/>
      <c r="R1006" s="66"/>
      <c r="S1006" s="66"/>
      <c r="T1006" s="66"/>
      <c r="U1006" s="8"/>
      <c r="V1006" s="66"/>
      <c r="W1006" s="66"/>
      <c r="X1006" s="66"/>
      <c r="Y1006" s="189"/>
      <c r="Z1006" s="184"/>
      <c r="AA1006" s="184"/>
      <c r="AB1006" s="184"/>
      <c r="AC1006" s="8"/>
      <c r="AD1006" s="66"/>
      <c r="AE1006" s="66"/>
      <c r="AF1006" s="66"/>
      <c r="AG1006" s="215"/>
      <c r="AH1006" s="216"/>
      <c r="AI1006" s="217"/>
      <c r="AJ1006" s="188"/>
      <c r="AK1006" s="218"/>
      <c r="AL1006" s="219"/>
      <c r="AM1006" s="220"/>
      <c r="AN1006" s="75"/>
      <c r="AO1006" s="221"/>
      <c r="AP1006" s="125"/>
      <c r="AQ1006" s="113"/>
      <c r="AR1006" s="75"/>
      <c r="AS1006" s="66"/>
      <c r="AT1006" s="66"/>
    </row>
    <row r="1007">
      <c r="A1007" s="8"/>
      <c r="B1007" s="66"/>
      <c r="C1007" s="66"/>
      <c r="D1007" s="66"/>
      <c r="E1007" s="8"/>
      <c r="F1007" s="66"/>
      <c r="G1007" s="66"/>
      <c r="H1007" s="66"/>
      <c r="I1007" s="8"/>
      <c r="J1007" s="66"/>
      <c r="K1007" s="66"/>
      <c r="L1007" s="66"/>
      <c r="M1007" s="8"/>
      <c r="N1007" s="66"/>
      <c r="O1007" s="66"/>
      <c r="P1007" s="66"/>
      <c r="Q1007" s="8"/>
      <c r="R1007" s="66"/>
      <c r="S1007" s="66"/>
      <c r="T1007" s="66"/>
      <c r="U1007" s="8"/>
      <c r="V1007" s="66"/>
      <c r="W1007" s="66"/>
      <c r="X1007" s="66"/>
      <c r="Y1007" s="189"/>
      <c r="Z1007" s="184"/>
      <c r="AA1007" s="184"/>
      <c r="AB1007" s="184"/>
      <c r="AC1007" s="8"/>
      <c r="AD1007" s="66"/>
      <c r="AE1007" s="66"/>
      <c r="AF1007" s="66"/>
      <c r="AG1007" s="215"/>
      <c r="AH1007" s="216"/>
      <c r="AI1007" s="217"/>
      <c r="AJ1007" s="188"/>
      <c r="AK1007" s="218"/>
      <c r="AL1007" s="219"/>
      <c r="AM1007" s="220"/>
      <c r="AN1007" s="75"/>
      <c r="AO1007" s="221"/>
      <c r="AP1007" s="125"/>
      <c r="AQ1007" s="113"/>
      <c r="AR1007" s="75"/>
      <c r="AS1007" s="66"/>
      <c r="AT1007" s="66"/>
    </row>
    <row r="1008">
      <c r="A1008" s="8"/>
      <c r="B1008" s="66"/>
      <c r="C1008" s="66"/>
      <c r="D1008" s="66"/>
      <c r="E1008" s="8"/>
      <c r="F1008" s="66"/>
      <c r="G1008" s="66"/>
      <c r="H1008" s="66"/>
      <c r="I1008" s="8"/>
      <c r="J1008" s="66"/>
      <c r="K1008" s="66"/>
      <c r="L1008" s="66"/>
      <c r="M1008" s="8"/>
      <c r="N1008" s="66"/>
      <c r="O1008" s="66"/>
      <c r="P1008" s="66"/>
      <c r="Q1008" s="8"/>
      <c r="R1008" s="66"/>
      <c r="S1008" s="66"/>
      <c r="T1008" s="66"/>
      <c r="U1008" s="8"/>
      <c r="V1008" s="66"/>
      <c r="W1008" s="66"/>
      <c r="X1008" s="66"/>
      <c r="Y1008" s="189"/>
      <c r="Z1008" s="184"/>
      <c r="AA1008" s="184"/>
      <c r="AB1008" s="184"/>
      <c r="AC1008" s="8"/>
      <c r="AD1008" s="66"/>
      <c r="AE1008" s="66"/>
      <c r="AF1008" s="66"/>
      <c r="AG1008" s="215"/>
      <c r="AH1008" s="216"/>
      <c r="AI1008" s="217"/>
      <c r="AJ1008" s="188"/>
      <c r="AK1008" s="218"/>
      <c r="AL1008" s="219"/>
      <c r="AM1008" s="220"/>
      <c r="AN1008" s="75"/>
      <c r="AO1008" s="221"/>
      <c r="AP1008" s="125"/>
      <c r="AQ1008" s="113"/>
      <c r="AR1008" s="75"/>
      <c r="AS1008" s="66"/>
      <c r="AT1008" s="66"/>
    </row>
    <row r="1009">
      <c r="A1009" s="8"/>
      <c r="B1009" s="66"/>
      <c r="C1009" s="66"/>
      <c r="D1009" s="66"/>
      <c r="E1009" s="8"/>
      <c r="F1009" s="66"/>
      <c r="G1009" s="66"/>
      <c r="H1009" s="66"/>
      <c r="I1009" s="8"/>
      <c r="J1009" s="66"/>
      <c r="K1009" s="66"/>
      <c r="L1009" s="66"/>
      <c r="M1009" s="8"/>
      <c r="N1009" s="66"/>
      <c r="O1009" s="66"/>
      <c r="P1009" s="66"/>
      <c r="Q1009" s="8"/>
      <c r="R1009" s="66"/>
      <c r="S1009" s="66"/>
      <c r="T1009" s="66"/>
      <c r="U1009" s="8"/>
      <c r="V1009" s="66"/>
      <c r="W1009" s="66"/>
      <c r="X1009" s="66"/>
      <c r="Y1009" s="189"/>
      <c r="Z1009" s="184"/>
      <c r="AA1009" s="184"/>
      <c r="AB1009" s="184"/>
      <c r="AC1009" s="8"/>
      <c r="AD1009" s="66"/>
      <c r="AE1009" s="66"/>
      <c r="AF1009" s="66"/>
      <c r="AG1009" s="215"/>
      <c r="AH1009" s="216"/>
      <c r="AI1009" s="217"/>
      <c r="AJ1009" s="188"/>
      <c r="AK1009" s="218"/>
      <c r="AL1009" s="219"/>
      <c r="AM1009" s="220"/>
      <c r="AN1009" s="75"/>
      <c r="AO1009" s="221"/>
      <c r="AP1009" s="125"/>
      <c r="AQ1009" s="113"/>
      <c r="AR1009" s="75"/>
      <c r="AS1009" s="66"/>
      <c r="AT1009" s="66"/>
    </row>
    <row r="1010">
      <c r="A1010" s="8"/>
      <c r="B1010" s="66"/>
      <c r="C1010" s="66"/>
      <c r="D1010" s="66"/>
      <c r="E1010" s="8"/>
      <c r="F1010" s="66"/>
      <c r="G1010" s="66"/>
      <c r="H1010" s="66"/>
      <c r="I1010" s="8"/>
      <c r="J1010" s="66"/>
      <c r="K1010" s="66"/>
      <c r="L1010" s="66"/>
      <c r="M1010" s="8"/>
      <c r="N1010" s="66"/>
      <c r="O1010" s="66"/>
      <c r="P1010" s="66"/>
      <c r="Q1010" s="8"/>
      <c r="R1010" s="66"/>
      <c r="S1010" s="66"/>
      <c r="T1010" s="66"/>
      <c r="U1010" s="8"/>
      <c r="V1010" s="66"/>
      <c r="W1010" s="66"/>
      <c r="X1010" s="66"/>
      <c r="Y1010" s="189"/>
      <c r="Z1010" s="184"/>
      <c r="AA1010" s="184"/>
      <c r="AB1010" s="184"/>
      <c r="AC1010" s="8"/>
      <c r="AD1010" s="66"/>
      <c r="AE1010" s="66"/>
      <c r="AF1010" s="66"/>
      <c r="AG1010" s="215"/>
      <c r="AH1010" s="216"/>
      <c r="AI1010" s="217"/>
      <c r="AJ1010" s="188"/>
      <c r="AK1010" s="218"/>
      <c r="AL1010" s="219"/>
      <c r="AM1010" s="220"/>
      <c r="AN1010" s="75"/>
      <c r="AO1010" s="221"/>
      <c r="AP1010" s="125"/>
      <c r="AQ1010" s="113"/>
      <c r="AR1010" s="75"/>
      <c r="AS1010" s="66"/>
      <c r="AT1010" s="66"/>
    </row>
    <row r="1011">
      <c r="A1011" s="185"/>
      <c r="B1011" s="125"/>
      <c r="C1011" s="113"/>
      <c r="D1011" s="75"/>
      <c r="E1011" s="185"/>
      <c r="F1011" s="125"/>
      <c r="G1011" s="113"/>
      <c r="H1011" s="75"/>
      <c r="I1011" s="185"/>
      <c r="J1011" s="125"/>
      <c r="K1011" s="113"/>
      <c r="L1011" s="75"/>
      <c r="M1011" s="185"/>
      <c r="N1011" s="125"/>
      <c r="O1011" s="113"/>
      <c r="P1011" s="75"/>
      <c r="Q1011" s="8"/>
      <c r="R1011" s="66"/>
      <c r="S1011" s="66"/>
      <c r="T1011" s="66"/>
      <c r="U1011" s="8"/>
      <c r="V1011" s="66"/>
      <c r="W1011" s="66"/>
      <c r="X1011" s="66"/>
      <c r="Y1011" s="222"/>
      <c r="Z1011" s="184"/>
      <c r="AA1011" s="184"/>
      <c r="AB1011" s="184"/>
      <c r="AC1011" s="185"/>
      <c r="AD1011" s="66"/>
      <c r="AE1011" s="223"/>
      <c r="AF1011" s="223"/>
      <c r="AG1011" s="215"/>
      <c r="AH1011" s="216"/>
      <c r="AI1011" s="217"/>
      <c r="AJ1011" s="188"/>
      <c r="AK1011" s="218"/>
      <c r="AL1011" s="219"/>
      <c r="AM1011" s="220"/>
      <c r="AN1011" s="75"/>
      <c r="AO1011" s="221"/>
      <c r="AP1011" s="125"/>
      <c r="AQ1011" s="113"/>
      <c r="AR1011" s="75"/>
      <c r="AS1011" s="75"/>
      <c r="AT1011" s="75"/>
    </row>
    <row r="1012">
      <c r="A1012" s="185"/>
      <c r="B1012" s="125"/>
      <c r="C1012" s="113"/>
      <c r="D1012" s="75"/>
      <c r="E1012" s="185"/>
      <c r="F1012" s="125"/>
      <c r="G1012" s="113"/>
      <c r="H1012" s="75"/>
      <c r="I1012" s="185"/>
      <c r="J1012" s="125"/>
      <c r="K1012" s="113"/>
      <c r="L1012" s="75"/>
      <c r="M1012" s="185"/>
      <c r="N1012" s="125"/>
      <c r="O1012" s="113"/>
      <c r="P1012" s="75"/>
      <c r="Q1012" s="8"/>
      <c r="R1012" s="66"/>
      <c r="S1012" s="66"/>
      <c r="T1012" s="66"/>
      <c r="U1012" s="8"/>
      <c r="V1012" s="66"/>
      <c r="W1012" s="66"/>
      <c r="X1012" s="66"/>
      <c r="Y1012" s="222"/>
      <c r="Z1012" s="184"/>
      <c r="AA1012" s="184"/>
      <c r="AB1012" s="184"/>
      <c r="AC1012" s="185"/>
      <c r="AD1012" s="66"/>
      <c r="AE1012" s="223"/>
      <c r="AF1012" s="223"/>
      <c r="AG1012" s="215"/>
      <c r="AH1012" s="216"/>
      <c r="AI1012" s="217"/>
      <c r="AJ1012" s="188"/>
      <c r="AK1012" s="218"/>
      <c r="AL1012" s="219"/>
      <c r="AM1012" s="220"/>
      <c r="AN1012" s="75"/>
      <c r="AO1012" s="221"/>
      <c r="AP1012" s="125"/>
      <c r="AQ1012" s="113"/>
      <c r="AR1012" s="75"/>
      <c r="AS1012" s="75"/>
      <c r="AT1012" s="75"/>
    </row>
    <row r="1013">
      <c r="A1013" s="185"/>
      <c r="B1013" s="125"/>
      <c r="C1013" s="113"/>
      <c r="D1013" s="75"/>
      <c r="E1013" s="185"/>
      <c r="F1013" s="125"/>
      <c r="G1013" s="113"/>
      <c r="H1013" s="75"/>
      <c r="I1013" s="185"/>
      <c r="J1013" s="125"/>
      <c r="K1013" s="113"/>
      <c r="L1013" s="75"/>
      <c r="M1013" s="185"/>
      <c r="N1013" s="125"/>
      <c r="O1013" s="113"/>
      <c r="P1013" s="75"/>
      <c r="Q1013" s="8"/>
      <c r="R1013" s="66"/>
      <c r="S1013" s="66"/>
      <c r="T1013" s="66"/>
      <c r="U1013" s="8"/>
      <c r="V1013" s="66"/>
      <c r="W1013" s="66"/>
      <c r="X1013" s="66"/>
      <c r="Y1013" s="222"/>
      <c r="Z1013" s="184"/>
      <c r="AA1013" s="184"/>
      <c r="AB1013" s="184"/>
      <c r="AC1013" s="185"/>
      <c r="AD1013" s="66"/>
      <c r="AE1013" s="223"/>
      <c r="AF1013" s="223"/>
      <c r="AG1013" s="215"/>
      <c r="AH1013" s="216"/>
      <c r="AI1013" s="217"/>
      <c r="AJ1013" s="188"/>
      <c r="AK1013" s="218"/>
      <c r="AL1013" s="219"/>
      <c r="AM1013" s="220"/>
      <c r="AN1013" s="75"/>
      <c r="AO1013" s="221"/>
      <c r="AP1013" s="125"/>
      <c r="AQ1013" s="113"/>
      <c r="AR1013" s="75"/>
      <c r="AS1013" s="75"/>
      <c r="AT1013" s="75"/>
    </row>
    <row r="1014">
      <c r="A1014" s="185"/>
      <c r="B1014" s="125"/>
      <c r="C1014" s="113"/>
      <c r="D1014" s="75"/>
      <c r="E1014" s="185"/>
      <c r="F1014" s="125"/>
      <c r="G1014" s="113"/>
      <c r="H1014" s="75"/>
      <c r="I1014" s="185"/>
      <c r="J1014" s="125"/>
      <c r="K1014" s="113"/>
      <c r="L1014" s="75"/>
      <c r="M1014" s="185"/>
      <c r="N1014" s="125"/>
      <c r="O1014" s="113"/>
      <c r="P1014" s="75"/>
      <c r="Q1014" s="8"/>
      <c r="R1014" s="66"/>
      <c r="S1014" s="66"/>
      <c r="T1014" s="66"/>
      <c r="U1014" s="8"/>
      <c r="V1014" s="66"/>
      <c r="W1014" s="66"/>
      <c r="X1014" s="66"/>
      <c r="Y1014" s="222"/>
      <c r="Z1014" s="184"/>
      <c r="AA1014" s="184"/>
      <c r="AB1014" s="184"/>
      <c r="AC1014" s="185"/>
      <c r="AD1014" s="66"/>
      <c r="AE1014" s="223"/>
      <c r="AF1014" s="223"/>
      <c r="AG1014" s="215"/>
      <c r="AH1014" s="216"/>
      <c r="AI1014" s="217"/>
      <c r="AJ1014" s="188"/>
      <c r="AK1014" s="218"/>
      <c r="AL1014" s="219"/>
      <c r="AM1014" s="220"/>
      <c r="AN1014" s="75"/>
      <c r="AO1014" s="221"/>
      <c r="AP1014" s="125"/>
      <c r="AQ1014" s="113"/>
      <c r="AR1014" s="75"/>
      <c r="AS1014" s="75"/>
      <c r="AT1014" s="75"/>
    </row>
    <row r="1015">
      <c r="A1015" s="185"/>
      <c r="B1015" s="125"/>
      <c r="C1015" s="113"/>
      <c r="D1015" s="75"/>
      <c r="E1015" s="185"/>
      <c r="F1015" s="125"/>
      <c r="G1015" s="113"/>
      <c r="H1015" s="75"/>
      <c r="I1015" s="185"/>
      <c r="J1015" s="125"/>
      <c r="K1015" s="113"/>
      <c r="L1015" s="75"/>
      <c r="M1015" s="185"/>
      <c r="N1015" s="125"/>
      <c r="O1015" s="113"/>
      <c r="P1015" s="75"/>
      <c r="Q1015" s="8"/>
      <c r="R1015" s="66"/>
      <c r="S1015" s="66"/>
      <c r="T1015" s="66"/>
      <c r="U1015" s="8"/>
      <c r="V1015" s="66"/>
      <c r="W1015" s="66"/>
      <c r="X1015" s="66"/>
      <c r="Y1015" s="222"/>
      <c r="Z1015" s="184"/>
      <c r="AA1015" s="184"/>
      <c r="AB1015" s="184"/>
      <c r="AC1015" s="185"/>
      <c r="AD1015" s="66"/>
      <c r="AE1015" s="223"/>
      <c r="AF1015" s="223"/>
      <c r="AG1015" s="215"/>
      <c r="AH1015" s="216"/>
      <c r="AI1015" s="217"/>
      <c r="AJ1015" s="188"/>
      <c r="AK1015" s="218"/>
      <c r="AL1015" s="219"/>
      <c r="AM1015" s="220"/>
      <c r="AN1015" s="75"/>
      <c r="AO1015" s="221"/>
      <c r="AP1015" s="125"/>
      <c r="AQ1015" s="113"/>
      <c r="AR1015" s="75"/>
      <c r="AS1015" s="75"/>
      <c r="AT1015" s="75"/>
    </row>
    <row r="1016">
      <c r="A1016" s="185"/>
      <c r="B1016" s="125"/>
      <c r="C1016" s="113"/>
      <c r="D1016" s="75"/>
      <c r="E1016" s="185"/>
      <c r="F1016" s="125"/>
      <c r="G1016" s="113"/>
      <c r="H1016" s="75"/>
      <c r="I1016" s="185"/>
      <c r="J1016" s="125"/>
      <c r="K1016" s="113"/>
      <c r="L1016" s="75"/>
      <c r="M1016" s="185"/>
      <c r="N1016" s="125"/>
      <c r="O1016" s="113"/>
      <c r="P1016" s="75"/>
      <c r="Q1016" s="8"/>
      <c r="R1016" s="66"/>
      <c r="S1016" s="66"/>
      <c r="T1016" s="66"/>
      <c r="U1016" s="8"/>
      <c r="V1016" s="66"/>
      <c r="W1016" s="66"/>
      <c r="X1016" s="66"/>
      <c r="Y1016" s="222"/>
      <c r="Z1016" s="184"/>
      <c r="AA1016" s="184"/>
      <c r="AB1016" s="184"/>
      <c r="AC1016" s="185"/>
      <c r="AD1016" s="66"/>
      <c r="AE1016" s="223"/>
      <c r="AF1016" s="223"/>
      <c r="AG1016" s="215"/>
      <c r="AH1016" s="216"/>
      <c r="AI1016" s="217"/>
      <c r="AJ1016" s="188"/>
      <c r="AK1016" s="218"/>
      <c r="AL1016" s="219"/>
      <c r="AM1016" s="220"/>
      <c r="AN1016" s="75"/>
      <c r="AO1016" s="221"/>
      <c r="AP1016" s="125"/>
      <c r="AQ1016" s="113"/>
      <c r="AR1016" s="75"/>
      <c r="AS1016" s="75"/>
      <c r="AT1016" s="75"/>
    </row>
    <row r="1017">
      <c r="A1017" s="185"/>
      <c r="B1017" s="125"/>
      <c r="C1017" s="113"/>
      <c r="D1017" s="75"/>
      <c r="E1017" s="185"/>
      <c r="F1017" s="125"/>
      <c r="G1017" s="113"/>
      <c r="H1017" s="75"/>
      <c r="I1017" s="185"/>
      <c r="J1017" s="125"/>
      <c r="K1017" s="113"/>
      <c r="L1017" s="75"/>
      <c r="M1017" s="185"/>
      <c r="N1017" s="125"/>
      <c r="O1017" s="113"/>
      <c r="P1017" s="75"/>
      <c r="Q1017" s="8"/>
      <c r="R1017" s="66"/>
      <c r="S1017" s="66"/>
      <c r="T1017" s="66"/>
      <c r="U1017" s="8"/>
      <c r="V1017" s="66"/>
      <c r="W1017" s="66"/>
      <c r="X1017" s="66"/>
      <c r="Y1017" s="222"/>
      <c r="Z1017" s="184"/>
      <c r="AA1017" s="184"/>
      <c r="AB1017" s="184"/>
      <c r="AC1017" s="185"/>
      <c r="AD1017" s="66"/>
      <c r="AE1017" s="223"/>
      <c r="AF1017" s="223"/>
      <c r="AG1017" s="215"/>
      <c r="AH1017" s="216"/>
      <c r="AI1017" s="217"/>
      <c r="AJ1017" s="188"/>
      <c r="AK1017" s="218"/>
      <c r="AL1017" s="219"/>
      <c r="AM1017" s="220"/>
      <c r="AN1017" s="75"/>
      <c r="AO1017" s="221"/>
      <c r="AP1017" s="125"/>
      <c r="AQ1017" s="113"/>
      <c r="AR1017" s="75"/>
      <c r="AS1017" s="75"/>
      <c r="AT1017" s="75"/>
    </row>
    <row r="1018">
      <c r="A1018" s="185"/>
      <c r="B1018" s="125"/>
      <c r="C1018" s="113"/>
      <c r="D1018" s="75"/>
      <c r="E1018" s="185"/>
      <c r="F1018" s="125"/>
      <c r="G1018" s="113"/>
      <c r="H1018" s="75"/>
      <c r="I1018" s="185"/>
      <c r="J1018" s="125"/>
      <c r="K1018" s="113"/>
      <c r="L1018" s="75"/>
      <c r="M1018" s="185"/>
      <c r="N1018" s="125"/>
      <c r="O1018" s="113"/>
      <c r="P1018" s="75"/>
      <c r="Q1018" s="8"/>
      <c r="R1018" s="66"/>
      <c r="S1018" s="66"/>
      <c r="T1018" s="66"/>
      <c r="U1018" s="8"/>
      <c r="V1018" s="66"/>
      <c r="W1018" s="66"/>
      <c r="X1018" s="66"/>
      <c r="Y1018" s="222"/>
      <c r="Z1018" s="184"/>
      <c r="AA1018" s="184"/>
      <c r="AB1018" s="184"/>
      <c r="AC1018" s="185"/>
      <c r="AD1018" s="66"/>
      <c r="AE1018" s="223"/>
      <c r="AF1018" s="223"/>
      <c r="AG1018" s="215"/>
      <c r="AH1018" s="216"/>
      <c r="AI1018" s="217"/>
      <c r="AJ1018" s="188"/>
      <c r="AK1018" s="218"/>
      <c r="AL1018" s="219"/>
      <c r="AM1018" s="220"/>
      <c r="AN1018" s="75"/>
      <c r="AO1018" s="221"/>
      <c r="AP1018" s="125"/>
      <c r="AQ1018" s="113"/>
      <c r="AR1018" s="75"/>
      <c r="AS1018" s="75"/>
      <c r="AT1018" s="75"/>
    </row>
    <row r="1019">
      <c r="A1019" s="185"/>
      <c r="B1019" s="125"/>
      <c r="C1019" s="113"/>
      <c r="D1019" s="75"/>
      <c r="E1019" s="185"/>
      <c r="F1019" s="125"/>
      <c r="G1019" s="113"/>
      <c r="H1019" s="75"/>
      <c r="I1019" s="185"/>
      <c r="J1019" s="125"/>
      <c r="K1019" s="113"/>
      <c r="L1019" s="75"/>
      <c r="M1019" s="185"/>
      <c r="N1019" s="125"/>
      <c r="O1019" s="113"/>
      <c r="P1019" s="75"/>
      <c r="Q1019" s="8"/>
      <c r="R1019" s="66"/>
      <c r="S1019" s="66"/>
      <c r="T1019" s="66"/>
      <c r="U1019" s="8"/>
      <c r="V1019" s="66"/>
      <c r="W1019" s="66"/>
      <c r="X1019" s="66"/>
      <c r="Y1019" s="222"/>
      <c r="Z1019" s="184"/>
      <c r="AA1019" s="184"/>
      <c r="AB1019" s="184"/>
      <c r="AC1019" s="185"/>
      <c r="AD1019" s="66"/>
      <c r="AE1019" s="223"/>
      <c r="AF1019" s="223"/>
      <c r="AG1019" s="215"/>
      <c r="AH1019" s="216"/>
      <c r="AI1019" s="217"/>
      <c r="AJ1019" s="188"/>
      <c r="AK1019" s="218"/>
      <c r="AL1019" s="219"/>
      <c r="AM1019" s="220"/>
      <c r="AN1019" s="75"/>
      <c r="AO1019" s="221"/>
      <c r="AP1019" s="125"/>
      <c r="AQ1019" s="113"/>
      <c r="AR1019" s="75"/>
      <c r="AS1019" s="75"/>
      <c r="AT1019" s="75"/>
    </row>
    <row r="1020">
      <c r="A1020" s="185"/>
      <c r="B1020" s="125"/>
      <c r="C1020" s="113"/>
      <c r="D1020" s="75"/>
      <c r="E1020" s="185"/>
      <c r="F1020" s="125"/>
      <c r="G1020" s="113"/>
      <c r="H1020" s="75"/>
      <c r="I1020" s="185"/>
      <c r="J1020" s="125"/>
      <c r="K1020" s="113"/>
      <c r="L1020" s="75"/>
      <c r="M1020" s="185"/>
      <c r="N1020" s="125"/>
      <c r="O1020" s="113"/>
      <c r="P1020" s="75"/>
      <c r="Q1020" s="8"/>
      <c r="R1020" s="66"/>
      <c r="S1020" s="66"/>
      <c r="T1020" s="66"/>
      <c r="U1020" s="8"/>
      <c r="V1020" s="66"/>
      <c r="W1020" s="66"/>
      <c r="X1020" s="66"/>
      <c r="Y1020" s="222"/>
      <c r="Z1020" s="184"/>
      <c r="AA1020" s="184"/>
      <c r="AB1020" s="184"/>
      <c r="AC1020" s="185"/>
      <c r="AD1020" s="66"/>
      <c r="AE1020" s="223"/>
      <c r="AF1020" s="223"/>
      <c r="AG1020" s="215"/>
      <c r="AH1020" s="216"/>
      <c r="AI1020" s="217"/>
      <c r="AJ1020" s="188"/>
      <c r="AK1020" s="218"/>
      <c r="AL1020" s="219"/>
      <c r="AM1020" s="220"/>
      <c r="AN1020" s="75"/>
      <c r="AO1020" s="221"/>
      <c r="AP1020" s="125"/>
      <c r="AQ1020" s="113"/>
      <c r="AR1020" s="75"/>
      <c r="AS1020" s="75"/>
      <c r="AT1020" s="75"/>
    </row>
    <row r="1021">
      <c r="A1021" s="185"/>
      <c r="B1021" s="125"/>
      <c r="C1021" s="113"/>
      <c r="D1021" s="75"/>
      <c r="E1021" s="185"/>
      <c r="F1021" s="125"/>
      <c r="G1021" s="113"/>
      <c r="H1021" s="75"/>
      <c r="I1021" s="185"/>
      <c r="J1021" s="125"/>
      <c r="K1021" s="113"/>
      <c r="L1021" s="75"/>
      <c r="M1021" s="185"/>
      <c r="N1021" s="125"/>
      <c r="O1021" s="113"/>
      <c r="P1021" s="75"/>
      <c r="Q1021" s="8"/>
      <c r="R1021" s="66"/>
      <c r="S1021" s="66"/>
      <c r="T1021" s="66"/>
      <c r="U1021" s="8"/>
      <c r="V1021" s="66"/>
      <c r="W1021" s="66"/>
      <c r="X1021" s="66"/>
      <c r="Y1021" s="222"/>
      <c r="Z1021" s="184"/>
      <c r="AA1021" s="184"/>
      <c r="AB1021" s="184"/>
      <c r="AC1021" s="185"/>
      <c r="AD1021" s="66"/>
      <c r="AE1021" s="223"/>
      <c r="AF1021" s="223"/>
      <c r="AG1021" s="215"/>
      <c r="AH1021" s="216"/>
      <c r="AI1021" s="217"/>
      <c r="AJ1021" s="188"/>
      <c r="AK1021" s="218"/>
      <c r="AL1021" s="219"/>
      <c r="AM1021" s="220"/>
      <c r="AN1021" s="75"/>
      <c r="AO1021" s="221"/>
      <c r="AP1021" s="125"/>
      <c r="AQ1021" s="113"/>
      <c r="AR1021" s="75"/>
      <c r="AS1021" s="75"/>
      <c r="AT1021" s="75"/>
    </row>
    <row r="1022">
      <c r="A1022" s="185"/>
      <c r="B1022" s="125"/>
      <c r="C1022" s="113"/>
      <c r="D1022" s="75"/>
      <c r="E1022" s="185"/>
      <c r="F1022" s="125"/>
      <c r="G1022" s="113"/>
      <c r="H1022" s="75"/>
      <c r="I1022" s="185"/>
      <c r="J1022" s="125"/>
      <c r="K1022" s="113"/>
      <c r="L1022" s="75"/>
      <c r="M1022" s="185"/>
      <c r="N1022" s="125"/>
      <c r="O1022" s="113"/>
      <c r="P1022" s="75"/>
      <c r="Q1022" s="8"/>
      <c r="R1022" s="66"/>
      <c r="S1022" s="66"/>
      <c r="T1022" s="66"/>
      <c r="U1022" s="8"/>
      <c r="V1022" s="66"/>
      <c r="W1022" s="66"/>
      <c r="X1022" s="66"/>
      <c r="Y1022" s="222"/>
      <c r="Z1022" s="184"/>
      <c r="AA1022" s="184"/>
      <c r="AB1022" s="184"/>
      <c r="AC1022" s="185"/>
      <c r="AD1022" s="66"/>
      <c r="AE1022" s="223"/>
      <c r="AF1022" s="223"/>
      <c r="AG1022" s="215"/>
      <c r="AH1022" s="216"/>
      <c r="AI1022" s="217"/>
      <c r="AJ1022" s="188"/>
      <c r="AK1022" s="218"/>
      <c r="AL1022" s="219"/>
      <c r="AM1022" s="220"/>
      <c r="AN1022" s="75"/>
      <c r="AO1022" s="221"/>
      <c r="AP1022" s="125"/>
      <c r="AQ1022" s="113"/>
      <c r="AR1022" s="75"/>
      <c r="AS1022" s="75"/>
      <c r="AT1022" s="75"/>
    </row>
    <row r="1023">
      <c r="A1023" s="185"/>
      <c r="B1023" s="125"/>
      <c r="C1023" s="113"/>
      <c r="D1023" s="75"/>
      <c r="E1023" s="185"/>
      <c r="F1023" s="125"/>
      <c r="G1023" s="113"/>
      <c r="H1023" s="75"/>
      <c r="I1023" s="185"/>
      <c r="J1023" s="125"/>
      <c r="K1023" s="113"/>
      <c r="L1023" s="75"/>
      <c r="M1023" s="185"/>
      <c r="N1023" s="125"/>
      <c r="O1023" s="113"/>
      <c r="P1023" s="75"/>
      <c r="Q1023" s="8"/>
      <c r="R1023" s="66"/>
      <c r="S1023" s="66"/>
      <c r="T1023" s="66"/>
      <c r="U1023" s="8"/>
      <c r="V1023" s="66"/>
      <c r="W1023" s="66"/>
      <c r="X1023" s="66"/>
      <c r="Y1023" s="222"/>
      <c r="Z1023" s="184"/>
      <c r="AA1023" s="184"/>
      <c r="AB1023" s="184"/>
      <c r="AC1023" s="185"/>
      <c r="AD1023" s="66"/>
      <c r="AE1023" s="223"/>
      <c r="AF1023" s="223"/>
      <c r="AG1023" s="215"/>
      <c r="AH1023" s="216"/>
      <c r="AI1023" s="217"/>
      <c r="AJ1023" s="188"/>
      <c r="AK1023" s="218"/>
      <c r="AL1023" s="219"/>
      <c r="AM1023" s="220"/>
      <c r="AN1023" s="75"/>
      <c r="AO1023" s="221"/>
      <c r="AP1023" s="125"/>
      <c r="AQ1023" s="113"/>
      <c r="AR1023" s="75"/>
      <c r="AS1023" s="75"/>
      <c r="AT1023" s="75"/>
    </row>
    <row r="1024">
      <c r="A1024" s="185"/>
      <c r="B1024" s="125"/>
      <c r="C1024" s="113"/>
      <c r="D1024" s="75"/>
      <c r="E1024" s="185"/>
      <c r="F1024" s="125"/>
      <c r="G1024" s="113"/>
      <c r="H1024" s="75"/>
      <c r="I1024" s="185"/>
      <c r="J1024" s="125"/>
      <c r="K1024" s="113"/>
      <c r="L1024" s="75"/>
      <c r="M1024" s="185"/>
      <c r="N1024" s="125"/>
      <c r="O1024" s="113"/>
      <c r="P1024" s="75"/>
      <c r="Q1024" s="8"/>
      <c r="R1024" s="66"/>
      <c r="S1024" s="66"/>
      <c r="T1024" s="66"/>
      <c r="U1024" s="8"/>
      <c r="V1024" s="66"/>
      <c r="W1024" s="66"/>
      <c r="X1024" s="66"/>
      <c r="Y1024" s="222"/>
      <c r="Z1024" s="184"/>
      <c r="AA1024" s="184"/>
      <c r="AB1024" s="184"/>
      <c r="AC1024" s="185"/>
      <c r="AD1024" s="66"/>
      <c r="AE1024" s="223"/>
      <c r="AF1024" s="223"/>
      <c r="AG1024" s="215"/>
      <c r="AH1024" s="216"/>
      <c r="AI1024" s="217"/>
      <c r="AJ1024" s="188"/>
      <c r="AK1024" s="218"/>
      <c r="AL1024" s="219"/>
      <c r="AM1024" s="220"/>
      <c r="AN1024" s="75"/>
      <c r="AO1024" s="221"/>
      <c r="AP1024" s="125"/>
      <c r="AQ1024" s="113"/>
      <c r="AR1024" s="75"/>
      <c r="AS1024" s="75"/>
      <c r="AT1024" s="75"/>
    </row>
    <row r="1025">
      <c r="A1025" s="185"/>
      <c r="B1025" s="125"/>
      <c r="C1025" s="113"/>
      <c r="D1025" s="75"/>
      <c r="E1025" s="185"/>
      <c r="F1025" s="125"/>
      <c r="G1025" s="113"/>
      <c r="H1025" s="75"/>
      <c r="I1025" s="185"/>
      <c r="J1025" s="125"/>
      <c r="K1025" s="113"/>
      <c r="L1025" s="75"/>
      <c r="M1025" s="185"/>
      <c r="N1025" s="125"/>
      <c r="O1025" s="113"/>
      <c r="P1025" s="75"/>
      <c r="Q1025" s="8"/>
      <c r="R1025" s="66"/>
      <c r="S1025" s="66"/>
      <c r="T1025" s="66"/>
      <c r="U1025" s="8"/>
      <c r="V1025" s="66"/>
      <c r="W1025" s="66"/>
      <c r="X1025" s="66"/>
      <c r="Y1025" s="222"/>
      <c r="Z1025" s="184"/>
      <c r="AA1025" s="184"/>
      <c r="AB1025" s="184"/>
      <c r="AC1025" s="185"/>
      <c r="AD1025" s="66"/>
      <c r="AE1025" s="223"/>
      <c r="AF1025" s="223"/>
      <c r="AG1025" s="215"/>
      <c r="AH1025" s="216"/>
      <c r="AI1025" s="217"/>
      <c r="AJ1025" s="188"/>
      <c r="AK1025" s="218"/>
      <c r="AL1025" s="219"/>
      <c r="AM1025" s="220"/>
      <c r="AN1025" s="75"/>
      <c r="AO1025" s="221"/>
      <c r="AP1025" s="125"/>
      <c r="AQ1025" s="113"/>
      <c r="AR1025" s="75"/>
      <c r="AS1025" s="75"/>
      <c r="AT1025" s="75"/>
    </row>
    <row r="1026">
      <c r="A1026" s="185"/>
      <c r="B1026" s="125"/>
      <c r="C1026" s="113"/>
      <c r="D1026" s="75"/>
      <c r="E1026" s="185"/>
      <c r="F1026" s="125"/>
      <c r="G1026" s="113"/>
      <c r="H1026" s="75"/>
      <c r="I1026" s="185"/>
      <c r="J1026" s="125"/>
      <c r="K1026" s="113"/>
      <c r="L1026" s="75"/>
      <c r="M1026" s="185"/>
      <c r="N1026" s="125"/>
      <c r="O1026" s="113"/>
      <c r="P1026" s="75"/>
      <c r="Q1026" s="8"/>
      <c r="R1026" s="66"/>
      <c r="S1026" s="66"/>
      <c r="T1026" s="66"/>
      <c r="U1026" s="8"/>
      <c r="V1026" s="66"/>
      <c r="W1026" s="66"/>
      <c r="X1026" s="66"/>
      <c r="Y1026" s="222"/>
      <c r="Z1026" s="184"/>
      <c r="AA1026" s="184"/>
      <c r="AB1026" s="184"/>
      <c r="AC1026" s="185"/>
      <c r="AD1026" s="66"/>
      <c r="AE1026" s="223"/>
      <c r="AF1026" s="223"/>
      <c r="AG1026" s="215"/>
      <c r="AH1026" s="216"/>
      <c r="AI1026" s="217"/>
      <c r="AJ1026" s="188"/>
      <c r="AK1026" s="218"/>
      <c r="AL1026" s="219"/>
      <c r="AM1026" s="220"/>
      <c r="AN1026" s="75"/>
      <c r="AO1026" s="221"/>
      <c r="AP1026" s="125"/>
      <c r="AQ1026" s="113"/>
      <c r="AR1026" s="75"/>
      <c r="AS1026" s="75"/>
      <c r="AT1026" s="75"/>
    </row>
    <row r="1027">
      <c r="A1027" s="185"/>
      <c r="B1027" s="125"/>
      <c r="C1027" s="113"/>
      <c r="D1027" s="75"/>
      <c r="E1027" s="185"/>
      <c r="F1027" s="125"/>
      <c r="G1027" s="113"/>
      <c r="H1027" s="75"/>
      <c r="I1027" s="185"/>
      <c r="J1027" s="125"/>
      <c r="K1027" s="113"/>
      <c r="L1027" s="75"/>
      <c r="M1027" s="185"/>
      <c r="N1027" s="125"/>
      <c r="O1027" s="113"/>
      <c r="P1027" s="75"/>
      <c r="Q1027" s="8"/>
      <c r="R1027" s="66"/>
      <c r="S1027" s="66"/>
      <c r="T1027" s="66"/>
      <c r="U1027" s="8"/>
      <c r="V1027" s="66"/>
      <c r="W1027" s="66"/>
      <c r="X1027" s="66"/>
      <c r="Y1027" s="222"/>
      <c r="Z1027" s="184"/>
      <c r="AA1027" s="184"/>
      <c r="AB1027" s="184"/>
      <c r="AC1027" s="185"/>
      <c r="AD1027" s="66"/>
      <c r="AE1027" s="223"/>
      <c r="AF1027" s="223"/>
      <c r="AG1027" s="215"/>
      <c r="AH1027" s="216"/>
      <c r="AI1027" s="217"/>
      <c r="AJ1027" s="188"/>
      <c r="AK1027" s="218"/>
      <c r="AL1027" s="219"/>
      <c r="AM1027" s="220"/>
      <c r="AN1027" s="75"/>
      <c r="AO1027" s="221"/>
      <c r="AP1027" s="125"/>
      <c r="AQ1027" s="113"/>
      <c r="AR1027" s="75"/>
      <c r="AS1027" s="75"/>
      <c r="AT1027" s="75"/>
    </row>
    <row r="1028">
      <c r="A1028" s="185"/>
      <c r="B1028" s="125"/>
      <c r="C1028" s="113"/>
      <c r="D1028" s="75"/>
      <c r="E1028" s="185"/>
      <c r="F1028" s="125"/>
      <c r="G1028" s="113"/>
      <c r="H1028" s="75"/>
      <c r="I1028" s="185"/>
      <c r="J1028" s="125"/>
      <c r="K1028" s="113"/>
      <c r="L1028" s="75"/>
      <c r="M1028" s="185"/>
      <c r="N1028" s="125"/>
      <c r="O1028" s="113"/>
      <c r="P1028" s="75"/>
      <c r="Q1028" s="8"/>
      <c r="R1028" s="66"/>
      <c r="S1028" s="66"/>
      <c r="T1028" s="66"/>
      <c r="U1028" s="8"/>
      <c r="V1028" s="66"/>
      <c r="W1028" s="66"/>
      <c r="X1028" s="66"/>
      <c r="Y1028" s="222"/>
      <c r="Z1028" s="184"/>
      <c r="AA1028" s="184"/>
      <c r="AB1028" s="184"/>
      <c r="AC1028" s="185"/>
      <c r="AD1028" s="66"/>
      <c r="AE1028" s="223"/>
      <c r="AF1028" s="223"/>
      <c r="AG1028" s="215"/>
      <c r="AH1028" s="216"/>
      <c r="AI1028" s="217"/>
      <c r="AJ1028" s="188"/>
      <c r="AK1028" s="218"/>
      <c r="AL1028" s="219"/>
      <c r="AM1028" s="220"/>
      <c r="AN1028" s="75"/>
      <c r="AO1028" s="221"/>
      <c r="AP1028" s="125"/>
      <c r="AQ1028" s="113"/>
      <c r="AR1028" s="75"/>
      <c r="AS1028" s="75"/>
      <c r="AT1028" s="75"/>
    </row>
    <row r="1029">
      <c r="A1029" s="185"/>
      <c r="B1029" s="125"/>
      <c r="C1029" s="113"/>
      <c r="D1029" s="75"/>
      <c r="E1029" s="185"/>
      <c r="F1029" s="125"/>
      <c r="G1029" s="113"/>
      <c r="H1029" s="75"/>
      <c r="I1029" s="185"/>
      <c r="J1029" s="125"/>
      <c r="K1029" s="113"/>
      <c r="L1029" s="75"/>
      <c r="M1029" s="185"/>
      <c r="N1029" s="125"/>
      <c r="O1029" s="113"/>
      <c r="P1029" s="75"/>
      <c r="Q1029" s="8"/>
      <c r="R1029" s="66"/>
      <c r="S1029" s="66"/>
      <c r="T1029" s="66"/>
      <c r="U1029" s="8"/>
      <c r="V1029" s="66"/>
      <c r="W1029" s="66"/>
      <c r="X1029" s="66"/>
      <c r="Y1029" s="222"/>
      <c r="Z1029" s="184"/>
      <c r="AA1029" s="184"/>
      <c r="AB1029" s="184"/>
      <c r="AC1029" s="185"/>
      <c r="AD1029" s="66"/>
      <c r="AE1029" s="223"/>
      <c r="AF1029" s="223"/>
      <c r="AG1029" s="215"/>
      <c r="AH1029" s="216"/>
      <c r="AI1029" s="217"/>
      <c r="AJ1029" s="188"/>
      <c r="AK1029" s="218"/>
      <c r="AL1029" s="219"/>
      <c r="AM1029" s="220"/>
      <c r="AN1029" s="75"/>
      <c r="AO1029" s="221"/>
      <c r="AP1029" s="125"/>
      <c r="AQ1029" s="113"/>
      <c r="AR1029" s="75"/>
      <c r="AS1029" s="75"/>
      <c r="AT1029" s="75"/>
    </row>
    <row r="1030">
      <c r="A1030" s="185"/>
      <c r="B1030" s="125"/>
      <c r="C1030" s="113"/>
      <c r="D1030" s="75"/>
      <c r="E1030" s="185"/>
      <c r="F1030" s="125"/>
      <c r="G1030" s="113"/>
      <c r="H1030" s="75"/>
      <c r="I1030" s="185"/>
      <c r="J1030" s="125"/>
      <c r="K1030" s="113"/>
      <c r="L1030" s="75"/>
      <c r="M1030" s="185"/>
      <c r="N1030" s="125"/>
      <c r="O1030" s="113"/>
      <c r="P1030" s="75"/>
      <c r="Q1030" s="8"/>
      <c r="R1030" s="66"/>
      <c r="S1030" s="66"/>
      <c r="T1030" s="66"/>
      <c r="U1030" s="8"/>
      <c r="V1030" s="66"/>
      <c r="W1030" s="66"/>
      <c r="X1030" s="66"/>
      <c r="Y1030" s="222"/>
      <c r="Z1030" s="184"/>
      <c r="AA1030" s="184"/>
      <c r="AB1030" s="184"/>
      <c r="AC1030" s="185"/>
      <c r="AD1030" s="66"/>
      <c r="AE1030" s="223"/>
      <c r="AF1030" s="223"/>
      <c r="AG1030" s="215"/>
      <c r="AH1030" s="216"/>
      <c r="AI1030" s="217"/>
      <c r="AJ1030" s="188"/>
      <c r="AK1030" s="218"/>
      <c r="AL1030" s="219"/>
      <c r="AM1030" s="220"/>
      <c r="AN1030" s="75"/>
      <c r="AO1030" s="221"/>
      <c r="AP1030" s="125"/>
      <c r="AQ1030" s="113"/>
      <c r="AR1030" s="75"/>
      <c r="AS1030" s="75"/>
      <c r="AT1030" s="75"/>
    </row>
    <row r="1031">
      <c r="A1031" s="185"/>
      <c r="B1031" s="125"/>
      <c r="C1031" s="113"/>
      <c r="D1031" s="75"/>
      <c r="E1031" s="185"/>
      <c r="F1031" s="125"/>
      <c r="G1031" s="113"/>
      <c r="H1031" s="75"/>
      <c r="I1031" s="185"/>
      <c r="J1031" s="125"/>
      <c r="K1031" s="113"/>
      <c r="L1031" s="75"/>
      <c r="M1031" s="185"/>
      <c r="N1031" s="125"/>
      <c r="O1031" s="113"/>
      <c r="P1031" s="75"/>
      <c r="Q1031" s="8"/>
      <c r="R1031" s="66"/>
      <c r="S1031" s="66"/>
      <c r="T1031" s="66"/>
      <c r="U1031" s="8"/>
      <c r="V1031" s="66"/>
      <c r="W1031" s="66"/>
      <c r="X1031" s="66"/>
      <c r="Y1031" s="222"/>
      <c r="Z1031" s="184"/>
      <c r="AA1031" s="184"/>
      <c r="AB1031" s="184"/>
      <c r="AC1031" s="185"/>
      <c r="AD1031" s="66"/>
      <c r="AE1031" s="223"/>
      <c r="AF1031" s="223"/>
      <c r="AG1031" s="215"/>
      <c r="AH1031" s="216"/>
      <c r="AI1031" s="217"/>
      <c r="AJ1031" s="188"/>
      <c r="AK1031" s="218"/>
      <c r="AL1031" s="219"/>
      <c r="AM1031" s="220"/>
      <c r="AN1031" s="75"/>
      <c r="AO1031" s="221"/>
      <c r="AP1031" s="125"/>
      <c r="AQ1031" s="113"/>
      <c r="AR1031" s="75"/>
      <c r="AS1031" s="75"/>
      <c r="AT1031" s="75"/>
    </row>
    <row r="1032">
      <c r="A1032" s="185"/>
      <c r="B1032" s="125"/>
      <c r="C1032" s="113"/>
      <c r="D1032" s="75"/>
      <c r="E1032" s="185"/>
      <c r="F1032" s="125"/>
      <c r="G1032" s="113"/>
      <c r="H1032" s="75"/>
      <c r="I1032" s="185"/>
      <c r="J1032" s="125"/>
      <c r="K1032" s="113"/>
      <c r="L1032" s="75"/>
      <c r="M1032" s="185"/>
      <c r="N1032" s="125"/>
      <c r="O1032" s="113"/>
      <c r="P1032" s="75"/>
      <c r="Q1032" s="8"/>
      <c r="R1032" s="66"/>
      <c r="S1032" s="66"/>
      <c r="T1032" s="66"/>
      <c r="U1032" s="8"/>
      <c r="V1032" s="66"/>
      <c r="W1032" s="66"/>
      <c r="X1032" s="66"/>
      <c r="Y1032" s="222"/>
      <c r="Z1032" s="184"/>
      <c r="AA1032" s="184"/>
      <c r="AB1032" s="184"/>
      <c r="AC1032" s="185"/>
      <c r="AD1032" s="66"/>
      <c r="AE1032" s="223"/>
      <c r="AF1032" s="223"/>
      <c r="AG1032" s="215"/>
      <c r="AH1032" s="216"/>
      <c r="AI1032" s="217"/>
      <c r="AJ1032" s="188"/>
      <c r="AK1032" s="218"/>
      <c r="AL1032" s="219"/>
      <c r="AM1032" s="220"/>
      <c r="AN1032" s="75"/>
      <c r="AO1032" s="221"/>
      <c r="AP1032" s="125"/>
      <c r="AQ1032" s="113"/>
      <c r="AR1032" s="75"/>
      <c r="AS1032" s="75"/>
      <c r="AT1032" s="75"/>
    </row>
    <row r="1033">
      <c r="A1033" s="185"/>
      <c r="B1033" s="125"/>
      <c r="C1033" s="113"/>
      <c r="D1033" s="75"/>
      <c r="E1033" s="185"/>
      <c r="F1033" s="125"/>
      <c r="G1033" s="113"/>
      <c r="H1033" s="75"/>
      <c r="I1033" s="185"/>
      <c r="J1033" s="125"/>
      <c r="K1033" s="113"/>
      <c r="L1033" s="75"/>
      <c r="M1033" s="185"/>
      <c r="N1033" s="125"/>
      <c r="O1033" s="113"/>
      <c r="P1033" s="75"/>
      <c r="Q1033" s="8"/>
      <c r="R1033" s="66"/>
      <c r="S1033" s="66"/>
      <c r="T1033" s="66"/>
      <c r="U1033" s="8"/>
      <c r="V1033" s="66"/>
      <c r="W1033" s="66"/>
      <c r="X1033" s="66"/>
      <c r="Y1033" s="222"/>
      <c r="Z1033" s="184"/>
      <c r="AA1033" s="184"/>
      <c r="AB1033" s="184"/>
      <c r="AC1033" s="185"/>
      <c r="AD1033" s="66"/>
      <c r="AE1033" s="223"/>
      <c r="AF1033" s="223"/>
      <c r="AG1033" s="215"/>
      <c r="AH1033" s="216"/>
      <c r="AI1033" s="217"/>
      <c r="AJ1033" s="188"/>
      <c r="AK1033" s="218"/>
      <c r="AL1033" s="219"/>
      <c r="AM1033" s="220"/>
      <c r="AN1033" s="75"/>
      <c r="AO1033" s="221"/>
      <c r="AP1033" s="125"/>
      <c r="AQ1033" s="113"/>
      <c r="AR1033" s="75"/>
      <c r="AS1033" s="75"/>
      <c r="AT1033" s="75"/>
    </row>
    <row r="1034">
      <c r="A1034" s="185"/>
      <c r="B1034" s="125"/>
      <c r="C1034" s="113"/>
      <c r="D1034" s="75"/>
      <c r="E1034" s="185"/>
      <c r="F1034" s="125"/>
      <c r="G1034" s="113"/>
      <c r="H1034" s="75"/>
      <c r="I1034" s="185"/>
      <c r="J1034" s="125"/>
      <c r="K1034" s="113"/>
      <c r="L1034" s="75"/>
      <c r="M1034" s="185"/>
      <c r="N1034" s="125"/>
      <c r="O1034" s="113"/>
      <c r="P1034" s="75"/>
      <c r="Q1034" s="8"/>
      <c r="R1034" s="66"/>
      <c r="S1034" s="66"/>
      <c r="T1034" s="66"/>
      <c r="U1034" s="8"/>
      <c r="V1034" s="66"/>
      <c r="W1034" s="66"/>
      <c r="X1034" s="66"/>
      <c r="Y1034" s="222"/>
      <c r="Z1034" s="184"/>
      <c r="AA1034" s="184"/>
      <c r="AB1034" s="184"/>
      <c r="AC1034" s="185"/>
      <c r="AD1034" s="66"/>
      <c r="AE1034" s="223"/>
      <c r="AF1034" s="223"/>
      <c r="AG1034" s="215"/>
      <c r="AH1034" s="216"/>
      <c r="AI1034" s="217"/>
      <c r="AJ1034" s="188"/>
      <c r="AK1034" s="218"/>
      <c r="AL1034" s="219"/>
      <c r="AM1034" s="220"/>
      <c r="AN1034" s="75"/>
      <c r="AO1034" s="221"/>
      <c r="AP1034" s="125"/>
      <c r="AQ1034" s="113"/>
      <c r="AR1034" s="75"/>
      <c r="AS1034" s="75"/>
      <c r="AT1034" s="75"/>
    </row>
    <row r="1035">
      <c r="A1035" s="185"/>
      <c r="B1035" s="125"/>
      <c r="C1035" s="113"/>
      <c r="D1035" s="75"/>
      <c r="E1035" s="185"/>
      <c r="F1035" s="125"/>
      <c r="G1035" s="113"/>
      <c r="H1035" s="75"/>
      <c r="I1035" s="185"/>
      <c r="J1035" s="125"/>
      <c r="K1035" s="113"/>
      <c r="L1035" s="75"/>
      <c r="M1035" s="185"/>
      <c r="N1035" s="125"/>
      <c r="O1035" s="113"/>
      <c r="P1035" s="75"/>
      <c r="Q1035" s="8"/>
      <c r="R1035" s="66"/>
      <c r="S1035" s="66"/>
      <c r="T1035" s="66"/>
      <c r="U1035" s="8"/>
      <c r="V1035" s="66"/>
      <c r="W1035" s="66"/>
      <c r="X1035" s="66"/>
      <c r="Y1035" s="222"/>
      <c r="Z1035" s="184"/>
      <c r="AA1035" s="184"/>
      <c r="AB1035" s="184"/>
      <c r="AC1035" s="185"/>
      <c r="AD1035" s="66"/>
      <c r="AE1035" s="223"/>
      <c r="AF1035" s="223"/>
      <c r="AG1035" s="215"/>
      <c r="AH1035" s="216"/>
      <c r="AI1035" s="217"/>
      <c r="AJ1035" s="188"/>
      <c r="AK1035" s="218"/>
      <c r="AL1035" s="219"/>
      <c r="AM1035" s="220"/>
      <c r="AN1035" s="75"/>
      <c r="AO1035" s="221"/>
      <c r="AP1035" s="125"/>
      <c r="AQ1035" s="113"/>
      <c r="AR1035" s="75"/>
      <c r="AS1035" s="75"/>
      <c r="AT1035" s="75"/>
    </row>
    <row r="1036">
      <c r="A1036" s="185"/>
      <c r="B1036" s="125"/>
      <c r="C1036" s="113"/>
      <c r="D1036" s="75"/>
      <c r="E1036" s="185"/>
      <c r="F1036" s="125"/>
      <c r="G1036" s="113"/>
      <c r="H1036" s="75"/>
      <c r="I1036" s="185"/>
      <c r="J1036" s="125"/>
      <c r="K1036" s="113"/>
      <c r="L1036" s="75"/>
      <c r="M1036" s="185"/>
      <c r="N1036" s="125"/>
      <c r="O1036" s="113"/>
      <c r="P1036" s="75"/>
      <c r="Q1036" s="8"/>
      <c r="R1036" s="66"/>
      <c r="S1036" s="66"/>
      <c r="T1036" s="66"/>
      <c r="U1036" s="8"/>
      <c r="V1036" s="66"/>
      <c r="W1036" s="66"/>
      <c r="X1036" s="66"/>
      <c r="Y1036" s="222"/>
      <c r="Z1036" s="184"/>
      <c r="AA1036" s="184"/>
      <c r="AB1036" s="184"/>
      <c r="AC1036" s="185"/>
      <c r="AD1036" s="66"/>
      <c r="AE1036" s="223"/>
      <c r="AF1036" s="223"/>
      <c r="AG1036" s="215"/>
      <c r="AH1036" s="216"/>
      <c r="AI1036" s="217"/>
      <c r="AJ1036" s="188"/>
      <c r="AK1036" s="218"/>
      <c r="AL1036" s="219"/>
      <c r="AM1036" s="220"/>
      <c r="AN1036" s="75"/>
      <c r="AO1036" s="221"/>
      <c r="AP1036" s="125"/>
      <c r="AQ1036" s="113"/>
      <c r="AR1036" s="75"/>
      <c r="AS1036" s="75"/>
      <c r="AT1036" s="75"/>
    </row>
    <row r="1037">
      <c r="A1037" s="185"/>
      <c r="B1037" s="125"/>
      <c r="C1037" s="113"/>
      <c r="D1037" s="75"/>
      <c r="E1037" s="185"/>
      <c r="F1037" s="125"/>
      <c r="G1037" s="113"/>
      <c r="H1037" s="75"/>
      <c r="I1037" s="185"/>
      <c r="J1037" s="125"/>
      <c r="K1037" s="113"/>
      <c r="L1037" s="75"/>
      <c r="M1037" s="185"/>
      <c r="N1037" s="125"/>
      <c r="O1037" s="113"/>
      <c r="P1037" s="75"/>
      <c r="Q1037" s="8"/>
      <c r="R1037" s="66"/>
      <c r="S1037" s="66"/>
      <c r="T1037" s="66"/>
      <c r="U1037" s="8"/>
      <c r="V1037" s="66"/>
      <c r="W1037" s="66"/>
      <c r="X1037" s="66"/>
      <c r="Y1037" s="222"/>
      <c r="Z1037" s="184"/>
      <c r="AA1037" s="184"/>
      <c r="AB1037" s="184"/>
      <c r="AC1037" s="185"/>
      <c r="AD1037" s="66"/>
      <c r="AE1037" s="223"/>
      <c r="AF1037" s="223"/>
      <c r="AG1037" s="215"/>
      <c r="AH1037" s="216"/>
      <c r="AI1037" s="217"/>
      <c r="AJ1037" s="188"/>
      <c r="AK1037" s="218"/>
      <c r="AL1037" s="219"/>
      <c r="AM1037" s="220"/>
      <c r="AN1037" s="75"/>
      <c r="AO1037" s="221"/>
      <c r="AP1037" s="125"/>
      <c r="AQ1037" s="113"/>
      <c r="AR1037" s="75"/>
      <c r="AS1037" s="75"/>
      <c r="AT1037" s="75"/>
    </row>
  </sheetData>
  <mergeCells count="99">
    <mergeCell ref="AD3:AF3"/>
    <mergeCell ref="AH3:AJ3"/>
    <mergeCell ref="AL3:AN3"/>
    <mergeCell ref="AP3:AR3"/>
    <mergeCell ref="B3:D3"/>
    <mergeCell ref="F3:H3"/>
    <mergeCell ref="J3:L3"/>
    <mergeCell ref="N3:P3"/>
    <mergeCell ref="R3:T3"/>
    <mergeCell ref="V3:X3"/>
    <mergeCell ref="Z3:AB3"/>
    <mergeCell ref="AC4:AC7"/>
    <mergeCell ref="AD4:AD7"/>
    <mergeCell ref="AG4:AG7"/>
    <mergeCell ref="AH4:AH7"/>
    <mergeCell ref="AK4:AK7"/>
    <mergeCell ref="AL4:AL7"/>
    <mergeCell ref="AO4:AO7"/>
    <mergeCell ref="AP4:AP7"/>
    <mergeCell ref="N4:N7"/>
    <mergeCell ref="Q4:Q7"/>
    <mergeCell ref="R4:R7"/>
    <mergeCell ref="U4:U7"/>
    <mergeCell ref="V4:V7"/>
    <mergeCell ref="Y4:Y7"/>
    <mergeCell ref="Z4:Z7"/>
    <mergeCell ref="A4:A7"/>
    <mergeCell ref="B4:B7"/>
    <mergeCell ref="E4:E7"/>
    <mergeCell ref="F4:F7"/>
    <mergeCell ref="I4:I7"/>
    <mergeCell ref="J4:J7"/>
    <mergeCell ref="M4:M7"/>
    <mergeCell ref="AD37:AF37"/>
    <mergeCell ref="AH37:AJ37"/>
    <mergeCell ref="AL37:AN37"/>
    <mergeCell ref="AP37:AR37"/>
    <mergeCell ref="B37:D37"/>
    <mergeCell ref="F37:H37"/>
    <mergeCell ref="J37:L37"/>
    <mergeCell ref="N37:P37"/>
    <mergeCell ref="R37:T37"/>
    <mergeCell ref="V37:X37"/>
    <mergeCell ref="Z37:AB37"/>
    <mergeCell ref="AD105:AF105"/>
    <mergeCell ref="AH105:AJ105"/>
    <mergeCell ref="AL105:AN105"/>
    <mergeCell ref="AP105:AR105"/>
    <mergeCell ref="B105:D105"/>
    <mergeCell ref="F105:H105"/>
    <mergeCell ref="J105:L105"/>
    <mergeCell ref="N105:P105"/>
    <mergeCell ref="R105:T105"/>
    <mergeCell ref="V105:X105"/>
    <mergeCell ref="Z105:AB105"/>
    <mergeCell ref="AD52:AF52"/>
    <mergeCell ref="AH52:AJ52"/>
    <mergeCell ref="AL52:AN52"/>
    <mergeCell ref="AP52:AR52"/>
    <mergeCell ref="B52:D52"/>
    <mergeCell ref="F52:H52"/>
    <mergeCell ref="J52:L52"/>
    <mergeCell ref="N52:P52"/>
    <mergeCell ref="R52:T52"/>
    <mergeCell ref="V52:X52"/>
    <mergeCell ref="Z52:AB52"/>
    <mergeCell ref="AD88:AF88"/>
    <mergeCell ref="AH88:AJ88"/>
    <mergeCell ref="AL88:AN88"/>
    <mergeCell ref="AP88:AR88"/>
    <mergeCell ref="B88:D88"/>
    <mergeCell ref="F88:H88"/>
    <mergeCell ref="J88:L88"/>
    <mergeCell ref="N88:P88"/>
    <mergeCell ref="R88:T88"/>
    <mergeCell ref="V88:X88"/>
    <mergeCell ref="Z88:AB88"/>
    <mergeCell ref="AD95:AF95"/>
    <mergeCell ref="AH95:AJ95"/>
    <mergeCell ref="AL95:AN95"/>
    <mergeCell ref="AP95:AR95"/>
    <mergeCell ref="B95:D95"/>
    <mergeCell ref="F95:H95"/>
    <mergeCell ref="J95:L95"/>
    <mergeCell ref="N95:P95"/>
    <mergeCell ref="R95:T95"/>
    <mergeCell ref="V95:X95"/>
    <mergeCell ref="Z95:AB95"/>
    <mergeCell ref="AD118:AF118"/>
    <mergeCell ref="AH118:AJ118"/>
    <mergeCell ref="AL118:AN118"/>
    <mergeCell ref="AP118:AR118"/>
    <mergeCell ref="B118:D118"/>
    <mergeCell ref="F118:H118"/>
    <mergeCell ref="J118:L118"/>
    <mergeCell ref="N118:P118"/>
    <mergeCell ref="R118:T118"/>
    <mergeCell ref="V118:X118"/>
    <mergeCell ref="Z118:AB11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 customWidth="1" min="45" max="46" width="33.63"/>
  </cols>
  <sheetData>
    <row r="1">
      <c r="A1" s="93" t="s">
        <v>564</v>
      </c>
      <c r="B1" s="82" t="s">
        <v>3352</v>
      </c>
      <c r="C1" s="83" t="s">
        <v>566</v>
      </c>
      <c r="D1" s="84" t="s">
        <v>567</v>
      </c>
      <c r="E1" s="93" t="s">
        <v>564</v>
      </c>
      <c r="F1" s="82" t="s">
        <v>3353</v>
      </c>
      <c r="G1" s="83" t="s">
        <v>3354</v>
      </c>
      <c r="H1" s="84" t="s">
        <v>567</v>
      </c>
      <c r="I1" s="93" t="s">
        <v>564</v>
      </c>
      <c r="J1" s="82" t="s">
        <v>3355</v>
      </c>
      <c r="K1" s="83" t="s">
        <v>571</v>
      </c>
      <c r="L1" s="84" t="s">
        <v>572</v>
      </c>
      <c r="M1" s="93" t="s">
        <v>564</v>
      </c>
      <c r="N1" s="82" t="s">
        <v>3352</v>
      </c>
      <c r="O1" s="83" t="s">
        <v>3356</v>
      </c>
      <c r="P1" s="84" t="s">
        <v>3357</v>
      </c>
      <c r="Q1" s="93" t="s">
        <v>564</v>
      </c>
      <c r="R1" s="86" t="s">
        <v>3358</v>
      </c>
      <c r="S1" s="87" t="str">
        <f>IFERROR(__xludf.DUMMYFUNCTION("GOOGLETRANSLATE(C1,""zh-tw"",""es-MX"")"),"ilustrar")</f>
        <v>ilustrar</v>
      </c>
      <c r="T1" s="88" t="str">
        <f>IFERROR(__xludf.DUMMYFUNCTION("GOOGLETRANSLATE(D1,""zh-tw"",""es-MX"")"),"resultado")</f>
        <v>resultado</v>
      </c>
      <c r="U1" s="93" t="s">
        <v>564</v>
      </c>
      <c r="V1" s="86" t="str">
        <f>IFERROR(__xludf.DUMMYFUNCTION("GOOGLETRANSLATE(B1,""zh-tw"",""KO"")"),"RPG 이벤트")</f>
        <v>RPG 이벤트</v>
      </c>
      <c r="W1" s="87" t="str">
        <f>IFERROR(__xludf.DUMMYFUNCTION("GOOGLETRANSLATE(C1,""zh-tw"",""KO"")"),"설명하다")</f>
        <v>설명하다</v>
      </c>
      <c r="X1" s="88" t="str">
        <f>IFERROR(__xludf.DUMMYFUNCTION("GOOGLETRANSLATE(D1,""zh-tw"",""KO"")"),"결과")</f>
        <v>결과</v>
      </c>
      <c r="Y1" s="93" t="s">
        <v>564</v>
      </c>
      <c r="Z1" s="82" t="s">
        <v>3359</v>
      </c>
      <c r="AA1" s="83" t="s">
        <v>3360</v>
      </c>
      <c r="AB1" s="84" t="s">
        <v>3361</v>
      </c>
      <c r="AC1" s="93" t="s">
        <v>564</v>
      </c>
      <c r="AD1" s="82" t="s">
        <v>3362</v>
      </c>
      <c r="AE1" s="224" t="s">
        <v>3363</v>
      </c>
      <c r="AF1" s="84" t="s">
        <v>3364</v>
      </c>
      <c r="AG1" s="93" t="s">
        <v>564</v>
      </c>
      <c r="AH1" s="225" t="s">
        <v>3365</v>
      </c>
      <c r="AI1" s="226" t="s">
        <v>3366</v>
      </c>
      <c r="AJ1" s="227" t="s">
        <v>585</v>
      </c>
      <c r="AK1" s="93" t="s">
        <v>564</v>
      </c>
      <c r="AL1" s="86" t="s">
        <v>3367</v>
      </c>
      <c r="AM1" s="87" t="s">
        <v>587</v>
      </c>
      <c r="AN1" s="88" t="s">
        <v>575</v>
      </c>
      <c r="AO1" s="93" t="s">
        <v>564</v>
      </c>
      <c r="AP1" s="82" t="s">
        <v>3368</v>
      </c>
      <c r="AQ1" s="83" t="s">
        <v>3369</v>
      </c>
      <c r="AR1" s="84" t="s">
        <v>591</v>
      </c>
      <c r="AS1" s="88"/>
      <c r="AT1" s="88"/>
    </row>
    <row r="2">
      <c r="A2" s="228" t="s">
        <v>592</v>
      </c>
      <c r="B2" s="228" t="s">
        <v>3370</v>
      </c>
      <c r="E2" s="228" t="s">
        <v>592</v>
      </c>
      <c r="F2" s="229"/>
      <c r="I2" s="228" t="s">
        <v>592</v>
      </c>
      <c r="J2" s="230" t="s">
        <v>3371</v>
      </c>
      <c r="M2" s="228" t="s">
        <v>592</v>
      </c>
      <c r="N2" s="228" t="s">
        <v>3372</v>
      </c>
      <c r="Q2" s="228" t="s">
        <v>592</v>
      </c>
      <c r="R2" s="231"/>
      <c r="U2" s="228" t="s">
        <v>592</v>
      </c>
      <c r="V2" s="231"/>
      <c r="Y2" s="228" t="s">
        <v>592</v>
      </c>
      <c r="Z2" s="232" t="s">
        <v>3373</v>
      </c>
      <c r="AC2" s="228" t="s">
        <v>592</v>
      </c>
      <c r="AD2" s="229"/>
      <c r="AG2" s="228" t="s">
        <v>592</v>
      </c>
      <c r="AH2" s="229"/>
      <c r="AK2" s="228" t="s">
        <v>592</v>
      </c>
      <c r="AL2" s="233" t="s">
        <v>3374</v>
      </c>
      <c r="AO2" s="228" t="s">
        <v>592</v>
      </c>
      <c r="AP2" s="229"/>
      <c r="AS2" s="231"/>
      <c r="AT2" s="231"/>
    </row>
    <row r="3">
      <c r="A3" s="234" t="s">
        <v>3375</v>
      </c>
      <c r="B3" s="112" t="s">
        <v>3376</v>
      </c>
      <c r="C3" s="111" t="s">
        <v>3377</v>
      </c>
      <c r="D3" s="72" t="s">
        <v>3378</v>
      </c>
      <c r="E3" s="234" t="s">
        <v>3375</v>
      </c>
      <c r="F3" s="112" t="s">
        <v>3379</v>
      </c>
      <c r="G3" s="111" t="s">
        <v>3380</v>
      </c>
      <c r="H3" s="72" t="s">
        <v>3381</v>
      </c>
      <c r="I3" s="234" t="s">
        <v>3375</v>
      </c>
      <c r="J3" s="112" t="s">
        <v>3382</v>
      </c>
      <c r="K3" s="111" t="s">
        <v>3383</v>
      </c>
      <c r="L3" s="72" t="s">
        <v>3384</v>
      </c>
      <c r="M3" s="234" t="s">
        <v>3375</v>
      </c>
      <c r="N3" s="112" t="s">
        <v>3376</v>
      </c>
      <c r="O3" s="111" t="s">
        <v>3385</v>
      </c>
      <c r="P3" s="72" t="s">
        <v>3386</v>
      </c>
      <c r="Q3" s="234" t="s">
        <v>3375</v>
      </c>
      <c r="R3" s="125" t="s">
        <v>3387</v>
      </c>
      <c r="S3" s="113" t="str">
        <f>IFERROR(__xludf.DUMMYFUNCTION("GOOGLETRANSLATE(C3,""zh-tw"",""es-MX"")"),"En la calle del aventurero, bajar desde el punto de partida es la forma de volver temprano a casa.")</f>
        <v>En la calle del aventurero, bajar desde el punto de partida es la forma de volver temprano a casa.</v>
      </c>
      <c r="T3" s="75"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234" t="s">
        <v>3375</v>
      </c>
      <c r="V3" s="112" t="s">
        <v>3388</v>
      </c>
      <c r="W3" s="113" t="str">
        <f>IFERROR(__xludf.DUMMYFUNCTION("GOOGLETRANSLATE(C3,""zh-tw"",""KO"")"),"모험가의 거리에서 출발점에서 내려가는 길은 일찍 집으로 돌아가는 길입니다.")</f>
        <v>모험가의 거리에서 출발점에서 내려가는 길은 일찍 집으로 돌아가는 길입니다.</v>
      </c>
      <c r="X3" s="72" t="s">
        <v>3389</v>
      </c>
      <c r="Y3" s="234" t="s">
        <v>3375</v>
      </c>
      <c r="Z3" s="235" t="s">
        <v>3390</v>
      </c>
      <c r="AA3" s="236" t="s">
        <v>3391</v>
      </c>
      <c r="AB3" s="65" t="s">
        <v>3392</v>
      </c>
      <c r="AC3" s="234" t="s">
        <v>3375</v>
      </c>
      <c r="AD3" s="112" t="s">
        <v>3393</v>
      </c>
      <c r="AE3" s="237" t="s">
        <v>3394</v>
      </c>
      <c r="AF3" s="135" t="s">
        <v>3395</v>
      </c>
      <c r="AG3" s="234" t="s">
        <v>3375</v>
      </c>
      <c r="AH3" s="238" t="s">
        <v>3396</v>
      </c>
      <c r="AI3" s="119" t="s">
        <v>3397</v>
      </c>
      <c r="AJ3" s="120" t="s">
        <v>3398</v>
      </c>
      <c r="AK3" s="234" t="s">
        <v>3375</v>
      </c>
      <c r="AL3" s="125" t="s">
        <v>3399</v>
      </c>
      <c r="AM3" s="113" t="s">
        <v>3400</v>
      </c>
      <c r="AN3" s="72" t="s">
        <v>3401</v>
      </c>
      <c r="AO3" s="234" t="s">
        <v>3375</v>
      </c>
      <c r="AP3" s="112" t="s">
        <v>3402</v>
      </c>
      <c r="AQ3" s="111" t="s">
        <v>3403</v>
      </c>
      <c r="AR3" s="72" t="s">
        <v>3404</v>
      </c>
      <c r="AS3" s="75"/>
      <c r="AT3" s="75"/>
    </row>
    <row r="4" ht="122.25" customHeight="1">
      <c r="A4" s="234" t="s">
        <v>3405</v>
      </c>
      <c r="B4" s="108" t="s">
        <v>3406</v>
      </c>
      <c r="C4" s="111" t="s">
        <v>3407</v>
      </c>
      <c r="D4" s="110" t="s">
        <v>3408</v>
      </c>
      <c r="E4" s="234" t="s">
        <v>3405</v>
      </c>
      <c r="F4" s="112" t="s">
        <v>3409</v>
      </c>
      <c r="G4" s="111" t="s">
        <v>3410</v>
      </c>
      <c r="H4" s="72" t="s">
        <v>3411</v>
      </c>
      <c r="I4" s="234" t="s">
        <v>3405</v>
      </c>
      <c r="J4" s="112" t="s">
        <v>3412</v>
      </c>
      <c r="K4" s="111" t="s">
        <v>3413</v>
      </c>
      <c r="L4" s="72" t="s">
        <v>3414</v>
      </c>
      <c r="M4" s="234" t="s">
        <v>3405</v>
      </c>
      <c r="N4" s="112" t="s">
        <v>3406</v>
      </c>
      <c r="O4" s="111" t="s">
        <v>3415</v>
      </c>
      <c r="P4" s="72" t="s">
        <v>3416</v>
      </c>
      <c r="Q4" s="234" t="s">
        <v>3405</v>
      </c>
      <c r="R4" s="125" t="s">
        <v>3417</v>
      </c>
      <c r="S4" s="113"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75" t="str">
        <f>IFERROR(__xludf.DUMMYFUNCTION("GOOGLETRANSLATE(D4,""zh-tw"",""es-MX"")"),"Objeto obtenido: Gel mágico
Se usa para ampliar los espacios de la mochila.")</f>
        <v>Objeto obtenido: Gel mágico
Se usa para ampliar los espacios de la mochila.</v>
      </c>
      <c r="U4" s="234" t="s">
        <v>3405</v>
      </c>
      <c r="V4" s="125" t="str">
        <f>IFERROR(__xludf.DUMMYFUNCTION("GOOGLETRANSLATE(B4,""zh-tw"",""KO"")"),"쓰레기통")</f>
        <v>쓰레기통</v>
      </c>
      <c r="W4" s="113"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75" t="str">
        <f>IFERROR(__xludf.DUMMYFUNCTION("GOOGLETRANSLATE(D4,""zh-tw"",""KO"")"),"획득 아이템: 마법 젤
배낭 슬롯을 확장하는 데 사용됩니다.")</f>
        <v>획득 아이템: 마법 젤
배낭 슬롯을 확장하는 데 사용됩니다.</v>
      </c>
      <c r="Y4" s="234" t="s">
        <v>3405</v>
      </c>
      <c r="Z4" s="235" t="s">
        <v>3418</v>
      </c>
      <c r="AA4" s="236" t="s">
        <v>3419</v>
      </c>
      <c r="AB4" s="65" t="s">
        <v>3420</v>
      </c>
      <c r="AC4" s="234" t="s">
        <v>3405</v>
      </c>
      <c r="AD4" s="112" t="s">
        <v>3421</v>
      </c>
      <c r="AE4" s="237" t="s">
        <v>3422</v>
      </c>
      <c r="AF4" s="135" t="s">
        <v>3423</v>
      </c>
      <c r="AG4" s="234" t="s">
        <v>3405</v>
      </c>
      <c r="AH4" s="238" t="s">
        <v>3424</v>
      </c>
      <c r="AI4" s="119" t="s">
        <v>3425</v>
      </c>
      <c r="AJ4" s="120" t="s">
        <v>3426</v>
      </c>
      <c r="AK4" s="234" t="s">
        <v>3405</v>
      </c>
      <c r="AL4" s="125" t="s">
        <v>3427</v>
      </c>
      <c r="AM4" s="113" t="s">
        <v>3428</v>
      </c>
      <c r="AN4" s="75" t="s">
        <v>3429</v>
      </c>
      <c r="AO4" s="234" t="s">
        <v>3405</v>
      </c>
      <c r="AP4" s="112" t="s">
        <v>3430</v>
      </c>
      <c r="AQ4" s="111" t="s">
        <v>3431</v>
      </c>
      <c r="AR4" s="72" t="s">
        <v>3432</v>
      </c>
      <c r="AS4" s="75"/>
      <c r="AT4" s="75"/>
    </row>
    <row r="5">
      <c r="A5" s="234" t="s">
        <v>3433</v>
      </c>
      <c r="B5" s="108" t="s">
        <v>3434</v>
      </c>
      <c r="C5" s="109" t="s">
        <v>3435</v>
      </c>
      <c r="D5" s="110" t="s">
        <v>3436</v>
      </c>
      <c r="E5" s="234" t="s">
        <v>3433</v>
      </c>
      <c r="F5" s="108" t="s">
        <v>3437</v>
      </c>
      <c r="G5" s="109" t="s">
        <v>3438</v>
      </c>
      <c r="H5" s="110" t="s">
        <v>3439</v>
      </c>
      <c r="I5" s="234" t="s">
        <v>3433</v>
      </c>
      <c r="J5" s="108" t="s">
        <v>3440</v>
      </c>
      <c r="K5" s="109" t="s">
        <v>3441</v>
      </c>
      <c r="L5" s="110" t="s">
        <v>3442</v>
      </c>
      <c r="M5" s="234" t="s">
        <v>3433</v>
      </c>
      <c r="N5" s="112" t="s">
        <v>3434</v>
      </c>
      <c r="O5" s="111" t="s">
        <v>3443</v>
      </c>
      <c r="P5" s="72" t="s">
        <v>3444</v>
      </c>
      <c r="Q5" s="234" t="s">
        <v>3433</v>
      </c>
      <c r="R5" s="125" t="s">
        <v>3445</v>
      </c>
      <c r="S5" s="113"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75" t="str">
        <f>IFERROR(__xludf.DUMMYFUNCTION("GOOGLETRANSLATE(D5,""zh-tw"",""es-MX"")"),"Objeto obtenido: Corazón de espantapájaros")</f>
        <v>Objeto obtenido: Corazón de espantapájaros</v>
      </c>
      <c r="U5" s="234" t="s">
        <v>3433</v>
      </c>
      <c r="V5" s="125" t="str">
        <f>IFERROR(__xludf.DUMMYFUNCTION("GOOGLETRANSLATE(B5,""zh-tw"",""KO"")"),"허수아비")</f>
        <v>허수아비</v>
      </c>
      <c r="W5" s="113"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75" t="str">
        <f>IFERROR(__xludf.DUMMYFUNCTION("GOOGLETRANSLATE(D5,""zh-tw"",""KO"")"),"획득 아이템: 허수아비의 심장")</f>
        <v>획득 아이템: 허수아비의 심장</v>
      </c>
      <c r="Y5" s="234" t="s">
        <v>3433</v>
      </c>
      <c r="Z5" s="235" t="s">
        <v>3446</v>
      </c>
      <c r="AA5" s="236" t="s">
        <v>3447</v>
      </c>
      <c r="AB5" s="65" t="s">
        <v>3448</v>
      </c>
      <c r="AC5" s="234" t="s">
        <v>3433</v>
      </c>
      <c r="AD5" s="108" t="s">
        <v>3449</v>
      </c>
      <c r="AE5" s="109" t="s">
        <v>3450</v>
      </c>
      <c r="AF5" s="110" t="s">
        <v>3451</v>
      </c>
      <c r="AG5" s="234" t="s">
        <v>3433</v>
      </c>
      <c r="AH5" s="238" t="s">
        <v>3452</v>
      </c>
      <c r="AI5" s="119" t="s">
        <v>3453</v>
      </c>
      <c r="AJ5" s="120" t="s">
        <v>3454</v>
      </c>
      <c r="AK5" s="234" t="s">
        <v>3433</v>
      </c>
      <c r="AL5" s="125" t="s">
        <v>3455</v>
      </c>
      <c r="AM5" s="113" t="s">
        <v>3456</v>
      </c>
      <c r="AN5" s="75" t="s">
        <v>3457</v>
      </c>
      <c r="AO5" s="234" t="s">
        <v>3433</v>
      </c>
      <c r="AP5" s="112" t="s">
        <v>3458</v>
      </c>
      <c r="AQ5" s="113" t="s">
        <v>3459</v>
      </c>
      <c r="AR5" s="75" t="s">
        <v>3460</v>
      </c>
      <c r="AS5" s="75"/>
      <c r="AT5" s="75"/>
    </row>
    <row r="6">
      <c r="A6" s="234" t="s">
        <v>3461</v>
      </c>
      <c r="B6" s="112" t="s">
        <v>3462</v>
      </c>
      <c r="C6" s="111" t="s">
        <v>3463</v>
      </c>
      <c r="D6" s="72" t="s">
        <v>3464</v>
      </c>
      <c r="E6" s="234" t="s">
        <v>3461</v>
      </c>
      <c r="F6" s="112" t="s">
        <v>3462</v>
      </c>
      <c r="G6" s="111" t="s">
        <v>3465</v>
      </c>
      <c r="H6" s="72" t="s">
        <v>3466</v>
      </c>
      <c r="I6" s="234" t="s">
        <v>3461</v>
      </c>
      <c r="J6" s="112" t="s">
        <v>3467</v>
      </c>
      <c r="K6" s="111" t="s">
        <v>3468</v>
      </c>
      <c r="L6" s="72" t="s">
        <v>3469</v>
      </c>
      <c r="M6" s="234" t="s">
        <v>3461</v>
      </c>
      <c r="N6" s="112" t="s">
        <v>3470</v>
      </c>
      <c r="O6" s="111" t="s">
        <v>3471</v>
      </c>
      <c r="P6" s="72" t="s">
        <v>3472</v>
      </c>
      <c r="Q6" s="234" t="s">
        <v>3461</v>
      </c>
      <c r="R6" s="125" t="s">
        <v>3473</v>
      </c>
      <c r="S6" s="113"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75" t="str">
        <f>IFERROR(__xludf.DUMMYFUNCTION("GOOGLETRANSLATE(D6,""zh-tw"",""es-MX"")"),"Habilidad aprendida: Paso relámpago con katana")</f>
        <v>Habilidad aprendida: Paso relámpago con katana</v>
      </c>
      <c r="U6" s="234" t="s">
        <v>3461</v>
      </c>
      <c r="V6" s="125" t="str">
        <f>IFERROR(__xludf.DUMMYFUNCTION("GOOGLETRANSLATE(B6,""zh-tw"",""KO"")"),"플래시 스텝 소드")</f>
        <v>플래시 스텝 소드</v>
      </c>
      <c r="W6" s="113"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75" t="str">
        <f>IFERROR(__xludf.DUMMYFUNCTION("GOOGLETRANSLATE(D6,""zh-tw"",""KO"")"),"습득 기술: 플래시 스텝 카타나")</f>
        <v>습득 기술: 플래시 스텝 카타나</v>
      </c>
      <c r="Y6" s="234" t="s">
        <v>3461</v>
      </c>
      <c r="Z6" s="235" t="s">
        <v>3474</v>
      </c>
      <c r="AA6" s="236" t="s">
        <v>3475</v>
      </c>
      <c r="AB6" s="65" t="s">
        <v>3476</v>
      </c>
      <c r="AC6" s="234" t="s">
        <v>3461</v>
      </c>
      <c r="AD6" s="112" t="s">
        <v>3477</v>
      </c>
      <c r="AE6" s="237" t="s">
        <v>3478</v>
      </c>
      <c r="AF6" s="135" t="s">
        <v>3479</v>
      </c>
      <c r="AG6" s="234" t="s">
        <v>3461</v>
      </c>
      <c r="AH6" s="238" t="s">
        <v>3467</v>
      </c>
      <c r="AI6" s="119" t="s">
        <v>3480</v>
      </c>
      <c r="AJ6" s="120" t="s">
        <v>3481</v>
      </c>
      <c r="AK6" s="234" t="s">
        <v>3461</v>
      </c>
      <c r="AL6" s="125" t="s">
        <v>3467</v>
      </c>
      <c r="AM6" s="113" t="s">
        <v>3482</v>
      </c>
      <c r="AN6" s="75" t="s">
        <v>3483</v>
      </c>
      <c r="AO6" s="234" t="s">
        <v>3461</v>
      </c>
      <c r="AP6" s="112" t="s">
        <v>3467</v>
      </c>
      <c r="AQ6" s="111" t="s">
        <v>3484</v>
      </c>
      <c r="AR6" s="72" t="s">
        <v>3485</v>
      </c>
      <c r="AS6" s="75"/>
      <c r="AT6" s="75"/>
    </row>
    <row r="7">
      <c r="A7" s="234" t="s">
        <v>3486</v>
      </c>
      <c r="B7" s="112" t="s">
        <v>3487</v>
      </c>
      <c r="C7" s="111" t="s">
        <v>3488</v>
      </c>
      <c r="D7" s="72" t="s">
        <v>3489</v>
      </c>
      <c r="E7" s="234" t="s">
        <v>3486</v>
      </c>
      <c r="F7" s="112" t="s">
        <v>3490</v>
      </c>
      <c r="G7" s="111" t="s">
        <v>3491</v>
      </c>
      <c r="H7" s="72" t="s">
        <v>3492</v>
      </c>
      <c r="I7" s="234" t="s">
        <v>3486</v>
      </c>
      <c r="J7" s="112" t="s">
        <v>3493</v>
      </c>
      <c r="K7" s="111" t="s">
        <v>3494</v>
      </c>
      <c r="L7" s="72" t="s">
        <v>3495</v>
      </c>
      <c r="M7" s="234" t="s">
        <v>3486</v>
      </c>
      <c r="N7" s="112" t="s">
        <v>3496</v>
      </c>
      <c r="O7" s="111" t="s">
        <v>3497</v>
      </c>
      <c r="P7" s="72" t="s">
        <v>3498</v>
      </c>
      <c r="Q7" s="234" t="s">
        <v>3486</v>
      </c>
      <c r="R7" s="125" t="s">
        <v>3499</v>
      </c>
      <c r="S7" s="113"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75" t="str">
        <f>IFERROR(__xludf.DUMMYFUNCTION("GOOGLETRANSLATE(D7,""zh-tw"",""es-MX"")"),"Objeto obtenido: Perspectivas del aventurero
*La historia continuará próximamente.")</f>
        <v>Objeto obtenido: Perspectivas del aventurero
*La historia continuará próximamente.</v>
      </c>
      <c r="U7" s="234" t="s">
        <v>3486</v>
      </c>
      <c r="V7" s="125" t="str">
        <f>IFERROR(__xludf.DUMMYFUNCTION("GOOGLETRANSLATE(B7,""zh-tw"",""KO"")"),"공략집은 어디서 찾을 수 있나요?")</f>
        <v>공략집은 어디서 찾을 수 있나요?</v>
      </c>
      <c r="W7" s="113"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75" t="str">
        <f>IFERROR(__xludf.DUMMYFUNCTION("GOOGLETRANSLATE(D7,""zh-tw"",""KO"")"),"획득 아이템: 모험가의 통찰력
*스토리는 추후 업데이트될 예정입니다.")</f>
        <v>획득 아이템: 모험가의 통찰력
*스토리는 추후 업데이트될 예정입니다.</v>
      </c>
      <c r="Y7" s="234" t="s">
        <v>3486</v>
      </c>
      <c r="Z7" s="235" t="s">
        <v>3500</v>
      </c>
      <c r="AA7" s="236" t="s">
        <v>3501</v>
      </c>
      <c r="AB7" s="65" t="s">
        <v>3502</v>
      </c>
      <c r="AC7" s="234" t="s">
        <v>3486</v>
      </c>
      <c r="AD7" s="112" t="s">
        <v>3503</v>
      </c>
      <c r="AE7" s="237" t="s">
        <v>3504</v>
      </c>
      <c r="AF7" s="135" t="s">
        <v>3505</v>
      </c>
      <c r="AG7" s="234" t="s">
        <v>3486</v>
      </c>
      <c r="AH7" s="239" t="s">
        <v>3506</v>
      </c>
      <c r="AI7" s="130" t="s">
        <v>3507</v>
      </c>
      <c r="AJ7" s="134" t="s">
        <v>3508</v>
      </c>
      <c r="AK7" s="234" t="s">
        <v>3486</v>
      </c>
      <c r="AL7" s="125" t="s">
        <v>3509</v>
      </c>
      <c r="AM7" s="113" t="s">
        <v>3510</v>
      </c>
      <c r="AN7" s="75" t="s">
        <v>3511</v>
      </c>
      <c r="AO7" s="234" t="s">
        <v>3486</v>
      </c>
      <c r="AP7" s="112" t="s">
        <v>3512</v>
      </c>
      <c r="AQ7" s="111" t="s">
        <v>3513</v>
      </c>
      <c r="AR7" s="72" t="s">
        <v>3514</v>
      </c>
      <c r="AS7" s="75"/>
      <c r="AT7" s="75"/>
    </row>
    <row r="8">
      <c r="A8" s="234" t="s">
        <v>3515</v>
      </c>
      <c r="B8" s="112" t="s">
        <v>3516</v>
      </c>
      <c r="C8" s="111" t="s">
        <v>3517</v>
      </c>
      <c r="D8" s="72" t="s">
        <v>1243</v>
      </c>
      <c r="E8" s="234" t="s">
        <v>3515</v>
      </c>
      <c r="F8" s="112" t="s">
        <v>3518</v>
      </c>
      <c r="G8" s="111" t="s">
        <v>3519</v>
      </c>
      <c r="H8" s="72" t="s">
        <v>1243</v>
      </c>
      <c r="I8" s="234" t="s">
        <v>3515</v>
      </c>
      <c r="J8" s="112" t="s">
        <v>3520</v>
      </c>
      <c r="K8" s="111" t="s">
        <v>3521</v>
      </c>
      <c r="L8" s="72" t="s">
        <v>1243</v>
      </c>
      <c r="M8" s="234" t="s">
        <v>3515</v>
      </c>
      <c r="N8" s="112" t="s">
        <v>3522</v>
      </c>
      <c r="O8" s="111" t="s">
        <v>3523</v>
      </c>
      <c r="P8" s="72" t="s">
        <v>1243</v>
      </c>
      <c r="Q8" s="234" t="s">
        <v>3515</v>
      </c>
      <c r="R8" s="125" t="s">
        <v>3524</v>
      </c>
      <c r="S8" s="113"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72" t="s">
        <v>1243</v>
      </c>
      <c r="U8" s="234" t="s">
        <v>3515</v>
      </c>
      <c r="V8" s="125" t="str">
        <f>IFERROR(__xludf.DUMMYFUNCTION("GOOGLETRANSLATE(B8,""zh-tw"",""KO"")"),"음료 자판기의 새로운 탄생")</f>
        <v>음료 자판기의 새로운 탄생</v>
      </c>
      <c r="W8" s="113"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72" t="s">
        <v>1243</v>
      </c>
      <c r="Y8" s="234" t="s">
        <v>3515</v>
      </c>
      <c r="Z8" s="235" t="s">
        <v>3525</v>
      </c>
      <c r="AA8" s="236" t="s">
        <v>3526</v>
      </c>
      <c r="AB8" s="65" t="s">
        <v>1243</v>
      </c>
      <c r="AC8" s="234" t="s">
        <v>3515</v>
      </c>
      <c r="AD8" s="112" t="s">
        <v>3527</v>
      </c>
      <c r="AE8" s="237" t="s">
        <v>3528</v>
      </c>
      <c r="AF8" s="135" t="s">
        <v>3529</v>
      </c>
      <c r="AG8" s="234" t="s">
        <v>3515</v>
      </c>
      <c r="AH8" s="238" t="s">
        <v>3530</v>
      </c>
      <c r="AI8" s="119" t="s">
        <v>3531</v>
      </c>
      <c r="AJ8" s="120" t="s">
        <v>1243</v>
      </c>
      <c r="AK8" s="234" t="s">
        <v>3515</v>
      </c>
      <c r="AL8" s="125" t="s">
        <v>3532</v>
      </c>
      <c r="AM8" s="113" t="s">
        <v>3533</v>
      </c>
      <c r="AN8" s="75" t="s">
        <v>1243</v>
      </c>
      <c r="AO8" s="234" t="s">
        <v>3515</v>
      </c>
      <c r="AP8" s="112" t="s">
        <v>3534</v>
      </c>
      <c r="AQ8" s="111" t="s">
        <v>3535</v>
      </c>
      <c r="AR8" s="72" t="s">
        <v>1243</v>
      </c>
      <c r="AS8" s="75"/>
      <c r="AT8" s="75"/>
    </row>
    <row r="9">
      <c r="A9" s="234" t="s">
        <v>3536</v>
      </c>
      <c r="B9" s="112" t="s">
        <v>3537</v>
      </c>
      <c r="C9" s="111" t="s">
        <v>3538</v>
      </c>
      <c r="D9" s="72" t="s">
        <v>3539</v>
      </c>
      <c r="E9" s="234" t="s">
        <v>3536</v>
      </c>
      <c r="F9" s="112" t="s">
        <v>3540</v>
      </c>
      <c r="G9" s="111" t="s">
        <v>3541</v>
      </c>
      <c r="H9" s="72" t="s">
        <v>3542</v>
      </c>
      <c r="I9" s="234" t="s">
        <v>3536</v>
      </c>
      <c r="J9" s="112" t="s">
        <v>3543</v>
      </c>
      <c r="K9" s="111" t="s">
        <v>3544</v>
      </c>
      <c r="L9" s="72" t="s">
        <v>3545</v>
      </c>
      <c r="M9" s="234" t="s">
        <v>3536</v>
      </c>
      <c r="N9" s="112" t="s">
        <v>3546</v>
      </c>
      <c r="O9" s="111" t="s">
        <v>3547</v>
      </c>
      <c r="P9" s="72" t="s">
        <v>3548</v>
      </c>
      <c r="Q9" s="234" t="s">
        <v>3536</v>
      </c>
      <c r="R9" s="125" t="s">
        <v>3549</v>
      </c>
      <c r="S9" s="113"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75" t="str">
        <f>IFERROR(__xludf.DUMMYFUNCTION("GOOGLETRANSLATE(D9,""zh-tw"",""es-MX"")"),"Tras obtener ""JoyStation V"", podrás iniciar y activar el juego con tu hermana al regresar a casa.")</f>
        <v>Tras obtener "JoyStation V", podrás iniciar y activar el juego con tu hermana al regresar a casa.</v>
      </c>
      <c r="U9" s="234" t="s">
        <v>3536</v>
      </c>
      <c r="V9" s="125" t="str">
        <f>IFERROR(__xludf.DUMMYFUNCTION("GOOGLETRANSLATE(B9,""zh-tw"",""KO"")"),"게임 콘솔")</f>
        <v>게임 콘솔</v>
      </c>
      <c r="W9" s="113"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75"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34" t="s">
        <v>3536</v>
      </c>
      <c r="Z9" s="235" t="s">
        <v>3550</v>
      </c>
      <c r="AA9" s="236" t="s">
        <v>3551</v>
      </c>
      <c r="AB9" s="65" t="s">
        <v>3552</v>
      </c>
      <c r="AC9" s="234" t="s">
        <v>3536</v>
      </c>
      <c r="AD9" s="112" t="s">
        <v>3553</v>
      </c>
      <c r="AE9" s="237" t="s">
        <v>3554</v>
      </c>
      <c r="AF9" s="135" t="s">
        <v>3555</v>
      </c>
      <c r="AG9" s="234" t="s">
        <v>3536</v>
      </c>
      <c r="AH9" s="238" t="s">
        <v>3556</v>
      </c>
      <c r="AI9" s="119" t="s">
        <v>3557</v>
      </c>
      <c r="AJ9" s="120" t="s">
        <v>3558</v>
      </c>
      <c r="AK9" s="234" t="s">
        <v>3536</v>
      </c>
      <c r="AL9" s="125" t="s">
        <v>3559</v>
      </c>
      <c r="AM9" s="113" t="s">
        <v>3560</v>
      </c>
      <c r="AN9" s="75" t="s">
        <v>3561</v>
      </c>
      <c r="AO9" s="234" t="s">
        <v>3536</v>
      </c>
      <c r="AP9" s="112" t="s">
        <v>3562</v>
      </c>
      <c r="AQ9" s="111" t="s">
        <v>3563</v>
      </c>
      <c r="AR9" s="72" t="s">
        <v>3564</v>
      </c>
      <c r="AS9" s="75"/>
      <c r="AT9" s="75"/>
    </row>
    <row r="10">
      <c r="A10" s="234" t="s">
        <v>3565</v>
      </c>
      <c r="B10" s="112" t="s">
        <v>3566</v>
      </c>
      <c r="C10" s="111" t="s">
        <v>3567</v>
      </c>
      <c r="D10" s="240" t="s">
        <v>3568</v>
      </c>
      <c r="E10" s="234" t="s">
        <v>3565</v>
      </c>
      <c r="F10" s="112" t="s">
        <v>3569</v>
      </c>
      <c r="G10" s="111" t="s">
        <v>3570</v>
      </c>
      <c r="H10" s="72" t="s">
        <v>3571</v>
      </c>
      <c r="I10" s="234" t="s">
        <v>3565</v>
      </c>
      <c r="J10" s="112" t="s">
        <v>3566</v>
      </c>
      <c r="K10" s="111" t="s">
        <v>3572</v>
      </c>
      <c r="L10" s="72" t="s">
        <v>3573</v>
      </c>
      <c r="M10" s="234" t="s">
        <v>3565</v>
      </c>
      <c r="N10" s="112" t="s">
        <v>3566</v>
      </c>
      <c r="O10" s="111" t="s">
        <v>3574</v>
      </c>
      <c r="P10" s="72" t="s">
        <v>3575</v>
      </c>
      <c r="Q10" s="234" t="s">
        <v>3565</v>
      </c>
      <c r="R10" s="125" t="s">
        <v>3576</v>
      </c>
      <c r="S10" s="111" t="s">
        <v>3577</v>
      </c>
      <c r="T10" s="75" t="str">
        <f>IFERROR(__xludf.DUMMYFUNCTION("GOOGLETRANSLATE(D10,""zh-tw"",""es-MX"")"),"Shadow Souls - DLC: Ayuda a tu hermana a concentrarse más en el juego y desbloquea opciones adicionales.")</f>
        <v>Shadow Souls - DLC: Ayuda a tu hermana a concentrarse más en el juego y desbloquea opciones adicionales.</v>
      </c>
      <c r="U10" s="234" t="s">
        <v>3565</v>
      </c>
      <c r="V10" s="125" t="str">
        <f>IFERROR(__xludf.DUMMYFUNCTION("GOOGLETRANSLATE(B10,""zh-tw"",""KO"")"),"DLC")</f>
        <v>DLC</v>
      </c>
      <c r="W10" s="113"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75"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234" t="s">
        <v>3565</v>
      </c>
      <c r="Z10" s="235" t="s">
        <v>3566</v>
      </c>
      <c r="AA10" s="236" t="s">
        <v>3578</v>
      </c>
      <c r="AB10" s="65" t="s">
        <v>3579</v>
      </c>
      <c r="AC10" s="234" t="s">
        <v>3565</v>
      </c>
      <c r="AD10" s="112" t="s">
        <v>3566</v>
      </c>
      <c r="AE10" s="241"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135" t="s">
        <v>3580</v>
      </c>
      <c r="AG10" s="234" t="s">
        <v>3565</v>
      </c>
      <c r="AH10" s="238" t="s">
        <v>3566</v>
      </c>
      <c r="AI10" s="130" t="s">
        <v>3581</v>
      </c>
      <c r="AJ10" s="134" t="s">
        <v>3582</v>
      </c>
      <c r="AK10" s="234" t="s">
        <v>3565</v>
      </c>
      <c r="AL10" s="125" t="s">
        <v>3566</v>
      </c>
      <c r="AM10" s="111" t="s">
        <v>3583</v>
      </c>
      <c r="AN10" s="72" t="s">
        <v>3584</v>
      </c>
      <c r="AO10" s="234" t="s">
        <v>3565</v>
      </c>
      <c r="AP10" s="108" t="s">
        <v>3566</v>
      </c>
      <c r="AQ10" s="113" t="s">
        <v>3585</v>
      </c>
      <c r="AR10" s="75" t="s">
        <v>3586</v>
      </c>
      <c r="AS10" s="75"/>
      <c r="AT10" s="75"/>
    </row>
    <row r="11">
      <c r="A11" s="234" t="s">
        <v>3587</v>
      </c>
      <c r="B11" s="112" t="s">
        <v>3588</v>
      </c>
      <c r="C11" s="111" t="s">
        <v>3589</v>
      </c>
      <c r="D11" s="72" t="s">
        <v>3590</v>
      </c>
      <c r="E11" s="234" t="s">
        <v>3587</v>
      </c>
      <c r="F11" s="112" t="s">
        <v>3591</v>
      </c>
      <c r="G11" s="111" t="s">
        <v>3592</v>
      </c>
      <c r="H11" s="72" t="s">
        <v>3593</v>
      </c>
      <c r="I11" s="234" t="s">
        <v>3587</v>
      </c>
      <c r="J11" s="112" t="s">
        <v>3594</v>
      </c>
      <c r="K11" s="111" t="s">
        <v>3595</v>
      </c>
      <c r="L11" s="72" t="s">
        <v>3596</v>
      </c>
      <c r="M11" s="234" t="s">
        <v>3587</v>
      </c>
      <c r="N11" s="112" t="s">
        <v>3597</v>
      </c>
      <c r="O11" s="111" t="s">
        <v>3598</v>
      </c>
      <c r="P11" s="72" t="s">
        <v>3599</v>
      </c>
      <c r="Q11" s="234" t="s">
        <v>3587</v>
      </c>
      <c r="R11" s="112" t="s">
        <v>3600</v>
      </c>
      <c r="S11" s="111" t="s">
        <v>3601</v>
      </c>
      <c r="T11" s="75"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234" t="s">
        <v>3587</v>
      </c>
      <c r="V11" s="125" t="str">
        <f>IFERROR(__xludf.DUMMYFUNCTION("GOOGLETRANSLATE(B11,""zh-tw"",""KO"")"),"모든 관찰")</f>
        <v>모든 관찰</v>
      </c>
      <c r="W11" s="113" t="str">
        <f>IFERROR(__xludf.DUMMYFUNCTION("GOOGLETRANSLATE(C11,""zh-tw"",""KO"")"),"모험의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f>
        <v>모험의 길을 걷는 기사들이 경험담을 공유합니다: 이상한 새의 울음소리 / 짐승 고기 요리 / 걸어다니는 버섯 요리 / 슬라임 요리 / 버려진 숲 / 유적과 연결된 돌 파괴 / 동굴에 빠짐 / 로봇 / 여동생과 게임하고 여동생의 커다란 흰 토끼를 쓰다듬기
숫자는 이벤트 번호를 나타냅니다.</v>
      </c>
      <c r="X11" s="75"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34" t="s">
        <v>3587</v>
      </c>
      <c r="Z11" s="235" t="s">
        <v>3602</v>
      </c>
      <c r="AA11" s="236" t="s">
        <v>3603</v>
      </c>
      <c r="AB11" s="71" t="s">
        <v>3604</v>
      </c>
      <c r="AC11" s="234" t="s">
        <v>3587</v>
      </c>
      <c r="AD11" s="112" t="s">
        <v>3605</v>
      </c>
      <c r="AE11" s="237" t="s">
        <v>3606</v>
      </c>
      <c r="AF11" s="135" t="s">
        <v>3607</v>
      </c>
      <c r="AG11" s="234" t="s">
        <v>3587</v>
      </c>
      <c r="AH11" s="239" t="s">
        <v>3608</v>
      </c>
      <c r="AI11" s="130" t="s">
        <v>3609</v>
      </c>
      <c r="AJ11" s="134" t="s">
        <v>3610</v>
      </c>
      <c r="AK11" s="234" t="s">
        <v>3587</v>
      </c>
      <c r="AL11" s="125" t="s">
        <v>3611</v>
      </c>
      <c r="AM11" s="113" t="s">
        <v>3612</v>
      </c>
      <c r="AN11" s="75" t="s">
        <v>3613</v>
      </c>
      <c r="AO11" s="234" t="s">
        <v>3587</v>
      </c>
      <c r="AP11" s="108" t="s">
        <v>3614</v>
      </c>
      <c r="AQ11" s="113" t="s">
        <v>3615</v>
      </c>
      <c r="AR11" s="75" t="s">
        <v>3616</v>
      </c>
      <c r="AS11" s="75"/>
      <c r="AT11" s="75"/>
    </row>
    <row r="12">
      <c r="A12" s="234" t="s">
        <v>3617</v>
      </c>
      <c r="B12" s="112" t="s">
        <v>3618</v>
      </c>
      <c r="C12" s="111" t="s">
        <v>3619</v>
      </c>
      <c r="D12" s="72" t="s">
        <v>3620</v>
      </c>
      <c r="E12" s="234" t="s">
        <v>3621</v>
      </c>
      <c r="F12" s="112" t="s">
        <v>3622</v>
      </c>
      <c r="G12" s="111" t="s">
        <v>3623</v>
      </c>
      <c r="H12" s="72" t="s">
        <v>3624</v>
      </c>
      <c r="I12" s="234" t="s">
        <v>3621</v>
      </c>
      <c r="J12" s="112" t="s">
        <v>3625</v>
      </c>
      <c r="K12" s="111" t="s">
        <v>3626</v>
      </c>
      <c r="L12" s="72" t="s">
        <v>3627</v>
      </c>
      <c r="M12" s="234" t="s">
        <v>3621</v>
      </c>
      <c r="N12" s="112" t="s">
        <v>3628</v>
      </c>
      <c r="O12" s="111" t="s">
        <v>3629</v>
      </c>
      <c r="P12" s="72" t="s">
        <v>3630</v>
      </c>
      <c r="Q12" s="234" t="s">
        <v>3621</v>
      </c>
      <c r="R12" s="112" t="s">
        <v>3631</v>
      </c>
      <c r="S12" s="113" t="str">
        <f>IFERROR(__xludf.DUMMYFUNCTION("GOOGLETRANSLATE(C12,""zh-tw"",""es-MX"")"),"Sendero del Aventurero: Punto de Reunión, hay un cofre del tesoro en la esquina superior izquierda.")</f>
        <v>Sendero del Aventurero: Punto de Reunión, hay un cofre del tesoro en la esquina superior izquierda.</v>
      </c>
      <c r="T12" s="75" t="str">
        <f>IFERROR(__xludf.DUMMYFUNCTION("GOOGLETRANSLATE(D12,""zh-tw"",""es-MX"")"),"Obtén el arma Chidori, nota especial en la historia.")</f>
        <v>Obtén el arma Chidori, nota especial en la historia.</v>
      </c>
      <c r="U12" s="234" t="s">
        <v>3621</v>
      </c>
      <c r="V12" s="125" t="str">
        <f>IFERROR(__xludf.DUMMYFUNCTION("GOOGLETRANSLATE(B12,""zh-tw"",""KO"")"),"숨겨진 통로")</f>
        <v>숨겨진 통로</v>
      </c>
      <c r="W12" s="113" t="str">
        <f>IFERROR(__xludf.DUMMYFUNCTION("GOOGLETRANSLATE(C12,""zh-tw"",""KO"")"),"어드벤처스 패스: 집결지, 왼쪽 상단에 보물 상자가 있습니다.")</f>
        <v>어드벤처스 패스: 집결지, 왼쪽 상단에 보물 상자가 있습니다.</v>
      </c>
      <c r="X12" s="75" t="str">
        <f>IFERROR(__xludf.DUMMYFUNCTION("GOOGLETRANSLATE(D12,""zh-tw"",""KO"")"),"무기 획득 - 치도리, 특별 참고 사항 스토리라인")</f>
        <v>무기 획득 - 치도리, 특별 참고 사항 스토리라인</v>
      </c>
      <c r="Y12" s="234" t="s">
        <v>3621</v>
      </c>
      <c r="Z12" s="235" t="s">
        <v>3632</v>
      </c>
      <c r="AA12" s="236" t="s">
        <v>3633</v>
      </c>
      <c r="AB12" s="65" t="s">
        <v>3634</v>
      </c>
      <c r="AC12" s="234" t="s">
        <v>3621</v>
      </c>
      <c r="AD12" s="112" t="s">
        <v>3635</v>
      </c>
      <c r="AE12" s="237" t="s">
        <v>3636</v>
      </c>
      <c r="AF12" s="135" t="s">
        <v>3637</v>
      </c>
      <c r="AG12" s="234" t="s">
        <v>3621</v>
      </c>
      <c r="AH12" s="239" t="s">
        <v>3638</v>
      </c>
      <c r="AI12" s="119" t="s">
        <v>3639</v>
      </c>
      <c r="AJ12" s="120" t="s">
        <v>3640</v>
      </c>
      <c r="AK12" s="234" t="s">
        <v>3621</v>
      </c>
      <c r="AL12" s="112" t="s">
        <v>3641</v>
      </c>
      <c r="AM12" s="113" t="s">
        <v>3642</v>
      </c>
      <c r="AN12" s="75" t="s">
        <v>3643</v>
      </c>
      <c r="AO12" s="234" t="s">
        <v>3621</v>
      </c>
      <c r="AP12" s="112" t="s">
        <v>3644</v>
      </c>
      <c r="AQ12" s="113" t="s">
        <v>3645</v>
      </c>
      <c r="AR12" s="75" t="s">
        <v>3646</v>
      </c>
      <c r="AS12" s="75"/>
      <c r="AT12" s="75"/>
    </row>
    <row r="13">
      <c r="A13" s="234" t="s">
        <v>3621</v>
      </c>
      <c r="B13" s="112" t="s">
        <v>3618</v>
      </c>
      <c r="C13" s="111" t="s">
        <v>3647</v>
      </c>
      <c r="D13" s="72" t="s">
        <v>3648</v>
      </c>
      <c r="E13" s="234" t="s">
        <v>3649</v>
      </c>
      <c r="F13" s="112" t="s">
        <v>3650</v>
      </c>
      <c r="G13" s="111" t="s">
        <v>3651</v>
      </c>
      <c r="H13" s="72" t="s">
        <v>3652</v>
      </c>
      <c r="I13" s="234" t="s">
        <v>3649</v>
      </c>
      <c r="J13" s="112" t="s">
        <v>3625</v>
      </c>
      <c r="K13" s="111" t="s">
        <v>3653</v>
      </c>
      <c r="L13" s="72" t="s">
        <v>3654</v>
      </c>
      <c r="M13" s="234" t="s">
        <v>3649</v>
      </c>
      <c r="N13" s="112" t="s">
        <v>3628</v>
      </c>
      <c r="O13" s="111" t="s">
        <v>3655</v>
      </c>
      <c r="P13" s="72" t="s">
        <v>3656</v>
      </c>
      <c r="Q13" s="234" t="s">
        <v>3649</v>
      </c>
      <c r="R13" s="112" t="s">
        <v>3631</v>
      </c>
      <c r="S13" s="113"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75"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234" t="s">
        <v>3649</v>
      </c>
      <c r="V13" s="125" t="str">
        <f>IFERROR(__xludf.DUMMYFUNCTION("GOOGLETRANSLATE(B13,""zh-tw"",""KO"")"),"숨겨진 통로")</f>
        <v>숨겨진 통로</v>
      </c>
      <c r="W13" s="113"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75"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234" t="s">
        <v>3649</v>
      </c>
      <c r="Z13" s="235" t="s">
        <v>3657</v>
      </c>
      <c r="AA13" s="236" t="s">
        <v>3658</v>
      </c>
      <c r="AB13" s="65" t="s">
        <v>3659</v>
      </c>
      <c r="AC13" s="234" t="s">
        <v>3649</v>
      </c>
      <c r="AD13" s="112" t="s">
        <v>3660</v>
      </c>
      <c r="AE13" s="237" t="s">
        <v>3661</v>
      </c>
      <c r="AF13" s="135" t="s">
        <v>3662</v>
      </c>
      <c r="AG13" s="234" t="s">
        <v>3649</v>
      </c>
      <c r="AH13" s="239" t="s">
        <v>3638</v>
      </c>
      <c r="AI13" s="119" t="s">
        <v>3663</v>
      </c>
      <c r="AJ13" s="120" t="s">
        <v>3664</v>
      </c>
      <c r="AK13" s="234" t="s">
        <v>3649</v>
      </c>
      <c r="AL13" s="112" t="s">
        <v>3641</v>
      </c>
      <c r="AM13" s="113" t="s">
        <v>3665</v>
      </c>
      <c r="AN13" s="75" t="s">
        <v>3666</v>
      </c>
      <c r="AO13" s="234" t="s">
        <v>3649</v>
      </c>
      <c r="AP13" s="112" t="s">
        <v>3644</v>
      </c>
      <c r="AQ13" s="113" t="s">
        <v>3667</v>
      </c>
      <c r="AR13" s="75" t="s">
        <v>3668</v>
      </c>
      <c r="AS13" s="75"/>
      <c r="AT13" s="75"/>
    </row>
    <row r="14">
      <c r="A14" s="229"/>
      <c r="B14" s="230" t="s">
        <v>3669</v>
      </c>
      <c r="E14" s="229"/>
      <c r="F14" s="229"/>
      <c r="I14" s="229"/>
      <c r="J14" s="230" t="s">
        <v>3670</v>
      </c>
      <c r="M14" s="229"/>
      <c r="N14" s="228" t="s">
        <v>3671</v>
      </c>
      <c r="Q14" s="229"/>
      <c r="R14" s="229"/>
      <c r="U14" s="229"/>
      <c r="V14" s="231"/>
      <c r="Y14" s="229"/>
      <c r="Z14" s="232" t="s">
        <v>3672</v>
      </c>
      <c r="AC14" s="229"/>
      <c r="AD14" s="229"/>
      <c r="AG14" s="229"/>
      <c r="AH14" s="229"/>
      <c r="AK14" s="229"/>
      <c r="AL14" s="242" t="s">
        <v>3673</v>
      </c>
      <c r="AO14" s="229"/>
      <c r="AP14" s="229"/>
      <c r="AS14" s="231"/>
      <c r="AT14" s="231"/>
    </row>
    <row r="15">
      <c r="A15" s="234" t="s">
        <v>3674</v>
      </c>
      <c r="B15" s="112" t="s">
        <v>3675</v>
      </c>
      <c r="C15" s="111" t="s">
        <v>3676</v>
      </c>
      <c r="D15" s="72" t="s">
        <v>3677</v>
      </c>
      <c r="E15" s="234" t="s">
        <v>3674</v>
      </c>
      <c r="F15" s="112" t="s">
        <v>3678</v>
      </c>
      <c r="G15" s="111" t="s">
        <v>3679</v>
      </c>
      <c r="H15" s="72" t="s">
        <v>3680</v>
      </c>
      <c r="I15" s="234" t="s">
        <v>3674</v>
      </c>
      <c r="J15" s="112" t="s">
        <v>3681</v>
      </c>
      <c r="K15" s="111" t="s">
        <v>3682</v>
      </c>
      <c r="L15" s="72" t="s">
        <v>3683</v>
      </c>
      <c r="M15" s="234" t="s">
        <v>3674</v>
      </c>
      <c r="N15" s="112" t="s">
        <v>3675</v>
      </c>
      <c r="O15" s="111" t="s">
        <v>3684</v>
      </c>
      <c r="P15" s="72" t="s">
        <v>3685</v>
      </c>
      <c r="Q15" s="234" t="s">
        <v>3674</v>
      </c>
      <c r="R15" s="125" t="s">
        <v>3686</v>
      </c>
      <c r="S15" s="113"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75" t="str">
        <f>IFERROR(__xludf.DUMMYFUNCTION("GOOGLETRANSLATE(D15,""zh-tw"",""es-MX"")"),"Los 5000 dólares se repondrán después de que llueva, pero la cantidad será menor.")</f>
        <v>Los 5000 dólares se repondrán después de que llueva, pero la cantidad será menor.</v>
      </c>
      <c r="U15" s="234" t="s">
        <v>3674</v>
      </c>
      <c r="V15" s="112" t="s">
        <v>3687</v>
      </c>
      <c r="W15" s="111" t="s">
        <v>3688</v>
      </c>
      <c r="X15" s="72" t="s">
        <v>3689</v>
      </c>
      <c r="Y15" s="234" t="s">
        <v>3674</v>
      </c>
      <c r="Z15" s="235" t="s">
        <v>3690</v>
      </c>
      <c r="AA15" s="236" t="s">
        <v>3691</v>
      </c>
      <c r="AB15" s="65" t="s">
        <v>3692</v>
      </c>
      <c r="AC15" s="234" t="s">
        <v>3674</v>
      </c>
      <c r="AD15" s="112" t="s">
        <v>3693</v>
      </c>
      <c r="AE15" s="237" t="s">
        <v>3694</v>
      </c>
      <c r="AF15" s="135" t="s">
        <v>3695</v>
      </c>
      <c r="AG15" s="234" t="s">
        <v>3674</v>
      </c>
      <c r="AH15" s="238" t="s">
        <v>3696</v>
      </c>
      <c r="AI15" s="119" t="s">
        <v>3697</v>
      </c>
      <c r="AJ15" s="120" t="s">
        <v>3698</v>
      </c>
      <c r="AK15" s="234" t="s">
        <v>3674</v>
      </c>
      <c r="AL15" s="125" t="s">
        <v>3699</v>
      </c>
      <c r="AM15" s="113" t="s">
        <v>3700</v>
      </c>
      <c r="AN15" s="75" t="s">
        <v>3701</v>
      </c>
      <c r="AO15" s="234" t="s">
        <v>3674</v>
      </c>
      <c r="AP15" s="112" t="s">
        <v>3681</v>
      </c>
      <c r="AQ15" s="111" t="s">
        <v>3702</v>
      </c>
      <c r="AR15" s="72" t="s">
        <v>3703</v>
      </c>
      <c r="AS15" s="75"/>
      <c r="AT15" s="75"/>
    </row>
    <row r="16">
      <c r="A16" s="234" t="s">
        <v>3704</v>
      </c>
      <c r="B16" s="112" t="s">
        <v>3705</v>
      </c>
      <c r="C16" s="111" t="s">
        <v>3706</v>
      </c>
      <c r="D16" s="72" t="s">
        <v>3707</v>
      </c>
      <c r="E16" s="234" t="s">
        <v>3704</v>
      </c>
      <c r="F16" s="112" t="s">
        <v>3708</v>
      </c>
      <c r="G16" s="111" t="s">
        <v>3709</v>
      </c>
      <c r="H16" s="72" t="s">
        <v>3710</v>
      </c>
      <c r="I16" s="234" t="s">
        <v>3704</v>
      </c>
      <c r="J16" s="112" t="s">
        <v>3711</v>
      </c>
      <c r="K16" s="111" t="s">
        <v>3712</v>
      </c>
      <c r="L16" s="72" t="s">
        <v>3713</v>
      </c>
      <c r="M16" s="234" t="s">
        <v>3704</v>
      </c>
      <c r="N16" s="112" t="s">
        <v>3714</v>
      </c>
      <c r="O16" s="113" t="s">
        <v>3715</v>
      </c>
      <c r="P16" s="75" t="s">
        <v>3716</v>
      </c>
      <c r="Q16" s="234" t="s">
        <v>3704</v>
      </c>
      <c r="R16" s="125" t="s">
        <v>3717</v>
      </c>
      <c r="S16" s="113"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75"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234" t="s">
        <v>3704</v>
      </c>
      <c r="V16" s="125" t="str">
        <f>IFERROR(__xludf.DUMMYFUNCTION("GOOGLETRANSLATE(B16,""zh-tw"",""KO"")"),"헌터스 롯지")</f>
        <v>헌터스 롯지</v>
      </c>
      <c r="W16" s="113"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75" t="str">
        <f>IFERROR(__xludf.DUMMYFUNCTION("GOOGLETRANSLATE(D16,""zh-tw"",""KO"")"),"획득 장비: 헌터 슈트, 헌터 벨트
*향후 NPC가 추가될 예정입니다.")</f>
        <v>획득 장비: 헌터 슈트, 헌터 벨트
*향후 NPC가 추가될 예정입니다.</v>
      </c>
      <c r="Y16" s="234" t="s">
        <v>3704</v>
      </c>
      <c r="Z16" s="235" t="s">
        <v>3718</v>
      </c>
      <c r="AA16" s="236" t="s">
        <v>3719</v>
      </c>
      <c r="AB16" s="65" t="s">
        <v>3720</v>
      </c>
      <c r="AC16" s="234" t="s">
        <v>3704</v>
      </c>
      <c r="AD16" s="112" t="s">
        <v>3721</v>
      </c>
      <c r="AE16" s="111" t="s">
        <v>3722</v>
      </c>
      <c r="AF16" s="72" t="s">
        <v>3723</v>
      </c>
      <c r="AG16" s="234" t="s">
        <v>3704</v>
      </c>
      <c r="AH16" s="238" t="s">
        <v>3724</v>
      </c>
      <c r="AI16" s="119" t="s">
        <v>3725</v>
      </c>
      <c r="AJ16" s="120" t="s">
        <v>3726</v>
      </c>
      <c r="AK16" s="234" t="s">
        <v>3704</v>
      </c>
      <c r="AL16" s="125" t="s">
        <v>3727</v>
      </c>
      <c r="AM16" s="113" t="s">
        <v>3728</v>
      </c>
      <c r="AN16" s="75" t="s">
        <v>3729</v>
      </c>
      <c r="AO16" s="234" t="s">
        <v>3704</v>
      </c>
      <c r="AP16" s="108" t="s">
        <v>3730</v>
      </c>
      <c r="AQ16" s="113" t="s">
        <v>3731</v>
      </c>
      <c r="AR16" s="75" t="s">
        <v>3732</v>
      </c>
      <c r="AS16" s="75"/>
      <c r="AT16" s="75"/>
    </row>
    <row r="17">
      <c r="A17" s="234" t="s">
        <v>3733</v>
      </c>
      <c r="B17" s="112" t="s">
        <v>3734</v>
      </c>
      <c r="C17" s="111" t="s">
        <v>3735</v>
      </c>
      <c r="D17" s="72" t="s">
        <v>3736</v>
      </c>
      <c r="E17" s="234" t="s">
        <v>3733</v>
      </c>
      <c r="F17" s="112" t="s">
        <v>3737</v>
      </c>
      <c r="G17" s="111" t="s">
        <v>3738</v>
      </c>
      <c r="H17" s="72" t="s">
        <v>3739</v>
      </c>
      <c r="I17" s="234" t="s">
        <v>3733</v>
      </c>
      <c r="J17" s="112" t="s">
        <v>3740</v>
      </c>
      <c r="K17" s="111" t="s">
        <v>3741</v>
      </c>
      <c r="L17" s="72" t="s">
        <v>3742</v>
      </c>
      <c r="M17" s="234" t="s">
        <v>3733</v>
      </c>
      <c r="N17" s="112" t="s">
        <v>3743</v>
      </c>
      <c r="O17" s="113" t="s">
        <v>3744</v>
      </c>
      <c r="P17" s="75" t="s">
        <v>3745</v>
      </c>
      <c r="Q17" s="234" t="s">
        <v>3733</v>
      </c>
      <c r="R17" s="125" t="s">
        <v>3746</v>
      </c>
      <c r="S17" s="113"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75" t="str">
        <f>IFERROR(__xludf.DUMMYFUNCTION("GOOGLETRANSLATE(D17,""zh-tw"",""es-MX"")"),"Equipo adquirido: Daga del cazador, Insignia del maestro de la espada guardiana")</f>
        <v>Equipo adquirido: Daga del cazador, Insignia del maestro de la espada guardiana</v>
      </c>
      <c r="U17" s="234" t="s">
        <v>3733</v>
      </c>
      <c r="V17" s="125" t="str">
        <f>IFERROR(__xludf.DUMMYFUNCTION("GOOGLETRANSLATE(B17,""zh-tw"",""KO"")"),"헌터스 로지 - 지하실")</f>
        <v>헌터스 로지 - 지하실</v>
      </c>
      <c r="W17" s="113"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75" t="str">
        <f>IFERROR(__xludf.DUMMYFUNCTION("GOOGLETRANSLATE(D17,""zh-tw"",""KO"")"),"획득 장비: 사냥꾼의 단검, 수호자의 검 달인의 휘장")</f>
        <v>획득 장비: 사냥꾼의 단검, 수호자의 검 달인의 휘장</v>
      </c>
      <c r="Y17" s="234" t="s">
        <v>3733</v>
      </c>
      <c r="Z17" s="235" t="s">
        <v>3747</v>
      </c>
      <c r="AA17" s="236" t="s">
        <v>3748</v>
      </c>
      <c r="AB17" s="65" t="s">
        <v>3749</v>
      </c>
      <c r="AC17" s="234" t="s">
        <v>3733</v>
      </c>
      <c r="AD17" s="112" t="s">
        <v>3750</v>
      </c>
      <c r="AE17" s="111" t="s">
        <v>3751</v>
      </c>
      <c r="AF17" s="72" t="s">
        <v>3752</v>
      </c>
      <c r="AG17" s="234" t="s">
        <v>3733</v>
      </c>
      <c r="AH17" s="238" t="s">
        <v>3753</v>
      </c>
      <c r="AI17" s="119" t="s">
        <v>3754</v>
      </c>
      <c r="AJ17" s="120" t="s">
        <v>3755</v>
      </c>
      <c r="AK17" s="234" t="s">
        <v>3733</v>
      </c>
      <c r="AL17" s="125" t="s">
        <v>3756</v>
      </c>
      <c r="AM17" s="113" t="s">
        <v>3757</v>
      </c>
      <c r="AN17" s="75" t="s">
        <v>3758</v>
      </c>
      <c r="AO17" s="234" t="s">
        <v>3733</v>
      </c>
      <c r="AP17" s="108" t="s">
        <v>3759</v>
      </c>
      <c r="AQ17" s="113" t="s">
        <v>3760</v>
      </c>
      <c r="AR17" s="75" t="s">
        <v>3761</v>
      </c>
      <c r="AS17" s="75"/>
      <c r="AT17" s="75"/>
    </row>
    <row r="18">
      <c r="A18" s="234" t="s">
        <v>3762</v>
      </c>
      <c r="B18" s="112" t="s">
        <v>3618</v>
      </c>
      <c r="C18" s="111" t="s">
        <v>3763</v>
      </c>
      <c r="D18" s="72" t="s">
        <v>3764</v>
      </c>
      <c r="E18" s="234" t="s">
        <v>3762</v>
      </c>
      <c r="F18" s="112" t="s">
        <v>3622</v>
      </c>
      <c r="G18" s="111" t="s">
        <v>3765</v>
      </c>
      <c r="H18" s="72" t="s">
        <v>3766</v>
      </c>
      <c r="I18" s="234" t="s">
        <v>3762</v>
      </c>
      <c r="J18" s="112" t="s">
        <v>3625</v>
      </c>
      <c r="K18" s="111" t="s">
        <v>3767</v>
      </c>
      <c r="L18" s="72" t="s">
        <v>3768</v>
      </c>
      <c r="M18" s="234" t="s">
        <v>3762</v>
      </c>
      <c r="N18" s="112" t="s">
        <v>3628</v>
      </c>
      <c r="O18" s="111" t="s">
        <v>3769</v>
      </c>
      <c r="P18" s="72" t="s">
        <v>3770</v>
      </c>
      <c r="Q18" s="234" t="s">
        <v>3762</v>
      </c>
      <c r="R18" s="112" t="s">
        <v>3771</v>
      </c>
      <c r="S18" s="113" t="str">
        <f>IFERROR(__xludf.DUMMYFUNCTION("GOOGLETRANSLATE(C18,""zh-tw"",""es-MX"")"),"Sendero del Aventurero: Objeto oculto en la esquina inferior derecha del bosque.")</f>
        <v>Sendero del Aventurero: Objeto oculto en la esquina inferior derecha del bosque.</v>
      </c>
      <c r="T18" s="75" t="str">
        <f>IFERROR(__xludf.DUMMYFUNCTION("GOOGLETRANSLATE(D18,""zh-tw"",""es-MX"")"),"Obtener artículos")</f>
        <v>Obtener artículos</v>
      </c>
      <c r="U18" s="234" t="s">
        <v>3762</v>
      </c>
      <c r="V18" s="125" t="str">
        <f>IFERROR(__xludf.DUMMYFUNCTION("GOOGLETRANSLATE(B18,""zh-tw"",""KO"")"),"숨겨진 통로")</f>
        <v>숨겨진 통로</v>
      </c>
      <c r="W18" s="113" t="str">
        <f>IFERROR(__xludf.DUMMYFUNCTION("GOOGLETRANSLATE(C18,""zh-tw"",""KO"")"),"모험가의 길: 숲의 오른쪽 아래 구석에 숨겨진 아이템이 있습니다.")</f>
        <v>모험가의 길: 숲의 오른쪽 아래 구석에 숨겨진 아이템이 있습니다.</v>
      </c>
      <c r="X18" s="75" t="str">
        <f>IFERROR(__xludf.DUMMYFUNCTION("GOOGLETRANSLATE(D18,""zh-tw"",""KO"")"),"아이템을 획득하세요")</f>
        <v>아이템을 획득하세요</v>
      </c>
      <c r="Y18" s="234" t="s">
        <v>3762</v>
      </c>
      <c r="Z18" s="235" t="s">
        <v>3657</v>
      </c>
      <c r="AA18" s="236" t="s">
        <v>3772</v>
      </c>
      <c r="AB18" s="65" t="s">
        <v>3773</v>
      </c>
      <c r="AC18" s="234" t="s">
        <v>3762</v>
      </c>
      <c r="AD18" s="112" t="s">
        <v>3635</v>
      </c>
      <c r="AE18" s="237" t="s">
        <v>3774</v>
      </c>
      <c r="AF18" s="135" t="s">
        <v>3775</v>
      </c>
      <c r="AG18" s="234" t="s">
        <v>3762</v>
      </c>
      <c r="AH18" s="239" t="s">
        <v>3638</v>
      </c>
      <c r="AI18" s="119" t="s">
        <v>3776</v>
      </c>
      <c r="AJ18" s="120" t="s">
        <v>3777</v>
      </c>
      <c r="AK18" s="234" t="s">
        <v>3762</v>
      </c>
      <c r="AL18" s="112" t="s">
        <v>3641</v>
      </c>
      <c r="AM18" s="113" t="s">
        <v>3778</v>
      </c>
      <c r="AN18" s="75" t="s">
        <v>3779</v>
      </c>
      <c r="AO18" s="234" t="s">
        <v>3762</v>
      </c>
      <c r="AP18" s="112" t="s">
        <v>3644</v>
      </c>
      <c r="AQ18" s="113" t="s">
        <v>3780</v>
      </c>
      <c r="AR18" s="75" t="s">
        <v>3781</v>
      </c>
      <c r="AS18" s="75"/>
      <c r="AT18" s="75"/>
    </row>
    <row r="19">
      <c r="A19" s="234" t="s">
        <v>3782</v>
      </c>
      <c r="B19" s="112" t="s">
        <v>3783</v>
      </c>
      <c r="C19" s="111" t="s">
        <v>3784</v>
      </c>
      <c r="D19" s="72" t="s">
        <v>3785</v>
      </c>
      <c r="E19" s="234" t="s">
        <v>3782</v>
      </c>
      <c r="F19" s="112" t="s">
        <v>3786</v>
      </c>
      <c r="G19" s="111" t="s">
        <v>3787</v>
      </c>
      <c r="H19" s="72" t="s">
        <v>3788</v>
      </c>
      <c r="I19" s="234" t="s">
        <v>3782</v>
      </c>
      <c r="J19" s="112" t="s">
        <v>3789</v>
      </c>
      <c r="K19" s="111" t="s">
        <v>3790</v>
      </c>
      <c r="L19" s="72" t="s">
        <v>3791</v>
      </c>
      <c r="M19" s="234" t="s">
        <v>3782</v>
      </c>
      <c r="N19" s="112" t="s">
        <v>3783</v>
      </c>
      <c r="O19" s="113" t="s">
        <v>3792</v>
      </c>
      <c r="P19" s="75" t="s">
        <v>3793</v>
      </c>
      <c r="Q19" s="234" t="s">
        <v>3782</v>
      </c>
      <c r="R19" s="125" t="s">
        <v>3794</v>
      </c>
      <c r="S19" s="113" t="str">
        <f>IFERROR(__xludf.DUMMYFUNCTION("GOOGLETRANSLATE(C19,""zh-tw"",""es-MX"")"),"Sendero del Aventurero: Bosque-2, punto de encuentro en el pasaje oculto del medio.")</f>
        <v>Sendero del Aventurero: Bosque-2, punto de encuentro en el pasaje oculto del medio.</v>
      </c>
      <c r="T19" s="75" t="str">
        <f>IFERROR(__xludf.DUMMYFUNCTION("GOOGLETRANSLATE(D19,""zh-tw"",""es-MX"")"),"Objeto obtenido: Carta del Tarot - La Templanza
(Se recarga en días lluviosos)")</f>
        <v>Objeto obtenido: Carta del Tarot - La Templanza
(Se recarga en días lluviosos)</v>
      </c>
      <c r="U19" s="234" t="s">
        <v>3782</v>
      </c>
      <c r="V19" s="125" t="str">
        <f>IFERROR(__xludf.DUMMYFUNCTION("GOOGLETRANSLATE(B19,""zh-tw"",""KO"")"),"숨겨진 아이템")</f>
        <v>숨겨진 아이템</v>
      </c>
      <c r="W19" s="113" t="str">
        <f>IFERROR(__xludf.DUMMYFUNCTION("GOOGLETRANSLATE(C19,""zh-tw"",""KO"")"),"모험가의 길: 숲 2, 중앙의 숨겨진 통로에 집결")</f>
        <v>모험가의 길: 숲 2, 중앙의 숨겨진 통로에 집결</v>
      </c>
      <c r="X19" s="75" t="str">
        <f>IFERROR(__xludf.DUMMYFUNCTION("GOOGLETRANSLATE(D19,""zh-tw"",""KO"")"),"획득 아이템: 타로 카드 - 절제
(비 오는 날에 효과가 사라집니다)")</f>
        <v>획득 아이템: 타로 카드 - 절제
(비 오는 날에 효과가 사라집니다)</v>
      </c>
      <c r="Y19" s="234" t="s">
        <v>3782</v>
      </c>
      <c r="Z19" s="243" t="s">
        <v>3795</v>
      </c>
      <c r="AA19" s="236" t="s">
        <v>3796</v>
      </c>
      <c r="AB19" s="71" t="s">
        <v>3797</v>
      </c>
      <c r="AC19" s="234" t="s">
        <v>3782</v>
      </c>
      <c r="AD19" s="112" t="s">
        <v>3798</v>
      </c>
      <c r="AE19" s="237" t="s">
        <v>3799</v>
      </c>
      <c r="AF19" s="135" t="s">
        <v>3800</v>
      </c>
      <c r="AG19" s="234" t="s">
        <v>3782</v>
      </c>
      <c r="AH19" s="244" t="s">
        <v>3801</v>
      </c>
      <c r="AI19" s="245" t="s">
        <v>3802</v>
      </c>
      <c r="AJ19" s="246" t="s">
        <v>3803</v>
      </c>
      <c r="AK19" s="234" t="s">
        <v>3782</v>
      </c>
      <c r="AL19" s="112" t="s">
        <v>3804</v>
      </c>
      <c r="AM19" s="111" t="s">
        <v>3805</v>
      </c>
      <c r="AN19" s="72" t="s">
        <v>3806</v>
      </c>
      <c r="AO19" s="234" t="s">
        <v>3782</v>
      </c>
      <c r="AP19" s="108" t="s">
        <v>3807</v>
      </c>
      <c r="AQ19" s="113" t="s">
        <v>3808</v>
      </c>
      <c r="AR19" s="75" t="s">
        <v>3809</v>
      </c>
      <c r="AS19" s="75"/>
      <c r="AT19" s="75"/>
    </row>
    <row r="20">
      <c r="A20" s="234" t="s">
        <v>3810</v>
      </c>
      <c r="B20" s="112" t="s">
        <v>3811</v>
      </c>
      <c r="C20" s="122" t="s">
        <v>3812</v>
      </c>
      <c r="D20" s="129" t="s">
        <v>3813</v>
      </c>
      <c r="E20" s="234" t="s">
        <v>3810</v>
      </c>
      <c r="F20" s="112" t="s">
        <v>3814</v>
      </c>
      <c r="G20" s="111" t="s">
        <v>3815</v>
      </c>
      <c r="H20" s="72" t="s">
        <v>3816</v>
      </c>
      <c r="I20" s="234" t="s">
        <v>3810</v>
      </c>
      <c r="J20" s="112" t="s">
        <v>3817</v>
      </c>
      <c r="K20" s="111" t="s">
        <v>3818</v>
      </c>
      <c r="L20" s="72" t="s">
        <v>3819</v>
      </c>
      <c r="M20" s="234" t="s">
        <v>3810</v>
      </c>
      <c r="N20" s="112" t="s">
        <v>3820</v>
      </c>
      <c r="O20" s="111" t="s">
        <v>3821</v>
      </c>
      <c r="P20" s="72" t="s">
        <v>3822</v>
      </c>
      <c r="Q20" s="234" t="s">
        <v>3810</v>
      </c>
      <c r="R20" s="125" t="s">
        <v>3823</v>
      </c>
      <c r="S20" s="113"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75" t="str">
        <f>IFERROR(__xludf.DUMMYFUNCTION("GOOGLETRANSLATE(D20,""zh-tw"",""es-MX"")"),"Llegada al ""Bosque de las Ruinas""
(El Conejo Blanco del Pequeño Jardín)")</f>
        <v>Llegada al "Bosque de las Ruinas"
(El Conejo Blanco del Pequeño Jardín)</v>
      </c>
      <c r="U20" s="234" t="s">
        <v>3810</v>
      </c>
      <c r="V20" s="125" t="str">
        <f>IFERROR(__xludf.DUMMYFUNCTION("GOOGLETRANSLATE(B20,""zh-tw"",""KO"")"),"폐허의 숲(작은 정원의 흰 토끼)으로 향하세요.")</f>
        <v>폐허의 숲(작은 정원의 흰 토끼)으로 향하세요.</v>
      </c>
      <c r="W20" s="113"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75" t="str">
        <f>IFERROR(__xludf.DUMMYFUNCTION("GOOGLETRANSLATE(D20,""zh-tw"",""KO"")"),"""폐허의 숲"" 도착
(작은 정원의 흰 토끼)")</f>
        <v>"폐허의 숲" 도착
(작은 정원의 흰 토끼)</v>
      </c>
      <c r="Y20" s="247" t="s">
        <v>3810</v>
      </c>
      <c r="Z20" s="235" t="s">
        <v>3824</v>
      </c>
      <c r="AA20" s="236" t="s">
        <v>3825</v>
      </c>
      <c r="AB20" s="65" t="s">
        <v>3826</v>
      </c>
      <c r="AC20" s="234" t="s">
        <v>3810</v>
      </c>
      <c r="AD20" s="112" t="s">
        <v>3827</v>
      </c>
      <c r="AE20" s="111" t="s">
        <v>3828</v>
      </c>
      <c r="AF20" s="72" t="s">
        <v>3829</v>
      </c>
      <c r="AG20" s="234" t="s">
        <v>3810</v>
      </c>
      <c r="AH20" s="248" t="s">
        <v>3830</v>
      </c>
      <c r="AI20" s="119" t="s">
        <v>3831</v>
      </c>
      <c r="AJ20" s="188" t="s">
        <v>3832</v>
      </c>
      <c r="AK20" s="234" t="s">
        <v>3810</v>
      </c>
      <c r="AL20" s="249" t="s">
        <v>3833</v>
      </c>
      <c r="AM20" s="113" t="s">
        <v>3834</v>
      </c>
      <c r="AN20" s="75" t="s">
        <v>3835</v>
      </c>
      <c r="AO20" s="234" t="s">
        <v>3810</v>
      </c>
      <c r="AP20" s="108" t="s">
        <v>3836</v>
      </c>
      <c r="AQ20" s="113" t="s">
        <v>3837</v>
      </c>
      <c r="AR20" s="75" t="s">
        <v>3838</v>
      </c>
      <c r="AS20" s="75"/>
      <c r="AT20" s="75"/>
    </row>
    <row r="21">
      <c r="A21" s="229"/>
      <c r="B21" s="228" t="s">
        <v>3839</v>
      </c>
      <c r="E21" s="229"/>
      <c r="F21" s="231"/>
      <c r="I21" s="229"/>
      <c r="J21" s="230" t="s">
        <v>3840</v>
      </c>
      <c r="M21" s="229"/>
      <c r="N21" s="228" t="s">
        <v>3841</v>
      </c>
      <c r="Q21" s="229"/>
      <c r="R21" s="231"/>
      <c r="U21" s="229"/>
      <c r="V21" s="231"/>
      <c r="Y21" s="229"/>
      <c r="Z21" s="232" t="s">
        <v>3842</v>
      </c>
      <c r="AC21" s="229"/>
      <c r="AD21" s="229"/>
      <c r="AG21" s="229"/>
      <c r="AH21" s="231"/>
      <c r="AK21" s="229"/>
      <c r="AL21" s="233" t="s">
        <v>3843</v>
      </c>
      <c r="AO21" s="229"/>
      <c r="AP21" s="229"/>
      <c r="AS21" s="231"/>
      <c r="AT21" s="231"/>
    </row>
    <row r="22">
      <c r="A22" s="234" t="s">
        <v>3844</v>
      </c>
      <c r="B22" s="112" t="s">
        <v>3845</v>
      </c>
      <c r="C22" s="111" t="s">
        <v>3846</v>
      </c>
      <c r="D22" s="72" t="s">
        <v>3847</v>
      </c>
      <c r="E22" s="234" t="s">
        <v>3844</v>
      </c>
      <c r="F22" s="112" t="s">
        <v>3848</v>
      </c>
      <c r="G22" s="111" t="s">
        <v>3849</v>
      </c>
      <c r="H22" s="72" t="s">
        <v>3850</v>
      </c>
      <c r="I22" s="234" t="s">
        <v>3844</v>
      </c>
      <c r="J22" s="112" t="s">
        <v>3851</v>
      </c>
      <c r="K22" s="111" t="s">
        <v>3852</v>
      </c>
      <c r="L22" s="72" t="s">
        <v>3853</v>
      </c>
      <c r="M22" s="234" t="s">
        <v>3844</v>
      </c>
      <c r="N22" s="112" t="s">
        <v>3854</v>
      </c>
      <c r="O22" s="111" t="s">
        <v>3855</v>
      </c>
      <c r="P22" s="72" t="s">
        <v>3856</v>
      </c>
      <c r="Q22" s="234" t="s">
        <v>3844</v>
      </c>
      <c r="R22" s="112" t="s">
        <v>3857</v>
      </c>
      <c r="S22" s="111" t="s">
        <v>3858</v>
      </c>
      <c r="T22" s="75" t="str">
        <f>IFERROR(__xludf.DUMMYFUNCTION("GOOGLETRANSLATE(D22,""zh-tw"",""es-MX"")"),"Consigue el objeto ""Pato de goma""; se puede colocar dentro de la bañera.")</f>
        <v>Consigue el objeto "Pato de goma"; se puede colocar dentro de la bañera.</v>
      </c>
      <c r="U22" s="234" t="s">
        <v>3844</v>
      </c>
      <c r="V22" s="125" t="str">
        <f>IFERROR(__xludf.DUMMYFUNCTION("GOOGLETRANSLATE(B22,""zh-tw"",""KO"")"),"오리")</f>
        <v>오리</v>
      </c>
      <c r="W22" s="113"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75" t="str">
        <f>IFERROR(__xludf.DUMMYFUNCTION("GOOGLETRANSLATE(D22,""zh-tw"",""KO"")"),"""고무 오리"" 아이템을 구해서 욕조 안에 넣으세요.")</f>
        <v>"고무 오리" 아이템을 구해서 욕조 안에 넣으세요.</v>
      </c>
      <c r="Y22" s="234" t="s">
        <v>3844</v>
      </c>
      <c r="Z22" s="235" t="s">
        <v>3859</v>
      </c>
      <c r="AA22" s="236" t="s">
        <v>3860</v>
      </c>
      <c r="AB22" s="65" t="s">
        <v>3861</v>
      </c>
      <c r="AC22" s="234" t="s">
        <v>3844</v>
      </c>
      <c r="AD22" s="112" t="s">
        <v>3862</v>
      </c>
      <c r="AE22" s="237" t="s">
        <v>3863</v>
      </c>
      <c r="AF22" s="135" t="s">
        <v>3864</v>
      </c>
      <c r="AG22" s="234" t="s">
        <v>3844</v>
      </c>
      <c r="AH22" s="238" t="s">
        <v>3865</v>
      </c>
      <c r="AI22" s="119" t="s">
        <v>3866</v>
      </c>
      <c r="AJ22" s="120" t="s">
        <v>3867</v>
      </c>
      <c r="AK22" s="234" t="s">
        <v>3844</v>
      </c>
      <c r="AL22" s="125" t="s">
        <v>3851</v>
      </c>
      <c r="AM22" s="113" t="s">
        <v>3868</v>
      </c>
      <c r="AN22" s="75" t="s">
        <v>3869</v>
      </c>
      <c r="AO22" s="234" t="s">
        <v>3844</v>
      </c>
      <c r="AP22" s="112" t="s">
        <v>3851</v>
      </c>
      <c r="AQ22" s="111" t="s">
        <v>3870</v>
      </c>
      <c r="AR22" s="72" t="s">
        <v>3871</v>
      </c>
      <c r="AS22" s="75"/>
      <c r="AT22" s="75"/>
    </row>
    <row r="23">
      <c r="A23" s="234" t="s">
        <v>3872</v>
      </c>
      <c r="B23" s="112" t="s">
        <v>3618</v>
      </c>
      <c r="C23" s="111" t="s">
        <v>3873</v>
      </c>
      <c r="D23" s="72" t="s">
        <v>3874</v>
      </c>
      <c r="E23" s="234" t="s">
        <v>3872</v>
      </c>
      <c r="F23" s="112" t="s">
        <v>3622</v>
      </c>
      <c r="G23" s="111" t="s">
        <v>3875</v>
      </c>
      <c r="H23" s="72" t="s">
        <v>3876</v>
      </c>
      <c r="I23" s="234" t="s">
        <v>3872</v>
      </c>
      <c r="J23" s="112" t="s">
        <v>3625</v>
      </c>
      <c r="K23" s="111" t="s">
        <v>3877</v>
      </c>
      <c r="L23" s="72" t="s">
        <v>3878</v>
      </c>
      <c r="M23" s="234" t="s">
        <v>3872</v>
      </c>
      <c r="N23" s="112" t="s">
        <v>3628</v>
      </c>
      <c r="O23" s="111" t="s">
        <v>3879</v>
      </c>
      <c r="P23" s="72" t="s">
        <v>3880</v>
      </c>
      <c r="Q23" s="234" t="s">
        <v>3872</v>
      </c>
      <c r="R23" s="112" t="s">
        <v>3631</v>
      </c>
      <c r="S23" s="113" t="str">
        <f>IFERROR(__xludf.DUMMYFUNCTION("GOOGLETRANSLATE(C23,""zh-tw"",""es-MX"")"),"Sendero del Aventurero: Detrás del monumento que se encuentra más abajo, hay un objeto oculto.")</f>
        <v>Sendero del Aventurero: Detrás del monumento que se encuentra más abajo, hay un objeto oculto.</v>
      </c>
      <c r="T23" s="75" t="str">
        <f>IFERROR(__xludf.DUMMYFUNCTION("GOOGLETRANSLATE(D23,""zh-tw"",""es-MX"")"),"Obtén el objeto y el arma: Bastón de Lava.")</f>
        <v>Obtén el objeto y el arma: Bastón de Lava.</v>
      </c>
      <c r="U23" s="234" t="s">
        <v>3872</v>
      </c>
      <c r="V23" s="125" t="str">
        <f>IFERROR(__xludf.DUMMYFUNCTION("GOOGLETRANSLATE(B23,""zh-tw"",""KO"")"),"숨겨진 통로")</f>
        <v>숨겨진 통로</v>
      </c>
      <c r="W23" s="113" t="str">
        <f>IFERROR(__xludf.DUMMYFUNCTION("GOOGLETRANSLATE(C23,""zh-tw"",""KO"")"),"모험가의 길: 아래 기념비 뒤에 숨겨진 아이템이 있습니다.")</f>
        <v>모험가의 길: 아래 기념비 뒤에 숨겨진 아이템이 있습니다.</v>
      </c>
      <c r="X23" s="75" t="str">
        <f>IFERROR(__xludf.DUMMYFUNCTION("GOOGLETRANSLATE(D23,""zh-tw"",""KO"")"),"아이템과 무기인 용암 지팡이를 획득하세요.")</f>
        <v>아이템과 무기인 용암 지팡이를 획득하세요.</v>
      </c>
      <c r="Y23" s="234" t="s">
        <v>3872</v>
      </c>
      <c r="Z23" s="235" t="s">
        <v>3632</v>
      </c>
      <c r="AA23" s="236" t="s">
        <v>3881</v>
      </c>
      <c r="AB23" s="65" t="s">
        <v>3882</v>
      </c>
      <c r="AC23" s="234" t="s">
        <v>3872</v>
      </c>
      <c r="AD23" s="112" t="s">
        <v>3635</v>
      </c>
      <c r="AE23" s="237" t="s">
        <v>3883</v>
      </c>
      <c r="AF23" s="135" t="s">
        <v>3884</v>
      </c>
      <c r="AG23" s="234" t="s">
        <v>3872</v>
      </c>
      <c r="AH23" s="239" t="s">
        <v>3638</v>
      </c>
      <c r="AI23" s="119" t="s">
        <v>3885</v>
      </c>
      <c r="AJ23" s="120" t="s">
        <v>3886</v>
      </c>
      <c r="AK23" s="234" t="s">
        <v>3872</v>
      </c>
      <c r="AL23" s="112" t="s">
        <v>3641</v>
      </c>
      <c r="AM23" s="113" t="s">
        <v>3887</v>
      </c>
      <c r="AN23" s="75" t="s">
        <v>3888</v>
      </c>
      <c r="AO23" s="234" t="s">
        <v>3872</v>
      </c>
      <c r="AP23" s="112" t="s">
        <v>3644</v>
      </c>
      <c r="AQ23" s="113" t="s">
        <v>3889</v>
      </c>
      <c r="AR23" s="75" t="s">
        <v>3890</v>
      </c>
      <c r="AS23" s="75"/>
      <c r="AT23" s="75"/>
    </row>
    <row r="24">
      <c r="A24" s="229"/>
      <c r="B24" s="228" t="s">
        <v>3891</v>
      </c>
      <c r="E24" s="229"/>
      <c r="F24" s="229"/>
      <c r="I24" s="229"/>
      <c r="J24" s="230" t="s">
        <v>3892</v>
      </c>
      <c r="M24" s="229"/>
      <c r="N24" s="228" t="s">
        <v>3893</v>
      </c>
      <c r="Q24" s="229"/>
      <c r="R24" s="229"/>
      <c r="U24" s="229"/>
      <c r="V24" s="231"/>
      <c r="Y24" s="229"/>
      <c r="Z24" s="232" t="s">
        <v>3894</v>
      </c>
      <c r="AC24" s="229"/>
      <c r="AD24" s="229"/>
      <c r="AG24" s="229"/>
      <c r="AH24" s="229"/>
      <c r="AK24" s="229"/>
      <c r="AL24" s="233" t="s">
        <v>3895</v>
      </c>
      <c r="AO24" s="229"/>
      <c r="AP24" s="229"/>
      <c r="AS24" s="231"/>
      <c r="AT24" s="231"/>
    </row>
    <row r="25">
      <c r="A25" s="234" t="s">
        <v>3896</v>
      </c>
      <c r="B25" s="121" t="s">
        <v>3897</v>
      </c>
      <c r="C25" s="111" t="s">
        <v>3898</v>
      </c>
      <c r="D25" s="72" t="s">
        <v>3899</v>
      </c>
      <c r="E25" s="234" t="s">
        <v>3896</v>
      </c>
      <c r="F25" s="112" t="s">
        <v>3900</v>
      </c>
      <c r="G25" s="111" t="s">
        <v>3901</v>
      </c>
      <c r="H25" s="72" t="s">
        <v>3902</v>
      </c>
      <c r="I25" s="234" t="s">
        <v>3896</v>
      </c>
      <c r="J25" s="112" t="s">
        <v>3903</v>
      </c>
      <c r="K25" s="111" t="s">
        <v>3904</v>
      </c>
      <c r="L25" s="72" t="s">
        <v>3905</v>
      </c>
      <c r="M25" s="234" t="s">
        <v>3896</v>
      </c>
      <c r="N25" s="112" t="s">
        <v>3906</v>
      </c>
      <c r="O25" s="111" t="s">
        <v>3907</v>
      </c>
      <c r="P25" s="72" t="s">
        <v>3908</v>
      </c>
      <c r="Q25" s="234" t="s">
        <v>3896</v>
      </c>
      <c r="R25" s="125" t="s">
        <v>3909</v>
      </c>
      <c r="S25" s="113"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75"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234" t="s">
        <v>3896</v>
      </c>
      <c r="V25" s="125" t="str">
        <f>IFERROR(__xludf.DUMMYFUNCTION("GOOGLETRANSLATE(B25,""zh-tw"",""KO"")"),"산속 동굴")</f>
        <v>산속 동굴</v>
      </c>
      <c r="W25" s="113"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75"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234" t="s">
        <v>3896</v>
      </c>
      <c r="Z25" s="235" t="s">
        <v>3910</v>
      </c>
      <c r="AA25" s="250" t="s">
        <v>3911</v>
      </c>
      <c r="AB25" s="71" t="s">
        <v>3912</v>
      </c>
      <c r="AC25" s="234" t="s">
        <v>3896</v>
      </c>
      <c r="AD25" s="112" t="s">
        <v>3913</v>
      </c>
      <c r="AE25" s="237" t="s">
        <v>3914</v>
      </c>
      <c r="AF25" s="135" t="s">
        <v>3915</v>
      </c>
      <c r="AG25" s="234" t="s">
        <v>3896</v>
      </c>
      <c r="AH25" s="238" t="s">
        <v>3916</v>
      </c>
      <c r="AI25" s="130" t="s">
        <v>3917</v>
      </c>
      <c r="AJ25" s="134" t="s">
        <v>3918</v>
      </c>
      <c r="AK25" s="234" t="s">
        <v>3896</v>
      </c>
      <c r="AL25" s="125" t="s">
        <v>3919</v>
      </c>
      <c r="AM25" s="113" t="s">
        <v>3920</v>
      </c>
      <c r="AN25" s="75" t="s">
        <v>3921</v>
      </c>
      <c r="AO25" s="234" t="s">
        <v>3896</v>
      </c>
      <c r="AP25" s="108" t="s">
        <v>3922</v>
      </c>
      <c r="AQ25" s="113" t="s">
        <v>3923</v>
      </c>
      <c r="AR25" s="75" t="s">
        <v>3924</v>
      </c>
      <c r="AS25" s="75"/>
      <c r="AT25" s="75"/>
    </row>
    <row r="26">
      <c r="A26" s="229"/>
      <c r="B26" s="228" t="s">
        <v>3925</v>
      </c>
      <c r="E26" s="229"/>
      <c r="F26" s="229"/>
      <c r="I26" s="229"/>
      <c r="J26" s="230" t="s">
        <v>3926</v>
      </c>
      <c r="M26" s="229"/>
      <c r="N26" s="228" t="s">
        <v>3927</v>
      </c>
      <c r="Q26" s="229"/>
      <c r="R26" s="229"/>
      <c r="U26" s="229"/>
      <c r="V26" s="231"/>
      <c r="Y26" s="229"/>
      <c r="Z26" s="232" t="s">
        <v>3928</v>
      </c>
      <c r="AC26" s="229"/>
      <c r="AD26" s="229"/>
      <c r="AG26" s="229"/>
      <c r="AH26" s="229"/>
      <c r="AK26" s="229"/>
      <c r="AL26" s="233" t="s">
        <v>3929</v>
      </c>
      <c r="AO26" s="229"/>
      <c r="AP26" s="229"/>
      <c r="AS26" s="231"/>
      <c r="AT26" s="231"/>
    </row>
    <row r="27">
      <c r="A27" s="234"/>
      <c r="B27" s="121"/>
      <c r="C27" s="111"/>
      <c r="D27" s="72"/>
      <c r="E27" s="234"/>
      <c r="F27" s="112"/>
      <c r="G27" s="111"/>
      <c r="H27" s="72"/>
      <c r="I27" s="234"/>
      <c r="J27" s="112"/>
      <c r="K27" s="111"/>
      <c r="L27" s="72"/>
      <c r="M27" s="234"/>
      <c r="N27" s="112"/>
      <c r="O27" s="111"/>
      <c r="P27" s="72"/>
      <c r="Q27" s="234"/>
      <c r="R27" s="125"/>
      <c r="S27" s="113"/>
      <c r="T27" s="75"/>
      <c r="U27" s="234"/>
      <c r="V27" s="125"/>
      <c r="W27" s="113"/>
      <c r="X27" s="75"/>
      <c r="Y27" s="234"/>
      <c r="Z27" s="112"/>
      <c r="AA27" s="250"/>
      <c r="AB27" s="71"/>
      <c r="AC27" s="234"/>
      <c r="AD27" s="112"/>
      <c r="AE27" s="237"/>
      <c r="AF27" s="135"/>
      <c r="AG27" s="234"/>
      <c r="AH27" s="238"/>
      <c r="AI27" s="130"/>
      <c r="AJ27" s="134"/>
      <c r="AK27" s="234"/>
      <c r="AL27" s="125"/>
      <c r="AM27" s="113"/>
      <c r="AN27" s="75"/>
      <c r="AO27" s="234"/>
      <c r="AP27" s="108"/>
      <c r="AQ27" s="113"/>
      <c r="AR27" s="75"/>
      <c r="AS27" s="75"/>
      <c r="AT27" s="75"/>
    </row>
    <row r="28">
      <c r="A28" s="251"/>
      <c r="B28" s="251"/>
      <c r="C28" s="251"/>
      <c r="D28" s="251"/>
      <c r="E28" s="251"/>
      <c r="F28" s="251"/>
      <c r="G28" s="251"/>
      <c r="H28" s="251"/>
      <c r="I28" s="251"/>
      <c r="J28" s="251"/>
      <c r="K28" s="251"/>
      <c r="L28" s="251"/>
      <c r="M28" s="251"/>
      <c r="N28" s="251"/>
      <c r="O28" s="251"/>
      <c r="P28" s="251"/>
      <c r="Q28" s="251"/>
      <c r="R28" s="251"/>
      <c r="S28" s="252"/>
      <c r="T28" s="252"/>
      <c r="U28" s="251"/>
      <c r="V28" s="252"/>
      <c r="W28" s="252"/>
      <c r="X28" s="252"/>
      <c r="Y28" s="251"/>
      <c r="Z28" s="251"/>
      <c r="AA28" s="253"/>
      <c r="AB28" s="252"/>
      <c r="AC28" s="251"/>
      <c r="AD28" s="251"/>
      <c r="AE28" s="251"/>
      <c r="AF28" s="251"/>
      <c r="AG28" s="251"/>
      <c r="AH28" s="251"/>
      <c r="AI28" s="251"/>
      <c r="AJ28" s="251"/>
      <c r="AK28" s="251"/>
      <c r="AL28" s="252"/>
      <c r="AM28" s="252"/>
      <c r="AN28" s="252"/>
      <c r="AO28" s="251"/>
      <c r="AP28" s="251"/>
      <c r="AQ28" s="252"/>
      <c r="AR28" s="252"/>
      <c r="AS28" s="252"/>
      <c r="AT28" s="252"/>
    </row>
    <row r="29">
      <c r="A29" s="228" t="s">
        <v>1448</v>
      </c>
      <c r="B29" s="228" t="s">
        <v>3930</v>
      </c>
      <c r="E29" s="228" t="s">
        <v>1448</v>
      </c>
      <c r="F29" s="229"/>
      <c r="I29" s="228" t="s">
        <v>1448</v>
      </c>
      <c r="J29" s="230" t="s">
        <v>3931</v>
      </c>
      <c r="M29" s="228" t="s">
        <v>1448</v>
      </c>
      <c r="N29" s="228" t="s">
        <v>3932</v>
      </c>
      <c r="Q29" s="228" t="s">
        <v>1448</v>
      </c>
      <c r="R29" s="229"/>
      <c r="U29" s="228" t="s">
        <v>1448</v>
      </c>
      <c r="V29" s="231"/>
      <c r="Y29" s="228" t="s">
        <v>1448</v>
      </c>
      <c r="Z29" s="232" t="s">
        <v>3933</v>
      </c>
      <c r="AC29" s="228" t="s">
        <v>1448</v>
      </c>
      <c r="AD29" s="229"/>
      <c r="AG29" s="228" t="s">
        <v>1448</v>
      </c>
      <c r="AH29" s="229"/>
      <c r="AK29" s="228" t="s">
        <v>1448</v>
      </c>
      <c r="AL29" s="233" t="s">
        <v>3934</v>
      </c>
      <c r="AO29" s="228" t="s">
        <v>1448</v>
      </c>
      <c r="AP29" s="229"/>
      <c r="AS29" s="231"/>
      <c r="AT29" s="231"/>
    </row>
    <row r="30">
      <c r="A30" s="234" t="s">
        <v>3935</v>
      </c>
      <c r="B30" s="112" t="s">
        <v>3618</v>
      </c>
      <c r="C30" s="111" t="s">
        <v>3936</v>
      </c>
      <c r="D30" s="72" t="s">
        <v>3764</v>
      </c>
      <c r="E30" s="234" t="s">
        <v>3935</v>
      </c>
      <c r="F30" s="112" t="s">
        <v>3622</v>
      </c>
      <c r="G30" s="111" t="s">
        <v>3937</v>
      </c>
      <c r="H30" s="72" t="s">
        <v>3766</v>
      </c>
      <c r="I30" s="234" t="s">
        <v>3935</v>
      </c>
      <c r="J30" s="112" t="s">
        <v>3625</v>
      </c>
      <c r="K30" s="111" t="s">
        <v>3938</v>
      </c>
      <c r="L30" s="72" t="s">
        <v>3768</v>
      </c>
      <c r="M30" s="234" t="s">
        <v>3935</v>
      </c>
      <c r="N30" s="112" t="s">
        <v>3628</v>
      </c>
      <c r="O30" s="111" t="s">
        <v>3939</v>
      </c>
      <c r="P30" s="72" t="s">
        <v>3770</v>
      </c>
      <c r="Q30" s="234" t="s">
        <v>3935</v>
      </c>
      <c r="R30" s="112" t="s">
        <v>3631</v>
      </c>
      <c r="S30" s="113" t="str">
        <f>IFERROR(__xludf.DUMMYFUNCTION("GOOGLETRANSLATE(C30,""zh-tw"",""es-MX"")"),"Hay un objeto oculto en el bosque, en la esquina inferior derecha de ""Ruinas del Bosque-4"".")</f>
        <v>Hay un objeto oculto en el bosque, en la esquina inferior derecha de "Ruinas del Bosque-4".</v>
      </c>
      <c r="T30" s="72" t="s">
        <v>3940</v>
      </c>
      <c r="U30" s="234" t="s">
        <v>3935</v>
      </c>
      <c r="V30" s="125" t="str">
        <f>IFERROR(__xludf.DUMMYFUNCTION("GOOGLETRANSLATE(B30,""zh-tw"",""KO"")"),"숨겨진 통로")</f>
        <v>숨겨진 통로</v>
      </c>
      <c r="W30" s="113" t="str">
        <f>IFERROR(__xludf.DUMMYFUNCTION("GOOGLETRANSLATE(C30,""zh-tw"",""KO"")"),"""유적의 숲-4""의 오른쪽 아래 구석에 숨겨진 아이템이 있습니다.")</f>
        <v>"유적의 숲-4"의 오른쪽 아래 구석에 숨겨진 아이템이 있습니다.</v>
      </c>
      <c r="X30" s="75" t="str">
        <f>IFERROR(__xludf.DUMMYFUNCTION("GOOGLETRANSLATE(D30,""zh-tw"",""KO"")"),"아이템을 획득하세요")</f>
        <v>아이템을 획득하세요</v>
      </c>
      <c r="Y30" s="234" t="s">
        <v>3935</v>
      </c>
      <c r="Z30" s="235" t="s">
        <v>3632</v>
      </c>
      <c r="AA30" s="236" t="s">
        <v>3941</v>
      </c>
      <c r="AB30" s="65" t="s">
        <v>3773</v>
      </c>
      <c r="AC30" s="234" t="s">
        <v>3935</v>
      </c>
      <c r="AD30" s="112" t="s">
        <v>3635</v>
      </c>
      <c r="AE30" s="237" t="s">
        <v>3942</v>
      </c>
      <c r="AF30" s="135" t="s">
        <v>3943</v>
      </c>
      <c r="AG30" s="234" t="s">
        <v>3935</v>
      </c>
      <c r="AH30" s="239" t="s">
        <v>3638</v>
      </c>
      <c r="AI30" s="119" t="s">
        <v>3944</v>
      </c>
      <c r="AJ30" s="120" t="s">
        <v>3777</v>
      </c>
      <c r="AK30" s="234" t="s">
        <v>3935</v>
      </c>
      <c r="AL30" s="112" t="s">
        <v>3641</v>
      </c>
      <c r="AM30" s="113" t="s">
        <v>3945</v>
      </c>
      <c r="AN30" s="75" t="s">
        <v>3946</v>
      </c>
      <c r="AO30" s="234" t="s">
        <v>3935</v>
      </c>
      <c r="AP30" s="112" t="s">
        <v>3644</v>
      </c>
      <c r="AQ30" s="113" t="s">
        <v>3947</v>
      </c>
      <c r="AR30" s="75" t="s">
        <v>3781</v>
      </c>
      <c r="AS30" s="75"/>
      <c r="AT30" s="75"/>
    </row>
    <row r="31">
      <c r="A31" s="234" t="s">
        <v>3948</v>
      </c>
      <c r="B31" s="112" t="s">
        <v>3949</v>
      </c>
      <c r="C31" s="111" t="s">
        <v>3950</v>
      </c>
      <c r="D31" s="72" t="s">
        <v>3951</v>
      </c>
      <c r="E31" s="234" t="s">
        <v>3948</v>
      </c>
      <c r="F31" s="112" t="s">
        <v>3952</v>
      </c>
      <c r="G31" s="111" t="s">
        <v>3953</v>
      </c>
      <c r="H31" s="72" t="s">
        <v>3954</v>
      </c>
      <c r="I31" s="234" t="s">
        <v>3948</v>
      </c>
      <c r="J31" s="112" t="s">
        <v>3955</v>
      </c>
      <c r="K31" s="111" t="s">
        <v>3956</v>
      </c>
      <c r="L31" s="72" t="s">
        <v>3957</v>
      </c>
      <c r="M31" s="234" t="s">
        <v>3948</v>
      </c>
      <c r="N31" s="112" t="s">
        <v>3958</v>
      </c>
      <c r="O31" s="111" t="s">
        <v>3959</v>
      </c>
      <c r="P31" s="72" t="s">
        <v>3960</v>
      </c>
      <c r="Q31" s="234" t="s">
        <v>3948</v>
      </c>
      <c r="R31" s="112" t="s">
        <v>3961</v>
      </c>
      <c r="S31" s="111" t="s">
        <v>3962</v>
      </c>
      <c r="T31" s="75" t="str">
        <f>IFERROR(__xludf.DUMMYFUNCTION("GOOGLETRANSLATE(D31,""zh-tw"",""es-MX"")"),"Enlace al mapa de las ruinas
Observaciones")</f>
        <v>Enlace al mapa de las ruinas
Observaciones</v>
      </c>
      <c r="U31" s="234" t="s">
        <v>3948</v>
      </c>
      <c r="V31" s="125" t="str">
        <f>IFERROR(__xludf.DUMMYFUNCTION("GOOGLETRANSLATE(B31,""zh-tw"",""KO"")"),"유적지 입구들을 연결하기")</f>
        <v>유적지 입구들을 연결하기</v>
      </c>
      <c r="W31" s="113" t="str">
        <f>IFERROR(__xludf.DUMMYFUNCTION("GOOGLETRANSLATE(C31,""zh-tw"",""KO"")"),"유적의 숲 - 4 지도 중앙에 있던 바위들이 제거되었습니다.")</f>
        <v>유적의 숲 - 4 지도 중앙에 있던 바위들이 제거되었습니다.</v>
      </c>
      <c r="X31" s="75" t="str">
        <f>IFERROR(__xludf.DUMMYFUNCTION("GOOGLETRANSLATE(D31,""zh-tw"",""KO"")"),"유적 지도 링크
관찰 내용")</f>
        <v>유적 지도 링크
관찰 내용</v>
      </c>
      <c r="Y31" s="234" t="s">
        <v>3948</v>
      </c>
      <c r="Z31" s="235" t="s">
        <v>3963</v>
      </c>
      <c r="AA31" s="236" t="s">
        <v>3964</v>
      </c>
      <c r="AB31" s="65" t="s">
        <v>3965</v>
      </c>
      <c r="AC31" s="234" t="s">
        <v>3948</v>
      </c>
      <c r="AD31" s="112" t="s">
        <v>3966</v>
      </c>
      <c r="AE31" s="237" t="s">
        <v>3967</v>
      </c>
      <c r="AF31" s="135" t="s">
        <v>3968</v>
      </c>
      <c r="AG31" s="234" t="s">
        <v>3948</v>
      </c>
      <c r="AH31" s="238" t="s">
        <v>3969</v>
      </c>
      <c r="AI31" s="119" t="s">
        <v>3970</v>
      </c>
      <c r="AJ31" s="120" t="s">
        <v>3971</v>
      </c>
      <c r="AK31" s="234" t="s">
        <v>3948</v>
      </c>
      <c r="AL31" s="125" t="s">
        <v>3972</v>
      </c>
      <c r="AM31" s="113" t="s">
        <v>3973</v>
      </c>
      <c r="AN31" s="75" t="s">
        <v>3974</v>
      </c>
      <c r="AO31" s="234" t="s">
        <v>3948</v>
      </c>
      <c r="AP31" s="254" t="s">
        <v>3975</v>
      </c>
      <c r="AQ31" s="255" t="s">
        <v>3976</v>
      </c>
      <c r="AR31" s="256" t="s">
        <v>3977</v>
      </c>
      <c r="AS31" s="75"/>
      <c r="AT31" s="75"/>
    </row>
    <row r="32">
      <c r="A32" s="229"/>
      <c r="B32" s="228" t="s">
        <v>3978</v>
      </c>
      <c r="E32" s="229"/>
      <c r="F32" s="229"/>
      <c r="I32" s="229"/>
      <c r="J32" s="230" t="s">
        <v>3817</v>
      </c>
      <c r="M32" s="229"/>
      <c r="N32" s="228" t="s">
        <v>3979</v>
      </c>
      <c r="Q32" s="229"/>
      <c r="R32" s="229"/>
      <c r="U32" s="229"/>
      <c r="V32" s="231"/>
      <c r="Y32" s="229"/>
      <c r="Z32" s="232" t="s">
        <v>3980</v>
      </c>
      <c r="AC32" s="229"/>
      <c r="AD32" s="229"/>
      <c r="AG32" s="229"/>
      <c r="AH32" s="229"/>
      <c r="AK32" s="229"/>
      <c r="AL32" s="233" t="s">
        <v>3981</v>
      </c>
      <c r="AO32" s="229"/>
      <c r="AP32" s="229"/>
      <c r="AS32" s="231"/>
      <c r="AT32" s="231"/>
    </row>
    <row r="33">
      <c r="A33" s="234" t="s">
        <v>3982</v>
      </c>
      <c r="B33" s="125" t="s">
        <v>3983</v>
      </c>
      <c r="C33" s="113" t="s">
        <v>3984</v>
      </c>
      <c r="D33" s="75" t="s">
        <v>3985</v>
      </c>
      <c r="E33" s="234" t="s">
        <v>3982</v>
      </c>
      <c r="F33" s="125" t="s">
        <v>3986</v>
      </c>
      <c r="G33" s="113" t="s">
        <v>3987</v>
      </c>
      <c r="H33" s="75" t="s">
        <v>3988</v>
      </c>
      <c r="I33" s="234" t="s">
        <v>3982</v>
      </c>
      <c r="J33" s="125" t="s">
        <v>3989</v>
      </c>
      <c r="K33" s="113" t="s">
        <v>3990</v>
      </c>
      <c r="L33" s="75" t="s">
        <v>3991</v>
      </c>
      <c r="M33" s="234" t="s">
        <v>3982</v>
      </c>
      <c r="N33" s="112" t="s">
        <v>3992</v>
      </c>
      <c r="O33" s="111" t="s">
        <v>3993</v>
      </c>
      <c r="P33" s="72" t="s">
        <v>3994</v>
      </c>
      <c r="Q33" s="234" t="s">
        <v>3982</v>
      </c>
      <c r="R33" s="125" t="s">
        <v>3995</v>
      </c>
      <c r="S33" s="113"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75" t="str">
        <f>IFERROR(__xludf.DUMMYFUNCTION("GOOGLETRANSLATE(D33,""zh-tw"",""es-MX"")"),"Llegando a la zona del JEFE.
P.D.: Por ejemplo, las plumas del pájaro monstruoso se pueden usar para levitar.")</f>
        <v>Llegando a la zona del JEFE.
P.D.: Por ejemplo, las plumas del pájaro monstruoso se pueden usar para levitar.</v>
      </c>
      <c r="U33" s="234" t="s">
        <v>3982</v>
      </c>
      <c r="V33" s="125" t="str">
        <f>IFERROR(__xludf.DUMMYFUNCTION("GOOGLETRANSLATE(B33,""zh-tw"",""KO"")"),"메이드 버니 BOSS 구역 -1")</f>
        <v>메이드 버니 BOSS 구역 -1</v>
      </c>
      <c r="W33" s="113" t="str">
        <f>IFERROR(__xludf.DUMMYFUNCTION("GOOGLETRANSLATE(C33,""zh-tw"",""KO"")"),"""폐허의 숲""에서 특별한 이동 방법을 사용하면 메이드 버니 보스 지역에 도달할 수 있습니다.")</f>
        <v>"폐허의 숲"에서 특별한 이동 방법을 사용하면 메이드 버니 보스 지역에 도달할 수 있습니다.</v>
      </c>
      <c r="X33" s="75" t="str">
        <f>IFERROR(__xludf.DUMMYFUNCTION("GOOGLETRANSLATE(D33,""zh-tw"",""KO"")"),"보스 구역에 도달했습니다.
추신: 예를 들어, 몬스터 새의 깃털은 공중 부양에 사용할 수 있습니다.")</f>
        <v>보스 구역에 도달했습니다.
추신: 예를 들어, 몬스터 새의 깃털은 공중 부양에 사용할 수 있습니다.</v>
      </c>
      <c r="Y33" s="234" t="s">
        <v>3982</v>
      </c>
      <c r="Z33" s="112" t="s">
        <v>3996</v>
      </c>
      <c r="AA33" s="236" t="s">
        <v>3997</v>
      </c>
      <c r="AB33" s="65" t="s">
        <v>3998</v>
      </c>
      <c r="AC33" s="234" t="s">
        <v>3982</v>
      </c>
      <c r="AD33" s="125" t="s">
        <v>3999</v>
      </c>
      <c r="AE33" s="113" t="s">
        <v>4000</v>
      </c>
      <c r="AF33" s="75" t="s">
        <v>4001</v>
      </c>
      <c r="AG33" s="234" t="s">
        <v>3982</v>
      </c>
      <c r="AH33" s="248" t="s">
        <v>4002</v>
      </c>
      <c r="AI33" s="152" t="s">
        <v>4003</v>
      </c>
      <c r="AJ33" s="188" t="s">
        <v>4004</v>
      </c>
      <c r="AK33" s="234" t="s">
        <v>3982</v>
      </c>
      <c r="AL33" s="125" t="s">
        <v>4005</v>
      </c>
      <c r="AM33" s="113" t="s">
        <v>4006</v>
      </c>
      <c r="AN33" s="75" t="s">
        <v>4007</v>
      </c>
      <c r="AO33" s="234" t="s">
        <v>3982</v>
      </c>
      <c r="AP33" s="108" t="s">
        <v>4008</v>
      </c>
      <c r="AQ33" s="113" t="s">
        <v>4009</v>
      </c>
      <c r="AR33" s="75" t="s">
        <v>4010</v>
      </c>
      <c r="AS33" s="75"/>
      <c r="AT33" s="75"/>
    </row>
    <row r="34">
      <c r="A34" s="234" t="s">
        <v>4011</v>
      </c>
      <c r="B34" s="125" t="s">
        <v>4012</v>
      </c>
      <c r="C34" s="113" t="s">
        <v>4013</v>
      </c>
      <c r="D34" s="72" t="s">
        <v>4014</v>
      </c>
      <c r="E34" s="234" t="s">
        <v>4011</v>
      </c>
      <c r="F34" s="125" t="s">
        <v>4015</v>
      </c>
      <c r="G34" s="113" t="s">
        <v>4016</v>
      </c>
      <c r="H34" s="72" t="s">
        <v>4017</v>
      </c>
      <c r="I34" s="234" t="s">
        <v>4011</v>
      </c>
      <c r="J34" s="125" t="s">
        <v>4018</v>
      </c>
      <c r="K34" s="113" t="s">
        <v>4019</v>
      </c>
      <c r="L34" s="72" t="s">
        <v>4020</v>
      </c>
      <c r="M34" s="234" t="s">
        <v>4011</v>
      </c>
      <c r="N34" s="112" t="s">
        <v>4021</v>
      </c>
      <c r="O34" s="113" t="s">
        <v>4022</v>
      </c>
      <c r="P34" s="75" t="s">
        <v>4023</v>
      </c>
      <c r="Q34" s="234" t="s">
        <v>4011</v>
      </c>
      <c r="R34" s="125" t="s">
        <v>4024</v>
      </c>
      <c r="S34" s="113"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75" t="str">
        <f>IFERROR(__xludf.DUMMYFUNCTION("GOOGLETRANSLATE(D34,""zh-tw"",""es-MX"")"),"Ábralo con precaución.
*No se reiniciará.")</f>
        <v>Ábralo con precaución.
*No se reiniciará.</v>
      </c>
      <c r="U34" s="234" t="s">
        <v>4011</v>
      </c>
      <c r="V34" s="125" t="str">
        <f>IFERROR(__xludf.DUMMYFUNCTION("GOOGLETRANSLATE(B34,""zh-tw"",""KO"")"),"메이드 버니 BOSS 구역 - 2")</f>
        <v>메이드 버니 BOSS 구역 - 2</v>
      </c>
      <c r="W34" s="113" t="str">
        <f>IFERROR(__xludf.DUMMYFUNCTION("GOOGLETRANSLATE(C34,""zh-tw"",""KO"")"),"보스 구역 앞의 보물 상자는 열면 폭발하여 플레이어나 적에게 피해를 줍니다.")</f>
        <v>보스 구역 앞의 보물 상자는 열면 폭발하여 플레이어나 적에게 피해를 줍니다.</v>
      </c>
      <c r="X34" s="75" t="str">
        <f>IFERROR(__xludf.DUMMYFUNCTION("GOOGLETRANSLATE(D34,""zh-tw"",""KO"")"),"주의해서 열어주세요.
*재설정되지 않습니다.")</f>
        <v>주의해서 열어주세요.
*재설정되지 않습니다.</v>
      </c>
      <c r="Y34" s="234" t="s">
        <v>4011</v>
      </c>
      <c r="Z34" s="112" t="s">
        <v>4025</v>
      </c>
      <c r="AA34" s="236" t="s">
        <v>4026</v>
      </c>
      <c r="AB34" s="65" t="s">
        <v>4027</v>
      </c>
      <c r="AC34" s="234" t="s">
        <v>4011</v>
      </c>
      <c r="AD34" s="125" t="s">
        <v>4028</v>
      </c>
      <c r="AE34" s="113" t="s">
        <v>4029</v>
      </c>
      <c r="AF34" s="75" t="s">
        <v>4030</v>
      </c>
      <c r="AG34" s="234" t="s">
        <v>4011</v>
      </c>
      <c r="AH34" s="248" t="s">
        <v>4031</v>
      </c>
      <c r="AI34" s="152" t="s">
        <v>4032</v>
      </c>
      <c r="AJ34" s="120" t="s">
        <v>4033</v>
      </c>
      <c r="AK34" s="234" t="s">
        <v>4011</v>
      </c>
      <c r="AL34" s="125" t="s">
        <v>4034</v>
      </c>
      <c r="AM34" s="113" t="s">
        <v>4035</v>
      </c>
      <c r="AN34" s="75" t="s">
        <v>4036</v>
      </c>
      <c r="AO34" s="234" t="s">
        <v>4011</v>
      </c>
      <c r="AP34" s="108" t="s">
        <v>4037</v>
      </c>
      <c r="AQ34" s="113" t="s">
        <v>4038</v>
      </c>
      <c r="AR34" s="75" t="s">
        <v>4039</v>
      </c>
      <c r="AS34" s="75"/>
      <c r="AT34" s="75"/>
    </row>
    <row r="35">
      <c r="A35" s="234" t="s">
        <v>4040</v>
      </c>
      <c r="B35" s="125" t="s">
        <v>4041</v>
      </c>
      <c r="C35" s="111" t="s">
        <v>4042</v>
      </c>
      <c r="D35" s="75" t="s">
        <v>4043</v>
      </c>
      <c r="E35" s="234" t="s">
        <v>4040</v>
      </c>
      <c r="F35" s="125" t="s">
        <v>4044</v>
      </c>
      <c r="G35" s="113" t="s">
        <v>4045</v>
      </c>
      <c r="H35" s="75" t="s">
        <v>4046</v>
      </c>
      <c r="I35" s="234" t="s">
        <v>4040</v>
      </c>
      <c r="J35" s="125" t="s">
        <v>4047</v>
      </c>
      <c r="K35" s="111" t="s">
        <v>4048</v>
      </c>
      <c r="L35" s="72" t="s">
        <v>4049</v>
      </c>
      <c r="M35" s="234" t="s">
        <v>4040</v>
      </c>
      <c r="N35" s="112" t="s">
        <v>4050</v>
      </c>
      <c r="O35" s="113" t="s">
        <v>4051</v>
      </c>
      <c r="P35" s="75" t="s">
        <v>4052</v>
      </c>
      <c r="Q35" s="234" t="s">
        <v>4040</v>
      </c>
      <c r="R35" s="125" t="s">
        <v>4053</v>
      </c>
      <c r="S35" s="113"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75" t="str">
        <f>IFERROR(__xludf.DUMMYFUNCTION("GOOGLETRANSLATE(D35,""zh-tw"",""es-MX"")"),"Jefe de invocación: El conejo blanco del pequeño jardín.")</f>
        <v>Jefe de invocación: El conejo blanco del pequeño jardín.</v>
      </c>
      <c r="U35" s="234" t="s">
        <v>4040</v>
      </c>
      <c r="V35" s="125" t="str">
        <f>IFERROR(__xludf.DUMMYFUNCTION("GOOGLETRANSLATE(B35,""zh-tw"",""KO"")"),"메이드 래빗 보스 구역 - 3")</f>
        <v>메이드 래빗 보스 구역 - 3</v>
      </c>
      <c r="W35" s="113"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75" t="str">
        <f>IFERROR(__xludf.DUMMYFUNCTION("GOOGLETRANSLATE(D35,""zh-tw"",""KO"")"),"보스 소환 - 작은 정원의 하얀 토끼")</f>
        <v>보스 소환 - 작은 정원의 하얀 토끼</v>
      </c>
      <c r="Y35" s="234" t="s">
        <v>4040</v>
      </c>
      <c r="Z35" s="112" t="s">
        <v>4054</v>
      </c>
      <c r="AA35" s="236" t="s">
        <v>4055</v>
      </c>
      <c r="AB35" s="71" t="s">
        <v>4056</v>
      </c>
      <c r="AC35" s="234" t="s">
        <v>4040</v>
      </c>
      <c r="AD35" s="125" t="s">
        <v>4057</v>
      </c>
      <c r="AE35" s="113" t="s">
        <v>4058</v>
      </c>
      <c r="AF35" s="75" t="s">
        <v>4059</v>
      </c>
      <c r="AG35" s="234" t="s">
        <v>4040</v>
      </c>
      <c r="AH35" s="248" t="s">
        <v>4060</v>
      </c>
      <c r="AI35" s="119" t="s">
        <v>4061</v>
      </c>
      <c r="AJ35" s="188" t="s">
        <v>4062</v>
      </c>
      <c r="AK35" s="234" t="s">
        <v>4040</v>
      </c>
      <c r="AL35" s="125" t="s">
        <v>4063</v>
      </c>
      <c r="AM35" s="113" t="s">
        <v>4064</v>
      </c>
      <c r="AN35" s="75" t="s">
        <v>4065</v>
      </c>
      <c r="AO35" s="234" t="s">
        <v>4040</v>
      </c>
      <c r="AP35" s="112" t="s">
        <v>4066</v>
      </c>
      <c r="AQ35" s="113" t="s">
        <v>4067</v>
      </c>
      <c r="AR35" s="75" t="s">
        <v>4068</v>
      </c>
      <c r="AS35" s="75"/>
      <c r="AT35" s="75"/>
    </row>
    <row r="36">
      <c r="A36" s="234" t="s">
        <v>4069</v>
      </c>
      <c r="B36" s="125" t="s">
        <v>4070</v>
      </c>
      <c r="C36" s="111" t="s">
        <v>4071</v>
      </c>
      <c r="D36" s="72" t="s">
        <v>4072</v>
      </c>
      <c r="E36" s="234" t="s">
        <v>4069</v>
      </c>
      <c r="F36" s="125" t="s">
        <v>4073</v>
      </c>
      <c r="G36" s="111" t="s">
        <v>4074</v>
      </c>
      <c r="H36" s="72" t="s">
        <v>4075</v>
      </c>
      <c r="I36" s="234" t="s">
        <v>4069</v>
      </c>
      <c r="J36" s="125" t="s">
        <v>4076</v>
      </c>
      <c r="K36" s="111" t="s">
        <v>4077</v>
      </c>
      <c r="L36" s="72" t="s">
        <v>4078</v>
      </c>
      <c r="M36" s="234" t="s">
        <v>4069</v>
      </c>
      <c r="N36" s="112" t="s">
        <v>4079</v>
      </c>
      <c r="O36" s="113" t="s">
        <v>4080</v>
      </c>
      <c r="P36" s="75" t="s">
        <v>4081</v>
      </c>
      <c r="Q36" s="234" t="s">
        <v>4069</v>
      </c>
      <c r="R36" s="125" t="s">
        <v>4082</v>
      </c>
      <c r="S36" s="113"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75"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234" t="s">
        <v>4069</v>
      </c>
      <c r="V36" s="125" t="str">
        <f>IFERROR(__xludf.DUMMYFUNCTION("GOOGLETRANSLATE(B36,""zh-tw"",""KO"")"),"메이드 래빗 보스 구역 -4")</f>
        <v>메이드 래빗 보스 구역 -4</v>
      </c>
      <c r="W36" s="113"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75"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234" t="s">
        <v>4069</v>
      </c>
      <c r="Z36" s="136" t="s">
        <v>4083</v>
      </c>
      <c r="AA36" s="236" t="s">
        <v>4084</v>
      </c>
      <c r="AB36" s="65" t="s">
        <v>4085</v>
      </c>
      <c r="AC36" s="234" t="s">
        <v>4069</v>
      </c>
      <c r="AD36" s="125" t="s">
        <v>4086</v>
      </c>
      <c r="AE36" s="113" t="s">
        <v>4087</v>
      </c>
      <c r="AF36" s="75" t="s">
        <v>4088</v>
      </c>
      <c r="AG36" s="234" t="s">
        <v>4069</v>
      </c>
      <c r="AH36" s="248" t="s">
        <v>4089</v>
      </c>
      <c r="AI36" s="119" t="s">
        <v>4090</v>
      </c>
      <c r="AJ36" s="134" t="s">
        <v>4091</v>
      </c>
      <c r="AK36" s="234" t="s">
        <v>4069</v>
      </c>
      <c r="AL36" s="125" t="s">
        <v>4092</v>
      </c>
      <c r="AM36" s="113" t="s">
        <v>4093</v>
      </c>
      <c r="AN36" s="75" t="s">
        <v>4094</v>
      </c>
      <c r="AO36" s="234" t="s">
        <v>4069</v>
      </c>
      <c r="AP36" s="112" t="s">
        <v>4095</v>
      </c>
      <c r="AQ36" s="113" t="s">
        <v>4096</v>
      </c>
      <c r="AR36" s="75" t="s">
        <v>4097</v>
      </c>
      <c r="AS36" s="75"/>
      <c r="AT36" s="75"/>
    </row>
    <row r="37">
      <c r="A37" s="234" t="s">
        <v>4098</v>
      </c>
      <c r="B37" s="112" t="s">
        <v>4099</v>
      </c>
      <c r="C37" s="111" t="s">
        <v>4100</v>
      </c>
      <c r="D37" s="72" t="s">
        <v>4101</v>
      </c>
      <c r="E37" s="234" t="s">
        <v>4098</v>
      </c>
      <c r="F37" s="112" t="s">
        <v>4102</v>
      </c>
      <c r="G37" s="111" t="s">
        <v>4103</v>
      </c>
      <c r="H37" s="72" t="s">
        <v>4104</v>
      </c>
      <c r="I37" s="234" t="s">
        <v>4098</v>
      </c>
      <c r="J37" s="112" t="s">
        <v>4105</v>
      </c>
      <c r="K37" s="111" t="s">
        <v>4106</v>
      </c>
      <c r="L37" s="72" t="s">
        <v>4107</v>
      </c>
      <c r="M37" s="234" t="s">
        <v>4098</v>
      </c>
      <c r="N37" s="112" t="s">
        <v>4108</v>
      </c>
      <c r="O37" s="113" t="s">
        <v>4109</v>
      </c>
      <c r="P37" s="75" t="s">
        <v>4110</v>
      </c>
      <c r="Q37" s="234" t="s">
        <v>4098</v>
      </c>
      <c r="R37" s="125" t="s">
        <v>4111</v>
      </c>
      <c r="S37" s="113" t="str">
        <f>IFERROR(__xludf.DUMMYFUNCTION("GOOGLETRANSLATE(C37,""zh-tw"",""es-MX"")"),"La zanahoria brillante confiscará todas las zanahorias especiales presentes cuando aparezca el jefe Maid Bunny, y solo reaparecerá después de derrotarlo.
Al recoger esta zanahoria especial, soltará un objeto especial.")</f>
        <v>La zanahoria brillante confiscará todas las zanahorias especiales presentes cuando aparezca el jefe Maid Bunny, y solo reaparecerá después de derrotarlo.
Al recoger esta zanahoria especial, soltará un objeto especial.</v>
      </c>
      <c r="T37" s="75"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234" t="s">
        <v>4098</v>
      </c>
      <c r="V37" s="125" t="str">
        <f>IFERROR(__xludf.DUMMYFUNCTION("GOOGLETRANSLATE(B37,""zh-tw"",""KO"")"),"빛나는 당근")</f>
        <v>빛나는 당근</v>
      </c>
      <c r="W37" s="113" t="str">
        <f>IFERROR(__xludf.DUMMYFUNCTION("GOOGLETRANSLATE(C37,""zh-tw"",""KO"")"),"빛나는 당근은 메이드 버니 보스가 나타나면 모든 특수 당근을 가져가 버리고, 보스를 물리친 후에야 다시 나타납니다.
이 특수 당근을 뽑으면 특수 아이템이 나옵니다.")</f>
        <v>빛나는 당근은 메이드 버니 보스가 나타나면 모든 특수 당근을 가져가 버리고, 보스를 물리친 후에야 다시 나타납니다.
이 특수 당근을 뽑으면 특수 아이템이 나옵니다.</v>
      </c>
      <c r="X37" s="75"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234" t="s">
        <v>4098</v>
      </c>
      <c r="Z37" s="235" t="s">
        <v>4112</v>
      </c>
      <c r="AA37" s="236" t="s">
        <v>4113</v>
      </c>
      <c r="AB37" s="65" t="s">
        <v>4114</v>
      </c>
      <c r="AC37" s="234" t="s">
        <v>4098</v>
      </c>
      <c r="AD37" s="112" t="s">
        <v>4115</v>
      </c>
      <c r="AE37" s="111" t="str">
        <f>IFERROR(__xludf.DUMMYFUNCTION("GOOGLETRANSLATE(C37,""zh-tw"",""de"")"),"Die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37" s="72" t="s">
        <v>4116</v>
      </c>
      <c r="AG37" s="234" t="s">
        <v>4098</v>
      </c>
      <c r="AH37" s="238" t="s">
        <v>4117</v>
      </c>
      <c r="AI37" s="119" t="s">
        <v>4118</v>
      </c>
      <c r="AJ37" s="134" t="s">
        <v>4119</v>
      </c>
      <c r="AK37" s="234" t="s">
        <v>4098</v>
      </c>
      <c r="AL37" s="125" t="s">
        <v>4120</v>
      </c>
      <c r="AM37" s="113" t="s">
        <v>4121</v>
      </c>
      <c r="AN37" s="75" t="s">
        <v>4122</v>
      </c>
      <c r="AO37" s="234" t="s">
        <v>4098</v>
      </c>
      <c r="AP37" s="108" t="s">
        <v>4123</v>
      </c>
      <c r="AQ37" s="113" t="s">
        <v>4124</v>
      </c>
      <c r="AR37" s="75" t="s">
        <v>4125</v>
      </c>
      <c r="AS37" s="75"/>
      <c r="AT37" s="75"/>
    </row>
    <row r="38">
      <c r="A38" s="229"/>
      <c r="B38" s="230" t="s">
        <v>4126</v>
      </c>
      <c r="E38" s="229"/>
      <c r="F38" s="229"/>
      <c r="I38" s="229"/>
      <c r="J38" s="230" t="s">
        <v>4127</v>
      </c>
      <c r="M38" s="229"/>
      <c r="N38" s="228" t="s">
        <v>4128</v>
      </c>
      <c r="Q38" s="229"/>
      <c r="R38" s="229"/>
      <c r="U38" s="229"/>
      <c r="V38" s="231"/>
      <c r="Y38" s="229"/>
      <c r="Z38" s="232" t="s">
        <v>4129</v>
      </c>
      <c r="AC38" s="229"/>
      <c r="AD38" s="229"/>
      <c r="AG38" s="229"/>
      <c r="AH38" s="229"/>
      <c r="AK38" s="229"/>
      <c r="AL38" s="233" t="s">
        <v>4130</v>
      </c>
      <c r="AO38" s="229"/>
      <c r="AP38" s="229"/>
      <c r="AS38" s="231"/>
      <c r="AT38" s="231"/>
    </row>
    <row r="39">
      <c r="A39" s="234" t="s">
        <v>4131</v>
      </c>
      <c r="B39" s="125" t="s">
        <v>4132</v>
      </c>
      <c r="C39" s="113" t="s">
        <v>4133</v>
      </c>
      <c r="D39" s="75" t="s">
        <v>4134</v>
      </c>
      <c r="E39" s="234" t="s">
        <v>4131</v>
      </c>
      <c r="F39" s="125" t="s">
        <v>4135</v>
      </c>
      <c r="G39" s="113" t="s">
        <v>4136</v>
      </c>
      <c r="H39" s="75" t="s">
        <v>4137</v>
      </c>
      <c r="I39" s="234" t="s">
        <v>4131</v>
      </c>
      <c r="J39" s="125" t="s">
        <v>4138</v>
      </c>
      <c r="K39" s="111" t="s">
        <v>4139</v>
      </c>
      <c r="L39" s="75" t="s">
        <v>4140</v>
      </c>
      <c r="M39" s="234" t="s">
        <v>4131</v>
      </c>
      <c r="N39" s="125" t="s">
        <v>4132</v>
      </c>
      <c r="O39" s="113" t="s">
        <v>4141</v>
      </c>
      <c r="P39" s="72" t="s">
        <v>4142</v>
      </c>
      <c r="Q39" s="234" t="s">
        <v>4131</v>
      </c>
      <c r="R39" s="125" t="s">
        <v>4143</v>
      </c>
      <c r="S39" s="113"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75"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234" t="s">
        <v>4131</v>
      </c>
      <c r="V39" s="125" t="str">
        <f>IFERROR(__xludf.DUMMYFUNCTION("GOOGLETRANSLATE(B39,""zh-tw"",""KO"")"),"나는 하멤의 피리 부는 사람이 아니야~")</f>
        <v>나는 하멤의 피리 부는 사람이 아니야~</v>
      </c>
      <c r="W39" s="113"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75" t="str">
        <f>IFERROR(__xludf.DUMMYFUNCTION("GOOGLETRANSLATE(D39,""zh-tw"",""KO"")"),"Z의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9" s="234" t="s">
        <v>4131</v>
      </c>
      <c r="Z39" s="235" t="s">
        <v>4144</v>
      </c>
      <c r="AA39" s="236" t="s">
        <v>4145</v>
      </c>
      <c r="AB39" s="65" t="s">
        <v>4146</v>
      </c>
      <c r="AC39" s="234" t="s">
        <v>4131</v>
      </c>
      <c r="AD39" s="243" t="str">
        <f>IFERROR(__xludf.DUMMYFUNCTION("IF(N39="""", """", GOOGLETRANSLATE(J39,""en"",""DE""))"),"Ich bin nicht der Rattenfänger von Hameln")</f>
        <v>Ich bin nicht der Rattenfänger von Hameln</v>
      </c>
      <c r="AE39" s="113" t="s">
        <v>4147</v>
      </c>
      <c r="AF39" s="75" t="s">
        <v>4148</v>
      </c>
      <c r="AG39" s="234" t="s">
        <v>4131</v>
      </c>
      <c r="AH39" s="257" t="s">
        <v>4149</v>
      </c>
      <c r="AI39" s="258" t="s">
        <v>4150</v>
      </c>
      <c r="AJ39" s="259" t="s">
        <v>4151</v>
      </c>
      <c r="AK39" s="234" t="s">
        <v>4131</v>
      </c>
      <c r="AL39" s="125" t="s">
        <v>4152</v>
      </c>
      <c r="AM39" s="113" t="s">
        <v>4153</v>
      </c>
      <c r="AN39" s="72" t="s">
        <v>4154</v>
      </c>
      <c r="AO39" s="234" t="s">
        <v>4131</v>
      </c>
      <c r="AP39" s="108" t="s">
        <v>4155</v>
      </c>
      <c r="AQ39" s="113" t="s">
        <v>4156</v>
      </c>
      <c r="AR39" s="75" t="s">
        <v>4157</v>
      </c>
      <c r="AS39" s="260"/>
      <c r="AT39" s="260"/>
    </row>
    <row r="40">
      <c r="A40" s="234" t="s">
        <v>4158</v>
      </c>
      <c r="B40" s="112" t="s">
        <v>3618</v>
      </c>
      <c r="C40" s="111" t="s">
        <v>4159</v>
      </c>
      <c r="D40" s="72" t="s">
        <v>4160</v>
      </c>
      <c r="E40" s="234" t="s">
        <v>4158</v>
      </c>
      <c r="F40" s="112" t="s">
        <v>3622</v>
      </c>
      <c r="G40" s="111" t="s">
        <v>4161</v>
      </c>
      <c r="H40" s="72" t="s">
        <v>4162</v>
      </c>
      <c r="I40" s="234" t="s">
        <v>4158</v>
      </c>
      <c r="J40" s="112" t="s">
        <v>3625</v>
      </c>
      <c r="K40" s="111" t="s">
        <v>4163</v>
      </c>
      <c r="L40" s="72" t="s">
        <v>4164</v>
      </c>
      <c r="M40" s="234" t="s">
        <v>4158</v>
      </c>
      <c r="N40" s="112" t="s">
        <v>3628</v>
      </c>
      <c r="O40" s="111" t="s">
        <v>4165</v>
      </c>
      <c r="P40" s="72" t="s">
        <v>4166</v>
      </c>
      <c r="Q40" s="234" t="s">
        <v>4158</v>
      </c>
      <c r="R40" s="112" t="s">
        <v>3631</v>
      </c>
      <c r="S40" s="113"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75" t="str">
        <f>IFERROR(__xludf.DUMMYFUNCTION("GOOGLETRANSLATE(D40,""zh-tw"",""es-MX"")"),"Obtén el arma ""Bastón de Lava""")</f>
        <v>Obtén el arma "Bastón de Lava"</v>
      </c>
      <c r="U40" s="234" t="s">
        <v>4158</v>
      </c>
      <c r="V40" s="125" t="str">
        <f>IFERROR(__xludf.DUMMYFUNCTION("GOOGLETRANSLATE(B40,""zh-tw"",""KO"")"),"숨겨진 통로")</f>
        <v>숨겨진 통로</v>
      </c>
      <c r="W40" s="113"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75" t="str">
        <f>IFERROR(__xludf.DUMMYFUNCTION("GOOGLETRANSLATE(D40,""zh-tw"",""KO"")"),"""용암 지팡이"" 무기를 획득하세요")</f>
        <v>"용암 지팡이" 무기를 획득하세요</v>
      </c>
      <c r="Y40" s="234" t="s">
        <v>4158</v>
      </c>
      <c r="Z40" s="235" t="s">
        <v>3632</v>
      </c>
      <c r="AA40" s="236" t="s">
        <v>4167</v>
      </c>
      <c r="AB40" s="65" t="s">
        <v>4168</v>
      </c>
      <c r="AC40" s="234" t="s">
        <v>4158</v>
      </c>
      <c r="AD40" s="112" t="s">
        <v>3635</v>
      </c>
      <c r="AE40" s="237" t="s">
        <v>4169</v>
      </c>
      <c r="AF40" s="135" t="s">
        <v>4170</v>
      </c>
      <c r="AG40" s="234" t="s">
        <v>4158</v>
      </c>
      <c r="AH40" s="239" t="s">
        <v>3638</v>
      </c>
      <c r="AI40" s="119" t="s">
        <v>4171</v>
      </c>
      <c r="AJ40" s="120" t="s">
        <v>4172</v>
      </c>
      <c r="AK40" s="234" t="s">
        <v>4158</v>
      </c>
      <c r="AL40" s="112" t="s">
        <v>3641</v>
      </c>
      <c r="AM40" s="113" t="s">
        <v>4173</v>
      </c>
      <c r="AN40" s="75" t="s">
        <v>4174</v>
      </c>
      <c r="AO40" s="234" t="s">
        <v>4158</v>
      </c>
      <c r="AP40" s="112" t="s">
        <v>3644</v>
      </c>
      <c r="AQ40" s="113" t="s">
        <v>4175</v>
      </c>
      <c r="AR40" s="75" t="s">
        <v>4176</v>
      </c>
      <c r="AS40" s="75"/>
      <c r="AT40" s="75"/>
    </row>
    <row r="41">
      <c r="A41" s="234" t="s">
        <v>4177</v>
      </c>
      <c r="B41" s="112" t="s">
        <v>4178</v>
      </c>
      <c r="C41" s="111" t="s">
        <v>4179</v>
      </c>
      <c r="D41" s="72" t="s">
        <v>4180</v>
      </c>
      <c r="E41" s="234" t="s">
        <v>4177</v>
      </c>
      <c r="F41" s="112" t="s">
        <v>4181</v>
      </c>
      <c r="G41" s="111" t="s">
        <v>4182</v>
      </c>
      <c r="H41" s="72" t="s">
        <v>4183</v>
      </c>
      <c r="I41" s="234" t="s">
        <v>4177</v>
      </c>
      <c r="J41" s="112" t="s">
        <v>4184</v>
      </c>
      <c r="K41" s="111" t="s">
        <v>4185</v>
      </c>
      <c r="L41" s="72" t="s">
        <v>4186</v>
      </c>
      <c r="M41" s="234" t="s">
        <v>4177</v>
      </c>
      <c r="N41" s="112" t="s">
        <v>4187</v>
      </c>
      <c r="O41" s="111" t="s">
        <v>4188</v>
      </c>
      <c r="P41" s="72" t="s">
        <v>4189</v>
      </c>
      <c r="Q41" s="234" t="s">
        <v>4177</v>
      </c>
      <c r="R41" s="125" t="s">
        <v>4190</v>
      </c>
      <c r="S41" s="113" t="str">
        <f>IFERROR(__xludf.DUMMYFUNCTION("GOOGLETRANSLATE(C41,""zh-tw"",""es-MX"")"),"En el Bosque Perdido (el final), apareció una criatura desconocida.")</f>
        <v>En el Bosque Perdido (el final), apareció una criatura desconocida.</v>
      </c>
      <c r="T41" s="75" t="str">
        <f>IFERROR(__xludf.DUMMYFUNCTION("GOOGLETRANSLATE(D41,""zh-tw"",""es-MX"")"),"La configuración inicial del escarabajo BOSS actualmente resulta ineficaz.")</f>
        <v>La configuración inicial del escarabajo BOSS actualmente resulta ineficaz.</v>
      </c>
      <c r="U41" s="234" t="s">
        <v>4177</v>
      </c>
      <c r="V41" s="125" t="str">
        <f>IFERROR(__xludf.DUMMYFUNCTION("GOOGLETRANSLATE(B41,""zh-tw"",""KO"")"),"정체불명의 생명체가 나타났다.")</f>
        <v>정체불명의 생명체가 나타났다.</v>
      </c>
      <c r="W41" s="113" t="str">
        <f>IFERROR(__xludf.DUMMYFUNCTION("GOOGLETRANSLATE(C41,""zh-tw"",""KO"")"),"잃어버린 숲(끝부분)에서 정체불명의 생명체가 나타났다.")</f>
        <v>잃어버린 숲(끝부분)에서 정체불명의 생명체가 나타났다.</v>
      </c>
      <c r="X41" s="75" t="str">
        <f>IFERROR(__xludf.DUMMYFUNCTION("GOOGLETRANSLATE(D41,""zh-tw"",""KO"")"),"BOSS 딱정벌레의 초기 설정은 현재 효과적이지 않습니다.")</f>
        <v>BOSS 딱정벌레의 초기 설정은 현재 효과적이지 않습니다.</v>
      </c>
      <c r="Y41" s="234" t="s">
        <v>4177</v>
      </c>
      <c r="Z41" s="235" t="s">
        <v>4191</v>
      </c>
      <c r="AA41" s="250" t="s">
        <v>4192</v>
      </c>
      <c r="AB41" s="65" t="s">
        <v>4193</v>
      </c>
      <c r="AC41" s="234" t="s">
        <v>4177</v>
      </c>
      <c r="AD41" s="136" t="s">
        <v>4194</v>
      </c>
      <c r="AE41" s="237" t="s">
        <v>4195</v>
      </c>
      <c r="AF41" s="135" t="s">
        <v>4196</v>
      </c>
      <c r="AG41" s="234" t="s">
        <v>4177</v>
      </c>
      <c r="AH41" s="238" t="s">
        <v>4197</v>
      </c>
      <c r="AI41" s="119" t="s">
        <v>4198</v>
      </c>
      <c r="AJ41" s="120" t="s">
        <v>4199</v>
      </c>
      <c r="AK41" s="234" t="s">
        <v>4177</v>
      </c>
      <c r="AL41" s="125" t="s">
        <v>4200</v>
      </c>
      <c r="AM41" s="113" t="s">
        <v>4201</v>
      </c>
      <c r="AN41" s="75" t="s">
        <v>4202</v>
      </c>
      <c r="AO41" s="234" t="s">
        <v>4177</v>
      </c>
      <c r="AP41" s="112" t="s">
        <v>4203</v>
      </c>
      <c r="AQ41" s="113" t="s">
        <v>4204</v>
      </c>
      <c r="AR41" s="75" t="s">
        <v>4205</v>
      </c>
      <c r="AS41" s="75"/>
      <c r="AT41" s="75"/>
    </row>
    <row r="42">
      <c r="A42" s="251"/>
      <c r="B42" s="251"/>
      <c r="C42" s="251"/>
      <c r="D42" s="251"/>
      <c r="E42" s="251"/>
      <c r="F42" s="251"/>
      <c r="G42" s="251"/>
      <c r="H42" s="251"/>
      <c r="I42" s="251"/>
      <c r="J42" s="251"/>
      <c r="K42" s="251"/>
      <c r="L42" s="251"/>
      <c r="M42" s="251"/>
      <c r="N42" s="251"/>
      <c r="O42" s="251"/>
      <c r="P42" s="251"/>
      <c r="Q42" s="251"/>
      <c r="R42" s="251"/>
      <c r="S42" s="252"/>
      <c r="T42" s="252"/>
      <c r="U42" s="251"/>
      <c r="V42" s="252"/>
      <c r="W42" s="252"/>
      <c r="X42" s="252"/>
      <c r="Y42" s="251"/>
      <c r="Z42" s="251"/>
      <c r="AA42" s="253"/>
      <c r="AB42" s="252"/>
      <c r="AC42" s="251"/>
      <c r="AD42" s="251"/>
      <c r="AE42" s="251"/>
      <c r="AF42" s="251"/>
      <c r="AG42" s="251"/>
      <c r="AH42" s="251"/>
      <c r="AI42" s="251"/>
      <c r="AJ42" s="251"/>
      <c r="AK42" s="251"/>
      <c r="AL42" s="252"/>
      <c r="AM42" s="252"/>
      <c r="AN42" s="252"/>
      <c r="AO42" s="251"/>
      <c r="AP42" s="251"/>
      <c r="AQ42" s="252"/>
      <c r="AR42" s="252"/>
      <c r="AS42" s="252"/>
      <c r="AT42" s="252"/>
    </row>
    <row r="43">
      <c r="A43" s="228" t="s">
        <v>1842</v>
      </c>
      <c r="B43" s="228" t="s">
        <v>4206</v>
      </c>
      <c r="E43" s="228" t="s">
        <v>1842</v>
      </c>
      <c r="F43" s="229"/>
      <c r="I43" s="228" t="s">
        <v>1842</v>
      </c>
      <c r="J43" s="230" t="s">
        <v>4207</v>
      </c>
      <c r="M43" s="228" t="s">
        <v>1842</v>
      </c>
      <c r="N43" s="228" t="s">
        <v>4208</v>
      </c>
      <c r="Q43" s="228" t="s">
        <v>1842</v>
      </c>
      <c r="R43" s="229"/>
      <c r="U43" s="228" t="s">
        <v>1842</v>
      </c>
      <c r="V43" s="231"/>
      <c r="Y43" s="228" t="s">
        <v>1842</v>
      </c>
      <c r="Z43" s="232" t="s">
        <v>4209</v>
      </c>
      <c r="AC43" s="228" t="s">
        <v>1842</v>
      </c>
      <c r="AD43" s="229"/>
      <c r="AG43" s="228" t="s">
        <v>1842</v>
      </c>
      <c r="AH43" s="229"/>
      <c r="AK43" s="228" t="s">
        <v>1842</v>
      </c>
      <c r="AL43" s="233" t="s">
        <v>4210</v>
      </c>
      <c r="AO43" s="228" t="s">
        <v>1842</v>
      </c>
      <c r="AP43" s="229"/>
      <c r="AS43" s="231"/>
      <c r="AT43" s="231"/>
    </row>
    <row r="44">
      <c r="A44" s="261" t="s">
        <v>4211</v>
      </c>
      <c r="B44" s="121" t="s">
        <v>3783</v>
      </c>
      <c r="C44" s="122" t="s">
        <v>4212</v>
      </c>
      <c r="D44" s="123" t="s">
        <v>4213</v>
      </c>
      <c r="E44" s="261" t="s">
        <v>4211</v>
      </c>
      <c r="F44" s="262" t="s">
        <v>3622</v>
      </c>
      <c r="G44" s="263" t="s">
        <v>4214</v>
      </c>
      <c r="H44" s="264" t="s">
        <v>4215</v>
      </c>
      <c r="I44" s="261" t="s">
        <v>4211</v>
      </c>
      <c r="J44" s="262" t="s">
        <v>4216</v>
      </c>
      <c r="K44" s="111" t="s">
        <v>4217</v>
      </c>
      <c r="L44" s="72" t="s">
        <v>4218</v>
      </c>
      <c r="M44" s="261" t="s">
        <v>4211</v>
      </c>
      <c r="N44" s="121" t="s">
        <v>4219</v>
      </c>
      <c r="O44" s="122" t="s">
        <v>4220</v>
      </c>
      <c r="P44" s="123" t="s">
        <v>4221</v>
      </c>
      <c r="Q44" s="261" t="s">
        <v>4211</v>
      </c>
      <c r="R44" s="265"/>
      <c r="S44" s="266"/>
      <c r="T44" s="267"/>
      <c r="U44" s="261" t="s">
        <v>4211</v>
      </c>
      <c r="V44" s="268"/>
      <c r="W44" s="269"/>
      <c r="X44" s="210"/>
      <c r="Y44" s="261" t="s">
        <v>4211</v>
      </c>
      <c r="Z44" s="270" t="s">
        <v>4222</v>
      </c>
      <c r="AA44" s="115" t="s">
        <v>4223</v>
      </c>
      <c r="AB44" s="271" t="s">
        <v>4224</v>
      </c>
      <c r="AC44" s="261" t="s">
        <v>4211</v>
      </c>
      <c r="AD44" s="265"/>
      <c r="AE44" s="266"/>
      <c r="AF44" s="267"/>
      <c r="AG44" s="261" t="s">
        <v>4211</v>
      </c>
      <c r="AH44" s="265"/>
      <c r="AI44" s="266"/>
      <c r="AJ44" s="267"/>
      <c r="AK44" s="261" t="s">
        <v>4211</v>
      </c>
      <c r="AL44" s="262" t="s">
        <v>4225</v>
      </c>
      <c r="AM44" s="272" t="s">
        <v>4226</v>
      </c>
      <c r="AN44" s="273" t="s">
        <v>4227</v>
      </c>
      <c r="AO44" s="261" t="s">
        <v>4211</v>
      </c>
      <c r="AP44" s="265"/>
      <c r="AQ44" s="266"/>
      <c r="AR44" s="267"/>
      <c r="AS44" s="210"/>
      <c r="AT44" s="210"/>
    </row>
    <row r="45">
      <c r="A45" s="229"/>
      <c r="B45" s="230" t="s">
        <v>4228</v>
      </c>
      <c r="E45" s="229"/>
      <c r="F45" s="229"/>
      <c r="I45" s="229"/>
      <c r="J45" s="230" t="s">
        <v>4229</v>
      </c>
      <c r="M45" s="229"/>
      <c r="N45" s="228" t="s">
        <v>4230</v>
      </c>
      <c r="Q45" s="229"/>
      <c r="R45" s="229"/>
      <c r="U45" s="229"/>
      <c r="V45" s="231"/>
      <c r="Y45" s="229"/>
      <c r="Z45" s="232" t="s">
        <v>4231</v>
      </c>
      <c r="AC45" s="229"/>
      <c r="AD45" s="229"/>
      <c r="AG45" s="229"/>
      <c r="AH45" s="229"/>
      <c r="AK45" s="229"/>
      <c r="AL45" s="233" t="s">
        <v>4232</v>
      </c>
      <c r="AO45" s="229"/>
      <c r="AP45" s="229"/>
      <c r="AS45" s="231"/>
      <c r="AT45" s="231"/>
    </row>
    <row r="46">
      <c r="A46" s="274" t="s">
        <v>4233</v>
      </c>
      <c r="B46" s="112" t="s">
        <v>4234</v>
      </c>
      <c r="C46" s="111" t="s">
        <v>4235</v>
      </c>
      <c r="D46" s="72" t="s">
        <v>4236</v>
      </c>
      <c r="E46" s="274" t="s">
        <v>4233</v>
      </c>
      <c r="F46" s="112" t="s">
        <v>4237</v>
      </c>
      <c r="G46" s="111" t="s">
        <v>4238</v>
      </c>
      <c r="H46" s="72" t="s">
        <v>4239</v>
      </c>
      <c r="I46" s="274" t="s">
        <v>4233</v>
      </c>
      <c r="J46" s="112" t="s">
        <v>4240</v>
      </c>
      <c r="K46" s="111" t="s">
        <v>4241</v>
      </c>
      <c r="L46" s="72" t="s">
        <v>4242</v>
      </c>
      <c r="M46" s="274" t="s">
        <v>4233</v>
      </c>
      <c r="N46" s="112" t="s">
        <v>4243</v>
      </c>
      <c r="O46" s="111" t="s">
        <v>4244</v>
      </c>
      <c r="P46" s="72" t="s">
        <v>4245</v>
      </c>
      <c r="Q46" s="274" t="s">
        <v>4233</v>
      </c>
      <c r="R46" s="125" t="s">
        <v>4246</v>
      </c>
      <c r="S46" s="111" t="s">
        <v>4247</v>
      </c>
      <c r="T46" s="75" t="str">
        <f>IFERROR(__xludf.DUMMYFUNCTION("GOOGLETRANSLATE(D46,""zh-tw"",""es-MX"")"),"Lo que vi: Caí en una cueva.")</f>
        <v>Lo que vi: Caí en una cueva.</v>
      </c>
      <c r="U46" s="274" t="s">
        <v>4233</v>
      </c>
      <c r="V46" s="125" t="str">
        <f>IFERROR(__xludf.DUMMYFUNCTION("GOOGLETRANSLATE(B46,""zh-tw"",""KO"")"),"구멍 속으로 떨어지다")</f>
        <v>구멍 속으로 떨어지다</v>
      </c>
      <c r="W46" s="113" t="str">
        <f>IFERROR(__xludf.DUMMYFUNCTION("GOOGLETRANSLATE(C46,""zh-tw"",""KO"")"),"개발 지역(광산)
광산 지도에서 다음 레벨로 이동")</f>
        <v>개발 지역(광산)
광산 지도에서 다음 레벨로 이동</v>
      </c>
      <c r="X46" s="75" t="str">
        <f>IFERROR(__xludf.DUMMYFUNCTION("GOOGLETRANSLATE(D46,""zh-tw"",""KO"")"),"내가 본 것: 나는 동굴 속으로 떨어졌다")</f>
        <v>내가 본 것: 나는 동굴 속으로 떨어졌다</v>
      </c>
      <c r="Y46" s="274" t="s">
        <v>4233</v>
      </c>
      <c r="Z46" s="235" t="s">
        <v>4248</v>
      </c>
      <c r="AA46" s="236" t="s">
        <v>4249</v>
      </c>
      <c r="AB46" s="65" t="s">
        <v>4250</v>
      </c>
      <c r="AC46" s="274" t="s">
        <v>4233</v>
      </c>
      <c r="AD46" s="112" t="s">
        <v>4251</v>
      </c>
      <c r="AE46" s="237" t="s">
        <v>4252</v>
      </c>
      <c r="AF46" s="135" t="s">
        <v>4253</v>
      </c>
      <c r="AG46" s="274" t="s">
        <v>4233</v>
      </c>
      <c r="AH46" s="238" t="s">
        <v>4254</v>
      </c>
      <c r="AI46" s="119" t="s">
        <v>4255</v>
      </c>
      <c r="AJ46" s="120" t="s">
        <v>4256</v>
      </c>
      <c r="AK46" s="274" t="s">
        <v>4233</v>
      </c>
      <c r="AL46" s="125" t="s">
        <v>4257</v>
      </c>
      <c r="AM46" s="113" t="s">
        <v>4258</v>
      </c>
      <c r="AN46" s="75" t="s">
        <v>4259</v>
      </c>
      <c r="AO46" s="274" t="s">
        <v>4233</v>
      </c>
      <c r="AP46" s="108" t="s">
        <v>4260</v>
      </c>
      <c r="AQ46" s="113" t="s">
        <v>4261</v>
      </c>
      <c r="AR46" s="75" t="s">
        <v>4262</v>
      </c>
      <c r="AS46" s="75"/>
      <c r="AT46" s="75"/>
    </row>
    <row r="47">
      <c r="A47" s="274" t="s">
        <v>4263</v>
      </c>
      <c r="B47" s="121" t="s">
        <v>3783</v>
      </c>
      <c r="C47" s="111" t="s">
        <v>4264</v>
      </c>
      <c r="D47" s="72" t="s">
        <v>4265</v>
      </c>
      <c r="E47" s="274" t="s">
        <v>4263</v>
      </c>
      <c r="F47" s="112" t="s">
        <v>3786</v>
      </c>
      <c r="G47" s="111" t="s">
        <v>4266</v>
      </c>
      <c r="H47" s="72" t="s">
        <v>4267</v>
      </c>
      <c r="I47" s="274" t="s">
        <v>4263</v>
      </c>
      <c r="J47" s="112" t="s">
        <v>4216</v>
      </c>
      <c r="K47" s="111" t="s">
        <v>4268</v>
      </c>
      <c r="L47" s="72" t="s">
        <v>4269</v>
      </c>
      <c r="M47" s="274" t="s">
        <v>4263</v>
      </c>
      <c r="N47" s="112" t="s">
        <v>4219</v>
      </c>
      <c r="O47" s="111" t="s">
        <v>4270</v>
      </c>
      <c r="P47" s="72" t="s">
        <v>4271</v>
      </c>
      <c r="Q47" s="274" t="s">
        <v>4263</v>
      </c>
      <c r="R47" s="125" t="s">
        <v>3794</v>
      </c>
      <c r="S47" s="111" t="s">
        <v>4272</v>
      </c>
      <c r="T47" s="75" t="str">
        <f>IFERROR(__xludf.DUMMYFUNCTION("GOOGLETRANSLATE(D47,""zh-tw"",""es-MX"")"),"Objeto obtenido: Gel mágico x10 (Refrescante en días lluviosos)")</f>
        <v>Objeto obtenido: Gel mágico x10 (Refrescante en días lluviosos)</v>
      </c>
      <c r="U47" s="274" t="s">
        <v>4263</v>
      </c>
      <c r="V47" s="125" t="str">
        <f>IFERROR(__xludf.DUMMYFUNCTION("GOOGLETRANSLATE(B47,""zh-tw"",""KO"")"),"숨겨진 아이템")</f>
        <v>숨겨진 아이템</v>
      </c>
      <c r="W47" s="113" t="str">
        <f>IFERROR(__xludf.DUMMYFUNCTION("GOOGLETRANSLATE(C47,""zh-tw"",""KO"")"),"개발 구역(광산)-1의 계단 중앙에 보물 상자가 있습니다.")</f>
        <v>개발 구역(광산)-1의 계단 중앙에 보물 상자가 있습니다.</v>
      </c>
      <c r="X47" s="75" t="str">
        <f>IFERROR(__xludf.DUMMYFUNCTION("GOOGLETRANSLATE(D47,""zh-tw"",""KO"")"),"획득 아이템: 매직 젤 10개 (비 오는 날 상쾌함을 더해줍니다)")</f>
        <v>획득 아이템: 매직 젤 10개 (비 오는 날 상쾌함을 더해줍니다)</v>
      </c>
      <c r="Y47" s="274" t="s">
        <v>4263</v>
      </c>
      <c r="Z47" s="235" t="s">
        <v>3632</v>
      </c>
      <c r="AA47" s="236" t="s">
        <v>4273</v>
      </c>
      <c r="AB47" s="65" t="s">
        <v>4274</v>
      </c>
      <c r="AC47" s="274" t="s">
        <v>4263</v>
      </c>
      <c r="AD47" s="112" t="s">
        <v>4275</v>
      </c>
      <c r="AE47" s="237" t="s">
        <v>4276</v>
      </c>
      <c r="AF47" s="135" t="s">
        <v>4277</v>
      </c>
      <c r="AG47" s="274" t="s">
        <v>4263</v>
      </c>
      <c r="AH47" s="238" t="s">
        <v>4278</v>
      </c>
      <c r="AI47" s="119" t="s">
        <v>4279</v>
      </c>
      <c r="AJ47" s="120" t="s">
        <v>4280</v>
      </c>
      <c r="AK47" s="274" t="s">
        <v>4263</v>
      </c>
      <c r="AL47" s="125" t="s">
        <v>4281</v>
      </c>
      <c r="AM47" s="113" t="s">
        <v>4282</v>
      </c>
      <c r="AN47" s="75" t="s">
        <v>4283</v>
      </c>
      <c r="AO47" s="274" t="s">
        <v>4263</v>
      </c>
      <c r="AP47" s="108" t="s">
        <v>3807</v>
      </c>
      <c r="AQ47" s="113" t="s">
        <v>4284</v>
      </c>
      <c r="AR47" s="75" t="s">
        <v>4285</v>
      </c>
      <c r="AS47" s="75"/>
      <c r="AT47" s="75"/>
    </row>
    <row r="48">
      <c r="A48" s="274" t="s">
        <v>4286</v>
      </c>
      <c r="B48" s="112" t="s">
        <v>3618</v>
      </c>
      <c r="C48" s="111" t="s">
        <v>4287</v>
      </c>
      <c r="D48" s="72" t="s">
        <v>4288</v>
      </c>
      <c r="E48" s="274" t="s">
        <v>4286</v>
      </c>
      <c r="F48" s="112" t="s">
        <v>3622</v>
      </c>
      <c r="G48" s="111" t="s">
        <v>4289</v>
      </c>
      <c r="H48" s="72" t="s">
        <v>4290</v>
      </c>
      <c r="I48" s="274" t="s">
        <v>4286</v>
      </c>
      <c r="J48" s="112" t="s">
        <v>3625</v>
      </c>
      <c r="K48" s="111" t="s">
        <v>4291</v>
      </c>
      <c r="L48" s="72" t="s">
        <v>4292</v>
      </c>
      <c r="M48" s="274" t="s">
        <v>4286</v>
      </c>
      <c r="N48" s="112" t="s">
        <v>3628</v>
      </c>
      <c r="O48" s="111" t="s">
        <v>4293</v>
      </c>
      <c r="P48" s="72" t="s">
        <v>4294</v>
      </c>
      <c r="Q48" s="274" t="s">
        <v>4286</v>
      </c>
      <c r="R48" s="112" t="s">
        <v>3631</v>
      </c>
      <c r="S48" s="111" t="s">
        <v>4295</v>
      </c>
      <c r="T48" s="75" t="str">
        <f>IFERROR(__xludf.DUMMYFUNCTION("GOOGLETRANSLATE(D48,""zh-tw"",""es-MX"")"),"Obtén el equipo: Anillo de hueso del ahorcado")</f>
        <v>Obtén el equipo: Anillo de hueso del ahorcado</v>
      </c>
      <c r="U48" s="274" t="s">
        <v>4286</v>
      </c>
      <c r="V48" s="125" t="str">
        <f>IFERROR(__xludf.DUMMYFUNCTION("GOOGLETRANSLATE(B48,""zh-tw"",""KO"")"),"숨겨진 통로")</f>
        <v>숨겨진 통로</v>
      </c>
      <c r="W48" s="113" t="str">
        <f>IFERROR(__xludf.DUMMYFUNCTION("GOOGLETRANSLATE(C48,""zh-tw"",""KO"")"),"개발 지역(광산)-1에서는 광산 수레를 타고 가장 먼 지점에 도달하면 장비를 얻을 수 있습니다.")</f>
        <v>개발 지역(광산)-1에서는 광산 수레를 타고 가장 먼 지점에 도달하면 장비를 얻을 수 있습니다.</v>
      </c>
      <c r="X48" s="75" t="str">
        <f>IFERROR(__xludf.DUMMYFUNCTION("GOOGLETRANSLATE(D48,""zh-tw"",""KO"")"),"장비 획득 - 교수형당한 남자의 뼈 반지")</f>
        <v>장비 획득 - 교수형당한 남자의 뼈 반지</v>
      </c>
      <c r="Y48" s="274" t="s">
        <v>4286</v>
      </c>
      <c r="Z48" s="235" t="s">
        <v>4222</v>
      </c>
      <c r="AA48" s="236" t="s">
        <v>4296</v>
      </c>
      <c r="AB48" s="65" t="s">
        <v>4297</v>
      </c>
      <c r="AC48" s="274" t="s">
        <v>4286</v>
      </c>
      <c r="AD48" s="112" t="s">
        <v>3635</v>
      </c>
      <c r="AE48" s="237" t="s">
        <v>4298</v>
      </c>
      <c r="AF48" s="135" t="s">
        <v>4299</v>
      </c>
      <c r="AG48" s="274" t="s">
        <v>4286</v>
      </c>
      <c r="AH48" s="239" t="s">
        <v>3638</v>
      </c>
      <c r="AI48" s="119" t="s">
        <v>4300</v>
      </c>
      <c r="AJ48" s="134" t="s">
        <v>4301</v>
      </c>
      <c r="AK48" s="274" t="s">
        <v>4286</v>
      </c>
      <c r="AL48" s="112" t="s">
        <v>3641</v>
      </c>
      <c r="AM48" s="113" t="s">
        <v>4302</v>
      </c>
      <c r="AN48" s="75" t="s">
        <v>4303</v>
      </c>
      <c r="AO48" s="274" t="s">
        <v>4286</v>
      </c>
      <c r="AP48" s="108" t="s">
        <v>4304</v>
      </c>
      <c r="AQ48" s="113" t="s">
        <v>4305</v>
      </c>
      <c r="AR48" s="75" t="s">
        <v>4306</v>
      </c>
      <c r="AS48" s="75"/>
      <c r="AT48" s="75"/>
    </row>
    <row r="49">
      <c r="A49" s="274" t="s">
        <v>4307</v>
      </c>
      <c r="B49" s="125" t="s">
        <v>4308</v>
      </c>
      <c r="C49" s="113" t="s">
        <v>4309</v>
      </c>
      <c r="D49" s="75" t="s">
        <v>4310</v>
      </c>
      <c r="E49" s="274" t="s">
        <v>4307</v>
      </c>
      <c r="F49" s="112" t="s">
        <v>4311</v>
      </c>
      <c r="G49" s="111" t="s">
        <v>4312</v>
      </c>
      <c r="H49" s="75" t="s">
        <v>4313</v>
      </c>
      <c r="I49" s="274" t="s">
        <v>4307</v>
      </c>
      <c r="J49" s="125" t="s">
        <v>4314</v>
      </c>
      <c r="K49" s="113" t="s">
        <v>4315</v>
      </c>
      <c r="L49" s="75" t="s">
        <v>4316</v>
      </c>
      <c r="M49" s="274" t="s">
        <v>4307</v>
      </c>
      <c r="N49" s="112" t="s">
        <v>4317</v>
      </c>
      <c r="O49" s="111" t="s">
        <v>4318</v>
      </c>
      <c r="P49" s="72" t="s">
        <v>4319</v>
      </c>
      <c r="Q49" s="274" t="s">
        <v>4307</v>
      </c>
      <c r="R49" s="125" t="s">
        <v>4320</v>
      </c>
      <c r="S49" s="113" t="str">
        <f>IFERROR(__xludf.DUMMYFUNCTION("GOOGLETRANSLATE(C49,""zh-tw"",""es-MX"")"),"Desde el fondo de la zona en desarrollo (mina)-1, se puede acceder al siguiente mapa.")</f>
        <v>Desde el fondo de la zona en desarrollo (mina)-1, se puede acceder al siguiente mapa.</v>
      </c>
      <c r="T49" s="75" t="str">
        <f>IFERROR(__xludf.DUMMYFUNCTION("GOOGLETRANSLATE(D49,""zh-tw"",""es-MX"")"),"Llegada a ""Zona de desarrollo (mina)-2""")</f>
        <v>Llegada a "Zona de desarrollo (mina)-2"</v>
      </c>
      <c r="U49" s="274" t="s">
        <v>4307</v>
      </c>
      <c r="V49" s="125" t="str">
        <f>IFERROR(__xludf.DUMMYFUNCTION("GOOGLETRANSLATE(B49,""zh-tw"",""KO"")"),"개발 지역(광산 구덩이) -2")</f>
        <v>개발 지역(광산 구덩이) -2</v>
      </c>
      <c r="W49" s="113" t="str">
        <f>IFERROR(__xludf.DUMMYFUNCTION("GOOGLETRANSLATE(C49,""zh-tw"",""KO"")"),"개발 지역(광산)-1의 맨 뒤쪽에서 다음 지도로 이동할 수 있습니다.")</f>
        <v>개발 지역(광산)-1의 맨 뒤쪽에서 다음 지도로 이동할 수 있습니다.</v>
      </c>
      <c r="X49" s="75" t="str">
        <f>IFERROR(__xludf.DUMMYFUNCTION("GOOGLETRANSLATE(D49,""zh-tw"",""KO"")"),"""개발 지역(광산)-2""에 도착하세요.")</f>
        <v>"개발 지역(광산)-2"에 도착하세요.</v>
      </c>
      <c r="Y49" s="274" t="s">
        <v>4307</v>
      </c>
      <c r="Z49" s="112" t="s">
        <v>4321</v>
      </c>
      <c r="AA49" s="236" t="s">
        <v>4322</v>
      </c>
      <c r="AB49" s="65" t="s">
        <v>4323</v>
      </c>
      <c r="AC49" s="274" t="s">
        <v>4307</v>
      </c>
      <c r="AD49" s="125" t="s">
        <v>4324</v>
      </c>
      <c r="AE49" s="113" t="s">
        <v>4325</v>
      </c>
      <c r="AF49" s="75" t="s">
        <v>4326</v>
      </c>
      <c r="AG49" s="274" t="s">
        <v>4307</v>
      </c>
      <c r="AH49" s="248" t="s">
        <v>4327</v>
      </c>
      <c r="AI49" s="152" t="s">
        <v>4328</v>
      </c>
      <c r="AJ49" s="188" t="s">
        <v>4329</v>
      </c>
      <c r="AK49" s="274" t="s">
        <v>4307</v>
      </c>
      <c r="AL49" s="125" t="s">
        <v>4330</v>
      </c>
      <c r="AM49" s="113" t="s">
        <v>4331</v>
      </c>
      <c r="AN49" s="75" t="s">
        <v>4332</v>
      </c>
      <c r="AO49" s="274" t="s">
        <v>4307</v>
      </c>
      <c r="AP49" s="112" t="s">
        <v>4333</v>
      </c>
      <c r="AQ49" s="113" t="s">
        <v>4334</v>
      </c>
      <c r="AR49" s="75" t="s">
        <v>4335</v>
      </c>
      <c r="AS49" s="75"/>
      <c r="AT49" s="75"/>
    </row>
    <row r="50">
      <c r="A50" s="274" t="s">
        <v>4336</v>
      </c>
      <c r="B50" s="112" t="s">
        <v>3783</v>
      </c>
      <c r="C50" s="111" t="s">
        <v>4337</v>
      </c>
      <c r="D50" s="72" t="s">
        <v>4213</v>
      </c>
      <c r="E50" s="274" t="s">
        <v>4336</v>
      </c>
      <c r="F50" s="112" t="s">
        <v>3786</v>
      </c>
      <c r="G50" s="111" t="s">
        <v>4338</v>
      </c>
      <c r="H50" s="72" t="s">
        <v>4339</v>
      </c>
      <c r="I50" s="274" t="s">
        <v>4336</v>
      </c>
      <c r="J50" s="112" t="s">
        <v>4216</v>
      </c>
      <c r="K50" s="111" t="s">
        <v>4340</v>
      </c>
      <c r="L50" s="72" t="s">
        <v>4218</v>
      </c>
      <c r="M50" s="274" t="s">
        <v>4336</v>
      </c>
      <c r="N50" s="112" t="s">
        <v>4219</v>
      </c>
      <c r="O50" s="113" t="s">
        <v>4341</v>
      </c>
      <c r="P50" s="75" t="s">
        <v>4221</v>
      </c>
      <c r="Q50" s="274" t="s">
        <v>4336</v>
      </c>
      <c r="R50" s="125" t="s">
        <v>3794</v>
      </c>
      <c r="S50" s="113" t="str">
        <f>IFERROR(__xludf.DUMMYFUNCTION("GOOGLETRANSLATE(C50,""zh-tw"",""es-MX"")"),"El punto brillante se encuentra en el fondo de la superficie del agua en ""Zona de Desarrollo (Mina)-2"".")</f>
        <v>El punto brillante se encuentra en el fondo de la superficie del agua en "Zona de Desarrollo (Mina)-2".</v>
      </c>
      <c r="T50" s="75" t="str">
        <f>IFERROR(__xludf.DUMMYFUNCTION("GOOGLETRANSLATE(D50,""zh-tw"",""es-MX"")"),"Equipo obtenido: Medalla de la Espada del Guardián")</f>
        <v>Equipo obtenido: Medalla de la Espada del Guardián</v>
      </c>
      <c r="U50" s="274" t="s">
        <v>4336</v>
      </c>
      <c r="V50" s="125" t="str">
        <f>IFERROR(__xludf.DUMMYFUNCTION("GOOGLETRANSLATE(B50,""zh-tw"",""KO"")"),"숨겨진 아이템")</f>
        <v>숨겨진 아이템</v>
      </c>
      <c r="W50" s="113" t="str">
        <f>IFERROR(__xludf.DUMMYFUNCTION("GOOGLETRANSLATE(C50,""zh-tw"",""KO"")"),"빛나는 지점은 ""개발 구역(광산)-2""의 수면 바닥에 위치해 있습니다.")</f>
        <v>빛나는 지점은 "개발 구역(광산)-2"의 수면 바닥에 위치해 있습니다.</v>
      </c>
      <c r="X50" s="75" t="str">
        <f>IFERROR(__xludf.DUMMYFUNCTION("GOOGLETRANSLATE(D50,""zh-tw"",""KO"")"),"획득 장비: 수호자의 검 메달")</f>
        <v>획득 장비: 수호자의 검 메달</v>
      </c>
      <c r="Y50" s="274" t="s">
        <v>4336</v>
      </c>
      <c r="Z50" s="235" t="s">
        <v>4222</v>
      </c>
      <c r="AA50" s="236" t="s">
        <v>4342</v>
      </c>
      <c r="AB50" s="275" t="s">
        <v>4224</v>
      </c>
      <c r="AC50" s="274" t="s">
        <v>4336</v>
      </c>
      <c r="AD50" s="112" t="s">
        <v>4275</v>
      </c>
      <c r="AE50" s="111" t="str">
        <f>IFERROR(__xludf.DUMMYFUNCTION("GOOGLETRANSLATE(C50,""zh-tw"",""de"")"),"Der leuchtende Fleck befindet sich am Grund der Wasseroberfläche im ""Entwicklungsbereich (Mine)-2"".")</f>
        <v>Der leuchtende Fleck befindet sich am Grund der Wasseroberfläche im "Entwicklungsbereich (Mine)-2".</v>
      </c>
      <c r="AF50" s="72" t="s">
        <v>4343</v>
      </c>
      <c r="AG50" s="274" t="s">
        <v>4336</v>
      </c>
      <c r="AH50" s="238" t="s">
        <v>4278</v>
      </c>
      <c r="AI50" s="119" t="s">
        <v>4344</v>
      </c>
      <c r="AJ50" s="120" t="s">
        <v>4345</v>
      </c>
      <c r="AK50" s="274" t="s">
        <v>4336</v>
      </c>
      <c r="AL50" s="125" t="s">
        <v>4281</v>
      </c>
      <c r="AM50" s="113" t="s">
        <v>4346</v>
      </c>
      <c r="AN50" s="72" t="s">
        <v>4347</v>
      </c>
      <c r="AO50" s="274" t="s">
        <v>4336</v>
      </c>
      <c r="AP50" s="108" t="s">
        <v>3807</v>
      </c>
      <c r="AQ50" s="113" t="s">
        <v>4348</v>
      </c>
      <c r="AR50" s="75" t="s">
        <v>4349</v>
      </c>
      <c r="AS50" s="75"/>
      <c r="AT50" s="75"/>
    </row>
    <row r="51">
      <c r="A51" s="274" t="s">
        <v>4350</v>
      </c>
      <c r="B51" s="125" t="s">
        <v>3618</v>
      </c>
      <c r="C51" s="113" t="s">
        <v>4351</v>
      </c>
      <c r="D51" s="75" t="s">
        <v>4352</v>
      </c>
      <c r="E51" s="274" t="s">
        <v>4350</v>
      </c>
      <c r="F51" s="125" t="s">
        <v>4353</v>
      </c>
      <c r="G51" s="113" t="s">
        <v>4354</v>
      </c>
      <c r="H51" s="75" t="s">
        <v>4355</v>
      </c>
      <c r="I51" s="274" t="s">
        <v>4350</v>
      </c>
      <c r="J51" s="112" t="s">
        <v>4356</v>
      </c>
      <c r="K51" s="111" t="s">
        <v>4357</v>
      </c>
      <c r="L51" s="75" t="s">
        <v>4358</v>
      </c>
      <c r="M51" s="274" t="s">
        <v>4350</v>
      </c>
      <c r="N51" s="112" t="s">
        <v>3628</v>
      </c>
      <c r="O51" s="111" t="s">
        <v>4359</v>
      </c>
      <c r="P51" s="72" t="s">
        <v>4360</v>
      </c>
      <c r="Q51" s="274" t="s">
        <v>4350</v>
      </c>
      <c r="R51" s="125" t="s">
        <v>4361</v>
      </c>
      <c r="S51" s="113"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75" t="str">
        <f>IFERROR(__xludf.DUMMYFUNCTION("GOOGLETRANSLATE(D51,""zh-tw"",""es-MX"")"),"Tras despejar las rocas, se puede acceder a las cuevas de la montaña.")</f>
        <v>Tras despejar las rocas, se puede acceder a las cuevas de la montaña.</v>
      </c>
      <c r="U51" s="274" t="s">
        <v>4350</v>
      </c>
      <c r="V51" s="125" t="str">
        <f>IFERROR(__xludf.DUMMYFUNCTION("GOOGLETRANSLATE(B51,""zh-tw"",""KO"")"),"숨겨진 통로")</f>
        <v>숨겨진 통로</v>
      </c>
      <c r="W51" s="113"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75" t="str">
        <f>IFERROR(__xludf.DUMMYFUNCTION("GOOGLETRANSLATE(D51,""zh-tw"",""KO"")"),"바위를 치우고 나면 산속 동굴과 연결될 수 있습니다.")</f>
        <v>바위를 치우고 나면 산속 동굴과 연결될 수 있습니다.</v>
      </c>
      <c r="Y51" s="274" t="s">
        <v>4350</v>
      </c>
      <c r="Z51" s="235" t="s">
        <v>3657</v>
      </c>
      <c r="AA51" s="236" t="s">
        <v>4362</v>
      </c>
      <c r="AB51" s="65" t="s">
        <v>4363</v>
      </c>
      <c r="AC51" s="274" t="s">
        <v>4350</v>
      </c>
      <c r="AD51" s="125" t="s">
        <v>4364</v>
      </c>
      <c r="AE51" s="113" t="s">
        <v>4365</v>
      </c>
      <c r="AF51" s="75" t="s">
        <v>4366</v>
      </c>
      <c r="AG51" s="274" t="s">
        <v>4350</v>
      </c>
      <c r="AH51" s="239" t="s">
        <v>4367</v>
      </c>
      <c r="AI51" s="152" t="s">
        <v>4368</v>
      </c>
      <c r="AJ51" s="188" t="s">
        <v>4369</v>
      </c>
      <c r="AK51" s="274" t="s">
        <v>4350</v>
      </c>
      <c r="AL51" s="112" t="s">
        <v>4370</v>
      </c>
      <c r="AM51" s="113" t="s">
        <v>4371</v>
      </c>
      <c r="AN51" s="75" t="s">
        <v>4372</v>
      </c>
      <c r="AO51" s="274" t="s">
        <v>4350</v>
      </c>
      <c r="AP51" s="108" t="s">
        <v>4373</v>
      </c>
      <c r="AQ51" s="113" t="s">
        <v>4374</v>
      </c>
      <c r="AR51" s="75" t="s">
        <v>4375</v>
      </c>
      <c r="AS51" s="75"/>
      <c r="AT51" s="75"/>
    </row>
    <row r="52">
      <c r="A52" s="274" t="s">
        <v>4376</v>
      </c>
      <c r="B52" s="125" t="s">
        <v>4377</v>
      </c>
      <c r="C52" s="113" t="s">
        <v>4378</v>
      </c>
      <c r="D52" s="75" t="s">
        <v>4379</v>
      </c>
      <c r="E52" s="274" t="s">
        <v>4376</v>
      </c>
      <c r="F52" s="112" t="s">
        <v>4380</v>
      </c>
      <c r="G52" s="113" t="s">
        <v>4381</v>
      </c>
      <c r="H52" s="75" t="s">
        <v>4382</v>
      </c>
      <c r="I52" s="274" t="s">
        <v>4376</v>
      </c>
      <c r="J52" s="125" t="s">
        <v>4383</v>
      </c>
      <c r="K52" s="113" t="s">
        <v>4384</v>
      </c>
      <c r="L52" s="75" t="s">
        <v>4385</v>
      </c>
      <c r="M52" s="274" t="s">
        <v>4376</v>
      </c>
      <c r="N52" s="112" t="s">
        <v>4386</v>
      </c>
      <c r="O52" s="111" t="s">
        <v>4387</v>
      </c>
      <c r="P52" s="72" t="s">
        <v>4388</v>
      </c>
      <c r="Q52" s="274" t="s">
        <v>4376</v>
      </c>
      <c r="R52" s="125" t="s">
        <v>4389</v>
      </c>
      <c r="S52" s="113" t="str">
        <f>IFERROR(__xludf.DUMMYFUNCTION("GOOGLETRANSLATE(C52,""zh-tw"",""es-MX"")"),"En ""Zona de Desarrollo (Mina)-2"", hay una enorme roca en el centro del mapa que se extiende hacia arriba. Si la atraviesas, llegarás a ""Zona de Desarrollo (Mina)-3"", donde podrás destruirla manualmente o usar una vagoneta para atravesarla.")</f>
        <v>En "Zona de Desarrollo (Mina)-2", hay una enorme roca en el centro del mapa que se extiende hacia arriba. Si la atraviesas, llegarás a "Zona de Desarrollo (Mina)-3", donde podrás destruirla manualmente o usar una vagoneta para atravesarla.</v>
      </c>
      <c r="T52" s="75" t="str">
        <f>IFERROR(__xludf.DUMMYFUNCTION("GOOGLETRANSLATE(D52,""zh-tw"",""es-MX"")"),"Llegada a ""Zona de desarrollo (mina)-3""")</f>
        <v>Llegada a "Zona de desarrollo (mina)-3"</v>
      </c>
      <c r="U52" s="274" t="s">
        <v>4376</v>
      </c>
      <c r="V52" s="125" t="str">
        <f>IFERROR(__xludf.DUMMYFUNCTION("GOOGLETRANSLATE(B52,""zh-tw"",""KO"")"),"개발 지역(광산 구덩이) -3")</f>
        <v>개발 지역(광산 구덩이) -3</v>
      </c>
      <c r="W52" s="113"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75" t="str">
        <f>IFERROR(__xludf.DUMMYFUNCTION("GOOGLETRANSLATE(D52,""zh-tw"",""KO"")"),"""개발 지역(광산)-3""에 도착하세요.")</f>
        <v>"개발 지역(광산)-3"에 도착하세요.</v>
      </c>
      <c r="Y52" s="274" t="s">
        <v>4376</v>
      </c>
      <c r="Z52" s="112" t="s">
        <v>4390</v>
      </c>
      <c r="AA52" s="236" t="s">
        <v>4391</v>
      </c>
      <c r="AB52" s="65" t="s">
        <v>4392</v>
      </c>
      <c r="AC52" s="274" t="s">
        <v>4376</v>
      </c>
      <c r="AD52" s="125" t="s">
        <v>4393</v>
      </c>
      <c r="AE52" s="113" t="s">
        <v>4394</v>
      </c>
      <c r="AF52" s="75" t="s">
        <v>4395</v>
      </c>
      <c r="AG52" s="274" t="s">
        <v>4376</v>
      </c>
      <c r="AH52" s="248" t="s">
        <v>4396</v>
      </c>
      <c r="AI52" s="152" t="s">
        <v>4397</v>
      </c>
      <c r="AJ52" s="188" t="s">
        <v>4398</v>
      </c>
      <c r="AK52" s="274" t="s">
        <v>4376</v>
      </c>
      <c r="AL52" s="125" t="s">
        <v>4399</v>
      </c>
      <c r="AM52" s="113" t="s">
        <v>4400</v>
      </c>
      <c r="AN52" s="75" t="s">
        <v>4401</v>
      </c>
      <c r="AO52" s="274" t="s">
        <v>4376</v>
      </c>
      <c r="AP52" s="112" t="s">
        <v>4402</v>
      </c>
      <c r="AQ52" s="113" t="s">
        <v>4403</v>
      </c>
      <c r="AR52" s="75" t="s">
        <v>4404</v>
      </c>
      <c r="AS52" s="75"/>
      <c r="AT52" s="75"/>
    </row>
    <row r="53">
      <c r="A53" s="274" t="s">
        <v>4405</v>
      </c>
      <c r="B53" s="112" t="s">
        <v>3783</v>
      </c>
      <c r="C53" s="111" t="s">
        <v>4406</v>
      </c>
      <c r="D53" s="72" t="s">
        <v>4407</v>
      </c>
      <c r="E53" s="274" t="s">
        <v>4405</v>
      </c>
      <c r="F53" s="112" t="s">
        <v>3786</v>
      </c>
      <c r="G53" s="111" t="s">
        <v>4408</v>
      </c>
      <c r="H53" s="72" t="s">
        <v>4409</v>
      </c>
      <c r="I53" s="274" t="s">
        <v>4405</v>
      </c>
      <c r="J53" s="112" t="s">
        <v>4216</v>
      </c>
      <c r="K53" s="111" t="s">
        <v>4410</v>
      </c>
      <c r="L53" s="72" t="s">
        <v>4411</v>
      </c>
      <c r="M53" s="274" t="s">
        <v>4405</v>
      </c>
      <c r="N53" s="112" t="s">
        <v>4219</v>
      </c>
      <c r="O53" s="113" t="s">
        <v>4412</v>
      </c>
      <c r="P53" s="75" t="s">
        <v>4413</v>
      </c>
      <c r="Q53" s="274" t="s">
        <v>4405</v>
      </c>
      <c r="R53" s="125" t="s">
        <v>3794</v>
      </c>
      <c r="S53" s="113"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75" t="str">
        <f>IFERROR(__xludf.DUMMYFUNCTION("GOOGLETRANSLATE(D53,""zh-tw"",""es-MX"")"),"Equipo obtenido: Guantes de seguridad")</f>
        <v>Equipo obtenido: Guantes de seguridad</v>
      </c>
      <c r="U53" s="274" t="s">
        <v>4405</v>
      </c>
      <c r="V53" s="125" t="str">
        <f>IFERROR(__xludf.DUMMYFUNCTION("GOOGLETRANSLATE(B53,""zh-tw"",""KO"")"),"숨겨진 아이템")</f>
        <v>숨겨진 아이템</v>
      </c>
      <c r="W53" s="113" t="str">
        <f>IFERROR(__xludf.DUMMYFUNCTION("GOOGLETRANSLATE(C53,""zh-tw"",""KO"")"),"빛나는 나무 상자는 ""개발 구역(광산)-3""에 들어간 후 왼쪽에 있습니다.")</f>
        <v>빛나는 나무 상자는 "개발 구역(광산)-3"에 들어간 후 왼쪽에 있습니다.</v>
      </c>
      <c r="X53" s="75" t="str">
        <f>IFERROR(__xludf.DUMMYFUNCTION("GOOGLETRANSLATE(D53,""zh-tw"",""KO"")"),"획득 장비: 안전 장갑")</f>
        <v>획득 장비: 안전 장갑</v>
      </c>
      <c r="Y53" s="274" t="s">
        <v>4405</v>
      </c>
      <c r="Z53" s="235" t="s">
        <v>4222</v>
      </c>
      <c r="AA53" s="236" t="s">
        <v>4414</v>
      </c>
      <c r="AB53" s="65" t="s">
        <v>4415</v>
      </c>
      <c r="AC53" s="274" t="s">
        <v>4405</v>
      </c>
      <c r="AD53" s="112" t="s">
        <v>4275</v>
      </c>
      <c r="AE53" s="111" t="str">
        <f>IFERROR(__xludf.DUMMYFUNCTION("GOOGLETRANSLATE(C53,""zh-tw"",""de"")"),"Die leuchtende Holzkiste befindet sich auf der linken Seite nach Betreten des ""Entwicklungsbereichs (Mine)-3"".")</f>
        <v>Die leuchtende Holzkiste befindet sich auf der linken Seite nach Betreten des "Entwicklungsbereichs (Mine)-3".</v>
      </c>
      <c r="AF53" s="72" t="s">
        <v>4416</v>
      </c>
      <c r="AG53" s="274" t="s">
        <v>4405</v>
      </c>
      <c r="AH53" s="238" t="s">
        <v>4278</v>
      </c>
      <c r="AI53" s="119" t="s">
        <v>4417</v>
      </c>
      <c r="AJ53" s="120" t="s">
        <v>4418</v>
      </c>
      <c r="AK53" s="274" t="s">
        <v>4405</v>
      </c>
      <c r="AL53" s="125" t="s">
        <v>4281</v>
      </c>
      <c r="AM53" s="113" t="s">
        <v>4419</v>
      </c>
      <c r="AN53" s="75" t="s">
        <v>4420</v>
      </c>
      <c r="AO53" s="274" t="s">
        <v>4405</v>
      </c>
      <c r="AP53" s="108" t="s">
        <v>3807</v>
      </c>
      <c r="AQ53" s="113" t="s">
        <v>4421</v>
      </c>
      <c r="AR53" s="75" t="s">
        <v>4422</v>
      </c>
      <c r="AS53" s="75"/>
      <c r="AT53" s="75"/>
    </row>
    <row r="54">
      <c r="A54" s="274" t="s">
        <v>4423</v>
      </c>
      <c r="B54" s="112" t="s">
        <v>3783</v>
      </c>
      <c r="C54" s="111" t="s">
        <v>4424</v>
      </c>
      <c r="D54" s="72" t="s">
        <v>4425</v>
      </c>
      <c r="E54" s="274" t="s">
        <v>4423</v>
      </c>
      <c r="F54" s="112" t="s">
        <v>3786</v>
      </c>
      <c r="G54" s="111" t="s">
        <v>4426</v>
      </c>
      <c r="H54" s="72" t="s">
        <v>4427</v>
      </c>
      <c r="I54" s="274" t="s">
        <v>4423</v>
      </c>
      <c r="J54" s="112" t="s">
        <v>4216</v>
      </c>
      <c r="K54" s="111" t="s">
        <v>4428</v>
      </c>
      <c r="L54" s="72" t="s">
        <v>4429</v>
      </c>
      <c r="M54" s="274" t="s">
        <v>4423</v>
      </c>
      <c r="N54" s="112" t="s">
        <v>4219</v>
      </c>
      <c r="O54" s="113" t="s">
        <v>4430</v>
      </c>
      <c r="P54" s="75" t="s">
        <v>4431</v>
      </c>
      <c r="Q54" s="274" t="s">
        <v>4423</v>
      </c>
      <c r="R54" s="125" t="s">
        <v>3794</v>
      </c>
      <c r="S54" s="113"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75" t="str">
        <f>IFERROR(__xludf.DUMMYFUNCTION("GOOGLETRANSLATE(D54,""zh-tw"",""es-MX"")"),"Equipo obtenido: Espada de gemas")</f>
        <v>Equipo obtenido: Espada de gemas</v>
      </c>
      <c r="U54" s="274" t="s">
        <v>4423</v>
      </c>
      <c r="V54" s="125" t="str">
        <f>IFERROR(__xludf.DUMMYFUNCTION("GOOGLETRANSLATE(B54,""zh-tw"",""KO"")"),"숨겨진 아이템")</f>
        <v>숨겨진 아이템</v>
      </c>
      <c r="W54" s="113"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75" t="str">
        <f>IFERROR(__xludf.DUMMYFUNCTION("GOOGLETRANSLATE(D54,""zh-tw"",""KO"")"),"획득 장비: 보석검")</f>
        <v>획득 장비: 보석검</v>
      </c>
      <c r="Y54" s="274" t="s">
        <v>4423</v>
      </c>
      <c r="Z54" s="235" t="s">
        <v>4222</v>
      </c>
      <c r="AA54" s="236" t="s">
        <v>4432</v>
      </c>
      <c r="AB54" s="65" t="s">
        <v>4433</v>
      </c>
      <c r="AC54" s="274" t="s">
        <v>4423</v>
      </c>
      <c r="AD54" s="112" t="s">
        <v>4275</v>
      </c>
      <c r="AE54" s="111"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4" s="72" t="s">
        <v>4434</v>
      </c>
      <c r="AG54" s="274" t="s">
        <v>4423</v>
      </c>
      <c r="AH54" s="238" t="s">
        <v>4278</v>
      </c>
      <c r="AI54" s="119" t="s">
        <v>4435</v>
      </c>
      <c r="AJ54" s="120" t="s">
        <v>4436</v>
      </c>
      <c r="AK54" s="274" t="s">
        <v>4423</v>
      </c>
      <c r="AL54" s="125" t="s">
        <v>4281</v>
      </c>
      <c r="AM54" s="113" t="s">
        <v>4437</v>
      </c>
      <c r="AN54" s="75" t="s">
        <v>4438</v>
      </c>
      <c r="AO54" s="274" t="s">
        <v>4423</v>
      </c>
      <c r="AP54" s="108" t="s">
        <v>3807</v>
      </c>
      <c r="AQ54" s="113" t="s">
        <v>4439</v>
      </c>
      <c r="AR54" s="75" t="s">
        <v>4440</v>
      </c>
      <c r="AS54" s="75"/>
      <c r="AT54" s="75"/>
    </row>
    <row r="55">
      <c r="A55" s="274" t="s">
        <v>4441</v>
      </c>
      <c r="B55" s="125" t="s">
        <v>4442</v>
      </c>
      <c r="C55" s="113" t="s">
        <v>4443</v>
      </c>
      <c r="D55" s="75" t="s">
        <v>4444</v>
      </c>
      <c r="E55" s="274" t="s">
        <v>4441</v>
      </c>
      <c r="F55" s="112" t="s">
        <v>4445</v>
      </c>
      <c r="G55" s="113" t="s">
        <v>4446</v>
      </c>
      <c r="H55" s="75" t="s">
        <v>4447</v>
      </c>
      <c r="I55" s="274" t="s">
        <v>4441</v>
      </c>
      <c r="J55" s="125" t="s">
        <v>4448</v>
      </c>
      <c r="K55" s="113" t="s">
        <v>4449</v>
      </c>
      <c r="L55" s="75" t="s">
        <v>4450</v>
      </c>
      <c r="M55" s="274" t="s">
        <v>4441</v>
      </c>
      <c r="N55" s="112" t="s">
        <v>4451</v>
      </c>
      <c r="O55" s="111" t="s">
        <v>4452</v>
      </c>
      <c r="P55" s="72" t="s">
        <v>4453</v>
      </c>
      <c r="Q55" s="274" t="s">
        <v>4441</v>
      </c>
      <c r="R55" s="125" t="s">
        <v>4454</v>
      </c>
      <c r="S55" s="113"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75" t="str">
        <f>IFERROR(__xludf.DUMMYFUNCTION("GOOGLETRANSLATE(D55,""zh-tw"",""es-MX"")"),"Llegada a ""Zona de desarrollo (mina)-4""")</f>
        <v>Llegada a "Zona de desarrollo (mina)-4"</v>
      </c>
      <c r="U55" s="274" t="s">
        <v>4441</v>
      </c>
      <c r="V55" s="125" t="str">
        <f>IFERROR(__xludf.DUMMYFUNCTION("GOOGLETRANSLATE(B55,""zh-tw"",""KO"")"),"개발 지역(광산 구덩이) -4")</f>
        <v>개발 지역(광산 구덩이) -4</v>
      </c>
      <c r="W55" s="113"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75" t="str">
        <f>IFERROR(__xludf.DUMMYFUNCTION("GOOGLETRANSLATE(D55,""zh-tw"",""KO"")"),"""개발 지역(광산)-4""에 도착하세요.")</f>
        <v>"개발 지역(광산)-4"에 도착하세요.</v>
      </c>
      <c r="Y55" s="274" t="s">
        <v>4441</v>
      </c>
      <c r="Z55" s="112" t="s">
        <v>4455</v>
      </c>
      <c r="AA55" s="236" t="s">
        <v>4456</v>
      </c>
      <c r="AB55" s="65" t="s">
        <v>4457</v>
      </c>
      <c r="AC55" s="274" t="s">
        <v>4441</v>
      </c>
      <c r="AD55" s="125" t="s">
        <v>4458</v>
      </c>
      <c r="AE55" s="113" t="s">
        <v>4459</v>
      </c>
      <c r="AF55" s="75" t="s">
        <v>4460</v>
      </c>
      <c r="AG55" s="274" t="s">
        <v>4441</v>
      </c>
      <c r="AH55" s="248" t="s">
        <v>4327</v>
      </c>
      <c r="AI55" s="130" t="s">
        <v>4461</v>
      </c>
      <c r="AJ55" s="188" t="s">
        <v>4462</v>
      </c>
      <c r="AK55" s="274" t="s">
        <v>4441</v>
      </c>
      <c r="AL55" s="125" t="s">
        <v>4463</v>
      </c>
      <c r="AM55" s="113" t="s">
        <v>4464</v>
      </c>
      <c r="AN55" s="75" t="s">
        <v>4465</v>
      </c>
      <c r="AO55" s="274" t="s">
        <v>4441</v>
      </c>
      <c r="AP55" s="112" t="s">
        <v>4466</v>
      </c>
      <c r="AQ55" s="113" t="s">
        <v>4467</v>
      </c>
      <c r="AR55" s="75" t="s">
        <v>4468</v>
      </c>
      <c r="AS55" s="75"/>
      <c r="AT55" s="75"/>
    </row>
    <row r="56">
      <c r="A56" s="274" t="s">
        <v>4469</v>
      </c>
      <c r="B56" s="112" t="s">
        <v>3783</v>
      </c>
      <c r="C56" s="111" t="s">
        <v>4470</v>
      </c>
      <c r="D56" s="72" t="s">
        <v>4471</v>
      </c>
      <c r="E56" s="274" t="s">
        <v>4469</v>
      </c>
      <c r="F56" s="112" t="s">
        <v>3786</v>
      </c>
      <c r="G56" s="111" t="s">
        <v>4472</v>
      </c>
      <c r="H56" s="72" t="s">
        <v>4473</v>
      </c>
      <c r="I56" s="274" t="s">
        <v>4469</v>
      </c>
      <c r="J56" s="112" t="s">
        <v>4216</v>
      </c>
      <c r="K56" s="111" t="s">
        <v>4474</v>
      </c>
      <c r="L56" s="72" t="s">
        <v>4475</v>
      </c>
      <c r="M56" s="274" t="s">
        <v>4469</v>
      </c>
      <c r="N56" s="112" t="s">
        <v>4219</v>
      </c>
      <c r="O56" s="113" t="s">
        <v>4476</v>
      </c>
      <c r="P56" s="75" t="s">
        <v>4477</v>
      </c>
      <c r="Q56" s="274" t="s">
        <v>4469</v>
      </c>
      <c r="R56" s="125" t="s">
        <v>3794</v>
      </c>
      <c r="S56" s="113" t="str">
        <f>IFERROR(__xludf.DUMMYFUNCTION("GOOGLETRANSLATE(C56,""zh-tw"",""es-MX"")"),"En la zona de desarrollo (mina)-4, encima de la escalera central, hay un punto brillante.")</f>
        <v>En la zona de desarrollo (mina)-4, encima de la escalera central, hay un punto brillante.</v>
      </c>
      <c r="T56" s="75" t="str">
        <f>IFERROR(__xludf.DUMMYFUNCTION("GOOGLETRANSLATE(D56,""zh-tw"",""es-MX"")"),"Obtén el equipo: Espada de hierro oxidada")</f>
        <v>Obtén el equipo: Espada de hierro oxidada</v>
      </c>
      <c r="U56" s="274" t="s">
        <v>4469</v>
      </c>
      <c r="V56" s="125" t="str">
        <f>IFERROR(__xludf.DUMMYFUNCTION("GOOGLETRANSLATE(B56,""zh-tw"",""KO"")"),"숨겨진 아이템")</f>
        <v>숨겨진 아이템</v>
      </c>
      <c r="W56" s="113" t="str">
        <f>IFERROR(__xludf.DUMMYFUNCTION("GOOGLETRANSLATE(C56,""zh-tw"",""KO"")"),"개발 구역(광산)-4의 중앙 계단 위쪽에 빛나는 지점이 있습니다.")</f>
        <v>개발 구역(광산)-4의 중앙 계단 위쪽에 빛나는 지점이 있습니다.</v>
      </c>
      <c r="X56" s="75" t="str">
        <f>IFERROR(__xludf.DUMMYFUNCTION("GOOGLETRANSLATE(D56,""zh-tw"",""KO"")"),"장비 획득: 녹슨 철검")</f>
        <v>장비 획득: 녹슨 철검</v>
      </c>
      <c r="Y56" s="274" t="s">
        <v>4469</v>
      </c>
      <c r="Z56" s="235" t="s">
        <v>4222</v>
      </c>
      <c r="AA56" s="236" t="s">
        <v>4478</v>
      </c>
      <c r="AB56" s="65" t="s">
        <v>4479</v>
      </c>
      <c r="AC56" s="274" t="s">
        <v>4469</v>
      </c>
      <c r="AD56" s="112" t="s">
        <v>4275</v>
      </c>
      <c r="AE56" s="111" t="str">
        <f>IFERROR(__xludf.DUMMYFUNCTION("GOOGLETRANSLATE(C56,""zh-tw"",""de"")"),"Im Entwicklungsgebiet (Mine)-4, oberhalb der zentralen Treppe, befindet sich ein leuchtender Fleck.")</f>
        <v>Im Entwicklungsgebiet (Mine)-4, oberhalb der zentralen Treppe, befindet sich ein leuchtender Fleck.</v>
      </c>
      <c r="AF56" s="72" t="s">
        <v>4480</v>
      </c>
      <c r="AG56" s="274" t="s">
        <v>4469</v>
      </c>
      <c r="AH56" s="238" t="s">
        <v>4278</v>
      </c>
      <c r="AI56" s="119" t="s">
        <v>4481</v>
      </c>
      <c r="AJ56" s="120" t="s">
        <v>4482</v>
      </c>
      <c r="AK56" s="274" t="s">
        <v>4469</v>
      </c>
      <c r="AL56" s="125" t="s">
        <v>4281</v>
      </c>
      <c r="AM56" s="113" t="s">
        <v>4483</v>
      </c>
      <c r="AN56" s="75" t="s">
        <v>4484</v>
      </c>
      <c r="AO56" s="274" t="s">
        <v>4469</v>
      </c>
      <c r="AP56" s="108" t="s">
        <v>3807</v>
      </c>
      <c r="AQ56" s="113" t="s">
        <v>4485</v>
      </c>
      <c r="AR56" s="75" t="s">
        <v>4486</v>
      </c>
      <c r="AS56" s="75"/>
      <c r="AT56" s="75"/>
    </row>
    <row r="57">
      <c r="A57" s="274" t="s">
        <v>4487</v>
      </c>
      <c r="B57" s="112" t="s">
        <v>3783</v>
      </c>
      <c r="C57" s="111" t="s">
        <v>4488</v>
      </c>
      <c r="D57" s="72" t="s">
        <v>4489</v>
      </c>
      <c r="E57" s="274" t="s">
        <v>4487</v>
      </c>
      <c r="F57" s="112" t="s">
        <v>3786</v>
      </c>
      <c r="G57" s="111" t="s">
        <v>4490</v>
      </c>
      <c r="H57" s="72" t="s">
        <v>4491</v>
      </c>
      <c r="I57" s="274" t="s">
        <v>4487</v>
      </c>
      <c r="J57" s="112" t="s">
        <v>4216</v>
      </c>
      <c r="K57" s="111" t="s">
        <v>4492</v>
      </c>
      <c r="L57" s="72" t="s">
        <v>4493</v>
      </c>
      <c r="M57" s="274" t="s">
        <v>4487</v>
      </c>
      <c r="N57" s="112" t="s">
        <v>4219</v>
      </c>
      <c r="O57" s="113" t="s">
        <v>4494</v>
      </c>
      <c r="P57" s="75" t="s">
        <v>4495</v>
      </c>
      <c r="Q57" s="274" t="s">
        <v>4487</v>
      </c>
      <c r="R57" s="125" t="s">
        <v>3794</v>
      </c>
      <c r="S57" s="113" t="str">
        <f>IFERROR(__xludf.DUMMYFUNCTION("GOOGLETRANSLATE(C57,""zh-tw"",""es-MX"")"),"En la zona en desarrollo (pozo minero) -4, a la izquierda después de bajar la escalera central.")</f>
        <v>En la zona en desarrollo (pozo minero) -4, a la izquierda después de bajar la escalera central.</v>
      </c>
      <c r="T57" s="75" t="str">
        <f>IFERROR(__xludf.DUMMYFUNCTION("GOOGLETRANSLATE(D57,""zh-tw"",""es-MX"")"),"Adquirir equipo: Golem de hierro. Las reglas para el Golem de hierro se explican en los consejos.")</f>
        <v>Adquirir equipo: Golem de hierro. Las reglas para el Golem de hierro se explican en los consejos.</v>
      </c>
      <c r="U57" s="274" t="s">
        <v>4487</v>
      </c>
      <c r="V57" s="125" t="str">
        <f>IFERROR(__xludf.DUMMYFUNCTION("GOOGLETRANSLATE(B57,""zh-tw"",""KO"")"),"숨겨진 아이템")</f>
        <v>숨겨진 아이템</v>
      </c>
      <c r="W57" s="113" t="str">
        <f>IFERROR(__xludf.DUMMYFUNCTION("GOOGLETRANSLATE(C57,""zh-tw"",""KO"")"),"개발 구역(광산 구덩이) -4에서 중앙 계단을 내려간 후 왼쪽에 있습니다.")</f>
        <v>개발 구역(광산 구덩이) -4에서 중앙 계단을 내려간 후 왼쪽에 있습니다.</v>
      </c>
      <c r="X57" s="75" t="str">
        <f>IFERROR(__xludf.DUMMYFUNCTION("GOOGLETRANSLATE(D57,""zh-tw"",""KO"")"),"장비 획득: 철 골렘 철 골렘 사용 규칙은 팁에서 설명합니다.")</f>
        <v>장비 획득: 철 골렘 철 골렘 사용 규칙은 팁에서 설명합니다.</v>
      </c>
      <c r="Y57" s="274" t="s">
        <v>4487</v>
      </c>
      <c r="Z57" s="235" t="s">
        <v>4222</v>
      </c>
      <c r="AA57" s="236" t="s">
        <v>4496</v>
      </c>
      <c r="AB57" s="65" t="s">
        <v>4497</v>
      </c>
      <c r="AC57" s="274" t="s">
        <v>4487</v>
      </c>
      <c r="AD57" s="112" t="s">
        <v>4275</v>
      </c>
      <c r="AE57" s="111" t="str">
        <f>IFERROR(__xludf.DUMMYFUNCTION("GOOGLETRANSLATE(C57,""zh-tw"",""de"")"),"Im Erschließungsbereich (Schacht) -4, links nach dem Abstieg über die zentrale Treppe.")</f>
        <v>Im Erschließungsbereich (Schacht) -4, links nach dem Abstieg über die zentrale Treppe.</v>
      </c>
      <c r="AF57" s="72" t="s">
        <v>4498</v>
      </c>
      <c r="AG57" s="274" t="s">
        <v>4487</v>
      </c>
      <c r="AH57" s="238" t="s">
        <v>4278</v>
      </c>
      <c r="AI57" s="119" t="s">
        <v>4499</v>
      </c>
      <c r="AJ57" s="120" t="s">
        <v>4500</v>
      </c>
      <c r="AK57" s="274" t="s">
        <v>4487</v>
      </c>
      <c r="AL57" s="125" t="s">
        <v>4281</v>
      </c>
      <c r="AM57" s="113" t="s">
        <v>4501</v>
      </c>
      <c r="AN57" s="75" t="s">
        <v>4502</v>
      </c>
      <c r="AO57" s="274" t="s">
        <v>4487</v>
      </c>
      <c r="AP57" s="108" t="s">
        <v>3807</v>
      </c>
      <c r="AQ57" s="113" t="s">
        <v>4503</v>
      </c>
      <c r="AR57" s="75" t="s">
        <v>4504</v>
      </c>
      <c r="AS57" s="75"/>
      <c r="AT57" s="75"/>
    </row>
    <row r="58">
      <c r="A58" s="274" t="s">
        <v>4505</v>
      </c>
      <c r="B58" s="112" t="s">
        <v>3783</v>
      </c>
      <c r="C58" s="111" t="s">
        <v>4506</v>
      </c>
      <c r="D58" s="72" t="s">
        <v>4507</v>
      </c>
      <c r="E58" s="274" t="s">
        <v>4505</v>
      </c>
      <c r="F58" s="112" t="s">
        <v>3786</v>
      </c>
      <c r="G58" s="111" t="s">
        <v>4508</v>
      </c>
      <c r="H58" s="72" t="s">
        <v>4509</v>
      </c>
      <c r="I58" s="274" t="s">
        <v>4505</v>
      </c>
      <c r="J58" s="112" t="s">
        <v>4216</v>
      </c>
      <c r="K58" s="111" t="s">
        <v>4510</v>
      </c>
      <c r="L58" s="72" t="s">
        <v>4511</v>
      </c>
      <c r="M58" s="274" t="s">
        <v>4505</v>
      </c>
      <c r="N58" s="112" t="s">
        <v>4219</v>
      </c>
      <c r="O58" s="113" t="s">
        <v>4512</v>
      </c>
      <c r="P58" s="75" t="s">
        <v>4513</v>
      </c>
      <c r="Q58" s="274" t="s">
        <v>4505</v>
      </c>
      <c r="R58" s="125" t="s">
        <v>3794</v>
      </c>
      <c r="S58" s="113"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75" t="str">
        <f>IFERROR(__xludf.DUMMYFUNCTION("GOOGLETRANSLATE(D58,""zh-tw"",""es-MX"")"),"Objeto obtenido: Gel mágico x10")</f>
        <v>Objeto obtenido: Gel mágico x10</v>
      </c>
      <c r="U58" s="274" t="s">
        <v>4505</v>
      </c>
      <c r="V58" s="125" t="str">
        <f>IFERROR(__xludf.DUMMYFUNCTION("GOOGLETRANSLATE(B58,""zh-tw"",""KO"")"),"숨겨진 아이템")</f>
        <v>숨겨진 아이템</v>
      </c>
      <c r="W58" s="113"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75" t="str">
        <f>IFERROR(__xludf.DUMMYFUNCTION("GOOGLETRANSLATE(D58,""zh-tw"",""KO"")"),"획득 아이템: 매직 젤 10개")</f>
        <v>획득 아이템: 매직 젤 10개</v>
      </c>
      <c r="Y58" s="274" t="s">
        <v>4505</v>
      </c>
      <c r="Z58" s="235" t="s">
        <v>4222</v>
      </c>
      <c r="AA58" s="236" t="s">
        <v>4514</v>
      </c>
      <c r="AB58" s="65" t="s">
        <v>4515</v>
      </c>
      <c r="AC58" s="274" t="s">
        <v>4505</v>
      </c>
      <c r="AD58" s="112" t="s">
        <v>4275</v>
      </c>
      <c r="AE58" s="111"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58" s="72" t="s">
        <v>4516</v>
      </c>
      <c r="AG58" s="274" t="s">
        <v>4505</v>
      </c>
      <c r="AH58" s="238" t="s">
        <v>4278</v>
      </c>
      <c r="AI58" s="119" t="s">
        <v>4517</v>
      </c>
      <c r="AJ58" s="120" t="s">
        <v>4518</v>
      </c>
      <c r="AK58" s="274" t="s">
        <v>4505</v>
      </c>
      <c r="AL58" s="125" t="s">
        <v>4281</v>
      </c>
      <c r="AM58" s="113" t="s">
        <v>4519</v>
      </c>
      <c r="AN58" s="75" t="s">
        <v>4520</v>
      </c>
      <c r="AO58" s="274" t="s">
        <v>4505</v>
      </c>
      <c r="AP58" s="108" t="s">
        <v>3807</v>
      </c>
      <c r="AQ58" s="113" t="s">
        <v>4521</v>
      </c>
      <c r="AR58" s="75" t="s">
        <v>4522</v>
      </c>
      <c r="AS58" s="75"/>
      <c r="AT58" s="75"/>
    </row>
    <row r="59">
      <c r="A59" s="274" t="s">
        <v>4523</v>
      </c>
      <c r="B59" s="125" t="s">
        <v>3618</v>
      </c>
      <c r="C59" s="113" t="s">
        <v>4524</v>
      </c>
      <c r="D59" s="72" t="s">
        <v>4525</v>
      </c>
      <c r="E59" s="274" t="s">
        <v>4523</v>
      </c>
      <c r="F59" s="125" t="s">
        <v>4353</v>
      </c>
      <c r="G59" s="113" t="s">
        <v>4526</v>
      </c>
      <c r="H59" s="72" t="s">
        <v>4527</v>
      </c>
      <c r="I59" s="274" t="s">
        <v>4523</v>
      </c>
      <c r="J59" s="112" t="s">
        <v>4528</v>
      </c>
      <c r="K59" s="113" t="s">
        <v>4529</v>
      </c>
      <c r="L59" s="72" t="s">
        <v>4530</v>
      </c>
      <c r="M59" s="274" t="s">
        <v>4523</v>
      </c>
      <c r="N59" s="112" t="s">
        <v>3628</v>
      </c>
      <c r="O59" s="111" t="s">
        <v>4531</v>
      </c>
      <c r="P59" s="72" t="s">
        <v>4532</v>
      </c>
      <c r="Q59" s="274" t="s">
        <v>4523</v>
      </c>
      <c r="R59" s="125" t="s">
        <v>4361</v>
      </c>
      <c r="S59" s="113"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75" t="str">
        <f>IFERROR(__xludf.DUMMYFUNCTION("GOOGLETRANSLATE(D59,""zh-tw"",""es-MX"")"),"Llegar al ""Nivel Inferior de la Tumba Olvidada""")</f>
        <v>Llegar al "Nivel Inferior de la Tumba Olvidada"</v>
      </c>
      <c r="U59" s="274" t="s">
        <v>4523</v>
      </c>
      <c r="V59" s="125" t="str">
        <f>IFERROR(__xludf.DUMMYFUNCTION("GOOGLETRANSLATE(B59,""zh-tw"",""KO"")"),"숨겨진 통로")</f>
        <v>숨겨진 통로</v>
      </c>
      <c r="W59" s="113" t="str">
        <f>IFERROR(__xludf.DUMMYFUNCTION("GOOGLETRANSLATE(C59,""zh-tw"",""KO"")"),"""개발 구역(광산)-4""에서 계단 구역을 나온 후, 오른쪽 위쪽의 큰 바위 지대에 숨겨진 통로가 있습니다.")</f>
        <v>"개발 구역(광산)-4"에서 계단 구역을 나온 후, 오른쪽 위쪽의 큰 바위 지대에 숨겨진 통로가 있습니다.</v>
      </c>
      <c r="X59" s="75" t="str">
        <f>IFERROR(__xludf.DUMMYFUNCTION("GOOGLETRANSLATE(D59,""zh-tw"",""KO"")"),"""잊혀진 무덤의 하층""에 도착하세요")</f>
        <v>"잊혀진 무덤의 하층"에 도착하세요</v>
      </c>
      <c r="Y59" s="274" t="s">
        <v>4523</v>
      </c>
      <c r="Z59" s="235" t="s">
        <v>3657</v>
      </c>
      <c r="AA59" s="236" t="s">
        <v>4533</v>
      </c>
      <c r="AB59" s="65" t="s">
        <v>4534</v>
      </c>
      <c r="AC59" s="274" t="s">
        <v>4523</v>
      </c>
      <c r="AD59" s="112" t="s">
        <v>4364</v>
      </c>
      <c r="AE59" s="113" t="s">
        <v>4535</v>
      </c>
      <c r="AF59" s="75" t="s">
        <v>4536</v>
      </c>
      <c r="AG59" s="274" t="s">
        <v>4523</v>
      </c>
      <c r="AH59" s="239" t="s">
        <v>4367</v>
      </c>
      <c r="AI59" s="152" t="s">
        <v>4537</v>
      </c>
      <c r="AJ59" s="188" t="s">
        <v>4538</v>
      </c>
      <c r="AK59" s="274" t="s">
        <v>4523</v>
      </c>
      <c r="AL59" s="112" t="s">
        <v>4370</v>
      </c>
      <c r="AM59" s="113" t="s">
        <v>4539</v>
      </c>
      <c r="AN59" s="75" t="s">
        <v>4540</v>
      </c>
      <c r="AO59" s="274" t="s">
        <v>4523</v>
      </c>
      <c r="AP59" s="108" t="s">
        <v>4373</v>
      </c>
      <c r="AQ59" s="113" t="s">
        <v>4541</v>
      </c>
      <c r="AR59" s="75" t="s">
        <v>4542</v>
      </c>
      <c r="AS59" s="75"/>
      <c r="AT59" s="75"/>
    </row>
    <row r="60">
      <c r="A60" s="251"/>
      <c r="B60" s="251"/>
      <c r="C60" s="251"/>
      <c r="D60" s="251"/>
      <c r="E60" s="251"/>
      <c r="F60" s="251"/>
      <c r="G60" s="251"/>
      <c r="H60" s="251"/>
      <c r="I60" s="251"/>
      <c r="J60" s="251"/>
      <c r="K60" s="251"/>
      <c r="L60" s="251"/>
      <c r="M60" s="251"/>
      <c r="N60" s="251"/>
      <c r="O60" s="251"/>
      <c r="P60" s="251"/>
      <c r="Q60" s="251"/>
      <c r="R60" s="251"/>
      <c r="S60" s="252"/>
      <c r="T60" s="252"/>
      <c r="U60" s="251"/>
      <c r="V60" s="252"/>
      <c r="W60" s="252"/>
      <c r="X60" s="252"/>
      <c r="Y60" s="251"/>
      <c r="Z60" s="251"/>
      <c r="AA60" s="253"/>
      <c r="AB60" s="252"/>
      <c r="AC60" s="251"/>
      <c r="AD60" s="251"/>
      <c r="AE60" s="251"/>
      <c r="AF60" s="251"/>
      <c r="AG60" s="251"/>
      <c r="AH60" s="251"/>
      <c r="AI60" s="251"/>
      <c r="AJ60" s="251"/>
      <c r="AK60" s="251"/>
      <c r="AL60" s="252"/>
      <c r="AM60" s="252"/>
      <c r="AN60" s="252"/>
      <c r="AO60" s="251"/>
      <c r="AP60" s="251"/>
      <c r="AQ60" s="252"/>
      <c r="AR60" s="252"/>
      <c r="AS60" s="252"/>
      <c r="AT60" s="252"/>
    </row>
    <row r="61">
      <c r="A61" s="228" t="s">
        <v>2704</v>
      </c>
      <c r="B61" s="276" t="s">
        <v>4543</v>
      </c>
      <c r="E61" s="228" t="s">
        <v>2704</v>
      </c>
      <c r="F61" s="231"/>
      <c r="I61" s="228" t="s">
        <v>2704</v>
      </c>
      <c r="J61" s="230" t="s">
        <v>4544</v>
      </c>
      <c r="M61" s="228" t="s">
        <v>2704</v>
      </c>
      <c r="N61" s="228" t="s">
        <v>4545</v>
      </c>
      <c r="Q61" s="228" t="s">
        <v>2704</v>
      </c>
      <c r="R61" s="231"/>
      <c r="U61" s="228" t="s">
        <v>2704</v>
      </c>
      <c r="V61" s="231"/>
      <c r="Y61" s="228" t="s">
        <v>2704</v>
      </c>
      <c r="Z61" s="232" t="s">
        <v>4546</v>
      </c>
      <c r="AC61" s="228" t="s">
        <v>2704</v>
      </c>
      <c r="AD61" s="231"/>
      <c r="AG61" s="228" t="s">
        <v>2704</v>
      </c>
      <c r="AH61" s="231"/>
      <c r="AK61" s="228" t="s">
        <v>2704</v>
      </c>
      <c r="AL61" s="233" t="s">
        <v>4547</v>
      </c>
      <c r="AO61" s="228" t="s">
        <v>2704</v>
      </c>
      <c r="AP61" s="229"/>
      <c r="AS61" s="231"/>
      <c r="AT61" s="231"/>
    </row>
    <row r="62">
      <c r="A62" s="274" t="s">
        <v>4548</v>
      </c>
      <c r="B62" s="112" t="s">
        <v>3783</v>
      </c>
      <c r="C62" s="111" t="s">
        <v>4549</v>
      </c>
      <c r="D62" s="72" t="s">
        <v>4550</v>
      </c>
      <c r="E62" s="274" t="s">
        <v>4548</v>
      </c>
      <c r="F62" s="112" t="s">
        <v>3786</v>
      </c>
      <c r="G62" s="109" t="s">
        <v>4551</v>
      </c>
      <c r="H62" s="110" t="s">
        <v>4552</v>
      </c>
      <c r="I62" s="274" t="s">
        <v>4548</v>
      </c>
      <c r="J62" s="112" t="s">
        <v>4216</v>
      </c>
      <c r="K62" s="109" t="s">
        <v>4553</v>
      </c>
      <c r="L62" s="72" t="s">
        <v>4554</v>
      </c>
      <c r="M62" s="274" t="s">
        <v>4548</v>
      </c>
      <c r="N62" s="112" t="s">
        <v>4219</v>
      </c>
      <c r="O62" s="111" t="s">
        <v>4555</v>
      </c>
      <c r="P62" s="72" t="s">
        <v>4556</v>
      </c>
      <c r="Q62" s="274" t="s">
        <v>4548</v>
      </c>
      <c r="R62" s="125" t="s">
        <v>3794</v>
      </c>
      <c r="S62" s="109" t="s">
        <v>4557</v>
      </c>
      <c r="T62" s="75"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274" t="s">
        <v>4548</v>
      </c>
      <c r="V62" s="125" t="str">
        <f>IFERROR(__xludf.DUMMYFUNCTION("GOOGLETRANSLATE(B62,""zh-tw"",""KO"")"),"숨겨진 아이템")</f>
        <v>숨겨진 아이템</v>
      </c>
      <c r="W62" s="113"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75"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274" t="s">
        <v>4548</v>
      </c>
      <c r="Z62" s="235" t="s">
        <v>4222</v>
      </c>
      <c r="AA62" s="236" t="s">
        <v>4558</v>
      </c>
      <c r="AB62" s="65" t="s">
        <v>4559</v>
      </c>
      <c r="AC62" s="274" t="s">
        <v>4548</v>
      </c>
      <c r="AD62" s="112" t="s">
        <v>4275</v>
      </c>
      <c r="AE62" s="109" t="s">
        <v>4560</v>
      </c>
      <c r="AF62" s="110" t="s">
        <v>4561</v>
      </c>
      <c r="AG62" s="274" t="s">
        <v>4548</v>
      </c>
      <c r="AH62" s="238" t="s">
        <v>4278</v>
      </c>
      <c r="AI62" s="119" t="s">
        <v>4562</v>
      </c>
      <c r="AJ62" s="120" t="s">
        <v>4563</v>
      </c>
      <c r="AK62" s="274" t="s">
        <v>4548</v>
      </c>
      <c r="AL62" s="125" t="s">
        <v>4281</v>
      </c>
      <c r="AM62" s="113" t="s">
        <v>4564</v>
      </c>
      <c r="AN62" s="75" t="s">
        <v>4565</v>
      </c>
      <c r="AO62" s="274" t="s">
        <v>4548</v>
      </c>
      <c r="AP62" s="108" t="s">
        <v>3807</v>
      </c>
      <c r="AQ62" s="113" t="s">
        <v>4566</v>
      </c>
      <c r="AR62" s="75" t="s">
        <v>4567</v>
      </c>
      <c r="AS62" s="75"/>
      <c r="AT62" s="75"/>
    </row>
    <row r="63">
      <c r="A63" s="229"/>
      <c r="B63" s="276" t="s">
        <v>4568</v>
      </c>
      <c r="E63" s="229"/>
      <c r="F63" s="231"/>
      <c r="I63" s="229"/>
      <c r="J63" s="230" t="s">
        <v>4569</v>
      </c>
      <c r="M63" s="229"/>
      <c r="N63" s="228" t="s">
        <v>4570</v>
      </c>
      <c r="Q63" s="229"/>
      <c r="R63" s="231"/>
      <c r="U63" s="229"/>
      <c r="V63" s="231"/>
      <c r="Y63" s="229"/>
      <c r="Z63" s="232" t="s">
        <v>4571</v>
      </c>
      <c r="AC63" s="229"/>
      <c r="AD63" s="231"/>
      <c r="AG63" s="229"/>
      <c r="AH63" s="231"/>
      <c r="AK63" s="229"/>
      <c r="AL63" s="233" t="s">
        <v>4572</v>
      </c>
      <c r="AO63" s="229"/>
      <c r="AP63" s="229"/>
      <c r="AS63" s="231"/>
      <c r="AT63" s="231"/>
    </row>
    <row r="64">
      <c r="A64" s="274" t="s">
        <v>4573</v>
      </c>
      <c r="B64" s="112" t="s">
        <v>3618</v>
      </c>
      <c r="C64" s="111" t="s">
        <v>4574</v>
      </c>
      <c r="D64" s="72" t="s">
        <v>4575</v>
      </c>
      <c r="E64" s="274" t="s">
        <v>4573</v>
      </c>
      <c r="F64" s="112" t="s">
        <v>3622</v>
      </c>
      <c r="G64" s="111" t="s">
        <v>4576</v>
      </c>
      <c r="H64" s="72" t="s">
        <v>4577</v>
      </c>
      <c r="I64" s="274" t="s">
        <v>4573</v>
      </c>
      <c r="J64" s="112" t="s">
        <v>4356</v>
      </c>
      <c r="K64" s="111" t="s">
        <v>4578</v>
      </c>
      <c r="L64" s="72" t="s">
        <v>4579</v>
      </c>
      <c r="M64" s="274" t="s">
        <v>4573</v>
      </c>
      <c r="N64" s="112" t="s">
        <v>3628</v>
      </c>
      <c r="O64" s="111" t="s">
        <v>4580</v>
      </c>
      <c r="P64" s="72" t="s">
        <v>4581</v>
      </c>
      <c r="Q64" s="274" t="s">
        <v>4573</v>
      </c>
      <c r="R64" s="112" t="s">
        <v>3631</v>
      </c>
      <c r="S64" s="113" t="str">
        <f>IFERROR(__xludf.DUMMYFUNCTION("GOOGLETRANSLATE(C64,""zh-tw"",""es-MX"")"),"En la Tumba Olvidada - Nivel Superior, al destruir la tumba de la izquierda se revelará un pasaje oculto.")</f>
        <v>En la Tumba Olvidada - Nivel Superior, al destruir la tumba de la izquierda se revelará un pasaje oculto.</v>
      </c>
      <c r="T64" s="75" t="str">
        <f>IFERROR(__xludf.DUMMYFUNCTION("GOOGLETRANSLATE(D64,""zh-tw"",""es-MX"")"),"El mapa oculto contiene los ""Guantes de Absorción Mágica"", la ubicación de las fogatas y un personaje no jugable (NPC) ninja.")</f>
        <v>El mapa oculto contiene los "Guantes de Absorción Mágica", la ubicación de las fogatas y un personaje no jugable (NPC) ninja.</v>
      </c>
      <c r="U64" s="274" t="s">
        <v>4573</v>
      </c>
      <c r="V64" s="125" t="str">
        <f>IFERROR(__xludf.DUMMYFUNCTION("GOOGLETRANSLATE(B64,""zh-tw"",""KO"")"),"숨겨진 통로")</f>
        <v>숨겨진 통로</v>
      </c>
      <c r="W64" s="113"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75" t="str">
        <f>IFERROR(__xludf.DUMMYFUNCTION("GOOGLETRANSLATE(D64,""zh-tw"",""KO"")"),"숨겨진 지도에는 ""마법 흡수 장갑"", 모닥불 위치, 그리고 닌자 NPC가 있습니다.")</f>
        <v>숨겨진 지도에는 "마법 흡수 장갑", 모닥불 위치, 그리고 닌자 NPC가 있습니다.</v>
      </c>
      <c r="Y64" s="274" t="s">
        <v>4573</v>
      </c>
      <c r="Z64" s="235" t="s">
        <v>3657</v>
      </c>
      <c r="AA64" s="236" t="s">
        <v>4582</v>
      </c>
      <c r="AB64" s="65" t="s">
        <v>4583</v>
      </c>
      <c r="AC64" s="274" t="s">
        <v>4573</v>
      </c>
      <c r="AD64" s="112" t="s">
        <v>3635</v>
      </c>
      <c r="AE64" s="237" t="s">
        <v>4584</v>
      </c>
      <c r="AF64" s="135" t="s">
        <v>4585</v>
      </c>
      <c r="AG64" s="274" t="s">
        <v>4573</v>
      </c>
      <c r="AH64" s="239" t="s">
        <v>3638</v>
      </c>
      <c r="AI64" s="119" t="s">
        <v>4586</v>
      </c>
      <c r="AJ64" s="120" t="s">
        <v>4587</v>
      </c>
      <c r="AK64" s="274" t="s">
        <v>4573</v>
      </c>
      <c r="AL64" s="112" t="s">
        <v>3641</v>
      </c>
      <c r="AM64" s="113" t="s">
        <v>4588</v>
      </c>
      <c r="AN64" s="75" t="s">
        <v>4589</v>
      </c>
      <c r="AO64" s="274" t="s">
        <v>4573</v>
      </c>
      <c r="AP64" s="112" t="s">
        <v>3644</v>
      </c>
      <c r="AQ64" s="113" t="s">
        <v>4590</v>
      </c>
      <c r="AR64" s="75" t="s">
        <v>4591</v>
      </c>
      <c r="AS64" s="75"/>
      <c r="AT64" s="75"/>
    </row>
    <row r="65">
      <c r="A65" s="274" t="s">
        <v>4592</v>
      </c>
      <c r="B65" s="112" t="s">
        <v>4593</v>
      </c>
      <c r="C65" s="111" t="s">
        <v>4594</v>
      </c>
      <c r="D65" s="72" t="s">
        <v>4595</v>
      </c>
      <c r="E65" s="274" t="s">
        <v>4592</v>
      </c>
      <c r="F65" s="112" t="s">
        <v>4593</v>
      </c>
      <c r="G65" s="111" t="s">
        <v>4596</v>
      </c>
      <c r="H65" s="72" t="s">
        <v>4597</v>
      </c>
      <c r="I65" s="274" t="s">
        <v>4592</v>
      </c>
      <c r="J65" s="112" t="s">
        <v>4598</v>
      </c>
      <c r="K65" s="111" t="s">
        <v>4599</v>
      </c>
      <c r="L65" s="72" t="s">
        <v>4600</v>
      </c>
      <c r="M65" s="274" t="s">
        <v>4592</v>
      </c>
      <c r="N65" s="112" t="s">
        <v>4601</v>
      </c>
      <c r="O65" s="111" t="s">
        <v>4602</v>
      </c>
      <c r="P65" s="72" t="s">
        <v>4603</v>
      </c>
      <c r="Q65" s="274" t="s">
        <v>4592</v>
      </c>
      <c r="R65" s="112" t="s">
        <v>4604</v>
      </c>
      <c r="S65" s="113"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75"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274" t="s">
        <v>4592</v>
      </c>
      <c r="V65" s="125" t="str">
        <f>IFERROR(__xludf.DUMMYFUNCTION("GOOGLETRANSLATE(B65,""zh-tw"",""KO"")"),"인술-1")</f>
        <v>인술-1</v>
      </c>
      <c r="W65" s="113"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75"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274" t="s">
        <v>4592</v>
      </c>
      <c r="Z65" s="235" t="s">
        <v>4605</v>
      </c>
      <c r="AA65" s="236" t="s">
        <v>4606</v>
      </c>
      <c r="AB65" s="71" t="s">
        <v>4607</v>
      </c>
      <c r="AC65" s="274" t="s">
        <v>4592</v>
      </c>
      <c r="AD65" s="136" t="s">
        <v>4608</v>
      </c>
      <c r="AE65" s="237" t="s">
        <v>4609</v>
      </c>
      <c r="AF65" s="135" t="s">
        <v>4610</v>
      </c>
      <c r="AG65" s="274" t="s">
        <v>4592</v>
      </c>
      <c r="AH65" s="238" t="s">
        <v>4611</v>
      </c>
      <c r="AI65" s="119" t="s">
        <v>4612</v>
      </c>
      <c r="AJ65" s="120" t="s">
        <v>4613</v>
      </c>
      <c r="AK65" s="274" t="s">
        <v>4592</v>
      </c>
      <c r="AL65" s="125" t="s">
        <v>4598</v>
      </c>
      <c r="AM65" s="113" t="s">
        <v>4614</v>
      </c>
      <c r="AN65" s="75" t="s">
        <v>4615</v>
      </c>
      <c r="AO65" s="274" t="s">
        <v>4592</v>
      </c>
      <c r="AP65" s="108" t="s">
        <v>4616</v>
      </c>
      <c r="AQ65" s="113" t="s">
        <v>4617</v>
      </c>
      <c r="AR65" s="75" t="s">
        <v>4618</v>
      </c>
      <c r="AS65" s="75"/>
      <c r="AT65" s="75"/>
    </row>
    <row r="66">
      <c r="A66" s="274" t="s">
        <v>4619</v>
      </c>
      <c r="B66" s="112" t="s">
        <v>4620</v>
      </c>
      <c r="C66" s="111" t="s">
        <v>4621</v>
      </c>
      <c r="D66" s="72" t="s">
        <v>4622</v>
      </c>
      <c r="E66" s="274" t="s">
        <v>4619</v>
      </c>
      <c r="F66" s="112" t="s">
        <v>4620</v>
      </c>
      <c r="G66" s="111" t="s">
        <v>4623</v>
      </c>
      <c r="H66" s="72" t="s">
        <v>4624</v>
      </c>
      <c r="I66" s="274" t="s">
        <v>4619</v>
      </c>
      <c r="J66" s="112" t="s">
        <v>4625</v>
      </c>
      <c r="K66" s="111" t="s">
        <v>4626</v>
      </c>
      <c r="L66" s="72" t="s">
        <v>4627</v>
      </c>
      <c r="M66" s="274" t="s">
        <v>4619</v>
      </c>
      <c r="N66" s="112" t="s">
        <v>4628</v>
      </c>
      <c r="O66" s="111" t="s">
        <v>4629</v>
      </c>
      <c r="P66" s="72" t="s">
        <v>4630</v>
      </c>
      <c r="Q66" s="274" t="s">
        <v>4619</v>
      </c>
      <c r="R66" s="112" t="s">
        <v>4631</v>
      </c>
      <c r="S66" s="113"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75"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274" t="s">
        <v>4619</v>
      </c>
      <c r="V66" s="125" t="str">
        <f>IFERROR(__xludf.DUMMYFUNCTION("GOOGLETRANSLATE(B66,""zh-tw"",""KO"")"),"인술-2")</f>
        <v>인술-2</v>
      </c>
      <c r="W66" s="113"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75"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274" t="s">
        <v>4619</v>
      </c>
      <c r="Z66" s="235" t="s">
        <v>4632</v>
      </c>
      <c r="AA66" s="236" t="s">
        <v>4633</v>
      </c>
      <c r="AB66" s="65" t="s">
        <v>4634</v>
      </c>
      <c r="AC66" s="274" t="s">
        <v>4619</v>
      </c>
      <c r="AD66" s="136" t="s">
        <v>4635</v>
      </c>
      <c r="AE66" s="237" t="s">
        <v>4636</v>
      </c>
      <c r="AF66" s="135" t="s">
        <v>4637</v>
      </c>
      <c r="AG66" s="274" t="s">
        <v>4619</v>
      </c>
      <c r="AH66" s="238" t="s">
        <v>4638</v>
      </c>
      <c r="AI66" s="119" t="s">
        <v>4639</v>
      </c>
      <c r="AJ66" s="120" t="s">
        <v>4640</v>
      </c>
      <c r="AK66" s="274" t="s">
        <v>4619</v>
      </c>
      <c r="AL66" s="125" t="s">
        <v>4625</v>
      </c>
      <c r="AM66" s="113" t="s">
        <v>4641</v>
      </c>
      <c r="AN66" s="75" t="s">
        <v>4642</v>
      </c>
      <c r="AO66" s="274" t="s">
        <v>4619</v>
      </c>
      <c r="AP66" s="108" t="s">
        <v>4635</v>
      </c>
      <c r="AQ66" s="113" t="s">
        <v>4643</v>
      </c>
      <c r="AR66" s="75" t="s">
        <v>4644</v>
      </c>
      <c r="AS66" s="75"/>
      <c r="AT66" s="75"/>
    </row>
    <row r="67">
      <c r="A67" s="274" t="s">
        <v>4645</v>
      </c>
      <c r="B67" s="112" t="s">
        <v>3618</v>
      </c>
      <c r="C67" s="111" t="s">
        <v>4646</v>
      </c>
      <c r="D67" s="72" t="s">
        <v>4647</v>
      </c>
      <c r="E67" s="274" t="s">
        <v>4645</v>
      </c>
      <c r="F67" s="112" t="s">
        <v>3786</v>
      </c>
      <c r="G67" s="111" t="s">
        <v>4648</v>
      </c>
      <c r="H67" s="72" t="s">
        <v>4649</v>
      </c>
      <c r="I67" s="274" t="s">
        <v>4645</v>
      </c>
      <c r="J67" s="112" t="s">
        <v>4216</v>
      </c>
      <c r="K67" s="111" t="s">
        <v>4650</v>
      </c>
      <c r="L67" s="72" t="s">
        <v>4651</v>
      </c>
      <c r="M67" s="274" t="s">
        <v>4645</v>
      </c>
      <c r="N67" s="112" t="s">
        <v>3628</v>
      </c>
      <c r="O67" s="111" t="s">
        <v>4652</v>
      </c>
      <c r="P67" s="72" t="s">
        <v>4653</v>
      </c>
      <c r="Q67" s="274" t="s">
        <v>4645</v>
      </c>
      <c r="R67" s="112" t="s">
        <v>3631</v>
      </c>
      <c r="S67" s="113"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75" t="str">
        <f>IFERROR(__xludf.DUMMYFUNCTION("GOOGLETRANSLATE(D67,""zh-tw"",""es-MX"")"),"En el mapa oculto se pueden encontrar cofres del tesoro y puntos brillantes escondidos.")</f>
        <v>En el mapa oculto se pueden encontrar cofres del tesoro y puntos brillantes escondidos.</v>
      </c>
      <c r="U67" s="274" t="s">
        <v>4645</v>
      </c>
      <c r="V67" s="125" t="str">
        <f>IFERROR(__xludf.DUMMYFUNCTION("GOOGLETRANSLATE(B67,""zh-tw"",""KO"")"),"숨겨진 통로")</f>
        <v>숨겨진 통로</v>
      </c>
      <c r="W67" s="113"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75" t="str">
        <f>IFERROR(__xludf.DUMMYFUNCTION("GOOGLETRANSLATE(D67,""zh-tw"",""KO"")"),"숨겨진 지도 속에는 보물 상자와 숨겨진 빛나는 지점들이 있습니다.")</f>
        <v>숨겨진 지도 속에는 보물 상자와 숨겨진 빛나는 지점들이 있습니다.</v>
      </c>
      <c r="Y67" s="274" t="s">
        <v>4645</v>
      </c>
      <c r="Z67" s="235" t="s">
        <v>3657</v>
      </c>
      <c r="AA67" s="236" t="s">
        <v>4654</v>
      </c>
      <c r="AB67" s="65" t="s">
        <v>4655</v>
      </c>
      <c r="AC67" s="274" t="s">
        <v>4645</v>
      </c>
      <c r="AD67" s="112" t="s">
        <v>3635</v>
      </c>
      <c r="AE67" s="237" t="s">
        <v>4656</v>
      </c>
      <c r="AF67" s="135" t="s">
        <v>4657</v>
      </c>
      <c r="AG67" s="274" t="s">
        <v>4645</v>
      </c>
      <c r="AH67" s="239" t="s">
        <v>3638</v>
      </c>
      <c r="AI67" s="119" t="s">
        <v>4658</v>
      </c>
      <c r="AJ67" s="120" t="s">
        <v>4659</v>
      </c>
      <c r="AK67" s="274" t="s">
        <v>4645</v>
      </c>
      <c r="AL67" s="112" t="s">
        <v>3641</v>
      </c>
      <c r="AM67" s="113" t="s">
        <v>4660</v>
      </c>
      <c r="AN67" s="75" t="s">
        <v>4661</v>
      </c>
      <c r="AO67" s="274" t="s">
        <v>4645</v>
      </c>
      <c r="AP67" s="112" t="s">
        <v>3644</v>
      </c>
      <c r="AQ67" s="113" t="s">
        <v>4662</v>
      </c>
      <c r="AR67" s="75" t="s">
        <v>4663</v>
      </c>
      <c r="AS67" s="75"/>
      <c r="AT67" s="75"/>
    </row>
    <row r="68">
      <c r="A68" s="274" t="s">
        <v>4664</v>
      </c>
      <c r="B68" s="112" t="s">
        <v>3783</v>
      </c>
      <c r="C68" s="111" t="s">
        <v>4665</v>
      </c>
      <c r="D68" s="72" t="s">
        <v>4666</v>
      </c>
      <c r="E68" s="274" t="s">
        <v>4664</v>
      </c>
      <c r="F68" s="112" t="s">
        <v>3786</v>
      </c>
      <c r="G68" s="111" t="s">
        <v>4667</v>
      </c>
      <c r="H68" s="72" t="s">
        <v>4162</v>
      </c>
      <c r="I68" s="274" t="s">
        <v>4664</v>
      </c>
      <c r="J68" s="112" t="s">
        <v>4216</v>
      </c>
      <c r="K68" s="111" t="s">
        <v>4668</v>
      </c>
      <c r="L68" s="72" t="s">
        <v>4669</v>
      </c>
      <c r="M68" s="274" t="s">
        <v>4664</v>
      </c>
      <c r="N68" s="112" t="s">
        <v>4219</v>
      </c>
      <c r="O68" s="111" t="s">
        <v>4670</v>
      </c>
      <c r="P68" s="72" t="s">
        <v>4671</v>
      </c>
      <c r="Q68" s="274" t="s">
        <v>4664</v>
      </c>
      <c r="R68" s="125" t="s">
        <v>3794</v>
      </c>
      <c r="S68" s="111" t="s">
        <v>4672</v>
      </c>
      <c r="T68" s="75" t="str">
        <f>IFERROR(__xludf.DUMMYFUNCTION("GOOGLETRANSLATE(D68,""zh-tw"",""es-MX"")"),"Obtén el arma: Espina de pescado apestosa")</f>
        <v>Obtén el arma: Espina de pescado apestosa</v>
      </c>
      <c r="U68" s="274" t="s">
        <v>4664</v>
      </c>
      <c r="V68" s="125" t="str">
        <f>IFERROR(__xludf.DUMMYFUNCTION("GOOGLETRANSLATE(B68,""zh-tw"",""KO"")"),"숨겨진 아이템")</f>
        <v>숨겨진 아이템</v>
      </c>
      <c r="W68" s="113"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75" t="str">
        <f>IFERROR(__xludf.DUMMYFUNCTION("GOOGLETRANSLATE(D68,""zh-tw"",""KO"")"),"무기 획득 - 냄새나는 생선뼈")</f>
        <v>무기 획득 - 냄새나는 생선뼈</v>
      </c>
      <c r="Y68" s="274" t="s">
        <v>4664</v>
      </c>
      <c r="Z68" s="235" t="s">
        <v>4222</v>
      </c>
      <c r="AA68" s="236" t="s">
        <v>4673</v>
      </c>
      <c r="AB68" s="65" t="s">
        <v>4674</v>
      </c>
      <c r="AC68" s="274" t="s">
        <v>4664</v>
      </c>
      <c r="AD68" s="112" t="s">
        <v>4275</v>
      </c>
      <c r="AE68" s="241"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68" s="135" t="s">
        <v>4675</v>
      </c>
      <c r="AG68" s="274" t="s">
        <v>4664</v>
      </c>
      <c r="AH68" s="238" t="s">
        <v>4278</v>
      </c>
      <c r="AI68" s="119" t="s">
        <v>4676</v>
      </c>
      <c r="AJ68" s="120" t="s">
        <v>4677</v>
      </c>
      <c r="AK68" s="274" t="s">
        <v>4664</v>
      </c>
      <c r="AL68" s="125" t="s">
        <v>4281</v>
      </c>
      <c r="AM68" s="113" t="s">
        <v>4678</v>
      </c>
      <c r="AN68" s="75" t="s">
        <v>4679</v>
      </c>
      <c r="AO68" s="274" t="s">
        <v>4664</v>
      </c>
      <c r="AP68" s="108" t="s">
        <v>3807</v>
      </c>
      <c r="AQ68" s="113" t="s">
        <v>4680</v>
      </c>
      <c r="AR68" s="75" t="s">
        <v>4681</v>
      </c>
      <c r="AS68" s="75"/>
      <c r="AT68" s="75"/>
    </row>
    <row r="69">
      <c r="A69" s="229"/>
      <c r="B69" s="228" t="s">
        <v>4682</v>
      </c>
      <c r="E69" s="229"/>
      <c r="F69" s="229"/>
      <c r="I69" s="229"/>
      <c r="J69" s="230" t="s">
        <v>4683</v>
      </c>
      <c r="M69" s="229"/>
      <c r="N69" s="228" t="s">
        <v>4684</v>
      </c>
      <c r="Q69" s="229"/>
      <c r="R69" s="231"/>
      <c r="U69" s="229"/>
      <c r="V69" s="231"/>
      <c r="Y69" s="229"/>
      <c r="Z69" s="232" t="s">
        <v>4685</v>
      </c>
      <c r="AC69" s="229"/>
      <c r="AD69" s="229"/>
      <c r="AG69" s="229"/>
      <c r="AH69" s="229"/>
      <c r="AK69" s="229"/>
      <c r="AL69" s="233" t="s">
        <v>4686</v>
      </c>
      <c r="AO69" s="229"/>
      <c r="AP69" s="229"/>
      <c r="AS69" s="231"/>
      <c r="AT69" s="231"/>
    </row>
    <row r="70">
      <c r="A70" s="274" t="s">
        <v>4687</v>
      </c>
      <c r="B70" s="112" t="s">
        <v>3783</v>
      </c>
      <c r="C70" s="111" t="s">
        <v>4688</v>
      </c>
      <c r="D70" s="72" t="s">
        <v>4689</v>
      </c>
      <c r="E70" s="274" t="s">
        <v>4687</v>
      </c>
      <c r="F70" s="112" t="s">
        <v>3786</v>
      </c>
      <c r="G70" s="111" t="s">
        <v>4690</v>
      </c>
      <c r="H70" s="72" t="s">
        <v>4162</v>
      </c>
      <c r="I70" s="274" t="s">
        <v>4687</v>
      </c>
      <c r="J70" s="112" t="s">
        <v>4216</v>
      </c>
      <c r="K70" s="111" t="s">
        <v>4691</v>
      </c>
      <c r="L70" s="72" t="s">
        <v>4692</v>
      </c>
      <c r="M70" s="274" t="s">
        <v>4687</v>
      </c>
      <c r="N70" s="112" t="s">
        <v>4219</v>
      </c>
      <c r="O70" s="111" t="s">
        <v>4693</v>
      </c>
      <c r="P70" s="72" t="s">
        <v>4694</v>
      </c>
      <c r="Q70" s="274" t="s">
        <v>4687</v>
      </c>
      <c r="R70" s="125" t="s">
        <v>3794</v>
      </c>
      <c r="S70" s="111" t="s">
        <v>4695</v>
      </c>
      <c r="T70" s="75" t="str">
        <f>IFERROR(__xludf.DUMMYFUNCTION("GOOGLETRANSLATE(D70,""zh-tw"",""es-MX"")"),"Obtener arma - Xuejian")</f>
        <v>Obtener arma - Xuejian</v>
      </c>
      <c r="U70" s="274" t="s">
        <v>4687</v>
      </c>
      <c r="V70" s="125" t="str">
        <f>IFERROR(__xludf.DUMMYFUNCTION("GOOGLETRANSLATE(B70,""zh-tw"",""KO"")"),"숨겨진 아이템")</f>
        <v>숨겨진 아이템</v>
      </c>
      <c r="W70" s="113" t="str">
        <f>IFERROR(__xludf.DUMMYFUNCTION("GOOGLETRANSLATE(C70,""zh-tw"",""KO"")"),"잊혀진 무덤-1, 가운데 알 근처에 보물 상자가 있습니다.")</f>
        <v>잊혀진 무덤-1, 가운데 알 근처에 보물 상자가 있습니다.</v>
      </c>
      <c r="X70" s="75" t="str">
        <f>IFERROR(__xludf.DUMMYFUNCTION("GOOGLETRANSLATE(D70,""zh-tw"",""KO"")"),"무기 획득 - 설검")</f>
        <v>무기 획득 - 설검</v>
      </c>
      <c r="Y70" s="274" t="s">
        <v>4687</v>
      </c>
      <c r="Z70" s="235" t="s">
        <v>4222</v>
      </c>
      <c r="AA70" s="236" t="s">
        <v>4696</v>
      </c>
      <c r="AB70" s="65" t="s">
        <v>4697</v>
      </c>
      <c r="AC70" s="274" t="s">
        <v>4687</v>
      </c>
      <c r="AD70" s="112" t="s">
        <v>4275</v>
      </c>
      <c r="AE70" s="241" t="str">
        <f>IFERROR(__xludf.DUMMYFUNCTION("GOOGLETRANSLATE(C70,""zh-tw"",""DE"")"),"Vergessenes Grab-1, eine Schatztruhe in der Nähe des Eis in der Mitte.")</f>
        <v>Vergessenes Grab-1, eine Schatztruhe in der Nähe des Eis in der Mitte.</v>
      </c>
      <c r="AF70" s="135" t="s">
        <v>4698</v>
      </c>
      <c r="AG70" s="274" t="s">
        <v>4687</v>
      </c>
      <c r="AH70" s="238" t="s">
        <v>4278</v>
      </c>
      <c r="AI70" s="119" t="s">
        <v>4699</v>
      </c>
      <c r="AJ70" s="120" t="s">
        <v>4700</v>
      </c>
      <c r="AK70" s="274" t="s">
        <v>4687</v>
      </c>
      <c r="AL70" s="125" t="s">
        <v>4281</v>
      </c>
      <c r="AM70" s="113" t="s">
        <v>4701</v>
      </c>
      <c r="AN70" s="75" t="s">
        <v>4702</v>
      </c>
      <c r="AO70" s="274" t="s">
        <v>4687</v>
      </c>
      <c r="AP70" s="108" t="s">
        <v>3807</v>
      </c>
      <c r="AQ70" s="113" t="s">
        <v>4703</v>
      </c>
      <c r="AR70" s="75" t="s">
        <v>4704</v>
      </c>
      <c r="AS70" s="75"/>
      <c r="AT70" s="75"/>
    </row>
    <row r="71">
      <c r="A71" s="229"/>
      <c r="B71" s="228" t="s">
        <v>4705</v>
      </c>
      <c r="E71" s="229"/>
      <c r="F71" s="229"/>
      <c r="I71" s="229"/>
      <c r="J71" s="230" t="s">
        <v>4706</v>
      </c>
      <c r="M71" s="229"/>
      <c r="N71" s="228" t="s">
        <v>4684</v>
      </c>
      <c r="Q71" s="229"/>
      <c r="R71" s="231"/>
      <c r="U71" s="229"/>
      <c r="V71" s="231"/>
      <c r="Y71" s="229"/>
      <c r="Z71" s="232" t="s">
        <v>4707</v>
      </c>
      <c r="AC71" s="229"/>
      <c r="AD71" s="229"/>
      <c r="AG71" s="229"/>
      <c r="AH71" s="229"/>
      <c r="AK71" s="229"/>
      <c r="AL71" s="233" t="s">
        <v>4708</v>
      </c>
      <c r="AO71" s="229"/>
      <c r="AP71" s="229"/>
      <c r="AS71" s="231"/>
      <c r="AT71" s="231"/>
    </row>
    <row r="72">
      <c r="A72" s="234" t="s">
        <v>4709</v>
      </c>
      <c r="B72" s="112" t="s">
        <v>3618</v>
      </c>
      <c r="C72" s="111" t="s">
        <v>4710</v>
      </c>
      <c r="D72" s="72" t="s">
        <v>4711</v>
      </c>
      <c r="E72" s="234" t="s">
        <v>4709</v>
      </c>
      <c r="F72" s="112" t="s">
        <v>3786</v>
      </c>
      <c r="G72" s="111" t="s">
        <v>4712</v>
      </c>
      <c r="H72" s="72" t="s">
        <v>4290</v>
      </c>
      <c r="I72" s="234" t="s">
        <v>4709</v>
      </c>
      <c r="J72" s="112" t="s">
        <v>4216</v>
      </c>
      <c r="K72" s="111" t="s">
        <v>4713</v>
      </c>
      <c r="L72" s="72" t="s">
        <v>4292</v>
      </c>
      <c r="M72" s="234" t="s">
        <v>4709</v>
      </c>
      <c r="N72" s="112" t="s">
        <v>3628</v>
      </c>
      <c r="O72" s="111" t="s">
        <v>4714</v>
      </c>
      <c r="P72" s="72" t="s">
        <v>4715</v>
      </c>
      <c r="Q72" s="234" t="s">
        <v>4709</v>
      </c>
      <c r="R72" s="112" t="s">
        <v>3631</v>
      </c>
      <c r="S72" s="111" t="s">
        <v>4716</v>
      </c>
      <c r="T72" s="75" t="str">
        <f>IFERROR(__xludf.DUMMYFUNCTION("GOOGLETRANSLATE(D72,""zh-tw"",""es-MX"")"),"Obtén el equipo ""Anillo de Hueso del Ahorcado"".")</f>
        <v>Obtén el equipo "Anillo de Hueso del Ahorcado".</v>
      </c>
      <c r="U72" s="234" t="s">
        <v>4709</v>
      </c>
      <c r="V72" s="125" t="str">
        <f>IFERROR(__xludf.DUMMYFUNCTION("GOOGLETRANSLATE(B72,""zh-tw"",""KO"")"),"숨겨진 통로")</f>
        <v>숨겨진 통로</v>
      </c>
      <c r="W72" s="113" t="str">
        <f>IFERROR(__xludf.DUMMYFUNCTION("GOOGLETRANSLATE(C72,""zh-tw"",""KO"")"),"""???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2" s="75" t="str">
        <f>IFERROR(__xludf.DUMMYFUNCTION("GOOGLETRANSLATE(D72,""zh-tw"",""KO"")"),"""교수형당한 남자의 뼈 반지"" 장비를 획득하세요.")</f>
        <v>"교수형당한 남자의 뼈 반지" 장비를 획득하세요.</v>
      </c>
      <c r="Y72" s="234" t="s">
        <v>4709</v>
      </c>
      <c r="Z72" s="235" t="s">
        <v>3657</v>
      </c>
      <c r="AA72" s="236" t="s">
        <v>4717</v>
      </c>
      <c r="AB72" s="65" t="s">
        <v>4297</v>
      </c>
      <c r="AC72" s="234" t="s">
        <v>4709</v>
      </c>
      <c r="AD72" s="112" t="s">
        <v>3635</v>
      </c>
      <c r="AE72" s="237" t="s">
        <v>4718</v>
      </c>
      <c r="AF72" s="135" t="s">
        <v>4719</v>
      </c>
      <c r="AG72" s="234" t="s">
        <v>4709</v>
      </c>
      <c r="AH72" s="239" t="s">
        <v>3638</v>
      </c>
      <c r="AI72" s="119" t="s">
        <v>4720</v>
      </c>
      <c r="AJ72" s="134" t="s">
        <v>4301</v>
      </c>
      <c r="AK72" s="234" t="s">
        <v>4709</v>
      </c>
      <c r="AL72" s="112" t="s">
        <v>3641</v>
      </c>
      <c r="AM72" s="113" t="s">
        <v>4721</v>
      </c>
      <c r="AN72" s="75" t="s">
        <v>4722</v>
      </c>
      <c r="AO72" s="234" t="s">
        <v>4709</v>
      </c>
      <c r="AP72" s="112" t="s">
        <v>3644</v>
      </c>
      <c r="AQ72" s="113" t="s">
        <v>4723</v>
      </c>
      <c r="AR72" s="75" t="s">
        <v>4724</v>
      </c>
      <c r="AS72" s="75"/>
      <c r="AT72" s="75"/>
    </row>
    <row r="73" ht="113.25" customHeight="1">
      <c r="A73" s="234" t="s">
        <v>4725</v>
      </c>
      <c r="B73" s="112" t="s">
        <v>4726</v>
      </c>
      <c r="C73" s="111" t="s">
        <v>4727</v>
      </c>
      <c r="D73" s="72" t="s">
        <v>4728</v>
      </c>
      <c r="E73" s="234" t="s">
        <v>4725</v>
      </c>
      <c r="F73" s="112" t="s">
        <v>4729</v>
      </c>
      <c r="G73" s="111" t="s">
        <v>4730</v>
      </c>
      <c r="H73" s="72" t="s">
        <v>4731</v>
      </c>
      <c r="I73" s="234" t="s">
        <v>4725</v>
      </c>
      <c r="J73" s="112" t="s">
        <v>4732</v>
      </c>
      <c r="K73" s="111" t="s">
        <v>4733</v>
      </c>
      <c r="L73" s="72" t="s">
        <v>4734</v>
      </c>
      <c r="M73" s="234" t="s">
        <v>4725</v>
      </c>
      <c r="N73" s="112" t="s">
        <v>4735</v>
      </c>
      <c r="O73" s="111" t="s">
        <v>4736</v>
      </c>
      <c r="P73" s="72" t="s">
        <v>4737</v>
      </c>
      <c r="Q73" s="234" t="s">
        <v>4725</v>
      </c>
      <c r="R73" s="125" t="s">
        <v>4738</v>
      </c>
      <c r="S73" s="111" t="s">
        <v>4739</v>
      </c>
      <c r="T73" s="75" t="str">
        <f>IFERROR(__xludf.DUMMYFUNCTION("GOOGLETRANSLATE(D73,""zh-tw"",""es-MX"")"),"Obtén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3" s="234" t="s">
        <v>4725</v>
      </c>
      <c r="V73" s="125" t="str">
        <f>IFERROR(__xludf.DUMMYFUNCTION("GOOGLETRANSLATE(B73,""zh-tw"",""KO"")"),"심연의 보스: 광폭한 붉은 짐승")</f>
        <v>심연의 보스: 광폭한 붉은 짐승</v>
      </c>
      <c r="W73" s="113" t="str">
        <f>IFERROR(__xludf.DUMMYFUNCTION("GOOGLETRANSLATE(C73,""zh-tw"",""KO"")"),"""??? 무덤(날뛰는 붉은 짐승)""의 폐허 보스를 정복하세요")</f>
        <v>"??? 무덤(날뛰는 붉은 짐승)"의 폐허 보스를 정복하세요</v>
      </c>
      <c r="X73" s="75" t="str">
        <f>IFERROR(__xludf.DUMMYFUNCTION("GOOGLETRANSLATE(D73,""zh-tw"",""KO"")"),"아이템과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3" s="234" t="s">
        <v>4725</v>
      </c>
      <c r="Z73" s="235" t="s">
        <v>4740</v>
      </c>
      <c r="AA73" s="236" t="s">
        <v>4741</v>
      </c>
      <c r="AB73" s="65" t="s">
        <v>4742</v>
      </c>
      <c r="AC73" s="234" t="s">
        <v>4725</v>
      </c>
      <c r="AD73" s="112" t="s">
        <v>4743</v>
      </c>
      <c r="AE73" s="237" t="s">
        <v>4744</v>
      </c>
      <c r="AF73" s="135" t="s">
        <v>4745</v>
      </c>
      <c r="AG73" s="234" t="s">
        <v>4725</v>
      </c>
      <c r="AH73" s="239" t="s">
        <v>4746</v>
      </c>
      <c r="AI73" s="130" t="s">
        <v>4747</v>
      </c>
      <c r="AJ73" s="134" t="s">
        <v>4748</v>
      </c>
      <c r="AK73" s="234" t="s">
        <v>4725</v>
      </c>
      <c r="AL73" s="125" t="s">
        <v>4749</v>
      </c>
      <c r="AM73" s="113" t="s">
        <v>4750</v>
      </c>
      <c r="AN73" s="75" t="s">
        <v>4751</v>
      </c>
      <c r="AO73" s="234" t="s">
        <v>4725</v>
      </c>
      <c r="AP73" s="108" t="s">
        <v>4752</v>
      </c>
      <c r="AQ73" s="113" t="s">
        <v>4753</v>
      </c>
      <c r="AR73" s="75" t="s">
        <v>4754</v>
      </c>
      <c r="AS73" s="75"/>
      <c r="AT73" s="75"/>
    </row>
    <row r="74">
      <c r="A74" s="234" t="s">
        <v>4755</v>
      </c>
      <c r="B74" s="112" t="s">
        <v>4756</v>
      </c>
      <c r="C74" s="111" t="s">
        <v>4757</v>
      </c>
      <c r="D74" s="72" t="s">
        <v>4758</v>
      </c>
      <c r="E74" s="234" t="s">
        <v>4755</v>
      </c>
      <c r="F74" s="112" t="s">
        <v>4759</v>
      </c>
      <c r="G74" s="111" t="s">
        <v>4760</v>
      </c>
      <c r="H74" s="72" t="s">
        <v>4761</v>
      </c>
      <c r="I74" s="234" t="s">
        <v>4755</v>
      </c>
      <c r="J74" s="112" t="s">
        <v>4762</v>
      </c>
      <c r="K74" s="111" t="s">
        <v>4763</v>
      </c>
      <c r="L74" s="72" t="s">
        <v>4764</v>
      </c>
      <c r="M74" s="234" t="s">
        <v>4755</v>
      </c>
      <c r="N74" s="112" t="s">
        <v>4765</v>
      </c>
      <c r="O74" s="111" t="s">
        <v>4766</v>
      </c>
      <c r="P74" s="72" t="s">
        <v>4767</v>
      </c>
      <c r="Q74" s="234" t="s">
        <v>4755</v>
      </c>
      <c r="R74" s="112" t="s">
        <v>4768</v>
      </c>
      <c r="S74" s="113" t="str">
        <f>IFERROR(__xludf.DUMMYFUNCTION("GOOGLETRANSLATE(C74,""zh-tw"",""es-MX"")"),"En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4" s="75" t="str">
        <f>IFERROR(__xludf.DUMMYFUNCTION("GOOGLETRANSLATE(D74,""zh-tw"",""es-MX"")"),"Nueva ubicación: La Iglesia Caída (con fogata)
(El mapa se denomina simplemente ""Iglesia""; actualmente, los PNJ no tienen funciones y se actualizarán más adelante).")</f>
        <v>Nueva ubicación: La Iglesia Caída (con fogata)
(El mapa se denomina simplemente "Iglesia"; actualmente, los PNJ no tienen funciones y se actualizarán más adelante).</v>
      </c>
      <c r="U74" s="234" t="s">
        <v>4755</v>
      </c>
      <c r="V74" s="125" t="str">
        <f>IFERROR(__xludf.DUMMYFUNCTION("GOOGLETRANSLATE(B74,""zh-tw"",""KO"")"),"당신의 죄를 속죄하십시오")</f>
        <v>당신의 죄를 속죄하십시오</v>
      </c>
      <c r="W74" s="113" t="str">
        <f>IFERROR(__xludf.DUMMYFUNCTION("GOOGLETRANSLATE(C74,""zh-tw"",""KO"")"),"""???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4" s="75" t="str">
        <f>IFERROR(__xludf.DUMMYFUNCTION("GOOGLETRANSLATE(D74,""zh-tw"",""KO"")"),"새로운 장소 - 무너진 교회 (캠프파이어 포함)
(지도는 현재 ""교회""로만 표시되어 있으며, NPC는 현재 기능이 없으며 추후 업데이트될 예정입니다.)")</f>
        <v>새로운 장소 - 무너진 교회 (캠프파이어 포함)
(지도는 현재 "교회"로만 표시되어 있으며, NPC는 현재 기능이 없으며 추후 업데이트될 예정입니다.)</v>
      </c>
      <c r="Y74" s="234" t="s">
        <v>4755</v>
      </c>
      <c r="Z74" s="235" t="s">
        <v>4769</v>
      </c>
      <c r="AA74" s="236" t="s">
        <v>4770</v>
      </c>
      <c r="AB74" s="65" t="s">
        <v>4771</v>
      </c>
      <c r="AC74" s="234" t="s">
        <v>4755</v>
      </c>
      <c r="AD74" s="112" t="s">
        <v>4772</v>
      </c>
      <c r="AE74" s="237" t="s">
        <v>4773</v>
      </c>
      <c r="AF74" s="135" t="s">
        <v>4774</v>
      </c>
      <c r="AG74" s="234" t="s">
        <v>4755</v>
      </c>
      <c r="AH74" s="238" t="s">
        <v>4775</v>
      </c>
      <c r="AI74" s="130" t="s">
        <v>4776</v>
      </c>
      <c r="AJ74" s="120" t="s">
        <v>4777</v>
      </c>
      <c r="AK74" s="234" t="s">
        <v>4755</v>
      </c>
      <c r="AL74" s="125" t="s">
        <v>4778</v>
      </c>
      <c r="AM74" s="111" t="s">
        <v>4779</v>
      </c>
      <c r="AN74" s="75" t="s">
        <v>4780</v>
      </c>
      <c r="AO74" s="234" t="s">
        <v>4755</v>
      </c>
      <c r="AP74" s="108" t="s">
        <v>4781</v>
      </c>
      <c r="AQ74" s="113" t="s">
        <v>4782</v>
      </c>
      <c r="AR74" s="75" t="s">
        <v>4783</v>
      </c>
      <c r="AS74" s="75"/>
      <c r="AT74" s="75"/>
    </row>
    <row r="75">
      <c r="A75" s="234" t="s">
        <v>4784</v>
      </c>
      <c r="B75" s="112" t="s">
        <v>4785</v>
      </c>
      <c r="C75" s="111" t="s">
        <v>4786</v>
      </c>
      <c r="D75" s="72" t="s">
        <v>4787</v>
      </c>
      <c r="E75" s="234" t="s">
        <v>4784</v>
      </c>
      <c r="F75" s="112" t="s">
        <v>4788</v>
      </c>
      <c r="G75" s="111" t="s">
        <v>4789</v>
      </c>
      <c r="H75" s="72" t="s">
        <v>4790</v>
      </c>
      <c r="I75" s="234" t="s">
        <v>4784</v>
      </c>
      <c r="J75" s="112" t="s">
        <v>4791</v>
      </c>
      <c r="K75" s="111" t="s">
        <v>4792</v>
      </c>
      <c r="L75" s="72" t="s">
        <v>4793</v>
      </c>
      <c r="M75" s="234" t="s">
        <v>4784</v>
      </c>
      <c r="N75" s="112" t="s">
        <v>4794</v>
      </c>
      <c r="O75" s="111" t="s">
        <v>4795</v>
      </c>
      <c r="P75" s="72" t="s">
        <v>4796</v>
      </c>
      <c r="Q75" s="234" t="s">
        <v>4784</v>
      </c>
      <c r="R75" s="112" t="s">
        <v>4797</v>
      </c>
      <c r="S75" s="111" t="s">
        <v>4798</v>
      </c>
      <c r="T75" s="75" t="str">
        <f>IFERROR(__xludf.DUMMYFUNCTION("GOOGLETRANSLATE(D75,""zh-tw"",""es-MX"")"),"Nuevo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5" s="234" t="s">
        <v>4784</v>
      </c>
      <c r="V75" s="125" t="str">
        <f>IFERROR(__xludf.DUMMYFUNCTION("GOOGLETRANSLATE(B75,""zh-tw"",""KO"")"),"다자오 열 카르스트대")</f>
        <v>다자오 열 카르스트대</v>
      </c>
      <c r="W75" s="113" t="str">
        <f>IFERROR(__xludf.DUMMYFUNCTION("GOOGLETRANSLATE(C75,""zh-tw"",""KO"")"),"""??? 무덤(날뛰는 붉은 짐승)"" 동굴 입구로 들어가세요(부활의 깃털을 지참하세요). 그러면 새로운 지도에 도달할 수 있습니다.")</f>
        <v>"??? 무덤(날뛰는 붉은 짐승)" 동굴 입구로 들어가세요(부활의 깃털을 지참하세요). 그러면 새로운 지도에 도달할 수 있습니다.</v>
      </c>
      <c r="X75" s="75" t="str">
        <f>IFERROR(__xludf.DUMMYFUNCTION("GOOGLETRANSLATE(D75,""zh-tw"",""KO"")"),"새로운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5" s="234" t="s">
        <v>4784</v>
      </c>
      <c r="Z75" s="235" t="s">
        <v>4799</v>
      </c>
      <c r="AA75" s="236" t="s">
        <v>4800</v>
      </c>
      <c r="AB75" s="65" t="s">
        <v>4801</v>
      </c>
      <c r="AC75" s="234" t="s">
        <v>4784</v>
      </c>
      <c r="AD75" s="136" t="s">
        <v>4802</v>
      </c>
      <c r="AE75" s="237" t="s">
        <v>4803</v>
      </c>
      <c r="AF75" s="135" t="s">
        <v>4804</v>
      </c>
      <c r="AG75" s="234" t="s">
        <v>4784</v>
      </c>
      <c r="AH75" s="238" t="s">
        <v>4805</v>
      </c>
      <c r="AI75" s="119" t="s">
        <v>4806</v>
      </c>
      <c r="AJ75" s="120" t="s">
        <v>4807</v>
      </c>
      <c r="AK75" s="234" t="s">
        <v>4784</v>
      </c>
      <c r="AL75" s="125" t="s">
        <v>4808</v>
      </c>
      <c r="AM75" s="113" t="s">
        <v>4809</v>
      </c>
      <c r="AN75" s="75" t="s">
        <v>4810</v>
      </c>
      <c r="AO75" s="234" t="s">
        <v>4784</v>
      </c>
      <c r="AP75" s="108" t="s">
        <v>4811</v>
      </c>
      <c r="AQ75" s="113" t="s">
        <v>4812</v>
      </c>
      <c r="AR75" s="75" t="s">
        <v>4813</v>
      </c>
      <c r="AS75" s="75"/>
      <c r="AT75" s="75"/>
    </row>
    <row r="76">
      <c r="A76" s="229"/>
      <c r="B76" s="228" t="s">
        <v>4814</v>
      </c>
      <c r="E76" s="229"/>
      <c r="F76" s="229"/>
      <c r="I76" s="229"/>
      <c r="J76" s="230" t="s">
        <v>4815</v>
      </c>
      <c r="M76" s="229"/>
      <c r="N76" s="228" t="s">
        <v>4684</v>
      </c>
      <c r="Q76" s="229"/>
      <c r="R76" s="231"/>
      <c r="U76" s="229"/>
      <c r="V76" s="231"/>
      <c r="Y76" s="229"/>
      <c r="Z76" s="232" t="s">
        <v>4816</v>
      </c>
      <c r="AC76" s="229"/>
      <c r="AD76" s="229"/>
      <c r="AG76" s="229"/>
      <c r="AH76" s="229"/>
      <c r="AK76" s="229"/>
      <c r="AL76" s="233" t="s">
        <v>4817</v>
      </c>
      <c r="AO76" s="229"/>
      <c r="AP76" s="229"/>
      <c r="AS76" s="231"/>
      <c r="AT76" s="231"/>
    </row>
    <row r="77">
      <c r="A77" s="234" t="s">
        <v>4818</v>
      </c>
      <c r="B77" s="112" t="s">
        <v>4819</v>
      </c>
      <c r="C77" s="111" t="s">
        <v>4820</v>
      </c>
      <c r="D77" s="72" t="s">
        <v>4821</v>
      </c>
      <c r="E77" s="234" t="s">
        <v>4818</v>
      </c>
      <c r="F77" s="112" t="s">
        <v>4822</v>
      </c>
      <c r="G77" s="111" t="s">
        <v>4823</v>
      </c>
      <c r="H77" s="72" t="s">
        <v>4824</v>
      </c>
      <c r="I77" s="234" t="s">
        <v>4818</v>
      </c>
      <c r="J77" s="112" t="s">
        <v>4825</v>
      </c>
      <c r="K77" s="111" t="s">
        <v>4826</v>
      </c>
      <c r="L77" s="72" t="s">
        <v>4827</v>
      </c>
      <c r="M77" s="234" t="s">
        <v>4818</v>
      </c>
      <c r="N77" s="112" t="s">
        <v>4828</v>
      </c>
      <c r="O77" s="111" t="s">
        <v>4829</v>
      </c>
      <c r="P77" s="72" t="s">
        <v>4830</v>
      </c>
      <c r="Q77" s="234" t="s">
        <v>4818</v>
      </c>
      <c r="R77" s="125" t="s">
        <v>4831</v>
      </c>
      <c r="S77" s="111" t="s">
        <v>4832</v>
      </c>
      <c r="T77" s="75" t="str">
        <f>IFERROR(__xludf.DUMMYFUNCTION("GOOGLETRANSLATE(D77,""zh-tw"",""es-MX"")"),"Equipo: Misericordia de Santa Doncella")</f>
        <v>Equipo: Misericordia de Santa Doncella</v>
      </c>
      <c r="U77" s="234" t="s">
        <v>4818</v>
      </c>
      <c r="V77" s="125" t="str">
        <f>IFERROR(__xludf.DUMMYFUNCTION("GOOGLETRANSLATE(B77,""zh-tw"",""KO"")"),"교회 숨겨진 아이템 - 1")</f>
        <v>교회 숨겨진 아이템 - 1</v>
      </c>
      <c r="W77" s="113" t="str">
        <f>IFERROR(__xludf.DUMMYFUNCTION("GOOGLETRANSLATE(C77,""zh-tw"",""KO"")"),"교회 NPC 뒤편, 석상 뒤편")</f>
        <v>교회 NPC 뒤편, 석상 뒤편</v>
      </c>
      <c r="X77" s="75" t="str">
        <f>IFERROR(__xludf.DUMMYFUNCTION("GOOGLETRANSLATE(D77,""zh-tw"",""KO"")"),"장비: 성녀의 자비")</f>
        <v>장비: 성녀의 자비</v>
      </c>
      <c r="Y77" s="234" t="s">
        <v>4818</v>
      </c>
      <c r="Z77" s="235" t="s">
        <v>3795</v>
      </c>
      <c r="AA77" s="236" t="s">
        <v>4833</v>
      </c>
      <c r="AB77" s="65" t="s">
        <v>4834</v>
      </c>
      <c r="AC77" s="234" t="s">
        <v>4818</v>
      </c>
      <c r="AD77" s="112" t="s">
        <v>4835</v>
      </c>
      <c r="AE77" s="237" t="s">
        <v>4836</v>
      </c>
      <c r="AF77" s="135" t="s">
        <v>4837</v>
      </c>
      <c r="AG77" s="234" t="s">
        <v>4818</v>
      </c>
      <c r="AH77" s="238" t="s">
        <v>4838</v>
      </c>
      <c r="AI77" s="119" t="s">
        <v>4839</v>
      </c>
      <c r="AJ77" s="120" t="s">
        <v>4840</v>
      </c>
      <c r="AK77" s="234" t="s">
        <v>4818</v>
      </c>
      <c r="AL77" s="125" t="s">
        <v>4841</v>
      </c>
      <c r="AM77" s="113" t="s">
        <v>4842</v>
      </c>
      <c r="AN77" s="75" t="s">
        <v>4843</v>
      </c>
      <c r="AO77" s="234" t="s">
        <v>4818</v>
      </c>
      <c r="AP77" s="108" t="s">
        <v>4844</v>
      </c>
      <c r="AQ77" s="113" t="s">
        <v>4845</v>
      </c>
      <c r="AR77" s="75" t="s">
        <v>4846</v>
      </c>
      <c r="AS77" s="75"/>
      <c r="AT77" s="75"/>
    </row>
    <row r="78">
      <c r="A78" s="234" t="s">
        <v>4847</v>
      </c>
      <c r="B78" s="125" t="s">
        <v>4848</v>
      </c>
      <c r="C78" s="111" t="s">
        <v>4849</v>
      </c>
      <c r="D78" s="72" t="s">
        <v>4850</v>
      </c>
      <c r="E78" s="234" t="s">
        <v>4847</v>
      </c>
      <c r="F78" s="125" t="s">
        <v>4851</v>
      </c>
      <c r="G78" s="113" t="s">
        <v>4852</v>
      </c>
      <c r="H78" s="75" t="s">
        <v>4853</v>
      </c>
      <c r="I78" s="234" t="s">
        <v>4847</v>
      </c>
      <c r="J78" s="125" t="s">
        <v>4854</v>
      </c>
      <c r="K78" s="111" t="s">
        <v>4855</v>
      </c>
      <c r="L78" s="72" t="s">
        <v>4856</v>
      </c>
      <c r="M78" s="234" t="s">
        <v>4847</v>
      </c>
      <c r="N78" s="125" t="s">
        <v>4857</v>
      </c>
      <c r="O78" s="113" t="s">
        <v>4858</v>
      </c>
      <c r="P78" s="75" t="s">
        <v>4859</v>
      </c>
      <c r="Q78" s="234" t="s">
        <v>4847</v>
      </c>
      <c r="R78" s="125" t="s">
        <v>4860</v>
      </c>
      <c r="S78" s="113" t="str">
        <f>IFERROR(__xludf.DUMMYFUNCTION("GOOGLETRANSLATE(C78,""zh-tw"",""es-MX"")"),"Para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78" s="75" t="str">
        <f>IFERROR(__xludf.DUMMYFUNCTION("GOOGLETRANSLATE(D78,""zh-tw"",""es-MX"")"),"Activa la primera parte de la historia.
*Hacerle daño resultará en una muerte segura.")</f>
        <v>Activa la primera parte de la historia.
*Hacerle daño resultará en una muerte segura.</v>
      </c>
      <c r="U78" s="234" t="s">
        <v>4847</v>
      </c>
      <c r="V78" s="125" t="str">
        <f>IFERROR(__xludf.DUMMYFUNCTION("GOOGLETRANSLATE(B78,""zh-tw"",""KO"")"),"회개하라")</f>
        <v>회개하라</v>
      </c>
      <c r="W78" s="113" t="str">
        <f>IFERROR(__xludf.DUMMYFUNCTION("GOOGLETRANSLATE(C78,""zh-tw"",""KO"")"),"교회에서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78" s="75" t="str">
        <f>IFERROR(__xludf.DUMMYFUNCTION("GOOGLETRANSLATE(D78,""zh-tw"",""KO"")"),"이야기의 첫 부분을 시작하세요.
*그녀에게 해를 가하면 반드시 죽게 됩니다.")</f>
        <v>이야기의 첫 부분을 시작하세요.
*그녀에게 해를 가하면 반드시 죽게 됩니다.</v>
      </c>
      <c r="Y78" s="234" t="s">
        <v>4847</v>
      </c>
      <c r="Z78" s="243" t="s">
        <v>4861</v>
      </c>
      <c r="AA78" s="236" t="s">
        <v>4862</v>
      </c>
      <c r="AB78" s="65" t="s">
        <v>4863</v>
      </c>
      <c r="AC78" s="234" t="s">
        <v>4847</v>
      </c>
      <c r="AD78" s="112" t="str">
        <f>IFERROR(__xludf.DUMMYFUNCTION("GOOGLETRANSLATE(B78,""zh-tw"",""de"")"),"Bereuen")</f>
        <v>Bereuen</v>
      </c>
      <c r="AE78" s="113" t="s">
        <v>4864</v>
      </c>
      <c r="AF78" s="75" t="s">
        <v>4865</v>
      </c>
      <c r="AG78" s="234" t="s">
        <v>4847</v>
      </c>
      <c r="AH78" s="257" t="s">
        <v>4866</v>
      </c>
      <c r="AI78" s="258" t="s">
        <v>4867</v>
      </c>
      <c r="AJ78" s="246" t="s">
        <v>4868</v>
      </c>
      <c r="AK78" s="234" t="s">
        <v>4847</v>
      </c>
      <c r="AL78" s="125" t="s">
        <v>4869</v>
      </c>
      <c r="AM78" s="111" t="s">
        <v>4870</v>
      </c>
      <c r="AN78" s="72" t="s">
        <v>4871</v>
      </c>
      <c r="AO78" s="234" t="s">
        <v>4847</v>
      </c>
      <c r="AP78" s="108" t="s">
        <v>4872</v>
      </c>
      <c r="AQ78" s="113" t="s">
        <v>4873</v>
      </c>
      <c r="AR78" s="75" t="s">
        <v>4874</v>
      </c>
      <c r="AS78" s="260"/>
      <c r="AT78" s="260"/>
    </row>
    <row r="79">
      <c r="A79" s="234" t="s">
        <v>4875</v>
      </c>
      <c r="B79" s="125" t="s">
        <v>4876</v>
      </c>
      <c r="C79" s="113" t="s">
        <v>4877</v>
      </c>
      <c r="D79" s="75" t="s">
        <v>4878</v>
      </c>
      <c r="E79" s="234" t="s">
        <v>4875</v>
      </c>
      <c r="F79" s="125" t="s">
        <v>4879</v>
      </c>
      <c r="G79" s="113" t="s">
        <v>4880</v>
      </c>
      <c r="H79" s="75" t="s">
        <v>4881</v>
      </c>
      <c r="I79" s="234" t="s">
        <v>4875</v>
      </c>
      <c r="J79" s="125" t="s">
        <v>4882</v>
      </c>
      <c r="K79" s="113" t="s">
        <v>4883</v>
      </c>
      <c r="L79" s="75" t="s">
        <v>4884</v>
      </c>
      <c r="M79" s="234" t="s">
        <v>4875</v>
      </c>
      <c r="N79" s="125" t="s">
        <v>4885</v>
      </c>
      <c r="O79" s="113" t="s">
        <v>4886</v>
      </c>
      <c r="P79" s="75" t="s">
        <v>4887</v>
      </c>
      <c r="Q79" s="234" t="s">
        <v>4875</v>
      </c>
      <c r="R79" s="125" t="s">
        <v>4888</v>
      </c>
      <c r="S79" s="113" t="str">
        <f>IFERROR(__xludf.DUMMYFUNCTION("GOOGLETRANSLATE(C79,""zh-tw"",""es-MX"")"),"Cuando el valor del pecado llega a -, se puede activar la segunda etapa del arrepentimiento.")</f>
        <v>Cuando el valor del pecado llega a -, se puede activar la segunda etapa del arrepentimiento.</v>
      </c>
      <c r="T79" s="75" t="str">
        <f>IFERROR(__xludf.DUMMYFUNCTION("GOOGLETRANSLATE(D79,""zh-tw"",""es-MX"")"),"Activar la segunda parte de la historia
*Aún no implementado")</f>
        <v>Activar la segunda parte de la historia
*Aún no implementado</v>
      </c>
      <c r="U79" s="234" t="s">
        <v>4875</v>
      </c>
      <c r="V79" s="125" t="str">
        <f>IFERROR(__xludf.DUMMYFUNCTION("GOOGLETRANSLATE(B79,""zh-tw"",""KO"")"),"회개하라 - 1")</f>
        <v>회개하라 - 1</v>
      </c>
      <c r="W79" s="113" t="str">
        <f>IFERROR(__xludf.DUMMYFUNCTION("GOOGLETRANSLATE(C79,""zh-tw"",""KO"")"),"죄의 값이 마이너스에 도달하면 회개의 두 번째 단계가 시작될 수 있습니다.")</f>
        <v>죄의 값이 마이너스에 도달하면 회개의 두 번째 단계가 시작될 수 있습니다.</v>
      </c>
      <c r="X79" s="75" t="str">
        <f>IFERROR(__xludf.DUMMYFUNCTION("GOOGLETRANSLATE(D79,""zh-tw"",""KO"")"),"이야기의 두 번째 부분을 시작하세요
*아직 구현되지 않았습니다")</f>
        <v>이야기의 두 번째 부분을 시작하세요
*아직 구현되지 않았습니다</v>
      </c>
      <c r="Y79" s="234" t="s">
        <v>4875</v>
      </c>
      <c r="Z79" s="243" t="s">
        <v>4889</v>
      </c>
      <c r="AA79" s="250" t="s">
        <v>4890</v>
      </c>
      <c r="AB79" s="71" t="s">
        <v>4891</v>
      </c>
      <c r="AC79" s="234" t="s">
        <v>4875</v>
      </c>
      <c r="AD79" s="112" t="str">
        <f>IFERROR(__xludf.DUMMYFUNCTION("GOOGLETRANSLATE(B79,""zh-tw"",""de"")"),"Bereue - 1")</f>
        <v>Bereue - 1</v>
      </c>
      <c r="AE79" s="113" t="s">
        <v>4892</v>
      </c>
      <c r="AF79" s="75" t="s">
        <v>4893</v>
      </c>
      <c r="AG79" s="234" t="s">
        <v>4875</v>
      </c>
      <c r="AH79" s="257" t="s">
        <v>4894</v>
      </c>
      <c r="AI79" s="258" t="s">
        <v>4895</v>
      </c>
      <c r="AJ79" s="259" t="s">
        <v>4896</v>
      </c>
      <c r="AK79" s="234" t="s">
        <v>4875</v>
      </c>
      <c r="AL79" s="125" t="s">
        <v>4897</v>
      </c>
      <c r="AM79" s="113" t="s">
        <v>4898</v>
      </c>
      <c r="AN79" s="75" t="s">
        <v>4899</v>
      </c>
      <c r="AO79" s="234" t="s">
        <v>4875</v>
      </c>
      <c r="AP79" s="108" t="s">
        <v>4900</v>
      </c>
      <c r="AQ79" s="113" t="s">
        <v>4901</v>
      </c>
      <c r="AR79" s="75" t="s">
        <v>4902</v>
      </c>
      <c r="AS79" s="260"/>
      <c r="AT79" s="260"/>
    </row>
    <row r="80">
      <c r="A80" s="229"/>
      <c r="B80" s="276" t="s">
        <v>4785</v>
      </c>
      <c r="E80" s="229"/>
      <c r="F80" s="231"/>
      <c r="I80" s="229"/>
      <c r="J80" s="230" t="s">
        <v>4791</v>
      </c>
      <c r="M80" s="229"/>
      <c r="N80" s="276" t="s">
        <v>4794</v>
      </c>
      <c r="Q80" s="229"/>
      <c r="R80" s="231"/>
      <c r="U80" s="229"/>
      <c r="V80" s="231"/>
      <c r="Y80" s="229"/>
      <c r="Z80" s="232" t="s">
        <v>4799</v>
      </c>
      <c r="AC80" s="229"/>
      <c r="AD80" s="229"/>
      <c r="AG80" s="229"/>
      <c r="AH80" s="231"/>
      <c r="AK80" s="229"/>
      <c r="AL80" s="233" t="s">
        <v>4903</v>
      </c>
      <c r="AO80" s="229"/>
      <c r="AP80" s="229"/>
      <c r="AS80" s="231"/>
      <c r="AT80" s="231"/>
    </row>
    <row r="81">
      <c r="A81" s="234" t="s">
        <v>4904</v>
      </c>
      <c r="B81" s="112" t="s">
        <v>3618</v>
      </c>
      <c r="C81" s="111" t="s">
        <v>4905</v>
      </c>
      <c r="D81" s="72" t="s">
        <v>4906</v>
      </c>
      <c r="E81" s="234" t="s">
        <v>4904</v>
      </c>
      <c r="F81" s="112" t="s">
        <v>3786</v>
      </c>
      <c r="G81" s="111" t="s">
        <v>4907</v>
      </c>
      <c r="H81" s="72" t="s">
        <v>4908</v>
      </c>
      <c r="I81" s="234" t="s">
        <v>4904</v>
      </c>
      <c r="J81" s="112" t="s">
        <v>4216</v>
      </c>
      <c r="K81" s="111" t="s">
        <v>4909</v>
      </c>
      <c r="L81" s="72" t="s">
        <v>4910</v>
      </c>
      <c r="M81" s="234" t="s">
        <v>4904</v>
      </c>
      <c r="N81" s="112" t="s">
        <v>3628</v>
      </c>
      <c r="O81" s="111" t="s">
        <v>4911</v>
      </c>
      <c r="P81" s="72" t="s">
        <v>4912</v>
      </c>
      <c r="Q81" s="234" t="s">
        <v>4904</v>
      </c>
      <c r="R81" s="112" t="s">
        <v>3631</v>
      </c>
      <c r="S81" s="113" t="str">
        <f>IFERROR(__xludf.DUMMYFUNCTION("GOOGLETRANSLATE(C81,""zh-tw"",""es-MX"")"),"Detrás del pilar situado en el lado izquierdo del ""Gran Cinturón de Lava de Coca-Cola"", hay un objeto oculto y un punto de recogida.")</f>
        <v>Detrás del pilar situado en el lado izquierdo del "Gran Cinturón de Lava de Coca-Cola", hay un objeto oculto y un punto de recogida.</v>
      </c>
      <c r="T81" s="75" t="str">
        <f>IFERROR(__xludf.DUMMYFUNCTION("GOOGLETRANSLATE(D81,""zh-tw"",""es-MX"")"),"Equipo: Anillo de Lava
*Este objeto se puede obtener repetidamente después de que el mapa se actualice.")</f>
        <v>Equipo: Anillo de Lava
*Este objeto se puede obtener repetidamente después de que el mapa se actualice.</v>
      </c>
      <c r="U81" s="234" t="s">
        <v>4904</v>
      </c>
      <c r="V81" s="125" t="str">
        <f>IFERROR(__xludf.DUMMYFUNCTION("GOOGLETRANSLATE(B81,""zh-tw"",""KO"")"),"숨겨진 통로")</f>
        <v>숨겨진 통로</v>
      </c>
      <c r="W81" s="113" t="str">
        <f>IFERROR(__xludf.DUMMYFUNCTION("GOOGLETRANSLATE(C81,""zh-tw"",""KO"")"),"""거대한 코카콜라 용암 지대"" 왼쪽 기둥 뒤에는 숨겨진 아이템과 수집 지점이 있습니다.")</f>
        <v>"거대한 코카콜라 용암 지대" 왼쪽 기둥 뒤에는 숨겨진 아이템과 수집 지점이 있습니다.</v>
      </c>
      <c r="X81" s="75" t="str">
        <f>IFERROR(__xludf.DUMMYFUNCTION("GOOGLETRANSLATE(D81,""zh-tw"",""KO"")"),"장비: 용암 반지
*이 아이템은 맵이 새로고침된 후에도 반복해서 획득할 수 있습니다.")</f>
        <v>장비: 용암 반지
*이 아이템은 맵이 새로고침된 후에도 반복해서 획득할 수 있습니다.</v>
      </c>
      <c r="Y81" s="234" t="s">
        <v>4904</v>
      </c>
      <c r="Z81" s="235" t="s">
        <v>3657</v>
      </c>
      <c r="AA81" s="236" t="s">
        <v>4913</v>
      </c>
      <c r="AB81" s="65" t="s">
        <v>4914</v>
      </c>
      <c r="AC81" s="234" t="s">
        <v>4904</v>
      </c>
      <c r="AD81" s="112" t="s">
        <v>3635</v>
      </c>
      <c r="AE81" s="237" t="s">
        <v>4915</v>
      </c>
      <c r="AF81" s="135" t="s">
        <v>4916</v>
      </c>
      <c r="AG81" s="234" t="s">
        <v>4904</v>
      </c>
      <c r="AH81" s="239" t="s">
        <v>3638</v>
      </c>
      <c r="AI81" s="119" t="s">
        <v>4917</v>
      </c>
      <c r="AJ81" s="134" t="s">
        <v>4918</v>
      </c>
      <c r="AK81" s="234" t="s">
        <v>4904</v>
      </c>
      <c r="AL81" s="112" t="s">
        <v>3641</v>
      </c>
      <c r="AM81" s="113" t="s">
        <v>4919</v>
      </c>
      <c r="AN81" s="75" t="s">
        <v>4920</v>
      </c>
      <c r="AO81" s="234" t="s">
        <v>4904</v>
      </c>
      <c r="AP81" s="112" t="s">
        <v>3644</v>
      </c>
      <c r="AQ81" s="113" t="s">
        <v>4921</v>
      </c>
      <c r="AR81" s="75" t="s">
        <v>4922</v>
      </c>
      <c r="AS81" s="75"/>
      <c r="AT81" s="75"/>
    </row>
    <row r="82">
      <c r="A82" s="277"/>
      <c r="B82" s="277"/>
      <c r="C82" s="277"/>
      <c r="D82" s="277"/>
      <c r="E82" s="277"/>
      <c r="F82" s="277"/>
      <c r="G82" s="277"/>
      <c r="H82" s="277"/>
      <c r="I82" s="277"/>
      <c r="J82" s="277"/>
      <c r="K82" s="277"/>
      <c r="L82" s="277"/>
      <c r="M82" s="277"/>
      <c r="N82" s="277"/>
      <c r="O82" s="277"/>
      <c r="P82" s="277"/>
      <c r="Q82" s="277"/>
      <c r="R82" s="277"/>
      <c r="S82" s="278"/>
      <c r="T82" s="278"/>
      <c r="U82" s="277"/>
      <c r="V82" s="278"/>
      <c r="W82" s="278"/>
      <c r="X82" s="278"/>
      <c r="Y82" s="277"/>
      <c r="Z82" s="277"/>
      <c r="AA82" s="279"/>
      <c r="AB82" s="278"/>
      <c r="AC82" s="277"/>
      <c r="AD82" s="277"/>
      <c r="AE82" s="277"/>
      <c r="AF82" s="277"/>
      <c r="AG82" s="277"/>
      <c r="AH82" s="277"/>
      <c r="AI82" s="277"/>
      <c r="AJ82" s="277"/>
      <c r="AK82" s="277"/>
      <c r="AL82" s="278"/>
      <c r="AM82" s="278"/>
      <c r="AN82" s="278"/>
      <c r="AO82" s="277"/>
      <c r="AP82" s="277"/>
      <c r="AQ82" s="278"/>
      <c r="AR82" s="278"/>
      <c r="AS82" s="278"/>
      <c r="AT82" s="278"/>
    </row>
    <row r="83">
      <c r="A83" s="228" t="s">
        <v>4923</v>
      </c>
      <c r="B83" s="276" t="s">
        <v>4924</v>
      </c>
      <c r="E83" s="228" t="s">
        <v>4923</v>
      </c>
      <c r="F83" s="231"/>
      <c r="I83" s="228" t="s">
        <v>4923</v>
      </c>
      <c r="J83" s="230" t="s">
        <v>4925</v>
      </c>
      <c r="M83" s="228" t="s">
        <v>4923</v>
      </c>
      <c r="N83" s="276" t="s">
        <v>4924</v>
      </c>
      <c r="Q83" s="228" t="s">
        <v>4923</v>
      </c>
      <c r="R83" s="231"/>
      <c r="U83" s="228" t="s">
        <v>4923</v>
      </c>
      <c r="V83" s="231"/>
      <c r="Y83" s="228" t="s">
        <v>4923</v>
      </c>
      <c r="Z83" s="232" t="s">
        <v>4926</v>
      </c>
      <c r="AC83" s="228" t="s">
        <v>4923</v>
      </c>
      <c r="AD83" s="229"/>
      <c r="AG83" s="228" t="s">
        <v>4923</v>
      </c>
      <c r="AH83" s="231"/>
      <c r="AK83" s="228" t="s">
        <v>4923</v>
      </c>
      <c r="AL83" s="233" t="s">
        <v>4927</v>
      </c>
      <c r="AO83" s="228" t="s">
        <v>4923</v>
      </c>
      <c r="AP83" s="229"/>
      <c r="AS83" s="231"/>
      <c r="AT83" s="231"/>
    </row>
    <row r="84">
      <c r="A84" s="234" t="s">
        <v>4928</v>
      </c>
      <c r="B84" s="112" t="s">
        <v>4929</v>
      </c>
      <c r="C84" s="111" t="s">
        <v>4930</v>
      </c>
      <c r="D84" s="72" t="s">
        <v>4931</v>
      </c>
      <c r="E84" s="234" t="s">
        <v>4928</v>
      </c>
      <c r="F84" s="112" t="s">
        <v>4932</v>
      </c>
      <c r="G84" s="111" t="s">
        <v>4933</v>
      </c>
      <c r="H84" s="72" t="s">
        <v>4934</v>
      </c>
      <c r="I84" s="234" t="s">
        <v>4928</v>
      </c>
      <c r="J84" s="112" t="s">
        <v>4935</v>
      </c>
      <c r="K84" s="111" t="s">
        <v>4936</v>
      </c>
      <c r="L84" s="72" t="s">
        <v>4937</v>
      </c>
      <c r="M84" s="234" t="s">
        <v>4928</v>
      </c>
      <c r="N84" s="112" t="s">
        <v>4938</v>
      </c>
      <c r="O84" s="111" t="s">
        <v>4939</v>
      </c>
      <c r="P84" s="72" t="s">
        <v>4940</v>
      </c>
      <c r="Q84" s="234" t="s">
        <v>4928</v>
      </c>
      <c r="R84" s="125" t="s">
        <v>4941</v>
      </c>
      <c r="S84" s="113" t="str">
        <f>IFERROR(__xludf.DUMMYFUNCTION("GOOGLETRANSLATE(C84,""zh-tw"",""es-MX"")"),"Tras aprender la técnica ""Paso Rápido con Katana"", equipar un arma cuerpo a cuerpo y realizar un cuarto tajo aéreo activará automáticamente un estado de entrenamiento de esgrima oculto.
Usar un arma de mayor tamaño puede aumentar la eficacia del entren"&amp;"amiento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aumentar la eficacia del entrenamiento (por ejemplo, mediante el uso de cartas del tarot o habilidades propias del arma).</v>
      </c>
      <c r="T84" s="75" t="str">
        <f>IFERROR(__xludf.DUMMYFUNCTION("GOOGLETRANSLATE(D84,""zh-tw"",""es-MX"")"),"Durante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4" s="234" t="s">
        <v>4928</v>
      </c>
      <c r="V84" s="125" t="str">
        <f>IFERROR(__xludf.DUMMYFUNCTION("GOOGLETRANSLATE(B84,""zh-tw"",""KO"")"),"검술 훈련")</f>
        <v>검술 훈련</v>
      </c>
      <c r="W84" s="113" t="str">
        <f>IFERROR(__xludf.DUMMYFUNCTION("GOOGLETRANSLATE(C84,""zh-tw"",""KO"")"),"""플래시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4" s="75" t="str">
        <f>IFERROR(__xludf.DUMMYFUNCTION("GOOGLETRANSLATE(D84,""zh-tw"",""KO"")"),"훈련하는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v>
      </c>
      <c r="Y84" s="234" t="s">
        <v>4928</v>
      </c>
      <c r="Z84" s="235" t="s">
        <v>4942</v>
      </c>
      <c r="AA84" s="236" t="s">
        <v>4943</v>
      </c>
      <c r="AB84" s="65" t="s">
        <v>4944</v>
      </c>
      <c r="AC84" s="234" t="s">
        <v>4928</v>
      </c>
      <c r="AD84" s="112" t="s">
        <v>4945</v>
      </c>
      <c r="AE84" s="237" t="s">
        <v>4946</v>
      </c>
      <c r="AF84" s="135" t="s">
        <v>4947</v>
      </c>
      <c r="AG84" s="234" t="s">
        <v>4928</v>
      </c>
      <c r="AH84" s="238" t="s">
        <v>4948</v>
      </c>
      <c r="AI84" s="130" t="s">
        <v>4949</v>
      </c>
      <c r="AJ84" s="134" t="s">
        <v>4950</v>
      </c>
      <c r="AK84" s="234" t="s">
        <v>4928</v>
      </c>
      <c r="AL84" s="125" t="s">
        <v>4951</v>
      </c>
      <c r="AM84" s="111" t="s">
        <v>4952</v>
      </c>
      <c r="AN84" s="72" t="s">
        <v>4953</v>
      </c>
      <c r="AO84" s="234" t="s">
        <v>4928</v>
      </c>
      <c r="AP84" s="112" t="s">
        <v>4954</v>
      </c>
      <c r="AQ84" s="111" t="s">
        <v>4955</v>
      </c>
      <c r="AR84" s="72" t="s">
        <v>4956</v>
      </c>
      <c r="AS84" s="75"/>
      <c r="AT84" s="75"/>
    </row>
    <row r="85">
      <c r="A85" s="234" t="s">
        <v>4957</v>
      </c>
      <c r="B85" s="112" t="s">
        <v>4958</v>
      </c>
      <c r="C85" s="111" t="s">
        <v>4959</v>
      </c>
      <c r="D85" s="72" t="s">
        <v>4960</v>
      </c>
      <c r="E85" s="234" t="s">
        <v>4957</v>
      </c>
      <c r="F85" s="112" t="s">
        <v>4961</v>
      </c>
      <c r="G85" s="111" t="s">
        <v>4962</v>
      </c>
      <c r="H85" s="72" t="s">
        <v>4963</v>
      </c>
      <c r="I85" s="234" t="s">
        <v>4957</v>
      </c>
      <c r="J85" s="112" t="s">
        <v>4964</v>
      </c>
      <c r="K85" s="111" t="s">
        <v>4965</v>
      </c>
      <c r="L85" s="72" t="s">
        <v>4966</v>
      </c>
      <c r="M85" s="234" t="s">
        <v>4957</v>
      </c>
      <c r="N85" s="112" t="s">
        <v>4967</v>
      </c>
      <c r="O85" s="111" t="s">
        <v>4968</v>
      </c>
      <c r="P85" s="72" t="s">
        <v>4969</v>
      </c>
      <c r="Q85" s="234" t="s">
        <v>4957</v>
      </c>
      <c r="R85" s="112" t="s">
        <v>4970</v>
      </c>
      <c r="S85" s="113" t="str">
        <f>IFERROR(__xludf.DUMMYFUNCTION("GOOGLETRANSLATE(C85,""zh-tw"",""es-MX"")"),"En días soleados, es probable que haga calor.
(Si tu hermana ya recibió la camiseta, aumenta la probabilidad de que haga calor).")</f>
        <v>En días soleados, es probable que haga calor.
(Si tu hermana ya recibió la camiseta, aumenta la probabilidad de que haga calor).</v>
      </c>
      <c r="T85" s="75" t="str">
        <f>IFERROR(__xludf.DUMMYFUNCTION("GOOGLETRANSLATE(D85,""zh-tw"",""es-MX"")"),"Algunos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5" s="234" t="s">
        <v>4957</v>
      </c>
      <c r="V85" s="125" t="str">
        <f>IFERROR(__xludf.DUMMYFUNCTION("GOOGLETRANSLATE(B85,""zh-tw"",""KO"")"),"더운 날씨 1")</f>
        <v>더운 날씨 1</v>
      </c>
      <c r="W85" s="113" t="str">
        <f>IFERROR(__xludf.DUMMYFUNCTION("GOOGLETRANSLATE(C85,""zh-tw"",""KO"")"),"화창한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5" s="75" t="str">
        <f>IFERROR(__xludf.DUMMYFUNCTION("GOOGLETRANSLATE(D85,""zh-tw"",""KO"")"),"일부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5" s="234" t="s">
        <v>4957</v>
      </c>
      <c r="Z85" s="235" t="s">
        <v>4971</v>
      </c>
      <c r="AA85" s="236" t="s">
        <v>4972</v>
      </c>
      <c r="AB85" s="65" t="s">
        <v>4973</v>
      </c>
      <c r="AC85" s="234" t="s">
        <v>4957</v>
      </c>
      <c r="AD85" s="112" t="s">
        <v>4974</v>
      </c>
      <c r="AE85" s="237" t="s">
        <v>4975</v>
      </c>
      <c r="AF85" s="135" t="s">
        <v>4976</v>
      </c>
      <c r="AG85" s="234" t="s">
        <v>4957</v>
      </c>
      <c r="AH85" s="238" t="s">
        <v>4977</v>
      </c>
      <c r="AI85" s="119" t="s">
        <v>4978</v>
      </c>
      <c r="AJ85" s="120" t="s">
        <v>4979</v>
      </c>
      <c r="AK85" s="234" t="s">
        <v>4957</v>
      </c>
      <c r="AL85" s="125" t="s">
        <v>4980</v>
      </c>
      <c r="AM85" s="113" t="s">
        <v>4981</v>
      </c>
      <c r="AN85" s="75" t="s">
        <v>4982</v>
      </c>
      <c r="AO85" s="234" t="s">
        <v>4957</v>
      </c>
      <c r="AP85" s="108" t="s">
        <v>4983</v>
      </c>
      <c r="AQ85" s="113" t="s">
        <v>4984</v>
      </c>
      <c r="AR85" s="75" t="s">
        <v>4985</v>
      </c>
      <c r="AS85" s="75"/>
      <c r="AT85" s="75"/>
    </row>
    <row r="86">
      <c r="A86" s="234" t="s">
        <v>4986</v>
      </c>
      <c r="B86" s="112" t="s">
        <v>4987</v>
      </c>
      <c r="C86" s="111" t="s">
        <v>4988</v>
      </c>
      <c r="D86" s="72" t="s">
        <v>4989</v>
      </c>
      <c r="E86" s="234" t="s">
        <v>4986</v>
      </c>
      <c r="F86" s="112" t="s">
        <v>4990</v>
      </c>
      <c r="G86" s="111" t="s">
        <v>4991</v>
      </c>
      <c r="H86" s="72" t="s">
        <v>4992</v>
      </c>
      <c r="I86" s="234" t="s">
        <v>4986</v>
      </c>
      <c r="J86" s="112" t="s">
        <v>4993</v>
      </c>
      <c r="K86" s="111" t="s">
        <v>4994</v>
      </c>
      <c r="L86" s="72" t="s">
        <v>4995</v>
      </c>
      <c r="M86" s="234" t="s">
        <v>4986</v>
      </c>
      <c r="N86" s="112" t="s">
        <v>4996</v>
      </c>
      <c r="O86" s="111" t="s">
        <v>4997</v>
      </c>
      <c r="P86" s="72" t="s">
        <v>4998</v>
      </c>
      <c r="Q86" s="234" t="s">
        <v>4986</v>
      </c>
      <c r="R86" s="112" t="s">
        <v>4999</v>
      </c>
      <c r="S86" s="111" t="s">
        <v>5000</v>
      </c>
      <c r="T86" s="75" t="str">
        <f>IFERROR(__xludf.DUMMYFUNCTION("GOOGLETRANSLATE(D86,""zh-tw"",""es-MX"")"),"Igual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6" s="234" t="s">
        <v>4986</v>
      </c>
      <c r="V86" s="125" t="str">
        <f>IFERROR(__xludf.DUMMYFUNCTION("GOOGLETRANSLATE(B86,""zh-tw"",""KO"")"),"더운 날씨 2 보너스 티셔츠")</f>
        <v>더운 날씨 2 보너스 티셔츠</v>
      </c>
      <c r="W86" s="113" t="str">
        <f>IFERROR(__xludf.DUMMYFUNCTION("GOOGLETRANSLATE(C86,""zh-tw"",""KO"")"),"위에서 언급했듯이, 티셔츠가 있으면 스토리가 분기됩니다.")</f>
        <v>위에서 언급했듯이, 티셔츠가 있으면 스토리가 분기됩니다.</v>
      </c>
      <c r="X86" s="75" t="str">
        <f>IFERROR(__xludf.DUMMYFUNCTION("GOOGLETRANSLATE(D86,""zh-tw"",""KO"")"),"위와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86" s="234" t="s">
        <v>4986</v>
      </c>
      <c r="Z86" s="235" t="s">
        <v>5001</v>
      </c>
      <c r="AA86" s="236" t="s">
        <v>5002</v>
      </c>
      <c r="AB86" s="65" t="s">
        <v>5003</v>
      </c>
      <c r="AC86" s="234" t="s">
        <v>4986</v>
      </c>
      <c r="AD86" s="112" t="s">
        <v>5004</v>
      </c>
      <c r="AE86" s="237" t="s">
        <v>5005</v>
      </c>
      <c r="AF86" s="135" t="s">
        <v>5006</v>
      </c>
      <c r="AG86" s="234" t="s">
        <v>4986</v>
      </c>
      <c r="AH86" s="238" t="s">
        <v>5007</v>
      </c>
      <c r="AI86" s="119" t="s">
        <v>5008</v>
      </c>
      <c r="AJ86" s="120" t="s">
        <v>5009</v>
      </c>
      <c r="AK86" s="234" t="s">
        <v>4986</v>
      </c>
      <c r="AL86" s="125" t="s">
        <v>5010</v>
      </c>
      <c r="AM86" s="113" t="s">
        <v>5011</v>
      </c>
      <c r="AN86" s="75" t="s">
        <v>5012</v>
      </c>
      <c r="AO86" s="234" t="s">
        <v>4986</v>
      </c>
      <c r="AP86" s="108" t="s">
        <v>5013</v>
      </c>
      <c r="AQ86" s="113" t="s">
        <v>5014</v>
      </c>
      <c r="AR86" s="75" t="s">
        <v>5015</v>
      </c>
      <c r="AS86" s="75"/>
      <c r="AT86" s="75"/>
    </row>
    <row r="87">
      <c r="A87" s="234" t="s">
        <v>5016</v>
      </c>
      <c r="B87" s="112" t="s">
        <v>5017</v>
      </c>
      <c r="C87" s="111" t="s">
        <v>5018</v>
      </c>
      <c r="D87" s="72" t="s">
        <v>5019</v>
      </c>
      <c r="E87" s="234" t="s">
        <v>5016</v>
      </c>
      <c r="F87" s="112" t="s">
        <v>5020</v>
      </c>
      <c r="G87" s="111" t="s">
        <v>5021</v>
      </c>
      <c r="H87" s="72" t="s">
        <v>5022</v>
      </c>
      <c r="I87" s="234" t="s">
        <v>5016</v>
      </c>
      <c r="J87" s="112" t="s">
        <v>5023</v>
      </c>
      <c r="K87" s="111" t="s">
        <v>5024</v>
      </c>
      <c r="L87" s="72" t="s">
        <v>5025</v>
      </c>
      <c r="M87" s="234" t="s">
        <v>5016</v>
      </c>
      <c r="N87" s="112" t="s">
        <v>5026</v>
      </c>
      <c r="O87" s="111" t="s">
        <v>5027</v>
      </c>
      <c r="P87" s="72" t="s">
        <v>5028</v>
      </c>
      <c r="Q87" s="234" t="s">
        <v>5016</v>
      </c>
      <c r="R87" s="112" t="s">
        <v>5029</v>
      </c>
      <c r="S87" s="111" t="s">
        <v>5030</v>
      </c>
      <c r="T87" s="75" t="str">
        <f>IFERROR(__xludf.DUMMYFUNCTION("GOOGLETRANSLATE(D87,""zh-tw"",""es-MX"")"),"Consigue un ventilador eléctrico. Historia paralela sobre el calor.")</f>
        <v>Consigue un ventilador eléctrico. Historia paralela sobre el calor.</v>
      </c>
      <c r="U87" s="234" t="s">
        <v>5016</v>
      </c>
      <c r="V87" s="125" t="str">
        <f>IFERROR(__xludf.DUMMYFUNCTION("GOOGLETRANSLATE(B87,""zh-tw"",""KO"")"),"더운 날씨 3. 선풍기")</f>
        <v>더운 날씨 3. 선풍기</v>
      </c>
      <c r="W87" s="113" t="str">
        <f>IFERROR(__xludf.DUMMYFUNCTION("GOOGLETRANSLATE(C87,""zh-tw"",""KO"")"),"마찬가지로, ""전차"" 타로 카드가 소환하는 상점에서 선풍기를 구입할 수 있습니다.")</f>
        <v>마찬가지로, "전차" 타로 카드가 소환하는 상점에서 선풍기를 구입할 수 있습니다.</v>
      </c>
      <c r="X87" s="75" t="str">
        <f>IFERROR(__xludf.DUMMYFUNCTION("GOOGLETRANSLATE(D87,""zh-tw"",""KO"")"),"선풍기를 구하세요. 더운 날씨에 대한 여담입니다.")</f>
        <v>선풍기를 구하세요. 더운 날씨에 대한 여담입니다.</v>
      </c>
      <c r="Y87" s="234" t="s">
        <v>5016</v>
      </c>
      <c r="Z87" s="235" t="s">
        <v>5031</v>
      </c>
      <c r="AA87" s="236" t="s">
        <v>5032</v>
      </c>
      <c r="AB87" s="65" t="s">
        <v>5033</v>
      </c>
      <c r="AC87" s="234" t="s">
        <v>5016</v>
      </c>
      <c r="AD87" s="112" t="s">
        <v>5034</v>
      </c>
      <c r="AE87" s="237" t="s">
        <v>5035</v>
      </c>
      <c r="AF87" s="135" t="s">
        <v>5036</v>
      </c>
      <c r="AG87" s="234" t="s">
        <v>5016</v>
      </c>
      <c r="AH87" s="238" t="s">
        <v>5037</v>
      </c>
      <c r="AI87" s="119" t="s">
        <v>5038</v>
      </c>
      <c r="AJ87" s="120" t="s">
        <v>5039</v>
      </c>
      <c r="AK87" s="234" t="s">
        <v>5016</v>
      </c>
      <c r="AL87" s="125" t="s">
        <v>5040</v>
      </c>
      <c r="AM87" s="113" t="s">
        <v>5041</v>
      </c>
      <c r="AN87" s="75" t="s">
        <v>5042</v>
      </c>
      <c r="AO87" s="234" t="s">
        <v>5016</v>
      </c>
      <c r="AP87" s="108" t="s">
        <v>5043</v>
      </c>
      <c r="AQ87" s="113" t="s">
        <v>5044</v>
      </c>
      <c r="AR87" s="75" t="s">
        <v>5045</v>
      </c>
      <c r="AS87" s="75"/>
      <c r="AT87" s="75"/>
    </row>
    <row r="88">
      <c r="A88" s="234" t="s">
        <v>5046</v>
      </c>
      <c r="B88" s="112" t="s">
        <v>5047</v>
      </c>
      <c r="C88" s="111" t="s">
        <v>5048</v>
      </c>
      <c r="D88" s="72" t="s">
        <v>5049</v>
      </c>
      <c r="E88" s="234" t="s">
        <v>5046</v>
      </c>
      <c r="F88" s="112" t="s">
        <v>5050</v>
      </c>
      <c r="G88" s="111" t="s">
        <v>5051</v>
      </c>
      <c r="H88" s="72" t="s">
        <v>5052</v>
      </c>
      <c r="I88" s="234" t="s">
        <v>5046</v>
      </c>
      <c r="J88" s="112" t="s">
        <v>5053</v>
      </c>
      <c r="K88" s="111" t="s">
        <v>5054</v>
      </c>
      <c r="L88" s="72" t="s">
        <v>5055</v>
      </c>
      <c r="M88" s="234" t="s">
        <v>5046</v>
      </c>
      <c r="N88" s="112" t="s">
        <v>5047</v>
      </c>
      <c r="O88" s="111" t="s">
        <v>5056</v>
      </c>
      <c r="P88" s="72" t="s">
        <v>5057</v>
      </c>
      <c r="Q88" s="234" t="s">
        <v>5046</v>
      </c>
      <c r="R88" s="112" t="s">
        <v>5058</v>
      </c>
      <c r="S88" s="111" t="s">
        <v>5059</v>
      </c>
      <c r="T88" s="75" t="str">
        <f>IFERROR(__xludf.DUMMYFUNCTION("GOOGLETRANSLATE(D88,""zh-tw"",""es-MX"")"),"La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8" s="234" t="s">
        <v>5046</v>
      </c>
      <c r="V88" s="125" t="str">
        <f>IFERROR(__xludf.DUMMYFUNCTION("GOOGLETRANSLATE(B88,""zh-tw"",""KO"")"),"미스터리 쇼핑")</f>
        <v>미스터리 쇼핑</v>
      </c>
      <c r="W88" s="113" t="str">
        <f>IFERROR(__xludf.DUMMYFUNCTION("GOOGLETRANSLATE(C88,""zh-tw"",""KO"")"),"맑은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88" s="75" t="str">
        <f>IFERROR(__xludf.DUMMYFUNCTION("GOOGLETRANSLATE(D88,""zh-tw"",""KO"")"),"처음 이 상황을 접했을 때 두 가지 대화 선택지가 있습니다. 두 가지 대화 모두 완료해 주세요.
그렇지 않으면 나중에 얻을 수 있는 아이템들을 놓치게 됩니다.")</f>
        <v>처음 이 상황을 접했을 때 두 가지 대화 선택지가 있습니다. 두 가지 대화 모두 완료해 주세요.
그렇지 않으면 나중에 얻을 수 있는 아이템들을 놓치게 됩니다.</v>
      </c>
      <c r="Y88" s="234" t="s">
        <v>5046</v>
      </c>
      <c r="Z88" s="235" t="s">
        <v>5060</v>
      </c>
      <c r="AA88" s="236" t="s">
        <v>5061</v>
      </c>
      <c r="AB88" s="65" t="s">
        <v>5062</v>
      </c>
      <c r="AC88" s="234" t="s">
        <v>5046</v>
      </c>
      <c r="AD88" s="112" t="s">
        <v>5063</v>
      </c>
      <c r="AE88" s="237" t="s">
        <v>5064</v>
      </c>
      <c r="AF88" s="135" t="s">
        <v>5065</v>
      </c>
      <c r="AG88" s="234" t="s">
        <v>5046</v>
      </c>
      <c r="AH88" s="238" t="s">
        <v>5066</v>
      </c>
      <c r="AI88" s="119" t="s">
        <v>5067</v>
      </c>
      <c r="AJ88" s="134" t="s">
        <v>5068</v>
      </c>
      <c r="AK88" s="234" t="s">
        <v>5046</v>
      </c>
      <c r="AL88" s="125" t="s">
        <v>5069</v>
      </c>
      <c r="AM88" s="113" t="s">
        <v>5070</v>
      </c>
      <c r="AN88" s="72" t="s">
        <v>5071</v>
      </c>
      <c r="AO88" s="234" t="s">
        <v>5046</v>
      </c>
      <c r="AP88" s="108" t="s">
        <v>5072</v>
      </c>
      <c r="AQ88" s="113" t="s">
        <v>5073</v>
      </c>
      <c r="AR88" s="75" t="s">
        <v>5074</v>
      </c>
      <c r="AS88" s="75"/>
      <c r="AT88" s="75"/>
    </row>
    <row r="89">
      <c r="A89" s="234" t="s">
        <v>5075</v>
      </c>
      <c r="B89" s="112" t="s">
        <v>5076</v>
      </c>
      <c r="C89" s="111" t="s">
        <v>5077</v>
      </c>
      <c r="D89" s="72" t="s">
        <v>5078</v>
      </c>
      <c r="E89" s="234" t="s">
        <v>5075</v>
      </c>
      <c r="F89" s="112" t="s">
        <v>5079</v>
      </c>
      <c r="G89" s="111" t="s">
        <v>5080</v>
      </c>
      <c r="H89" s="72" t="s">
        <v>5081</v>
      </c>
      <c r="I89" s="234" t="s">
        <v>5075</v>
      </c>
      <c r="J89" s="112" t="s">
        <v>5082</v>
      </c>
      <c r="K89" s="111" t="s">
        <v>5083</v>
      </c>
      <c r="L89" s="72" t="s">
        <v>5084</v>
      </c>
      <c r="M89" s="234" t="s">
        <v>5075</v>
      </c>
      <c r="N89" s="112" t="s">
        <v>5085</v>
      </c>
      <c r="O89" s="111" t="s">
        <v>5086</v>
      </c>
      <c r="P89" s="72" t="s">
        <v>5087</v>
      </c>
      <c r="Q89" s="234" t="s">
        <v>5075</v>
      </c>
      <c r="R89" s="112" t="s">
        <v>5088</v>
      </c>
      <c r="S89" s="111" t="s">
        <v>5089</v>
      </c>
      <c r="T89" s="75" t="str">
        <f>IFERROR(__xludf.DUMMYFUNCTION("GOOGLETRANSLATE(D89,""zh-tw"",""es-MX"")"),"Obtén al azar konpeito (dulce japonés) azul, verde o rosa.
«Cuanto mejor sea tu relación con el tendero, menor será el precio».")</f>
        <v>Obtén al azar konpeito (dulce japonés) azul, verde o rosa.
«Cuanto mejor sea tu relación con el tendero, menor será el precio».</v>
      </c>
      <c r="U89" s="234" t="s">
        <v>5075</v>
      </c>
      <c r="V89" s="125" t="str">
        <f>IFERROR(__xludf.DUMMYFUNCTION("GOOGLETRANSLATE(B89,""zh-tw"",""KO"")"),"미스터리 쇼핑 - 1")</f>
        <v>미스터리 쇼핑 - 1</v>
      </c>
      <c r="W89" s="113" t="str">
        <f>IFERROR(__xludf.DUMMYFUNCTION("GOOGLETRANSLATE(C89,""zh-tw"",""KO"")"),"미스터리 샵의 가챠 시스템에서는 5,000엔을 사용하거나 특정 아이템을 사용할 수 있습니다.")</f>
        <v>미스터리 샵의 가챠 시스템에서는 5,000엔을 사용하거나 특정 아이템을 사용할 수 있습니다.</v>
      </c>
      <c r="X89" s="75" t="str">
        <f>IFERROR(__xludf.DUMMYFUNCTION("GOOGLETRANSLATE(D89,""zh-tw"",""KO"")"),"파란색,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89" s="234" t="s">
        <v>5075</v>
      </c>
      <c r="Z89" s="280" t="s">
        <v>5090</v>
      </c>
      <c r="AA89" s="236" t="s">
        <v>5091</v>
      </c>
      <c r="AB89" s="65" t="s">
        <v>5092</v>
      </c>
      <c r="AC89" s="234" t="s">
        <v>5075</v>
      </c>
      <c r="AD89" s="112" t="s">
        <v>5093</v>
      </c>
      <c r="AE89" s="237" t="s">
        <v>5094</v>
      </c>
      <c r="AF89" s="135" t="s">
        <v>5095</v>
      </c>
      <c r="AG89" s="234" t="s">
        <v>5075</v>
      </c>
      <c r="AH89" s="238" t="s">
        <v>5096</v>
      </c>
      <c r="AI89" s="119" t="s">
        <v>5097</v>
      </c>
      <c r="AJ89" s="120" t="s">
        <v>5098</v>
      </c>
      <c r="AK89" s="234" t="s">
        <v>5075</v>
      </c>
      <c r="AL89" s="125" t="s">
        <v>5099</v>
      </c>
      <c r="AM89" s="113" t="s">
        <v>5100</v>
      </c>
      <c r="AN89" s="75" t="s">
        <v>5101</v>
      </c>
      <c r="AO89" s="234" t="s">
        <v>5075</v>
      </c>
      <c r="AP89" s="108" t="s">
        <v>5102</v>
      </c>
      <c r="AQ89" s="113" t="s">
        <v>5103</v>
      </c>
      <c r="AR89" s="75" t="s">
        <v>5104</v>
      </c>
      <c r="AS89" s="75"/>
      <c r="AT89" s="75"/>
    </row>
    <row r="90">
      <c r="A90" s="234" t="s">
        <v>5105</v>
      </c>
      <c r="B90" s="112" t="s">
        <v>5106</v>
      </c>
      <c r="C90" s="111" t="s">
        <v>5107</v>
      </c>
      <c r="D90" s="72" t="s">
        <v>5108</v>
      </c>
      <c r="E90" s="234" t="s">
        <v>5105</v>
      </c>
      <c r="F90" s="112" t="s">
        <v>5109</v>
      </c>
      <c r="G90" s="111" t="s">
        <v>5110</v>
      </c>
      <c r="H90" s="72" t="s">
        <v>5111</v>
      </c>
      <c r="I90" s="234" t="s">
        <v>5105</v>
      </c>
      <c r="J90" s="112" t="s">
        <v>5112</v>
      </c>
      <c r="K90" s="111" t="s">
        <v>5113</v>
      </c>
      <c r="L90" s="72" t="s">
        <v>5114</v>
      </c>
      <c r="M90" s="234" t="s">
        <v>5105</v>
      </c>
      <c r="N90" s="112" t="s">
        <v>5106</v>
      </c>
      <c r="O90" s="111" t="s">
        <v>5115</v>
      </c>
      <c r="P90" s="72" t="s">
        <v>5116</v>
      </c>
      <c r="Q90" s="234" t="s">
        <v>5105</v>
      </c>
      <c r="R90" s="112" t="s">
        <v>5117</v>
      </c>
      <c r="S90" s="113" t="str">
        <f>IFERROR(__xludf.DUMMYFUNCTION("GOOGLETRANSLATE(C90,""zh-tw"",""es-MX"")"),"Habla con el tendero de la Tienda Misteriosa y dale un ""Salmón"".")</f>
        <v>Habla con el tendero de la Tienda Misteriosa y dale un "Salmón".</v>
      </c>
      <c r="T90" s="75" t="str">
        <f>IFERROR(__xludf.DUMMYFUNCTION("GOOGLETRANSLATE(D90,""zh-tw"",""es-MX"")"),"Precio de la máquina expendedora de dulces rebajado en $50
*El precio mínimo de la máquina expendedora de dulces es de $500")</f>
        <v>Precio de la máquina expendedora de dulces rebajado en $50
*El precio mínimo de la máquina expendedora de dulces es de $500</v>
      </c>
      <c r="U90" s="234" t="s">
        <v>5105</v>
      </c>
      <c r="V90" s="125" t="str">
        <f>IFERROR(__xludf.DUMMYFUNCTION("GOOGLETRANSLATE(B90,""zh-tw"",""KO"")"),"미스터리 쇼핑 - 2")</f>
        <v>미스터리 쇼핑 - 2</v>
      </c>
      <c r="W90" s="113" t="str">
        <f>IFERROR(__xludf.DUMMYFUNCTION("GOOGLETRANSLATE(C90,""zh-tw"",""KO"")"),"수수께끼의 가게 주인에게 말을 걸고 ""연어""를 주세요.")</f>
        <v>수수께끼의 가게 주인에게 말을 걸고 "연어"를 주세요.</v>
      </c>
      <c r="X90" s="75" t="str">
        <f>IFERROR(__xludf.DUMMYFUNCTION("GOOGLETRANSLATE(D90,""zh-tw"",""KO"")"),"사탕 자판기 가격이 50달러 인하되었습니다.
*사탕 자판기 최저 가격은 500달러입니다.")</f>
        <v>사탕 자판기 가격이 50달러 인하되었습니다.
*사탕 자판기 최저 가격은 500달러입니다.</v>
      </c>
      <c r="Y90" s="234" t="s">
        <v>5105</v>
      </c>
      <c r="Z90" s="280" t="s">
        <v>5118</v>
      </c>
      <c r="AA90" s="236" t="s">
        <v>5119</v>
      </c>
      <c r="AB90" s="65" t="s">
        <v>5120</v>
      </c>
      <c r="AC90" s="234" t="s">
        <v>5105</v>
      </c>
      <c r="AD90" s="112" t="s">
        <v>5121</v>
      </c>
      <c r="AE90" s="237" t="s">
        <v>5122</v>
      </c>
      <c r="AF90" s="135" t="s">
        <v>5123</v>
      </c>
      <c r="AG90" s="234" t="s">
        <v>5105</v>
      </c>
      <c r="AH90" s="238" t="s">
        <v>5124</v>
      </c>
      <c r="AI90" s="119" t="s">
        <v>5125</v>
      </c>
      <c r="AJ90" s="134" t="s">
        <v>5126</v>
      </c>
      <c r="AK90" s="234" t="s">
        <v>5105</v>
      </c>
      <c r="AL90" s="125" t="s">
        <v>5127</v>
      </c>
      <c r="AM90" s="113" t="s">
        <v>5128</v>
      </c>
      <c r="AN90" s="75" t="s">
        <v>5129</v>
      </c>
      <c r="AO90" s="234" t="s">
        <v>5105</v>
      </c>
      <c r="AP90" s="108" t="s">
        <v>5130</v>
      </c>
      <c r="AQ90" s="113" t="s">
        <v>5131</v>
      </c>
      <c r="AR90" s="75" t="s">
        <v>5132</v>
      </c>
      <c r="AS90" s="75"/>
      <c r="AT90" s="75"/>
    </row>
    <row r="91">
      <c r="A91" s="234" t="s">
        <v>5133</v>
      </c>
      <c r="B91" s="112" t="s">
        <v>5134</v>
      </c>
      <c r="C91" s="111" t="s">
        <v>5135</v>
      </c>
      <c r="D91" s="72" t="s">
        <v>5136</v>
      </c>
      <c r="E91" s="234" t="s">
        <v>5133</v>
      </c>
      <c r="F91" s="112" t="s">
        <v>5137</v>
      </c>
      <c r="G91" s="111" t="s">
        <v>5138</v>
      </c>
      <c r="H91" s="72" t="s">
        <v>5139</v>
      </c>
      <c r="I91" s="234" t="s">
        <v>5133</v>
      </c>
      <c r="J91" s="112" t="s">
        <v>5140</v>
      </c>
      <c r="K91" s="111" t="s">
        <v>5141</v>
      </c>
      <c r="L91" s="72" t="s">
        <v>5142</v>
      </c>
      <c r="M91" s="234" t="s">
        <v>5133</v>
      </c>
      <c r="N91" s="112" t="s">
        <v>5134</v>
      </c>
      <c r="O91" s="111" t="s">
        <v>5143</v>
      </c>
      <c r="P91" s="72" t="s">
        <v>5144</v>
      </c>
      <c r="Q91" s="234" t="s">
        <v>5133</v>
      </c>
      <c r="R91" s="112" t="s">
        <v>5145</v>
      </c>
      <c r="S91" s="113" t="str">
        <f>IFERROR(__xludf.DUMMYFUNCTION("GOOGLETRANSLATE(C91,""zh-tw"",""es-MX"")"),"Habla con el tendero de la Tienda Misteriosa y dale ""Salmón Rey"".")</f>
        <v>Habla con el tendero de la Tienda Misteriosa y dale "Salmón Rey".</v>
      </c>
      <c r="T91" s="75" t="str">
        <f>IFERROR(__xludf.DUMMYFUNCTION("GOOGLETRANSLATE(D91,""zh-tw"",""es-MX"")"),"Precio de la máquina expendedora de dulces rebajado en $500
Recibe: Pudín de sushi
*El precio mínimo de la máquina expendedora de dulces es de $500")</f>
        <v>Precio de la máquina expendedora de dulces rebajado en $500
Recibe: Pudín de sushi
*El precio mínimo de la máquina expendedora de dulces es de $500</v>
      </c>
      <c r="U91" s="234" t="s">
        <v>5133</v>
      </c>
      <c r="V91" s="125" t="str">
        <f>IFERROR(__xludf.DUMMYFUNCTION("GOOGLETRANSLATE(B91,""zh-tw"",""KO"")"),"미스터리 쇼핑 - 3")</f>
        <v>미스터리 쇼핑 - 3</v>
      </c>
      <c r="W91" s="113" t="str">
        <f>IFERROR(__xludf.DUMMYFUNCTION("GOOGLETRANSLATE(C91,""zh-tw"",""KO"")"),"신비의 상점 주인에게 말을 걸고 ""킹 연어""를 주세요.")</f>
        <v>신비의 상점 주인에게 말을 걸고 "킹 연어"를 주세요.</v>
      </c>
      <c r="X91" s="75" t="str">
        <f>IFERROR(__xludf.DUMMYFUNCTION("GOOGLETRANSLATE(D91,""zh-tw"",""KO"")"),"자판기 상품 최저가 500달러 인하
상품: 스시 푸딩
*자판기 상품 최저가는 500달러입니다")</f>
        <v>자판기 상품 최저가 500달러 인하
상품: 스시 푸딩
*자판기 상품 최저가는 500달러입니다</v>
      </c>
      <c r="Y91" s="234" t="s">
        <v>5133</v>
      </c>
      <c r="Z91" s="280" t="s">
        <v>5146</v>
      </c>
      <c r="AA91" s="236" t="s">
        <v>5147</v>
      </c>
      <c r="AB91" s="65" t="s">
        <v>5148</v>
      </c>
      <c r="AC91" s="234" t="s">
        <v>5133</v>
      </c>
      <c r="AD91" s="112" t="s">
        <v>5149</v>
      </c>
      <c r="AE91" s="237" t="s">
        <v>5150</v>
      </c>
      <c r="AF91" s="135" t="s">
        <v>5151</v>
      </c>
      <c r="AG91" s="234" t="s">
        <v>5133</v>
      </c>
      <c r="AH91" s="238" t="s">
        <v>5152</v>
      </c>
      <c r="AI91" s="119" t="s">
        <v>5153</v>
      </c>
      <c r="AJ91" s="120" t="s">
        <v>5154</v>
      </c>
      <c r="AK91" s="234" t="s">
        <v>5133</v>
      </c>
      <c r="AL91" s="125" t="s">
        <v>5155</v>
      </c>
      <c r="AM91" s="113" t="s">
        <v>5156</v>
      </c>
      <c r="AN91" s="75" t="s">
        <v>5157</v>
      </c>
      <c r="AO91" s="234" t="s">
        <v>5133</v>
      </c>
      <c r="AP91" s="108" t="s">
        <v>5158</v>
      </c>
      <c r="AQ91" s="113" t="s">
        <v>5159</v>
      </c>
      <c r="AR91" s="75" t="s">
        <v>5160</v>
      </c>
      <c r="AS91" s="75"/>
      <c r="AT91" s="75"/>
    </row>
    <row r="92">
      <c r="A92" s="234" t="s">
        <v>5161</v>
      </c>
      <c r="B92" s="112" t="s">
        <v>5162</v>
      </c>
      <c r="C92" s="111" t="s">
        <v>5163</v>
      </c>
      <c r="D92" s="72" t="s">
        <v>5164</v>
      </c>
      <c r="E92" s="234" t="s">
        <v>5161</v>
      </c>
      <c r="F92" s="112" t="s">
        <v>5165</v>
      </c>
      <c r="G92" s="111" t="s">
        <v>5166</v>
      </c>
      <c r="H92" s="72" t="s">
        <v>5167</v>
      </c>
      <c r="I92" s="234" t="s">
        <v>5161</v>
      </c>
      <c r="J92" s="112" t="s">
        <v>5168</v>
      </c>
      <c r="K92" s="111" t="s">
        <v>5169</v>
      </c>
      <c r="L92" s="72" t="s">
        <v>5170</v>
      </c>
      <c r="M92" s="234" t="s">
        <v>5161</v>
      </c>
      <c r="N92" s="112" t="s">
        <v>5162</v>
      </c>
      <c r="O92" s="111" t="s">
        <v>5171</v>
      </c>
      <c r="P92" s="72" t="s">
        <v>5172</v>
      </c>
      <c r="Q92" s="234" t="s">
        <v>5161</v>
      </c>
      <c r="R92" s="112" t="s">
        <v>5173</v>
      </c>
      <c r="S92" s="113" t="str">
        <f>IFERROR(__xludf.DUMMYFUNCTION("GOOGLETRANSLATE(C92,""zh-tw"",""es-MX"")"),"Habla con el tendero de la Tienda Misteriosa y ""no le des"" el salmón.")</f>
        <v>Habla con el tendero de la Tienda Misteriosa y "no le des" el salmón.</v>
      </c>
      <c r="T92" s="75" t="str">
        <f>IFERROR(__xludf.DUMMYFUNCTION("GOOGLETRANSLATE(D92,""zh-tw"",""es-MX"")"),"Estado: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2" s="234" t="s">
        <v>5161</v>
      </c>
      <c r="V92" s="125" t="str">
        <f>IFERROR(__xludf.DUMMYFUNCTION("GOOGLETRANSLATE(B92,""zh-tw"",""KO"")"),"미스터리 쇼핑 - 4")</f>
        <v>미스터리 쇼핑 - 4</v>
      </c>
      <c r="W92" s="113" t="str">
        <f>IFERROR(__xludf.DUMMYFUNCTION("GOOGLETRANSLATE(C92,""zh-tw"",""KO"")"),"수수께끼의 가게 주인에게 말을 걸되 연어를 ""주지 마세요"".")</f>
        <v>수수께끼의 가게 주인에게 말을 걸되 연어를 "주지 마세요".</v>
      </c>
      <c r="X92" s="75" t="str">
        <f>IFERROR(__xludf.DUMMYFUNCTION("GOOGLETRANSLATE(D92,""zh-tw"",""KO"")"),"상태: 저주받음
오빠의 성기가 빛나고 있다.
현재, 그와 여동생이 나란히 앉아 함께 목욕할 때만 특별한 현상이 발생한다.")</f>
        <v>상태: 저주받음
오빠의 성기가 빛나고 있다.
현재, 그와 여동생이 나란히 앉아 함께 목욕할 때만 특별한 현상이 발생한다.</v>
      </c>
      <c r="Y92" s="234" t="s">
        <v>5161</v>
      </c>
      <c r="Z92" s="280" t="s">
        <v>5174</v>
      </c>
      <c r="AA92" s="236" t="s">
        <v>5175</v>
      </c>
      <c r="AB92" s="65" t="s">
        <v>5176</v>
      </c>
      <c r="AC92" s="234" t="s">
        <v>5161</v>
      </c>
      <c r="AD92" s="112" t="s">
        <v>5177</v>
      </c>
      <c r="AE92" s="237" t="s">
        <v>5178</v>
      </c>
      <c r="AF92" s="135" t="s">
        <v>5179</v>
      </c>
      <c r="AG92" s="234" t="s">
        <v>5161</v>
      </c>
      <c r="AH92" s="238" t="s">
        <v>5180</v>
      </c>
      <c r="AI92" s="119" t="s">
        <v>5181</v>
      </c>
      <c r="AJ92" s="120" t="s">
        <v>5182</v>
      </c>
      <c r="AK92" s="234" t="s">
        <v>5161</v>
      </c>
      <c r="AL92" s="125" t="s">
        <v>5183</v>
      </c>
      <c r="AM92" s="113" t="s">
        <v>5169</v>
      </c>
      <c r="AN92" s="75" t="s">
        <v>5170</v>
      </c>
      <c r="AO92" s="234" t="s">
        <v>5161</v>
      </c>
      <c r="AP92" s="108" t="s">
        <v>5184</v>
      </c>
      <c r="AQ92" s="113" t="s">
        <v>5185</v>
      </c>
      <c r="AR92" s="75" t="s">
        <v>5186</v>
      </c>
      <c r="AS92" s="75"/>
      <c r="AT92" s="75"/>
    </row>
    <row r="93">
      <c r="A93" s="234" t="s">
        <v>5187</v>
      </c>
      <c r="B93" s="112" t="s">
        <v>5188</v>
      </c>
      <c r="C93" s="111" t="s">
        <v>5189</v>
      </c>
      <c r="D93" s="72" t="s">
        <v>5190</v>
      </c>
      <c r="E93" s="234" t="s">
        <v>5187</v>
      </c>
      <c r="F93" s="112" t="s">
        <v>5191</v>
      </c>
      <c r="G93" s="111" t="s">
        <v>5192</v>
      </c>
      <c r="H93" s="72" t="s">
        <v>5193</v>
      </c>
      <c r="I93" s="234" t="s">
        <v>5187</v>
      </c>
      <c r="J93" s="112" t="s">
        <v>5194</v>
      </c>
      <c r="K93" s="111" t="s">
        <v>5195</v>
      </c>
      <c r="L93" s="72" t="s">
        <v>5196</v>
      </c>
      <c r="M93" s="234" t="s">
        <v>5187</v>
      </c>
      <c r="N93" s="112" t="s">
        <v>5188</v>
      </c>
      <c r="O93" s="111" t="s">
        <v>5197</v>
      </c>
      <c r="P93" s="72" t="s">
        <v>5198</v>
      </c>
      <c r="Q93" s="234" t="s">
        <v>5187</v>
      </c>
      <c r="R93" s="112" t="s">
        <v>5199</v>
      </c>
      <c r="S93" s="113" t="str">
        <f>IFERROR(__xludf.DUMMYFUNCTION("GOOGLETRANSLATE(C93,""zh-tw"",""es-MX"")"),"Como continuación del punto anterior, dárselo a un salmón rey puede eliminar la maldición.")</f>
        <v>Como continuación del punto anterior, dárselo a un salmón rey puede eliminar la maldición.</v>
      </c>
      <c r="T93" s="75" t="str">
        <f>IFERROR(__xludf.DUMMYFUNCTION("GOOGLETRANSLATE(D93,""zh-tw"",""es-MX"")"),"Eliminar la maldición")</f>
        <v>Eliminar la maldición</v>
      </c>
      <c r="U93" s="234" t="s">
        <v>5187</v>
      </c>
      <c r="V93" s="125" t="str">
        <f>IFERROR(__xludf.DUMMYFUNCTION("GOOGLETRANSLATE(B93,""zh-tw"",""KO"")"),"미스터리 쇼핑 - 5")</f>
        <v>미스터리 쇼핑 - 5</v>
      </c>
      <c r="W93" s="113" t="str">
        <f>IFERROR(__xludf.DUMMYFUNCTION("GOOGLETRANSLATE(C93,""zh-tw"",""KO"")"),"앞서 언급한 내용에 이어서, 왕연어에게 주면 저주가 풀립니다.")</f>
        <v>앞서 언급한 내용에 이어서, 왕연어에게 주면 저주가 풀립니다.</v>
      </c>
      <c r="X93" s="75" t="str">
        <f>IFERROR(__xludf.DUMMYFUNCTION("GOOGLETRANSLATE(D93,""zh-tw"",""KO"")"),"저주를 풀어주세요")</f>
        <v>저주를 풀어주세요</v>
      </c>
      <c r="Y93" s="234" t="s">
        <v>5187</v>
      </c>
      <c r="Z93" s="280" t="s">
        <v>5200</v>
      </c>
      <c r="AA93" s="236" t="s">
        <v>5201</v>
      </c>
      <c r="AB93" s="65" t="s">
        <v>5202</v>
      </c>
      <c r="AC93" s="234" t="s">
        <v>5187</v>
      </c>
      <c r="AD93" s="112" t="s">
        <v>5203</v>
      </c>
      <c r="AE93" s="237" t="s">
        <v>5204</v>
      </c>
      <c r="AF93" s="135" t="s">
        <v>5205</v>
      </c>
      <c r="AG93" s="234" t="s">
        <v>5187</v>
      </c>
      <c r="AH93" s="238" t="s">
        <v>5206</v>
      </c>
      <c r="AI93" s="119" t="s">
        <v>5207</v>
      </c>
      <c r="AJ93" s="120" t="s">
        <v>5208</v>
      </c>
      <c r="AK93" s="234" t="s">
        <v>5187</v>
      </c>
      <c r="AL93" s="125" t="s">
        <v>5209</v>
      </c>
      <c r="AM93" s="113" t="s">
        <v>5210</v>
      </c>
      <c r="AN93" s="75" t="s">
        <v>5211</v>
      </c>
      <c r="AO93" s="234" t="s">
        <v>5187</v>
      </c>
      <c r="AP93" s="108" t="s">
        <v>5212</v>
      </c>
      <c r="AQ93" s="113" t="s">
        <v>5213</v>
      </c>
      <c r="AR93" s="75" t="s">
        <v>5214</v>
      </c>
      <c r="AS93" s="75"/>
      <c r="AT93" s="75"/>
    </row>
    <row r="94">
      <c r="A94" s="234" t="s">
        <v>5215</v>
      </c>
      <c r="B94" s="112" t="s">
        <v>5216</v>
      </c>
      <c r="C94" s="111" t="s">
        <v>5217</v>
      </c>
      <c r="D94" s="72" t="s">
        <v>5218</v>
      </c>
      <c r="E94" s="234" t="s">
        <v>5215</v>
      </c>
      <c r="F94" s="112" t="s">
        <v>5219</v>
      </c>
      <c r="G94" s="111" t="s">
        <v>5220</v>
      </c>
      <c r="H94" s="72" t="s">
        <v>5221</v>
      </c>
      <c r="I94" s="234" t="s">
        <v>5215</v>
      </c>
      <c r="J94" s="112" t="s">
        <v>5222</v>
      </c>
      <c r="K94" s="111" t="s">
        <v>5223</v>
      </c>
      <c r="L94" s="72" t="s">
        <v>5224</v>
      </c>
      <c r="M94" s="234" t="s">
        <v>5215</v>
      </c>
      <c r="N94" s="112" t="s">
        <v>5225</v>
      </c>
      <c r="O94" s="111" t="s">
        <v>5226</v>
      </c>
      <c r="P94" s="72" t="s">
        <v>5227</v>
      </c>
      <c r="Q94" s="234" t="s">
        <v>5215</v>
      </c>
      <c r="R94" s="125" t="s">
        <v>5228</v>
      </c>
      <c r="S94" s="113" t="str">
        <f>IFERROR(__xludf.DUMMYFUNCTION("GOOGLETRANSLATE(C94,""zh-tw"",""es-MX"")"),"Tras completar el diálogo y al volver a encontrarte con la tienda, es posible que encuentres bollos de agua entre los artículos.")</f>
        <v>Tras completar el diálogo y al volver a encontrarte con la tienda, es posible que encuentres bollos de agua entre los artículos.</v>
      </c>
      <c r="T94" s="75" t="str">
        <f>IFERROR(__xludf.DUMMYFUNCTION("GOOGLETRANSLATE(D94,""zh-tw"",""es-MX"")"),"Compra el artículo ""Súper Sensitive Soft and Chewy Water Bun"".")</f>
        <v>Compra el artículo "Súper Sensitive Soft and Chewy Water Bun".</v>
      </c>
      <c r="U94" s="234" t="s">
        <v>5215</v>
      </c>
      <c r="V94" s="125" t="str">
        <f>IFERROR(__xludf.DUMMYFUNCTION("GOOGLETRANSLATE(B94,""zh-tw"",""KO"")"),"미스터리 쇼핑 - 6")</f>
        <v>미스터리 쇼핑 - 6</v>
      </c>
      <c r="W94" s="113" t="str">
        <f>IFERROR(__xludf.DUMMYFUNCTION("GOOGLETRANSLATE(C94,""zh-tw"",""KO"")"),"대화를 마친 후, 상점을 두 번째로 마주쳤을 때 물빵을 아이템으로 발견할 수 있습니다.")</f>
        <v>대화를 마친 후, 상점을 두 번째로 마주쳤을 때 물빵을 아이템으로 발견할 수 있습니다.</v>
      </c>
      <c r="X94" s="75" t="str">
        <f>IFERROR(__xludf.DUMMYFUNCTION("GOOGLETRANSLATE(D94,""zh-tw"",""KO"")"),"구매하시면 ""매우 부드럽고 쫄깃한 워터 번""을 드립니다.")</f>
        <v>구매하시면 "매우 부드럽고 쫄깃한 워터 번"을 드립니다.</v>
      </c>
      <c r="Y94" s="234" t="s">
        <v>5215</v>
      </c>
      <c r="Z94" s="280" t="s">
        <v>5229</v>
      </c>
      <c r="AA94" s="236" t="s">
        <v>5230</v>
      </c>
      <c r="AB94" s="65" t="s">
        <v>5231</v>
      </c>
      <c r="AC94" s="234" t="s">
        <v>5215</v>
      </c>
      <c r="AD94" s="112" t="s">
        <v>5232</v>
      </c>
      <c r="AE94" s="237" t="s">
        <v>5233</v>
      </c>
      <c r="AF94" s="135" t="s">
        <v>5234</v>
      </c>
      <c r="AG94" s="234" t="s">
        <v>5215</v>
      </c>
      <c r="AH94" s="238" t="s">
        <v>5235</v>
      </c>
      <c r="AI94" s="119" t="s">
        <v>5236</v>
      </c>
      <c r="AJ94" s="120" t="s">
        <v>5237</v>
      </c>
      <c r="AK94" s="234" t="s">
        <v>5215</v>
      </c>
      <c r="AL94" s="125" t="s">
        <v>5238</v>
      </c>
      <c r="AM94" s="113" t="s">
        <v>5239</v>
      </c>
      <c r="AN94" s="75" t="s">
        <v>5240</v>
      </c>
      <c r="AO94" s="234" t="s">
        <v>5215</v>
      </c>
      <c r="AP94" s="108" t="s">
        <v>5241</v>
      </c>
      <c r="AQ94" s="113" t="s">
        <v>5242</v>
      </c>
      <c r="AR94" s="75" t="s">
        <v>5243</v>
      </c>
      <c r="AS94" s="75"/>
      <c r="AT94" s="75"/>
    </row>
    <row r="95">
      <c r="A95" s="234" t="s">
        <v>5244</v>
      </c>
      <c r="B95" s="112" t="s">
        <v>5245</v>
      </c>
      <c r="C95" s="111" t="s">
        <v>5246</v>
      </c>
      <c r="D95" s="72" t="s">
        <v>5247</v>
      </c>
      <c r="E95" s="234" t="s">
        <v>5244</v>
      </c>
      <c r="F95" s="112" t="s">
        <v>5248</v>
      </c>
      <c r="G95" s="111" t="s">
        <v>5249</v>
      </c>
      <c r="H95" s="72" t="s">
        <v>5250</v>
      </c>
      <c r="I95" s="234" t="s">
        <v>5244</v>
      </c>
      <c r="J95" s="112" t="s">
        <v>5251</v>
      </c>
      <c r="K95" s="111" t="s">
        <v>5252</v>
      </c>
      <c r="L95" s="72" t="s">
        <v>5253</v>
      </c>
      <c r="M95" s="234" t="s">
        <v>5244</v>
      </c>
      <c r="N95" s="112" t="s">
        <v>5245</v>
      </c>
      <c r="O95" s="111" t="s">
        <v>5254</v>
      </c>
      <c r="P95" s="72" t="s">
        <v>5255</v>
      </c>
      <c r="Q95" s="234" t="s">
        <v>5244</v>
      </c>
      <c r="R95" s="125" t="s">
        <v>5256</v>
      </c>
      <c r="S95" s="113" t="str">
        <f>IFERROR(__xludf.DUMMYFUNCTION("GOOGLETRANSLATE(C95,""zh-tw"",""es-MX"")"),"Tras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5" s="75" t="str">
        <f>IFERROR(__xludf.DUMMYFUNCTION("GOOGLETRANSLATE(D95,""zh-tw"",""es-MX"")"),"Obtén el artículo ""Líquido de médula roja""")</f>
        <v>Obtén el artículo "Líquido de médula roja"</v>
      </c>
      <c r="U95" s="234" t="s">
        <v>5244</v>
      </c>
      <c r="V95" s="125" t="str">
        <f>IFERROR(__xludf.DUMMYFUNCTION("GOOGLETRANSLATE(B95,""zh-tw"",""KO"")"),"천상의 돌 조각 1")</f>
        <v>천상의 돌 조각 1</v>
      </c>
      <c r="W95" s="113" t="str">
        <f>IFERROR(__xludf.DUMMYFUNCTION("GOOGLETRANSLATE(C95,""zh-tw"",""KO"")"),"유적 3층의 보스를 물리치고 아이템을 획득한 후, ""스타 게이트""를 사용하여 집으로 돌아가면 이벤트가 발생합니다.")</f>
        <v>유적 3층의 보스를 물리치고 아이템을 획득한 후, "스타 게이트"를 사용하여 집으로 돌아가면 이벤트가 발생합니다.</v>
      </c>
      <c r="X95" s="75" t="str">
        <f>IFERROR(__xludf.DUMMYFUNCTION("GOOGLETRANSLATE(D95,""zh-tw"",""KO"")"),"""적골수액"" 아이템을 획득하세요.")</f>
        <v>"적골수액" 아이템을 획득하세요.</v>
      </c>
      <c r="Y95" s="234" t="s">
        <v>5244</v>
      </c>
      <c r="Z95" s="136" t="s">
        <v>5257</v>
      </c>
      <c r="AA95" s="236" t="s">
        <v>5258</v>
      </c>
      <c r="AB95" s="65" t="s">
        <v>5259</v>
      </c>
      <c r="AC95" s="234" t="s">
        <v>5244</v>
      </c>
      <c r="AD95" s="112" t="s">
        <v>5260</v>
      </c>
      <c r="AE95" s="237" t="s">
        <v>5261</v>
      </c>
      <c r="AF95" s="135" t="s">
        <v>5262</v>
      </c>
      <c r="AG95" s="234" t="s">
        <v>5244</v>
      </c>
      <c r="AH95" s="238" t="s">
        <v>5263</v>
      </c>
      <c r="AI95" s="119" t="s">
        <v>5264</v>
      </c>
      <c r="AJ95" s="120" t="s">
        <v>5265</v>
      </c>
      <c r="AK95" s="234" t="s">
        <v>5244</v>
      </c>
      <c r="AL95" s="125" t="s">
        <v>5266</v>
      </c>
      <c r="AM95" s="113" t="s">
        <v>5267</v>
      </c>
      <c r="AN95" s="75" t="s">
        <v>5268</v>
      </c>
      <c r="AO95" s="234" t="s">
        <v>5244</v>
      </c>
      <c r="AP95" s="108" t="s">
        <v>5269</v>
      </c>
      <c r="AQ95" s="113" t="s">
        <v>5270</v>
      </c>
      <c r="AR95" s="75" t="s">
        <v>5271</v>
      </c>
      <c r="AS95" s="75"/>
      <c r="AT95" s="75"/>
    </row>
    <row r="96">
      <c r="A96" s="234" t="s">
        <v>5272</v>
      </c>
      <c r="B96" s="112" t="s">
        <v>5273</v>
      </c>
      <c r="C96" s="111" t="s">
        <v>5274</v>
      </c>
      <c r="D96" s="72" t="s">
        <v>5275</v>
      </c>
      <c r="E96" s="234" t="s">
        <v>5272</v>
      </c>
      <c r="F96" s="112" t="s">
        <v>5276</v>
      </c>
      <c r="G96" s="111" t="s">
        <v>5277</v>
      </c>
      <c r="H96" s="72" t="s">
        <v>5278</v>
      </c>
      <c r="I96" s="234" t="s">
        <v>5272</v>
      </c>
      <c r="J96" s="112" t="s">
        <v>5279</v>
      </c>
      <c r="K96" s="111" t="s">
        <v>5280</v>
      </c>
      <c r="L96" s="72" t="s">
        <v>5281</v>
      </c>
      <c r="M96" s="234" t="s">
        <v>5272</v>
      </c>
      <c r="N96" s="112" t="s">
        <v>5273</v>
      </c>
      <c r="O96" s="111" t="s">
        <v>5282</v>
      </c>
      <c r="P96" s="72" t="s">
        <v>5283</v>
      </c>
      <c r="Q96" s="234" t="s">
        <v>5272</v>
      </c>
      <c r="R96" s="125" t="s">
        <v>5284</v>
      </c>
      <c r="S96" s="113" t="str">
        <f>IFERROR(__xludf.DUMMYFUNCTION("GOOGLETRANSLATE(C96,""zh-tw"",""es-MX"")"),"El hermano mayor puede beber este objeto y obtener el efecto de estado.")</f>
        <v>El hermano mayor puede beber este objeto y obtener el efecto de estado.</v>
      </c>
      <c r="T96" s="75" t="str">
        <f>IFERROR(__xludf.DUMMYFUNCTION("GOOGLETRANSLATE(D96,""zh-tw"",""es-MX"")"),"Obtienes estatus. *Las historias varían según si la bebida se administra antes o después de curar a la hermana.")</f>
        <v>Obtienes estatus. *Las historias varían según si la bebida se administra antes o después de curar a la hermana.</v>
      </c>
      <c r="U96" s="234" t="s">
        <v>5272</v>
      </c>
      <c r="V96" s="125" t="str">
        <f>IFERROR(__xludf.DUMMYFUNCTION("GOOGLETRANSLATE(B96,""zh-tw"",""KO"")"),"천상의 돌 조각 2")</f>
        <v>천상의 돌 조각 2</v>
      </c>
      <c r="W96" s="113" t="str">
        <f>IFERROR(__xludf.DUMMYFUNCTION("GOOGLETRANSLATE(C96,""zh-tw"",""KO"")"),"형은 이 아이템을 마시면 상태 효과를 얻을 수 있습니다.")</f>
        <v>형은 이 아이템을 마시면 상태 효과를 얻을 수 있습니다.</v>
      </c>
      <c r="X96" s="75" t="str">
        <f>IFERROR(__xludf.DUMMYFUNCTION("GOOGLETRANSLATE(D96,""zh-tw"",""KO"")"),"지위 상승
*여동생을 치료하기 전 또는 후에 음료를 주는지에 따라 스토리라인이 달라집니다.")</f>
        <v>지위 상승
*여동생을 치료하기 전 또는 후에 음료를 주는지에 따라 스토리라인이 달라집니다.</v>
      </c>
      <c r="Y96" s="234" t="s">
        <v>5272</v>
      </c>
      <c r="Z96" s="136" t="s">
        <v>5285</v>
      </c>
      <c r="AA96" s="236" t="s">
        <v>5286</v>
      </c>
      <c r="AB96" s="65" t="s">
        <v>5287</v>
      </c>
      <c r="AC96" s="234" t="s">
        <v>5272</v>
      </c>
      <c r="AD96" s="112" t="s">
        <v>5288</v>
      </c>
      <c r="AE96" s="237" t="s">
        <v>5289</v>
      </c>
      <c r="AF96" s="135" t="s">
        <v>5290</v>
      </c>
      <c r="AG96" s="234" t="s">
        <v>5272</v>
      </c>
      <c r="AH96" s="238" t="s">
        <v>5291</v>
      </c>
      <c r="AI96" s="119" t="s">
        <v>5292</v>
      </c>
      <c r="AJ96" s="120" t="s">
        <v>5293</v>
      </c>
      <c r="AK96" s="234" t="s">
        <v>5272</v>
      </c>
      <c r="AL96" s="125" t="s">
        <v>5294</v>
      </c>
      <c r="AM96" s="113" t="s">
        <v>5295</v>
      </c>
      <c r="AN96" s="75" t="s">
        <v>5296</v>
      </c>
      <c r="AO96" s="234" t="s">
        <v>5272</v>
      </c>
      <c r="AP96" s="108" t="s">
        <v>5297</v>
      </c>
      <c r="AQ96" s="113" t="s">
        <v>5298</v>
      </c>
      <c r="AR96" s="75" t="s">
        <v>5299</v>
      </c>
      <c r="AS96" s="75"/>
      <c r="AT96" s="75"/>
    </row>
    <row r="97">
      <c r="A97" s="234" t="s">
        <v>5300</v>
      </c>
      <c r="B97" s="108" t="s">
        <v>5301</v>
      </c>
      <c r="C97" s="109" t="s">
        <v>5302</v>
      </c>
      <c r="D97" s="110" t="s">
        <v>5303</v>
      </c>
      <c r="E97" s="234" t="s">
        <v>5300</v>
      </c>
      <c r="F97" s="108" t="s">
        <v>5304</v>
      </c>
      <c r="G97" s="109" t="s">
        <v>5305</v>
      </c>
      <c r="H97" s="110" t="s">
        <v>5306</v>
      </c>
      <c r="I97" s="234" t="s">
        <v>5300</v>
      </c>
      <c r="J97" s="108" t="s">
        <v>5307</v>
      </c>
      <c r="K97" s="109" t="s">
        <v>5308</v>
      </c>
      <c r="L97" s="110" t="s">
        <v>5309</v>
      </c>
      <c r="M97" s="234" t="s">
        <v>5300</v>
      </c>
      <c r="N97" s="108" t="s">
        <v>5310</v>
      </c>
      <c r="O97" s="111" t="s">
        <v>5311</v>
      </c>
      <c r="P97" s="75" t="s">
        <v>5312</v>
      </c>
      <c r="Q97" s="234" t="s">
        <v>5300</v>
      </c>
      <c r="R97" s="125" t="s">
        <v>5313</v>
      </c>
      <c r="S97" s="111" t="s">
        <v>4832</v>
      </c>
      <c r="T97" s="75" t="str">
        <f>IFERROR(__xludf.DUMMYFUNCTION("GOOGLETRANSLATE(D97,""zh-tw"",""es-MX"")"),"Interactúa con el carrito de la chica gato.
¡No tomes los artículos inmediatamente! ¡Hacerlo se considerará robo!")</f>
        <v>Interactúa con el carrito de la chica gato.
¡No tomes los artículos inmediatamente! ¡Hacerlo se considerará robo!</v>
      </c>
      <c r="U97" s="234" t="s">
        <v>5300</v>
      </c>
      <c r="V97" s="125" t="str">
        <f>IFERROR(__xludf.DUMMYFUNCTION("GOOGLETRANSLATE(B97,""zh-tw"",""KO"")"),"샵 트럭-1")</f>
        <v>샵 트럭-1</v>
      </c>
      <c r="W97" s="113" t="str">
        <f>IFERROR(__xludf.DUMMYFUNCTION("GOOGLETRANSLATE(C97,""zh-tw"",""KO"")"),"지도상에서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7" s="75" t="str">
        <f>IFERROR(__xludf.DUMMYFUNCTION("GOOGLETRANSLATE(D97,""zh-tw"",""KO"")"),"고양이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7" s="234" t="s">
        <v>5300</v>
      </c>
      <c r="Z97" s="235" t="s">
        <v>5314</v>
      </c>
      <c r="AA97" s="236" t="s">
        <v>5315</v>
      </c>
      <c r="AB97" s="65" t="s">
        <v>5316</v>
      </c>
      <c r="AC97" s="234" t="s">
        <v>5300</v>
      </c>
      <c r="AD97" s="108" t="s">
        <v>5317</v>
      </c>
      <c r="AE97" s="109" t="s">
        <v>5318</v>
      </c>
      <c r="AF97" s="110" t="s">
        <v>5319</v>
      </c>
      <c r="AG97" s="234" t="s">
        <v>5300</v>
      </c>
      <c r="AH97" s="281" t="s">
        <v>5320</v>
      </c>
      <c r="AI97" s="145" t="s">
        <v>5321</v>
      </c>
      <c r="AJ97" s="146" t="s">
        <v>5322</v>
      </c>
      <c r="AK97" s="234" t="s">
        <v>5300</v>
      </c>
      <c r="AL97" s="125" t="s">
        <v>5323</v>
      </c>
      <c r="AM97" s="109" t="s">
        <v>5324</v>
      </c>
      <c r="AN97" s="110" t="s">
        <v>5325</v>
      </c>
      <c r="AO97" s="234" t="s">
        <v>5300</v>
      </c>
      <c r="AP97" s="112" t="s">
        <v>5326</v>
      </c>
      <c r="AQ97" s="113" t="s">
        <v>5327</v>
      </c>
      <c r="AR97" s="75" t="s">
        <v>5328</v>
      </c>
      <c r="AS97" s="260"/>
      <c r="AT97" s="260"/>
    </row>
    <row r="98" ht="396.0" customHeight="1">
      <c r="A98" s="234" t="s">
        <v>5329</v>
      </c>
      <c r="B98" s="108" t="s">
        <v>5330</v>
      </c>
      <c r="C98" s="109" t="s">
        <v>5331</v>
      </c>
      <c r="D98" s="110" t="s">
        <v>5332</v>
      </c>
      <c r="E98" s="234" t="s">
        <v>5329</v>
      </c>
      <c r="F98" s="108" t="s">
        <v>5333</v>
      </c>
      <c r="G98" s="109" t="s">
        <v>5334</v>
      </c>
      <c r="H98" s="110" t="s">
        <v>5335</v>
      </c>
      <c r="I98" s="234" t="s">
        <v>5329</v>
      </c>
      <c r="J98" s="108" t="s">
        <v>5336</v>
      </c>
      <c r="K98" s="109" t="s">
        <v>5337</v>
      </c>
      <c r="L98" s="72" t="s">
        <v>5338</v>
      </c>
      <c r="M98" s="234" t="s">
        <v>5329</v>
      </c>
      <c r="N98" s="108" t="s">
        <v>5339</v>
      </c>
      <c r="O98" s="113" t="s">
        <v>5340</v>
      </c>
      <c r="P98" s="72" t="s">
        <v>5341</v>
      </c>
      <c r="Q98" s="234" t="s">
        <v>5329</v>
      </c>
      <c r="R98" s="125" t="s">
        <v>5342</v>
      </c>
      <c r="S98" s="111" t="s">
        <v>4832</v>
      </c>
      <c r="T98" s="75" t="str">
        <f>IFERROR(__xludf.DUMMYFUNCTION("GOOGLETRANSLATE(D98,""zh-tw"",""es-MX"")"),"Advertencia: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8" s="234" t="s">
        <v>5329</v>
      </c>
      <c r="V98" s="125" t="str">
        <f>IFERROR(__xludf.DUMMYFUNCTION("GOOGLETRANSLATE(B98,""zh-tw"",""KO"")"),"샵 트럭-2")</f>
        <v>샵 트럭-2</v>
      </c>
      <c r="W98" s="113" t="str">
        <f>IFERROR(__xludf.DUMMYFUNCTION("GOOGLETRANSLATE(C98,""zh-tw"",""KO"")"),"쇼핑 카트에서 물건을 훔치는 행위")</f>
        <v>쇼핑 카트에서 물건을 훔치는 행위</v>
      </c>
      <c r="X98" s="75" t="str">
        <f>IFERROR(__xludf.DUMMYFUNCTION("GOOGLETRANSLATE(D98,""zh-tw"",""KO"")"),"경고: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쓰러지면 아이"&amp;"템을 되찾고 벌금을 내야 합니다.
벌금을 피하려면 일부러 아이템을 떨어뜨릴 수 있지만, 아사바의 적대감은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쓰러지면 아이템을 되찾고 벌금을 내야 합니다.
벌금을 피하려면 일부러 아이템을 떨어뜨릴 수 있지만, 아사바의 적대감은 사라지지 않습니다.
아사바를 쓰러뜨리면 벌금이 부과되지 않습니다.
*벌금에 대한 자세한 내용은 팁을 참조하십시오.</v>
      </c>
      <c r="Y98" s="234" t="s">
        <v>5329</v>
      </c>
      <c r="Z98" s="235" t="s">
        <v>5343</v>
      </c>
      <c r="AA98" s="236" t="s">
        <v>5344</v>
      </c>
      <c r="AB98" s="65" t="s">
        <v>5345</v>
      </c>
      <c r="AC98" s="234" t="s">
        <v>5329</v>
      </c>
      <c r="AD98" s="108" t="s">
        <v>5346</v>
      </c>
      <c r="AE98" s="109" t="s">
        <v>5347</v>
      </c>
      <c r="AF98" s="72" t="str">
        <f>IFERROR(__xludf.DUMMYFUNCTION("GOOGLETRANSLATE(D98,""zh-tw"",""de"")"),"Warnung: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Asaba Sie beim Tragen"&amp;" des Gegenstands zu Boden wirft, wird Ihnen der Gegenstand abgenommen und Sie erhalten eine Strafe.
Sie können den Gegenstand absichtlich fallen lassen, um die Strafe zu vermeiden. Dadurch verschwindet Asabas Aggression jedoch nicht.
Das Besiegen von As"&amp;"aba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Asaba Sie beim Tragen des Gegenstands zu Boden wirft, wird Ihnen der Gegenstand abgenommen und Sie erhalten eine Strafe.
Sie können den Gegenstand absichtlich fallen lassen, um die Strafe zu vermeiden. Dadurch verschwindet Asabas Aggression jedoch nicht.
Das Besiegen von Asaba führt nicht zu einer Strafe.
*Siehe TIPPS für Details zu Strafen.</v>
      </c>
      <c r="AG98" s="234" t="s">
        <v>5329</v>
      </c>
      <c r="AH98" s="281" t="s">
        <v>5348</v>
      </c>
      <c r="AI98" s="145" t="s">
        <v>5349</v>
      </c>
      <c r="AJ98" s="146" t="s">
        <v>5350</v>
      </c>
      <c r="AK98" s="234" t="s">
        <v>5329</v>
      </c>
      <c r="AL98" s="125" t="s">
        <v>5351</v>
      </c>
      <c r="AM98" s="113" t="s">
        <v>5352</v>
      </c>
      <c r="AN98" s="75" t="s">
        <v>5353</v>
      </c>
      <c r="AO98" s="234" t="s">
        <v>5329</v>
      </c>
      <c r="AP98" s="112" t="s">
        <v>5354</v>
      </c>
      <c r="AQ98" s="113" t="s">
        <v>5355</v>
      </c>
      <c r="AR98" s="75" t="s">
        <v>5356</v>
      </c>
      <c r="AS98" s="260"/>
      <c r="AT98" s="260"/>
    </row>
    <row r="99">
      <c r="A99" s="234" t="s">
        <v>5357</v>
      </c>
      <c r="B99" s="112" t="s">
        <v>5358</v>
      </c>
      <c r="C99" s="111" t="s">
        <v>5359</v>
      </c>
      <c r="D99" s="72" t="s">
        <v>5360</v>
      </c>
      <c r="E99" s="234" t="s">
        <v>5357</v>
      </c>
      <c r="F99" s="112" t="s">
        <v>5361</v>
      </c>
      <c r="G99" s="111" t="s">
        <v>5362</v>
      </c>
      <c r="H99" s="72" t="s">
        <v>5363</v>
      </c>
      <c r="I99" s="234" t="s">
        <v>5357</v>
      </c>
      <c r="J99" s="112" t="s">
        <v>5364</v>
      </c>
      <c r="K99" s="111" t="s">
        <v>5365</v>
      </c>
      <c r="L99" s="72" t="s">
        <v>5366</v>
      </c>
      <c r="M99" s="234" t="s">
        <v>5357</v>
      </c>
      <c r="N99" s="112" t="s">
        <v>5367</v>
      </c>
      <c r="O99" s="111" t="s">
        <v>5368</v>
      </c>
      <c r="P99" s="72" t="s">
        <v>5369</v>
      </c>
      <c r="Q99" s="234" t="s">
        <v>5357</v>
      </c>
      <c r="R99" s="125" t="s">
        <v>5370</v>
      </c>
      <c r="S99" s="111" t="s">
        <v>5371</v>
      </c>
      <c r="T99" s="75" t="str">
        <f>IFERROR(__xludf.DUMMYFUNCTION("GOOGLETRANSLATE(D99,""zh-tw"",""es-MX"")"),"Obtención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(Esta función se encuentra en sus primeras etapas y gran parte del contenido aún no está completa"&amp;"mente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(Esta función se encuentra en sus primeras etapas y gran parte del contenido aún no está completamente implementado).</v>
      </c>
      <c r="U99" s="234" t="s">
        <v>5357</v>
      </c>
      <c r="V99" s="125" t="str">
        <f>IFERROR(__xludf.DUMMYFUNCTION("GOOGLETRANSLATE(B99,""zh-tw"",""KO"")"),"샵 트럭-3")</f>
        <v>샵 트럭-3</v>
      </c>
      <c r="W99" s="113" t="str">
        <f>IFERROR(__xludf.DUMMYFUNCTION("GOOGLETRANSLATE(C99,""zh-tw"",""KO"")"),"쇼핑 카트에 고정된 품목 중 하나")</f>
        <v>쇼핑 카트에 고정된 품목 중 하나</v>
      </c>
      <c r="X99" s="75" t="str">
        <f>IFERROR(__xludf.DUMMYFUNCTION("GOOGLETRANSLATE(D99,""zh-tw"",""KO"")"),"획득 아이템 - 마법 사진작가 (카메라)
*효과: 여동생을 촬영하면 재미있는 표정을 지을 수 있습니다.
*야한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f>
        <v>획득 아이템 - 마법 사진작가 (카메라)
*효과: 여동생을 촬영하면 재미있는 표정을 지을 수 있습니다.
*야한 장면 촬영 시에도 여동생이 부끄러워합니다.
*오빠가 저주에 걸렸을 때는 섬뜩한 사진을 더 쉽게 찍을 수 있습니다.
*효과: 심연에서 사용 시 사진 촬영 효과음이 주변 몬스터의 주의를 끌 수 있습니다.
(이 기능은 현재 초기 개발 단계이며, 많은 부분이 아직 완전히 구현되지 않았습니다.)</v>
      </c>
      <c r="Y99" s="234" t="s">
        <v>5357</v>
      </c>
      <c r="Z99" s="235" t="s">
        <v>5372</v>
      </c>
      <c r="AA99" s="236" t="s">
        <v>5373</v>
      </c>
      <c r="AB99" s="65" t="s">
        <v>5374</v>
      </c>
      <c r="AC99" s="234" t="s">
        <v>5357</v>
      </c>
      <c r="AD99" s="136" t="s">
        <v>5375</v>
      </c>
      <c r="AE99" s="237" t="s">
        <v>5376</v>
      </c>
      <c r="AF99" s="135" t="s">
        <v>5377</v>
      </c>
      <c r="AG99" s="234" t="s">
        <v>5357</v>
      </c>
      <c r="AH99" s="238" t="s">
        <v>5378</v>
      </c>
      <c r="AI99" s="119" t="s">
        <v>5379</v>
      </c>
      <c r="AJ99" s="134" t="s">
        <v>5380</v>
      </c>
      <c r="AK99" s="234" t="s">
        <v>5357</v>
      </c>
      <c r="AL99" s="125" t="s">
        <v>5381</v>
      </c>
      <c r="AM99" s="113" t="s">
        <v>5382</v>
      </c>
      <c r="AN99" s="75" t="s">
        <v>5383</v>
      </c>
      <c r="AO99" s="234" t="s">
        <v>5357</v>
      </c>
      <c r="AP99" s="112" t="s">
        <v>5384</v>
      </c>
      <c r="AQ99" s="113" t="s">
        <v>5385</v>
      </c>
      <c r="AR99" s="75" t="s">
        <v>5386</v>
      </c>
      <c r="AS99" s="75"/>
      <c r="AT99" s="75"/>
    </row>
    <row r="100">
      <c r="A100" s="234" t="s">
        <v>5387</v>
      </c>
      <c r="B100" s="112" t="s">
        <v>5388</v>
      </c>
      <c r="C100" s="111" t="s">
        <v>5359</v>
      </c>
      <c r="D100" s="72" t="s">
        <v>5389</v>
      </c>
      <c r="E100" s="234" t="s">
        <v>5387</v>
      </c>
      <c r="F100" s="112" t="s">
        <v>5390</v>
      </c>
      <c r="G100" s="111" t="s">
        <v>5391</v>
      </c>
      <c r="H100" s="72" t="s">
        <v>5392</v>
      </c>
      <c r="I100" s="234" t="s">
        <v>5387</v>
      </c>
      <c r="J100" s="112" t="s">
        <v>5393</v>
      </c>
      <c r="K100" s="111" t="s">
        <v>5365</v>
      </c>
      <c r="L100" s="72" t="s">
        <v>5394</v>
      </c>
      <c r="M100" s="234" t="s">
        <v>5387</v>
      </c>
      <c r="N100" s="112" t="s">
        <v>5395</v>
      </c>
      <c r="O100" s="111" t="s">
        <v>5368</v>
      </c>
      <c r="P100" s="72" t="s">
        <v>5396</v>
      </c>
      <c r="Q100" s="234" t="s">
        <v>5387</v>
      </c>
      <c r="R100" s="125" t="s">
        <v>5397</v>
      </c>
      <c r="S100" s="111" t="s">
        <v>5371</v>
      </c>
      <c r="T100" s="75" t="str">
        <f>IFERROR(__xludf.DUMMYFUNCTION("GOOGLETRANSLATE(D100,""zh-tw"",""es-MX"")"),"Obtención del objeto: Hucha
Este objeto evoluciona tras reunir 1 millón de monedas (solo puede existir una a la vez). Otorga intereses, la habilidad ""Resplandor de Mammon"", mayor velocidad de movimiento e invulnerabilidad.
P.D.: No puedes introducir t"&amp;"us propias monedas en la hucha.")</f>
        <v>Obtención del objeto: Hucha
Este objeto evoluciona tras reunir 1 millón de monedas (solo puede existir una a la vez). Otorga intereses, la habilidad "Resplandor de Mammon", mayor velocidad de movimiento e invulnerabilidad.
P.D.: No puedes introducir tus propias monedas en la hucha.</v>
      </c>
      <c r="U100" s="234" t="s">
        <v>5387</v>
      </c>
      <c r="V100" s="125" t="str">
        <f>IFERROR(__xludf.DUMMYFUNCTION("GOOGLETRANSLATE(B100,""zh-tw"",""KO"")"),"샵카-4")</f>
        <v>샵카-4</v>
      </c>
      <c r="W100" s="113" t="str">
        <f>IFERROR(__xludf.DUMMYFUNCTION("GOOGLETRANSLATE(C100,""zh-tw"",""KO"")"),"쇼핑 카트에 고정된 품목 중 하나")</f>
        <v>쇼핑 카트에 고정된 품목 중 하나</v>
      </c>
      <c r="X100" s="75" t="str">
        <f>IFERROR(__xludf.DUMMYFUNCTION("GOOGLETRANSLATE(D100,""zh-tw"",""KO"")"),"획득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0" s="234" t="s">
        <v>5387</v>
      </c>
      <c r="Z100" s="235" t="s">
        <v>5398</v>
      </c>
      <c r="AA100" s="236" t="s">
        <v>5373</v>
      </c>
      <c r="AB100" s="65" t="s">
        <v>5399</v>
      </c>
      <c r="AC100" s="234" t="s">
        <v>5387</v>
      </c>
      <c r="AD100" s="136" t="s">
        <v>5400</v>
      </c>
      <c r="AE100" s="237" t="s">
        <v>5376</v>
      </c>
      <c r="AF100" s="135" t="s">
        <v>5401</v>
      </c>
      <c r="AG100" s="234" t="s">
        <v>5387</v>
      </c>
      <c r="AH100" s="238" t="s">
        <v>5402</v>
      </c>
      <c r="AI100" s="119" t="s">
        <v>5379</v>
      </c>
      <c r="AJ100" s="120" t="s">
        <v>5403</v>
      </c>
      <c r="AK100" s="234" t="s">
        <v>5387</v>
      </c>
      <c r="AL100" s="125" t="s">
        <v>5404</v>
      </c>
      <c r="AM100" s="113" t="s">
        <v>5382</v>
      </c>
      <c r="AN100" s="75" t="s">
        <v>5405</v>
      </c>
      <c r="AO100" s="234" t="s">
        <v>5387</v>
      </c>
      <c r="AP100" s="112" t="s">
        <v>5406</v>
      </c>
      <c r="AQ100" s="113" t="s">
        <v>5385</v>
      </c>
      <c r="AR100" s="75" t="s">
        <v>5407</v>
      </c>
      <c r="AS100" s="75"/>
      <c r="AT100" s="75"/>
    </row>
    <row r="101">
      <c r="A101" s="234" t="s">
        <v>5408</v>
      </c>
      <c r="B101" s="112" t="s">
        <v>5409</v>
      </c>
      <c r="C101" s="111" t="s">
        <v>5410</v>
      </c>
      <c r="D101" s="72" t="s">
        <v>5411</v>
      </c>
      <c r="E101" s="234" t="s">
        <v>5408</v>
      </c>
      <c r="F101" s="112" t="s">
        <v>5412</v>
      </c>
      <c r="G101" s="111" t="s">
        <v>5413</v>
      </c>
      <c r="H101" s="72" t="s">
        <v>1070</v>
      </c>
      <c r="I101" s="234" t="s">
        <v>5408</v>
      </c>
      <c r="J101" s="112" t="s">
        <v>5414</v>
      </c>
      <c r="K101" s="111" t="s">
        <v>5415</v>
      </c>
      <c r="L101" s="72" t="s">
        <v>1393</v>
      </c>
      <c r="M101" s="234" t="s">
        <v>5408</v>
      </c>
      <c r="N101" s="112" t="s">
        <v>5416</v>
      </c>
      <c r="O101" s="111" t="s">
        <v>5417</v>
      </c>
      <c r="P101" s="72" t="s">
        <v>3105</v>
      </c>
      <c r="Q101" s="234" t="s">
        <v>5408</v>
      </c>
      <c r="R101" s="125" t="s">
        <v>5418</v>
      </c>
      <c r="S101" s="111" t="s">
        <v>5419</v>
      </c>
      <c r="T101" s="75" t="str">
        <f>IFERROR(__xludf.DUMMYFUNCTION("GOOGLETRANSLATE(D101,""zh-tw"",""es-MX"")"),"No implementado")</f>
        <v>No implementado</v>
      </c>
      <c r="U101" s="234" t="s">
        <v>5408</v>
      </c>
      <c r="V101" s="125" t="str">
        <f>IFERROR(__xludf.DUMMYFUNCTION("GOOGLETRANSLATE(B101,""zh-tw"",""KO"")"),"샵 트럭-5")</f>
        <v>샵 트럭-5</v>
      </c>
      <c r="W101" s="113" t="str">
        <f>IFERROR(__xludf.DUMMYFUNCTION("GOOGLETRANSLATE(C101,""zh-tw"",""KO"")"),"형이 상점 트럭에 치여 HP가 0이 되면 새로운 맵으로 이동하게 됩니다(아직 구현되지 않음).")</f>
        <v>형이 상점 트럭에 치여 HP가 0이 되면 새로운 맵으로 이동하게 됩니다(아직 구현되지 않음).</v>
      </c>
      <c r="X101" s="75" t="str">
        <f>IFERROR(__xludf.DUMMYFUNCTION("GOOGLETRANSLATE(D101,""zh-tw"",""KO"")"),"구현되지 않음")</f>
        <v>구현되지 않음</v>
      </c>
      <c r="Y101" s="234" t="s">
        <v>5408</v>
      </c>
      <c r="Z101" s="235" t="s">
        <v>5420</v>
      </c>
      <c r="AA101" s="236" t="s">
        <v>5421</v>
      </c>
      <c r="AB101" s="71" t="s">
        <v>5422</v>
      </c>
      <c r="AC101" s="234" t="s">
        <v>5408</v>
      </c>
      <c r="AD101" s="136" t="s">
        <v>5423</v>
      </c>
      <c r="AE101" s="237" t="s">
        <v>5424</v>
      </c>
      <c r="AF101" s="135" t="s">
        <v>5425</v>
      </c>
      <c r="AG101" s="234" t="s">
        <v>5408</v>
      </c>
      <c r="AH101" s="238" t="s">
        <v>5426</v>
      </c>
      <c r="AI101" s="119" t="s">
        <v>5427</v>
      </c>
      <c r="AJ101" s="120" t="s">
        <v>5428</v>
      </c>
      <c r="AK101" s="234" t="s">
        <v>5408</v>
      </c>
      <c r="AL101" s="125" t="s">
        <v>5429</v>
      </c>
      <c r="AM101" s="113" t="s">
        <v>5430</v>
      </c>
      <c r="AN101" s="75" t="s">
        <v>1404</v>
      </c>
      <c r="AO101" s="234" t="s">
        <v>5408</v>
      </c>
      <c r="AP101" s="112" t="s">
        <v>5431</v>
      </c>
      <c r="AQ101" s="113" t="s">
        <v>5432</v>
      </c>
      <c r="AR101" s="75" t="s">
        <v>1659</v>
      </c>
      <c r="AS101" s="75"/>
      <c r="AT101" s="75"/>
    </row>
    <row r="102">
      <c r="A102" s="234" t="s">
        <v>5433</v>
      </c>
      <c r="B102" s="112" t="s">
        <v>5434</v>
      </c>
      <c r="C102" s="111" t="s">
        <v>5359</v>
      </c>
      <c r="D102" s="72" t="s">
        <v>5435</v>
      </c>
      <c r="E102" s="234" t="s">
        <v>5433</v>
      </c>
      <c r="F102" s="112" t="s">
        <v>5436</v>
      </c>
      <c r="G102" s="111" t="s">
        <v>5437</v>
      </c>
      <c r="H102" s="72" t="s">
        <v>5438</v>
      </c>
      <c r="I102" s="234" t="s">
        <v>5433</v>
      </c>
      <c r="J102" s="112" t="s">
        <v>5439</v>
      </c>
      <c r="K102" s="111" t="s">
        <v>5440</v>
      </c>
      <c r="L102" s="72" t="s">
        <v>5441</v>
      </c>
      <c r="M102" s="234" t="s">
        <v>5433</v>
      </c>
      <c r="N102" s="112" t="s">
        <v>5442</v>
      </c>
      <c r="O102" s="111" t="s">
        <v>5368</v>
      </c>
      <c r="P102" s="72" t="s">
        <v>5443</v>
      </c>
      <c r="Q102" s="234" t="s">
        <v>5433</v>
      </c>
      <c r="R102" s="125" t="s">
        <v>5444</v>
      </c>
      <c r="S102" s="113" t="str">
        <f>IFERROR(__xludf.DUMMYFUNCTION("GOOGLETRANSLATE(C102,""zh-tw"",""es-MX"")"),"Uno de los artículos fijos en el carrito de la tienda")</f>
        <v>Uno de los artículos fijos en el carrito de la tienda</v>
      </c>
      <c r="T102" s="75" t="str">
        <f>IFERROR(__xludf.DUMMYFUNCTION("GOOGLETRANSLATE(D102,""zh-tw"",""es-MX"")"),"Objeto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2" s="234" t="s">
        <v>5433</v>
      </c>
      <c r="V102" s="125" t="str">
        <f>IFERROR(__xludf.DUMMYFUNCTION("GOOGLETRANSLATE(B102,""zh-tw"",""KO"")"),"샵 트럭-6")</f>
        <v>샵 트럭-6</v>
      </c>
      <c r="W102" s="113" t="str">
        <f>IFERROR(__xludf.DUMMYFUNCTION("GOOGLETRANSLATE(C102,""zh-tw"",""KO"")"),"쇼핑 카트에 고정된 품목 중 하나")</f>
        <v>쇼핑 카트에 고정된 품목 중 하나</v>
      </c>
      <c r="X102" s="75" t="str">
        <f>IFERROR(__xludf.DUMMYFUNCTION("GOOGLETRANSLATE(D102,""zh-tw"",""KO"")"),"획득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2" s="234" t="s">
        <v>5433</v>
      </c>
      <c r="Z102" s="235" t="s">
        <v>5445</v>
      </c>
      <c r="AA102" s="236" t="s">
        <v>5373</v>
      </c>
      <c r="AB102" s="65" t="s">
        <v>5446</v>
      </c>
      <c r="AC102" s="234" t="s">
        <v>5433</v>
      </c>
      <c r="AD102" s="136" t="s">
        <v>5447</v>
      </c>
      <c r="AE102" s="237" t="s">
        <v>5448</v>
      </c>
      <c r="AF102" s="135" t="s">
        <v>5449</v>
      </c>
      <c r="AG102" s="234" t="s">
        <v>5433</v>
      </c>
      <c r="AH102" s="238" t="s">
        <v>5450</v>
      </c>
      <c r="AI102" s="119" t="s">
        <v>5451</v>
      </c>
      <c r="AJ102" s="120" t="s">
        <v>5452</v>
      </c>
      <c r="AK102" s="234" t="s">
        <v>5433</v>
      </c>
      <c r="AL102" s="125" t="s">
        <v>5453</v>
      </c>
      <c r="AM102" s="113" t="s">
        <v>5454</v>
      </c>
      <c r="AN102" s="75" t="s">
        <v>5455</v>
      </c>
      <c r="AO102" s="234" t="s">
        <v>5433</v>
      </c>
      <c r="AP102" s="108" t="s">
        <v>5456</v>
      </c>
      <c r="AQ102" s="113" t="s">
        <v>5385</v>
      </c>
      <c r="AR102" s="75" t="s">
        <v>5457</v>
      </c>
      <c r="AS102" s="75"/>
      <c r="AT102" s="75"/>
    </row>
    <row r="103">
      <c r="A103" s="234" t="s">
        <v>5458</v>
      </c>
      <c r="B103" s="112" t="s">
        <v>5459</v>
      </c>
      <c r="C103" s="111" t="s">
        <v>5359</v>
      </c>
      <c r="D103" s="72" t="s">
        <v>5460</v>
      </c>
      <c r="E103" s="234" t="s">
        <v>5458</v>
      </c>
      <c r="F103" s="112" t="s">
        <v>5461</v>
      </c>
      <c r="G103" s="111" t="s">
        <v>5437</v>
      </c>
      <c r="H103" s="72" t="s">
        <v>5462</v>
      </c>
      <c r="I103" s="234" t="s">
        <v>5458</v>
      </c>
      <c r="J103" s="112" t="s">
        <v>5463</v>
      </c>
      <c r="K103" s="111" t="s">
        <v>5440</v>
      </c>
      <c r="L103" s="72" t="s">
        <v>5464</v>
      </c>
      <c r="M103" s="234" t="s">
        <v>5458</v>
      </c>
      <c r="N103" s="112" t="s">
        <v>5465</v>
      </c>
      <c r="O103" s="111" t="s">
        <v>5368</v>
      </c>
      <c r="P103" s="72" t="s">
        <v>5466</v>
      </c>
      <c r="Q103" s="234" t="s">
        <v>5458</v>
      </c>
      <c r="R103" s="125" t="s">
        <v>5467</v>
      </c>
      <c r="S103" s="113" t="str">
        <f>IFERROR(__xludf.DUMMYFUNCTION("GOOGLETRANSLATE(C103,""zh-tw"",""es-MX"")"),"Uno de los artículos fijos en el carrito de la tienda")</f>
        <v>Uno de los artículos fijos en el carrito de la tienda</v>
      </c>
      <c r="T103" s="75" t="str">
        <f>IFERROR(__xludf.DUMMYFUNCTION("GOOGLETRANSLATE(D103,""zh-tw"",""es-MX"")"),"Objeto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3" s="234" t="s">
        <v>5458</v>
      </c>
      <c r="V103" s="125" t="str">
        <f>IFERROR(__xludf.DUMMYFUNCTION("GOOGLETRANSLATE(B103,""zh-tw"",""KO"")"),"상점 차량-7")</f>
        <v>상점 차량-7</v>
      </c>
      <c r="W103" s="113" t="str">
        <f>IFERROR(__xludf.DUMMYFUNCTION("GOOGLETRANSLATE(C103,""zh-tw"",""KO"")"),"쇼핑 카트에 고정된 품목 중 하나")</f>
        <v>쇼핑 카트에 고정된 품목 중 하나</v>
      </c>
      <c r="X103" s="75" t="str">
        <f>IFERROR(__xludf.DUMMYFUNCTION("GOOGLETRANSLATE(D103,""zh-tw"",""KO"")"),"획득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3" s="234" t="s">
        <v>5458</v>
      </c>
      <c r="Z103" s="235" t="s">
        <v>5468</v>
      </c>
      <c r="AA103" s="236" t="s">
        <v>5373</v>
      </c>
      <c r="AB103" s="65" t="s">
        <v>5469</v>
      </c>
      <c r="AC103" s="234" t="s">
        <v>5458</v>
      </c>
      <c r="AD103" s="136" t="s">
        <v>5470</v>
      </c>
      <c r="AE103" s="237" t="s">
        <v>5471</v>
      </c>
      <c r="AF103" s="135" t="s">
        <v>5472</v>
      </c>
      <c r="AG103" s="234" t="s">
        <v>5458</v>
      </c>
      <c r="AH103" s="238" t="s">
        <v>5473</v>
      </c>
      <c r="AI103" s="119" t="s">
        <v>5451</v>
      </c>
      <c r="AJ103" s="120" t="s">
        <v>5474</v>
      </c>
      <c r="AK103" s="234" t="s">
        <v>5458</v>
      </c>
      <c r="AL103" s="125" t="s">
        <v>5475</v>
      </c>
      <c r="AM103" s="113" t="s">
        <v>5454</v>
      </c>
      <c r="AN103" s="75" t="s">
        <v>5476</v>
      </c>
      <c r="AO103" s="234" t="s">
        <v>5458</v>
      </c>
      <c r="AP103" s="108" t="s">
        <v>5477</v>
      </c>
      <c r="AQ103" s="113" t="s">
        <v>5385</v>
      </c>
      <c r="AR103" s="75" t="s">
        <v>5478</v>
      </c>
      <c r="AS103" s="75"/>
      <c r="AT103" s="75"/>
    </row>
    <row r="104">
      <c r="A104" s="234" t="s">
        <v>5479</v>
      </c>
      <c r="B104" s="112" t="s">
        <v>5480</v>
      </c>
      <c r="C104" s="111" t="s">
        <v>5481</v>
      </c>
      <c r="D104" s="72" t="s">
        <v>5482</v>
      </c>
      <c r="E104" s="234" t="s">
        <v>5479</v>
      </c>
      <c r="F104" s="112" t="s">
        <v>5483</v>
      </c>
      <c r="G104" s="111" t="s">
        <v>5484</v>
      </c>
      <c r="H104" s="72" t="s">
        <v>5485</v>
      </c>
      <c r="I104" s="234" t="s">
        <v>5479</v>
      </c>
      <c r="J104" s="112" t="s">
        <v>5486</v>
      </c>
      <c r="K104" s="111" t="s">
        <v>5487</v>
      </c>
      <c r="L104" s="72" t="s">
        <v>5488</v>
      </c>
      <c r="M104" s="234" t="s">
        <v>5479</v>
      </c>
      <c r="N104" s="112" t="str">
        <f>IFERROR(__xludf.DUMMYFUNCTION("GOOGLETRANSLATE(B104,""zh-tw"",""zh"")"),"深夜的好选择")</f>
        <v>深夜的好选择</v>
      </c>
      <c r="O104" s="111" t="str">
        <f>IFERROR(__xludf.DUMMYFUNCTION("GOOGLETRANSLATE(C104,""zh-tw"",""zh"")"),"解锁深夜时段后，可以向骑士花费5000元或者于AKI商店花费一只帝王鲑
购买恐怖录影带、成人录影带")</f>
        <v>解锁深夜时段后，可以向骑士花费5000元或者于AKI商店花费一只帝王鲑
购买恐怖录影带、成人录影带</v>
      </c>
      <c r="P104" s="72" t="str">
        <f>IFERROR(__xludf.DUMMYFUNCTION("GOOGLETRANSLATE(D104,""zh-tw"",""zh"")"),"获得道具:恐怖录影带
获得道具:成人录影带")</f>
        <v>获得道具:恐怖录影带
获得道具:成人录影带</v>
      </c>
      <c r="Q104" s="234" t="s">
        <v>5479</v>
      </c>
      <c r="R104" s="125" t="str">
        <f>IFERROR(__xludf.DUMMYFUNCTION("GOOGLETRANSLATE(B104,""zh-tw"",""es-MX"")"),"Una buena opción para las noches largas.")</f>
        <v>Una buena opción para las noches largas.</v>
      </c>
      <c r="S104" s="113" t="str">
        <f>IFERROR(__xludf.DUMMYFUNCTION("GOOGLETRANSLATE(C104,""zh-tw"",""es-MX"")"),"Tras desbloquear el horario nocturno, puedes gastar 5000 monedas con el Caballero o un Rey Salmón en la tienda AKI para comprar cintas de vídeo de terror y cintas de vídeo para adultos.")</f>
        <v>Tras desbloquear el horario nocturno, puedes gastar 5000 monedas con el Caballero o un Rey Salmón en la tienda AKI para comprar cintas de vídeo de terror y cintas de vídeo para adultos.</v>
      </c>
      <c r="T104" s="75" t="str">
        <f>IFERROR(__xludf.DUMMYFUNCTION("GOOGLETRANSLATE(D104,""zh-tw"",""es-MX"")"),"Objeto obtenido: Cinta de vídeo de terror
Objeto obtenido: Cinta de vídeo para adultos")</f>
        <v>Objeto obtenido: Cinta de vídeo de terror
Objeto obtenido: Cinta de vídeo para adultos</v>
      </c>
      <c r="U104" s="234" t="s">
        <v>5479</v>
      </c>
      <c r="V104" s="125" t="str">
        <f>IFERROR(__xludf.DUMMYFUNCTION("GOOGLETRANSLATE(B104,""zh-tw"",""KO"")"),"늦은 밤에 즐기기 좋은 선택입니다.")</f>
        <v>늦은 밤에 즐기기 좋은 선택입니다.</v>
      </c>
      <c r="W104" s="113" t="str">
        <f>IFERROR(__xludf.DUMMYFUNCTION("GOOGLETRANSLATE(C104,""zh-tw"",""KO"")"),"심야 시간대가 해금되면, AKI 상점에서 기사나 왕연어에게 5000 코인을 지불하고 공포 비디오테이프와 성인 비디오테이프를 구매할 수 있습니다.")</f>
        <v>심야 시간대가 해금되면, AKI 상점에서 기사나 왕연어에게 5000 코인을 지불하고 공포 비디오테이프와 성인 비디오테이프를 구매할 수 있습니다.</v>
      </c>
      <c r="X104" s="75" t="str">
        <f>IFERROR(__xludf.DUMMYFUNCTION("GOOGLETRANSLATE(D104,""zh-tw"",""KO"")"),"획득 아이템: 공포 비디오테이프
획득 아이템: 성인 비디오테이프")</f>
        <v>획득 아이템: 공포 비디오테이프
획득 아이템: 성인 비디오테이프</v>
      </c>
      <c r="Y104" s="234" t="s">
        <v>5479</v>
      </c>
      <c r="Z104" s="235" t="s">
        <v>5489</v>
      </c>
      <c r="AA104" s="236" t="s">
        <v>5490</v>
      </c>
      <c r="AB104" s="65" t="s">
        <v>5491</v>
      </c>
      <c r="AC104" s="234" t="s">
        <v>5479</v>
      </c>
      <c r="AD104" s="136" t="s">
        <v>5492</v>
      </c>
      <c r="AE104" s="237" t="s">
        <v>5493</v>
      </c>
      <c r="AF104" s="135" t="s">
        <v>5494</v>
      </c>
      <c r="AG104" s="234" t="s">
        <v>5479</v>
      </c>
      <c r="AH104" s="238" t="s">
        <v>5495</v>
      </c>
      <c r="AI104" s="119" t="str">
        <f>IFERROR(__xludf.DUMMYFUNCTION("GOOGLETRANSLATE(C104,""zh-tw"",""vi"")"),"Sau khi mở khóa khung giờ đêm muộn, bạn có thể dùng 5000 xu để mua các băng video kinh dị và video người lớn từ Hiệp sĩ hoặc Cá hồi vua tại Cửa hàng AKI.")</f>
        <v>Sau khi mở khóa khung giờ đêm muộn, bạn có thể dùng 5000 xu để mua các băng video kinh dị và video người lớn từ Hiệp sĩ hoặc Cá hồi vua tại Cửa hàng AKI.</v>
      </c>
      <c r="AJ104" s="120" t="s">
        <v>5496</v>
      </c>
      <c r="AK104" s="234" t="s">
        <v>5479</v>
      </c>
      <c r="AL104" s="125" t="s">
        <v>5497</v>
      </c>
      <c r="AM104" s="113" t="s">
        <v>5498</v>
      </c>
      <c r="AN104" s="75" t="s">
        <v>5499</v>
      </c>
      <c r="AO104" s="234" t="s">
        <v>5479</v>
      </c>
      <c r="AP104" s="108" t="s">
        <v>5500</v>
      </c>
      <c r="AQ104" s="113" t="s">
        <v>5501</v>
      </c>
      <c r="AR104" s="75" t="s">
        <v>5502</v>
      </c>
      <c r="AS104" s="75"/>
      <c r="AT104" s="75"/>
    </row>
    <row r="105">
      <c r="A105" s="234" t="s">
        <v>5503</v>
      </c>
      <c r="B105" s="112" t="s">
        <v>5504</v>
      </c>
      <c r="C105" s="111" t="s">
        <v>5505</v>
      </c>
      <c r="D105" s="72" t="s">
        <v>5506</v>
      </c>
      <c r="E105" s="234" t="s">
        <v>5503</v>
      </c>
      <c r="F105" s="112" t="s">
        <v>5507</v>
      </c>
      <c r="G105" s="111" t="s">
        <v>5508</v>
      </c>
      <c r="H105" s="72" t="s">
        <v>5509</v>
      </c>
      <c r="I105" s="234" t="s">
        <v>5503</v>
      </c>
      <c r="J105" s="112" t="s">
        <v>5510</v>
      </c>
      <c r="K105" s="111" t="s">
        <v>5511</v>
      </c>
      <c r="L105" s="72" t="s">
        <v>5512</v>
      </c>
      <c r="M105" s="234" t="s">
        <v>5503</v>
      </c>
      <c r="N105" s="112" t="s">
        <v>5504</v>
      </c>
      <c r="O105" s="113" t="s">
        <v>5513</v>
      </c>
      <c r="P105" s="75" t="s">
        <v>5514</v>
      </c>
      <c r="Q105" s="234" t="s">
        <v>5503</v>
      </c>
      <c r="R105" s="125" t="s">
        <v>5504</v>
      </c>
      <c r="S105" s="113" t="str">
        <f>IFERROR(__xludf.DUMMYFUNCTION("GOOGLETRANSLATE(C105,""zh-tw"",""es-MX"")"),"Alimente a ASABA - ""alimento regular""")</f>
        <v>Alimente a ASABA - "alimento regular"</v>
      </c>
      <c r="T105" s="75" t="str">
        <f>IFERROR(__xludf.DUMMYFUNCTION("GOOGLETRANSLATE(D105,""zh-tw"",""es-MX"")"),"No hubo reacción alguna, e incluso la repetición del suceso podía provocar aversión.")</f>
        <v>No hubo reacción alguna, e incluso la repetición del suceso podía provocar aversión.</v>
      </c>
      <c r="U105" s="234" t="s">
        <v>5503</v>
      </c>
      <c r="V105" s="125" t="str">
        <f>IFERROR(__xludf.DUMMYFUNCTION("GOOGLETRANSLATE(B105,""zh-tw"",""KO"")"),"아사바-1")</f>
        <v>아사바-1</v>
      </c>
      <c r="W105" s="113" t="str">
        <f>IFERROR(__xludf.DUMMYFUNCTION("GOOGLETRANSLATE(C105,""zh-tw"",""KO"")"),"ASABA에게 ""일반 사료""를 먹이세요.")</f>
        <v>ASABA에게 "일반 사료"를 먹이세요.</v>
      </c>
      <c r="X105" s="75" t="str">
        <f>IFERROR(__xludf.DUMMYFUNCTION("GOOGLETRANSLATE(D105,""zh-tw"",""KO"")"),"아무런 반응도 없었고, 반복될 경우 오히려 혐오감이 생길 수도 있었다.")</f>
        <v>아무런 반응도 없었고, 반복될 경우 오히려 혐오감이 생길 수도 있었다.</v>
      </c>
      <c r="Y105" s="234" t="s">
        <v>5503</v>
      </c>
      <c r="Z105" s="235" t="s">
        <v>5515</v>
      </c>
      <c r="AA105" s="236" t="s">
        <v>5516</v>
      </c>
      <c r="AB105" s="65" t="s">
        <v>5517</v>
      </c>
      <c r="AC105" s="234" t="s">
        <v>5503</v>
      </c>
      <c r="AD105" s="112" t="str">
        <f>IFERROR(__xludf.DUMMYFUNCTION("GOOGLETRANSLATE(B105,""zh-tw"",""de"")"),"ASABA-1")</f>
        <v>ASABA-1</v>
      </c>
      <c r="AE105" s="111" t="str">
        <f>IFERROR(__xludf.DUMMYFUNCTION("GOOGLETRANSLATE(C105,""zh-tw"",""de"")"),"ASABA füttern – „normales Futter“")</f>
        <v>ASABA füttern – „normales Futter“</v>
      </c>
      <c r="AF105" s="72" t="s">
        <v>5518</v>
      </c>
      <c r="AG105" s="234" t="s">
        <v>5503</v>
      </c>
      <c r="AH105" s="238" t="s">
        <v>5510</v>
      </c>
      <c r="AI105" s="119" t="s">
        <v>5519</v>
      </c>
      <c r="AJ105" s="120" t="s">
        <v>5520</v>
      </c>
      <c r="AK105" s="234" t="s">
        <v>5503</v>
      </c>
      <c r="AL105" s="125" t="s">
        <v>5510</v>
      </c>
      <c r="AM105" s="113" t="s">
        <v>5521</v>
      </c>
      <c r="AN105" s="75" t="s">
        <v>5522</v>
      </c>
      <c r="AO105" s="234" t="s">
        <v>5503</v>
      </c>
      <c r="AP105" s="108" t="s">
        <v>5504</v>
      </c>
      <c r="AQ105" s="113" t="s">
        <v>5523</v>
      </c>
      <c r="AR105" s="75" t="s">
        <v>5524</v>
      </c>
      <c r="AS105" s="75"/>
      <c r="AT105" s="75"/>
    </row>
    <row r="106">
      <c r="A106" s="234" t="s">
        <v>5525</v>
      </c>
      <c r="B106" s="112" t="s">
        <v>5526</v>
      </c>
      <c r="C106" s="111" t="s">
        <v>5527</v>
      </c>
      <c r="D106" s="72" t="s">
        <v>5528</v>
      </c>
      <c r="E106" s="234" t="s">
        <v>5525</v>
      </c>
      <c r="F106" s="112" t="s">
        <v>5529</v>
      </c>
      <c r="G106" s="111" t="s">
        <v>5530</v>
      </c>
      <c r="H106" s="72" t="s">
        <v>5531</v>
      </c>
      <c r="I106" s="234" t="s">
        <v>5525</v>
      </c>
      <c r="J106" s="112" t="s">
        <v>5532</v>
      </c>
      <c r="K106" s="111" t="s">
        <v>5533</v>
      </c>
      <c r="L106" s="72" t="s">
        <v>5534</v>
      </c>
      <c r="M106" s="234" t="s">
        <v>5525</v>
      </c>
      <c r="N106" s="112" t="s">
        <v>5526</v>
      </c>
      <c r="O106" s="113" t="s">
        <v>5535</v>
      </c>
      <c r="P106" s="75" t="s">
        <v>5536</v>
      </c>
      <c r="Q106" s="234" t="s">
        <v>5525</v>
      </c>
      <c r="R106" s="125" t="s">
        <v>5526</v>
      </c>
      <c r="S106" s="113" t="str">
        <f>IFERROR(__xludf.DUMMYFUNCTION("GOOGLETRANSLATE(C106,""zh-tw"",""es-MX"")"),"Alimentando a ASABA - ""El mechón rebelde de la hermana""")</f>
        <v>Alimentando a ASABA - "El mechón rebelde de la hermana"</v>
      </c>
      <c r="T106" s="75" t="str">
        <f>IFERROR(__xludf.DUMMYFUNCTION("GOOGLETRANSLATE(D106,""zh-tw"",""es-MX"")"),"Desactivando el cerebro de ASABA")</f>
        <v>Desactivando el cerebro de ASABA</v>
      </c>
      <c r="U106" s="234" t="s">
        <v>5525</v>
      </c>
      <c r="V106" s="125" t="str">
        <f>IFERROR(__xludf.DUMMYFUNCTION("GOOGLETRANSLATE(B106,""zh-tw"",""KO"")"),"아사바-2")</f>
        <v>아사바-2</v>
      </c>
      <c r="W106" s="113" t="str">
        <f>IFERROR(__xludf.DUMMYFUNCTION("GOOGLETRANSLATE(C106,""zh-tw"",""KO"")"),"아사바 먹이 주기 - ""언니의 아호게""")</f>
        <v>아사바 먹이 주기 - "언니의 아호게"</v>
      </c>
      <c r="X106" s="75" t="str">
        <f>IFERROR(__xludf.DUMMYFUNCTION("GOOGLETRANSLATE(D106,""zh-tw"",""KO"")"),"ASABA의 두뇌를 차단합니다")</f>
        <v>ASABA의 두뇌를 차단합니다</v>
      </c>
      <c r="Y106" s="234" t="s">
        <v>5525</v>
      </c>
      <c r="Z106" s="235" t="s">
        <v>5537</v>
      </c>
      <c r="AA106" s="236" t="s">
        <v>5538</v>
      </c>
      <c r="AB106" s="65" t="s">
        <v>5539</v>
      </c>
      <c r="AC106" s="234" t="s">
        <v>5525</v>
      </c>
      <c r="AD106" s="112" t="str">
        <f>IFERROR(__xludf.DUMMYFUNCTION("GOOGLETRANSLATE(B106,""zh-tw"",""de"")"),"ASABA-2")</f>
        <v>ASABA-2</v>
      </c>
      <c r="AE106" s="111" t="str">
        <f>IFERROR(__xludf.DUMMYFUNCTION("GOOGLETRANSLATE(C106,""zh-tw"",""de"")"),"Fütterung von ASABA – „Schwesters Ahoge“")</f>
        <v>Fütterung von ASABA – „Schwesters Ahoge“</v>
      </c>
      <c r="AF106" s="72" t="s">
        <v>5540</v>
      </c>
      <c r="AG106" s="234" t="s">
        <v>5525</v>
      </c>
      <c r="AH106" s="238" t="s">
        <v>5532</v>
      </c>
      <c r="AI106" s="119" t="s">
        <v>5541</v>
      </c>
      <c r="AJ106" s="120" t="s">
        <v>5542</v>
      </c>
      <c r="AK106" s="234" t="s">
        <v>5525</v>
      </c>
      <c r="AL106" s="125" t="s">
        <v>5532</v>
      </c>
      <c r="AM106" s="113" t="s">
        <v>5543</v>
      </c>
      <c r="AN106" s="75" t="s">
        <v>5544</v>
      </c>
      <c r="AO106" s="234" t="s">
        <v>5525</v>
      </c>
      <c r="AP106" s="108" t="s">
        <v>5526</v>
      </c>
      <c r="AQ106" s="113" t="s">
        <v>5545</v>
      </c>
      <c r="AR106" s="75" t="s">
        <v>5546</v>
      </c>
      <c r="AS106" s="75"/>
      <c r="AT106" s="75"/>
    </row>
    <row r="107">
      <c r="A107" s="234" t="s">
        <v>5547</v>
      </c>
      <c r="B107" s="112" t="s">
        <v>5548</v>
      </c>
      <c r="C107" s="111" t="s">
        <v>5549</v>
      </c>
      <c r="D107" s="72" t="s">
        <v>5550</v>
      </c>
      <c r="E107" s="234" t="s">
        <v>5547</v>
      </c>
      <c r="F107" s="112" t="s">
        <v>5551</v>
      </c>
      <c r="G107" s="111" t="s">
        <v>5552</v>
      </c>
      <c r="H107" s="72" t="s">
        <v>5553</v>
      </c>
      <c r="I107" s="234" t="s">
        <v>5547</v>
      </c>
      <c r="J107" s="112" t="s">
        <v>5554</v>
      </c>
      <c r="K107" s="111" t="s">
        <v>5555</v>
      </c>
      <c r="L107" s="72" t="s">
        <v>5556</v>
      </c>
      <c r="M107" s="234" t="s">
        <v>5547</v>
      </c>
      <c r="N107" s="112" t="s">
        <v>5548</v>
      </c>
      <c r="O107" s="113" t="s">
        <v>5557</v>
      </c>
      <c r="P107" s="75" t="s">
        <v>5558</v>
      </c>
      <c r="Q107" s="234" t="s">
        <v>5547</v>
      </c>
      <c r="R107" s="125" t="s">
        <v>5548</v>
      </c>
      <c r="S107" s="113" t="str">
        <f>IFERROR(__xludf.DUMMYFUNCTION("GOOGLETRANSLATE(C107,""zh-tw"",""es-MX"")"),"Alimentar a ASABA con ""fresas"" te otorgará una mejora.")</f>
        <v>Alimentar a ASABA con "fresas" te otorgará una mejora.</v>
      </c>
      <c r="T107" s="75" t="str">
        <f>IFERROR(__xludf.DUMMYFUNCTION("GOOGLETRANSLATE(D107,""zh-tw"",""es-MX"")"),"Ponte en forma")</f>
        <v>Ponte en forma</v>
      </c>
      <c r="U107" s="234" t="s">
        <v>5547</v>
      </c>
      <c r="V107" s="125" t="str">
        <f>IFERROR(__xludf.DUMMYFUNCTION("GOOGLETRANSLATE(B107,""zh-tw"",""KO"")"),"아사바-3")</f>
        <v>아사바-3</v>
      </c>
      <c r="W107" s="113" t="str">
        <f>IFERROR(__xludf.DUMMYFUNCTION("GOOGLETRANSLATE(C107,""zh-tw"",""KO"")"),"아사바에게 ""딸기""를 먹이면 버프를 얻을 수 있습니다.")</f>
        <v>아사바에게 "딸기"를 먹이면 버프를 얻을 수 있습니다.</v>
      </c>
      <c r="X107" s="75" t="str">
        <f>IFERROR(__xludf.DUMMYFUNCTION("GOOGLETRANSLATE(D107,""zh-tw"",""KO"")"),"버프 받으세요")</f>
        <v>버프 받으세요</v>
      </c>
      <c r="Y107" s="234" t="s">
        <v>5547</v>
      </c>
      <c r="Z107" s="235" t="s">
        <v>5559</v>
      </c>
      <c r="AA107" s="236" t="s">
        <v>5560</v>
      </c>
      <c r="AB107" s="71" t="s">
        <v>5561</v>
      </c>
      <c r="AC107" s="234" t="s">
        <v>5547</v>
      </c>
      <c r="AD107" s="112" t="str">
        <f>IFERROR(__xludf.DUMMYFUNCTION("GOOGLETRANSLATE(B107,""zh-tw"",""de"")"),"ASABA-3")</f>
        <v>ASABA-3</v>
      </c>
      <c r="AE107" s="111" t="str">
        <f>IFERROR(__xludf.DUMMYFUNCTION("GOOGLETRANSLATE(C107,""zh-tw"",""de"")"),"Wenn du ASABA mit ""Erdbeeren"" fütterst, erhältst du einen Buff.")</f>
        <v>Wenn du ASABA mit "Erdbeeren" fütterst, erhältst du einen Buff.</v>
      </c>
      <c r="AF107" s="72" t="s">
        <v>5562</v>
      </c>
      <c r="AG107" s="234" t="s">
        <v>5547</v>
      </c>
      <c r="AH107" s="238" t="s">
        <v>5554</v>
      </c>
      <c r="AI107" s="119" t="s">
        <v>5563</v>
      </c>
      <c r="AJ107" s="120" t="s">
        <v>5564</v>
      </c>
      <c r="AK107" s="234" t="s">
        <v>5547</v>
      </c>
      <c r="AL107" s="125" t="s">
        <v>5554</v>
      </c>
      <c r="AM107" s="113" t="s">
        <v>5565</v>
      </c>
      <c r="AN107" s="75" t="s">
        <v>5566</v>
      </c>
      <c r="AO107" s="234" t="s">
        <v>5547</v>
      </c>
      <c r="AP107" s="108" t="s">
        <v>5548</v>
      </c>
      <c r="AQ107" s="113" t="s">
        <v>5567</v>
      </c>
      <c r="AR107" s="75" t="s">
        <v>5568</v>
      </c>
      <c r="AS107" s="75"/>
      <c r="AT107" s="75"/>
    </row>
    <row r="108">
      <c r="A108" s="234" t="s">
        <v>5569</v>
      </c>
      <c r="B108" s="112" t="s">
        <v>5570</v>
      </c>
      <c r="C108" s="111" t="s">
        <v>5571</v>
      </c>
      <c r="D108" s="72" t="s">
        <v>5572</v>
      </c>
      <c r="E108" s="234" t="s">
        <v>5569</v>
      </c>
      <c r="F108" s="112" t="s">
        <v>5573</v>
      </c>
      <c r="G108" s="111" t="s">
        <v>5574</v>
      </c>
      <c r="H108" s="72" t="s">
        <v>5575</v>
      </c>
      <c r="I108" s="234" t="s">
        <v>5569</v>
      </c>
      <c r="J108" s="112" t="s">
        <v>5576</v>
      </c>
      <c r="K108" s="111" t="s">
        <v>5577</v>
      </c>
      <c r="L108" s="72" t="s">
        <v>5578</v>
      </c>
      <c r="M108" s="234" t="s">
        <v>5569</v>
      </c>
      <c r="N108" s="112" t="s">
        <v>5570</v>
      </c>
      <c r="O108" s="113" t="s">
        <v>5579</v>
      </c>
      <c r="P108" s="75" t="s">
        <v>5580</v>
      </c>
      <c r="Q108" s="234" t="s">
        <v>5569</v>
      </c>
      <c r="R108" s="125" t="s">
        <v>5570</v>
      </c>
      <c r="S108" s="113" t="str">
        <f>IFERROR(__xludf.DUMMYFUNCTION("GOOGLETRANSLATE(C108,""zh-tw"",""es-MX"")"),"Derrotar al ASABA normal te recompensará con la ""Fresa de ASABA"".")</f>
        <v>Derrotar al ASABA normal te recompensará con la "Fresa de ASABA".</v>
      </c>
      <c r="T108" s="75" t="str">
        <f>IFERROR(__xludf.DUMMYFUNCTION("GOOGLETRANSLATE(D108,""zh-tw"",""es-MX"")"),"Fresas de ASABA")</f>
        <v>Fresas de ASABA</v>
      </c>
      <c r="U108" s="234" t="s">
        <v>5569</v>
      </c>
      <c r="V108" s="125" t="str">
        <f>IFERROR(__xludf.DUMMYFUNCTION("GOOGLETRANSLATE(B108,""zh-tw"",""KO"")"),"아사바-4")</f>
        <v>아사바-4</v>
      </c>
      <c r="W108" s="113" t="str">
        <f>IFERROR(__xludf.DUMMYFUNCTION("GOOGLETRANSLATE(C108,""zh-tw"",""KO"")"),"일반 아사바를 물리치면 ""아사바의 딸기""를 보상으로 받게 됩니다.")</f>
        <v>일반 아사바를 물리치면 "아사바의 딸기"를 보상으로 받게 됩니다.</v>
      </c>
      <c r="X108" s="75" t="str">
        <f>IFERROR(__xludf.DUMMYFUNCTION("GOOGLETRANSLATE(D108,""zh-tw"",""KO"")"),"아사바산 딸기")</f>
        <v>아사바산 딸기</v>
      </c>
      <c r="Y108" s="234" t="s">
        <v>5569</v>
      </c>
      <c r="Z108" s="235" t="s">
        <v>5581</v>
      </c>
      <c r="AA108" s="236" t="s">
        <v>5582</v>
      </c>
      <c r="AB108" s="65" t="s">
        <v>5583</v>
      </c>
      <c r="AC108" s="234" t="s">
        <v>5569</v>
      </c>
      <c r="AD108" s="112" t="str">
        <f>IFERROR(__xludf.DUMMYFUNCTION("GOOGLETRANSLATE(B108,""zh-tw"",""de"")"),"ASABA-4")</f>
        <v>ASABA-4</v>
      </c>
      <c r="AE108" s="111" t="str">
        <f>IFERROR(__xludf.DUMMYFUNCTION("GOOGLETRANSLATE(C108,""zh-tw"",""de"")"),"Wenn du den normalen ASABA besiegst, erhältst du als Belohnung ""ASABAs Erdbeere"".")</f>
        <v>Wenn du den normalen ASABA besiegst, erhältst du als Belohnung "ASABAs Erdbeere".</v>
      </c>
      <c r="AF108" s="72" t="s">
        <v>5584</v>
      </c>
      <c r="AG108" s="234" t="s">
        <v>5569</v>
      </c>
      <c r="AH108" s="238" t="s">
        <v>5576</v>
      </c>
      <c r="AI108" s="119" t="s">
        <v>5585</v>
      </c>
      <c r="AJ108" s="120" t="s">
        <v>5586</v>
      </c>
      <c r="AK108" s="234" t="s">
        <v>5569</v>
      </c>
      <c r="AL108" s="125" t="s">
        <v>5576</v>
      </c>
      <c r="AM108" s="113" t="s">
        <v>5587</v>
      </c>
      <c r="AN108" s="75" t="s">
        <v>5588</v>
      </c>
      <c r="AO108" s="234" t="s">
        <v>5569</v>
      </c>
      <c r="AP108" s="108" t="s">
        <v>5570</v>
      </c>
      <c r="AQ108" s="113" t="s">
        <v>5589</v>
      </c>
      <c r="AR108" s="75" t="s">
        <v>5590</v>
      </c>
      <c r="AS108" s="75"/>
      <c r="AT108" s="75"/>
    </row>
    <row r="109">
      <c r="A109" s="234" t="s">
        <v>5591</v>
      </c>
      <c r="B109" s="112" t="s">
        <v>5592</v>
      </c>
      <c r="C109" s="111" t="s">
        <v>5593</v>
      </c>
      <c r="D109" s="72" t="s">
        <v>5594</v>
      </c>
      <c r="E109" s="234" t="s">
        <v>5591</v>
      </c>
      <c r="F109" s="112" t="s">
        <v>5595</v>
      </c>
      <c r="G109" s="111" t="s">
        <v>5596</v>
      </c>
      <c r="H109" s="72" t="s">
        <v>5597</v>
      </c>
      <c r="I109" s="234" t="s">
        <v>5591</v>
      </c>
      <c r="J109" s="112" t="s">
        <v>5598</v>
      </c>
      <c r="K109" s="111" t="s">
        <v>5599</v>
      </c>
      <c r="L109" s="72" t="s">
        <v>5600</v>
      </c>
      <c r="M109" s="234" t="s">
        <v>5591</v>
      </c>
      <c r="N109" s="112" t="s">
        <v>5592</v>
      </c>
      <c r="O109" s="113" t="s">
        <v>5601</v>
      </c>
      <c r="P109" s="75" t="s">
        <v>5602</v>
      </c>
      <c r="Q109" s="234" t="s">
        <v>5591</v>
      </c>
      <c r="R109" s="125" t="s">
        <v>5592</v>
      </c>
      <c r="S109" s="113" t="str">
        <f>IFERROR(__xludf.DUMMYFUNCTION("GOOGLETRANSLATE(C109,""zh-tw"",""es-MX"")"),"Alimentar a ASABA con ""La fresa de ASABA"" iniciará una batalla contra un JEFE.")</f>
        <v>Alimentar a ASABA con "La fresa de ASABA" iniciará una batalla contra un JEFE.</v>
      </c>
      <c r="T109" s="75" t="str">
        <f>IFERROR(__xludf.DUMMYFUNCTION("GOOGLETRANSLATE(D109,""zh-tw"",""es-MX"")"),"Derrotar al enemigo te recompensará con la ""Fresa de ASABA"".")</f>
        <v>Derrotar al enemigo te recompensará con la "Fresa de ASABA".</v>
      </c>
      <c r="U109" s="234" t="s">
        <v>5591</v>
      </c>
      <c r="V109" s="125" t="str">
        <f>IFERROR(__xludf.DUMMYFUNCTION("GOOGLETRANSLATE(B109,""zh-tw"",""KO"")"),"아사바-5")</f>
        <v>아사바-5</v>
      </c>
      <c r="W109" s="113" t="str">
        <f>IFERROR(__xludf.DUMMYFUNCTION("GOOGLETRANSLATE(C109,""zh-tw"",""KO"")"),"아사바에게 ""아사바의 딸기""를 먹이면 보스전이 시작됩니다.")</f>
        <v>아사바에게 "아사바의 딸기"를 먹이면 보스전이 시작됩니다.</v>
      </c>
      <c r="X109" s="75" t="str">
        <f>IFERROR(__xludf.DUMMYFUNCTION("GOOGLETRANSLATE(D109,""zh-tw"",""KO"")"),"적을 물리치면 ""아사바의 딸기""를 보상으로 받게 됩니다.")</f>
        <v>적을 물리치면 "아사바의 딸기"를 보상으로 받게 됩니다.</v>
      </c>
      <c r="Y109" s="234" t="s">
        <v>5591</v>
      </c>
      <c r="Z109" s="235" t="s">
        <v>5603</v>
      </c>
      <c r="AA109" s="236" t="s">
        <v>5604</v>
      </c>
      <c r="AB109" s="65" t="s">
        <v>5605</v>
      </c>
      <c r="AC109" s="234" t="s">
        <v>5591</v>
      </c>
      <c r="AD109" s="112" t="str">
        <f>IFERROR(__xludf.DUMMYFUNCTION("GOOGLETRANSLATE(B109,""zh-tw"",""de"")"),"ASABA-5")</f>
        <v>ASABA-5</v>
      </c>
      <c r="AE109" s="111" t="str">
        <f>IFERROR(__xludf.DUMMYFUNCTION("GOOGLETRANSLATE(C109,""zh-tw"",""de"")"),"Wenn man ASABA mit „ASABAs Erdbeere“ füttert, wird ein Bosskampf ausgelöst.")</f>
        <v>Wenn man ASABA mit „ASABAs Erdbeere“ füttert, wird ein Bosskampf ausgelöst.</v>
      </c>
      <c r="AF109" s="72" t="s">
        <v>5606</v>
      </c>
      <c r="AG109" s="234" t="s">
        <v>5591</v>
      </c>
      <c r="AH109" s="238" t="s">
        <v>5598</v>
      </c>
      <c r="AI109" s="119" t="s">
        <v>5607</v>
      </c>
      <c r="AJ109" s="120" t="s">
        <v>5608</v>
      </c>
      <c r="AK109" s="234" t="s">
        <v>5591</v>
      </c>
      <c r="AL109" s="125" t="s">
        <v>5598</v>
      </c>
      <c r="AM109" s="113" t="s">
        <v>5609</v>
      </c>
      <c r="AN109" s="75" t="s">
        <v>5610</v>
      </c>
      <c r="AO109" s="234" t="s">
        <v>5591</v>
      </c>
      <c r="AP109" s="108" t="s">
        <v>5592</v>
      </c>
      <c r="AQ109" s="113" t="s">
        <v>5611</v>
      </c>
      <c r="AR109" s="75" t="s">
        <v>5612</v>
      </c>
      <c r="AS109" s="75"/>
      <c r="AT109" s="75"/>
    </row>
    <row r="110">
      <c r="A110" s="234" t="s">
        <v>5613</v>
      </c>
      <c r="B110" s="112" t="s">
        <v>5614</v>
      </c>
      <c r="C110" s="111" t="s">
        <v>5615</v>
      </c>
      <c r="D110" s="72" t="s">
        <v>5616</v>
      </c>
      <c r="E110" s="234" t="s">
        <v>5613</v>
      </c>
      <c r="F110" s="112" t="s">
        <v>5617</v>
      </c>
      <c r="G110" s="111" t="s">
        <v>5618</v>
      </c>
      <c r="H110" s="72" t="s">
        <v>5619</v>
      </c>
      <c r="I110" s="234" t="s">
        <v>5613</v>
      </c>
      <c r="J110" s="112" t="s">
        <v>5620</v>
      </c>
      <c r="K110" s="111" t="s">
        <v>5621</v>
      </c>
      <c r="L110" s="72" t="s">
        <v>5622</v>
      </c>
      <c r="M110" s="234" t="s">
        <v>5613</v>
      </c>
      <c r="N110" s="112" t="s">
        <v>5614</v>
      </c>
      <c r="O110" s="113" t="s">
        <v>5623</v>
      </c>
      <c r="P110" s="75" t="s">
        <v>5624</v>
      </c>
      <c r="Q110" s="234" t="s">
        <v>5613</v>
      </c>
      <c r="R110" s="125" t="s">
        <v>5614</v>
      </c>
      <c r="S110" s="113" t="str">
        <f>IFERROR(__xludf.DUMMYFUNCTION("GOOGLETRANSLATE(C110,""zh-tw"",""es-MX"")"),"Del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0" s="75" t="str">
        <f>IFERROR(__xludf.DUMMYFUNCTION("GOOGLETRANSLATE(D110,""zh-tw"",""es-MX"")"),"Consigue el equipo ""¡Recupera las fresas!""
(Consulta la barra de habilidades para ver los comandos)")</f>
        <v>Consigue el equipo "¡Recupera las fresas!"
(Consulta la barra de habilidades para ver los comandos)</v>
      </c>
      <c r="U110" s="234" t="s">
        <v>5613</v>
      </c>
      <c r="V110" s="125" t="str">
        <f>IFERROR(__xludf.DUMMYFUNCTION("GOOGLETRANSLATE(B110,""zh-tw"",""KO"")"),"아사바-6")</f>
        <v>아사바-6</v>
      </c>
      <c r="W110" s="113" t="str">
        <f>IFERROR(__xludf.DUMMYFUNCTION("GOOGLETRANSLATE(C110,""zh-tw"",""KO"")"),"마찬가지로, 보스의 궁극기 공격을 더 많이 맞을수록 특별한 아이템을 얻을 확률이 높아집니다.")</f>
        <v>마찬가지로, 보스의 궁극기 공격을 더 많이 맞을수록 특별한 아이템을 얻을 확률이 높아집니다.</v>
      </c>
      <c r="X110" s="75" t="str">
        <f>IFERROR(__xludf.DUMMYFUNCTION("GOOGLETRANSLATE(D110,""zh-tw"",""KO"")"),"""딸기 되찾기!!"" 장비를 획득하세요!
(명령어는 스킬 바를 참조하세요)")</f>
        <v>"딸기 되찾기!!" 장비를 획득하세요!
(명령어는 스킬 바를 참조하세요)</v>
      </c>
      <c r="Y110" s="234" t="s">
        <v>5613</v>
      </c>
      <c r="Z110" s="235" t="s">
        <v>5625</v>
      </c>
      <c r="AA110" s="236" t="s">
        <v>5626</v>
      </c>
      <c r="AB110" s="65" t="s">
        <v>5627</v>
      </c>
      <c r="AC110" s="234" t="s">
        <v>5613</v>
      </c>
      <c r="AD110" s="112" t="str">
        <f>IFERROR(__xludf.DUMMYFUNCTION("GOOGLETRANSLATE(B110,""zh-tw"",""de"")"),"ASABA-6")</f>
        <v>ASABA-6</v>
      </c>
      <c r="AE110" s="111" t="str">
        <f>IFERROR(__xludf.DUMMYFUNCTION("GOOGLETRANSLATE(C110,""zh-tw"",""de"")"),"Genauso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0" s="72" t="str">
        <f>IFERROR(__xludf.DUMMYFUNCTION("GOOGLETRANSLATE(D110,""zh-tw"",""de"")"),"Hol dir die Ausrüstung „Erdbeeren zurückerobern!!“
(Befehle findest du in der Fertigkeitsleiste.)")</f>
        <v>Hol dir die Ausrüstung „Erdbeeren zurückerobern!!“
(Befehle findest du in der Fertigkeitsleiste.)</v>
      </c>
      <c r="AG110" s="234" t="s">
        <v>5613</v>
      </c>
      <c r="AH110" s="238" t="s">
        <v>5620</v>
      </c>
      <c r="AI110" s="119" t="s">
        <v>5628</v>
      </c>
      <c r="AJ110" s="120" t="s">
        <v>5629</v>
      </c>
      <c r="AK110" s="234" t="s">
        <v>5613</v>
      </c>
      <c r="AL110" s="125" t="s">
        <v>5620</v>
      </c>
      <c r="AM110" s="113" t="s">
        <v>5630</v>
      </c>
      <c r="AN110" s="75" t="s">
        <v>5631</v>
      </c>
      <c r="AO110" s="234" t="s">
        <v>5613</v>
      </c>
      <c r="AP110" s="108" t="s">
        <v>5614</v>
      </c>
      <c r="AQ110" s="113" t="s">
        <v>5632</v>
      </c>
      <c r="AR110" s="75" t="s">
        <v>5633</v>
      </c>
      <c r="AS110" s="75"/>
      <c r="AT110" s="75"/>
    </row>
    <row r="111">
      <c r="A111" s="234" t="s">
        <v>5634</v>
      </c>
      <c r="B111" s="112" t="s">
        <v>5635</v>
      </c>
      <c r="C111" s="111" t="s">
        <v>5636</v>
      </c>
      <c r="D111" s="72" t="s">
        <v>5637</v>
      </c>
      <c r="E111" s="234" t="s">
        <v>5634</v>
      </c>
      <c r="F111" s="112" t="s">
        <v>5635</v>
      </c>
      <c r="G111" s="111" t="s">
        <v>5638</v>
      </c>
      <c r="H111" s="72" t="s">
        <v>5639</v>
      </c>
      <c r="I111" s="234" t="s">
        <v>5634</v>
      </c>
      <c r="J111" s="112" t="s">
        <v>5635</v>
      </c>
      <c r="K111" s="111" t="s">
        <v>5640</v>
      </c>
      <c r="L111" s="72" t="s">
        <v>5641</v>
      </c>
      <c r="M111" s="234" t="s">
        <v>5634</v>
      </c>
      <c r="N111" s="112" t="s">
        <v>5635</v>
      </c>
      <c r="O111" s="113" t="s">
        <v>5642</v>
      </c>
      <c r="P111" s="75" t="s">
        <v>5643</v>
      </c>
      <c r="Q111" s="234" t="s">
        <v>5634</v>
      </c>
      <c r="R111" s="125" t="s">
        <v>5635</v>
      </c>
      <c r="S111" s="113" t="str">
        <f>IFERROR(__xludf.DUMMYFUNCTION("GOOGLETRANSLATE(C111,""zh-tw"",""es-MX"")"),"Este pequeño monstruo puede aparecer al freír pescado.")</f>
        <v>Este pequeño monstruo puede aparecer al freír pescado.</v>
      </c>
      <c r="T111" s="75" t="str">
        <f>IFERROR(__xludf.DUMMYFUNCTION("GOOGLETRANSLATE(D111,""zh-tw"",""es-MX"")"),"Tortuga Sakaban (Pequeña) - Botín al ser derrotada: ◉▽◉ (Azul)")</f>
        <v>Tortuga Sakaban (Pequeña) - Botín al ser derrotada: ◉▽◉ (Azul)</v>
      </c>
      <c r="U111" s="234" t="s">
        <v>5634</v>
      </c>
      <c r="V111" s="125" t="str">
        <f>IFERROR(__xludf.DUMMYFUNCTION("GOOGLETRANSLATE(B111,""zh-tw"",""KO"")"),"◉▽◉?")</f>
        <v>◉▽◉?</v>
      </c>
      <c r="W111" s="113" t="str">
        <f>IFERROR(__xludf.DUMMYFUNCTION("GOOGLETRANSLATE(C111,""zh-tw"",""KO"")"),"이 작은 괴물은 생선을 튀길 때 나타날 수 있습니다.")</f>
        <v>이 작은 괴물은 생선을 튀길 때 나타날 수 있습니다.</v>
      </c>
      <c r="X111" s="75" t="str">
        <f>IFERROR(__xludf.DUMMYFUNCTION("GOOGLETRANSLATE(D111,""zh-tw"",""KO"")"),"사카반 거북 (소형) - 처치 시 드롭 아이템: ◉▽◉ (파란색)")</f>
        <v>사카반 거북 (소형) - 처치 시 드롭 아이템: ◉▽◉ (파란색)</v>
      </c>
      <c r="Y111" s="234" t="s">
        <v>5634</v>
      </c>
      <c r="Z111" s="235" t="s">
        <v>5635</v>
      </c>
      <c r="AA111" s="236" t="s">
        <v>5644</v>
      </c>
      <c r="AB111" s="65" t="s">
        <v>5645</v>
      </c>
      <c r="AC111" s="234" t="s">
        <v>5634</v>
      </c>
      <c r="AD111" s="112" t="str">
        <f>IFERROR(__xludf.DUMMYFUNCTION("GOOGLETRANSLATE(B111,""zh-tw"",""de"")"),"◉▽◉?")</f>
        <v>◉▽◉?</v>
      </c>
      <c r="AE111" s="111" t="str">
        <f>IFERROR(__xludf.DUMMYFUNCTION("GOOGLETRANSLATE(C111,""zh-tw"",""de"")"),"Dieses kleine Monster kann beim Braten von Fisch auftauchen.")</f>
        <v>Dieses kleine Monster kann beim Braten von Fisch auftauchen.</v>
      </c>
      <c r="AF111" s="72" t="str">
        <f>IFERROR(__xludf.DUMMYFUNCTION("GOOGLETRANSLATE(D111,""zh-tw"",""de"")"),"Sakaban-Schildkröte (Klein) - Beute nach Niederlage: ◉▽◉ (Blau)")</f>
        <v>Sakaban-Schildkröte (Klein) - Beute nach Niederlage: ◉▽◉ (Blau)</v>
      </c>
      <c r="AG111" s="234" t="s">
        <v>5634</v>
      </c>
      <c r="AH111" s="118" t="s">
        <v>5635</v>
      </c>
      <c r="AI111" s="119" t="s">
        <v>5646</v>
      </c>
      <c r="AJ111" s="120" t="s">
        <v>5647</v>
      </c>
      <c r="AK111" s="234" t="s">
        <v>5634</v>
      </c>
      <c r="AL111" s="125" t="s">
        <v>5635</v>
      </c>
      <c r="AM111" s="113" t="s">
        <v>5648</v>
      </c>
      <c r="AN111" s="75" t="s">
        <v>5649</v>
      </c>
      <c r="AO111" s="234" t="s">
        <v>5634</v>
      </c>
      <c r="AP111" s="108" t="s">
        <v>5635</v>
      </c>
      <c r="AQ111" s="113" t="s">
        <v>5650</v>
      </c>
      <c r="AR111" s="75" t="s">
        <v>5651</v>
      </c>
      <c r="AS111" s="75"/>
      <c r="AT111" s="75"/>
    </row>
    <row r="112">
      <c r="A112" s="234" t="s">
        <v>5652</v>
      </c>
      <c r="B112" s="112" t="s">
        <v>5653</v>
      </c>
      <c r="C112" s="111" t="s">
        <v>5654</v>
      </c>
      <c r="D112" s="72" t="s">
        <v>5655</v>
      </c>
      <c r="E112" s="234" t="s">
        <v>5652</v>
      </c>
      <c r="F112" s="112" t="s">
        <v>5653</v>
      </c>
      <c r="G112" s="111" t="s">
        <v>5656</v>
      </c>
      <c r="H112" s="72" t="s">
        <v>5657</v>
      </c>
      <c r="I112" s="234" t="s">
        <v>5652</v>
      </c>
      <c r="J112" s="112" t="s">
        <v>5653</v>
      </c>
      <c r="K112" s="111" t="s">
        <v>5658</v>
      </c>
      <c r="L112" s="72" t="s">
        <v>5659</v>
      </c>
      <c r="M112" s="234" t="s">
        <v>5652</v>
      </c>
      <c r="N112" s="112" t="s">
        <v>5653</v>
      </c>
      <c r="O112" s="113" t="s">
        <v>5660</v>
      </c>
      <c r="P112" s="75" t="s">
        <v>5661</v>
      </c>
      <c r="Q112" s="234" t="s">
        <v>5652</v>
      </c>
      <c r="R112" s="125" t="s">
        <v>5653</v>
      </c>
      <c r="S112" s="113" t="str">
        <f>IFERROR(__xludf.DUMMYFUNCTION("GOOGLETRANSLATE(C112,""zh-tw"",""es-MX"")"),"Este monstruo puede aparecer con baja probabilidad al freír pescado.")</f>
        <v>Este monstruo puede aparecer con baja probabilidad al freír pescado.</v>
      </c>
      <c r="T112" s="75" t="str">
        <f>IFERROR(__xludf.DUMMYFUNCTION("GOOGLETRANSLATE(D112,""zh-tw"",""es-MX"")"),"Tortuga Sakaban (Grande) - Suelta al ser derrotada: ◉▽◉ (Morado)")</f>
        <v>Tortuga Sakaban (Grande) - Suelta al ser derrotada: ◉▽◉ (Morado)</v>
      </c>
      <c r="U112" s="234" t="s">
        <v>5652</v>
      </c>
      <c r="V112" s="125" t="str">
        <f>IFERROR(__xludf.DUMMYFUNCTION("GOOGLETRANSLATE(B112,""zh-tw"",""KO"")"),"◉▽◉!?")</f>
        <v>◉▽◉!?</v>
      </c>
      <c r="W112" s="113" t="str">
        <f>IFERROR(__xludf.DUMMYFUNCTION("GOOGLETRANSLATE(C112,""zh-tw"",""KO"")"),"이 괴물은 생선을 튀길 때 낮은 확률로 나타날 수 있습니다.")</f>
        <v>이 괴물은 생선을 튀길 때 낮은 확률로 나타날 수 있습니다.</v>
      </c>
      <c r="X112" s="75" t="str">
        <f>IFERROR(__xludf.DUMMYFUNCTION("GOOGLETRANSLATE(D112,""zh-tw"",""KO"")"),"사카반 거북 (대형) - 처치 시 드롭 아이템: ◉▽◉ (보라색)")</f>
        <v>사카반 거북 (대형) - 처치 시 드롭 아이템: ◉▽◉ (보라색)</v>
      </c>
      <c r="Y112" s="234" t="s">
        <v>5652</v>
      </c>
      <c r="Z112" s="235" t="s">
        <v>5662</v>
      </c>
      <c r="AA112" s="236" t="s">
        <v>5663</v>
      </c>
      <c r="AB112" s="65" t="s">
        <v>5664</v>
      </c>
      <c r="AC112" s="234" t="s">
        <v>5652</v>
      </c>
      <c r="AD112" s="112" t="str">
        <f>IFERROR(__xludf.DUMMYFUNCTION("GOOGLETRANSLATE(B112,""zh-tw"",""de"")"),"◉▽◉!?")</f>
        <v>◉▽◉!?</v>
      </c>
      <c r="AE112" s="111" t="str">
        <f>IFERROR(__xludf.DUMMYFUNCTION("GOOGLETRANSLATE(C112,""zh-tw"",""de"")"),"Dieses Monster kann mit geringer Wahrscheinlichkeit beim Braten von Fisch erscheinen.")</f>
        <v>Dieses Monster kann mit geringer Wahrscheinlichkeit beim Braten von Fisch erscheinen.</v>
      </c>
      <c r="AF112" s="72" t="str">
        <f>IFERROR(__xludf.DUMMYFUNCTION("GOOGLETRANSLATE(D112,""zh-tw"",""de"")"),"Sakaban-Schildkröte (Groß) – Beute nach Niederlage: ◉▽◉ (Lila)")</f>
        <v>Sakaban-Schildkröte (Groß) – Beute nach Niederlage: ◉▽◉ (Lila)</v>
      </c>
      <c r="AG112" s="234" t="s">
        <v>5652</v>
      </c>
      <c r="AH112" s="118" t="s">
        <v>5653</v>
      </c>
      <c r="AI112" s="119" t="s">
        <v>5665</v>
      </c>
      <c r="AJ112" s="120" t="s">
        <v>5666</v>
      </c>
      <c r="AK112" s="234" t="s">
        <v>5652</v>
      </c>
      <c r="AL112" s="125" t="s">
        <v>5653</v>
      </c>
      <c r="AM112" s="113" t="s">
        <v>5667</v>
      </c>
      <c r="AN112" s="75" t="s">
        <v>5668</v>
      </c>
      <c r="AO112" s="234" t="s">
        <v>5652</v>
      </c>
      <c r="AP112" s="108" t="s">
        <v>5653</v>
      </c>
      <c r="AQ112" s="113" t="s">
        <v>5669</v>
      </c>
      <c r="AR112" s="75" t="s">
        <v>5670</v>
      </c>
      <c r="AS112" s="75"/>
      <c r="AT112" s="75"/>
    </row>
    <row r="113">
      <c r="A113" s="234" t="s">
        <v>5671</v>
      </c>
      <c r="B113" s="112" t="s">
        <v>5672</v>
      </c>
      <c r="C113" s="111" t="s">
        <v>5673</v>
      </c>
      <c r="D113" s="72" t="s">
        <v>5674</v>
      </c>
      <c r="E113" s="234" t="s">
        <v>5671</v>
      </c>
      <c r="F113" s="112" t="s">
        <v>5672</v>
      </c>
      <c r="G113" s="111" t="s">
        <v>5675</v>
      </c>
      <c r="H113" s="72" t="s">
        <v>5676</v>
      </c>
      <c r="I113" s="234" t="s">
        <v>5671</v>
      </c>
      <c r="J113" s="112" t="s">
        <v>5672</v>
      </c>
      <c r="K113" s="111" t="s">
        <v>5677</v>
      </c>
      <c r="L113" s="72" t="s">
        <v>5678</v>
      </c>
      <c r="M113" s="234" t="s">
        <v>5671</v>
      </c>
      <c r="N113" s="112" t="s">
        <v>5672</v>
      </c>
      <c r="O113" s="113" t="s">
        <v>5679</v>
      </c>
      <c r="P113" s="75" t="s">
        <v>5680</v>
      </c>
      <c r="Q113" s="234" t="s">
        <v>5671</v>
      </c>
      <c r="R113" s="125" t="s">
        <v>5681</v>
      </c>
      <c r="S113" s="113" t="str">
        <f>IFERROR(__xludf.DUMMYFUNCTION("GOOGLETRANSLATE(C113,""zh-tw"",""es-MX"")"),"Cuando la probabilidad es baja y se dan las condiciones del terreno, puede aparecer un JEFE.
(Explicación detallada en los CONSEJOS)")</f>
        <v>Cuando la probabilidad es baja y se dan las condiciones del terreno, puede aparecer un JEFE.
(Explicación detallada en los CONSEJOS)</v>
      </c>
      <c r="T113" s="75" t="str">
        <f>IFERROR(__xludf.DUMMYFUNCTION("GOOGLETRANSLATE(D113,""zh-tw"",""es-MX"")"),"Jefe invocado: ¡El Señor del Río, que debería estar extinto! (Rey Tortuga)
Botín al ser derrotado: Decreto Real, ◉▽◉ (Rosa)")</f>
        <v>Jefe invocado: ¡El Señor del Río, que debería estar extinto! (Rey Tortuga)
Botín al ser derrotado: Decreto Real, ◉▽◉ (Rosa)</v>
      </c>
      <c r="U113" s="234" t="s">
        <v>5671</v>
      </c>
      <c r="V113" s="125" t="str">
        <f>IFERROR(__xludf.DUMMYFUNCTION("GOOGLETRANSLATE(B113,""zh-tw"",""KO"")"),"♔
◉▽◉")</f>
        <v>♔
◉▽◉</v>
      </c>
      <c r="W113" s="113" t="str">
        <f>IFERROR(__xludf.DUMMYFUNCTION("GOOGLETRANSLATE(C113,""zh-tw"",""KO"")"),"희귀한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113" s="75" t="str">
        <f>IFERROR(__xludf.DUMMYFUNCTION("GOOGLETRANSLATE(D113,""zh-tw"",""KO"")"),"소환 보스: 사라져야 할 강의 군주!? (거북왕)
전리품: 왕의 칙령, ◉▽◉ (분홍색)")</f>
        <v>소환 보스: 사라져야 할 강의 군주!? (거북왕)
전리품: 왕의 칙령, ◉▽◉ (분홍색)</v>
      </c>
      <c r="Y113" s="234" t="s">
        <v>5671</v>
      </c>
      <c r="Z113" s="235" t="s">
        <v>5681</v>
      </c>
      <c r="AA113" s="236" t="s">
        <v>5682</v>
      </c>
      <c r="AB113" s="65" t="s">
        <v>5683</v>
      </c>
      <c r="AC113" s="234" t="s">
        <v>5671</v>
      </c>
      <c r="AD113" s="112" t="str">
        <f>IFERROR(__xludf.DUMMYFUNCTION("GOOGLETRANSLATE(B113,""zh-tw"",""de"")"),"♔
◉▽◉")</f>
        <v>♔
◉▽◉</v>
      </c>
      <c r="AE113" s="111" t="str">
        <f>IFERROR(__xludf.DUMMYFUNCTION("GOOGLETRANSLATE(C113,""zh-tw"",""de"")"),"Wenn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113" s="72" t="str">
        <f>IFERROR(__xludf.DUMMYFUNCTION("GOOGLETRANSLATE(D113,""zh-tw"",""de"")"),"Beschwörungsboss: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3" s="234" t="s">
        <v>5671</v>
      </c>
      <c r="AH113" s="133" t="s">
        <v>5681</v>
      </c>
      <c r="AI113" s="119" t="s">
        <v>5684</v>
      </c>
      <c r="AJ113" s="134" t="s">
        <v>5685</v>
      </c>
      <c r="AK113" s="234" t="s">
        <v>5671</v>
      </c>
      <c r="AL113" s="125" t="s">
        <v>5672</v>
      </c>
      <c r="AM113" s="113" t="s">
        <v>5686</v>
      </c>
      <c r="AN113" s="72" t="s">
        <v>5687</v>
      </c>
      <c r="AO113" s="234" t="s">
        <v>5671</v>
      </c>
      <c r="AP113" s="108" t="s">
        <v>5681</v>
      </c>
      <c r="AQ113" s="113" t="s">
        <v>5688</v>
      </c>
      <c r="AR113" s="75" t="s">
        <v>5689</v>
      </c>
      <c r="AS113" s="75"/>
      <c r="AT113" s="75"/>
    </row>
    <row r="114">
      <c r="A114" s="234" t="s">
        <v>5690</v>
      </c>
      <c r="B114" s="112" t="s">
        <v>5691</v>
      </c>
      <c r="C114" s="111" t="s">
        <v>5692</v>
      </c>
      <c r="D114" s="72" t="s">
        <v>5693</v>
      </c>
      <c r="E114" s="234" t="s">
        <v>5690</v>
      </c>
      <c r="F114" s="112" t="s">
        <v>5694</v>
      </c>
      <c r="G114" s="111" t="s">
        <v>5695</v>
      </c>
      <c r="H114" s="72" t="s">
        <v>5696</v>
      </c>
      <c r="I114" s="234" t="s">
        <v>5690</v>
      </c>
      <c r="J114" s="112" t="s">
        <v>5697</v>
      </c>
      <c r="K114" s="111" t="s">
        <v>5698</v>
      </c>
      <c r="L114" s="72" t="s">
        <v>5699</v>
      </c>
      <c r="M114" s="234" t="s">
        <v>5690</v>
      </c>
      <c r="N114" s="112" t="s">
        <v>5700</v>
      </c>
      <c r="O114" s="113" t="s">
        <v>5701</v>
      </c>
      <c r="P114" s="75" t="s">
        <v>5702</v>
      </c>
      <c r="Q114" s="234" t="s">
        <v>5690</v>
      </c>
      <c r="R114" s="125" t="s">
        <v>5703</v>
      </c>
      <c r="S114" s="113" t="str">
        <f>IFERROR(__xludf.DUMMYFUNCTION("GOOGLETRANSLATE(C114,""zh-tw"",""es-MX"")"),"Cuando las tortugas seguidoras o el rey tortuga se encuentran con la superficie del agua, corren de vuelta al agua.")</f>
        <v>Cuando las tortugas seguidoras o el rey tortuga se encuentran con la superficie del agua, corren de vuelta al agua.</v>
      </c>
      <c r="T114" s="75" t="str">
        <f>IFERROR(__xludf.DUMMYFUNCTION("GOOGLETRANSLATE(D114,""zh-tw"",""es-MX"")"),"Escape de objeto")</f>
        <v>Escape de objeto</v>
      </c>
      <c r="U114" s="234" t="s">
        <v>5690</v>
      </c>
      <c r="V114" s="125" t="str">
        <f>IFERROR(__xludf.DUMMYFUNCTION("GOOGLETRANSLATE(B114,""zh-tw"",""KO"")"),"물로 돌아가기")</f>
        <v>물로 돌아가기</v>
      </c>
      <c r="W114" s="113" t="str">
        <f>IFERROR(__xludf.DUMMYFUNCTION("GOOGLETRANSLATE(C114,""zh-tw"",""KO"")"),"거북이의 추종자들이나 거북이 왕은 수면을 만나면 다시 물속으로 뛰어들어갑니다.")</f>
        <v>거북이의 추종자들이나 거북이 왕은 수면을 만나면 다시 물속으로 뛰어들어갑니다.</v>
      </c>
      <c r="X114" s="75" t="str">
        <f>IFERROR(__xludf.DUMMYFUNCTION("GOOGLETRANSLATE(D114,""zh-tw"",""KO"")"),"객체 탈출")</f>
        <v>객체 탈출</v>
      </c>
      <c r="Y114" s="234" t="s">
        <v>5690</v>
      </c>
      <c r="Z114" s="114" t="s">
        <v>5704</v>
      </c>
      <c r="AA114" s="150" t="s">
        <v>5705</v>
      </c>
      <c r="AB114" s="132" t="s">
        <v>5706</v>
      </c>
      <c r="AC114" s="234" t="s">
        <v>5690</v>
      </c>
      <c r="AD114" s="112" t="s">
        <v>5707</v>
      </c>
      <c r="AE114" s="111" t="str">
        <f>IFERROR(__xludf.DUMMYFUNCTION("GOOGLETRANSLATE(C114,""zh-tw"",""de"")"),"Wenn die Schildkrötenanhänger oder der Schildkrötenkönig die Wasseroberfläche erreichen, rennen sie zurück ins Wasser.")</f>
        <v>Wenn die Schildkrötenanhänger oder der Schildkrötenkönig die Wasseroberfläche erreichen, rennen sie zurück ins Wasser.</v>
      </c>
      <c r="AF114" s="72" t="s">
        <v>5708</v>
      </c>
      <c r="AG114" s="234" t="s">
        <v>5690</v>
      </c>
      <c r="AH114" s="238" t="s">
        <v>5709</v>
      </c>
      <c r="AI114" s="119" t="s">
        <v>5710</v>
      </c>
      <c r="AJ114" s="120" t="s">
        <v>5711</v>
      </c>
      <c r="AK114" s="234" t="s">
        <v>5690</v>
      </c>
      <c r="AL114" s="125" t="s">
        <v>5712</v>
      </c>
      <c r="AM114" s="111" t="s">
        <v>5713</v>
      </c>
      <c r="AN114" s="75" t="s">
        <v>5714</v>
      </c>
      <c r="AO114" s="234" t="s">
        <v>5690</v>
      </c>
      <c r="AP114" s="108" t="s">
        <v>5715</v>
      </c>
      <c r="AQ114" s="113" t="s">
        <v>5716</v>
      </c>
      <c r="AR114" s="75" t="s">
        <v>5717</v>
      </c>
      <c r="AS114" s="75"/>
      <c r="AT114" s="75"/>
    </row>
    <row r="115">
      <c r="A115" s="234" t="s">
        <v>5718</v>
      </c>
      <c r="B115" s="112" t="s">
        <v>5719</v>
      </c>
      <c r="C115" s="111" t="s">
        <v>5720</v>
      </c>
      <c r="D115" s="72" t="s">
        <v>1067</v>
      </c>
      <c r="E115" s="234" t="s">
        <v>5718</v>
      </c>
      <c r="F115" s="112" t="s">
        <v>5721</v>
      </c>
      <c r="G115" s="111" t="s">
        <v>5722</v>
      </c>
      <c r="H115" s="72" t="s">
        <v>1070</v>
      </c>
      <c r="I115" s="234" t="s">
        <v>5718</v>
      </c>
      <c r="J115" s="112" t="s">
        <v>5723</v>
      </c>
      <c r="K115" s="111" t="s">
        <v>5724</v>
      </c>
      <c r="L115" s="72" t="s">
        <v>1393</v>
      </c>
      <c r="M115" s="234" t="s">
        <v>5718</v>
      </c>
      <c r="N115" s="112" t="s">
        <v>5725</v>
      </c>
      <c r="O115" s="113" t="s">
        <v>5726</v>
      </c>
      <c r="P115" s="75" t="s">
        <v>3105</v>
      </c>
      <c r="Q115" s="234" t="s">
        <v>5718</v>
      </c>
      <c r="R115" s="125" t="s">
        <v>5727</v>
      </c>
      <c r="S115" s="113" t="str">
        <f>IFERROR(__xludf.DUMMYFUNCTION("GOOGLETRANSLATE(C115,""zh-tw"",""es-MX"")"),"Tras descongelar la Gran Espada de Zanahoria Congelada sobre una hoguera, podrás obtener la Gran Espada de Zanahoria Mohosa.")</f>
        <v>Tras descongelar la Gran Espada de Zanahoria Congelada sobre una hoguera, podrás obtener la Gran Espada de Zanahoria Mohosa.</v>
      </c>
      <c r="T115" s="75" t="str">
        <f>IFERROR(__xludf.DUMMYFUNCTION("GOOGLETRANSLATE(D115,""zh-tw"",""es-MX"")"),"No implementado")</f>
        <v>No implementado</v>
      </c>
      <c r="U115" s="234" t="s">
        <v>5718</v>
      </c>
      <c r="V115" s="125" t="str">
        <f>IFERROR(__xludf.DUMMYFUNCTION("GOOGLETRANSLATE(B115,""zh-tw"",""KO"")"),"큰 검")</f>
        <v>큰 검</v>
      </c>
      <c r="W115" s="113" t="str">
        <f>IFERROR(__xludf.DUMMYFUNCTION("GOOGLETRANSLATE(C115,""zh-tw"",""KO"")"),"캠프파이어에서 얼어붙은 당근 대검을 녹이면 곰팡이 핀 당근 대검을 얻을 수 있습니다.")</f>
        <v>캠프파이어에서 얼어붙은 당근 대검을 녹이면 곰팡이 핀 당근 대검을 얻을 수 있습니다.</v>
      </c>
      <c r="X115" s="75" t="str">
        <f>IFERROR(__xludf.DUMMYFUNCTION("GOOGLETRANSLATE(D115,""zh-tw"",""KO"")"),"구현되지 않음")</f>
        <v>구현되지 않음</v>
      </c>
      <c r="Y115" s="234" t="s">
        <v>5718</v>
      </c>
      <c r="Z115" s="114" t="s">
        <v>5728</v>
      </c>
      <c r="AA115" s="150" t="s">
        <v>5729</v>
      </c>
      <c r="AB115" s="132" t="s">
        <v>5422</v>
      </c>
      <c r="AC115" s="234" t="s">
        <v>5718</v>
      </c>
      <c r="AD115" s="112" t="s">
        <v>5730</v>
      </c>
      <c r="AE115" s="111" t="str">
        <f>IFERROR(__xludf.DUMMYFUNCTION("GOOGLETRANSLATE(C115,""zh-tw"",""de"")"),"Nachdem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15" s="72" t="s">
        <v>1085</v>
      </c>
      <c r="AG115" s="234" t="s">
        <v>5718</v>
      </c>
      <c r="AH115" s="238" t="s">
        <v>5731</v>
      </c>
      <c r="AI115" s="130" t="s">
        <v>5732</v>
      </c>
      <c r="AJ115" s="120" t="s">
        <v>1253</v>
      </c>
      <c r="AK115" s="234" t="s">
        <v>5718</v>
      </c>
      <c r="AL115" s="125" t="s">
        <v>5733</v>
      </c>
      <c r="AM115" s="113" t="s">
        <v>5734</v>
      </c>
      <c r="AN115" s="75" t="s">
        <v>1404</v>
      </c>
      <c r="AO115" s="234" t="s">
        <v>5718</v>
      </c>
      <c r="AP115" s="108" t="s">
        <v>5735</v>
      </c>
      <c r="AQ115" s="113" t="s">
        <v>5736</v>
      </c>
      <c r="AR115" s="75" t="s">
        <v>1659</v>
      </c>
      <c r="AS115" s="75"/>
      <c r="AT115" s="75"/>
    </row>
    <row r="116">
      <c r="A116" s="234" t="s">
        <v>5737</v>
      </c>
      <c r="B116" s="112" t="s">
        <v>5738</v>
      </c>
      <c r="C116" s="111" t="s">
        <v>5739</v>
      </c>
      <c r="D116" s="72" t="s">
        <v>1067</v>
      </c>
      <c r="E116" s="234" t="s">
        <v>5737</v>
      </c>
      <c r="F116" s="112" t="s">
        <v>5740</v>
      </c>
      <c r="G116" s="111" t="s">
        <v>5741</v>
      </c>
      <c r="H116" s="72" t="s">
        <v>1070</v>
      </c>
      <c r="I116" s="234" t="s">
        <v>5737</v>
      </c>
      <c r="J116" s="112" t="s">
        <v>5742</v>
      </c>
      <c r="K116" s="111" t="s">
        <v>5743</v>
      </c>
      <c r="L116" s="72" t="s">
        <v>1393</v>
      </c>
      <c r="M116" s="234" t="s">
        <v>5737</v>
      </c>
      <c r="N116" s="112" t="s">
        <v>5744</v>
      </c>
      <c r="O116" s="113" t="s">
        <v>5745</v>
      </c>
      <c r="P116" s="75" t="s">
        <v>3105</v>
      </c>
      <c r="Q116" s="234" t="s">
        <v>5737</v>
      </c>
      <c r="R116" s="125" t="s">
        <v>5746</v>
      </c>
      <c r="S116" s="113" t="str">
        <f>IFERROR(__xludf.DUMMYFUNCTION("GOOGLETRANSLATE(C116,""zh-tw"",""es-MX"")"),"Usar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6" s="75" t="str">
        <f>IFERROR(__xludf.DUMMYFUNCTION("GOOGLETRANSLATE(D116,""zh-tw"",""es-MX"")"),"No implementado")</f>
        <v>No implementado</v>
      </c>
      <c r="U116" s="234" t="s">
        <v>5737</v>
      </c>
      <c r="V116" s="125" t="str">
        <f>IFERROR(__xludf.DUMMYFUNCTION("GOOGLETRANSLATE(B116,""zh-tw"",""KO"")"),"당근 대검 - 1")</f>
        <v>당근 대검 - 1</v>
      </c>
      <c r="W116" s="113" t="str">
        <f>IFERROR(__xludf.DUMMYFUNCTION("GOOGLETRANSLATE(C116,""zh-tw"",""KO"")"),"캠프파이어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6" s="75" t="str">
        <f>IFERROR(__xludf.DUMMYFUNCTION("GOOGLETRANSLATE(D116,""zh-tw"",""KO"")"),"구현되지 않음")</f>
        <v>구현되지 않음</v>
      </c>
      <c r="Y116" s="234" t="s">
        <v>5737</v>
      </c>
      <c r="Z116" s="114" t="s">
        <v>5747</v>
      </c>
      <c r="AA116" s="150" t="s">
        <v>5748</v>
      </c>
      <c r="AB116" s="132" t="s">
        <v>5422</v>
      </c>
      <c r="AC116" s="234" t="s">
        <v>5737</v>
      </c>
      <c r="AD116" s="112" t="s">
        <v>5749</v>
      </c>
      <c r="AE116" s="111" t="str">
        <f>IFERROR(__xludf.DUMMYFUNCTION("GOOGLETRANSLATE(C116,""zh-tw"",""de"")"),"Wenn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116" s="72" t="s">
        <v>1085</v>
      </c>
      <c r="AG116" s="234" t="s">
        <v>5737</v>
      </c>
      <c r="AH116" s="238" t="s">
        <v>5750</v>
      </c>
      <c r="AI116" s="119" t="s">
        <v>5751</v>
      </c>
      <c r="AJ116" s="120" t="s">
        <v>1253</v>
      </c>
      <c r="AK116" s="234" t="s">
        <v>5737</v>
      </c>
      <c r="AL116" s="125" t="s">
        <v>5752</v>
      </c>
      <c r="AM116" s="113" t="s">
        <v>5753</v>
      </c>
      <c r="AN116" s="75" t="s">
        <v>1404</v>
      </c>
      <c r="AO116" s="234" t="s">
        <v>5737</v>
      </c>
      <c r="AP116" s="108" t="s">
        <v>5754</v>
      </c>
      <c r="AQ116" s="113" t="s">
        <v>5755</v>
      </c>
      <c r="AR116" s="75" t="s">
        <v>1659</v>
      </c>
      <c r="AS116" s="75"/>
      <c r="AT116" s="75"/>
    </row>
    <row r="117">
      <c r="A117" s="234" t="s">
        <v>5756</v>
      </c>
      <c r="B117" s="112" t="s">
        <v>5757</v>
      </c>
      <c r="C117" s="111" t="s">
        <v>5758</v>
      </c>
      <c r="D117" s="72" t="s">
        <v>5759</v>
      </c>
      <c r="E117" s="234" t="s">
        <v>5756</v>
      </c>
      <c r="F117" s="112" t="s">
        <v>5760</v>
      </c>
      <c r="G117" s="111" t="s">
        <v>5761</v>
      </c>
      <c r="H117" s="72" t="s">
        <v>5762</v>
      </c>
      <c r="I117" s="234" t="s">
        <v>5756</v>
      </c>
      <c r="J117" s="112" t="s">
        <v>5763</v>
      </c>
      <c r="K117" s="111" t="s">
        <v>5764</v>
      </c>
      <c r="L117" s="72" t="s">
        <v>5765</v>
      </c>
      <c r="M117" s="234" t="s">
        <v>5756</v>
      </c>
      <c r="N117" s="112" t="str">
        <f>IFERROR(__xludf.DUMMYFUNCTION("GOOGLETRANSLATE(B117,""zh-tw"",""zh"")"),"封印之柱")</f>
        <v>封印之柱</v>
      </c>
      <c r="O117" s="113" t="s">
        <v>5766</v>
      </c>
      <c r="P117" s="75" t="str">
        <f>IFERROR(__xludf.DUMMYFUNCTION("GOOGLETRANSLATE(D117,""zh-tw"",""zh"")"),"领域范围内玩家无法自由离开，且领域内会出现强力怪物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7" s="234" t="s">
        <v>5756</v>
      </c>
      <c r="R117" s="125" t="str">
        <f>IFERROR(__xludf.DUMMYFUNCTION("GOOGLETRANSLATE(B117,""zh-tw"",""es-MX"")"),"Pilar del Sello")</f>
        <v>Pilar del Sello</v>
      </c>
      <c r="S117" s="113" t="str">
        <f>IFERROR(__xludf.DUMMYFUNCTION("GOOGLETRANSLATE(C117,""zh-tw"",""es-MX"")"),"Cuando la ""Concentración de Aura Abisal"" supera cierto valor, el ""Pilar de Sellado"" aparecerá en una ubicación aleatoria del Abismo.
La [Carta del Tarot - Torre] puede invocarlo directamente y marcar su ubicación (el jugador debe estar en el Abismo).")</f>
        <v>Cuando la "Concentración de Aura Abisal" supera cierto valor, el "Pilar de Sellado" aparecerá en una ubicación aleatoria del Abismo.
La [Carta del Tarot - Torre] puede invocarlo directamente y marcar su ubicación (el jugador debe estar en el Abismo).</v>
      </c>
      <c r="T117" s="75" t="str">
        <f>IFERROR(__xludf.DUMMYFUNCTION("GOOGLETRANSLATE(D117,""zh-tw"",""es-MX"")"),"Los jugadores no pueden abandonar la zona libremente, y aparecerán poderosos monstruos en su interior.
En la fase final aparecerá el [Demonio lascivo].
Debes derrotar a todos los monstruos para eliminar el muro de la zona.
Los monstruos del mapa, tanto"&amp;" dentro como fuera de la zona, también sufrirán daño al atravesar el muro.
Puedes escapar usando la teletransportación, pero el pilar de sellado desaparecerá tras tu huida.")</f>
        <v>Los jugadores no pueden abandonar la zona libremente, y aparecerán poderosos monstruos en su interior.
En la fase final aparecerá el [Demonio lascivo].
Debes derrotar a todos los monstruos para eliminar el muro de la zona.
Los monstruos del mapa, tanto dentro como fuera de la zona, también sufrirán daño al atravesar el muro.
Puedes escapar usando la teletransportación, pero el pilar de sellado desaparecerá tras tu huida.</v>
      </c>
      <c r="U117" s="234" t="s">
        <v>5756</v>
      </c>
      <c r="V117" s="125" t="str">
        <f>IFERROR(__xludf.DUMMYFUNCTION("GOOGLETRANSLATE(B117,""zh-tw"",""KO"")"),"봉인의 기둥")</f>
        <v>봉인의 기둥</v>
      </c>
      <c r="W117" s="113" t="str">
        <f>IFERROR(__xludf.DUMMYFUNCTION("GOOGLETRANSLATE(C117,""zh-tw"",""KO"")"),"""심연의 기운 집중도""가 특정 값을 초과하면 심연의 임의 위치에 ""봉인 기둥""이 나타납니다.
[타로 카드 - 탑]을 사용하면 봉인 기둥을 직접 소환하고 위치를 표시할 수 있습니다 (플레이어는 심연에 있어야 합니다).")</f>
        <v>"심연의 기운 집중도"가 특정 값을 초과하면 심연의 임의 위치에 "봉인 기둥"이 나타납니다.
[타로 카드 - 탑]을 사용하면 봉인 기둥을 직접 소환하고 위치를 표시할 수 있습니다 (플레이어는 심연에 있어야 합니다).</v>
      </c>
      <c r="X117" s="75" t="str">
        <f>IFERROR(__xludf.DUMMYFUNCTION("GOOGLETRANSLATE(D117,""zh-tw"",""KO"")"),"플레이어는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7" s="234" t="s">
        <v>5756</v>
      </c>
      <c r="Z117" s="114" t="s">
        <v>5767</v>
      </c>
      <c r="AA117" s="150" t="s">
        <v>5768</v>
      </c>
      <c r="AB117" s="132" t="s">
        <v>5769</v>
      </c>
      <c r="AC117" s="234" t="s">
        <v>5756</v>
      </c>
      <c r="AD117" s="112" t="s">
        <v>5770</v>
      </c>
      <c r="AE117" s="111" t="s">
        <v>5771</v>
      </c>
      <c r="AF117" s="72" t="s">
        <v>5772</v>
      </c>
      <c r="AG117" s="234" t="s">
        <v>5756</v>
      </c>
      <c r="AH117" s="239" t="s">
        <v>5773</v>
      </c>
      <c r="AI117" s="130" t="s">
        <v>5774</v>
      </c>
      <c r="AJ117" s="120" t="s">
        <v>5775</v>
      </c>
      <c r="AK117" s="234" t="s">
        <v>5756</v>
      </c>
      <c r="AL117" s="125" t="s">
        <v>5776</v>
      </c>
      <c r="AM117" s="113" t="s">
        <v>5777</v>
      </c>
      <c r="AN117" s="75" t="s">
        <v>5778</v>
      </c>
      <c r="AO117" s="234" t="s">
        <v>5756</v>
      </c>
      <c r="AP117" s="108" t="s">
        <v>5779</v>
      </c>
      <c r="AQ117" s="113" t="s">
        <v>5780</v>
      </c>
      <c r="AR117" s="75" t="s">
        <v>5781</v>
      </c>
      <c r="AS117" s="75"/>
      <c r="AT117" s="75"/>
    </row>
    <row r="118">
      <c r="A118" s="234" t="s">
        <v>5782</v>
      </c>
      <c r="B118" s="112" t="s">
        <v>5783</v>
      </c>
      <c r="C118" s="111" t="s">
        <v>5784</v>
      </c>
      <c r="D118" s="72" t="s">
        <v>5785</v>
      </c>
      <c r="E118" s="282"/>
      <c r="F118" s="112" t="s">
        <v>5786</v>
      </c>
      <c r="G118" s="111" t="s">
        <v>5787</v>
      </c>
      <c r="H118" s="72" t="s">
        <v>5788</v>
      </c>
      <c r="I118" s="234" t="s">
        <v>5782</v>
      </c>
      <c r="J118" s="112" t="s">
        <v>5789</v>
      </c>
      <c r="K118" s="111" t="s">
        <v>5790</v>
      </c>
      <c r="L118" s="72" t="s">
        <v>5791</v>
      </c>
      <c r="M118" s="282"/>
      <c r="N118" s="125"/>
      <c r="O118" s="113"/>
      <c r="P118" s="75"/>
      <c r="Q118" s="282"/>
      <c r="R118" s="125"/>
      <c r="S118" s="113"/>
      <c r="T118" s="75"/>
      <c r="U118" s="282"/>
      <c r="V118" s="125"/>
      <c r="W118" s="113"/>
      <c r="X118" s="75"/>
      <c r="Y118" s="234" t="s">
        <v>5782</v>
      </c>
      <c r="Z118" s="179" t="s">
        <v>5792</v>
      </c>
      <c r="AA118" s="283" t="s">
        <v>5793</v>
      </c>
      <c r="AB118" s="181" t="s">
        <v>5794</v>
      </c>
      <c r="AC118" s="282"/>
      <c r="AD118" s="125"/>
      <c r="AE118" s="241"/>
      <c r="AF118" s="284"/>
      <c r="AG118" s="282"/>
      <c r="AH118" s="285"/>
      <c r="AI118" s="286"/>
      <c r="AJ118" s="188"/>
      <c r="AK118" s="234" t="s">
        <v>5782</v>
      </c>
      <c r="AL118" s="287" t="s">
        <v>5795</v>
      </c>
      <c r="AM118" s="111" t="s">
        <v>5796</v>
      </c>
      <c r="AN118" s="72" t="s">
        <v>5797</v>
      </c>
      <c r="AO118" s="282"/>
      <c r="AP118" s="288"/>
      <c r="AQ118" s="289"/>
      <c r="AR118" s="75"/>
      <c r="AS118" s="75"/>
      <c r="AT118" s="75"/>
    </row>
    <row r="119">
      <c r="A119" s="282"/>
      <c r="B119" s="125"/>
      <c r="C119" s="113"/>
      <c r="D119" s="75"/>
      <c r="E119" s="282"/>
      <c r="F119" s="125"/>
      <c r="G119" s="113"/>
      <c r="H119" s="75"/>
      <c r="I119" s="282"/>
      <c r="J119" s="125"/>
      <c r="K119" s="113"/>
      <c r="L119" s="75"/>
      <c r="M119" s="282"/>
      <c r="N119" s="125"/>
      <c r="O119" s="113"/>
      <c r="P119" s="75"/>
      <c r="Q119" s="282"/>
      <c r="R119" s="125"/>
      <c r="S119" s="113"/>
      <c r="T119" s="75"/>
      <c r="U119" s="282"/>
      <c r="V119" s="125"/>
      <c r="W119" s="113"/>
      <c r="X119" s="75"/>
      <c r="Y119" s="282"/>
      <c r="Z119" s="290"/>
      <c r="AA119" s="291"/>
      <c r="AB119" s="73"/>
      <c r="AC119" s="282"/>
      <c r="AD119" s="125"/>
      <c r="AE119" s="241"/>
      <c r="AF119" s="284"/>
      <c r="AG119" s="282"/>
      <c r="AH119" s="285"/>
      <c r="AI119" s="286"/>
      <c r="AJ119" s="188"/>
      <c r="AK119" s="282"/>
      <c r="AL119" s="288"/>
      <c r="AM119" s="289"/>
      <c r="AN119" s="75"/>
      <c r="AO119" s="282"/>
      <c r="AP119" s="288"/>
      <c r="AQ119" s="289"/>
      <c r="AR119" s="75"/>
      <c r="AS119" s="75"/>
      <c r="AT119" s="75"/>
    </row>
    <row r="120">
      <c r="A120" s="282"/>
      <c r="B120" s="125"/>
      <c r="C120" s="113"/>
      <c r="D120" s="75"/>
      <c r="E120" s="282"/>
      <c r="F120" s="125"/>
      <c r="G120" s="113"/>
      <c r="H120" s="75"/>
      <c r="I120" s="282"/>
      <c r="J120" s="125"/>
      <c r="K120" s="113"/>
      <c r="L120" s="75"/>
      <c r="M120" s="282"/>
      <c r="N120" s="125"/>
      <c r="O120" s="113"/>
      <c r="P120" s="75"/>
      <c r="Q120" s="282"/>
      <c r="R120" s="125"/>
      <c r="S120" s="113"/>
      <c r="T120" s="75"/>
      <c r="U120" s="282"/>
      <c r="V120" s="125"/>
      <c r="W120" s="113"/>
      <c r="X120" s="75"/>
      <c r="Y120" s="282"/>
      <c r="Z120" s="290"/>
      <c r="AA120" s="291"/>
      <c r="AB120" s="73"/>
      <c r="AC120" s="282"/>
      <c r="AD120" s="125"/>
      <c r="AE120" s="241"/>
      <c r="AF120" s="284"/>
      <c r="AG120" s="282"/>
      <c r="AH120" s="285"/>
      <c r="AI120" s="286"/>
      <c r="AJ120" s="188"/>
      <c r="AK120" s="282"/>
      <c r="AL120" s="288"/>
      <c r="AM120" s="289"/>
      <c r="AN120" s="75"/>
      <c r="AO120" s="282"/>
      <c r="AP120" s="288"/>
      <c r="AQ120" s="289"/>
      <c r="AR120" s="75"/>
      <c r="AS120" s="75"/>
      <c r="AT120" s="75"/>
    </row>
    <row r="121">
      <c r="A121" s="282"/>
      <c r="B121" s="125"/>
      <c r="C121" s="113"/>
      <c r="D121" s="75"/>
      <c r="E121" s="282"/>
      <c r="F121" s="125"/>
      <c r="G121" s="113"/>
      <c r="H121" s="75"/>
      <c r="I121" s="282"/>
      <c r="J121" s="125"/>
      <c r="K121" s="113"/>
      <c r="L121" s="75"/>
      <c r="M121" s="282"/>
      <c r="N121" s="125"/>
      <c r="O121" s="113"/>
      <c r="P121" s="75"/>
      <c r="Q121" s="282"/>
      <c r="R121" s="125"/>
      <c r="S121" s="113"/>
      <c r="T121" s="75"/>
      <c r="U121" s="282"/>
      <c r="V121" s="125"/>
      <c r="W121" s="113"/>
      <c r="X121" s="75"/>
      <c r="Y121" s="282"/>
      <c r="Z121" s="290"/>
      <c r="AA121" s="291"/>
      <c r="AB121" s="73"/>
      <c r="AC121" s="282"/>
      <c r="AD121" s="125"/>
      <c r="AE121" s="241"/>
      <c r="AF121" s="284"/>
      <c r="AG121" s="282"/>
      <c r="AH121" s="285"/>
      <c r="AI121" s="286"/>
      <c r="AJ121" s="188"/>
      <c r="AK121" s="282"/>
      <c r="AL121" s="288"/>
      <c r="AM121" s="289"/>
      <c r="AN121" s="75"/>
      <c r="AO121" s="282"/>
      <c r="AP121" s="288"/>
      <c r="AQ121" s="289"/>
      <c r="AR121" s="75"/>
      <c r="AS121" s="75"/>
      <c r="AT121" s="75"/>
    </row>
    <row r="122">
      <c r="A122" s="282"/>
      <c r="B122" s="125"/>
      <c r="C122" s="113"/>
      <c r="D122" s="75"/>
      <c r="E122" s="282"/>
      <c r="F122" s="125"/>
      <c r="G122" s="113"/>
      <c r="H122" s="75"/>
      <c r="I122" s="282"/>
      <c r="J122" s="125"/>
      <c r="K122" s="113"/>
      <c r="L122" s="75"/>
      <c r="M122" s="282"/>
      <c r="N122" s="125"/>
      <c r="O122" s="113"/>
      <c r="P122" s="75"/>
      <c r="Q122" s="282"/>
      <c r="R122" s="125"/>
      <c r="S122" s="113"/>
      <c r="T122" s="75"/>
      <c r="U122" s="282"/>
      <c r="V122" s="125"/>
      <c r="W122" s="113"/>
      <c r="X122" s="75"/>
      <c r="Y122" s="282"/>
      <c r="Z122" s="290"/>
      <c r="AA122" s="291"/>
      <c r="AB122" s="73"/>
      <c r="AC122" s="282"/>
      <c r="AD122" s="125"/>
      <c r="AE122" s="241"/>
      <c r="AF122" s="284"/>
      <c r="AG122" s="282"/>
      <c r="AH122" s="285"/>
      <c r="AI122" s="286"/>
      <c r="AJ122" s="188"/>
      <c r="AK122" s="282"/>
      <c r="AL122" s="288"/>
      <c r="AM122" s="289"/>
      <c r="AN122" s="75"/>
      <c r="AO122" s="282"/>
      <c r="AP122" s="288"/>
      <c r="AQ122" s="289"/>
      <c r="AR122" s="75"/>
      <c r="AS122" s="75"/>
      <c r="AT122" s="75"/>
    </row>
    <row r="123">
      <c r="A123" s="282"/>
      <c r="B123" s="125"/>
      <c r="C123" s="113"/>
      <c r="D123" s="75"/>
      <c r="E123" s="282"/>
      <c r="F123" s="125"/>
      <c r="G123" s="113"/>
      <c r="H123" s="75"/>
      <c r="I123" s="282"/>
      <c r="J123" s="125"/>
      <c r="K123" s="113"/>
      <c r="L123" s="75"/>
      <c r="M123" s="282"/>
      <c r="N123" s="125"/>
      <c r="O123" s="113"/>
      <c r="P123" s="75"/>
      <c r="Q123" s="282"/>
      <c r="R123" s="125"/>
      <c r="S123" s="113"/>
      <c r="T123" s="75"/>
      <c r="U123" s="282"/>
      <c r="V123" s="125"/>
      <c r="W123" s="113"/>
      <c r="X123" s="75"/>
      <c r="Y123" s="282"/>
      <c r="Z123" s="290"/>
      <c r="AA123" s="291"/>
      <c r="AB123" s="73"/>
      <c r="AC123" s="282"/>
      <c r="AD123" s="125"/>
      <c r="AE123" s="241"/>
      <c r="AF123" s="284"/>
      <c r="AG123" s="282"/>
      <c r="AH123" s="285"/>
      <c r="AI123" s="286"/>
      <c r="AJ123" s="188"/>
      <c r="AK123" s="282"/>
      <c r="AL123" s="288"/>
      <c r="AM123" s="289"/>
      <c r="AN123" s="75"/>
      <c r="AO123" s="282"/>
      <c r="AP123" s="288"/>
      <c r="AQ123" s="289"/>
      <c r="AR123" s="75"/>
      <c r="AS123" s="75"/>
      <c r="AT123" s="75"/>
    </row>
    <row r="124">
      <c r="A124" s="282"/>
      <c r="B124" s="125"/>
      <c r="C124" s="113"/>
      <c r="D124" s="75"/>
      <c r="E124" s="282"/>
      <c r="F124" s="125"/>
      <c r="G124" s="113"/>
      <c r="H124" s="75"/>
      <c r="I124" s="282"/>
      <c r="J124" s="125"/>
      <c r="K124" s="113"/>
      <c r="L124" s="75"/>
      <c r="M124" s="282"/>
      <c r="N124" s="125"/>
      <c r="O124" s="113"/>
      <c r="P124" s="75"/>
      <c r="Q124" s="282"/>
      <c r="R124" s="125"/>
      <c r="S124" s="113"/>
      <c r="T124" s="75"/>
      <c r="U124" s="282"/>
      <c r="V124" s="125"/>
      <c r="W124" s="113"/>
      <c r="X124" s="75"/>
      <c r="Y124" s="282"/>
      <c r="Z124" s="290"/>
      <c r="AA124" s="291"/>
      <c r="AB124" s="73"/>
      <c r="AC124" s="282"/>
      <c r="AD124" s="125"/>
      <c r="AE124" s="241"/>
      <c r="AF124" s="284"/>
      <c r="AG124" s="282"/>
      <c r="AH124" s="285"/>
      <c r="AI124" s="286"/>
      <c r="AJ124" s="188"/>
      <c r="AK124" s="282"/>
      <c r="AL124" s="288"/>
      <c r="AM124" s="289"/>
      <c r="AN124" s="75"/>
      <c r="AO124" s="282"/>
      <c r="AP124" s="288"/>
      <c r="AQ124" s="289"/>
      <c r="AR124" s="75"/>
      <c r="AS124" s="75"/>
      <c r="AT124" s="75"/>
    </row>
    <row r="125">
      <c r="A125" s="282"/>
      <c r="B125" s="125"/>
      <c r="C125" s="113"/>
      <c r="D125" s="75"/>
      <c r="E125" s="282"/>
      <c r="F125" s="125"/>
      <c r="G125" s="113"/>
      <c r="H125" s="75"/>
      <c r="I125" s="282"/>
      <c r="J125" s="125"/>
      <c r="K125" s="113"/>
      <c r="L125" s="75"/>
      <c r="M125" s="282"/>
      <c r="N125" s="125"/>
      <c r="O125" s="113"/>
      <c r="P125" s="75"/>
      <c r="Q125" s="282"/>
      <c r="R125" s="125"/>
      <c r="S125" s="113"/>
      <c r="T125" s="75"/>
      <c r="U125" s="282"/>
      <c r="V125" s="125"/>
      <c r="W125" s="113"/>
      <c r="X125" s="75"/>
      <c r="Y125" s="282"/>
      <c r="Z125" s="290"/>
      <c r="AA125" s="291"/>
      <c r="AB125" s="73"/>
      <c r="AC125" s="282"/>
      <c r="AD125" s="125"/>
      <c r="AE125" s="241"/>
      <c r="AF125" s="284"/>
      <c r="AG125" s="282"/>
      <c r="AH125" s="285"/>
      <c r="AI125" s="286"/>
      <c r="AJ125" s="188"/>
      <c r="AK125" s="282"/>
      <c r="AL125" s="288"/>
      <c r="AM125" s="289"/>
      <c r="AN125" s="75"/>
      <c r="AO125" s="282"/>
      <c r="AP125" s="288"/>
      <c r="AQ125" s="289"/>
      <c r="AR125" s="75"/>
      <c r="AS125" s="75"/>
      <c r="AT125" s="75"/>
    </row>
    <row r="126">
      <c r="A126" s="282"/>
      <c r="B126" s="125"/>
      <c r="C126" s="113"/>
      <c r="D126" s="75"/>
      <c r="E126" s="282"/>
      <c r="F126" s="125"/>
      <c r="G126" s="113"/>
      <c r="H126" s="75"/>
      <c r="I126" s="282"/>
      <c r="J126" s="125"/>
      <c r="K126" s="113"/>
      <c r="L126" s="75"/>
      <c r="M126" s="282"/>
      <c r="N126" s="125"/>
      <c r="O126" s="113"/>
      <c r="P126" s="75"/>
      <c r="Q126" s="282"/>
      <c r="R126" s="125"/>
      <c r="S126" s="113"/>
      <c r="T126" s="75"/>
      <c r="U126" s="282"/>
      <c r="V126" s="125"/>
      <c r="W126" s="113"/>
      <c r="X126" s="75"/>
      <c r="Y126" s="282"/>
      <c r="Z126" s="290"/>
      <c r="AA126" s="291"/>
      <c r="AB126" s="73"/>
      <c r="AC126" s="282"/>
      <c r="AD126" s="125"/>
      <c r="AE126" s="241"/>
      <c r="AF126" s="284"/>
      <c r="AG126" s="282"/>
      <c r="AH126" s="285"/>
      <c r="AI126" s="286"/>
      <c r="AJ126" s="188"/>
      <c r="AK126" s="282"/>
      <c r="AL126" s="288"/>
      <c r="AM126" s="289"/>
      <c r="AN126" s="75"/>
      <c r="AO126" s="282"/>
      <c r="AP126" s="288"/>
      <c r="AQ126" s="289"/>
      <c r="AR126" s="75"/>
      <c r="AS126" s="75"/>
      <c r="AT126" s="75"/>
    </row>
    <row r="127">
      <c r="A127" s="282"/>
      <c r="B127" s="125"/>
      <c r="C127" s="113"/>
      <c r="D127" s="75"/>
      <c r="E127" s="282"/>
      <c r="F127" s="125"/>
      <c r="G127" s="113"/>
      <c r="H127" s="75"/>
      <c r="I127" s="282"/>
      <c r="J127" s="125"/>
      <c r="K127" s="113"/>
      <c r="L127" s="75"/>
      <c r="M127" s="282"/>
      <c r="N127" s="125"/>
      <c r="O127" s="113"/>
      <c r="P127" s="75"/>
      <c r="Q127" s="282"/>
      <c r="R127" s="125"/>
      <c r="S127" s="113"/>
      <c r="T127" s="75"/>
      <c r="U127" s="282"/>
      <c r="V127" s="125"/>
      <c r="W127" s="113"/>
      <c r="X127" s="75"/>
      <c r="Y127" s="282"/>
      <c r="Z127" s="290"/>
      <c r="AA127" s="291"/>
      <c r="AB127" s="73"/>
      <c r="AC127" s="282"/>
      <c r="AD127" s="125"/>
      <c r="AE127" s="241"/>
      <c r="AF127" s="284"/>
      <c r="AG127" s="282"/>
      <c r="AH127" s="285"/>
      <c r="AI127" s="286"/>
      <c r="AJ127" s="188"/>
      <c r="AK127" s="282"/>
      <c r="AL127" s="288"/>
      <c r="AM127" s="289"/>
      <c r="AN127" s="75"/>
      <c r="AO127" s="282"/>
      <c r="AP127" s="288"/>
      <c r="AQ127" s="289"/>
      <c r="AR127" s="75"/>
      <c r="AS127" s="75"/>
      <c r="AT127" s="75"/>
    </row>
    <row r="128">
      <c r="A128" s="282"/>
      <c r="B128" s="125"/>
      <c r="C128" s="113"/>
      <c r="D128" s="75"/>
      <c r="E128" s="282"/>
      <c r="F128" s="125"/>
      <c r="G128" s="113"/>
      <c r="H128" s="75"/>
      <c r="I128" s="282"/>
      <c r="J128" s="125"/>
      <c r="K128" s="113"/>
      <c r="L128" s="75"/>
      <c r="M128" s="282"/>
      <c r="N128" s="125"/>
      <c r="O128" s="113"/>
      <c r="P128" s="75"/>
      <c r="Q128" s="282"/>
      <c r="R128" s="125"/>
      <c r="S128" s="113"/>
      <c r="T128" s="75"/>
      <c r="U128" s="282"/>
      <c r="V128" s="125"/>
      <c r="W128" s="113"/>
      <c r="X128" s="75"/>
      <c r="Y128" s="282"/>
      <c r="Z128" s="290"/>
      <c r="AA128" s="291"/>
      <c r="AB128" s="73"/>
      <c r="AC128" s="282"/>
      <c r="AD128" s="125"/>
      <c r="AE128" s="241"/>
      <c r="AF128" s="284"/>
      <c r="AG128" s="282"/>
      <c r="AH128" s="285"/>
      <c r="AI128" s="286"/>
      <c r="AJ128" s="188"/>
      <c r="AK128" s="282"/>
      <c r="AL128" s="288"/>
      <c r="AM128" s="289"/>
      <c r="AN128" s="75"/>
      <c r="AO128" s="282"/>
      <c r="AP128" s="288"/>
      <c r="AQ128" s="289"/>
      <c r="AR128" s="75"/>
      <c r="AS128" s="75"/>
      <c r="AT128" s="75"/>
    </row>
    <row r="129">
      <c r="A129" s="282"/>
      <c r="B129" s="125"/>
      <c r="C129" s="113"/>
      <c r="D129" s="75"/>
      <c r="E129" s="282"/>
      <c r="F129" s="125"/>
      <c r="G129" s="113"/>
      <c r="H129" s="75"/>
      <c r="I129" s="282"/>
      <c r="J129" s="125"/>
      <c r="K129" s="113"/>
      <c r="L129" s="75"/>
      <c r="M129" s="282"/>
      <c r="N129" s="125"/>
      <c r="O129" s="113"/>
      <c r="P129" s="75"/>
      <c r="Q129" s="282"/>
      <c r="R129" s="125"/>
      <c r="S129" s="113"/>
      <c r="T129" s="75"/>
      <c r="U129" s="282"/>
      <c r="V129" s="125"/>
      <c r="W129" s="113"/>
      <c r="X129" s="75"/>
      <c r="Y129" s="282"/>
      <c r="Z129" s="290"/>
      <c r="AA129" s="291"/>
      <c r="AB129" s="73"/>
      <c r="AC129" s="282"/>
      <c r="AD129" s="125"/>
      <c r="AE129" s="241"/>
      <c r="AF129" s="284"/>
      <c r="AG129" s="282"/>
      <c r="AH129" s="285"/>
      <c r="AI129" s="286"/>
      <c r="AJ129" s="188"/>
      <c r="AK129" s="282"/>
      <c r="AL129" s="288"/>
      <c r="AM129" s="289"/>
      <c r="AN129" s="75"/>
      <c r="AO129" s="282"/>
      <c r="AP129" s="288"/>
      <c r="AQ129" s="289"/>
      <c r="AR129" s="75"/>
      <c r="AS129" s="75"/>
      <c r="AT129" s="75"/>
    </row>
    <row r="130">
      <c r="A130" s="282"/>
      <c r="B130" s="125"/>
      <c r="C130" s="113"/>
      <c r="D130" s="75"/>
      <c r="E130" s="282"/>
      <c r="F130" s="125"/>
      <c r="G130" s="113"/>
      <c r="H130" s="75"/>
      <c r="I130" s="282"/>
      <c r="J130" s="125"/>
      <c r="K130" s="113"/>
      <c r="L130" s="75"/>
      <c r="M130" s="282"/>
      <c r="N130" s="125"/>
      <c r="O130" s="113"/>
      <c r="P130" s="75"/>
      <c r="Q130" s="282"/>
      <c r="R130" s="125"/>
      <c r="S130" s="113"/>
      <c r="T130" s="75"/>
      <c r="U130" s="282"/>
      <c r="V130" s="125"/>
      <c r="W130" s="113"/>
      <c r="X130" s="75"/>
      <c r="Y130" s="282"/>
      <c r="Z130" s="290"/>
      <c r="AA130" s="291"/>
      <c r="AB130" s="73"/>
      <c r="AC130" s="282"/>
      <c r="AD130" s="125"/>
      <c r="AE130" s="241"/>
      <c r="AF130" s="284"/>
      <c r="AG130" s="282"/>
      <c r="AH130" s="285"/>
      <c r="AI130" s="286"/>
      <c r="AJ130" s="188"/>
      <c r="AK130" s="282"/>
      <c r="AL130" s="288"/>
      <c r="AM130" s="289"/>
      <c r="AN130" s="75"/>
      <c r="AO130" s="282"/>
      <c r="AP130" s="288"/>
      <c r="AQ130" s="289"/>
      <c r="AR130" s="75"/>
      <c r="AS130" s="75"/>
      <c r="AT130" s="75"/>
    </row>
    <row r="131">
      <c r="A131" s="282"/>
      <c r="B131" s="125"/>
      <c r="C131" s="113"/>
      <c r="D131" s="75"/>
      <c r="E131" s="282"/>
      <c r="F131" s="125"/>
      <c r="G131" s="113"/>
      <c r="H131" s="75"/>
      <c r="I131" s="282"/>
      <c r="J131" s="125"/>
      <c r="K131" s="113"/>
      <c r="L131" s="75"/>
      <c r="M131" s="282"/>
      <c r="N131" s="125"/>
      <c r="O131" s="113"/>
      <c r="P131" s="75"/>
      <c r="Q131" s="282"/>
      <c r="R131" s="125"/>
      <c r="S131" s="113"/>
      <c r="T131" s="75"/>
      <c r="U131" s="282"/>
      <c r="V131" s="125"/>
      <c r="W131" s="113"/>
      <c r="X131" s="75"/>
      <c r="Y131" s="282"/>
      <c r="Z131" s="290"/>
      <c r="AA131" s="291"/>
      <c r="AB131" s="73"/>
      <c r="AC131" s="282"/>
      <c r="AD131" s="125"/>
      <c r="AE131" s="241"/>
      <c r="AF131" s="284"/>
      <c r="AG131" s="282"/>
      <c r="AH131" s="285"/>
      <c r="AI131" s="286"/>
      <c r="AJ131" s="188"/>
      <c r="AK131" s="282"/>
      <c r="AL131" s="288"/>
      <c r="AM131" s="289"/>
      <c r="AN131" s="75"/>
      <c r="AO131" s="282"/>
      <c r="AP131" s="288"/>
      <c r="AQ131" s="289"/>
      <c r="AR131" s="75"/>
      <c r="AS131" s="75"/>
      <c r="AT131" s="75"/>
    </row>
    <row r="132">
      <c r="A132" s="282"/>
      <c r="B132" s="125"/>
      <c r="C132" s="113"/>
      <c r="D132" s="75"/>
      <c r="E132" s="282"/>
      <c r="F132" s="125"/>
      <c r="G132" s="113"/>
      <c r="H132" s="75"/>
      <c r="I132" s="282"/>
      <c r="J132" s="125"/>
      <c r="K132" s="113"/>
      <c r="L132" s="75"/>
      <c r="M132" s="282"/>
      <c r="N132" s="125"/>
      <c r="O132" s="113"/>
      <c r="P132" s="75"/>
      <c r="Q132" s="282"/>
      <c r="R132" s="125"/>
      <c r="S132" s="113"/>
      <c r="T132" s="75"/>
      <c r="U132" s="282"/>
      <c r="V132" s="125"/>
      <c r="W132" s="113"/>
      <c r="X132" s="75"/>
      <c r="Y132" s="282"/>
      <c r="Z132" s="290"/>
      <c r="AA132" s="291"/>
      <c r="AB132" s="73"/>
      <c r="AC132" s="282"/>
      <c r="AD132" s="125"/>
      <c r="AE132" s="241"/>
      <c r="AF132" s="284"/>
      <c r="AG132" s="282"/>
      <c r="AH132" s="285"/>
      <c r="AI132" s="286"/>
      <c r="AJ132" s="188"/>
      <c r="AK132" s="282"/>
      <c r="AL132" s="288"/>
      <c r="AM132" s="289"/>
      <c r="AN132" s="75"/>
      <c r="AO132" s="282"/>
      <c r="AP132" s="288"/>
      <c r="AQ132" s="289"/>
      <c r="AR132" s="75"/>
      <c r="AS132" s="75"/>
      <c r="AT132" s="75"/>
    </row>
    <row r="133">
      <c r="A133" s="282"/>
      <c r="B133" s="125"/>
      <c r="C133" s="113"/>
      <c r="D133" s="75"/>
      <c r="E133" s="282"/>
      <c r="F133" s="125"/>
      <c r="G133" s="113"/>
      <c r="H133" s="75"/>
      <c r="I133" s="282"/>
      <c r="J133" s="125"/>
      <c r="K133" s="113"/>
      <c r="L133" s="75"/>
      <c r="M133" s="282"/>
      <c r="N133" s="125"/>
      <c r="O133" s="113"/>
      <c r="P133" s="75"/>
      <c r="Q133" s="282"/>
      <c r="R133" s="125"/>
      <c r="S133" s="113"/>
      <c r="T133" s="75"/>
      <c r="U133" s="282"/>
      <c r="V133" s="125"/>
      <c r="W133" s="113"/>
      <c r="X133" s="75"/>
      <c r="Y133" s="282"/>
      <c r="Z133" s="290"/>
      <c r="AA133" s="291"/>
      <c r="AB133" s="73"/>
      <c r="AC133" s="282"/>
      <c r="AD133" s="125"/>
      <c r="AE133" s="241"/>
      <c r="AF133" s="284"/>
      <c r="AG133" s="282"/>
      <c r="AH133" s="285"/>
      <c r="AI133" s="286"/>
      <c r="AJ133" s="188"/>
      <c r="AK133" s="282"/>
      <c r="AL133" s="288"/>
      <c r="AM133" s="289"/>
      <c r="AN133" s="75"/>
      <c r="AO133" s="282"/>
      <c r="AP133" s="288"/>
      <c r="AQ133" s="289"/>
      <c r="AR133" s="75"/>
      <c r="AS133" s="75"/>
      <c r="AT133" s="75"/>
    </row>
    <row r="134">
      <c r="A134" s="282"/>
      <c r="B134" s="125"/>
      <c r="C134" s="113"/>
      <c r="D134" s="75"/>
      <c r="E134" s="282"/>
      <c r="F134" s="125"/>
      <c r="G134" s="113"/>
      <c r="H134" s="75"/>
      <c r="I134" s="282"/>
      <c r="J134" s="125"/>
      <c r="K134" s="113"/>
      <c r="L134" s="75"/>
      <c r="M134" s="282"/>
      <c r="N134" s="125"/>
      <c r="O134" s="113"/>
      <c r="P134" s="75"/>
      <c r="Q134" s="282"/>
      <c r="R134" s="125"/>
      <c r="S134" s="113"/>
      <c r="T134" s="75"/>
      <c r="U134" s="282"/>
      <c r="V134" s="125"/>
      <c r="W134" s="113"/>
      <c r="X134" s="75"/>
      <c r="Y134" s="282"/>
      <c r="Z134" s="290"/>
      <c r="AA134" s="291"/>
      <c r="AB134" s="73"/>
      <c r="AC134" s="282"/>
      <c r="AD134" s="125"/>
      <c r="AE134" s="241"/>
      <c r="AF134" s="284"/>
      <c r="AG134" s="282"/>
      <c r="AH134" s="285"/>
      <c r="AI134" s="286"/>
      <c r="AJ134" s="188"/>
      <c r="AK134" s="282"/>
      <c r="AL134" s="288"/>
      <c r="AM134" s="289"/>
      <c r="AN134" s="75"/>
      <c r="AO134" s="282"/>
      <c r="AP134" s="288"/>
      <c r="AQ134" s="289"/>
      <c r="AR134" s="75"/>
      <c r="AS134" s="75"/>
      <c r="AT134" s="75"/>
    </row>
    <row r="135">
      <c r="A135" s="282"/>
      <c r="B135" s="125"/>
      <c r="C135" s="113"/>
      <c r="D135" s="75"/>
      <c r="E135" s="282"/>
      <c r="F135" s="125"/>
      <c r="G135" s="113"/>
      <c r="H135" s="75"/>
      <c r="I135" s="282"/>
      <c r="J135" s="125"/>
      <c r="K135" s="113"/>
      <c r="L135" s="75"/>
      <c r="M135" s="282"/>
      <c r="N135" s="125"/>
      <c r="O135" s="113"/>
      <c r="P135" s="75"/>
      <c r="Q135" s="282"/>
      <c r="R135" s="125"/>
      <c r="S135" s="113"/>
      <c r="T135" s="75"/>
      <c r="U135" s="282"/>
      <c r="V135" s="125"/>
      <c r="W135" s="113"/>
      <c r="X135" s="75"/>
      <c r="Y135" s="282"/>
      <c r="Z135" s="290"/>
      <c r="AA135" s="291"/>
      <c r="AB135" s="73"/>
      <c r="AC135" s="282"/>
      <c r="AD135" s="125"/>
      <c r="AE135" s="241"/>
      <c r="AF135" s="284"/>
      <c r="AG135" s="282"/>
      <c r="AH135" s="285"/>
      <c r="AI135" s="286"/>
      <c r="AJ135" s="188"/>
      <c r="AK135" s="282"/>
      <c r="AL135" s="288"/>
      <c r="AM135" s="289"/>
      <c r="AN135" s="75"/>
      <c r="AO135" s="282"/>
      <c r="AP135" s="288"/>
      <c r="AQ135" s="289"/>
      <c r="AR135" s="75"/>
      <c r="AS135" s="75"/>
      <c r="AT135" s="75"/>
    </row>
    <row r="136">
      <c r="A136" s="282"/>
      <c r="B136" s="125"/>
      <c r="C136" s="113"/>
      <c r="D136" s="75"/>
      <c r="E136" s="282"/>
      <c r="F136" s="125"/>
      <c r="G136" s="113"/>
      <c r="H136" s="75"/>
      <c r="I136" s="282"/>
      <c r="J136" s="125"/>
      <c r="K136" s="113"/>
      <c r="L136" s="75"/>
      <c r="M136" s="282"/>
      <c r="N136" s="125"/>
      <c r="O136" s="113"/>
      <c r="P136" s="75"/>
      <c r="Q136" s="282"/>
      <c r="R136" s="125"/>
      <c r="S136" s="113"/>
      <c r="T136" s="75"/>
      <c r="U136" s="282"/>
      <c r="V136" s="125"/>
      <c r="W136" s="113"/>
      <c r="X136" s="75"/>
      <c r="Y136" s="282"/>
      <c r="Z136" s="290"/>
      <c r="AA136" s="291"/>
      <c r="AB136" s="73"/>
      <c r="AC136" s="282"/>
      <c r="AD136" s="125"/>
      <c r="AE136" s="241"/>
      <c r="AF136" s="284"/>
      <c r="AG136" s="282"/>
      <c r="AH136" s="285"/>
      <c r="AI136" s="286"/>
      <c r="AJ136" s="188"/>
      <c r="AK136" s="282"/>
      <c r="AL136" s="288"/>
      <c r="AM136" s="289"/>
      <c r="AN136" s="75"/>
      <c r="AO136" s="282"/>
      <c r="AP136" s="288"/>
      <c r="AQ136" s="289"/>
      <c r="AR136" s="75"/>
      <c r="AS136" s="75"/>
      <c r="AT136" s="75"/>
    </row>
    <row r="137">
      <c r="A137" s="282"/>
      <c r="B137" s="125"/>
      <c r="C137" s="113"/>
      <c r="D137" s="75"/>
      <c r="E137" s="282"/>
      <c r="F137" s="125"/>
      <c r="G137" s="113"/>
      <c r="H137" s="75"/>
      <c r="I137" s="282"/>
      <c r="J137" s="125"/>
      <c r="K137" s="113"/>
      <c r="L137" s="75"/>
      <c r="M137" s="282"/>
      <c r="N137" s="125"/>
      <c r="O137" s="113"/>
      <c r="P137" s="75"/>
      <c r="Q137" s="282"/>
      <c r="R137" s="125"/>
      <c r="S137" s="113"/>
      <c r="T137" s="75"/>
      <c r="U137" s="282"/>
      <c r="V137" s="125"/>
      <c r="W137" s="113"/>
      <c r="X137" s="75"/>
      <c r="Y137" s="282"/>
      <c r="Z137" s="290"/>
      <c r="AA137" s="291"/>
      <c r="AB137" s="73"/>
      <c r="AC137" s="282"/>
      <c r="AD137" s="125"/>
      <c r="AE137" s="241"/>
      <c r="AF137" s="284"/>
      <c r="AG137" s="282"/>
      <c r="AH137" s="285"/>
      <c r="AI137" s="286"/>
      <c r="AJ137" s="188"/>
      <c r="AK137" s="282"/>
      <c r="AL137" s="288"/>
      <c r="AM137" s="289"/>
      <c r="AN137" s="75"/>
      <c r="AO137" s="282"/>
      <c r="AP137" s="288"/>
      <c r="AQ137" s="289"/>
      <c r="AR137" s="75"/>
      <c r="AS137" s="75"/>
      <c r="AT137" s="75"/>
    </row>
    <row r="138">
      <c r="A138" s="282"/>
      <c r="B138" s="125"/>
      <c r="C138" s="113"/>
      <c r="D138" s="75"/>
      <c r="E138" s="282"/>
      <c r="F138" s="125"/>
      <c r="G138" s="113"/>
      <c r="H138" s="75"/>
      <c r="I138" s="282"/>
      <c r="J138" s="125"/>
      <c r="K138" s="113"/>
      <c r="L138" s="75"/>
      <c r="M138" s="282"/>
      <c r="N138" s="125"/>
      <c r="O138" s="113"/>
      <c r="P138" s="75"/>
      <c r="Q138" s="282"/>
      <c r="R138" s="125"/>
      <c r="S138" s="113"/>
      <c r="T138" s="75"/>
      <c r="U138" s="282"/>
      <c r="V138" s="125"/>
      <c r="W138" s="113"/>
      <c r="X138" s="75"/>
      <c r="Y138" s="282"/>
      <c r="Z138" s="290"/>
      <c r="AA138" s="291"/>
      <c r="AB138" s="73"/>
      <c r="AC138" s="282"/>
      <c r="AD138" s="125"/>
      <c r="AE138" s="241"/>
      <c r="AF138" s="284"/>
      <c r="AG138" s="282"/>
      <c r="AH138" s="285"/>
      <c r="AI138" s="286"/>
      <c r="AJ138" s="188"/>
      <c r="AK138" s="282"/>
      <c r="AL138" s="288"/>
      <c r="AM138" s="289"/>
      <c r="AN138" s="75"/>
      <c r="AO138" s="282"/>
      <c r="AP138" s="288"/>
      <c r="AQ138" s="289"/>
      <c r="AR138" s="75"/>
      <c r="AS138" s="75"/>
      <c r="AT138" s="75"/>
    </row>
    <row r="139">
      <c r="A139" s="282"/>
      <c r="B139" s="125"/>
      <c r="C139" s="113"/>
      <c r="D139" s="75"/>
      <c r="E139" s="282"/>
      <c r="F139" s="125"/>
      <c r="G139" s="113"/>
      <c r="H139" s="75"/>
      <c r="I139" s="282"/>
      <c r="J139" s="125"/>
      <c r="K139" s="113"/>
      <c r="L139" s="75"/>
      <c r="M139" s="282"/>
      <c r="N139" s="125"/>
      <c r="O139" s="113"/>
      <c r="P139" s="75"/>
      <c r="Q139" s="282"/>
      <c r="R139" s="125"/>
      <c r="S139" s="113"/>
      <c r="T139" s="75"/>
      <c r="U139" s="282"/>
      <c r="V139" s="125"/>
      <c r="W139" s="113"/>
      <c r="X139" s="75"/>
      <c r="Y139" s="282"/>
      <c r="Z139" s="290"/>
      <c r="AA139" s="291"/>
      <c r="AB139" s="73"/>
      <c r="AC139" s="282"/>
      <c r="AD139" s="125"/>
      <c r="AE139" s="241"/>
      <c r="AF139" s="284"/>
      <c r="AG139" s="282"/>
      <c r="AH139" s="285"/>
      <c r="AI139" s="286"/>
      <c r="AJ139" s="188"/>
      <c r="AK139" s="282"/>
      <c r="AL139" s="288"/>
      <c r="AM139" s="289"/>
      <c r="AN139" s="75"/>
      <c r="AO139" s="282"/>
      <c r="AP139" s="288"/>
      <c r="AQ139" s="289"/>
      <c r="AR139" s="75"/>
      <c r="AS139" s="75"/>
      <c r="AT139" s="75"/>
    </row>
    <row r="140">
      <c r="A140" s="282"/>
      <c r="B140" s="125"/>
      <c r="C140" s="113"/>
      <c r="D140" s="75"/>
      <c r="E140" s="282"/>
      <c r="F140" s="125"/>
      <c r="G140" s="113"/>
      <c r="H140" s="75"/>
      <c r="I140" s="282"/>
      <c r="J140" s="125"/>
      <c r="K140" s="113"/>
      <c r="L140" s="75"/>
      <c r="M140" s="282"/>
      <c r="N140" s="125"/>
      <c r="O140" s="113"/>
      <c r="P140" s="75"/>
      <c r="Q140" s="282"/>
      <c r="R140" s="125"/>
      <c r="S140" s="113"/>
      <c r="T140" s="75"/>
      <c r="U140" s="282"/>
      <c r="V140" s="125"/>
      <c r="W140" s="113"/>
      <c r="X140" s="75"/>
      <c r="Y140" s="282"/>
      <c r="Z140" s="290"/>
      <c r="AA140" s="291"/>
      <c r="AB140" s="73"/>
      <c r="AC140" s="282"/>
      <c r="AD140" s="125"/>
      <c r="AE140" s="241"/>
      <c r="AF140" s="284"/>
      <c r="AG140" s="282"/>
      <c r="AH140" s="285"/>
      <c r="AI140" s="286"/>
      <c r="AJ140" s="188"/>
      <c r="AK140" s="282"/>
      <c r="AL140" s="288"/>
      <c r="AM140" s="289"/>
      <c r="AN140" s="75"/>
      <c r="AO140" s="282"/>
      <c r="AP140" s="288"/>
      <c r="AQ140" s="289"/>
      <c r="AR140" s="75"/>
      <c r="AS140" s="75"/>
      <c r="AT140" s="75"/>
    </row>
    <row r="141">
      <c r="A141" s="282"/>
      <c r="B141" s="125"/>
      <c r="C141" s="113"/>
      <c r="D141" s="75"/>
      <c r="E141" s="282"/>
      <c r="F141" s="125"/>
      <c r="G141" s="113"/>
      <c r="H141" s="75"/>
      <c r="I141" s="282"/>
      <c r="J141" s="125"/>
      <c r="K141" s="113"/>
      <c r="L141" s="75"/>
      <c r="M141" s="282"/>
      <c r="N141" s="125"/>
      <c r="O141" s="113"/>
      <c r="P141" s="75"/>
      <c r="Q141" s="282"/>
      <c r="R141" s="125"/>
      <c r="S141" s="113"/>
      <c r="T141" s="75"/>
      <c r="U141" s="282"/>
      <c r="V141" s="125"/>
      <c r="W141" s="113"/>
      <c r="X141" s="75"/>
      <c r="Y141" s="282"/>
      <c r="Z141" s="290"/>
      <c r="AA141" s="291"/>
      <c r="AB141" s="73"/>
      <c r="AC141" s="282"/>
      <c r="AD141" s="125"/>
      <c r="AE141" s="241"/>
      <c r="AF141" s="284"/>
      <c r="AG141" s="282"/>
      <c r="AH141" s="285"/>
      <c r="AI141" s="286"/>
      <c r="AJ141" s="188"/>
      <c r="AK141" s="282"/>
      <c r="AL141" s="288"/>
      <c r="AM141" s="289"/>
      <c r="AN141" s="75"/>
      <c r="AO141" s="282"/>
      <c r="AP141" s="288"/>
      <c r="AQ141" s="289"/>
      <c r="AR141" s="75"/>
      <c r="AS141" s="75"/>
      <c r="AT141" s="75"/>
    </row>
    <row r="142">
      <c r="A142" s="282"/>
      <c r="B142" s="125"/>
      <c r="C142" s="113"/>
      <c r="D142" s="75"/>
      <c r="E142" s="282"/>
      <c r="F142" s="125"/>
      <c r="G142" s="113"/>
      <c r="H142" s="75"/>
      <c r="I142" s="282"/>
      <c r="J142" s="125"/>
      <c r="K142" s="113"/>
      <c r="L142" s="75"/>
      <c r="M142" s="282"/>
      <c r="N142" s="125"/>
      <c r="O142" s="113"/>
      <c r="P142" s="75"/>
      <c r="Q142" s="282"/>
      <c r="R142" s="125"/>
      <c r="S142" s="113"/>
      <c r="T142" s="75"/>
      <c r="U142" s="282"/>
      <c r="V142" s="125"/>
      <c r="W142" s="113"/>
      <c r="X142" s="75"/>
      <c r="Y142" s="282"/>
      <c r="Z142" s="290"/>
      <c r="AA142" s="291"/>
      <c r="AB142" s="73"/>
      <c r="AC142" s="282"/>
      <c r="AD142" s="125"/>
      <c r="AE142" s="241"/>
      <c r="AF142" s="284"/>
      <c r="AG142" s="282"/>
      <c r="AH142" s="285"/>
      <c r="AI142" s="286"/>
      <c r="AJ142" s="188"/>
      <c r="AK142" s="282"/>
      <c r="AL142" s="288"/>
      <c r="AM142" s="289"/>
      <c r="AN142" s="75"/>
      <c r="AO142" s="282"/>
      <c r="AP142" s="288"/>
      <c r="AQ142" s="289"/>
      <c r="AR142" s="75"/>
      <c r="AS142" s="75"/>
      <c r="AT142" s="75"/>
    </row>
    <row r="143">
      <c r="A143" s="282"/>
      <c r="B143" s="125"/>
      <c r="C143" s="113"/>
      <c r="D143" s="75"/>
      <c r="E143" s="282"/>
      <c r="F143" s="125"/>
      <c r="G143" s="113"/>
      <c r="H143" s="75"/>
      <c r="I143" s="282"/>
      <c r="J143" s="125"/>
      <c r="K143" s="113"/>
      <c r="L143" s="75"/>
      <c r="M143" s="282"/>
      <c r="N143" s="125"/>
      <c r="O143" s="113"/>
      <c r="P143" s="75"/>
      <c r="Q143" s="282"/>
      <c r="R143" s="125"/>
      <c r="S143" s="113"/>
      <c r="T143" s="75"/>
      <c r="U143" s="282"/>
      <c r="V143" s="125"/>
      <c r="W143" s="113"/>
      <c r="X143" s="75"/>
      <c r="Y143" s="282"/>
      <c r="Z143" s="290"/>
      <c r="AA143" s="291"/>
      <c r="AB143" s="73"/>
      <c r="AC143" s="282"/>
      <c r="AD143" s="125"/>
      <c r="AE143" s="241"/>
      <c r="AF143" s="284"/>
      <c r="AG143" s="282"/>
      <c r="AH143" s="285"/>
      <c r="AI143" s="286"/>
      <c r="AJ143" s="188"/>
      <c r="AK143" s="282"/>
      <c r="AL143" s="288"/>
      <c r="AM143" s="289"/>
      <c r="AN143" s="75"/>
      <c r="AO143" s="282"/>
      <c r="AP143" s="288"/>
      <c r="AQ143" s="289"/>
      <c r="AR143" s="75"/>
      <c r="AS143" s="75"/>
      <c r="AT143" s="75"/>
    </row>
    <row r="144">
      <c r="A144" s="282"/>
      <c r="B144" s="125"/>
      <c r="C144" s="113"/>
      <c r="D144" s="75"/>
      <c r="E144" s="282"/>
      <c r="F144" s="125"/>
      <c r="G144" s="113"/>
      <c r="H144" s="75"/>
      <c r="I144" s="282"/>
      <c r="J144" s="125"/>
      <c r="K144" s="113"/>
      <c r="L144" s="75"/>
      <c r="M144" s="282"/>
      <c r="N144" s="125"/>
      <c r="O144" s="113"/>
      <c r="P144" s="75"/>
      <c r="Q144" s="282"/>
      <c r="R144" s="125"/>
      <c r="S144" s="113"/>
      <c r="T144" s="75"/>
      <c r="U144" s="282"/>
      <c r="V144" s="125"/>
      <c r="W144" s="113"/>
      <c r="X144" s="75"/>
      <c r="Y144" s="282"/>
      <c r="Z144" s="290"/>
      <c r="AA144" s="291"/>
      <c r="AB144" s="73"/>
      <c r="AC144" s="282"/>
      <c r="AD144" s="125"/>
      <c r="AE144" s="241"/>
      <c r="AF144" s="284"/>
      <c r="AG144" s="282"/>
      <c r="AH144" s="285"/>
      <c r="AI144" s="286"/>
      <c r="AJ144" s="188"/>
      <c r="AK144" s="282"/>
      <c r="AL144" s="288"/>
      <c r="AM144" s="289"/>
      <c r="AN144" s="75"/>
      <c r="AO144" s="282"/>
      <c r="AP144" s="288"/>
      <c r="AQ144" s="289"/>
      <c r="AR144" s="75"/>
      <c r="AS144" s="75"/>
      <c r="AT144" s="75"/>
    </row>
    <row r="145">
      <c r="A145" s="282"/>
      <c r="B145" s="125"/>
      <c r="C145" s="113"/>
      <c r="D145" s="75"/>
      <c r="E145" s="282"/>
      <c r="F145" s="125"/>
      <c r="G145" s="113"/>
      <c r="H145" s="75"/>
      <c r="I145" s="282"/>
      <c r="J145" s="125"/>
      <c r="K145" s="113"/>
      <c r="L145" s="75"/>
      <c r="M145" s="282"/>
      <c r="N145" s="125"/>
      <c r="O145" s="113"/>
      <c r="P145" s="75"/>
      <c r="Q145" s="282"/>
      <c r="R145" s="125"/>
      <c r="S145" s="113"/>
      <c r="T145" s="75"/>
      <c r="U145" s="282"/>
      <c r="V145" s="125"/>
      <c r="W145" s="113"/>
      <c r="X145" s="75"/>
      <c r="Y145" s="282"/>
      <c r="Z145" s="290"/>
      <c r="AA145" s="291"/>
      <c r="AB145" s="73"/>
      <c r="AC145" s="282"/>
      <c r="AD145" s="125"/>
      <c r="AE145" s="241"/>
      <c r="AF145" s="284"/>
      <c r="AG145" s="282"/>
      <c r="AH145" s="285"/>
      <c r="AI145" s="286"/>
      <c r="AJ145" s="188"/>
      <c r="AK145" s="282"/>
      <c r="AL145" s="288"/>
      <c r="AM145" s="289"/>
      <c r="AN145" s="75"/>
      <c r="AO145" s="282"/>
      <c r="AP145" s="288"/>
      <c r="AQ145" s="289"/>
      <c r="AR145" s="75"/>
      <c r="AS145" s="75"/>
      <c r="AT145" s="75"/>
    </row>
    <row r="146">
      <c r="A146" s="282"/>
      <c r="B146" s="125"/>
      <c r="C146" s="113"/>
      <c r="D146" s="75"/>
      <c r="E146" s="282"/>
      <c r="F146" s="125"/>
      <c r="G146" s="113"/>
      <c r="H146" s="75"/>
      <c r="I146" s="282"/>
      <c r="J146" s="125"/>
      <c r="K146" s="113"/>
      <c r="L146" s="75"/>
      <c r="M146" s="282"/>
      <c r="N146" s="125"/>
      <c r="O146" s="113"/>
      <c r="P146" s="75"/>
      <c r="Q146" s="282"/>
      <c r="R146" s="125"/>
      <c r="S146" s="113"/>
      <c r="T146" s="75"/>
      <c r="U146" s="282"/>
      <c r="V146" s="125"/>
      <c r="W146" s="113"/>
      <c r="X146" s="75"/>
      <c r="Y146" s="282"/>
      <c r="Z146" s="290"/>
      <c r="AA146" s="291"/>
      <c r="AB146" s="73"/>
      <c r="AC146" s="282"/>
      <c r="AD146" s="125"/>
      <c r="AE146" s="241"/>
      <c r="AF146" s="284"/>
      <c r="AG146" s="282"/>
      <c r="AH146" s="285"/>
      <c r="AI146" s="286"/>
      <c r="AJ146" s="188"/>
      <c r="AK146" s="282"/>
      <c r="AL146" s="288"/>
      <c r="AM146" s="289"/>
      <c r="AN146" s="75"/>
      <c r="AO146" s="282"/>
      <c r="AP146" s="288"/>
      <c r="AQ146" s="289"/>
      <c r="AR146" s="75"/>
      <c r="AS146" s="75"/>
      <c r="AT146" s="75"/>
    </row>
    <row r="147">
      <c r="A147" s="282"/>
      <c r="B147" s="125"/>
      <c r="C147" s="113"/>
      <c r="D147" s="75"/>
      <c r="E147" s="282"/>
      <c r="F147" s="125"/>
      <c r="G147" s="113"/>
      <c r="H147" s="75"/>
      <c r="I147" s="282"/>
      <c r="J147" s="125"/>
      <c r="K147" s="113"/>
      <c r="L147" s="75"/>
      <c r="M147" s="282"/>
      <c r="N147" s="125"/>
      <c r="O147" s="113"/>
      <c r="P147" s="75"/>
      <c r="Q147" s="282"/>
      <c r="R147" s="125"/>
      <c r="S147" s="113"/>
      <c r="T147" s="75"/>
      <c r="U147" s="282"/>
      <c r="V147" s="125"/>
      <c r="W147" s="113"/>
      <c r="X147" s="75"/>
      <c r="Y147" s="282"/>
      <c r="Z147" s="290"/>
      <c r="AA147" s="291"/>
      <c r="AB147" s="73"/>
      <c r="AC147" s="282"/>
      <c r="AD147" s="125"/>
      <c r="AE147" s="241"/>
      <c r="AF147" s="284"/>
      <c r="AG147" s="282"/>
      <c r="AH147" s="285"/>
      <c r="AI147" s="286"/>
      <c r="AJ147" s="188"/>
      <c r="AK147" s="282"/>
      <c r="AL147" s="288"/>
      <c r="AM147" s="289"/>
      <c r="AN147" s="75"/>
      <c r="AO147" s="282"/>
      <c r="AP147" s="288"/>
      <c r="AQ147" s="289"/>
      <c r="AR147" s="75"/>
      <c r="AS147" s="75"/>
      <c r="AT147" s="75"/>
    </row>
    <row r="148">
      <c r="A148" s="282"/>
      <c r="B148" s="125"/>
      <c r="C148" s="113"/>
      <c r="D148" s="75"/>
      <c r="E148" s="282"/>
      <c r="F148" s="125"/>
      <c r="G148" s="113"/>
      <c r="H148" s="75"/>
      <c r="I148" s="282"/>
      <c r="J148" s="125"/>
      <c r="K148" s="113"/>
      <c r="L148" s="75"/>
      <c r="M148" s="282"/>
      <c r="N148" s="125"/>
      <c r="O148" s="113"/>
      <c r="P148" s="75"/>
      <c r="Q148" s="282"/>
      <c r="R148" s="125"/>
      <c r="S148" s="113"/>
      <c r="T148" s="75"/>
      <c r="U148" s="282"/>
      <c r="V148" s="125"/>
      <c r="W148" s="113"/>
      <c r="X148" s="75"/>
      <c r="Y148" s="282"/>
      <c r="Z148" s="290"/>
      <c r="AA148" s="291"/>
      <c r="AB148" s="73"/>
      <c r="AC148" s="282"/>
      <c r="AD148" s="125"/>
      <c r="AE148" s="241"/>
      <c r="AF148" s="284"/>
      <c r="AG148" s="282"/>
      <c r="AH148" s="285"/>
      <c r="AI148" s="286"/>
      <c r="AJ148" s="188"/>
      <c r="AK148" s="282"/>
      <c r="AL148" s="288"/>
      <c r="AM148" s="289"/>
      <c r="AN148" s="75"/>
      <c r="AO148" s="282"/>
      <c r="AP148" s="288"/>
      <c r="AQ148" s="289"/>
      <c r="AR148" s="75"/>
      <c r="AS148" s="75"/>
      <c r="AT148" s="75"/>
    </row>
    <row r="149">
      <c r="A149" s="282"/>
      <c r="B149" s="125"/>
      <c r="C149" s="113"/>
      <c r="D149" s="75"/>
      <c r="E149" s="282"/>
      <c r="F149" s="125"/>
      <c r="G149" s="113"/>
      <c r="H149" s="75"/>
      <c r="I149" s="282"/>
      <c r="J149" s="125"/>
      <c r="K149" s="113"/>
      <c r="L149" s="75"/>
      <c r="M149" s="282"/>
      <c r="N149" s="125"/>
      <c r="O149" s="113"/>
      <c r="P149" s="75"/>
      <c r="Q149" s="282"/>
      <c r="R149" s="125"/>
      <c r="S149" s="113"/>
      <c r="T149" s="75"/>
      <c r="U149" s="282"/>
      <c r="V149" s="125"/>
      <c r="W149" s="113"/>
      <c r="X149" s="75"/>
      <c r="Y149" s="282"/>
      <c r="Z149" s="290"/>
      <c r="AA149" s="291"/>
      <c r="AB149" s="73"/>
      <c r="AC149" s="282"/>
      <c r="AD149" s="125"/>
      <c r="AE149" s="241"/>
      <c r="AF149" s="284"/>
      <c r="AG149" s="282"/>
      <c r="AH149" s="285"/>
      <c r="AI149" s="286"/>
      <c r="AJ149" s="188"/>
      <c r="AK149" s="282"/>
      <c r="AL149" s="288"/>
      <c r="AM149" s="289"/>
      <c r="AN149" s="75"/>
      <c r="AO149" s="282"/>
      <c r="AP149" s="288"/>
      <c r="AQ149" s="289"/>
      <c r="AR149" s="75"/>
      <c r="AS149" s="75"/>
      <c r="AT149" s="75"/>
    </row>
    <row r="150">
      <c r="A150" s="282"/>
      <c r="B150" s="125"/>
      <c r="C150" s="113"/>
      <c r="D150" s="75"/>
      <c r="E150" s="282"/>
      <c r="F150" s="125"/>
      <c r="G150" s="113"/>
      <c r="H150" s="75"/>
      <c r="I150" s="282"/>
      <c r="J150" s="125"/>
      <c r="K150" s="113"/>
      <c r="L150" s="75"/>
      <c r="M150" s="282"/>
      <c r="N150" s="125"/>
      <c r="O150" s="113"/>
      <c r="P150" s="75"/>
      <c r="Q150" s="282"/>
      <c r="R150" s="125"/>
      <c r="S150" s="113"/>
      <c r="T150" s="75"/>
      <c r="U150" s="282"/>
      <c r="V150" s="125"/>
      <c r="W150" s="113"/>
      <c r="X150" s="75"/>
      <c r="Y150" s="282"/>
      <c r="Z150" s="290"/>
      <c r="AA150" s="291"/>
      <c r="AB150" s="73"/>
      <c r="AC150" s="282"/>
      <c r="AD150" s="125"/>
      <c r="AE150" s="241"/>
      <c r="AF150" s="284"/>
      <c r="AG150" s="282"/>
      <c r="AH150" s="285"/>
      <c r="AI150" s="286"/>
      <c r="AJ150" s="188"/>
      <c r="AK150" s="282"/>
      <c r="AL150" s="288"/>
      <c r="AM150" s="289"/>
      <c r="AN150" s="75"/>
      <c r="AO150" s="282"/>
      <c r="AP150" s="288"/>
      <c r="AQ150" s="289"/>
      <c r="AR150" s="75"/>
      <c r="AS150" s="75"/>
      <c r="AT150" s="75"/>
    </row>
    <row r="151">
      <c r="A151" s="282"/>
      <c r="B151" s="125"/>
      <c r="C151" s="113"/>
      <c r="D151" s="75"/>
      <c r="E151" s="282"/>
      <c r="F151" s="125"/>
      <c r="G151" s="113"/>
      <c r="H151" s="75"/>
      <c r="I151" s="282"/>
      <c r="J151" s="125"/>
      <c r="K151" s="113"/>
      <c r="L151" s="75"/>
      <c r="M151" s="282"/>
      <c r="N151" s="125"/>
      <c r="O151" s="113"/>
      <c r="P151" s="75"/>
      <c r="Q151" s="282"/>
      <c r="R151" s="125"/>
      <c r="S151" s="113"/>
      <c r="T151" s="75"/>
      <c r="U151" s="282"/>
      <c r="V151" s="125"/>
      <c r="W151" s="113"/>
      <c r="X151" s="75"/>
      <c r="Y151" s="282"/>
      <c r="Z151" s="290"/>
      <c r="AA151" s="291"/>
      <c r="AB151" s="73"/>
      <c r="AC151" s="282"/>
      <c r="AD151" s="125"/>
      <c r="AE151" s="241"/>
      <c r="AF151" s="284"/>
      <c r="AG151" s="282"/>
      <c r="AH151" s="285"/>
      <c r="AI151" s="286"/>
      <c r="AJ151" s="188"/>
      <c r="AK151" s="282"/>
      <c r="AL151" s="288"/>
      <c r="AM151" s="289"/>
      <c r="AN151" s="75"/>
      <c r="AO151" s="282"/>
      <c r="AP151" s="288"/>
      <c r="AQ151" s="289"/>
      <c r="AR151" s="75"/>
      <c r="AS151" s="75"/>
      <c r="AT151" s="75"/>
    </row>
    <row r="152">
      <c r="A152" s="282"/>
      <c r="B152" s="125"/>
      <c r="C152" s="113"/>
      <c r="D152" s="75"/>
      <c r="E152" s="282"/>
      <c r="F152" s="125"/>
      <c r="G152" s="113"/>
      <c r="H152" s="75"/>
      <c r="I152" s="282"/>
      <c r="J152" s="125"/>
      <c r="K152" s="113"/>
      <c r="L152" s="75"/>
      <c r="M152" s="282"/>
      <c r="N152" s="125"/>
      <c r="O152" s="113"/>
      <c r="P152" s="75"/>
      <c r="Q152" s="282"/>
      <c r="R152" s="125"/>
      <c r="S152" s="113"/>
      <c r="T152" s="75"/>
      <c r="U152" s="282"/>
      <c r="V152" s="125"/>
      <c r="W152" s="113"/>
      <c r="X152" s="75"/>
      <c r="Y152" s="282"/>
      <c r="Z152" s="290"/>
      <c r="AA152" s="291"/>
      <c r="AB152" s="73"/>
      <c r="AC152" s="282"/>
      <c r="AD152" s="125"/>
      <c r="AE152" s="241"/>
      <c r="AF152" s="284"/>
      <c r="AG152" s="282"/>
      <c r="AH152" s="285"/>
      <c r="AI152" s="286"/>
      <c r="AJ152" s="188"/>
      <c r="AK152" s="282"/>
      <c r="AL152" s="288"/>
      <c r="AM152" s="289"/>
      <c r="AN152" s="75"/>
      <c r="AO152" s="282"/>
      <c r="AP152" s="288"/>
      <c r="AQ152" s="289"/>
      <c r="AR152" s="75"/>
      <c r="AS152" s="75"/>
      <c r="AT152" s="75"/>
    </row>
    <row r="153">
      <c r="A153" s="282"/>
      <c r="B153" s="125"/>
      <c r="C153" s="113"/>
      <c r="D153" s="75"/>
      <c r="E153" s="282"/>
      <c r="F153" s="125"/>
      <c r="G153" s="113"/>
      <c r="H153" s="75"/>
      <c r="I153" s="282"/>
      <c r="J153" s="125"/>
      <c r="K153" s="113"/>
      <c r="L153" s="75"/>
      <c r="M153" s="282"/>
      <c r="N153" s="125"/>
      <c r="O153" s="113"/>
      <c r="P153" s="75"/>
      <c r="Q153" s="282"/>
      <c r="R153" s="125"/>
      <c r="S153" s="113"/>
      <c r="T153" s="75"/>
      <c r="U153" s="282"/>
      <c r="V153" s="125"/>
      <c r="W153" s="113"/>
      <c r="X153" s="75"/>
      <c r="Y153" s="282"/>
      <c r="Z153" s="290"/>
      <c r="AA153" s="291"/>
      <c r="AB153" s="73"/>
      <c r="AC153" s="282"/>
      <c r="AD153" s="125"/>
      <c r="AE153" s="241"/>
      <c r="AF153" s="284"/>
      <c r="AG153" s="282"/>
      <c r="AH153" s="285"/>
      <c r="AI153" s="286"/>
      <c r="AJ153" s="188"/>
      <c r="AK153" s="282"/>
      <c r="AL153" s="288"/>
      <c r="AM153" s="289"/>
      <c r="AN153" s="75"/>
      <c r="AO153" s="282"/>
      <c r="AP153" s="288"/>
      <c r="AQ153" s="289"/>
      <c r="AR153" s="75"/>
      <c r="AS153" s="75"/>
      <c r="AT153" s="75"/>
    </row>
    <row r="154">
      <c r="A154" s="282"/>
      <c r="B154" s="125"/>
      <c r="C154" s="113"/>
      <c r="D154" s="75"/>
      <c r="E154" s="282"/>
      <c r="F154" s="125"/>
      <c r="G154" s="113"/>
      <c r="H154" s="75"/>
      <c r="I154" s="282"/>
      <c r="J154" s="125"/>
      <c r="K154" s="113"/>
      <c r="L154" s="75"/>
      <c r="M154" s="282"/>
      <c r="N154" s="125"/>
      <c r="O154" s="113"/>
      <c r="P154" s="75"/>
      <c r="Q154" s="282"/>
      <c r="R154" s="125"/>
      <c r="S154" s="113"/>
      <c r="T154" s="75"/>
      <c r="U154" s="282"/>
      <c r="V154" s="125"/>
      <c r="W154" s="113"/>
      <c r="X154" s="75"/>
      <c r="Y154" s="282"/>
      <c r="Z154" s="290"/>
      <c r="AA154" s="291"/>
      <c r="AB154" s="73"/>
      <c r="AC154" s="282"/>
      <c r="AD154" s="125"/>
      <c r="AE154" s="241"/>
      <c r="AF154" s="284"/>
      <c r="AG154" s="282"/>
      <c r="AH154" s="285"/>
      <c r="AI154" s="286"/>
      <c r="AJ154" s="188"/>
      <c r="AK154" s="282"/>
      <c r="AL154" s="288"/>
      <c r="AM154" s="289"/>
      <c r="AN154" s="75"/>
      <c r="AO154" s="282"/>
      <c r="AP154" s="288"/>
      <c r="AQ154" s="289"/>
      <c r="AR154" s="75"/>
      <c r="AS154" s="75"/>
      <c r="AT154" s="75"/>
    </row>
    <row r="155">
      <c r="A155" s="282"/>
      <c r="B155" s="125"/>
      <c r="C155" s="113"/>
      <c r="D155" s="75"/>
      <c r="E155" s="282"/>
      <c r="F155" s="125"/>
      <c r="G155" s="113"/>
      <c r="H155" s="75"/>
      <c r="I155" s="282"/>
      <c r="J155" s="125"/>
      <c r="K155" s="113"/>
      <c r="L155" s="75"/>
      <c r="M155" s="282"/>
      <c r="N155" s="125"/>
      <c r="O155" s="113"/>
      <c r="P155" s="75"/>
      <c r="Q155" s="282"/>
      <c r="R155" s="125"/>
      <c r="S155" s="113"/>
      <c r="T155" s="75"/>
      <c r="U155" s="282"/>
      <c r="V155" s="125"/>
      <c r="W155" s="113"/>
      <c r="X155" s="75"/>
      <c r="Y155" s="282"/>
      <c r="Z155" s="290"/>
      <c r="AA155" s="291"/>
      <c r="AB155" s="73"/>
      <c r="AC155" s="282"/>
      <c r="AD155" s="125"/>
      <c r="AE155" s="241"/>
      <c r="AF155" s="284"/>
      <c r="AG155" s="282"/>
      <c r="AH155" s="285"/>
      <c r="AI155" s="286"/>
      <c r="AJ155" s="188"/>
      <c r="AK155" s="282"/>
      <c r="AL155" s="288"/>
      <c r="AM155" s="289"/>
      <c r="AN155" s="75"/>
      <c r="AO155" s="282"/>
      <c r="AP155" s="288"/>
      <c r="AQ155" s="289"/>
      <c r="AR155" s="75"/>
      <c r="AS155" s="75"/>
      <c r="AT155" s="75"/>
    </row>
    <row r="156">
      <c r="A156" s="282"/>
      <c r="B156" s="125"/>
      <c r="C156" s="113"/>
      <c r="D156" s="75"/>
      <c r="E156" s="282"/>
      <c r="F156" s="125"/>
      <c r="G156" s="113"/>
      <c r="H156" s="75"/>
      <c r="I156" s="282"/>
      <c r="J156" s="125"/>
      <c r="K156" s="113"/>
      <c r="L156" s="75"/>
      <c r="M156" s="282"/>
      <c r="N156" s="125"/>
      <c r="O156" s="113"/>
      <c r="P156" s="75"/>
      <c r="Q156" s="282"/>
      <c r="R156" s="125"/>
      <c r="S156" s="113"/>
      <c r="T156" s="75"/>
      <c r="U156" s="282"/>
      <c r="V156" s="125"/>
      <c r="W156" s="113"/>
      <c r="X156" s="75"/>
      <c r="Y156" s="282"/>
      <c r="Z156" s="290"/>
      <c r="AA156" s="291"/>
      <c r="AB156" s="73"/>
      <c r="AC156" s="282"/>
      <c r="AD156" s="125"/>
      <c r="AE156" s="241"/>
      <c r="AF156" s="284"/>
      <c r="AG156" s="282"/>
      <c r="AH156" s="285"/>
      <c r="AI156" s="286"/>
      <c r="AJ156" s="188"/>
      <c r="AK156" s="282"/>
      <c r="AL156" s="288"/>
      <c r="AM156" s="289"/>
      <c r="AN156" s="75"/>
      <c r="AO156" s="282"/>
      <c r="AP156" s="288"/>
      <c r="AQ156" s="289"/>
      <c r="AR156" s="75"/>
      <c r="AS156" s="75"/>
      <c r="AT156" s="75"/>
    </row>
    <row r="157">
      <c r="A157" s="282"/>
      <c r="B157" s="125"/>
      <c r="C157" s="113"/>
      <c r="D157" s="75"/>
      <c r="E157" s="282"/>
      <c r="F157" s="125"/>
      <c r="G157" s="113"/>
      <c r="H157" s="75"/>
      <c r="I157" s="282"/>
      <c r="J157" s="125"/>
      <c r="K157" s="113"/>
      <c r="L157" s="75"/>
      <c r="M157" s="282"/>
      <c r="N157" s="125"/>
      <c r="O157" s="113"/>
      <c r="P157" s="75"/>
      <c r="Q157" s="282"/>
      <c r="R157" s="125"/>
      <c r="S157" s="113"/>
      <c r="T157" s="75"/>
      <c r="U157" s="282"/>
      <c r="V157" s="125"/>
      <c r="W157" s="113"/>
      <c r="X157" s="75"/>
      <c r="Y157" s="282"/>
      <c r="Z157" s="290"/>
      <c r="AA157" s="291"/>
      <c r="AB157" s="73"/>
      <c r="AC157" s="282"/>
      <c r="AD157" s="125"/>
      <c r="AE157" s="241"/>
      <c r="AF157" s="284"/>
      <c r="AG157" s="282"/>
      <c r="AH157" s="285"/>
      <c r="AI157" s="286"/>
      <c r="AJ157" s="188"/>
      <c r="AK157" s="282"/>
      <c r="AL157" s="288"/>
      <c r="AM157" s="289"/>
      <c r="AN157" s="75"/>
      <c r="AO157" s="282"/>
      <c r="AP157" s="288"/>
      <c r="AQ157" s="289"/>
      <c r="AR157" s="75"/>
      <c r="AS157" s="75"/>
      <c r="AT157" s="75"/>
    </row>
    <row r="158">
      <c r="A158" s="282"/>
      <c r="B158" s="125"/>
      <c r="C158" s="113"/>
      <c r="D158" s="75"/>
      <c r="E158" s="282"/>
      <c r="F158" s="125"/>
      <c r="G158" s="113"/>
      <c r="H158" s="75"/>
      <c r="I158" s="282"/>
      <c r="J158" s="125"/>
      <c r="K158" s="113"/>
      <c r="L158" s="75"/>
      <c r="M158" s="282"/>
      <c r="N158" s="125"/>
      <c r="O158" s="113"/>
      <c r="P158" s="75"/>
      <c r="Q158" s="282"/>
      <c r="R158" s="125"/>
      <c r="S158" s="113"/>
      <c r="T158" s="75"/>
      <c r="U158" s="282"/>
      <c r="V158" s="125"/>
      <c r="W158" s="113"/>
      <c r="X158" s="75"/>
      <c r="Y158" s="282"/>
      <c r="Z158" s="290"/>
      <c r="AA158" s="291"/>
      <c r="AB158" s="73"/>
      <c r="AC158" s="282"/>
      <c r="AD158" s="125"/>
      <c r="AE158" s="241"/>
      <c r="AF158" s="284"/>
      <c r="AG158" s="282"/>
      <c r="AH158" s="285"/>
      <c r="AI158" s="286"/>
      <c r="AJ158" s="188"/>
      <c r="AK158" s="282"/>
      <c r="AL158" s="288"/>
      <c r="AM158" s="289"/>
      <c r="AN158" s="75"/>
      <c r="AO158" s="282"/>
      <c r="AP158" s="288"/>
      <c r="AQ158" s="289"/>
      <c r="AR158" s="75"/>
      <c r="AS158" s="75"/>
      <c r="AT158" s="75"/>
    </row>
    <row r="159">
      <c r="A159" s="282"/>
      <c r="B159" s="125"/>
      <c r="C159" s="113"/>
      <c r="D159" s="75"/>
      <c r="E159" s="282"/>
      <c r="F159" s="125"/>
      <c r="G159" s="113"/>
      <c r="H159" s="75"/>
      <c r="I159" s="282"/>
      <c r="J159" s="125"/>
      <c r="K159" s="113"/>
      <c r="L159" s="75"/>
      <c r="M159" s="282"/>
      <c r="N159" s="125"/>
      <c r="O159" s="113"/>
      <c r="P159" s="75"/>
      <c r="Q159" s="282"/>
      <c r="R159" s="125"/>
      <c r="S159" s="113"/>
      <c r="T159" s="75"/>
      <c r="U159" s="282"/>
      <c r="V159" s="125"/>
      <c r="W159" s="113"/>
      <c r="X159" s="75"/>
      <c r="Y159" s="282"/>
      <c r="Z159" s="290"/>
      <c r="AA159" s="291"/>
      <c r="AB159" s="73"/>
      <c r="AC159" s="282"/>
      <c r="AD159" s="125"/>
      <c r="AE159" s="241"/>
      <c r="AF159" s="284"/>
      <c r="AG159" s="282"/>
      <c r="AH159" s="285"/>
      <c r="AI159" s="286"/>
      <c r="AJ159" s="188"/>
      <c r="AK159" s="282"/>
      <c r="AL159" s="288"/>
      <c r="AM159" s="289"/>
      <c r="AN159" s="75"/>
      <c r="AO159" s="282"/>
      <c r="AP159" s="288"/>
      <c r="AQ159" s="289"/>
      <c r="AR159" s="75"/>
      <c r="AS159" s="75"/>
      <c r="AT159" s="75"/>
    </row>
    <row r="160">
      <c r="A160" s="282"/>
      <c r="B160" s="125"/>
      <c r="C160" s="113"/>
      <c r="D160" s="75"/>
      <c r="E160" s="282"/>
      <c r="F160" s="125"/>
      <c r="G160" s="113"/>
      <c r="H160" s="75"/>
      <c r="I160" s="282"/>
      <c r="J160" s="125"/>
      <c r="K160" s="113"/>
      <c r="L160" s="75"/>
      <c r="M160" s="282"/>
      <c r="N160" s="125"/>
      <c r="O160" s="113"/>
      <c r="P160" s="75"/>
      <c r="Q160" s="282"/>
      <c r="R160" s="125"/>
      <c r="S160" s="113"/>
      <c r="T160" s="75"/>
      <c r="U160" s="282"/>
      <c r="V160" s="125"/>
      <c r="W160" s="113"/>
      <c r="X160" s="75"/>
      <c r="Y160" s="282"/>
      <c r="Z160" s="290"/>
      <c r="AA160" s="291"/>
      <c r="AB160" s="73"/>
      <c r="AC160" s="282"/>
      <c r="AD160" s="125"/>
      <c r="AE160" s="241"/>
      <c r="AF160" s="284"/>
      <c r="AG160" s="282"/>
      <c r="AH160" s="285"/>
      <c r="AI160" s="286"/>
      <c r="AJ160" s="188"/>
      <c r="AK160" s="282"/>
      <c r="AL160" s="288"/>
      <c r="AM160" s="289"/>
      <c r="AN160" s="75"/>
      <c r="AO160" s="282"/>
      <c r="AP160" s="288"/>
      <c r="AQ160" s="289"/>
      <c r="AR160" s="75"/>
      <c r="AS160" s="75"/>
      <c r="AT160" s="75"/>
    </row>
    <row r="161">
      <c r="A161" s="282"/>
      <c r="B161" s="125"/>
      <c r="C161" s="113"/>
      <c r="D161" s="75"/>
      <c r="E161" s="282"/>
      <c r="F161" s="125"/>
      <c r="G161" s="113"/>
      <c r="H161" s="75"/>
      <c r="I161" s="282"/>
      <c r="J161" s="125"/>
      <c r="K161" s="113"/>
      <c r="L161" s="75"/>
      <c r="M161" s="282"/>
      <c r="N161" s="125"/>
      <c r="O161" s="113"/>
      <c r="P161" s="75"/>
      <c r="Q161" s="282"/>
      <c r="R161" s="125"/>
      <c r="S161" s="113"/>
      <c r="T161" s="75"/>
      <c r="U161" s="282"/>
      <c r="V161" s="125"/>
      <c r="W161" s="113"/>
      <c r="X161" s="75"/>
      <c r="Y161" s="282"/>
      <c r="Z161" s="290"/>
      <c r="AA161" s="291"/>
      <c r="AB161" s="73"/>
      <c r="AC161" s="282"/>
      <c r="AD161" s="125"/>
      <c r="AE161" s="241"/>
      <c r="AF161" s="284"/>
      <c r="AG161" s="282"/>
      <c r="AH161" s="285"/>
      <c r="AI161" s="286"/>
      <c r="AJ161" s="188"/>
      <c r="AK161" s="282"/>
      <c r="AL161" s="288"/>
      <c r="AM161" s="289"/>
      <c r="AN161" s="75"/>
      <c r="AO161" s="282"/>
      <c r="AP161" s="288"/>
      <c r="AQ161" s="289"/>
      <c r="AR161" s="75"/>
      <c r="AS161" s="75"/>
      <c r="AT161" s="75"/>
    </row>
    <row r="162">
      <c r="A162" s="282"/>
      <c r="B162" s="125"/>
      <c r="C162" s="113"/>
      <c r="D162" s="75"/>
      <c r="E162" s="282"/>
      <c r="F162" s="125"/>
      <c r="G162" s="113"/>
      <c r="H162" s="75"/>
      <c r="I162" s="282"/>
      <c r="J162" s="125"/>
      <c r="K162" s="113"/>
      <c r="L162" s="75"/>
      <c r="M162" s="282"/>
      <c r="N162" s="125"/>
      <c r="O162" s="113"/>
      <c r="P162" s="75"/>
      <c r="Q162" s="282"/>
      <c r="R162" s="125"/>
      <c r="S162" s="113"/>
      <c r="T162" s="75"/>
      <c r="U162" s="282"/>
      <c r="V162" s="125"/>
      <c r="W162" s="113"/>
      <c r="X162" s="75"/>
      <c r="Y162" s="282"/>
      <c r="Z162" s="290"/>
      <c r="AA162" s="291"/>
      <c r="AB162" s="73"/>
      <c r="AC162" s="282"/>
      <c r="AD162" s="125"/>
      <c r="AE162" s="241"/>
      <c r="AF162" s="284"/>
      <c r="AG162" s="282"/>
      <c r="AH162" s="285"/>
      <c r="AI162" s="286"/>
      <c r="AJ162" s="188"/>
      <c r="AK162" s="282"/>
      <c r="AL162" s="288"/>
      <c r="AM162" s="289"/>
      <c r="AN162" s="75"/>
      <c r="AO162" s="282"/>
      <c r="AP162" s="288"/>
      <c r="AQ162" s="289"/>
      <c r="AR162" s="75"/>
      <c r="AS162" s="75"/>
      <c r="AT162" s="75"/>
    </row>
    <row r="163">
      <c r="A163" s="282"/>
      <c r="B163" s="125"/>
      <c r="C163" s="113"/>
      <c r="D163" s="75"/>
      <c r="E163" s="282"/>
      <c r="F163" s="125"/>
      <c r="G163" s="113"/>
      <c r="H163" s="75"/>
      <c r="I163" s="282"/>
      <c r="J163" s="125"/>
      <c r="K163" s="113"/>
      <c r="L163" s="75"/>
      <c r="M163" s="282"/>
      <c r="N163" s="125"/>
      <c r="O163" s="113"/>
      <c r="P163" s="75"/>
      <c r="Q163" s="282"/>
      <c r="R163" s="125"/>
      <c r="S163" s="113"/>
      <c r="T163" s="75"/>
      <c r="U163" s="282"/>
      <c r="V163" s="125"/>
      <c r="W163" s="113"/>
      <c r="X163" s="75"/>
      <c r="Y163" s="282"/>
      <c r="Z163" s="290"/>
      <c r="AA163" s="291"/>
      <c r="AB163" s="73"/>
      <c r="AC163" s="282"/>
      <c r="AD163" s="125"/>
      <c r="AE163" s="241"/>
      <c r="AF163" s="284"/>
      <c r="AG163" s="282"/>
      <c r="AH163" s="285"/>
      <c r="AI163" s="286"/>
      <c r="AJ163" s="188"/>
      <c r="AK163" s="282"/>
      <c r="AL163" s="288"/>
      <c r="AM163" s="289"/>
      <c r="AN163" s="75"/>
      <c r="AO163" s="282"/>
      <c r="AP163" s="288"/>
      <c r="AQ163" s="289"/>
      <c r="AR163" s="75"/>
      <c r="AS163" s="75"/>
      <c r="AT163" s="75"/>
    </row>
    <row r="164">
      <c r="A164" s="282"/>
      <c r="B164" s="125"/>
      <c r="C164" s="113"/>
      <c r="D164" s="75"/>
      <c r="E164" s="282"/>
      <c r="F164" s="125"/>
      <c r="G164" s="113"/>
      <c r="H164" s="75"/>
      <c r="I164" s="282"/>
      <c r="J164" s="125"/>
      <c r="K164" s="113"/>
      <c r="L164" s="75"/>
      <c r="M164" s="282"/>
      <c r="N164" s="125"/>
      <c r="O164" s="113"/>
      <c r="P164" s="75"/>
      <c r="Q164" s="282"/>
      <c r="R164" s="125"/>
      <c r="S164" s="113"/>
      <c r="T164" s="75"/>
      <c r="U164" s="282"/>
      <c r="V164" s="125"/>
      <c r="W164" s="113"/>
      <c r="X164" s="75"/>
      <c r="Y164" s="282"/>
      <c r="Z164" s="290"/>
      <c r="AA164" s="291"/>
      <c r="AB164" s="73"/>
      <c r="AC164" s="282"/>
      <c r="AD164" s="125"/>
      <c r="AE164" s="241"/>
      <c r="AF164" s="284"/>
      <c r="AG164" s="282"/>
      <c r="AH164" s="285"/>
      <c r="AI164" s="286"/>
      <c r="AJ164" s="188"/>
      <c r="AK164" s="282"/>
      <c r="AL164" s="288"/>
      <c r="AM164" s="289"/>
      <c r="AN164" s="75"/>
      <c r="AO164" s="282"/>
      <c r="AP164" s="288"/>
      <c r="AQ164" s="289"/>
      <c r="AR164" s="75"/>
      <c r="AS164" s="75"/>
      <c r="AT164" s="75"/>
    </row>
    <row r="165">
      <c r="A165" s="282"/>
      <c r="B165" s="125"/>
      <c r="C165" s="113"/>
      <c r="D165" s="75"/>
      <c r="E165" s="282"/>
      <c r="F165" s="125"/>
      <c r="G165" s="113"/>
      <c r="H165" s="75"/>
      <c r="I165" s="282"/>
      <c r="J165" s="125"/>
      <c r="K165" s="113"/>
      <c r="L165" s="75"/>
      <c r="M165" s="282"/>
      <c r="N165" s="125"/>
      <c r="O165" s="113"/>
      <c r="P165" s="75"/>
      <c r="Q165" s="282"/>
      <c r="R165" s="125"/>
      <c r="S165" s="113"/>
      <c r="T165" s="75"/>
      <c r="U165" s="282"/>
      <c r="V165" s="125"/>
      <c r="W165" s="113"/>
      <c r="X165" s="75"/>
      <c r="Y165" s="282"/>
      <c r="Z165" s="290"/>
      <c r="AA165" s="291"/>
      <c r="AB165" s="73"/>
      <c r="AC165" s="282"/>
      <c r="AD165" s="125"/>
      <c r="AE165" s="241"/>
      <c r="AF165" s="284"/>
      <c r="AG165" s="282"/>
      <c r="AH165" s="285"/>
      <c r="AI165" s="286"/>
      <c r="AJ165" s="188"/>
      <c r="AK165" s="282"/>
      <c r="AL165" s="288"/>
      <c r="AM165" s="289"/>
      <c r="AN165" s="75"/>
      <c r="AO165" s="282"/>
      <c r="AP165" s="288"/>
      <c r="AQ165" s="289"/>
      <c r="AR165" s="75"/>
      <c r="AS165" s="75"/>
      <c r="AT165" s="75"/>
    </row>
    <row r="166">
      <c r="A166" s="282"/>
      <c r="B166" s="125"/>
      <c r="C166" s="113"/>
      <c r="D166" s="75"/>
      <c r="E166" s="282"/>
      <c r="F166" s="125"/>
      <c r="G166" s="113"/>
      <c r="H166" s="75"/>
      <c r="I166" s="282"/>
      <c r="J166" s="125"/>
      <c r="K166" s="113"/>
      <c r="L166" s="75"/>
      <c r="M166" s="282"/>
      <c r="N166" s="125"/>
      <c r="O166" s="113"/>
      <c r="P166" s="75"/>
      <c r="Q166" s="282"/>
      <c r="R166" s="125"/>
      <c r="S166" s="113"/>
      <c r="T166" s="75"/>
      <c r="U166" s="282"/>
      <c r="V166" s="125"/>
      <c r="W166" s="113"/>
      <c r="X166" s="75"/>
      <c r="Y166" s="282"/>
      <c r="Z166" s="290"/>
      <c r="AA166" s="291"/>
      <c r="AB166" s="73"/>
      <c r="AC166" s="282"/>
      <c r="AD166" s="125"/>
      <c r="AE166" s="241"/>
      <c r="AF166" s="284"/>
      <c r="AG166" s="282"/>
      <c r="AH166" s="285"/>
      <c r="AI166" s="286"/>
      <c r="AJ166" s="188"/>
      <c r="AK166" s="282"/>
      <c r="AL166" s="288"/>
      <c r="AM166" s="289"/>
      <c r="AN166" s="75"/>
      <c r="AO166" s="282"/>
      <c r="AP166" s="288"/>
      <c r="AQ166" s="289"/>
      <c r="AR166" s="75"/>
      <c r="AS166" s="75"/>
      <c r="AT166" s="75"/>
    </row>
    <row r="167">
      <c r="A167" s="282"/>
      <c r="B167" s="125"/>
      <c r="C167" s="113"/>
      <c r="D167" s="75"/>
      <c r="E167" s="282"/>
      <c r="F167" s="125"/>
      <c r="G167" s="113"/>
      <c r="H167" s="75"/>
      <c r="I167" s="282"/>
      <c r="J167" s="125"/>
      <c r="K167" s="113"/>
      <c r="L167" s="75"/>
      <c r="M167" s="282"/>
      <c r="N167" s="125"/>
      <c r="O167" s="113"/>
      <c r="P167" s="75"/>
      <c r="Q167" s="282"/>
      <c r="R167" s="125"/>
      <c r="S167" s="113"/>
      <c r="T167" s="75"/>
      <c r="U167" s="282"/>
      <c r="V167" s="125"/>
      <c r="W167" s="113"/>
      <c r="X167" s="75"/>
      <c r="Y167" s="282"/>
      <c r="Z167" s="290"/>
      <c r="AA167" s="291"/>
      <c r="AB167" s="73"/>
      <c r="AC167" s="282"/>
      <c r="AD167" s="125"/>
      <c r="AE167" s="241"/>
      <c r="AF167" s="284"/>
      <c r="AG167" s="282"/>
      <c r="AH167" s="285"/>
      <c r="AI167" s="286"/>
      <c r="AJ167" s="188"/>
      <c r="AK167" s="282"/>
      <c r="AL167" s="288"/>
      <c r="AM167" s="289"/>
      <c r="AN167" s="75"/>
      <c r="AO167" s="282"/>
      <c r="AP167" s="288"/>
      <c r="AQ167" s="289"/>
      <c r="AR167" s="75"/>
      <c r="AS167" s="75"/>
      <c r="AT167" s="75"/>
    </row>
    <row r="168">
      <c r="A168" s="282"/>
      <c r="B168" s="125"/>
      <c r="C168" s="113"/>
      <c r="D168" s="75"/>
      <c r="E168" s="282"/>
      <c r="F168" s="125"/>
      <c r="G168" s="113"/>
      <c r="H168" s="75"/>
      <c r="I168" s="282"/>
      <c r="J168" s="125"/>
      <c r="K168" s="113"/>
      <c r="L168" s="75"/>
      <c r="M168" s="282"/>
      <c r="N168" s="125"/>
      <c r="O168" s="113"/>
      <c r="P168" s="75"/>
      <c r="Q168" s="282"/>
      <c r="R168" s="125"/>
      <c r="S168" s="113"/>
      <c r="T168" s="75"/>
      <c r="U168" s="282"/>
      <c r="V168" s="125"/>
      <c r="W168" s="113"/>
      <c r="X168" s="75"/>
      <c r="Y168" s="282"/>
      <c r="Z168" s="290"/>
      <c r="AA168" s="291"/>
      <c r="AB168" s="73"/>
      <c r="AC168" s="282"/>
      <c r="AD168" s="125"/>
      <c r="AE168" s="241"/>
      <c r="AF168" s="284"/>
      <c r="AG168" s="282"/>
      <c r="AH168" s="285"/>
      <c r="AI168" s="286"/>
      <c r="AJ168" s="188"/>
      <c r="AK168" s="282"/>
      <c r="AL168" s="288"/>
      <c r="AM168" s="289"/>
      <c r="AN168" s="75"/>
      <c r="AO168" s="282"/>
      <c r="AP168" s="288"/>
      <c r="AQ168" s="289"/>
      <c r="AR168" s="75"/>
      <c r="AS168" s="75"/>
      <c r="AT168" s="75"/>
    </row>
    <row r="169">
      <c r="A169" s="282"/>
      <c r="B169" s="125"/>
      <c r="C169" s="113"/>
      <c r="D169" s="75"/>
      <c r="E169" s="282"/>
      <c r="F169" s="125"/>
      <c r="G169" s="113"/>
      <c r="H169" s="75"/>
      <c r="I169" s="282"/>
      <c r="J169" s="125"/>
      <c r="K169" s="113"/>
      <c r="L169" s="75"/>
      <c r="M169" s="282"/>
      <c r="N169" s="125"/>
      <c r="O169" s="113"/>
      <c r="P169" s="75"/>
      <c r="Q169" s="282"/>
      <c r="R169" s="125"/>
      <c r="S169" s="113"/>
      <c r="T169" s="75"/>
      <c r="U169" s="282"/>
      <c r="V169" s="125"/>
      <c r="W169" s="113"/>
      <c r="X169" s="75"/>
      <c r="Y169" s="282"/>
      <c r="Z169" s="290"/>
      <c r="AA169" s="291"/>
      <c r="AB169" s="73"/>
      <c r="AC169" s="282"/>
      <c r="AD169" s="125"/>
      <c r="AE169" s="241"/>
      <c r="AF169" s="284"/>
      <c r="AG169" s="282"/>
      <c r="AH169" s="285"/>
      <c r="AI169" s="286"/>
      <c r="AJ169" s="188"/>
      <c r="AK169" s="282"/>
      <c r="AL169" s="288"/>
      <c r="AM169" s="289"/>
      <c r="AN169" s="75"/>
      <c r="AO169" s="282"/>
      <c r="AP169" s="288"/>
      <c r="AQ169" s="289"/>
      <c r="AR169" s="75"/>
      <c r="AS169" s="75"/>
      <c r="AT169" s="75"/>
    </row>
    <row r="170">
      <c r="A170" s="282"/>
      <c r="B170" s="125"/>
      <c r="C170" s="113"/>
      <c r="D170" s="75"/>
      <c r="E170" s="282"/>
      <c r="F170" s="125"/>
      <c r="G170" s="113"/>
      <c r="H170" s="75"/>
      <c r="I170" s="282"/>
      <c r="J170" s="125"/>
      <c r="K170" s="113"/>
      <c r="L170" s="75"/>
      <c r="M170" s="282"/>
      <c r="N170" s="125"/>
      <c r="O170" s="113"/>
      <c r="P170" s="75"/>
      <c r="Q170" s="282"/>
      <c r="R170" s="125"/>
      <c r="S170" s="113"/>
      <c r="T170" s="75"/>
      <c r="U170" s="282"/>
      <c r="V170" s="125"/>
      <c r="W170" s="113"/>
      <c r="X170" s="75"/>
      <c r="Y170" s="282"/>
      <c r="Z170" s="290"/>
      <c r="AA170" s="291"/>
      <c r="AB170" s="73"/>
      <c r="AC170" s="282"/>
      <c r="AD170" s="125"/>
      <c r="AE170" s="241"/>
      <c r="AF170" s="284"/>
      <c r="AG170" s="282"/>
      <c r="AH170" s="285"/>
      <c r="AI170" s="286"/>
      <c r="AJ170" s="188"/>
      <c r="AK170" s="282"/>
      <c r="AL170" s="288"/>
      <c r="AM170" s="289"/>
      <c r="AN170" s="75"/>
      <c r="AO170" s="282"/>
      <c r="AP170" s="288"/>
      <c r="AQ170" s="289"/>
      <c r="AR170" s="75"/>
      <c r="AS170" s="75"/>
      <c r="AT170" s="75"/>
    </row>
    <row r="171">
      <c r="A171" s="282"/>
      <c r="B171" s="125"/>
      <c r="C171" s="113"/>
      <c r="D171" s="75"/>
      <c r="E171" s="282"/>
      <c r="F171" s="125"/>
      <c r="G171" s="113"/>
      <c r="H171" s="75"/>
      <c r="I171" s="282"/>
      <c r="J171" s="125"/>
      <c r="K171" s="113"/>
      <c r="L171" s="75"/>
      <c r="M171" s="282"/>
      <c r="N171" s="125"/>
      <c r="O171" s="113"/>
      <c r="P171" s="75"/>
      <c r="Q171" s="282"/>
      <c r="R171" s="125"/>
      <c r="S171" s="113"/>
      <c r="T171" s="75"/>
      <c r="U171" s="282"/>
      <c r="V171" s="125"/>
      <c r="W171" s="113"/>
      <c r="X171" s="75"/>
      <c r="Y171" s="282"/>
      <c r="Z171" s="290"/>
      <c r="AA171" s="291"/>
      <c r="AB171" s="73"/>
      <c r="AC171" s="282"/>
      <c r="AD171" s="125"/>
      <c r="AE171" s="241"/>
      <c r="AF171" s="284"/>
      <c r="AG171" s="282"/>
      <c r="AH171" s="285"/>
      <c r="AI171" s="286"/>
      <c r="AJ171" s="188"/>
      <c r="AK171" s="282"/>
      <c r="AL171" s="288"/>
      <c r="AM171" s="289"/>
      <c r="AN171" s="75"/>
      <c r="AO171" s="282"/>
      <c r="AP171" s="288"/>
      <c r="AQ171" s="289"/>
      <c r="AR171" s="75"/>
      <c r="AS171" s="75"/>
      <c r="AT171" s="75"/>
    </row>
    <row r="172">
      <c r="A172" s="282"/>
      <c r="B172" s="125"/>
      <c r="C172" s="113"/>
      <c r="D172" s="75"/>
      <c r="E172" s="282"/>
      <c r="F172" s="125"/>
      <c r="G172" s="113"/>
      <c r="H172" s="75"/>
      <c r="I172" s="282"/>
      <c r="J172" s="125"/>
      <c r="K172" s="113"/>
      <c r="L172" s="75"/>
      <c r="M172" s="282"/>
      <c r="N172" s="125"/>
      <c r="O172" s="113"/>
      <c r="P172" s="75"/>
      <c r="Q172" s="282"/>
      <c r="R172" s="125"/>
      <c r="S172" s="113"/>
      <c r="T172" s="75"/>
      <c r="U172" s="282"/>
      <c r="V172" s="125"/>
      <c r="W172" s="113"/>
      <c r="X172" s="75"/>
      <c r="Y172" s="282"/>
      <c r="Z172" s="290"/>
      <c r="AA172" s="291"/>
      <c r="AB172" s="73"/>
      <c r="AC172" s="282"/>
      <c r="AD172" s="125"/>
      <c r="AE172" s="241"/>
      <c r="AF172" s="284"/>
      <c r="AG172" s="282"/>
      <c r="AH172" s="285"/>
      <c r="AI172" s="286"/>
      <c r="AJ172" s="188"/>
      <c r="AK172" s="282"/>
      <c r="AL172" s="288"/>
      <c r="AM172" s="289"/>
      <c r="AN172" s="75"/>
      <c r="AO172" s="282"/>
      <c r="AP172" s="288"/>
      <c r="AQ172" s="289"/>
      <c r="AR172" s="75"/>
      <c r="AS172" s="75"/>
      <c r="AT172" s="75"/>
    </row>
    <row r="173">
      <c r="A173" s="282"/>
      <c r="B173" s="125"/>
      <c r="C173" s="113"/>
      <c r="D173" s="75"/>
      <c r="E173" s="282"/>
      <c r="F173" s="125"/>
      <c r="G173" s="113"/>
      <c r="H173" s="75"/>
      <c r="I173" s="282"/>
      <c r="J173" s="125"/>
      <c r="K173" s="113"/>
      <c r="L173" s="75"/>
      <c r="M173" s="282"/>
      <c r="N173" s="125"/>
      <c r="O173" s="113"/>
      <c r="P173" s="75"/>
      <c r="Q173" s="282"/>
      <c r="R173" s="125"/>
      <c r="S173" s="113"/>
      <c r="T173" s="75"/>
      <c r="U173" s="282"/>
      <c r="V173" s="125"/>
      <c r="W173" s="113"/>
      <c r="X173" s="75"/>
      <c r="Y173" s="282"/>
      <c r="Z173" s="290"/>
      <c r="AA173" s="291"/>
      <c r="AB173" s="73"/>
      <c r="AC173" s="282"/>
      <c r="AD173" s="125"/>
      <c r="AE173" s="241"/>
      <c r="AF173" s="284"/>
      <c r="AG173" s="282"/>
      <c r="AH173" s="285"/>
      <c r="AI173" s="286"/>
      <c r="AJ173" s="188"/>
      <c r="AK173" s="282"/>
      <c r="AL173" s="288"/>
      <c r="AM173" s="289"/>
      <c r="AN173" s="75"/>
      <c r="AO173" s="282"/>
      <c r="AP173" s="288"/>
      <c r="AQ173" s="289"/>
      <c r="AR173" s="75"/>
      <c r="AS173" s="75"/>
      <c r="AT173" s="75"/>
    </row>
    <row r="174">
      <c r="A174" s="282"/>
      <c r="B174" s="125"/>
      <c r="C174" s="113"/>
      <c r="D174" s="75"/>
      <c r="E174" s="282"/>
      <c r="F174" s="125"/>
      <c r="G174" s="113"/>
      <c r="H174" s="75"/>
      <c r="I174" s="282"/>
      <c r="J174" s="125"/>
      <c r="K174" s="113"/>
      <c r="L174" s="75"/>
      <c r="M174" s="282"/>
      <c r="N174" s="125"/>
      <c r="O174" s="113"/>
      <c r="P174" s="75"/>
      <c r="Q174" s="282"/>
      <c r="R174" s="125"/>
      <c r="S174" s="113"/>
      <c r="T174" s="75"/>
      <c r="U174" s="282"/>
      <c r="V174" s="125"/>
      <c r="W174" s="113"/>
      <c r="X174" s="75"/>
      <c r="Y174" s="282"/>
      <c r="Z174" s="290"/>
      <c r="AA174" s="291"/>
      <c r="AB174" s="73"/>
      <c r="AC174" s="282"/>
      <c r="AD174" s="125"/>
      <c r="AE174" s="241"/>
      <c r="AF174" s="284"/>
      <c r="AG174" s="282"/>
      <c r="AH174" s="285"/>
      <c r="AI174" s="286"/>
      <c r="AJ174" s="188"/>
      <c r="AK174" s="282"/>
      <c r="AL174" s="288"/>
      <c r="AM174" s="289"/>
      <c r="AN174" s="75"/>
      <c r="AO174" s="282"/>
      <c r="AP174" s="288"/>
      <c r="AQ174" s="289"/>
      <c r="AR174" s="75"/>
      <c r="AS174" s="75"/>
      <c r="AT174" s="75"/>
    </row>
    <row r="175">
      <c r="A175" s="282"/>
      <c r="B175" s="125"/>
      <c r="C175" s="113"/>
      <c r="D175" s="75"/>
      <c r="E175" s="282"/>
      <c r="F175" s="125"/>
      <c r="G175" s="113"/>
      <c r="H175" s="75"/>
      <c r="I175" s="282"/>
      <c r="J175" s="125"/>
      <c r="K175" s="113"/>
      <c r="L175" s="75"/>
      <c r="M175" s="282"/>
      <c r="N175" s="125"/>
      <c r="O175" s="113"/>
      <c r="P175" s="75"/>
      <c r="Q175" s="282"/>
      <c r="R175" s="125"/>
      <c r="S175" s="113"/>
      <c r="T175" s="75"/>
      <c r="U175" s="282"/>
      <c r="V175" s="125"/>
      <c r="W175" s="113"/>
      <c r="X175" s="75"/>
      <c r="Y175" s="282"/>
      <c r="Z175" s="290"/>
      <c r="AA175" s="291"/>
      <c r="AB175" s="73"/>
      <c r="AC175" s="282"/>
      <c r="AD175" s="125"/>
      <c r="AE175" s="241"/>
      <c r="AF175" s="284"/>
      <c r="AG175" s="282"/>
      <c r="AH175" s="285"/>
      <c r="AI175" s="286"/>
      <c r="AJ175" s="188"/>
      <c r="AK175" s="282"/>
      <c r="AL175" s="288"/>
      <c r="AM175" s="289"/>
      <c r="AN175" s="75"/>
      <c r="AO175" s="282"/>
      <c r="AP175" s="288"/>
      <c r="AQ175" s="289"/>
      <c r="AR175" s="75"/>
      <c r="AS175" s="75"/>
      <c r="AT175" s="75"/>
    </row>
    <row r="176">
      <c r="A176" s="282"/>
      <c r="B176" s="125"/>
      <c r="C176" s="113"/>
      <c r="D176" s="75"/>
      <c r="E176" s="282"/>
      <c r="F176" s="125"/>
      <c r="G176" s="113"/>
      <c r="H176" s="75"/>
      <c r="I176" s="282"/>
      <c r="J176" s="125"/>
      <c r="K176" s="113"/>
      <c r="L176" s="75"/>
      <c r="M176" s="282"/>
      <c r="N176" s="125"/>
      <c r="O176" s="113"/>
      <c r="P176" s="75"/>
      <c r="Q176" s="282"/>
      <c r="R176" s="125"/>
      <c r="S176" s="113"/>
      <c r="T176" s="75"/>
      <c r="U176" s="282"/>
      <c r="V176" s="125"/>
      <c r="W176" s="113"/>
      <c r="X176" s="75"/>
      <c r="Y176" s="282"/>
      <c r="Z176" s="290"/>
      <c r="AA176" s="291"/>
      <c r="AB176" s="73"/>
      <c r="AC176" s="282"/>
      <c r="AD176" s="125"/>
      <c r="AE176" s="241"/>
      <c r="AF176" s="284"/>
      <c r="AG176" s="282"/>
      <c r="AH176" s="285"/>
      <c r="AI176" s="286"/>
      <c r="AJ176" s="188"/>
      <c r="AK176" s="282"/>
      <c r="AL176" s="288"/>
      <c r="AM176" s="289"/>
      <c r="AN176" s="75"/>
      <c r="AO176" s="282"/>
      <c r="AP176" s="288"/>
      <c r="AQ176" s="289"/>
      <c r="AR176" s="75"/>
      <c r="AS176" s="75"/>
      <c r="AT176" s="75"/>
    </row>
    <row r="177">
      <c r="A177" s="282"/>
      <c r="B177" s="125"/>
      <c r="C177" s="113"/>
      <c r="D177" s="75"/>
      <c r="E177" s="282"/>
      <c r="F177" s="125"/>
      <c r="G177" s="113"/>
      <c r="H177" s="75"/>
      <c r="I177" s="282"/>
      <c r="J177" s="125"/>
      <c r="K177" s="113"/>
      <c r="L177" s="75"/>
      <c r="M177" s="282"/>
      <c r="N177" s="125"/>
      <c r="O177" s="113"/>
      <c r="P177" s="75"/>
      <c r="Q177" s="282"/>
      <c r="R177" s="125"/>
      <c r="S177" s="113"/>
      <c r="T177" s="75"/>
      <c r="U177" s="282"/>
      <c r="V177" s="125"/>
      <c r="W177" s="113"/>
      <c r="X177" s="75"/>
      <c r="Y177" s="282"/>
      <c r="Z177" s="290"/>
      <c r="AA177" s="291"/>
      <c r="AB177" s="73"/>
      <c r="AC177" s="282"/>
      <c r="AD177" s="125"/>
      <c r="AE177" s="241"/>
      <c r="AF177" s="284"/>
      <c r="AG177" s="282"/>
      <c r="AH177" s="285"/>
      <c r="AI177" s="286"/>
      <c r="AJ177" s="188"/>
      <c r="AK177" s="282"/>
      <c r="AL177" s="288"/>
      <c r="AM177" s="289"/>
      <c r="AN177" s="75"/>
      <c r="AO177" s="282"/>
      <c r="AP177" s="288"/>
      <c r="AQ177" s="289"/>
      <c r="AR177" s="75"/>
      <c r="AS177" s="75"/>
      <c r="AT177" s="75"/>
    </row>
    <row r="178">
      <c r="A178" s="282"/>
      <c r="B178" s="125"/>
      <c r="C178" s="113"/>
      <c r="D178" s="75"/>
      <c r="E178" s="282"/>
      <c r="F178" s="125"/>
      <c r="G178" s="113"/>
      <c r="H178" s="75"/>
      <c r="I178" s="282"/>
      <c r="J178" s="125"/>
      <c r="K178" s="113"/>
      <c r="L178" s="75"/>
      <c r="M178" s="282"/>
      <c r="N178" s="125"/>
      <c r="O178" s="113"/>
      <c r="P178" s="75"/>
      <c r="Q178" s="282"/>
      <c r="R178" s="125"/>
      <c r="S178" s="113"/>
      <c r="T178" s="75"/>
      <c r="U178" s="282"/>
      <c r="V178" s="125"/>
      <c r="W178" s="113"/>
      <c r="X178" s="75"/>
      <c r="Y178" s="282"/>
      <c r="Z178" s="290"/>
      <c r="AA178" s="291"/>
      <c r="AB178" s="73"/>
      <c r="AC178" s="282"/>
      <c r="AD178" s="125"/>
      <c r="AE178" s="241"/>
      <c r="AF178" s="284"/>
      <c r="AG178" s="282"/>
      <c r="AH178" s="285"/>
      <c r="AI178" s="286"/>
      <c r="AJ178" s="188"/>
      <c r="AK178" s="282"/>
      <c r="AL178" s="288"/>
      <c r="AM178" s="289"/>
      <c r="AN178" s="75"/>
      <c r="AO178" s="282"/>
      <c r="AP178" s="288"/>
      <c r="AQ178" s="289"/>
      <c r="AR178" s="75"/>
      <c r="AS178" s="75"/>
      <c r="AT178" s="75"/>
    </row>
    <row r="179">
      <c r="A179" s="282"/>
      <c r="B179" s="125"/>
      <c r="C179" s="113"/>
      <c r="D179" s="75"/>
      <c r="E179" s="282"/>
      <c r="F179" s="125"/>
      <c r="G179" s="113"/>
      <c r="H179" s="75"/>
      <c r="I179" s="282"/>
      <c r="J179" s="125"/>
      <c r="K179" s="113"/>
      <c r="L179" s="75"/>
      <c r="M179" s="282"/>
      <c r="N179" s="125"/>
      <c r="O179" s="113"/>
      <c r="P179" s="75"/>
      <c r="Q179" s="282"/>
      <c r="R179" s="125"/>
      <c r="S179" s="113"/>
      <c r="T179" s="75"/>
      <c r="U179" s="282"/>
      <c r="V179" s="125"/>
      <c r="W179" s="113"/>
      <c r="X179" s="75"/>
      <c r="Y179" s="282"/>
      <c r="Z179" s="290"/>
      <c r="AA179" s="291"/>
      <c r="AB179" s="73"/>
      <c r="AC179" s="282"/>
      <c r="AD179" s="125"/>
      <c r="AE179" s="241"/>
      <c r="AF179" s="284"/>
      <c r="AG179" s="282"/>
      <c r="AH179" s="285"/>
      <c r="AI179" s="286"/>
      <c r="AJ179" s="188"/>
      <c r="AK179" s="282"/>
      <c r="AL179" s="288"/>
      <c r="AM179" s="289"/>
      <c r="AN179" s="75"/>
      <c r="AO179" s="282"/>
      <c r="AP179" s="288"/>
      <c r="AQ179" s="289"/>
      <c r="AR179" s="75"/>
      <c r="AS179" s="75"/>
      <c r="AT179" s="75"/>
    </row>
    <row r="180">
      <c r="A180" s="282"/>
      <c r="B180" s="125"/>
      <c r="C180" s="113"/>
      <c r="D180" s="75"/>
      <c r="E180" s="282"/>
      <c r="F180" s="125"/>
      <c r="G180" s="113"/>
      <c r="H180" s="75"/>
      <c r="I180" s="282"/>
      <c r="J180" s="125"/>
      <c r="K180" s="113"/>
      <c r="L180" s="75"/>
      <c r="M180" s="282"/>
      <c r="N180" s="125"/>
      <c r="O180" s="113"/>
      <c r="P180" s="75"/>
      <c r="Q180" s="282"/>
      <c r="R180" s="125"/>
      <c r="S180" s="113"/>
      <c r="T180" s="75"/>
      <c r="U180" s="282"/>
      <c r="V180" s="125"/>
      <c r="W180" s="113"/>
      <c r="X180" s="75"/>
      <c r="Y180" s="282"/>
      <c r="Z180" s="290"/>
      <c r="AA180" s="291"/>
      <c r="AB180" s="73"/>
      <c r="AC180" s="282"/>
      <c r="AD180" s="125"/>
      <c r="AE180" s="241"/>
      <c r="AF180" s="284"/>
      <c r="AG180" s="282"/>
      <c r="AH180" s="285"/>
      <c r="AI180" s="286"/>
      <c r="AJ180" s="188"/>
      <c r="AK180" s="282"/>
      <c r="AL180" s="288"/>
      <c r="AM180" s="289"/>
      <c r="AN180" s="75"/>
      <c r="AO180" s="282"/>
      <c r="AP180" s="288"/>
      <c r="AQ180" s="289"/>
      <c r="AR180" s="75"/>
      <c r="AS180" s="75"/>
      <c r="AT180" s="75"/>
    </row>
    <row r="181">
      <c r="A181" s="282"/>
      <c r="B181" s="125"/>
      <c r="C181" s="113"/>
      <c r="D181" s="75"/>
      <c r="E181" s="282"/>
      <c r="F181" s="125"/>
      <c r="G181" s="113"/>
      <c r="H181" s="75"/>
      <c r="I181" s="282"/>
      <c r="J181" s="125"/>
      <c r="K181" s="113"/>
      <c r="L181" s="75"/>
      <c r="M181" s="282"/>
      <c r="N181" s="125"/>
      <c r="O181" s="113"/>
      <c r="P181" s="75"/>
      <c r="Q181" s="282"/>
      <c r="R181" s="125"/>
      <c r="S181" s="113"/>
      <c r="T181" s="75"/>
      <c r="U181" s="282"/>
      <c r="V181" s="125"/>
      <c r="W181" s="113"/>
      <c r="X181" s="75"/>
      <c r="Y181" s="282"/>
      <c r="Z181" s="290"/>
      <c r="AA181" s="291"/>
      <c r="AB181" s="73"/>
      <c r="AC181" s="282"/>
      <c r="AD181" s="125"/>
      <c r="AE181" s="241"/>
      <c r="AF181" s="284"/>
      <c r="AG181" s="282"/>
      <c r="AH181" s="285"/>
      <c r="AI181" s="286"/>
      <c r="AJ181" s="188"/>
      <c r="AK181" s="282"/>
      <c r="AL181" s="288"/>
      <c r="AM181" s="289"/>
      <c r="AN181" s="75"/>
      <c r="AO181" s="282"/>
      <c r="AP181" s="288"/>
      <c r="AQ181" s="289"/>
      <c r="AR181" s="75"/>
      <c r="AS181" s="75"/>
      <c r="AT181" s="75"/>
    </row>
    <row r="182">
      <c r="A182" s="282"/>
      <c r="B182" s="125"/>
      <c r="C182" s="113"/>
      <c r="D182" s="75"/>
      <c r="E182" s="282"/>
      <c r="F182" s="125"/>
      <c r="G182" s="113"/>
      <c r="H182" s="75"/>
      <c r="I182" s="282"/>
      <c r="J182" s="125"/>
      <c r="K182" s="113"/>
      <c r="L182" s="75"/>
      <c r="M182" s="282"/>
      <c r="N182" s="125"/>
      <c r="O182" s="113"/>
      <c r="P182" s="75"/>
      <c r="Q182" s="282"/>
      <c r="R182" s="125"/>
      <c r="S182" s="113"/>
      <c r="T182" s="75"/>
      <c r="U182" s="282"/>
      <c r="V182" s="125"/>
      <c r="W182" s="113"/>
      <c r="X182" s="75"/>
      <c r="Y182" s="282"/>
      <c r="Z182" s="290"/>
      <c r="AA182" s="291"/>
      <c r="AB182" s="73"/>
      <c r="AC182" s="282"/>
      <c r="AD182" s="125"/>
      <c r="AE182" s="241"/>
      <c r="AF182" s="284"/>
      <c r="AG182" s="282"/>
      <c r="AH182" s="285"/>
      <c r="AI182" s="286"/>
      <c r="AJ182" s="188"/>
      <c r="AK182" s="282"/>
      <c r="AL182" s="288"/>
      <c r="AM182" s="289"/>
      <c r="AN182" s="75"/>
      <c r="AO182" s="282"/>
      <c r="AP182" s="288"/>
      <c r="AQ182" s="289"/>
      <c r="AR182" s="75"/>
      <c r="AS182" s="75"/>
      <c r="AT182" s="75"/>
    </row>
    <row r="183">
      <c r="A183" s="282"/>
      <c r="B183" s="125"/>
      <c r="C183" s="113"/>
      <c r="D183" s="75"/>
      <c r="E183" s="282"/>
      <c r="F183" s="125"/>
      <c r="G183" s="113"/>
      <c r="H183" s="75"/>
      <c r="I183" s="282"/>
      <c r="J183" s="125"/>
      <c r="K183" s="113"/>
      <c r="L183" s="75"/>
      <c r="M183" s="282"/>
      <c r="N183" s="125"/>
      <c r="O183" s="113"/>
      <c r="P183" s="75"/>
      <c r="Q183" s="282"/>
      <c r="R183" s="125"/>
      <c r="S183" s="113"/>
      <c r="T183" s="75"/>
      <c r="U183" s="282"/>
      <c r="V183" s="125"/>
      <c r="W183" s="113"/>
      <c r="X183" s="75"/>
      <c r="Y183" s="282"/>
      <c r="Z183" s="290"/>
      <c r="AA183" s="291"/>
      <c r="AB183" s="73"/>
      <c r="AC183" s="282"/>
      <c r="AD183" s="125"/>
      <c r="AE183" s="241"/>
      <c r="AF183" s="284"/>
      <c r="AG183" s="282"/>
      <c r="AH183" s="285"/>
      <c r="AI183" s="286"/>
      <c r="AJ183" s="188"/>
      <c r="AK183" s="282"/>
      <c r="AL183" s="288"/>
      <c r="AM183" s="289"/>
      <c r="AN183" s="75"/>
      <c r="AO183" s="282"/>
      <c r="AP183" s="288"/>
      <c r="AQ183" s="289"/>
      <c r="AR183" s="75"/>
      <c r="AS183" s="75"/>
      <c r="AT183" s="75"/>
    </row>
    <row r="184">
      <c r="A184" s="282"/>
      <c r="B184" s="125"/>
      <c r="C184" s="113"/>
      <c r="D184" s="75"/>
      <c r="E184" s="282"/>
      <c r="F184" s="125"/>
      <c r="G184" s="113"/>
      <c r="H184" s="75"/>
      <c r="I184" s="282"/>
      <c r="J184" s="125"/>
      <c r="K184" s="113"/>
      <c r="L184" s="75"/>
      <c r="M184" s="282"/>
      <c r="N184" s="125"/>
      <c r="O184" s="113"/>
      <c r="P184" s="75"/>
      <c r="Q184" s="282"/>
      <c r="R184" s="125"/>
      <c r="S184" s="113"/>
      <c r="T184" s="75"/>
      <c r="U184" s="282"/>
      <c r="V184" s="125"/>
      <c r="W184" s="113"/>
      <c r="X184" s="75"/>
      <c r="Y184" s="282"/>
      <c r="Z184" s="290"/>
      <c r="AA184" s="291"/>
      <c r="AB184" s="73"/>
      <c r="AC184" s="282"/>
      <c r="AD184" s="125"/>
      <c r="AE184" s="241"/>
      <c r="AF184" s="284"/>
      <c r="AG184" s="282"/>
      <c r="AH184" s="285"/>
      <c r="AI184" s="286"/>
      <c r="AJ184" s="188"/>
      <c r="AK184" s="282"/>
      <c r="AL184" s="288"/>
      <c r="AM184" s="289"/>
      <c r="AN184" s="75"/>
      <c r="AO184" s="282"/>
      <c r="AP184" s="288"/>
      <c r="AQ184" s="289"/>
      <c r="AR184" s="75"/>
      <c r="AS184" s="75"/>
      <c r="AT184" s="75"/>
    </row>
    <row r="185">
      <c r="A185" s="282"/>
      <c r="B185" s="125"/>
      <c r="C185" s="113"/>
      <c r="D185" s="75"/>
      <c r="E185" s="282"/>
      <c r="F185" s="125"/>
      <c r="G185" s="113"/>
      <c r="H185" s="75"/>
      <c r="I185" s="282"/>
      <c r="J185" s="125"/>
      <c r="K185" s="113"/>
      <c r="L185" s="75"/>
      <c r="M185" s="282"/>
      <c r="N185" s="125"/>
      <c r="O185" s="113"/>
      <c r="P185" s="75"/>
      <c r="Q185" s="282"/>
      <c r="R185" s="125"/>
      <c r="S185" s="113"/>
      <c r="T185" s="75"/>
      <c r="U185" s="282"/>
      <c r="V185" s="125"/>
      <c r="W185" s="113"/>
      <c r="X185" s="75"/>
      <c r="Y185" s="282"/>
      <c r="Z185" s="290"/>
      <c r="AA185" s="291"/>
      <c r="AB185" s="73"/>
      <c r="AC185" s="282"/>
      <c r="AD185" s="125"/>
      <c r="AE185" s="241"/>
      <c r="AF185" s="284"/>
      <c r="AG185" s="282"/>
      <c r="AH185" s="285"/>
      <c r="AI185" s="286"/>
      <c r="AJ185" s="188"/>
      <c r="AK185" s="282"/>
      <c r="AL185" s="288"/>
      <c r="AM185" s="289"/>
      <c r="AN185" s="75"/>
      <c r="AO185" s="282"/>
      <c r="AP185" s="288"/>
      <c r="AQ185" s="289"/>
      <c r="AR185" s="75"/>
      <c r="AS185" s="75"/>
      <c r="AT185" s="75"/>
    </row>
    <row r="186">
      <c r="A186" s="282"/>
      <c r="B186" s="125"/>
      <c r="C186" s="113"/>
      <c r="D186" s="75"/>
      <c r="E186" s="282"/>
      <c r="F186" s="125"/>
      <c r="G186" s="113"/>
      <c r="H186" s="75"/>
      <c r="I186" s="282"/>
      <c r="J186" s="125"/>
      <c r="K186" s="113"/>
      <c r="L186" s="75"/>
      <c r="M186" s="282"/>
      <c r="N186" s="125"/>
      <c r="O186" s="113"/>
      <c r="P186" s="75"/>
      <c r="Q186" s="282"/>
      <c r="R186" s="125"/>
      <c r="S186" s="113"/>
      <c r="T186" s="75"/>
      <c r="U186" s="282"/>
      <c r="V186" s="125"/>
      <c r="W186" s="113"/>
      <c r="X186" s="75"/>
      <c r="Y186" s="282"/>
      <c r="Z186" s="290"/>
      <c r="AA186" s="291"/>
      <c r="AB186" s="73"/>
      <c r="AC186" s="282"/>
      <c r="AD186" s="125"/>
      <c r="AE186" s="241"/>
      <c r="AF186" s="284"/>
      <c r="AG186" s="282"/>
      <c r="AH186" s="285"/>
      <c r="AI186" s="286"/>
      <c r="AJ186" s="188"/>
      <c r="AK186" s="282"/>
      <c r="AL186" s="288"/>
      <c r="AM186" s="289"/>
      <c r="AN186" s="75"/>
      <c r="AO186" s="282"/>
      <c r="AP186" s="288"/>
      <c r="AQ186" s="289"/>
      <c r="AR186" s="75"/>
      <c r="AS186" s="75"/>
      <c r="AT186" s="75"/>
    </row>
    <row r="187">
      <c r="A187" s="282"/>
      <c r="B187" s="125"/>
      <c r="C187" s="113"/>
      <c r="D187" s="75"/>
      <c r="E187" s="282"/>
      <c r="F187" s="125"/>
      <c r="G187" s="113"/>
      <c r="H187" s="75"/>
      <c r="I187" s="282"/>
      <c r="J187" s="125"/>
      <c r="K187" s="113"/>
      <c r="L187" s="75"/>
      <c r="M187" s="282"/>
      <c r="N187" s="125"/>
      <c r="O187" s="113"/>
      <c r="P187" s="75"/>
      <c r="Q187" s="282"/>
      <c r="R187" s="125"/>
      <c r="S187" s="113"/>
      <c r="T187" s="75"/>
      <c r="U187" s="282"/>
      <c r="V187" s="125"/>
      <c r="W187" s="113"/>
      <c r="X187" s="75"/>
      <c r="Y187" s="282"/>
      <c r="Z187" s="290"/>
      <c r="AA187" s="291"/>
      <c r="AB187" s="73"/>
      <c r="AC187" s="282"/>
      <c r="AD187" s="125"/>
      <c r="AE187" s="241"/>
      <c r="AF187" s="284"/>
      <c r="AG187" s="282"/>
      <c r="AH187" s="285"/>
      <c r="AI187" s="286"/>
      <c r="AJ187" s="188"/>
      <c r="AK187" s="282"/>
      <c r="AL187" s="288"/>
      <c r="AM187" s="289"/>
      <c r="AN187" s="75"/>
      <c r="AO187" s="282"/>
      <c r="AP187" s="288"/>
      <c r="AQ187" s="289"/>
      <c r="AR187" s="75"/>
      <c r="AS187" s="75"/>
      <c r="AT187" s="75"/>
    </row>
    <row r="188">
      <c r="A188" s="282"/>
      <c r="B188" s="125"/>
      <c r="C188" s="113"/>
      <c r="D188" s="75"/>
      <c r="E188" s="282"/>
      <c r="F188" s="125"/>
      <c r="G188" s="113"/>
      <c r="H188" s="75"/>
      <c r="I188" s="282"/>
      <c r="J188" s="125"/>
      <c r="K188" s="113"/>
      <c r="L188" s="75"/>
      <c r="M188" s="282"/>
      <c r="N188" s="125"/>
      <c r="O188" s="113"/>
      <c r="P188" s="75"/>
      <c r="Q188" s="282"/>
      <c r="R188" s="125"/>
      <c r="S188" s="113"/>
      <c r="T188" s="75"/>
      <c r="U188" s="282"/>
      <c r="V188" s="125"/>
      <c r="W188" s="113"/>
      <c r="X188" s="75"/>
      <c r="Y188" s="282"/>
      <c r="Z188" s="290"/>
      <c r="AA188" s="291"/>
      <c r="AB188" s="73"/>
      <c r="AC188" s="282"/>
      <c r="AD188" s="125"/>
      <c r="AE188" s="241"/>
      <c r="AF188" s="284"/>
      <c r="AG188" s="282"/>
      <c r="AH188" s="285"/>
      <c r="AI188" s="286"/>
      <c r="AJ188" s="188"/>
      <c r="AK188" s="282"/>
      <c r="AL188" s="288"/>
      <c r="AM188" s="289"/>
      <c r="AN188" s="75"/>
      <c r="AO188" s="282"/>
      <c r="AP188" s="288"/>
      <c r="AQ188" s="289"/>
      <c r="AR188" s="75"/>
      <c r="AS188" s="75"/>
      <c r="AT188" s="75"/>
    </row>
    <row r="189">
      <c r="A189" s="282"/>
      <c r="B189" s="125"/>
      <c r="C189" s="113"/>
      <c r="D189" s="75"/>
      <c r="E189" s="282"/>
      <c r="F189" s="125"/>
      <c r="G189" s="113"/>
      <c r="H189" s="75"/>
      <c r="I189" s="282"/>
      <c r="J189" s="125"/>
      <c r="K189" s="113"/>
      <c r="L189" s="75"/>
      <c r="M189" s="282"/>
      <c r="N189" s="125"/>
      <c r="O189" s="113"/>
      <c r="P189" s="75"/>
      <c r="Q189" s="282"/>
      <c r="R189" s="125"/>
      <c r="S189" s="113"/>
      <c r="T189" s="75"/>
      <c r="U189" s="282"/>
      <c r="V189" s="125"/>
      <c r="W189" s="113"/>
      <c r="X189" s="75"/>
      <c r="Y189" s="282"/>
      <c r="Z189" s="290"/>
      <c r="AA189" s="291"/>
      <c r="AB189" s="73"/>
      <c r="AC189" s="282"/>
      <c r="AD189" s="125"/>
      <c r="AE189" s="241"/>
      <c r="AF189" s="284"/>
      <c r="AG189" s="282"/>
      <c r="AH189" s="285"/>
      <c r="AI189" s="286"/>
      <c r="AJ189" s="188"/>
      <c r="AK189" s="282"/>
      <c r="AL189" s="288"/>
      <c r="AM189" s="289"/>
      <c r="AN189" s="75"/>
      <c r="AO189" s="282"/>
      <c r="AP189" s="288"/>
      <c r="AQ189" s="289"/>
      <c r="AR189" s="75"/>
      <c r="AS189" s="75"/>
      <c r="AT189" s="75"/>
    </row>
    <row r="190">
      <c r="A190" s="282"/>
      <c r="B190" s="125"/>
      <c r="C190" s="113"/>
      <c r="D190" s="75"/>
      <c r="E190" s="282"/>
      <c r="F190" s="125"/>
      <c r="G190" s="113"/>
      <c r="H190" s="75"/>
      <c r="I190" s="282"/>
      <c r="J190" s="125"/>
      <c r="K190" s="113"/>
      <c r="L190" s="75"/>
      <c r="M190" s="282"/>
      <c r="N190" s="125"/>
      <c r="O190" s="113"/>
      <c r="P190" s="75"/>
      <c r="Q190" s="282"/>
      <c r="R190" s="125"/>
      <c r="S190" s="113"/>
      <c r="T190" s="75"/>
      <c r="U190" s="282"/>
      <c r="V190" s="125"/>
      <c r="W190" s="113"/>
      <c r="X190" s="75"/>
      <c r="Y190" s="282"/>
      <c r="Z190" s="290"/>
      <c r="AA190" s="291"/>
      <c r="AB190" s="73"/>
      <c r="AC190" s="282"/>
      <c r="AD190" s="125"/>
      <c r="AE190" s="241"/>
      <c r="AF190" s="284"/>
      <c r="AG190" s="282"/>
      <c r="AH190" s="285"/>
      <c r="AI190" s="286"/>
      <c r="AJ190" s="188"/>
      <c r="AK190" s="282"/>
      <c r="AL190" s="288"/>
      <c r="AM190" s="289"/>
      <c r="AN190" s="75"/>
      <c r="AO190" s="282"/>
      <c r="AP190" s="288"/>
      <c r="AQ190" s="289"/>
      <c r="AR190" s="75"/>
      <c r="AS190" s="75"/>
      <c r="AT190" s="75"/>
    </row>
    <row r="191">
      <c r="A191" s="282"/>
      <c r="B191" s="125"/>
      <c r="C191" s="113"/>
      <c r="D191" s="75"/>
      <c r="E191" s="282"/>
      <c r="F191" s="125"/>
      <c r="G191" s="113"/>
      <c r="H191" s="75"/>
      <c r="I191" s="282"/>
      <c r="J191" s="125"/>
      <c r="K191" s="113"/>
      <c r="L191" s="75"/>
      <c r="M191" s="282"/>
      <c r="N191" s="125"/>
      <c r="O191" s="113"/>
      <c r="P191" s="75"/>
      <c r="Q191" s="282"/>
      <c r="R191" s="125"/>
      <c r="S191" s="113"/>
      <c r="T191" s="75"/>
      <c r="U191" s="282"/>
      <c r="V191" s="125"/>
      <c r="W191" s="113"/>
      <c r="X191" s="75"/>
      <c r="Y191" s="282"/>
      <c r="Z191" s="290"/>
      <c r="AA191" s="291"/>
      <c r="AB191" s="73"/>
      <c r="AC191" s="282"/>
      <c r="AD191" s="125"/>
      <c r="AE191" s="241"/>
      <c r="AF191" s="284"/>
      <c r="AG191" s="282"/>
      <c r="AH191" s="285"/>
      <c r="AI191" s="286"/>
      <c r="AJ191" s="188"/>
      <c r="AK191" s="282"/>
      <c r="AL191" s="288"/>
      <c r="AM191" s="289"/>
      <c r="AN191" s="75"/>
      <c r="AO191" s="282"/>
      <c r="AP191" s="288"/>
      <c r="AQ191" s="289"/>
      <c r="AR191" s="75"/>
      <c r="AS191" s="75"/>
      <c r="AT191" s="75"/>
    </row>
    <row r="192">
      <c r="A192" s="282"/>
      <c r="B192" s="125"/>
      <c r="C192" s="113"/>
      <c r="D192" s="75"/>
      <c r="E192" s="282"/>
      <c r="F192" s="125"/>
      <c r="G192" s="113"/>
      <c r="H192" s="75"/>
      <c r="I192" s="282"/>
      <c r="J192" s="125"/>
      <c r="K192" s="113"/>
      <c r="L192" s="75"/>
      <c r="M192" s="282"/>
      <c r="N192" s="125"/>
      <c r="O192" s="113"/>
      <c r="P192" s="75"/>
      <c r="Q192" s="282"/>
      <c r="R192" s="125"/>
      <c r="S192" s="113"/>
      <c r="T192" s="75"/>
      <c r="U192" s="282"/>
      <c r="V192" s="125"/>
      <c r="W192" s="113"/>
      <c r="X192" s="75"/>
      <c r="Y192" s="282"/>
      <c r="Z192" s="290"/>
      <c r="AA192" s="291"/>
      <c r="AB192" s="73"/>
      <c r="AC192" s="282"/>
      <c r="AD192" s="125"/>
      <c r="AE192" s="241"/>
      <c r="AF192" s="284"/>
      <c r="AG192" s="282"/>
      <c r="AH192" s="285"/>
      <c r="AI192" s="286"/>
      <c r="AJ192" s="188"/>
      <c r="AK192" s="282"/>
      <c r="AL192" s="288"/>
      <c r="AM192" s="289"/>
      <c r="AN192" s="75"/>
      <c r="AO192" s="282"/>
      <c r="AP192" s="288"/>
      <c r="AQ192" s="289"/>
      <c r="AR192" s="75"/>
      <c r="AS192" s="75"/>
      <c r="AT192" s="75"/>
    </row>
    <row r="193">
      <c r="A193" s="282"/>
      <c r="B193" s="125"/>
      <c r="C193" s="113"/>
      <c r="D193" s="75"/>
      <c r="E193" s="282"/>
      <c r="F193" s="125"/>
      <c r="G193" s="113"/>
      <c r="H193" s="75"/>
      <c r="I193" s="282"/>
      <c r="J193" s="125"/>
      <c r="K193" s="113"/>
      <c r="L193" s="75"/>
      <c r="M193" s="282"/>
      <c r="N193" s="125"/>
      <c r="O193" s="113"/>
      <c r="P193" s="75"/>
      <c r="Q193" s="282"/>
      <c r="R193" s="125"/>
      <c r="S193" s="113"/>
      <c r="T193" s="75"/>
      <c r="U193" s="282"/>
      <c r="V193" s="125"/>
      <c r="W193" s="113"/>
      <c r="X193" s="75"/>
      <c r="Y193" s="282"/>
      <c r="Z193" s="290"/>
      <c r="AA193" s="291"/>
      <c r="AB193" s="73"/>
      <c r="AC193" s="282"/>
      <c r="AD193" s="125"/>
      <c r="AE193" s="241"/>
      <c r="AF193" s="284"/>
      <c r="AG193" s="282"/>
      <c r="AH193" s="285"/>
      <c r="AI193" s="286"/>
      <c r="AJ193" s="188"/>
      <c r="AK193" s="282"/>
      <c r="AL193" s="288"/>
      <c r="AM193" s="289"/>
      <c r="AN193" s="75"/>
      <c r="AO193" s="282"/>
      <c r="AP193" s="288"/>
      <c r="AQ193" s="289"/>
      <c r="AR193" s="75"/>
      <c r="AS193" s="75"/>
      <c r="AT193" s="75"/>
    </row>
    <row r="194">
      <c r="A194" s="282"/>
      <c r="B194" s="125"/>
      <c r="C194" s="113"/>
      <c r="D194" s="75"/>
      <c r="E194" s="282"/>
      <c r="F194" s="125"/>
      <c r="G194" s="113"/>
      <c r="H194" s="75"/>
      <c r="I194" s="282"/>
      <c r="J194" s="125"/>
      <c r="K194" s="113"/>
      <c r="L194" s="75"/>
      <c r="M194" s="282"/>
      <c r="N194" s="125"/>
      <c r="O194" s="113"/>
      <c r="P194" s="75"/>
      <c r="Q194" s="282"/>
      <c r="R194" s="125"/>
      <c r="S194" s="113"/>
      <c r="T194" s="75"/>
      <c r="U194" s="282"/>
      <c r="V194" s="125"/>
      <c r="W194" s="113"/>
      <c r="X194" s="75"/>
      <c r="Y194" s="282"/>
      <c r="Z194" s="290"/>
      <c r="AA194" s="291"/>
      <c r="AB194" s="73"/>
      <c r="AC194" s="282"/>
      <c r="AD194" s="125"/>
      <c r="AE194" s="241"/>
      <c r="AF194" s="284"/>
      <c r="AG194" s="282"/>
      <c r="AH194" s="285"/>
      <c r="AI194" s="286"/>
      <c r="AJ194" s="188"/>
      <c r="AK194" s="282"/>
      <c r="AL194" s="288"/>
      <c r="AM194" s="289"/>
      <c r="AN194" s="75"/>
      <c r="AO194" s="282"/>
      <c r="AP194" s="288"/>
      <c r="AQ194" s="289"/>
      <c r="AR194" s="75"/>
      <c r="AS194" s="75"/>
      <c r="AT194" s="75"/>
    </row>
    <row r="195">
      <c r="A195" s="282"/>
      <c r="B195" s="125"/>
      <c r="C195" s="113"/>
      <c r="D195" s="75"/>
      <c r="E195" s="282"/>
      <c r="F195" s="125"/>
      <c r="G195" s="113"/>
      <c r="H195" s="75"/>
      <c r="I195" s="282"/>
      <c r="J195" s="125"/>
      <c r="K195" s="113"/>
      <c r="L195" s="75"/>
      <c r="M195" s="282"/>
      <c r="N195" s="125"/>
      <c r="O195" s="113"/>
      <c r="P195" s="75"/>
      <c r="Q195" s="282"/>
      <c r="R195" s="125"/>
      <c r="S195" s="113"/>
      <c r="T195" s="75"/>
      <c r="U195" s="282"/>
      <c r="V195" s="125"/>
      <c r="W195" s="113"/>
      <c r="X195" s="75"/>
      <c r="Y195" s="282"/>
      <c r="Z195" s="290"/>
      <c r="AA195" s="291"/>
      <c r="AB195" s="73"/>
      <c r="AC195" s="282"/>
      <c r="AD195" s="125"/>
      <c r="AE195" s="241"/>
      <c r="AF195" s="284"/>
      <c r="AG195" s="282"/>
      <c r="AH195" s="285"/>
      <c r="AI195" s="286"/>
      <c r="AJ195" s="188"/>
      <c r="AK195" s="282"/>
      <c r="AL195" s="288"/>
      <c r="AM195" s="289"/>
      <c r="AN195" s="75"/>
      <c r="AO195" s="282"/>
      <c r="AP195" s="288"/>
      <c r="AQ195" s="289"/>
      <c r="AR195" s="75"/>
      <c r="AS195" s="75"/>
      <c r="AT195" s="75"/>
    </row>
    <row r="196">
      <c r="A196" s="282"/>
      <c r="B196" s="125"/>
      <c r="C196" s="113"/>
      <c r="D196" s="75"/>
      <c r="E196" s="282"/>
      <c r="F196" s="125"/>
      <c r="G196" s="113"/>
      <c r="H196" s="75"/>
      <c r="I196" s="282"/>
      <c r="J196" s="125"/>
      <c r="K196" s="113"/>
      <c r="L196" s="75"/>
      <c r="M196" s="282"/>
      <c r="N196" s="125"/>
      <c r="O196" s="113"/>
      <c r="P196" s="75"/>
      <c r="Q196" s="282"/>
      <c r="R196" s="125"/>
      <c r="S196" s="113"/>
      <c r="T196" s="75"/>
      <c r="U196" s="282"/>
      <c r="V196" s="125"/>
      <c r="W196" s="113"/>
      <c r="X196" s="75"/>
      <c r="Y196" s="282"/>
      <c r="Z196" s="290"/>
      <c r="AA196" s="291"/>
      <c r="AB196" s="73"/>
      <c r="AC196" s="282"/>
      <c r="AD196" s="125"/>
      <c r="AE196" s="241"/>
      <c r="AF196" s="284"/>
      <c r="AG196" s="282"/>
      <c r="AH196" s="285"/>
      <c r="AI196" s="286"/>
      <c r="AJ196" s="188"/>
      <c r="AK196" s="282"/>
      <c r="AL196" s="288"/>
      <c r="AM196" s="289"/>
      <c r="AN196" s="75"/>
      <c r="AO196" s="282"/>
      <c r="AP196" s="288"/>
      <c r="AQ196" s="289"/>
      <c r="AR196" s="75"/>
      <c r="AS196" s="75"/>
      <c r="AT196" s="75"/>
    </row>
    <row r="197">
      <c r="A197" s="282"/>
      <c r="B197" s="125"/>
      <c r="C197" s="113"/>
      <c r="D197" s="75"/>
      <c r="E197" s="282"/>
      <c r="F197" s="125"/>
      <c r="G197" s="113"/>
      <c r="H197" s="75"/>
      <c r="I197" s="282"/>
      <c r="J197" s="125"/>
      <c r="K197" s="113"/>
      <c r="L197" s="75"/>
      <c r="M197" s="282"/>
      <c r="N197" s="125"/>
      <c r="O197" s="113"/>
      <c r="P197" s="75"/>
      <c r="Q197" s="282"/>
      <c r="R197" s="125"/>
      <c r="S197" s="113"/>
      <c r="T197" s="75"/>
      <c r="U197" s="282"/>
      <c r="V197" s="125"/>
      <c r="W197" s="113"/>
      <c r="X197" s="75"/>
      <c r="Y197" s="282"/>
      <c r="Z197" s="290"/>
      <c r="AA197" s="291"/>
      <c r="AB197" s="73"/>
      <c r="AC197" s="282"/>
      <c r="AD197" s="125"/>
      <c r="AE197" s="241"/>
      <c r="AF197" s="284"/>
      <c r="AG197" s="282"/>
      <c r="AH197" s="285"/>
      <c r="AI197" s="286"/>
      <c r="AJ197" s="188"/>
      <c r="AK197" s="282"/>
      <c r="AL197" s="288"/>
      <c r="AM197" s="289"/>
      <c r="AN197" s="75"/>
      <c r="AO197" s="282"/>
      <c r="AP197" s="288"/>
      <c r="AQ197" s="289"/>
      <c r="AR197" s="75"/>
      <c r="AS197" s="75"/>
      <c r="AT197" s="75"/>
    </row>
    <row r="198">
      <c r="A198" s="282"/>
      <c r="B198" s="125"/>
      <c r="C198" s="113"/>
      <c r="D198" s="75"/>
      <c r="E198" s="282"/>
      <c r="F198" s="125"/>
      <c r="G198" s="113"/>
      <c r="H198" s="75"/>
      <c r="I198" s="282"/>
      <c r="J198" s="125"/>
      <c r="K198" s="113"/>
      <c r="L198" s="75"/>
      <c r="M198" s="282"/>
      <c r="N198" s="125"/>
      <c r="O198" s="113"/>
      <c r="P198" s="75"/>
      <c r="Q198" s="282"/>
      <c r="R198" s="125"/>
      <c r="S198" s="113"/>
      <c r="T198" s="75"/>
      <c r="U198" s="282"/>
      <c r="V198" s="125"/>
      <c r="W198" s="113"/>
      <c r="X198" s="75"/>
      <c r="Y198" s="282"/>
      <c r="Z198" s="290"/>
      <c r="AA198" s="291"/>
      <c r="AB198" s="73"/>
      <c r="AC198" s="282"/>
      <c r="AD198" s="125"/>
      <c r="AE198" s="241"/>
      <c r="AF198" s="284"/>
      <c r="AG198" s="282"/>
      <c r="AH198" s="285"/>
      <c r="AI198" s="286"/>
      <c r="AJ198" s="188"/>
      <c r="AK198" s="282"/>
      <c r="AL198" s="288"/>
      <c r="AM198" s="289"/>
      <c r="AN198" s="75"/>
      <c r="AO198" s="282"/>
      <c r="AP198" s="288"/>
      <c r="AQ198" s="289"/>
      <c r="AR198" s="75"/>
      <c r="AS198" s="75"/>
      <c r="AT198" s="75"/>
    </row>
    <row r="199">
      <c r="A199" s="282"/>
      <c r="B199" s="125"/>
      <c r="C199" s="113"/>
      <c r="D199" s="75"/>
      <c r="E199" s="282"/>
      <c r="F199" s="125"/>
      <c r="G199" s="113"/>
      <c r="H199" s="75"/>
      <c r="I199" s="282"/>
      <c r="J199" s="125"/>
      <c r="K199" s="113"/>
      <c r="L199" s="75"/>
      <c r="M199" s="282"/>
      <c r="N199" s="125"/>
      <c r="O199" s="113"/>
      <c r="P199" s="75"/>
      <c r="Q199" s="282"/>
      <c r="R199" s="125"/>
      <c r="S199" s="113"/>
      <c r="T199" s="75"/>
      <c r="U199" s="282"/>
      <c r="V199" s="125"/>
      <c r="W199" s="113"/>
      <c r="X199" s="75"/>
      <c r="Y199" s="282"/>
      <c r="Z199" s="290"/>
      <c r="AA199" s="291"/>
      <c r="AB199" s="73"/>
      <c r="AC199" s="282"/>
      <c r="AD199" s="125"/>
      <c r="AE199" s="241"/>
      <c r="AF199" s="284"/>
      <c r="AG199" s="282"/>
      <c r="AH199" s="285"/>
      <c r="AI199" s="286"/>
      <c r="AJ199" s="188"/>
      <c r="AK199" s="282"/>
      <c r="AL199" s="288"/>
      <c r="AM199" s="289"/>
      <c r="AN199" s="75"/>
      <c r="AO199" s="282"/>
      <c r="AP199" s="288"/>
      <c r="AQ199" s="289"/>
      <c r="AR199" s="75"/>
      <c r="AS199" s="75"/>
      <c r="AT199" s="75"/>
    </row>
    <row r="200">
      <c r="A200" s="282"/>
      <c r="B200" s="125"/>
      <c r="C200" s="113"/>
      <c r="D200" s="75"/>
      <c r="E200" s="282"/>
      <c r="F200" s="125"/>
      <c r="G200" s="113"/>
      <c r="H200" s="75"/>
      <c r="I200" s="282"/>
      <c r="J200" s="125"/>
      <c r="K200" s="113"/>
      <c r="L200" s="75"/>
      <c r="M200" s="282"/>
      <c r="N200" s="125"/>
      <c r="O200" s="113"/>
      <c r="P200" s="75"/>
      <c r="Q200" s="282"/>
      <c r="R200" s="125"/>
      <c r="S200" s="113"/>
      <c r="T200" s="75"/>
      <c r="U200" s="282"/>
      <c r="V200" s="125"/>
      <c r="W200" s="113"/>
      <c r="X200" s="75"/>
      <c r="Y200" s="282"/>
      <c r="Z200" s="290"/>
      <c r="AA200" s="291"/>
      <c r="AB200" s="73"/>
      <c r="AC200" s="282"/>
      <c r="AD200" s="125"/>
      <c r="AE200" s="241"/>
      <c r="AF200" s="284"/>
      <c r="AG200" s="282"/>
      <c r="AH200" s="285"/>
      <c r="AI200" s="286"/>
      <c r="AJ200" s="188"/>
      <c r="AK200" s="282"/>
      <c r="AL200" s="288"/>
      <c r="AM200" s="289"/>
      <c r="AN200" s="75"/>
      <c r="AO200" s="282"/>
      <c r="AP200" s="288"/>
      <c r="AQ200" s="289"/>
      <c r="AR200" s="75"/>
      <c r="AS200" s="75"/>
      <c r="AT200" s="75"/>
    </row>
    <row r="201">
      <c r="A201" s="282"/>
      <c r="B201" s="125"/>
      <c r="C201" s="113"/>
      <c r="D201" s="75"/>
      <c r="E201" s="282"/>
      <c r="F201" s="125"/>
      <c r="G201" s="113"/>
      <c r="H201" s="75"/>
      <c r="I201" s="282"/>
      <c r="J201" s="125"/>
      <c r="K201" s="113"/>
      <c r="L201" s="75"/>
      <c r="M201" s="282"/>
      <c r="N201" s="125"/>
      <c r="O201" s="113"/>
      <c r="P201" s="75"/>
      <c r="Q201" s="282"/>
      <c r="R201" s="125"/>
      <c r="S201" s="113"/>
      <c r="T201" s="75"/>
      <c r="U201" s="282"/>
      <c r="V201" s="125"/>
      <c r="W201" s="113"/>
      <c r="X201" s="75"/>
      <c r="Y201" s="282"/>
      <c r="Z201" s="290"/>
      <c r="AA201" s="291"/>
      <c r="AB201" s="73"/>
      <c r="AC201" s="282"/>
      <c r="AD201" s="125"/>
      <c r="AE201" s="241"/>
      <c r="AF201" s="284"/>
      <c r="AG201" s="282"/>
      <c r="AH201" s="285"/>
      <c r="AI201" s="286"/>
      <c r="AJ201" s="188"/>
      <c r="AK201" s="282"/>
      <c r="AL201" s="288"/>
      <c r="AM201" s="289"/>
      <c r="AN201" s="75"/>
      <c r="AO201" s="282"/>
      <c r="AP201" s="288"/>
      <c r="AQ201" s="289"/>
      <c r="AR201" s="75"/>
      <c r="AS201" s="75"/>
      <c r="AT201" s="75"/>
    </row>
    <row r="202">
      <c r="A202" s="282"/>
      <c r="B202" s="125"/>
      <c r="C202" s="113"/>
      <c r="D202" s="75"/>
      <c r="E202" s="282"/>
      <c r="F202" s="125"/>
      <c r="G202" s="113"/>
      <c r="H202" s="75"/>
      <c r="I202" s="282"/>
      <c r="J202" s="125"/>
      <c r="K202" s="113"/>
      <c r="L202" s="75"/>
      <c r="M202" s="282"/>
      <c r="N202" s="125"/>
      <c r="O202" s="113"/>
      <c r="P202" s="75"/>
      <c r="Q202" s="282"/>
      <c r="R202" s="125"/>
      <c r="S202" s="113"/>
      <c r="T202" s="75"/>
      <c r="U202" s="282"/>
      <c r="V202" s="125"/>
      <c r="W202" s="113"/>
      <c r="X202" s="75"/>
      <c r="Y202" s="282"/>
      <c r="Z202" s="290"/>
      <c r="AA202" s="291"/>
      <c r="AB202" s="73"/>
      <c r="AC202" s="282"/>
      <c r="AD202" s="125"/>
      <c r="AE202" s="241"/>
      <c r="AF202" s="284"/>
      <c r="AG202" s="282"/>
      <c r="AH202" s="285"/>
      <c r="AI202" s="286"/>
      <c r="AJ202" s="188"/>
      <c r="AK202" s="282"/>
      <c r="AL202" s="288"/>
      <c r="AM202" s="289"/>
      <c r="AN202" s="75"/>
      <c r="AO202" s="282"/>
      <c r="AP202" s="288"/>
      <c r="AQ202" s="289"/>
      <c r="AR202" s="75"/>
      <c r="AS202" s="75"/>
      <c r="AT202" s="75"/>
    </row>
    <row r="203">
      <c r="A203" s="282"/>
      <c r="B203" s="125"/>
      <c r="C203" s="113"/>
      <c r="D203" s="75"/>
      <c r="E203" s="282"/>
      <c r="F203" s="125"/>
      <c r="G203" s="113"/>
      <c r="H203" s="75"/>
      <c r="I203" s="282"/>
      <c r="J203" s="125"/>
      <c r="K203" s="113"/>
      <c r="L203" s="75"/>
      <c r="M203" s="282"/>
      <c r="N203" s="125"/>
      <c r="O203" s="113"/>
      <c r="P203" s="75"/>
      <c r="Q203" s="282"/>
      <c r="R203" s="125"/>
      <c r="S203" s="113"/>
      <c r="T203" s="75"/>
      <c r="U203" s="282"/>
      <c r="V203" s="125"/>
      <c r="W203" s="113"/>
      <c r="X203" s="75"/>
      <c r="Y203" s="282"/>
      <c r="Z203" s="290"/>
      <c r="AA203" s="291"/>
      <c r="AB203" s="73"/>
      <c r="AC203" s="282"/>
      <c r="AD203" s="125"/>
      <c r="AE203" s="241"/>
      <c r="AF203" s="284"/>
      <c r="AG203" s="282"/>
      <c r="AH203" s="285"/>
      <c r="AI203" s="286"/>
      <c r="AJ203" s="188"/>
      <c r="AK203" s="282"/>
      <c r="AL203" s="288"/>
      <c r="AM203" s="289"/>
      <c r="AN203" s="75"/>
      <c r="AO203" s="282"/>
      <c r="AP203" s="288"/>
      <c r="AQ203" s="289"/>
      <c r="AR203" s="75"/>
      <c r="AS203" s="75"/>
      <c r="AT203" s="75"/>
    </row>
    <row r="204">
      <c r="A204" s="282"/>
      <c r="B204" s="125"/>
      <c r="C204" s="113"/>
      <c r="D204" s="75"/>
      <c r="E204" s="282"/>
      <c r="F204" s="125"/>
      <c r="G204" s="113"/>
      <c r="H204" s="75"/>
      <c r="I204" s="282"/>
      <c r="J204" s="125"/>
      <c r="K204" s="113"/>
      <c r="L204" s="75"/>
      <c r="M204" s="282"/>
      <c r="N204" s="125"/>
      <c r="O204" s="113"/>
      <c r="P204" s="75"/>
      <c r="Q204" s="282"/>
      <c r="R204" s="125"/>
      <c r="S204" s="113"/>
      <c r="T204" s="75"/>
      <c r="U204" s="282"/>
      <c r="V204" s="125"/>
      <c r="W204" s="113"/>
      <c r="X204" s="75"/>
      <c r="Y204" s="282"/>
      <c r="Z204" s="290"/>
      <c r="AA204" s="291"/>
      <c r="AB204" s="73"/>
      <c r="AC204" s="282"/>
      <c r="AD204" s="125"/>
      <c r="AE204" s="241"/>
      <c r="AF204" s="284"/>
      <c r="AG204" s="282"/>
      <c r="AH204" s="285"/>
      <c r="AI204" s="286"/>
      <c r="AJ204" s="188"/>
      <c r="AK204" s="282"/>
      <c r="AL204" s="288"/>
      <c r="AM204" s="289"/>
      <c r="AN204" s="75"/>
      <c r="AO204" s="282"/>
      <c r="AP204" s="288"/>
      <c r="AQ204" s="289"/>
      <c r="AR204" s="75"/>
      <c r="AS204" s="75"/>
      <c r="AT204" s="75"/>
    </row>
    <row r="205">
      <c r="A205" s="282"/>
      <c r="B205" s="125"/>
      <c r="C205" s="113"/>
      <c r="D205" s="75"/>
      <c r="E205" s="282"/>
      <c r="F205" s="125"/>
      <c r="G205" s="113"/>
      <c r="H205" s="75"/>
      <c r="I205" s="282"/>
      <c r="J205" s="125"/>
      <c r="K205" s="113"/>
      <c r="L205" s="75"/>
      <c r="M205" s="282"/>
      <c r="N205" s="125"/>
      <c r="O205" s="113"/>
      <c r="P205" s="75"/>
      <c r="Q205" s="282"/>
      <c r="R205" s="125"/>
      <c r="S205" s="113"/>
      <c r="T205" s="75"/>
      <c r="U205" s="282"/>
      <c r="V205" s="125"/>
      <c r="W205" s="113"/>
      <c r="X205" s="75"/>
      <c r="Y205" s="282"/>
      <c r="Z205" s="290"/>
      <c r="AA205" s="291"/>
      <c r="AB205" s="73"/>
      <c r="AC205" s="282"/>
      <c r="AD205" s="125"/>
      <c r="AE205" s="241"/>
      <c r="AF205" s="284"/>
      <c r="AG205" s="282"/>
      <c r="AH205" s="285"/>
      <c r="AI205" s="286"/>
      <c r="AJ205" s="188"/>
      <c r="AK205" s="282"/>
      <c r="AL205" s="288"/>
      <c r="AM205" s="289"/>
      <c r="AN205" s="75"/>
      <c r="AO205" s="282"/>
      <c r="AP205" s="288"/>
      <c r="AQ205" s="289"/>
      <c r="AR205" s="75"/>
      <c r="AS205" s="75"/>
      <c r="AT205" s="75"/>
    </row>
    <row r="206">
      <c r="A206" s="282"/>
      <c r="B206" s="125"/>
      <c r="C206" s="113"/>
      <c r="D206" s="75"/>
      <c r="E206" s="282"/>
      <c r="F206" s="125"/>
      <c r="G206" s="113"/>
      <c r="H206" s="75"/>
      <c r="I206" s="282"/>
      <c r="J206" s="125"/>
      <c r="K206" s="113"/>
      <c r="L206" s="75"/>
      <c r="M206" s="282"/>
      <c r="N206" s="125"/>
      <c r="O206" s="113"/>
      <c r="P206" s="75"/>
      <c r="Q206" s="282"/>
      <c r="R206" s="125"/>
      <c r="S206" s="113"/>
      <c r="T206" s="75"/>
      <c r="U206" s="282"/>
      <c r="V206" s="125"/>
      <c r="W206" s="113"/>
      <c r="X206" s="75"/>
      <c r="Y206" s="282"/>
      <c r="Z206" s="290"/>
      <c r="AA206" s="291"/>
      <c r="AB206" s="73"/>
      <c r="AC206" s="282"/>
      <c r="AD206" s="125"/>
      <c r="AE206" s="241"/>
      <c r="AF206" s="284"/>
      <c r="AG206" s="282"/>
      <c r="AH206" s="285"/>
      <c r="AI206" s="286"/>
      <c r="AJ206" s="188"/>
      <c r="AK206" s="282"/>
      <c r="AL206" s="288"/>
      <c r="AM206" s="289"/>
      <c r="AN206" s="75"/>
      <c r="AO206" s="282"/>
      <c r="AP206" s="288"/>
      <c r="AQ206" s="289"/>
      <c r="AR206" s="75"/>
      <c r="AS206" s="75"/>
      <c r="AT206" s="75"/>
    </row>
    <row r="207">
      <c r="A207" s="282"/>
      <c r="B207" s="125"/>
      <c r="C207" s="113"/>
      <c r="D207" s="75"/>
      <c r="E207" s="282"/>
      <c r="F207" s="125"/>
      <c r="G207" s="113"/>
      <c r="H207" s="75"/>
      <c r="I207" s="282"/>
      <c r="J207" s="125"/>
      <c r="K207" s="113"/>
      <c r="L207" s="75"/>
      <c r="M207" s="282"/>
      <c r="N207" s="125"/>
      <c r="O207" s="113"/>
      <c r="P207" s="75"/>
      <c r="Q207" s="282"/>
      <c r="R207" s="125"/>
      <c r="S207" s="113"/>
      <c r="T207" s="75"/>
      <c r="U207" s="282"/>
      <c r="V207" s="125"/>
      <c r="W207" s="113"/>
      <c r="X207" s="75"/>
      <c r="Y207" s="282"/>
      <c r="Z207" s="290"/>
      <c r="AA207" s="291"/>
      <c r="AB207" s="73"/>
      <c r="AC207" s="282"/>
      <c r="AD207" s="125"/>
      <c r="AE207" s="241"/>
      <c r="AF207" s="284"/>
      <c r="AG207" s="282"/>
      <c r="AH207" s="285"/>
      <c r="AI207" s="286"/>
      <c r="AJ207" s="188"/>
      <c r="AK207" s="282"/>
      <c r="AL207" s="288"/>
      <c r="AM207" s="289"/>
      <c r="AN207" s="75"/>
      <c r="AO207" s="282"/>
      <c r="AP207" s="288"/>
      <c r="AQ207" s="289"/>
      <c r="AR207" s="75"/>
      <c r="AS207" s="75"/>
      <c r="AT207" s="75"/>
    </row>
    <row r="208">
      <c r="A208" s="282"/>
      <c r="B208" s="125"/>
      <c r="C208" s="113"/>
      <c r="D208" s="75"/>
      <c r="E208" s="282"/>
      <c r="F208" s="125"/>
      <c r="G208" s="113"/>
      <c r="H208" s="75"/>
      <c r="I208" s="282"/>
      <c r="J208" s="125"/>
      <c r="K208" s="113"/>
      <c r="L208" s="75"/>
      <c r="M208" s="282"/>
      <c r="N208" s="125"/>
      <c r="O208" s="113"/>
      <c r="P208" s="75"/>
      <c r="Q208" s="282"/>
      <c r="R208" s="125"/>
      <c r="S208" s="113"/>
      <c r="T208" s="75"/>
      <c r="U208" s="282"/>
      <c r="V208" s="125"/>
      <c r="W208" s="113"/>
      <c r="X208" s="75"/>
      <c r="Y208" s="282"/>
      <c r="Z208" s="290"/>
      <c r="AA208" s="291"/>
      <c r="AB208" s="73"/>
      <c r="AC208" s="282"/>
      <c r="AD208" s="125"/>
      <c r="AE208" s="241"/>
      <c r="AF208" s="284"/>
      <c r="AG208" s="282"/>
      <c r="AH208" s="285"/>
      <c r="AI208" s="286"/>
      <c r="AJ208" s="188"/>
      <c r="AK208" s="282"/>
      <c r="AL208" s="288"/>
      <c r="AM208" s="289"/>
      <c r="AN208" s="75"/>
      <c r="AO208" s="282"/>
      <c r="AP208" s="288"/>
      <c r="AQ208" s="289"/>
      <c r="AR208" s="75"/>
      <c r="AS208" s="75"/>
      <c r="AT208" s="75"/>
    </row>
    <row r="209">
      <c r="A209" s="282"/>
      <c r="B209" s="125"/>
      <c r="C209" s="113"/>
      <c r="D209" s="75"/>
      <c r="E209" s="282"/>
      <c r="F209" s="125"/>
      <c r="G209" s="113"/>
      <c r="H209" s="75"/>
      <c r="I209" s="282"/>
      <c r="J209" s="125"/>
      <c r="K209" s="113"/>
      <c r="L209" s="75"/>
      <c r="M209" s="282"/>
      <c r="N209" s="125"/>
      <c r="O209" s="113"/>
      <c r="P209" s="75"/>
      <c r="Q209" s="282"/>
      <c r="R209" s="125"/>
      <c r="S209" s="113"/>
      <c r="T209" s="75"/>
      <c r="U209" s="282"/>
      <c r="V209" s="125"/>
      <c r="W209" s="113"/>
      <c r="X209" s="75"/>
      <c r="Y209" s="282"/>
      <c r="Z209" s="290"/>
      <c r="AA209" s="291"/>
      <c r="AB209" s="73"/>
      <c r="AC209" s="282"/>
      <c r="AD209" s="125"/>
      <c r="AE209" s="241"/>
      <c r="AF209" s="284"/>
      <c r="AG209" s="282"/>
      <c r="AH209" s="285"/>
      <c r="AI209" s="286"/>
      <c r="AJ209" s="188"/>
      <c r="AK209" s="282"/>
      <c r="AL209" s="288"/>
      <c r="AM209" s="289"/>
      <c r="AN209" s="75"/>
      <c r="AO209" s="282"/>
      <c r="AP209" s="288"/>
      <c r="AQ209" s="289"/>
      <c r="AR209" s="75"/>
      <c r="AS209" s="75"/>
      <c r="AT209" s="75"/>
    </row>
    <row r="210">
      <c r="A210" s="282"/>
      <c r="B210" s="125"/>
      <c r="C210" s="113"/>
      <c r="D210" s="75"/>
      <c r="E210" s="282"/>
      <c r="F210" s="125"/>
      <c r="G210" s="113"/>
      <c r="H210" s="75"/>
      <c r="I210" s="282"/>
      <c r="J210" s="125"/>
      <c r="K210" s="113"/>
      <c r="L210" s="75"/>
      <c r="M210" s="282"/>
      <c r="N210" s="125"/>
      <c r="O210" s="113"/>
      <c r="P210" s="75"/>
      <c r="Q210" s="282"/>
      <c r="R210" s="125"/>
      <c r="S210" s="113"/>
      <c r="T210" s="75"/>
      <c r="U210" s="282"/>
      <c r="V210" s="125"/>
      <c r="W210" s="113"/>
      <c r="X210" s="75"/>
      <c r="Y210" s="282"/>
      <c r="Z210" s="290"/>
      <c r="AA210" s="291"/>
      <c r="AB210" s="73"/>
      <c r="AC210" s="282"/>
      <c r="AD210" s="125"/>
      <c r="AE210" s="241"/>
      <c r="AF210" s="284"/>
      <c r="AG210" s="282"/>
      <c r="AH210" s="285"/>
      <c r="AI210" s="286"/>
      <c r="AJ210" s="188"/>
      <c r="AK210" s="282"/>
      <c r="AL210" s="288"/>
      <c r="AM210" s="289"/>
      <c r="AN210" s="75"/>
      <c r="AO210" s="282"/>
      <c r="AP210" s="288"/>
      <c r="AQ210" s="289"/>
      <c r="AR210" s="75"/>
      <c r="AS210" s="75"/>
      <c r="AT210" s="75"/>
    </row>
    <row r="211">
      <c r="A211" s="282"/>
      <c r="B211" s="125"/>
      <c r="C211" s="113"/>
      <c r="D211" s="75"/>
      <c r="E211" s="282"/>
      <c r="F211" s="125"/>
      <c r="G211" s="113"/>
      <c r="H211" s="75"/>
      <c r="I211" s="282"/>
      <c r="J211" s="125"/>
      <c r="K211" s="113"/>
      <c r="L211" s="75"/>
      <c r="M211" s="282"/>
      <c r="N211" s="125"/>
      <c r="O211" s="113"/>
      <c r="P211" s="75"/>
      <c r="Q211" s="282"/>
      <c r="R211" s="125"/>
      <c r="S211" s="113"/>
      <c r="T211" s="75"/>
      <c r="U211" s="282"/>
      <c r="V211" s="125"/>
      <c r="W211" s="113"/>
      <c r="X211" s="75"/>
      <c r="Y211" s="282"/>
      <c r="Z211" s="290"/>
      <c r="AA211" s="291"/>
      <c r="AB211" s="73"/>
      <c r="AC211" s="282"/>
      <c r="AD211" s="125"/>
      <c r="AE211" s="241"/>
      <c r="AF211" s="284"/>
      <c r="AG211" s="282"/>
      <c r="AH211" s="285"/>
      <c r="AI211" s="286"/>
      <c r="AJ211" s="188"/>
      <c r="AK211" s="282"/>
      <c r="AL211" s="288"/>
      <c r="AM211" s="289"/>
      <c r="AN211" s="75"/>
      <c r="AO211" s="282"/>
      <c r="AP211" s="288"/>
      <c r="AQ211" s="289"/>
      <c r="AR211" s="75"/>
      <c r="AS211" s="75"/>
      <c r="AT211" s="75"/>
    </row>
    <row r="212">
      <c r="A212" s="282"/>
      <c r="B212" s="125"/>
      <c r="C212" s="113"/>
      <c r="D212" s="75"/>
      <c r="E212" s="282"/>
      <c r="F212" s="125"/>
      <c r="G212" s="113"/>
      <c r="H212" s="75"/>
      <c r="I212" s="282"/>
      <c r="J212" s="125"/>
      <c r="K212" s="113"/>
      <c r="L212" s="75"/>
      <c r="M212" s="282"/>
      <c r="N212" s="125"/>
      <c r="O212" s="113"/>
      <c r="P212" s="75"/>
      <c r="Q212" s="282"/>
      <c r="R212" s="125"/>
      <c r="S212" s="113"/>
      <c r="T212" s="75"/>
      <c r="U212" s="282"/>
      <c r="V212" s="125"/>
      <c r="W212" s="113"/>
      <c r="X212" s="75"/>
      <c r="Y212" s="282"/>
      <c r="Z212" s="290"/>
      <c r="AA212" s="291"/>
      <c r="AB212" s="73"/>
      <c r="AC212" s="282"/>
      <c r="AD212" s="125"/>
      <c r="AE212" s="241"/>
      <c r="AF212" s="284"/>
      <c r="AG212" s="282"/>
      <c r="AH212" s="285"/>
      <c r="AI212" s="286"/>
      <c r="AJ212" s="188"/>
      <c r="AK212" s="282"/>
      <c r="AL212" s="288"/>
      <c r="AM212" s="289"/>
      <c r="AN212" s="75"/>
      <c r="AO212" s="282"/>
      <c r="AP212" s="288"/>
      <c r="AQ212" s="289"/>
      <c r="AR212" s="75"/>
      <c r="AS212" s="75"/>
      <c r="AT212" s="75"/>
    </row>
    <row r="213">
      <c r="A213" s="282"/>
      <c r="B213" s="125"/>
      <c r="C213" s="113"/>
      <c r="D213" s="75"/>
      <c r="E213" s="282"/>
      <c r="F213" s="125"/>
      <c r="G213" s="113"/>
      <c r="H213" s="75"/>
      <c r="I213" s="282"/>
      <c r="J213" s="125"/>
      <c r="K213" s="113"/>
      <c r="L213" s="75"/>
      <c r="M213" s="282"/>
      <c r="N213" s="125"/>
      <c r="O213" s="113"/>
      <c r="P213" s="75"/>
      <c r="Q213" s="282"/>
      <c r="R213" s="125"/>
      <c r="S213" s="113"/>
      <c r="T213" s="75"/>
      <c r="U213" s="282"/>
      <c r="V213" s="125"/>
      <c r="W213" s="113"/>
      <c r="X213" s="75"/>
      <c r="Y213" s="282"/>
      <c r="Z213" s="290"/>
      <c r="AA213" s="291"/>
      <c r="AB213" s="73"/>
      <c r="AC213" s="282"/>
      <c r="AD213" s="125"/>
      <c r="AE213" s="241"/>
      <c r="AF213" s="284"/>
      <c r="AG213" s="282"/>
      <c r="AH213" s="285"/>
      <c r="AI213" s="286"/>
      <c r="AJ213" s="188"/>
      <c r="AK213" s="282"/>
      <c r="AL213" s="288"/>
      <c r="AM213" s="289"/>
      <c r="AN213" s="75"/>
      <c r="AO213" s="282"/>
      <c r="AP213" s="288"/>
      <c r="AQ213" s="289"/>
      <c r="AR213" s="75"/>
      <c r="AS213" s="75"/>
      <c r="AT213" s="75"/>
    </row>
    <row r="214">
      <c r="A214" s="282"/>
      <c r="B214" s="125"/>
      <c r="C214" s="113"/>
      <c r="D214" s="75"/>
      <c r="E214" s="282"/>
      <c r="F214" s="125"/>
      <c r="G214" s="113"/>
      <c r="H214" s="75"/>
      <c r="I214" s="282"/>
      <c r="J214" s="125"/>
      <c r="K214" s="113"/>
      <c r="L214" s="75"/>
      <c r="M214" s="282"/>
      <c r="N214" s="125"/>
      <c r="O214" s="113"/>
      <c r="P214" s="75"/>
      <c r="Q214" s="282"/>
      <c r="R214" s="125"/>
      <c r="S214" s="113"/>
      <c r="T214" s="75"/>
      <c r="U214" s="282"/>
      <c r="V214" s="125"/>
      <c r="W214" s="113"/>
      <c r="X214" s="75"/>
      <c r="Y214" s="282"/>
      <c r="Z214" s="290"/>
      <c r="AA214" s="291"/>
      <c r="AB214" s="73"/>
      <c r="AC214" s="282"/>
      <c r="AD214" s="125"/>
      <c r="AE214" s="241"/>
      <c r="AF214" s="284"/>
      <c r="AG214" s="282"/>
      <c r="AH214" s="285"/>
      <c r="AI214" s="286"/>
      <c r="AJ214" s="188"/>
      <c r="AK214" s="282"/>
      <c r="AL214" s="288"/>
      <c r="AM214" s="289"/>
      <c r="AN214" s="75"/>
      <c r="AO214" s="282"/>
      <c r="AP214" s="288"/>
      <c r="AQ214" s="289"/>
      <c r="AR214" s="75"/>
      <c r="AS214" s="75"/>
      <c r="AT214" s="75"/>
    </row>
    <row r="215">
      <c r="A215" s="282"/>
      <c r="B215" s="125"/>
      <c r="C215" s="113"/>
      <c r="D215" s="75"/>
      <c r="E215" s="282"/>
      <c r="F215" s="125"/>
      <c r="G215" s="113"/>
      <c r="H215" s="75"/>
      <c r="I215" s="282"/>
      <c r="J215" s="125"/>
      <c r="K215" s="113"/>
      <c r="L215" s="75"/>
      <c r="M215" s="282"/>
      <c r="N215" s="125"/>
      <c r="O215" s="113"/>
      <c r="P215" s="75"/>
      <c r="Q215" s="282"/>
      <c r="R215" s="125"/>
      <c r="S215" s="113"/>
      <c r="T215" s="75"/>
      <c r="U215" s="282"/>
      <c r="V215" s="125"/>
      <c r="W215" s="113"/>
      <c r="X215" s="75"/>
      <c r="Y215" s="282"/>
      <c r="Z215" s="290"/>
      <c r="AA215" s="291"/>
      <c r="AB215" s="73"/>
      <c r="AC215" s="282"/>
      <c r="AD215" s="125"/>
      <c r="AE215" s="241"/>
      <c r="AF215" s="284"/>
      <c r="AG215" s="282"/>
      <c r="AH215" s="285"/>
      <c r="AI215" s="286"/>
      <c r="AJ215" s="188"/>
      <c r="AK215" s="282"/>
      <c r="AL215" s="288"/>
      <c r="AM215" s="289"/>
      <c r="AN215" s="75"/>
      <c r="AO215" s="282"/>
      <c r="AP215" s="288"/>
      <c r="AQ215" s="289"/>
      <c r="AR215" s="75"/>
      <c r="AS215" s="75"/>
      <c r="AT215" s="75"/>
    </row>
    <row r="216">
      <c r="A216" s="282"/>
      <c r="B216" s="125"/>
      <c r="C216" s="113"/>
      <c r="D216" s="75"/>
      <c r="E216" s="282"/>
      <c r="F216" s="125"/>
      <c r="G216" s="113"/>
      <c r="H216" s="75"/>
      <c r="I216" s="282"/>
      <c r="J216" s="125"/>
      <c r="K216" s="113"/>
      <c r="L216" s="75"/>
      <c r="M216" s="282"/>
      <c r="N216" s="125"/>
      <c r="O216" s="113"/>
      <c r="P216" s="75"/>
      <c r="Q216" s="282"/>
      <c r="R216" s="125"/>
      <c r="S216" s="113"/>
      <c r="T216" s="75"/>
      <c r="U216" s="282"/>
      <c r="V216" s="125"/>
      <c r="W216" s="113"/>
      <c r="X216" s="75"/>
      <c r="Y216" s="282"/>
      <c r="Z216" s="290"/>
      <c r="AA216" s="291"/>
      <c r="AB216" s="73"/>
      <c r="AC216" s="282"/>
      <c r="AD216" s="125"/>
      <c r="AE216" s="241"/>
      <c r="AF216" s="284"/>
      <c r="AG216" s="282"/>
      <c r="AH216" s="285"/>
      <c r="AI216" s="286"/>
      <c r="AJ216" s="188"/>
      <c r="AK216" s="282"/>
      <c r="AL216" s="288"/>
      <c r="AM216" s="289"/>
      <c r="AN216" s="75"/>
      <c r="AO216" s="282"/>
      <c r="AP216" s="288"/>
      <c r="AQ216" s="289"/>
      <c r="AR216" s="75"/>
      <c r="AS216" s="75"/>
      <c r="AT216" s="75"/>
    </row>
    <row r="217">
      <c r="A217" s="282"/>
      <c r="B217" s="125"/>
      <c r="C217" s="113"/>
      <c r="D217" s="75"/>
      <c r="E217" s="282"/>
      <c r="F217" s="125"/>
      <c r="G217" s="113"/>
      <c r="H217" s="75"/>
      <c r="I217" s="282"/>
      <c r="J217" s="125"/>
      <c r="K217" s="113"/>
      <c r="L217" s="75"/>
      <c r="M217" s="282"/>
      <c r="N217" s="125"/>
      <c r="O217" s="113"/>
      <c r="P217" s="75"/>
      <c r="Q217" s="282"/>
      <c r="R217" s="125"/>
      <c r="S217" s="113"/>
      <c r="T217" s="75"/>
      <c r="U217" s="282"/>
      <c r="V217" s="125"/>
      <c r="W217" s="113"/>
      <c r="X217" s="75"/>
      <c r="Y217" s="282"/>
      <c r="Z217" s="290"/>
      <c r="AA217" s="291"/>
      <c r="AB217" s="73"/>
      <c r="AC217" s="282"/>
      <c r="AD217" s="125"/>
      <c r="AE217" s="241"/>
      <c r="AF217" s="284"/>
      <c r="AG217" s="282"/>
      <c r="AH217" s="285"/>
      <c r="AI217" s="286"/>
      <c r="AJ217" s="188"/>
      <c r="AK217" s="282"/>
      <c r="AL217" s="288"/>
      <c r="AM217" s="289"/>
      <c r="AN217" s="75"/>
      <c r="AO217" s="282"/>
      <c r="AP217" s="288"/>
      <c r="AQ217" s="289"/>
      <c r="AR217" s="75"/>
      <c r="AS217" s="75"/>
      <c r="AT217" s="75"/>
    </row>
    <row r="218">
      <c r="A218" s="282"/>
      <c r="B218" s="125"/>
      <c r="C218" s="113"/>
      <c r="D218" s="75"/>
      <c r="E218" s="282"/>
      <c r="F218" s="125"/>
      <c r="G218" s="113"/>
      <c r="H218" s="75"/>
      <c r="I218" s="282"/>
      <c r="J218" s="125"/>
      <c r="K218" s="113"/>
      <c r="L218" s="75"/>
      <c r="M218" s="282"/>
      <c r="N218" s="125"/>
      <c r="O218" s="113"/>
      <c r="P218" s="75"/>
      <c r="Q218" s="282"/>
      <c r="R218" s="125"/>
      <c r="S218" s="113"/>
      <c r="T218" s="75"/>
      <c r="U218" s="282"/>
      <c r="V218" s="125"/>
      <c r="W218" s="113"/>
      <c r="X218" s="75"/>
      <c r="Y218" s="282"/>
      <c r="Z218" s="290"/>
      <c r="AA218" s="291"/>
      <c r="AB218" s="73"/>
      <c r="AC218" s="282"/>
      <c r="AD218" s="125"/>
      <c r="AE218" s="241"/>
      <c r="AF218" s="284"/>
      <c r="AG218" s="282"/>
      <c r="AH218" s="285"/>
      <c r="AI218" s="286"/>
      <c r="AJ218" s="188"/>
      <c r="AK218" s="282"/>
      <c r="AL218" s="288"/>
      <c r="AM218" s="289"/>
      <c r="AN218" s="75"/>
      <c r="AO218" s="282"/>
      <c r="AP218" s="288"/>
      <c r="AQ218" s="289"/>
      <c r="AR218" s="75"/>
      <c r="AS218" s="75"/>
      <c r="AT218" s="75"/>
    </row>
    <row r="219">
      <c r="A219" s="282"/>
      <c r="B219" s="125"/>
      <c r="C219" s="113"/>
      <c r="D219" s="75"/>
      <c r="E219" s="282"/>
      <c r="F219" s="125"/>
      <c r="G219" s="113"/>
      <c r="H219" s="75"/>
      <c r="I219" s="282"/>
      <c r="J219" s="125"/>
      <c r="K219" s="113"/>
      <c r="L219" s="75"/>
      <c r="M219" s="282"/>
      <c r="N219" s="125"/>
      <c r="O219" s="113"/>
      <c r="P219" s="75"/>
      <c r="Q219" s="282"/>
      <c r="R219" s="125"/>
      <c r="S219" s="113"/>
      <c r="T219" s="75"/>
      <c r="U219" s="282"/>
      <c r="V219" s="125"/>
      <c r="W219" s="113"/>
      <c r="X219" s="75"/>
      <c r="Y219" s="282"/>
      <c r="Z219" s="290"/>
      <c r="AA219" s="291"/>
      <c r="AB219" s="73"/>
      <c r="AC219" s="282"/>
      <c r="AD219" s="125"/>
      <c r="AE219" s="241"/>
      <c r="AF219" s="284"/>
      <c r="AG219" s="282"/>
      <c r="AH219" s="285"/>
      <c r="AI219" s="286"/>
      <c r="AJ219" s="188"/>
      <c r="AK219" s="282"/>
      <c r="AL219" s="288"/>
      <c r="AM219" s="289"/>
      <c r="AN219" s="75"/>
      <c r="AO219" s="282"/>
      <c r="AP219" s="288"/>
      <c r="AQ219" s="289"/>
      <c r="AR219" s="75"/>
      <c r="AS219" s="75"/>
      <c r="AT219" s="75"/>
    </row>
    <row r="220">
      <c r="A220" s="282"/>
      <c r="B220" s="125"/>
      <c r="C220" s="113"/>
      <c r="D220" s="75"/>
      <c r="E220" s="282"/>
      <c r="F220" s="125"/>
      <c r="G220" s="113"/>
      <c r="H220" s="75"/>
      <c r="I220" s="282"/>
      <c r="J220" s="125"/>
      <c r="K220" s="113"/>
      <c r="L220" s="75"/>
      <c r="M220" s="282"/>
      <c r="N220" s="125"/>
      <c r="O220" s="113"/>
      <c r="P220" s="75"/>
      <c r="Q220" s="282"/>
      <c r="R220" s="125"/>
      <c r="S220" s="113"/>
      <c r="T220" s="75"/>
      <c r="U220" s="282"/>
      <c r="V220" s="125"/>
      <c r="W220" s="113"/>
      <c r="X220" s="75"/>
      <c r="Y220" s="282"/>
      <c r="Z220" s="290"/>
      <c r="AA220" s="291"/>
      <c r="AB220" s="73"/>
      <c r="AC220" s="282"/>
      <c r="AD220" s="125"/>
      <c r="AE220" s="241"/>
      <c r="AF220" s="284"/>
      <c r="AG220" s="282"/>
      <c r="AH220" s="285"/>
      <c r="AI220" s="286"/>
      <c r="AJ220" s="188"/>
      <c r="AK220" s="282"/>
      <c r="AL220" s="288"/>
      <c r="AM220" s="289"/>
      <c r="AN220" s="75"/>
      <c r="AO220" s="282"/>
      <c r="AP220" s="288"/>
      <c r="AQ220" s="289"/>
      <c r="AR220" s="75"/>
      <c r="AS220" s="75"/>
      <c r="AT220" s="75"/>
    </row>
    <row r="221">
      <c r="A221" s="282"/>
      <c r="B221" s="125"/>
      <c r="C221" s="113"/>
      <c r="D221" s="75"/>
      <c r="E221" s="282"/>
      <c r="F221" s="125"/>
      <c r="G221" s="113"/>
      <c r="H221" s="75"/>
      <c r="I221" s="282"/>
      <c r="J221" s="125"/>
      <c r="K221" s="113"/>
      <c r="L221" s="75"/>
      <c r="M221" s="282"/>
      <c r="N221" s="125"/>
      <c r="O221" s="113"/>
      <c r="P221" s="75"/>
      <c r="Q221" s="282"/>
      <c r="R221" s="125"/>
      <c r="S221" s="113"/>
      <c r="T221" s="75"/>
      <c r="U221" s="282"/>
      <c r="V221" s="125"/>
      <c r="W221" s="113"/>
      <c r="X221" s="75"/>
      <c r="Y221" s="282"/>
      <c r="Z221" s="290"/>
      <c r="AA221" s="291"/>
      <c r="AB221" s="73"/>
      <c r="AC221" s="282"/>
      <c r="AD221" s="125"/>
      <c r="AE221" s="241"/>
      <c r="AF221" s="284"/>
      <c r="AG221" s="282"/>
      <c r="AH221" s="285"/>
      <c r="AI221" s="286"/>
      <c r="AJ221" s="188"/>
      <c r="AK221" s="282"/>
      <c r="AL221" s="288"/>
      <c r="AM221" s="289"/>
      <c r="AN221" s="75"/>
      <c r="AO221" s="282"/>
      <c r="AP221" s="288"/>
      <c r="AQ221" s="289"/>
      <c r="AR221" s="75"/>
      <c r="AS221" s="75"/>
      <c r="AT221" s="75"/>
    </row>
    <row r="222">
      <c r="A222" s="282"/>
      <c r="B222" s="125"/>
      <c r="C222" s="113"/>
      <c r="D222" s="75"/>
      <c r="E222" s="282"/>
      <c r="F222" s="125"/>
      <c r="G222" s="113"/>
      <c r="H222" s="75"/>
      <c r="I222" s="282"/>
      <c r="J222" s="125"/>
      <c r="K222" s="113"/>
      <c r="L222" s="75"/>
      <c r="M222" s="282"/>
      <c r="N222" s="125"/>
      <c r="O222" s="113"/>
      <c r="P222" s="75"/>
      <c r="Q222" s="282"/>
      <c r="R222" s="125"/>
      <c r="S222" s="113"/>
      <c r="T222" s="75"/>
      <c r="U222" s="282"/>
      <c r="V222" s="125"/>
      <c r="W222" s="113"/>
      <c r="X222" s="75"/>
      <c r="Y222" s="282"/>
      <c r="Z222" s="290"/>
      <c r="AA222" s="291"/>
      <c r="AB222" s="73"/>
      <c r="AC222" s="282"/>
      <c r="AD222" s="125"/>
      <c r="AE222" s="241"/>
      <c r="AF222" s="284"/>
      <c r="AG222" s="282"/>
      <c r="AH222" s="285"/>
      <c r="AI222" s="286"/>
      <c r="AJ222" s="188"/>
      <c r="AK222" s="282"/>
      <c r="AL222" s="288"/>
      <c r="AM222" s="289"/>
      <c r="AN222" s="75"/>
      <c r="AO222" s="282"/>
      <c r="AP222" s="288"/>
      <c r="AQ222" s="289"/>
      <c r="AR222" s="75"/>
      <c r="AS222" s="75"/>
      <c r="AT222" s="75"/>
    </row>
    <row r="223">
      <c r="A223" s="282"/>
      <c r="B223" s="125"/>
      <c r="C223" s="113"/>
      <c r="D223" s="75"/>
      <c r="E223" s="282"/>
      <c r="F223" s="125"/>
      <c r="G223" s="113"/>
      <c r="H223" s="75"/>
      <c r="I223" s="282"/>
      <c r="J223" s="125"/>
      <c r="K223" s="113"/>
      <c r="L223" s="75"/>
      <c r="M223" s="282"/>
      <c r="N223" s="125"/>
      <c r="O223" s="113"/>
      <c r="P223" s="75"/>
      <c r="Q223" s="282"/>
      <c r="R223" s="125"/>
      <c r="S223" s="113"/>
      <c r="T223" s="75"/>
      <c r="U223" s="282"/>
      <c r="V223" s="125"/>
      <c r="W223" s="113"/>
      <c r="X223" s="75"/>
      <c r="Y223" s="282"/>
      <c r="Z223" s="290"/>
      <c r="AA223" s="291"/>
      <c r="AB223" s="73"/>
      <c r="AC223" s="282"/>
      <c r="AD223" s="125"/>
      <c r="AE223" s="241"/>
      <c r="AF223" s="284"/>
      <c r="AG223" s="282"/>
      <c r="AH223" s="285"/>
      <c r="AI223" s="286"/>
      <c r="AJ223" s="188"/>
      <c r="AK223" s="282"/>
      <c r="AL223" s="288"/>
      <c r="AM223" s="289"/>
      <c r="AN223" s="75"/>
      <c r="AO223" s="282"/>
      <c r="AP223" s="288"/>
      <c r="AQ223" s="289"/>
      <c r="AR223" s="75"/>
      <c r="AS223" s="75"/>
      <c r="AT223" s="75"/>
    </row>
    <row r="224">
      <c r="A224" s="282"/>
      <c r="B224" s="125"/>
      <c r="C224" s="113"/>
      <c r="D224" s="75"/>
      <c r="E224" s="282"/>
      <c r="F224" s="125"/>
      <c r="G224" s="113"/>
      <c r="H224" s="75"/>
      <c r="I224" s="282"/>
      <c r="J224" s="125"/>
      <c r="K224" s="113"/>
      <c r="L224" s="75"/>
      <c r="M224" s="282"/>
      <c r="N224" s="125"/>
      <c r="O224" s="113"/>
      <c r="P224" s="75"/>
      <c r="Q224" s="282"/>
      <c r="R224" s="125"/>
      <c r="S224" s="113"/>
      <c r="T224" s="75"/>
      <c r="U224" s="282"/>
      <c r="V224" s="125"/>
      <c r="W224" s="113"/>
      <c r="X224" s="75"/>
      <c r="Y224" s="282"/>
      <c r="Z224" s="290"/>
      <c r="AA224" s="291"/>
      <c r="AB224" s="73"/>
      <c r="AC224" s="282"/>
      <c r="AD224" s="125"/>
      <c r="AE224" s="241"/>
      <c r="AF224" s="284"/>
      <c r="AG224" s="282"/>
      <c r="AH224" s="285"/>
      <c r="AI224" s="286"/>
      <c r="AJ224" s="188"/>
      <c r="AK224" s="282"/>
      <c r="AL224" s="288"/>
      <c r="AM224" s="289"/>
      <c r="AN224" s="75"/>
      <c r="AO224" s="282"/>
      <c r="AP224" s="288"/>
      <c r="AQ224" s="289"/>
      <c r="AR224" s="75"/>
      <c r="AS224" s="75"/>
      <c r="AT224" s="75"/>
    </row>
    <row r="225">
      <c r="A225" s="282"/>
      <c r="B225" s="125"/>
      <c r="C225" s="113"/>
      <c r="D225" s="75"/>
      <c r="E225" s="282"/>
      <c r="F225" s="125"/>
      <c r="G225" s="113"/>
      <c r="H225" s="75"/>
      <c r="I225" s="282"/>
      <c r="J225" s="125"/>
      <c r="K225" s="113"/>
      <c r="L225" s="75"/>
      <c r="M225" s="282"/>
      <c r="N225" s="125"/>
      <c r="O225" s="113"/>
      <c r="P225" s="75"/>
      <c r="Q225" s="282"/>
      <c r="R225" s="125"/>
      <c r="S225" s="113"/>
      <c r="T225" s="75"/>
      <c r="U225" s="282"/>
      <c r="V225" s="125"/>
      <c r="W225" s="113"/>
      <c r="X225" s="75"/>
      <c r="Y225" s="282"/>
      <c r="Z225" s="290"/>
      <c r="AA225" s="291"/>
      <c r="AB225" s="73"/>
      <c r="AC225" s="282"/>
      <c r="AD225" s="125"/>
      <c r="AE225" s="241"/>
      <c r="AF225" s="284"/>
      <c r="AG225" s="282"/>
      <c r="AH225" s="285"/>
      <c r="AI225" s="286"/>
      <c r="AJ225" s="188"/>
      <c r="AK225" s="282"/>
      <c r="AL225" s="288"/>
      <c r="AM225" s="289"/>
      <c r="AN225" s="75"/>
      <c r="AO225" s="282"/>
      <c r="AP225" s="288"/>
      <c r="AQ225" s="289"/>
      <c r="AR225" s="75"/>
      <c r="AS225" s="75"/>
      <c r="AT225" s="75"/>
    </row>
    <row r="226">
      <c r="A226" s="282"/>
      <c r="B226" s="125"/>
      <c r="C226" s="113"/>
      <c r="D226" s="75"/>
      <c r="E226" s="282"/>
      <c r="F226" s="125"/>
      <c r="G226" s="113"/>
      <c r="H226" s="75"/>
      <c r="I226" s="282"/>
      <c r="J226" s="125"/>
      <c r="K226" s="113"/>
      <c r="L226" s="75"/>
      <c r="M226" s="282"/>
      <c r="N226" s="125"/>
      <c r="O226" s="113"/>
      <c r="P226" s="75"/>
      <c r="Q226" s="282"/>
      <c r="R226" s="125"/>
      <c r="S226" s="113"/>
      <c r="T226" s="75"/>
      <c r="U226" s="282"/>
      <c r="V226" s="125"/>
      <c r="W226" s="113"/>
      <c r="X226" s="75"/>
      <c r="Y226" s="282"/>
      <c r="Z226" s="290"/>
      <c r="AA226" s="291"/>
      <c r="AB226" s="73"/>
      <c r="AC226" s="282"/>
      <c r="AD226" s="125"/>
      <c r="AE226" s="241"/>
      <c r="AF226" s="284"/>
      <c r="AG226" s="282"/>
      <c r="AH226" s="285"/>
      <c r="AI226" s="286"/>
      <c r="AJ226" s="188"/>
      <c r="AK226" s="282"/>
      <c r="AL226" s="288"/>
      <c r="AM226" s="289"/>
      <c r="AN226" s="75"/>
      <c r="AO226" s="282"/>
      <c r="AP226" s="288"/>
      <c r="AQ226" s="289"/>
      <c r="AR226" s="75"/>
      <c r="AS226" s="75"/>
      <c r="AT226" s="75"/>
    </row>
    <row r="227">
      <c r="A227" s="282"/>
      <c r="B227" s="125"/>
      <c r="C227" s="113"/>
      <c r="D227" s="75"/>
      <c r="E227" s="282"/>
      <c r="F227" s="125"/>
      <c r="G227" s="113"/>
      <c r="H227" s="75"/>
      <c r="I227" s="282"/>
      <c r="J227" s="125"/>
      <c r="K227" s="113"/>
      <c r="L227" s="75"/>
      <c r="M227" s="282"/>
      <c r="N227" s="125"/>
      <c r="O227" s="113"/>
      <c r="P227" s="75"/>
      <c r="Q227" s="282"/>
      <c r="R227" s="125"/>
      <c r="S227" s="113"/>
      <c r="T227" s="75"/>
      <c r="U227" s="282"/>
      <c r="V227" s="125"/>
      <c r="W227" s="113"/>
      <c r="X227" s="75"/>
      <c r="Y227" s="282"/>
      <c r="Z227" s="290"/>
      <c r="AA227" s="291"/>
      <c r="AB227" s="73"/>
      <c r="AC227" s="282"/>
      <c r="AD227" s="125"/>
      <c r="AE227" s="241"/>
      <c r="AF227" s="284"/>
      <c r="AG227" s="282"/>
      <c r="AH227" s="285"/>
      <c r="AI227" s="286"/>
      <c r="AJ227" s="188"/>
      <c r="AK227" s="282"/>
      <c r="AL227" s="288"/>
      <c r="AM227" s="289"/>
      <c r="AN227" s="75"/>
      <c r="AO227" s="282"/>
      <c r="AP227" s="288"/>
      <c r="AQ227" s="289"/>
      <c r="AR227" s="75"/>
      <c r="AS227" s="75"/>
      <c r="AT227" s="75"/>
    </row>
    <row r="228">
      <c r="A228" s="282"/>
      <c r="B228" s="125"/>
      <c r="C228" s="113"/>
      <c r="D228" s="75"/>
      <c r="E228" s="282"/>
      <c r="F228" s="125"/>
      <c r="G228" s="113"/>
      <c r="H228" s="75"/>
      <c r="I228" s="282"/>
      <c r="J228" s="125"/>
      <c r="K228" s="113"/>
      <c r="L228" s="75"/>
      <c r="M228" s="282"/>
      <c r="N228" s="125"/>
      <c r="O228" s="113"/>
      <c r="P228" s="75"/>
      <c r="Q228" s="282"/>
      <c r="R228" s="125"/>
      <c r="S228" s="113"/>
      <c r="T228" s="75"/>
      <c r="U228" s="282"/>
      <c r="V228" s="125"/>
      <c r="W228" s="113"/>
      <c r="X228" s="75"/>
      <c r="Y228" s="282"/>
      <c r="Z228" s="290"/>
      <c r="AA228" s="291"/>
      <c r="AB228" s="73"/>
      <c r="AC228" s="282"/>
      <c r="AD228" s="125"/>
      <c r="AE228" s="241"/>
      <c r="AF228" s="284"/>
      <c r="AG228" s="282"/>
      <c r="AH228" s="285"/>
      <c r="AI228" s="286"/>
      <c r="AJ228" s="188"/>
      <c r="AK228" s="282"/>
      <c r="AL228" s="288"/>
      <c r="AM228" s="289"/>
      <c r="AN228" s="75"/>
      <c r="AO228" s="282"/>
      <c r="AP228" s="288"/>
      <c r="AQ228" s="289"/>
      <c r="AR228" s="75"/>
      <c r="AS228" s="75"/>
      <c r="AT228" s="75"/>
    </row>
    <row r="229">
      <c r="A229" s="282"/>
      <c r="B229" s="125"/>
      <c r="C229" s="113"/>
      <c r="D229" s="75"/>
      <c r="E229" s="282"/>
      <c r="F229" s="125"/>
      <c r="G229" s="113"/>
      <c r="H229" s="75"/>
      <c r="I229" s="282"/>
      <c r="J229" s="125"/>
      <c r="K229" s="113"/>
      <c r="L229" s="75"/>
      <c r="M229" s="282"/>
      <c r="N229" s="125"/>
      <c r="O229" s="113"/>
      <c r="P229" s="75"/>
      <c r="Q229" s="282"/>
      <c r="R229" s="125"/>
      <c r="S229" s="113"/>
      <c r="T229" s="75"/>
      <c r="U229" s="282"/>
      <c r="V229" s="125"/>
      <c r="W229" s="113"/>
      <c r="X229" s="75"/>
      <c r="Y229" s="282"/>
      <c r="Z229" s="290"/>
      <c r="AA229" s="291"/>
      <c r="AB229" s="73"/>
      <c r="AC229" s="282"/>
      <c r="AD229" s="125"/>
      <c r="AE229" s="241"/>
      <c r="AF229" s="284"/>
      <c r="AG229" s="282"/>
      <c r="AH229" s="285"/>
      <c r="AI229" s="286"/>
      <c r="AJ229" s="188"/>
      <c r="AK229" s="282"/>
      <c r="AL229" s="288"/>
      <c r="AM229" s="289"/>
      <c r="AN229" s="75"/>
      <c r="AO229" s="282"/>
      <c r="AP229" s="288"/>
      <c r="AQ229" s="289"/>
      <c r="AR229" s="75"/>
      <c r="AS229" s="75"/>
      <c r="AT229" s="75"/>
    </row>
    <row r="230">
      <c r="A230" s="282"/>
      <c r="B230" s="125"/>
      <c r="C230" s="113"/>
      <c r="D230" s="75"/>
      <c r="E230" s="282"/>
      <c r="F230" s="125"/>
      <c r="G230" s="113"/>
      <c r="H230" s="75"/>
      <c r="I230" s="282"/>
      <c r="J230" s="125"/>
      <c r="K230" s="113"/>
      <c r="L230" s="75"/>
      <c r="M230" s="282"/>
      <c r="N230" s="125"/>
      <c r="O230" s="113"/>
      <c r="P230" s="75"/>
      <c r="Q230" s="282"/>
      <c r="R230" s="125"/>
      <c r="S230" s="113"/>
      <c r="T230" s="75"/>
      <c r="U230" s="282"/>
      <c r="V230" s="125"/>
      <c r="W230" s="113"/>
      <c r="X230" s="75"/>
      <c r="Y230" s="282"/>
      <c r="Z230" s="290"/>
      <c r="AA230" s="291"/>
      <c r="AB230" s="73"/>
      <c r="AC230" s="282"/>
      <c r="AD230" s="125"/>
      <c r="AE230" s="241"/>
      <c r="AF230" s="284"/>
      <c r="AG230" s="282"/>
      <c r="AH230" s="285"/>
      <c r="AI230" s="286"/>
      <c r="AJ230" s="188"/>
      <c r="AK230" s="282"/>
      <c r="AL230" s="288"/>
      <c r="AM230" s="289"/>
      <c r="AN230" s="75"/>
      <c r="AO230" s="282"/>
      <c r="AP230" s="288"/>
      <c r="AQ230" s="289"/>
      <c r="AR230" s="75"/>
      <c r="AS230" s="75"/>
      <c r="AT230" s="75"/>
    </row>
    <row r="231">
      <c r="A231" s="282"/>
      <c r="B231" s="125"/>
      <c r="C231" s="113"/>
      <c r="D231" s="75"/>
      <c r="E231" s="282"/>
      <c r="F231" s="125"/>
      <c r="G231" s="113"/>
      <c r="H231" s="75"/>
      <c r="I231" s="282"/>
      <c r="J231" s="125"/>
      <c r="K231" s="113"/>
      <c r="L231" s="75"/>
      <c r="M231" s="282"/>
      <c r="N231" s="125"/>
      <c r="O231" s="113"/>
      <c r="P231" s="75"/>
      <c r="Q231" s="282"/>
      <c r="R231" s="125"/>
      <c r="S231" s="113"/>
      <c r="T231" s="75"/>
      <c r="U231" s="282"/>
      <c r="V231" s="125"/>
      <c r="W231" s="113"/>
      <c r="X231" s="75"/>
      <c r="Y231" s="282"/>
      <c r="Z231" s="290"/>
      <c r="AA231" s="291"/>
      <c r="AB231" s="73"/>
      <c r="AC231" s="282"/>
      <c r="AD231" s="125"/>
      <c r="AE231" s="241"/>
      <c r="AF231" s="284"/>
      <c r="AG231" s="282"/>
      <c r="AH231" s="285"/>
      <c r="AI231" s="286"/>
      <c r="AJ231" s="188"/>
      <c r="AK231" s="282"/>
      <c r="AL231" s="288"/>
      <c r="AM231" s="289"/>
      <c r="AN231" s="75"/>
      <c r="AO231" s="282"/>
      <c r="AP231" s="288"/>
      <c r="AQ231" s="289"/>
      <c r="AR231" s="75"/>
      <c r="AS231" s="75"/>
      <c r="AT231" s="75"/>
    </row>
    <row r="232">
      <c r="A232" s="282"/>
      <c r="B232" s="125"/>
      <c r="C232" s="113"/>
      <c r="D232" s="75"/>
      <c r="E232" s="282"/>
      <c r="F232" s="125"/>
      <c r="G232" s="113"/>
      <c r="H232" s="75"/>
      <c r="I232" s="282"/>
      <c r="J232" s="125"/>
      <c r="K232" s="113"/>
      <c r="L232" s="75"/>
      <c r="M232" s="282"/>
      <c r="N232" s="125"/>
      <c r="O232" s="113"/>
      <c r="P232" s="75"/>
      <c r="Q232" s="282"/>
      <c r="R232" s="125"/>
      <c r="S232" s="113"/>
      <c r="T232" s="75"/>
      <c r="U232" s="282"/>
      <c r="V232" s="125"/>
      <c r="W232" s="113"/>
      <c r="X232" s="75"/>
      <c r="Y232" s="282"/>
      <c r="Z232" s="290"/>
      <c r="AA232" s="291"/>
      <c r="AB232" s="73"/>
      <c r="AC232" s="282"/>
      <c r="AD232" s="125"/>
      <c r="AE232" s="241"/>
      <c r="AF232" s="284"/>
      <c r="AG232" s="282"/>
      <c r="AH232" s="285"/>
      <c r="AI232" s="286"/>
      <c r="AJ232" s="188"/>
      <c r="AK232" s="282"/>
      <c r="AL232" s="288"/>
      <c r="AM232" s="289"/>
      <c r="AN232" s="75"/>
      <c r="AO232" s="282"/>
      <c r="AP232" s="288"/>
      <c r="AQ232" s="289"/>
      <c r="AR232" s="75"/>
      <c r="AS232" s="75"/>
      <c r="AT232" s="75"/>
    </row>
    <row r="233">
      <c r="A233" s="282"/>
      <c r="B233" s="125"/>
      <c r="C233" s="113"/>
      <c r="D233" s="75"/>
      <c r="E233" s="282"/>
      <c r="F233" s="125"/>
      <c r="G233" s="113"/>
      <c r="H233" s="75"/>
      <c r="I233" s="282"/>
      <c r="J233" s="125"/>
      <c r="K233" s="113"/>
      <c r="L233" s="75"/>
      <c r="M233" s="282"/>
      <c r="N233" s="125"/>
      <c r="O233" s="113"/>
      <c r="P233" s="75"/>
      <c r="Q233" s="282"/>
      <c r="R233" s="125"/>
      <c r="S233" s="113"/>
      <c r="T233" s="75"/>
      <c r="U233" s="282"/>
      <c r="V233" s="125"/>
      <c r="W233" s="113"/>
      <c r="X233" s="75"/>
      <c r="Y233" s="282"/>
      <c r="Z233" s="290"/>
      <c r="AA233" s="291"/>
      <c r="AB233" s="73"/>
      <c r="AC233" s="282"/>
      <c r="AD233" s="125"/>
      <c r="AE233" s="241"/>
      <c r="AF233" s="284"/>
      <c r="AG233" s="282"/>
      <c r="AH233" s="285"/>
      <c r="AI233" s="286"/>
      <c r="AJ233" s="188"/>
      <c r="AK233" s="282"/>
      <c r="AL233" s="288"/>
      <c r="AM233" s="289"/>
      <c r="AN233" s="75"/>
      <c r="AO233" s="282"/>
      <c r="AP233" s="288"/>
      <c r="AQ233" s="289"/>
      <c r="AR233" s="75"/>
      <c r="AS233" s="75"/>
      <c r="AT233" s="75"/>
    </row>
    <row r="234">
      <c r="A234" s="282"/>
      <c r="B234" s="125"/>
      <c r="C234" s="113"/>
      <c r="D234" s="75"/>
      <c r="E234" s="282"/>
      <c r="F234" s="125"/>
      <c r="G234" s="113"/>
      <c r="H234" s="75"/>
      <c r="I234" s="282"/>
      <c r="J234" s="125"/>
      <c r="K234" s="113"/>
      <c r="L234" s="75"/>
      <c r="M234" s="282"/>
      <c r="N234" s="125"/>
      <c r="O234" s="113"/>
      <c r="P234" s="75"/>
      <c r="Q234" s="282"/>
      <c r="R234" s="125"/>
      <c r="S234" s="113"/>
      <c r="T234" s="75"/>
      <c r="U234" s="282"/>
      <c r="V234" s="125"/>
      <c r="W234" s="113"/>
      <c r="X234" s="75"/>
      <c r="Y234" s="282"/>
      <c r="Z234" s="290"/>
      <c r="AA234" s="291"/>
      <c r="AB234" s="73"/>
      <c r="AC234" s="282"/>
      <c r="AD234" s="125"/>
      <c r="AE234" s="241"/>
      <c r="AF234" s="284"/>
      <c r="AG234" s="282"/>
      <c r="AH234" s="285"/>
      <c r="AI234" s="286"/>
      <c r="AJ234" s="188"/>
      <c r="AK234" s="282"/>
      <c r="AL234" s="288"/>
      <c r="AM234" s="289"/>
      <c r="AN234" s="75"/>
      <c r="AO234" s="282"/>
      <c r="AP234" s="288"/>
      <c r="AQ234" s="289"/>
      <c r="AR234" s="75"/>
      <c r="AS234" s="75"/>
      <c r="AT234" s="75"/>
    </row>
    <row r="235">
      <c r="A235" s="282"/>
      <c r="B235" s="125"/>
      <c r="C235" s="113"/>
      <c r="D235" s="75"/>
      <c r="E235" s="282"/>
      <c r="F235" s="125"/>
      <c r="G235" s="113"/>
      <c r="H235" s="75"/>
      <c r="I235" s="282"/>
      <c r="J235" s="125"/>
      <c r="K235" s="113"/>
      <c r="L235" s="75"/>
      <c r="M235" s="282"/>
      <c r="N235" s="125"/>
      <c r="O235" s="113"/>
      <c r="P235" s="75"/>
      <c r="Q235" s="282"/>
      <c r="R235" s="125"/>
      <c r="S235" s="113"/>
      <c r="T235" s="75"/>
      <c r="U235" s="282"/>
      <c r="V235" s="125"/>
      <c r="W235" s="113"/>
      <c r="X235" s="75"/>
      <c r="Y235" s="282"/>
      <c r="Z235" s="290"/>
      <c r="AA235" s="291"/>
      <c r="AB235" s="73"/>
      <c r="AC235" s="282"/>
      <c r="AD235" s="125"/>
      <c r="AE235" s="241"/>
      <c r="AF235" s="284"/>
      <c r="AG235" s="282"/>
      <c r="AH235" s="285"/>
      <c r="AI235" s="286"/>
      <c r="AJ235" s="188"/>
      <c r="AK235" s="282"/>
      <c r="AL235" s="288"/>
      <c r="AM235" s="289"/>
      <c r="AN235" s="75"/>
      <c r="AO235" s="282"/>
      <c r="AP235" s="288"/>
      <c r="AQ235" s="289"/>
      <c r="AR235" s="75"/>
      <c r="AS235" s="75"/>
      <c r="AT235" s="75"/>
    </row>
    <row r="236">
      <c r="A236" s="282"/>
      <c r="B236" s="125"/>
      <c r="C236" s="113"/>
      <c r="D236" s="75"/>
      <c r="E236" s="282"/>
      <c r="F236" s="125"/>
      <c r="G236" s="113"/>
      <c r="H236" s="75"/>
      <c r="I236" s="282"/>
      <c r="J236" s="125"/>
      <c r="K236" s="113"/>
      <c r="L236" s="75"/>
      <c r="M236" s="282"/>
      <c r="N236" s="125"/>
      <c r="O236" s="113"/>
      <c r="P236" s="75"/>
      <c r="Q236" s="282"/>
      <c r="R236" s="125"/>
      <c r="S236" s="113"/>
      <c r="T236" s="75"/>
      <c r="U236" s="282"/>
      <c r="V236" s="125"/>
      <c r="W236" s="113"/>
      <c r="X236" s="75"/>
      <c r="Y236" s="282"/>
      <c r="Z236" s="290"/>
      <c r="AA236" s="291"/>
      <c r="AB236" s="73"/>
      <c r="AC236" s="282"/>
      <c r="AD236" s="125"/>
      <c r="AE236" s="241"/>
      <c r="AF236" s="284"/>
      <c r="AG236" s="282"/>
      <c r="AH236" s="285"/>
      <c r="AI236" s="286"/>
      <c r="AJ236" s="188"/>
      <c r="AK236" s="282"/>
      <c r="AL236" s="288"/>
      <c r="AM236" s="289"/>
      <c r="AN236" s="75"/>
      <c r="AO236" s="282"/>
      <c r="AP236" s="288"/>
      <c r="AQ236" s="289"/>
      <c r="AR236" s="75"/>
      <c r="AS236" s="75"/>
      <c r="AT236" s="75"/>
    </row>
    <row r="237">
      <c r="A237" s="282"/>
      <c r="B237" s="125"/>
      <c r="C237" s="113"/>
      <c r="D237" s="75"/>
      <c r="E237" s="282"/>
      <c r="F237" s="125"/>
      <c r="G237" s="113"/>
      <c r="H237" s="75"/>
      <c r="I237" s="282"/>
      <c r="J237" s="125"/>
      <c r="K237" s="113"/>
      <c r="L237" s="75"/>
      <c r="M237" s="282"/>
      <c r="N237" s="125"/>
      <c r="O237" s="113"/>
      <c r="P237" s="75"/>
      <c r="Q237" s="282"/>
      <c r="R237" s="125"/>
      <c r="S237" s="113"/>
      <c r="T237" s="75"/>
      <c r="U237" s="282"/>
      <c r="V237" s="125"/>
      <c r="W237" s="113"/>
      <c r="X237" s="75"/>
      <c r="Y237" s="282"/>
      <c r="Z237" s="290"/>
      <c r="AA237" s="291"/>
      <c r="AB237" s="73"/>
      <c r="AC237" s="282"/>
      <c r="AD237" s="125"/>
      <c r="AE237" s="241"/>
      <c r="AF237" s="284"/>
      <c r="AG237" s="282"/>
      <c r="AH237" s="285"/>
      <c r="AI237" s="286"/>
      <c r="AJ237" s="188"/>
      <c r="AK237" s="282"/>
      <c r="AL237" s="288"/>
      <c r="AM237" s="289"/>
      <c r="AN237" s="75"/>
      <c r="AO237" s="282"/>
      <c r="AP237" s="288"/>
      <c r="AQ237" s="289"/>
      <c r="AR237" s="75"/>
      <c r="AS237" s="75"/>
      <c r="AT237" s="75"/>
    </row>
    <row r="238">
      <c r="A238" s="282"/>
      <c r="B238" s="125"/>
      <c r="C238" s="113"/>
      <c r="D238" s="75"/>
      <c r="E238" s="282"/>
      <c r="F238" s="125"/>
      <c r="G238" s="113"/>
      <c r="H238" s="75"/>
      <c r="I238" s="282"/>
      <c r="J238" s="125"/>
      <c r="K238" s="113"/>
      <c r="L238" s="75"/>
      <c r="M238" s="282"/>
      <c r="N238" s="125"/>
      <c r="O238" s="113"/>
      <c r="P238" s="75"/>
      <c r="Q238" s="282"/>
      <c r="R238" s="125"/>
      <c r="S238" s="113"/>
      <c r="T238" s="75"/>
      <c r="U238" s="282"/>
      <c r="V238" s="125"/>
      <c r="W238" s="113"/>
      <c r="X238" s="75"/>
      <c r="Y238" s="282"/>
      <c r="Z238" s="290"/>
      <c r="AA238" s="291"/>
      <c r="AB238" s="73"/>
      <c r="AC238" s="282"/>
      <c r="AD238" s="125"/>
      <c r="AE238" s="241"/>
      <c r="AF238" s="284"/>
      <c r="AG238" s="282"/>
      <c r="AH238" s="285"/>
      <c r="AI238" s="286"/>
      <c r="AJ238" s="188"/>
      <c r="AK238" s="282"/>
      <c r="AL238" s="288"/>
      <c r="AM238" s="289"/>
      <c r="AN238" s="75"/>
      <c r="AO238" s="282"/>
      <c r="AP238" s="288"/>
      <c r="AQ238" s="289"/>
      <c r="AR238" s="75"/>
      <c r="AS238" s="75"/>
      <c r="AT238" s="75"/>
    </row>
    <row r="239">
      <c r="A239" s="282"/>
      <c r="B239" s="125"/>
      <c r="C239" s="113"/>
      <c r="D239" s="75"/>
      <c r="E239" s="282"/>
      <c r="F239" s="125"/>
      <c r="G239" s="113"/>
      <c r="H239" s="75"/>
      <c r="I239" s="282"/>
      <c r="J239" s="125"/>
      <c r="K239" s="113"/>
      <c r="L239" s="75"/>
      <c r="M239" s="282"/>
      <c r="N239" s="125"/>
      <c r="O239" s="113"/>
      <c r="P239" s="75"/>
      <c r="Q239" s="282"/>
      <c r="R239" s="125"/>
      <c r="S239" s="113"/>
      <c r="T239" s="75"/>
      <c r="U239" s="282"/>
      <c r="V239" s="125"/>
      <c r="W239" s="113"/>
      <c r="X239" s="75"/>
      <c r="Y239" s="282"/>
      <c r="Z239" s="290"/>
      <c r="AA239" s="291"/>
      <c r="AB239" s="73"/>
      <c r="AC239" s="282"/>
      <c r="AD239" s="125"/>
      <c r="AE239" s="241"/>
      <c r="AF239" s="284"/>
      <c r="AG239" s="282"/>
      <c r="AH239" s="285"/>
      <c r="AI239" s="286"/>
      <c r="AJ239" s="188"/>
      <c r="AK239" s="282"/>
      <c r="AL239" s="288"/>
      <c r="AM239" s="289"/>
      <c r="AN239" s="75"/>
      <c r="AO239" s="282"/>
      <c r="AP239" s="288"/>
      <c r="AQ239" s="289"/>
      <c r="AR239" s="75"/>
      <c r="AS239" s="75"/>
      <c r="AT239" s="75"/>
    </row>
    <row r="240">
      <c r="A240" s="282"/>
      <c r="B240" s="125"/>
      <c r="C240" s="113"/>
      <c r="D240" s="75"/>
      <c r="E240" s="282"/>
      <c r="F240" s="125"/>
      <c r="G240" s="113"/>
      <c r="H240" s="75"/>
      <c r="I240" s="282"/>
      <c r="J240" s="125"/>
      <c r="K240" s="113"/>
      <c r="L240" s="75"/>
      <c r="M240" s="282"/>
      <c r="N240" s="125"/>
      <c r="O240" s="113"/>
      <c r="P240" s="75"/>
      <c r="Q240" s="282"/>
      <c r="R240" s="125"/>
      <c r="S240" s="113"/>
      <c r="T240" s="75"/>
      <c r="U240" s="282"/>
      <c r="V240" s="125"/>
      <c r="W240" s="113"/>
      <c r="X240" s="75"/>
      <c r="Y240" s="282"/>
      <c r="Z240" s="290"/>
      <c r="AA240" s="291"/>
      <c r="AB240" s="73"/>
      <c r="AC240" s="282"/>
      <c r="AD240" s="125"/>
      <c r="AE240" s="241"/>
      <c r="AF240" s="284"/>
      <c r="AG240" s="282"/>
      <c r="AH240" s="285"/>
      <c r="AI240" s="286"/>
      <c r="AJ240" s="188"/>
      <c r="AK240" s="282"/>
      <c r="AL240" s="288"/>
      <c r="AM240" s="289"/>
      <c r="AN240" s="75"/>
      <c r="AO240" s="282"/>
      <c r="AP240" s="288"/>
      <c r="AQ240" s="289"/>
      <c r="AR240" s="75"/>
      <c r="AS240" s="75"/>
      <c r="AT240" s="75"/>
    </row>
    <row r="241">
      <c r="A241" s="282"/>
      <c r="B241" s="125"/>
      <c r="C241" s="113"/>
      <c r="D241" s="75"/>
      <c r="E241" s="282"/>
      <c r="F241" s="125"/>
      <c r="G241" s="113"/>
      <c r="H241" s="75"/>
      <c r="I241" s="282"/>
      <c r="J241" s="125"/>
      <c r="K241" s="113"/>
      <c r="L241" s="75"/>
      <c r="M241" s="282"/>
      <c r="N241" s="125"/>
      <c r="O241" s="113"/>
      <c r="P241" s="75"/>
      <c r="Q241" s="282"/>
      <c r="R241" s="125"/>
      <c r="S241" s="113"/>
      <c r="T241" s="75"/>
      <c r="U241" s="282"/>
      <c r="V241" s="125"/>
      <c r="W241" s="113"/>
      <c r="X241" s="75"/>
      <c r="Y241" s="282"/>
      <c r="Z241" s="290"/>
      <c r="AA241" s="291"/>
      <c r="AB241" s="73"/>
      <c r="AC241" s="282"/>
      <c r="AD241" s="125"/>
      <c r="AE241" s="241"/>
      <c r="AF241" s="284"/>
      <c r="AG241" s="282"/>
      <c r="AH241" s="285"/>
      <c r="AI241" s="286"/>
      <c r="AJ241" s="188"/>
      <c r="AK241" s="282"/>
      <c r="AL241" s="288"/>
      <c r="AM241" s="289"/>
      <c r="AN241" s="75"/>
      <c r="AO241" s="282"/>
      <c r="AP241" s="288"/>
      <c r="AQ241" s="289"/>
      <c r="AR241" s="75"/>
      <c r="AS241" s="75"/>
      <c r="AT241" s="75"/>
    </row>
    <row r="242">
      <c r="A242" s="282"/>
      <c r="B242" s="125"/>
      <c r="C242" s="113"/>
      <c r="D242" s="75"/>
      <c r="E242" s="282"/>
      <c r="F242" s="125"/>
      <c r="G242" s="113"/>
      <c r="H242" s="75"/>
      <c r="I242" s="282"/>
      <c r="J242" s="125"/>
      <c r="K242" s="113"/>
      <c r="L242" s="75"/>
      <c r="M242" s="282"/>
      <c r="N242" s="125"/>
      <c r="O242" s="113"/>
      <c r="P242" s="75"/>
      <c r="Q242" s="282"/>
      <c r="R242" s="125"/>
      <c r="S242" s="113"/>
      <c r="T242" s="75"/>
      <c r="U242" s="282"/>
      <c r="V242" s="125"/>
      <c r="W242" s="113"/>
      <c r="X242" s="75"/>
      <c r="Y242" s="282"/>
      <c r="Z242" s="290"/>
      <c r="AA242" s="291"/>
      <c r="AB242" s="73"/>
      <c r="AC242" s="282"/>
      <c r="AD242" s="125"/>
      <c r="AE242" s="241"/>
      <c r="AF242" s="284"/>
      <c r="AG242" s="282"/>
      <c r="AH242" s="285"/>
      <c r="AI242" s="286"/>
      <c r="AJ242" s="188"/>
      <c r="AK242" s="282"/>
      <c r="AL242" s="288"/>
      <c r="AM242" s="289"/>
      <c r="AN242" s="75"/>
      <c r="AO242" s="282"/>
      <c r="AP242" s="288"/>
      <c r="AQ242" s="289"/>
      <c r="AR242" s="75"/>
      <c r="AS242" s="75"/>
      <c r="AT242" s="75"/>
    </row>
    <row r="243">
      <c r="A243" s="282"/>
      <c r="B243" s="125"/>
      <c r="C243" s="113"/>
      <c r="D243" s="75"/>
      <c r="E243" s="282"/>
      <c r="F243" s="125"/>
      <c r="G243" s="113"/>
      <c r="H243" s="75"/>
      <c r="I243" s="282"/>
      <c r="J243" s="125"/>
      <c r="K243" s="113"/>
      <c r="L243" s="75"/>
      <c r="M243" s="282"/>
      <c r="N243" s="125"/>
      <c r="O243" s="113"/>
      <c r="P243" s="75"/>
      <c r="Q243" s="282"/>
      <c r="R243" s="125"/>
      <c r="S243" s="113"/>
      <c r="T243" s="75"/>
      <c r="U243" s="282"/>
      <c r="V243" s="125"/>
      <c r="W243" s="113"/>
      <c r="X243" s="75"/>
      <c r="Y243" s="282"/>
      <c r="Z243" s="290"/>
      <c r="AA243" s="291"/>
      <c r="AB243" s="73"/>
      <c r="AC243" s="282"/>
      <c r="AD243" s="125"/>
      <c r="AE243" s="241"/>
      <c r="AF243" s="284"/>
      <c r="AG243" s="282"/>
      <c r="AH243" s="285"/>
      <c r="AI243" s="286"/>
      <c r="AJ243" s="188"/>
      <c r="AK243" s="282"/>
      <c r="AL243" s="288"/>
      <c r="AM243" s="289"/>
      <c r="AN243" s="75"/>
      <c r="AO243" s="282"/>
      <c r="AP243" s="288"/>
      <c r="AQ243" s="289"/>
      <c r="AR243" s="75"/>
      <c r="AS243" s="75"/>
      <c r="AT243" s="75"/>
    </row>
    <row r="244">
      <c r="A244" s="282"/>
      <c r="B244" s="125"/>
      <c r="C244" s="113"/>
      <c r="D244" s="75"/>
      <c r="E244" s="282"/>
      <c r="F244" s="125"/>
      <c r="G244" s="113"/>
      <c r="H244" s="75"/>
      <c r="I244" s="282"/>
      <c r="J244" s="125"/>
      <c r="K244" s="113"/>
      <c r="L244" s="75"/>
      <c r="M244" s="282"/>
      <c r="N244" s="125"/>
      <c r="O244" s="113"/>
      <c r="P244" s="75"/>
      <c r="Q244" s="282"/>
      <c r="R244" s="125"/>
      <c r="S244" s="113"/>
      <c r="T244" s="75"/>
      <c r="U244" s="282"/>
      <c r="V244" s="125"/>
      <c r="W244" s="113"/>
      <c r="X244" s="75"/>
      <c r="Y244" s="282"/>
      <c r="Z244" s="290"/>
      <c r="AA244" s="291"/>
      <c r="AB244" s="73"/>
      <c r="AC244" s="282"/>
      <c r="AD244" s="125"/>
      <c r="AE244" s="241"/>
      <c r="AF244" s="284"/>
      <c r="AG244" s="282"/>
      <c r="AH244" s="285"/>
      <c r="AI244" s="286"/>
      <c r="AJ244" s="188"/>
      <c r="AK244" s="282"/>
      <c r="AL244" s="288"/>
      <c r="AM244" s="289"/>
      <c r="AN244" s="75"/>
      <c r="AO244" s="282"/>
      <c r="AP244" s="288"/>
      <c r="AQ244" s="289"/>
      <c r="AR244" s="75"/>
      <c r="AS244" s="75"/>
      <c r="AT244" s="75"/>
    </row>
    <row r="245">
      <c r="A245" s="282"/>
      <c r="B245" s="125"/>
      <c r="C245" s="113"/>
      <c r="D245" s="75"/>
      <c r="E245" s="282"/>
      <c r="F245" s="125"/>
      <c r="G245" s="113"/>
      <c r="H245" s="75"/>
      <c r="I245" s="282"/>
      <c r="J245" s="125"/>
      <c r="K245" s="113"/>
      <c r="L245" s="75"/>
      <c r="M245" s="282"/>
      <c r="N245" s="125"/>
      <c r="O245" s="113"/>
      <c r="P245" s="75"/>
      <c r="Q245" s="282"/>
      <c r="R245" s="125"/>
      <c r="S245" s="113"/>
      <c r="T245" s="75"/>
      <c r="U245" s="282"/>
      <c r="V245" s="125"/>
      <c r="W245" s="113"/>
      <c r="X245" s="75"/>
      <c r="Y245" s="282"/>
      <c r="Z245" s="290"/>
      <c r="AA245" s="291"/>
      <c r="AB245" s="73"/>
      <c r="AC245" s="282"/>
      <c r="AD245" s="125"/>
      <c r="AE245" s="241"/>
      <c r="AF245" s="284"/>
      <c r="AG245" s="282"/>
      <c r="AH245" s="285"/>
      <c r="AI245" s="286"/>
      <c r="AJ245" s="188"/>
      <c r="AK245" s="282"/>
      <c r="AL245" s="288"/>
      <c r="AM245" s="289"/>
      <c r="AN245" s="75"/>
      <c r="AO245" s="282"/>
      <c r="AP245" s="288"/>
      <c r="AQ245" s="289"/>
      <c r="AR245" s="75"/>
      <c r="AS245" s="75"/>
      <c r="AT245" s="75"/>
    </row>
    <row r="246">
      <c r="A246" s="282"/>
      <c r="B246" s="125"/>
      <c r="C246" s="113"/>
      <c r="D246" s="75"/>
      <c r="E246" s="282"/>
      <c r="F246" s="125"/>
      <c r="G246" s="113"/>
      <c r="H246" s="75"/>
      <c r="I246" s="282"/>
      <c r="J246" s="125"/>
      <c r="K246" s="113"/>
      <c r="L246" s="75"/>
      <c r="M246" s="282"/>
      <c r="N246" s="125"/>
      <c r="O246" s="113"/>
      <c r="P246" s="75"/>
      <c r="Q246" s="282"/>
      <c r="R246" s="125"/>
      <c r="S246" s="113"/>
      <c r="T246" s="75"/>
      <c r="U246" s="282"/>
      <c r="V246" s="125"/>
      <c r="W246" s="113"/>
      <c r="X246" s="75"/>
      <c r="Y246" s="282"/>
      <c r="Z246" s="290"/>
      <c r="AA246" s="291"/>
      <c r="AB246" s="73"/>
      <c r="AC246" s="282"/>
      <c r="AD246" s="125"/>
      <c r="AE246" s="241"/>
      <c r="AF246" s="284"/>
      <c r="AG246" s="282"/>
      <c r="AH246" s="285"/>
      <c r="AI246" s="286"/>
      <c r="AJ246" s="188"/>
      <c r="AK246" s="282"/>
      <c r="AL246" s="288"/>
      <c r="AM246" s="289"/>
      <c r="AN246" s="75"/>
      <c r="AO246" s="282"/>
      <c r="AP246" s="288"/>
      <c r="AQ246" s="289"/>
      <c r="AR246" s="75"/>
      <c r="AS246" s="75"/>
      <c r="AT246" s="75"/>
    </row>
    <row r="247">
      <c r="A247" s="282"/>
      <c r="B247" s="125"/>
      <c r="C247" s="113"/>
      <c r="D247" s="75"/>
      <c r="E247" s="282"/>
      <c r="F247" s="125"/>
      <c r="G247" s="113"/>
      <c r="H247" s="75"/>
      <c r="I247" s="282"/>
      <c r="J247" s="125"/>
      <c r="K247" s="113"/>
      <c r="L247" s="75"/>
      <c r="M247" s="282"/>
      <c r="N247" s="125"/>
      <c r="O247" s="113"/>
      <c r="P247" s="75"/>
      <c r="Q247" s="282"/>
      <c r="R247" s="125"/>
      <c r="S247" s="113"/>
      <c r="T247" s="75"/>
      <c r="U247" s="282"/>
      <c r="V247" s="125"/>
      <c r="W247" s="113"/>
      <c r="X247" s="75"/>
      <c r="Y247" s="282"/>
      <c r="Z247" s="290"/>
      <c r="AA247" s="291"/>
      <c r="AB247" s="73"/>
      <c r="AC247" s="282"/>
      <c r="AD247" s="125"/>
      <c r="AE247" s="241"/>
      <c r="AF247" s="284"/>
      <c r="AG247" s="282"/>
      <c r="AH247" s="285"/>
      <c r="AI247" s="286"/>
      <c r="AJ247" s="188"/>
      <c r="AK247" s="282"/>
      <c r="AL247" s="288"/>
      <c r="AM247" s="289"/>
      <c r="AN247" s="75"/>
      <c r="AO247" s="282"/>
      <c r="AP247" s="288"/>
      <c r="AQ247" s="289"/>
      <c r="AR247" s="75"/>
      <c r="AS247" s="75"/>
      <c r="AT247" s="75"/>
    </row>
    <row r="248">
      <c r="A248" s="282"/>
      <c r="B248" s="125"/>
      <c r="C248" s="113"/>
      <c r="D248" s="75"/>
      <c r="E248" s="282"/>
      <c r="F248" s="125"/>
      <c r="G248" s="113"/>
      <c r="H248" s="75"/>
      <c r="I248" s="282"/>
      <c r="J248" s="125"/>
      <c r="K248" s="113"/>
      <c r="L248" s="75"/>
      <c r="M248" s="282"/>
      <c r="N248" s="125"/>
      <c r="O248" s="113"/>
      <c r="P248" s="75"/>
      <c r="Q248" s="282"/>
      <c r="R248" s="125"/>
      <c r="S248" s="113"/>
      <c r="T248" s="75"/>
      <c r="U248" s="282"/>
      <c r="V248" s="125"/>
      <c r="W248" s="113"/>
      <c r="X248" s="75"/>
      <c r="Y248" s="282"/>
      <c r="Z248" s="290"/>
      <c r="AA248" s="291"/>
      <c r="AB248" s="73"/>
      <c r="AC248" s="282"/>
      <c r="AD248" s="125"/>
      <c r="AE248" s="241"/>
      <c r="AF248" s="284"/>
      <c r="AG248" s="282"/>
      <c r="AH248" s="292"/>
      <c r="AI248" s="292"/>
      <c r="AJ248" s="292"/>
      <c r="AK248" s="282"/>
      <c r="AL248" s="75"/>
      <c r="AM248" s="75"/>
      <c r="AN248" s="75"/>
      <c r="AO248" s="282"/>
      <c r="AP248" s="75"/>
      <c r="AQ248" s="75"/>
      <c r="AR248" s="75"/>
      <c r="AS248" s="75"/>
      <c r="AT248" s="75"/>
    </row>
    <row r="249">
      <c r="A249" s="282"/>
      <c r="B249" s="125"/>
      <c r="C249" s="113"/>
      <c r="D249" s="75"/>
      <c r="E249" s="282"/>
      <c r="F249" s="125"/>
      <c r="G249" s="113"/>
      <c r="H249" s="75"/>
      <c r="I249" s="282"/>
      <c r="J249" s="125"/>
      <c r="K249" s="113"/>
      <c r="L249" s="75"/>
      <c r="M249" s="282"/>
      <c r="N249" s="125"/>
      <c r="O249" s="113"/>
      <c r="P249" s="75"/>
      <c r="Q249" s="282"/>
      <c r="R249" s="125"/>
      <c r="S249" s="113"/>
      <c r="T249" s="75"/>
      <c r="U249" s="282"/>
      <c r="V249" s="125"/>
      <c r="W249" s="113"/>
      <c r="X249" s="75"/>
      <c r="Y249" s="282"/>
      <c r="Z249" s="290"/>
      <c r="AA249" s="291"/>
      <c r="AB249" s="73"/>
      <c r="AC249" s="282"/>
      <c r="AD249" s="125"/>
      <c r="AE249" s="241"/>
      <c r="AF249" s="284"/>
      <c r="AG249" s="282"/>
      <c r="AH249" s="292"/>
      <c r="AI249" s="292"/>
      <c r="AJ249" s="292"/>
      <c r="AK249" s="282"/>
      <c r="AL249" s="75"/>
      <c r="AM249" s="75"/>
      <c r="AN249" s="75"/>
      <c r="AO249" s="282"/>
      <c r="AP249" s="75"/>
      <c r="AQ249" s="75"/>
      <c r="AR249" s="75"/>
      <c r="AS249" s="75"/>
      <c r="AT249" s="75"/>
    </row>
    <row r="250">
      <c r="A250" s="282"/>
      <c r="B250" s="125"/>
      <c r="C250" s="113"/>
      <c r="D250" s="75"/>
      <c r="E250" s="282"/>
      <c r="F250" s="125"/>
      <c r="G250" s="113"/>
      <c r="H250" s="75"/>
      <c r="I250" s="282"/>
      <c r="J250" s="125"/>
      <c r="K250" s="113"/>
      <c r="L250" s="75"/>
      <c r="M250" s="282"/>
      <c r="N250" s="125"/>
      <c r="O250" s="113"/>
      <c r="P250" s="75"/>
      <c r="Q250" s="282"/>
      <c r="R250" s="125"/>
      <c r="S250" s="113"/>
      <c r="T250" s="75"/>
      <c r="U250" s="282"/>
      <c r="V250" s="125"/>
      <c r="W250" s="113"/>
      <c r="X250" s="75"/>
      <c r="Y250" s="282"/>
      <c r="Z250" s="290"/>
      <c r="AA250" s="291"/>
      <c r="AB250" s="73"/>
      <c r="AC250" s="282"/>
      <c r="AD250" s="125"/>
      <c r="AE250" s="241"/>
      <c r="AF250" s="284"/>
      <c r="AG250" s="282"/>
      <c r="AH250" s="292"/>
      <c r="AI250" s="292"/>
      <c r="AJ250" s="292"/>
      <c r="AK250" s="282"/>
      <c r="AL250" s="75"/>
      <c r="AM250" s="75"/>
      <c r="AN250" s="75"/>
      <c r="AO250" s="282"/>
      <c r="AP250" s="75"/>
      <c r="AQ250" s="75"/>
      <c r="AR250" s="75"/>
      <c r="AS250" s="75"/>
      <c r="AT250" s="75"/>
    </row>
    <row r="251">
      <c r="A251" s="282"/>
      <c r="B251" s="125"/>
      <c r="C251" s="113"/>
      <c r="D251" s="75"/>
      <c r="E251" s="282"/>
      <c r="F251" s="125"/>
      <c r="G251" s="113"/>
      <c r="H251" s="75"/>
      <c r="I251" s="282"/>
      <c r="J251" s="125"/>
      <c r="K251" s="113"/>
      <c r="L251" s="75"/>
      <c r="M251" s="282"/>
      <c r="N251" s="125"/>
      <c r="O251" s="113"/>
      <c r="P251" s="75"/>
      <c r="Q251" s="282"/>
      <c r="R251" s="125"/>
      <c r="S251" s="113"/>
      <c r="T251" s="75"/>
      <c r="U251" s="282"/>
      <c r="V251" s="125"/>
      <c r="W251" s="113"/>
      <c r="X251" s="75"/>
      <c r="Y251" s="282"/>
      <c r="Z251" s="290"/>
      <c r="AA251" s="291"/>
      <c r="AB251" s="73"/>
      <c r="AC251" s="282"/>
      <c r="AD251" s="125"/>
      <c r="AE251" s="241"/>
      <c r="AF251" s="284"/>
      <c r="AG251" s="282"/>
      <c r="AH251" s="292"/>
      <c r="AI251" s="292"/>
      <c r="AJ251" s="292"/>
      <c r="AK251" s="282"/>
      <c r="AL251" s="75"/>
      <c r="AM251" s="75"/>
      <c r="AN251" s="75"/>
      <c r="AO251" s="282"/>
      <c r="AP251" s="75"/>
      <c r="AQ251" s="75"/>
      <c r="AR251" s="75"/>
      <c r="AS251" s="75"/>
      <c r="AT251" s="75"/>
    </row>
    <row r="252">
      <c r="A252" s="282"/>
      <c r="B252" s="125"/>
      <c r="C252" s="113"/>
      <c r="D252" s="75"/>
      <c r="E252" s="282"/>
      <c r="F252" s="125"/>
      <c r="G252" s="113"/>
      <c r="H252" s="75"/>
      <c r="I252" s="282"/>
      <c r="J252" s="125"/>
      <c r="K252" s="113"/>
      <c r="L252" s="75"/>
      <c r="M252" s="282"/>
      <c r="N252" s="125"/>
      <c r="O252" s="113"/>
      <c r="P252" s="75"/>
      <c r="Q252" s="282"/>
      <c r="R252" s="125"/>
      <c r="S252" s="113"/>
      <c r="T252" s="75"/>
      <c r="U252" s="282"/>
      <c r="V252" s="125"/>
      <c r="W252" s="113"/>
      <c r="X252" s="75"/>
      <c r="Y252" s="282"/>
      <c r="Z252" s="290"/>
      <c r="AA252" s="291"/>
      <c r="AB252" s="73"/>
      <c r="AC252" s="282"/>
      <c r="AD252" s="125"/>
      <c r="AE252" s="241"/>
      <c r="AF252" s="284"/>
      <c r="AG252" s="282"/>
      <c r="AH252" s="292"/>
      <c r="AI252" s="292"/>
      <c r="AJ252" s="292"/>
      <c r="AK252" s="282"/>
      <c r="AL252" s="75"/>
      <c r="AM252" s="75"/>
      <c r="AN252" s="75"/>
      <c r="AO252" s="282"/>
      <c r="AP252" s="75"/>
      <c r="AQ252" s="75"/>
      <c r="AR252" s="75"/>
      <c r="AS252" s="75"/>
      <c r="AT252" s="75"/>
    </row>
    <row r="253">
      <c r="A253" s="282"/>
      <c r="B253" s="125"/>
      <c r="C253" s="113"/>
      <c r="D253" s="75"/>
      <c r="E253" s="282"/>
      <c r="F253" s="125"/>
      <c r="G253" s="113"/>
      <c r="H253" s="75"/>
      <c r="I253" s="282"/>
      <c r="J253" s="125"/>
      <c r="K253" s="113"/>
      <c r="L253" s="75"/>
      <c r="M253" s="282"/>
      <c r="N253" s="125"/>
      <c r="O253" s="113"/>
      <c r="P253" s="75"/>
      <c r="Q253" s="282"/>
      <c r="R253" s="125"/>
      <c r="S253" s="113"/>
      <c r="T253" s="75"/>
      <c r="U253" s="282"/>
      <c r="V253" s="125"/>
      <c r="W253" s="113"/>
      <c r="X253" s="75"/>
      <c r="Y253" s="282"/>
      <c r="Z253" s="290"/>
      <c r="AA253" s="291"/>
      <c r="AB253" s="73"/>
      <c r="AC253" s="282"/>
      <c r="AD253" s="125"/>
      <c r="AE253" s="241"/>
      <c r="AF253" s="284"/>
      <c r="AG253" s="282"/>
      <c r="AH253" s="292"/>
      <c r="AI253" s="292"/>
      <c r="AJ253" s="292"/>
      <c r="AK253" s="282"/>
      <c r="AL253" s="75"/>
      <c r="AM253" s="75"/>
      <c r="AN253" s="75"/>
      <c r="AO253" s="282"/>
      <c r="AP253" s="75"/>
      <c r="AQ253" s="75"/>
      <c r="AR253" s="75"/>
      <c r="AS253" s="75"/>
      <c r="AT253" s="75"/>
    </row>
    <row r="254">
      <c r="A254" s="282"/>
      <c r="B254" s="125"/>
      <c r="C254" s="113"/>
      <c r="D254" s="75"/>
      <c r="E254" s="282"/>
      <c r="F254" s="125"/>
      <c r="G254" s="113"/>
      <c r="H254" s="75"/>
      <c r="I254" s="282"/>
      <c r="J254" s="125"/>
      <c r="K254" s="113"/>
      <c r="L254" s="75"/>
      <c r="M254" s="282"/>
      <c r="N254" s="125"/>
      <c r="O254" s="113"/>
      <c r="P254" s="75"/>
      <c r="Q254" s="282"/>
      <c r="R254" s="125"/>
      <c r="S254" s="113"/>
      <c r="T254" s="75"/>
      <c r="U254" s="282"/>
      <c r="V254" s="125"/>
      <c r="W254" s="113"/>
      <c r="X254" s="75"/>
      <c r="Y254" s="282"/>
      <c r="Z254" s="290"/>
      <c r="AA254" s="291"/>
      <c r="AB254" s="73"/>
      <c r="AC254" s="282"/>
      <c r="AD254" s="125"/>
      <c r="AE254" s="241"/>
      <c r="AF254" s="284"/>
      <c r="AG254" s="282"/>
      <c r="AH254" s="292"/>
      <c r="AI254" s="292"/>
      <c r="AJ254" s="292"/>
      <c r="AK254" s="282"/>
      <c r="AL254" s="75"/>
      <c r="AM254" s="75"/>
      <c r="AN254" s="75"/>
      <c r="AO254" s="282"/>
      <c r="AP254" s="75"/>
      <c r="AQ254" s="75"/>
      <c r="AR254" s="75"/>
      <c r="AS254" s="75"/>
      <c r="AT254" s="75"/>
    </row>
    <row r="255">
      <c r="A255" s="282"/>
      <c r="B255" s="125"/>
      <c r="C255" s="113"/>
      <c r="D255" s="75"/>
      <c r="E255" s="282"/>
      <c r="F255" s="125"/>
      <c r="G255" s="113"/>
      <c r="H255" s="75"/>
      <c r="I255" s="282"/>
      <c r="J255" s="125"/>
      <c r="K255" s="113"/>
      <c r="L255" s="75"/>
      <c r="M255" s="282"/>
      <c r="N255" s="125"/>
      <c r="O255" s="113"/>
      <c r="P255" s="75"/>
      <c r="Q255" s="282"/>
      <c r="R255" s="125"/>
      <c r="S255" s="113"/>
      <c r="T255" s="75"/>
      <c r="U255" s="282"/>
      <c r="V255" s="125"/>
      <c r="W255" s="113"/>
      <c r="X255" s="75"/>
      <c r="Y255" s="282"/>
      <c r="Z255" s="290"/>
      <c r="AA255" s="291"/>
      <c r="AB255" s="73"/>
      <c r="AC255" s="282"/>
      <c r="AD255" s="125"/>
      <c r="AE255" s="241"/>
      <c r="AF255" s="284"/>
      <c r="AG255" s="282"/>
      <c r="AH255" s="292"/>
      <c r="AI255" s="292"/>
      <c r="AJ255" s="292"/>
      <c r="AK255" s="282"/>
      <c r="AL255" s="75"/>
      <c r="AM255" s="75"/>
      <c r="AN255" s="75"/>
      <c r="AO255" s="282"/>
      <c r="AP255" s="75"/>
      <c r="AQ255" s="75"/>
      <c r="AR255" s="75"/>
      <c r="AS255" s="75"/>
      <c r="AT255" s="75"/>
    </row>
    <row r="256">
      <c r="A256" s="282"/>
      <c r="B256" s="125"/>
      <c r="C256" s="113"/>
      <c r="D256" s="75"/>
      <c r="E256" s="282"/>
      <c r="F256" s="125"/>
      <c r="G256" s="113"/>
      <c r="H256" s="75"/>
      <c r="I256" s="282"/>
      <c r="J256" s="125"/>
      <c r="K256" s="113"/>
      <c r="L256" s="75"/>
      <c r="M256" s="282"/>
      <c r="N256" s="125"/>
      <c r="O256" s="113"/>
      <c r="P256" s="75"/>
      <c r="Q256" s="282"/>
      <c r="R256" s="125"/>
      <c r="S256" s="113"/>
      <c r="T256" s="75"/>
      <c r="U256" s="282"/>
      <c r="V256" s="125"/>
      <c r="W256" s="113"/>
      <c r="X256" s="75"/>
      <c r="Y256" s="282"/>
      <c r="Z256" s="290"/>
      <c r="AA256" s="291"/>
      <c r="AB256" s="73"/>
      <c r="AC256" s="282"/>
      <c r="AD256" s="125"/>
      <c r="AE256" s="241"/>
      <c r="AF256" s="284"/>
      <c r="AG256" s="282"/>
      <c r="AH256" s="292"/>
      <c r="AI256" s="292"/>
      <c r="AJ256" s="292"/>
      <c r="AK256" s="282"/>
      <c r="AL256" s="75"/>
      <c r="AM256" s="75"/>
      <c r="AN256" s="75"/>
      <c r="AO256" s="282"/>
      <c r="AP256" s="75"/>
      <c r="AQ256" s="75"/>
      <c r="AR256" s="75"/>
      <c r="AS256" s="75"/>
      <c r="AT256" s="75"/>
    </row>
    <row r="257">
      <c r="A257" s="282"/>
      <c r="B257" s="125"/>
      <c r="C257" s="113"/>
      <c r="D257" s="75"/>
      <c r="E257" s="282"/>
      <c r="F257" s="125"/>
      <c r="G257" s="113"/>
      <c r="H257" s="75"/>
      <c r="I257" s="282"/>
      <c r="J257" s="125"/>
      <c r="K257" s="113"/>
      <c r="L257" s="75"/>
      <c r="M257" s="282"/>
      <c r="N257" s="125"/>
      <c r="O257" s="113"/>
      <c r="P257" s="75"/>
      <c r="Q257" s="282"/>
      <c r="R257" s="125"/>
      <c r="S257" s="113"/>
      <c r="T257" s="75"/>
      <c r="U257" s="282"/>
      <c r="V257" s="125"/>
      <c r="W257" s="113"/>
      <c r="X257" s="75"/>
      <c r="Y257" s="282"/>
      <c r="Z257" s="290"/>
      <c r="AA257" s="291"/>
      <c r="AB257" s="73"/>
      <c r="AC257" s="282"/>
      <c r="AD257" s="125"/>
      <c r="AE257" s="241"/>
      <c r="AF257" s="284"/>
      <c r="AG257" s="282"/>
      <c r="AH257" s="292"/>
      <c r="AI257" s="292"/>
      <c r="AJ257" s="292"/>
      <c r="AK257" s="282"/>
      <c r="AL257" s="75"/>
      <c r="AM257" s="75"/>
      <c r="AN257" s="75"/>
      <c r="AO257" s="282"/>
      <c r="AP257" s="75"/>
      <c r="AQ257" s="75"/>
      <c r="AR257" s="75"/>
      <c r="AS257" s="75"/>
      <c r="AT257" s="75"/>
    </row>
    <row r="258">
      <c r="A258" s="282"/>
      <c r="B258" s="125"/>
      <c r="C258" s="113"/>
      <c r="D258" s="75"/>
      <c r="E258" s="282"/>
      <c r="F258" s="125"/>
      <c r="G258" s="113"/>
      <c r="H258" s="75"/>
      <c r="I258" s="282"/>
      <c r="J258" s="125"/>
      <c r="K258" s="113"/>
      <c r="L258" s="75"/>
      <c r="M258" s="282"/>
      <c r="N258" s="125"/>
      <c r="O258" s="113"/>
      <c r="P258" s="75"/>
      <c r="Q258" s="282"/>
      <c r="R258" s="125"/>
      <c r="S258" s="113"/>
      <c r="T258" s="75"/>
      <c r="U258" s="282"/>
      <c r="V258" s="125"/>
      <c r="W258" s="113"/>
      <c r="X258" s="75"/>
      <c r="Y258" s="282"/>
      <c r="Z258" s="290"/>
      <c r="AA258" s="291"/>
      <c r="AB258" s="73"/>
      <c r="AC258" s="282"/>
      <c r="AD258" s="125"/>
      <c r="AE258" s="241"/>
      <c r="AF258" s="284"/>
      <c r="AG258" s="282"/>
      <c r="AH258" s="292"/>
      <c r="AI258" s="292"/>
      <c r="AJ258" s="292"/>
      <c r="AK258" s="282"/>
      <c r="AL258" s="75"/>
      <c r="AM258" s="75"/>
      <c r="AN258" s="75"/>
      <c r="AO258" s="282"/>
      <c r="AP258" s="75"/>
      <c r="AQ258" s="75"/>
      <c r="AR258" s="75"/>
      <c r="AS258" s="75"/>
      <c r="AT258" s="75"/>
    </row>
    <row r="259">
      <c r="A259" s="282"/>
      <c r="B259" s="125"/>
      <c r="C259" s="113"/>
      <c r="D259" s="75"/>
      <c r="E259" s="282"/>
      <c r="F259" s="125"/>
      <c r="G259" s="113"/>
      <c r="H259" s="75"/>
      <c r="I259" s="282"/>
      <c r="J259" s="125"/>
      <c r="K259" s="113"/>
      <c r="L259" s="75"/>
      <c r="M259" s="282"/>
      <c r="N259" s="125"/>
      <c r="O259" s="113"/>
      <c r="P259" s="75"/>
      <c r="Q259" s="282"/>
      <c r="R259" s="125"/>
      <c r="S259" s="113"/>
      <c r="T259" s="75"/>
      <c r="U259" s="282"/>
      <c r="V259" s="125"/>
      <c r="W259" s="113"/>
      <c r="X259" s="75"/>
      <c r="Y259" s="282"/>
      <c r="Z259" s="290"/>
      <c r="AA259" s="291"/>
      <c r="AB259" s="73"/>
      <c r="AC259" s="282"/>
      <c r="AD259" s="125"/>
      <c r="AE259" s="241"/>
      <c r="AF259" s="284"/>
      <c r="AG259" s="282"/>
      <c r="AH259" s="292"/>
      <c r="AI259" s="292"/>
      <c r="AJ259" s="292"/>
      <c r="AK259" s="282"/>
      <c r="AL259" s="75"/>
      <c r="AM259" s="75"/>
      <c r="AN259" s="75"/>
      <c r="AO259" s="282"/>
      <c r="AP259" s="75"/>
      <c r="AQ259" s="75"/>
      <c r="AR259" s="75"/>
      <c r="AS259" s="75"/>
      <c r="AT259" s="75"/>
    </row>
    <row r="260">
      <c r="A260" s="282"/>
      <c r="B260" s="125"/>
      <c r="C260" s="113"/>
      <c r="D260" s="75"/>
      <c r="E260" s="282"/>
      <c r="F260" s="125"/>
      <c r="G260" s="113"/>
      <c r="H260" s="75"/>
      <c r="I260" s="282"/>
      <c r="J260" s="125"/>
      <c r="K260" s="113"/>
      <c r="L260" s="75"/>
      <c r="M260" s="282"/>
      <c r="N260" s="125"/>
      <c r="O260" s="113"/>
      <c r="P260" s="75"/>
      <c r="Q260" s="282"/>
      <c r="R260" s="125"/>
      <c r="S260" s="113"/>
      <c r="T260" s="75"/>
      <c r="U260" s="282"/>
      <c r="V260" s="125"/>
      <c r="W260" s="113"/>
      <c r="X260" s="75"/>
      <c r="Y260" s="282"/>
      <c r="Z260" s="290"/>
      <c r="AA260" s="291"/>
      <c r="AB260" s="73"/>
      <c r="AC260" s="282"/>
      <c r="AD260" s="125"/>
      <c r="AE260" s="241"/>
      <c r="AF260" s="284"/>
      <c r="AG260" s="282"/>
      <c r="AH260" s="292"/>
      <c r="AI260" s="292"/>
      <c r="AJ260" s="292"/>
      <c r="AK260" s="282"/>
      <c r="AL260" s="75"/>
      <c r="AM260" s="75"/>
      <c r="AN260" s="75"/>
      <c r="AO260" s="282"/>
      <c r="AP260" s="75"/>
      <c r="AQ260" s="75"/>
      <c r="AR260" s="75"/>
      <c r="AS260" s="75"/>
      <c r="AT260" s="75"/>
    </row>
    <row r="261">
      <c r="A261" s="282"/>
      <c r="B261" s="125"/>
      <c r="C261" s="113"/>
      <c r="D261" s="75"/>
      <c r="E261" s="282"/>
      <c r="F261" s="125"/>
      <c r="G261" s="113"/>
      <c r="H261" s="75"/>
      <c r="I261" s="282"/>
      <c r="J261" s="125"/>
      <c r="K261" s="113"/>
      <c r="L261" s="75"/>
      <c r="M261" s="282"/>
      <c r="N261" s="125"/>
      <c r="O261" s="113"/>
      <c r="P261" s="75"/>
      <c r="Q261" s="282"/>
      <c r="R261" s="125"/>
      <c r="S261" s="113"/>
      <c r="T261" s="75"/>
      <c r="U261" s="282"/>
      <c r="V261" s="125"/>
      <c r="W261" s="113"/>
      <c r="X261" s="75"/>
      <c r="Y261" s="282"/>
      <c r="Z261" s="290"/>
      <c r="AA261" s="291"/>
      <c r="AB261" s="73"/>
      <c r="AC261" s="282"/>
      <c r="AD261" s="125"/>
      <c r="AE261" s="241"/>
      <c r="AF261" s="284"/>
      <c r="AG261" s="282"/>
      <c r="AH261" s="292"/>
      <c r="AI261" s="292"/>
      <c r="AJ261" s="292"/>
      <c r="AK261" s="282"/>
      <c r="AL261" s="75"/>
      <c r="AM261" s="75"/>
      <c r="AN261" s="75"/>
      <c r="AO261" s="282"/>
      <c r="AP261" s="75"/>
      <c r="AQ261" s="75"/>
      <c r="AR261" s="75"/>
      <c r="AS261" s="75"/>
      <c r="AT261" s="75"/>
    </row>
    <row r="262">
      <c r="A262" s="282"/>
      <c r="B262" s="125"/>
      <c r="C262" s="113"/>
      <c r="D262" s="75"/>
      <c r="E262" s="282"/>
      <c r="F262" s="125"/>
      <c r="G262" s="113"/>
      <c r="H262" s="75"/>
      <c r="I262" s="282"/>
      <c r="J262" s="125"/>
      <c r="K262" s="113"/>
      <c r="L262" s="75"/>
      <c r="M262" s="282"/>
      <c r="N262" s="125"/>
      <c r="O262" s="113"/>
      <c r="P262" s="75"/>
      <c r="Q262" s="282"/>
      <c r="R262" s="125"/>
      <c r="S262" s="113"/>
      <c r="T262" s="75"/>
      <c r="U262" s="282"/>
      <c r="V262" s="125"/>
      <c r="W262" s="113"/>
      <c r="X262" s="75"/>
      <c r="Y262" s="282"/>
      <c r="Z262" s="290"/>
      <c r="AA262" s="291"/>
      <c r="AB262" s="73"/>
      <c r="AC262" s="282"/>
      <c r="AD262" s="125"/>
      <c r="AE262" s="241"/>
      <c r="AF262" s="284"/>
      <c r="AG262" s="282"/>
      <c r="AH262" s="292"/>
      <c r="AI262" s="292"/>
      <c r="AJ262" s="292"/>
      <c r="AK262" s="282"/>
      <c r="AL262" s="75"/>
      <c r="AM262" s="75"/>
      <c r="AN262" s="75"/>
      <c r="AO262" s="282"/>
      <c r="AP262" s="75"/>
      <c r="AQ262" s="75"/>
      <c r="AR262" s="75"/>
      <c r="AS262" s="75"/>
      <c r="AT262" s="75"/>
    </row>
    <row r="263">
      <c r="A263" s="282"/>
      <c r="B263" s="125"/>
      <c r="C263" s="113"/>
      <c r="D263" s="75"/>
      <c r="E263" s="282"/>
      <c r="F263" s="125"/>
      <c r="G263" s="113"/>
      <c r="H263" s="75"/>
      <c r="I263" s="282"/>
      <c r="J263" s="125"/>
      <c r="K263" s="113"/>
      <c r="L263" s="75"/>
      <c r="M263" s="282"/>
      <c r="N263" s="125"/>
      <c r="O263" s="113"/>
      <c r="P263" s="75"/>
      <c r="Q263" s="282"/>
      <c r="R263" s="125"/>
      <c r="S263" s="113"/>
      <c r="T263" s="75"/>
      <c r="U263" s="282"/>
      <c r="V263" s="125"/>
      <c r="W263" s="113"/>
      <c r="X263" s="75"/>
      <c r="Y263" s="282"/>
      <c r="Z263" s="290"/>
      <c r="AA263" s="291"/>
      <c r="AB263" s="73"/>
      <c r="AC263" s="282"/>
      <c r="AD263" s="125"/>
      <c r="AE263" s="241"/>
      <c r="AF263" s="284"/>
      <c r="AG263" s="282"/>
      <c r="AH263" s="292"/>
      <c r="AI263" s="292"/>
      <c r="AJ263" s="292"/>
      <c r="AK263" s="282"/>
      <c r="AL263" s="75"/>
      <c r="AM263" s="75"/>
      <c r="AN263" s="75"/>
      <c r="AO263" s="282"/>
      <c r="AP263" s="75"/>
      <c r="AQ263" s="75"/>
      <c r="AR263" s="75"/>
      <c r="AS263" s="75"/>
      <c r="AT263" s="75"/>
    </row>
    <row r="264">
      <c r="A264" s="282"/>
      <c r="B264" s="125"/>
      <c r="C264" s="113"/>
      <c r="D264" s="75"/>
      <c r="E264" s="282"/>
      <c r="F264" s="125"/>
      <c r="G264" s="113"/>
      <c r="H264" s="75"/>
      <c r="I264" s="282"/>
      <c r="J264" s="125"/>
      <c r="K264" s="113"/>
      <c r="L264" s="75"/>
      <c r="M264" s="282"/>
      <c r="N264" s="125"/>
      <c r="O264" s="113"/>
      <c r="P264" s="75"/>
      <c r="Q264" s="282"/>
      <c r="R264" s="125"/>
      <c r="S264" s="113"/>
      <c r="T264" s="75"/>
      <c r="U264" s="282"/>
      <c r="V264" s="125"/>
      <c r="W264" s="113"/>
      <c r="X264" s="75"/>
      <c r="Y264" s="282"/>
      <c r="Z264" s="290"/>
      <c r="AA264" s="291"/>
      <c r="AB264" s="73"/>
      <c r="AC264" s="282"/>
      <c r="AD264" s="125"/>
      <c r="AE264" s="241"/>
      <c r="AF264" s="284"/>
      <c r="AG264" s="282"/>
      <c r="AH264" s="292"/>
      <c r="AI264" s="292"/>
      <c r="AJ264" s="292"/>
      <c r="AK264" s="282"/>
      <c r="AL264" s="75"/>
      <c r="AM264" s="75"/>
      <c r="AN264" s="75"/>
      <c r="AO264" s="282"/>
      <c r="AP264" s="75"/>
      <c r="AQ264" s="75"/>
      <c r="AR264" s="75"/>
      <c r="AS264" s="75"/>
      <c r="AT264" s="75"/>
    </row>
    <row r="265">
      <c r="A265" s="282"/>
      <c r="B265" s="125"/>
      <c r="C265" s="113"/>
      <c r="D265" s="75"/>
      <c r="E265" s="282"/>
      <c r="F265" s="125"/>
      <c r="G265" s="113"/>
      <c r="H265" s="75"/>
      <c r="I265" s="282"/>
      <c r="J265" s="125"/>
      <c r="K265" s="113"/>
      <c r="L265" s="75"/>
      <c r="M265" s="282"/>
      <c r="N265" s="125"/>
      <c r="O265" s="113"/>
      <c r="P265" s="75"/>
      <c r="Q265" s="282"/>
      <c r="R265" s="125"/>
      <c r="S265" s="113"/>
      <c r="T265" s="75"/>
      <c r="U265" s="282"/>
      <c r="V265" s="125"/>
      <c r="W265" s="113"/>
      <c r="X265" s="75"/>
      <c r="Y265" s="282"/>
      <c r="Z265" s="290"/>
      <c r="AA265" s="291"/>
      <c r="AB265" s="73"/>
      <c r="AC265" s="282"/>
      <c r="AD265" s="125"/>
      <c r="AE265" s="241"/>
      <c r="AF265" s="284"/>
      <c r="AG265" s="282"/>
      <c r="AH265" s="292"/>
      <c r="AI265" s="292"/>
      <c r="AJ265" s="292"/>
      <c r="AK265" s="282"/>
      <c r="AL265" s="75"/>
      <c r="AM265" s="75"/>
      <c r="AN265" s="75"/>
      <c r="AO265" s="282"/>
      <c r="AP265" s="75"/>
      <c r="AQ265" s="75"/>
      <c r="AR265" s="75"/>
      <c r="AS265" s="75"/>
      <c r="AT265" s="75"/>
    </row>
    <row r="266">
      <c r="A266" s="282"/>
      <c r="B266" s="125"/>
      <c r="C266" s="113"/>
      <c r="D266" s="75"/>
      <c r="E266" s="282"/>
      <c r="F266" s="125"/>
      <c r="G266" s="113"/>
      <c r="H266" s="75"/>
      <c r="I266" s="282"/>
      <c r="J266" s="125"/>
      <c r="K266" s="113"/>
      <c r="L266" s="75"/>
      <c r="M266" s="282"/>
      <c r="N266" s="125"/>
      <c r="O266" s="113"/>
      <c r="P266" s="75"/>
      <c r="Q266" s="282"/>
      <c r="R266" s="125"/>
      <c r="S266" s="113"/>
      <c r="T266" s="75"/>
      <c r="U266" s="282"/>
      <c r="V266" s="125"/>
      <c r="W266" s="113"/>
      <c r="X266" s="75"/>
      <c r="Y266" s="282"/>
      <c r="Z266" s="290"/>
      <c r="AA266" s="291"/>
      <c r="AB266" s="73"/>
      <c r="AC266" s="282"/>
      <c r="AD266" s="125"/>
      <c r="AE266" s="241"/>
      <c r="AF266" s="284"/>
      <c r="AG266" s="282"/>
      <c r="AH266" s="292"/>
      <c r="AI266" s="292"/>
      <c r="AJ266" s="292"/>
      <c r="AK266" s="282"/>
      <c r="AL266" s="75"/>
      <c r="AM266" s="75"/>
      <c r="AN266" s="75"/>
      <c r="AO266" s="282"/>
      <c r="AP266" s="75"/>
      <c r="AQ266" s="75"/>
      <c r="AR266" s="75"/>
      <c r="AS266" s="75"/>
      <c r="AT266" s="75"/>
    </row>
    <row r="267">
      <c r="A267" s="282"/>
      <c r="B267" s="125"/>
      <c r="C267" s="113"/>
      <c r="D267" s="75"/>
      <c r="E267" s="282"/>
      <c r="F267" s="125"/>
      <c r="G267" s="113"/>
      <c r="H267" s="75"/>
      <c r="I267" s="282"/>
      <c r="J267" s="125"/>
      <c r="K267" s="113"/>
      <c r="L267" s="75"/>
      <c r="M267" s="282"/>
      <c r="N267" s="125"/>
      <c r="O267" s="113"/>
      <c r="P267" s="75"/>
      <c r="Q267" s="282"/>
      <c r="R267" s="125"/>
      <c r="S267" s="113"/>
      <c r="T267" s="75"/>
      <c r="U267" s="282"/>
      <c r="V267" s="125"/>
      <c r="W267" s="113"/>
      <c r="X267" s="75"/>
      <c r="Y267" s="282"/>
      <c r="Z267" s="290"/>
      <c r="AA267" s="291"/>
      <c r="AB267" s="73"/>
      <c r="AC267" s="282"/>
      <c r="AD267" s="125"/>
      <c r="AE267" s="241"/>
      <c r="AF267" s="284"/>
      <c r="AG267" s="282"/>
      <c r="AH267" s="292"/>
      <c r="AI267" s="292"/>
      <c r="AJ267" s="292"/>
      <c r="AK267" s="282"/>
      <c r="AL267" s="75"/>
      <c r="AM267" s="75"/>
      <c r="AN267" s="75"/>
      <c r="AO267" s="282"/>
      <c r="AP267" s="75"/>
      <c r="AQ267" s="75"/>
      <c r="AR267" s="75"/>
      <c r="AS267" s="75"/>
      <c r="AT267" s="75"/>
    </row>
    <row r="268">
      <c r="A268" s="282"/>
      <c r="B268" s="125"/>
      <c r="C268" s="113"/>
      <c r="D268" s="75"/>
      <c r="E268" s="282"/>
      <c r="F268" s="125"/>
      <c r="G268" s="113"/>
      <c r="H268" s="75"/>
      <c r="I268" s="282"/>
      <c r="J268" s="125"/>
      <c r="K268" s="113"/>
      <c r="L268" s="75"/>
      <c r="M268" s="282"/>
      <c r="N268" s="125"/>
      <c r="O268" s="113"/>
      <c r="P268" s="75"/>
      <c r="Q268" s="282"/>
      <c r="R268" s="125"/>
      <c r="S268" s="113"/>
      <c r="T268" s="75"/>
      <c r="U268" s="282"/>
      <c r="V268" s="125"/>
      <c r="W268" s="113"/>
      <c r="X268" s="75"/>
      <c r="Y268" s="282"/>
      <c r="Z268" s="290"/>
      <c r="AA268" s="291"/>
      <c r="AB268" s="73"/>
      <c r="AC268" s="282"/>
      <c r="AD268" s="125"/>
      <c r="AE268" s="241"/>
      <c r="AF268" s="284"/>
      <c r="AG268" s="282"/>
      <c r="AH268" s="292"/>
      <c r="AI268" s="292"/>
      <c r="AJ268" s="292"/>
      <c r="AK268" s="282"/>
      <c r="AL268" s="75"/>
      <c r="AM268" s="75"/>
      <c r="AN268" s="75"/>
      <c r="AO268" s="282"/>
      <c r="AP268" s="75"/>
      <c r="AQ268" s="75"/>
      <c r="AR268" s="75"/>
      <c r="AS268" s="75"/>
      <c r="AT268" s="75"/>
    </row>
    <row r="269">
      <c r="A269" s="282"/>
      <c r="B269" s="125"/>
      <c r="C269" s="113"/>
      <c r="D269" s="75"/>
      <c r="E269" s="282"/>
      <c r="F269" s="125"/>
      <c r="G269" s="113"/>
      <c r="H269" s="75"/>
      <c r="I269" s="282"/>
      <c r="J269" s="125"/>
      <c r="K269" s="113"/>
      <c r="L269" s="75"/>
      <c r="M269" s="282"/>
      <c r="N269" s="125"/>
      <c r="O269" s="113"/>
      <c r="P269" s="75"/>
      <c r="Q269" s="282"/>
      <c r="R269" s="125"/>
      <c r="S269" s="113"/>
      <c r="T269" s="75"/>
      <c r="U269" s="282"/>
      <c r="V269" s="125"/>
      <c r="W269" s="113"/>
      <c r="X269" s="75"/>
      <c r="Y269" s="282"/>
      <c r="Z269" s="290"/>
      <c r="AA269" s="291"/>
      <c r="AB269" s="73"/>
      <c r="AC269" s="282"/>
      <c r="AD269" s="125"/>
      <c r="AE269" s="241"/>
      <c r="AF269" s="284"/>
      <c r="AG269" s="282"/>
      <c r="AH269" s="292"/>
      <c r="AI269" s="292"/>
      <c r="AJ269" s="292"/>
      <c r="AK269" s="282"/>
      <c r="AL269" s="75"/>
      <c r="AM269" s="75"/>
      <c r="AN269" s="75"/>
      <c r="AO269" s="282"/>
      <c r="AP269" s="75"/>
      <c r="AQ269" s="75"/>
      <c r="AR269" s="75"/>
      <c r="AS269" s="75"/>
      <c r="AT269" s="75"/>
    </row>
    <row r="270">
      <c r="A270" s="282"/>
      <c r="B270" s="125"/>
      <c r="C270" s="113"/>
      <c r="D270" s="75"/>
      <c r="E270" s="282"/>
      <c r="F270" s="125"/>
      <c r="G270" s="113"/>
      <c r="H270" s="75"/>
      <c r="I270" s="282"/>
      <c r="J270" s="125"/>
      <c r="K270" s="113"/>
      <c r="L270" s="75"/>
      <c r="M270" s="282"/>
      <c r="N270" s="125"/>
      <c r="O270" s="113"/>
      <c r="P270" s="75"/>
      <c r="Q270" s="282"/>
      <c r="R270" s="125"/>
      <c r="S270" s="113"/>
      <c r="T270" s="75"/>
      <c r="U270" s="282"/>
      <c r="V270" s="125"/>
      <c r="W270" s="113"/>
      <c r="X270" s="75"/>
      <c r="Y270" s="282"/>
      <c r="Z270" s="290"/>
      <c r="AA270" s="291"/>
      <c r="AB270" s="73"/>
      <c r="AC270" s="282"/>
      <c r="AD270" s="125"/>
      <c r="AE270" s="241"/>
      <c r="AF270" s="284"/>
      <c r="AG270" s="282"/>
      <c r="AH270" s="292"/>
      <c r="AI270" s="292"/>
      <c r="AJ270" s="292"/>
      <c r="AK270" s="282"/>
      <c r="AL270" s="75"/>
      <c r="AM270" s="75"/>
      <c r="AN270" s="75"/>
      <c r="AO270" s="282"/>
      <c r="AP270" s="75"/>
      <c r="AQ270" s="75"/>
      <c r="AR270" s="75"/>
      <c r="AS270" s="75"/>
      <c r="AT270" s="75"/>
    </row>
    <row r="271">
      <c r="A271" s="282"/>
      <c r="B271" s="125"/>
      <c r="C271" s="113"/>
      <c r="D271" s="75"/>
      <c r="E271" s="282"/>
      <c r="F271" s="125"/>
      <c r="G271" s="113"/>
      <c r="H271" s="75"/>
      <c r="I271" s="282"/>
      <c r="J271" s="125"/>
      <c r="K271" s="113"/>
      <c r="L271" s="75"/>
      <c r="M271" s="282"/>
      <c r="N271" s="125"/>
      <c r="O271" s="113"/>
      <c r="P271" s="75"/>
      <c r="Q271" s="282"/>
      <c r="R271" s="125"/>
      <c r="S271" s="113"/>
      <c r="T271" s="75"/>
      <c r="U271" s="282"/>
      <c r="V271" s="125"/>
      <c r="W271" s="113"/>
      <c r="X271" s="75"/>
      <c r="Y271" s="282"/>
      <c r="Z271" s="290"/>
      <c r="AA271" s="291"/>
      <c r="AB271" s="73"/>
      <c r="AC271" s="282"/>
      <c r="AD271" s="125"/>
      <c r="AE271" s="241"/>
      <c r="AF271" s="284"/>
      <c r="AG271" s="282"/>
      <c r="AH271" s="292"/>
      <c r="AI271" s="292"/>
      <c r="AJ271" s="292"/>
      <c r="AK271" s="282"/>
      <c r="AL271" s="75"/>
      <c r="AM271" s="75"/>
      <c r="AN271" s="75"/>
      <c r="AO271" s="282"/>
      <c r="AP271" s="75"/>
      <c r="AQ271" s="75"/>
      <c r="AR271" s="75"/>
      <c r="AS271" s="75"/>
      <c r="AT271" s="75"/>
    </row>
    <row r="272">
      <c r="A272" s="282"/>
      <c r="B272" s="125"/>
      <c r="C272" s="113"/>
      <c r="D272" s="75"/>
      <c r="E272" s="282"/>
      <c r="F272" s="125"/>
      <c r="G272" s="113"/>
      <c r="H272" s="75"/>
      <c r="I272" s="282"/>
      <c r="J272" s="125"/>
      <c r="K272" s="113"/>
      <c r="L272" s="75"/>
      <c r="M272" s="282"/>
      <c r="N272" s="125"/>
      <c r="O272" s="113"/>
      <c r="P272" s="75"/>
      <c r="Q272" s="282"/>
      <c r="R272" s="125"/>
      <c r="S272" s="113"/>
      <c r="T272" s="75"/>
      <c r="U272" s="282"/>
      <c r="V272" s="125"/>
      <c r="W272" s="113"/>
      <c r="X272" s="75"/>
      <c r="Y272" s="282"/>
      <c r="Z272" s="290"/>
      <c r="AA272" s="291"/>
      <c r="AB272" s="73"/>
      <c r="AC272" s="282"/>
      <c r="AD272" s="125"/>
      <c r="AE272" s="241"/>
      <c r="AF272" s="284"/>
      <c r="AG272" s="282"/>
      <c r="AH272" s="292"/>
      <c r="AI272" s="292"/>
      <c r="AJ272" s="292"/>
      <c r="AK272" s="282"/>
      <c r="AL272" s="75"/>
      <c r="AM272" s="75"/>
      <c r="AN272" s="75"/>
      <c r="AO272" s="282"/>
      <c r="AP272" s="75"/>
      <c r="AQ272" s="75"/>
      <c r="AR272" s="75"/>
      <c r="AS272" s="75"/>
      <c r="AT272" s="75"/>
    </row>
    <row r="273">
      <c r="A273" s="282"/>
      <c r="B273" s="125"/>
      <c r="C273" s="113"/>
      <c r="D273" s="75"/>
      <c r="E273" s="282"/>
      <c r="F273" s="125"/>
      <c r="G273" s="113"/>
      <c r="H273" s="75"/>
      <c r="I273" s="282"/>
      <c r="J273" s="125"/>
      <c r="K273" s="113"/>
      <c r="L273" s="75"/>
      <c r="M273" s="282"/>
      <c r="N273" s="125"/>
      <c r="O273" s="113"/>
      <c r="P273" s="75"/>
      <c r="Q273" s="282"/>
      <c r="R273" s="125"/>
      <c r="S273" s="113"/>
      <c r="T273" s="75"/>
      <c r="U273" s="282"/>
      <c r="V273" s="125"/>
      <c r="W273" s="113"/>
      <c r="X273" s="75"/>
      <c r="Y273" s="282"/>
      <c r="Z273" s="290"/>
      <c r="AA273" s="291"/>
      <c r="AB273" s="73"/>
      <c r="AC273" s="282"/>
      <c r="AD273" s="125"/>
      <c r="AE273" s="241"/>
      <c r="AF273" s="284"/>
      <c r="AG273" s="282"/>
      <c r="AH273" s="292"/>
      <c r="AI273" s="292"/>
      <c r="AJ273" s="292"/>
      <c r="AK273" s="282"/>
      <c r="AL273" s="75"/>
      <c r="AM273" s="75"/>
      <c r="AN273" s="75"/>
      <c r="AO273" s="282"/>
      <c r="AP273" s="75"/>
      <c r="AQ273" s="75"/>
      <c r="AR273" s="75"/>
      <c r="AS273" s="75"/>
      <c r="AT273" s="75"/>
    </row>
    <row r="274">
      <c r="A274" s="282"/>
      <c r="B274" s="125"/>
      <c r="C274" s="113"/>
      <c r="D274" s="75"/>
      <c r="E274" s="282"/>
      <c r="F274" s="125"/>
      <c r="G274" s="113"/>
      <c r="H274" s="75"/>
      <c r="I274" s="282"/>
      <c r="J274" s="125"/>
      <c r="K274" s="113"/>
      <c r="L274" s="75"/>
      <c r="M274" s="282"/>
      <c r="N274" s="125"/>
      <c r="O274" s="113"/>
      <c r="P274" s="75"/>
      <c r="Q274" s="282"/>
      <c r="R274" s="125"/>
      <c r="S274" s="113"/>
      <c r="T274" s="75"/>
      <c r="U274" s="282"/>
      <c r="V274" s="125"/>
      <c r="W274" s="113"/>
      <c r="X274" s="75"/>
      <c r="Y274" s="282"/>
      <c r="Z274" s="290"/>
      <c r="AA274" s="291"/>
      <c r="AB274" s="73"/>
      <c r="AC274" s="282"/>
      <c r="AD274" s="125"/>
      <c r="AE274" s="241"/>
      <c r="AF274" s="284"/>
      <c r="AG274" s="282"/>
      <c r="AH274" s="292"/>
      <c r="AI274" s="292"/>
      <c r="AJ274" s="292"/>
      <c r="AK274" s="282"/>
      <c r="AL274" s="75"/>
      <c r="AM274" s="75"/>
      <c r="AN274" s="75"/>
      <c r="AO274" s="282"/>
      <c r="AP274" s="75"/>
      <c r="AQ274" s="75"/>
      <c r="AR274" s="75"/>
      <c r="AS274" s="75"/>
      <c r="AT274" s="75"/>
    </row>
    <row r="275">
      <c r="A275" s="282"/>
      <c r="B275" s="125"/>
      <c r="C275" s="113"/>
      <c r="D275" s="75"/>
      <c r="E275" s="282"/>
      <c r="F275" s="125"/>
      <c r="G275" s="113"/>
      <c r="H275" s="75"/>
      <c r="I275" s="282"/>
      <c r="J275" s="125"/>
      <c r="K275" s="113"/>
      <c r="L275" s="75"/>
      <c r="M275" s="282"/>
      <c r="N275" s="125"/>
      <c r="O275" s="113"/>
      <c r="P275" s="75"/>
      <c r="Q275" s="282"/>
      <c r="R275" s="125"/>
      <c r="S275" s="113"/>
      <c r="T275" s="75"/>
      <c r="U275" s="282"/>
      <c r="V275" s="125"/>
      <c r="W275" s="113"/>
      <c r="X275" s="75"/>
      <c r="Y275" s="282"/>
      <c r="Z275" s="290"/>
      <c r="AA275" s="291"/>
      <c r="AB275" s="73"/>
      <c r="AC275" s="282"/>
      <c r="AD275" s="125"/>
      <c r="AE275" s="241"/>
      <c r="AF275" s="284"/>
      <c r="AG275" s="282"/>
      <c r="AH275" s="292"/>
      <c r="AI275" s="292"/>
      <c r="AJ275" s="292"/>
      <c r="AK275" s="282"/>
      <c r="AL275" s="75"/>
      <c r="AM275" s="75"/>
      <c r="AN275" s="75"/>
      <c r="AO275" s="282"/>
      <c r="AP275" s="75"/>
      <c r="AQ275" s="75"/>
      <c r="AR275" s="75"/>
      <c r="AS275" s="75"/>
      <c r="AT275" s="75"/>
    </row>
    <row r="276">
      <c r="A276" s="282"/>
      <c r="B276" s="125"/>
      <c r="C276" s="113"/>
      <c r="D276" s="75"/>
      <c r="E276" s="282"/>
      <c r="F276" s="125"/>
      <c r="G276" s="113"/>
      <c r="H276" s="75"/>
      <c r="I276" s="282"/>
      <c r="J276" s="125"/>
      <c r="K276" s="113"/>
      <c r="L276" s="75"/>
      <c r="M276" s="282"/>
      <c r="N276" s="125"/>
      <c r="O276" s="113"/>
      <c r="P276" s="75"/>
      <c r="Q276" s="282"/>
      <c r="R276" s="125"/>
      <c r="S276" s="113"/>
      <c r="T276" s="75"/>
      <c r="U276" s="282"/>
      <c r="V276" s="125"/>
      <c r="W276" s="113"/>
      <c r="X276" s="75"/>
      <c r="Y276" s="282"/>
      <c r="Z276" s="290"/>
      <c r="AA276" s="291"/>
      <c r="AB276" s="73"/>
      <c r="AC276" s="282"/>
      <c r="AD276" s="125"/>
      <c r="AE276" s="241"/>
      <c r="AF276" s="284"/>
      <c r="AG276" s="282"/>
      <c r="AH276" s="292"/>
      <c r="AI276" s="292"/>
      <c r="AJ276" s="292"/>
      <c r="AK276" s="282"/>
      <c r="AL276" s="75"/>
      <c r="AM276" s="75"/>
      <c r="AN276" s="75"/>
      <c r="AO276" s="282"/>
      <c r="AP276" s="75"/>
      <c r="AQ276" s="75"/>
      <c r="AR276" s="75"/>
      <c r="AS276" s="75"/>
      <c r="AT276" s="75"/>
    </row>
    <row r="277">
      <c r="A277" s="282"/>
      <c r="B277" s="125"/>
      <c r="C277" s="113"/>
      <c r="D277" s="75"/>
      <c r="E277" s="282"/>
      <c r="F277" s="125"/>
      <c r="G277" s="113"/>
      <c r="H277" s="75"/>
      <c r="I277" s="282"/>
      <c r="J277" s="125"/>
      <c r="K277" s="113"/>
      <c r="L277" s="75"/>
      <c r="M277" s="282"/>
      <c r="N277" s="125"/>
      <c r="O277" s="113"/>
      <c r="P277" s="75"/>
      <c r="Q277" s="282"/>
      <c r="R277" s="125"/>
      <c r="S277" s="113"/>
      <c r="T277" s="75"/>
      <c r="U277" s="282"/>
      <c r="V277" s="125"/>
      <c r="W277" s="113"/>
      <c r="X277" s="75"/>
      <c r="Y277" s="282"/>
      <c r="Z277" s="290"/>
      <c r="AA277" s="291"/>
      <c r="AB277" s="73"/>
      <c r="AC277" s="282"/>
      <c r="AD277" s="125"/>
      <c r="AE277" s="241"/>
      <c r="AF277" s="284"/>
      <c r="AG277" s="282"/>
      <c r="AH277" s="292"/>
      <c r="AI277" s="292"/>
      <c r="AJ277" s="292"/>
      <c r="AK277" s="282"/>
      <c r="AL277" s="75"/>
      <c r="AM277" s="75"/>
      <c r="AN277" s="75"/>
      <c r="AO277" s="282"/>
      <c r="AP277" s="75"/>
      <c r="AQ277" s="75"/>
      <c r="AR277" s="75"/>
      <c r="AS277" s="75"/>
      <c r="AT277" s="75"/>
    </row>
    <row r="278">
      <c r="A278" s="282"/>
      <c r="B278" s="125"/>
      <c r="C278" s="113"/>
      <c r="D278" s="75"/>
      <c r="E278" s="282"/>
      <c r="F278" s="125"/>
      <c r="G278" s="113"/>
      <c r="H278" s="75"/>
      <c r="I278" s="282"/>
      <c r="J278" s="125"/>
      <c r="K278" s="113"/>
      <c r="L278" s="75"/>
      <c r="M278" s="282"/>
      <c r="N278" s="125"/>
      <c r="O278" s="113"/>
      <c r="P278" s="75"/>
      <c r="Q278" s="282"/>
      <c r="R278" s="125"/>
      <c r="S278" s="113"/>
      <c r="T278" s="75"/>
      <c r="U278" s="282"/>
      <c r="V278" s="125"/>
      <c r="W278" s="113"/>
      <c r="X278" s="75"/>
      <c r="Y278" s="282"/>
      <c r="Z278" s="290"/>
      <c r="AA278" s="291"/>
      <c r="AB278" s="73"/>
      <c r="AC278" s="282"/>
      <c r="AD278" s="125"/>
      <c r="AE278" s="241"/>
      <c r="AF278" s="284"/>
      <c r="AG278" s="282"/>
      <c r="AH278" s="292"/>
      <c r="AI278" s="292"/>
      <c r="AJ278" s="292"/>
      <c r="AK278" s="282"/>
      <c r="AL278" s="75"/>
      <c r="AM278" s="75"/>
      <c r="AN278" s="75"/>
      <c r="AO278" s="282"/>
      <c r="AP278" s="75"/>
      <c r="AQ278" s="75"/>
      <c r="AR278" s="75"/>
      <c r="AS278" s="75"/>
      <c r="AT278" s="75"/>
    </row>
    <row r="279">
      <c r="A279" s="282"/>
      <c r="B279" s="125"/>
      <c r="C279" s="113"/>
      <c r="D279" s="75"/>
      <c r="E279" s="282"/>
      <c r="F279" s="125"/>
      <c r="G279" s="113"/>
      <c r="H279" s="75"/>
      <c r="I279" s="282"/>
      <c r="J279" s="125"/>
      <c r="K279" s="113"/>
      <c r="L279" s="75"/>
      <c r="M279" s="282"/>
      <c r="N279" s="125"/>
      <c r="O279" s="113"/>
      <c r="P279" s="75"/>
      <c r="Q279" s="282"/>
      <c r="R279" s="125"/>
      <c r="S279" s="113"/>
      <c r="T279" s="75"/>
      <c r="U279" s="282"/>
      <c r="V279" s="125"/>
      <c r="W279" s="113"/>
      <c r="X279" s="75"/>
      <c r="Y279" s="282"/>
      <c r="Z279" s="290"/>
      <c r="AA279" s="291"/>
      <c r="AB279" s="73"/>
      <c r="AC279" s="282"/>
      <c r="AD279" s="125"/>
      <c r="AE279" s="241"/>
      <c r="AF279" s="284"/>
      <c r="AG279" s="282"/>
      <c r="AH279" s="292"/>
      <c r="AI279" s="292"/>
      <c r="AJ279" s="292"/>
      <c r="AK279" s="282"/>
      <c r="AL279" s="75"/>
      <c r="AM279" s="75"/>
      <c r="AN279" s="75"/>
      <c r="AO279" s="282"/>
      <c r="AP279" s="75"/>
      <c r="AQ279" s="75"/>
      <c r="AR279" s="75"/>
      <c r="AS279" s="75"/>
      <c r="AT279" s="75"/>
    </row>
    <row r="280">
      <c r="A280" s="282"/>
      <c r="B280" s="125"/>
      <c r="C280" s="113"/>
      <c r="D280" s="75"/>
      <c r="E280" s="282"/>
      <c r="F280" s="125"/>
      <c r="G280" s="113"/>
      <c r="H280" s="75"/>
      <c r="I280" s="282"/>
      <c r="J280" s="125"/>
      <c r="K280" s="113"/>
      <c r="L280" s="75"/>
      <c r="M280" s="282"/>
      <c r="N280" s="125"/>
      <c r="O280" s="113"/>
      <c r="P280" s="75"/>
      <c r="Q280" s="282"/>
      <c r="R280" s="125"/>
      <c r="S280" s="113"/>
      <c r="T280" s="75"/>
      <c r="U280" s="282"/>
      <c r="V280" s="125"/>
      <c r="W280" s="113"/>
      <c r="X280" s="75"/>
      <c r="Y280" s="282"/>
      <c r="Z280" s="290"/>
      <c r="AA280" s="291"/>
      <c r="AB280" s="73"/>
      <c r="AC280" s="282"/>
      <c r="AD280" s="125"/>
      <c r="AE280" s="241"/>
      <c r="AF280" s="284"/>
      <c r="AG280" s="282"/>
      <c r="AH280" s="292"/>
      <c r="AI280" s="292"/>
      <c r="AJ280" s="292"/>
      <c r="AK280" s="282"/>
      <c r="AL280" s="75"/>
      <c r="AM280" s="75"/>
      <c r="AN280" s="75"/>
      <c r="AO280" s="282"/>
      <c r="AP280" s="75"/>
      <c r="AQ280" s="75"/>
      <c r="AR280" s="75"/>
      <c r="AS280" s="75"/>
      <c r="AT280" s="75"/>
    </row>
    <row r="281">
      <c r="A281" s="282"/>
      <c r="B281" s="125"/>
      <c r="C281" s="113"/>
      <c r="D281" s="75"/>
      <c r="E281" s="282"/>
      <c r="F281" s="125"/>
      <c r="G281" s="113"/>
      <c r="H281" s="75"/>
      <c r="I281" s="282"/>
      <c r="J281" s="125"/>
      <c r="K281" s="113"/>
      <c r="L281" s="75"/>
      <c r="M281" s="282"/>
      <c r="N281" s="125"/>
      <c r="O281" s="113"/>
      <c r="P281" s="75"/>
      <c r="Q281" s="282"/>
      <c r="R281" s="125"/>
      <c r="S281" s="113"/>
      <c r="T281" s="75"/>
      <c r="U281" s="282"/>
      <c r="V281" s="125"/>
      <c r="W281" s="113"/>
      <c r="X281" s="75"/>
      <c r="Y281" s="282"/>
      <c r="Z281" s="290"/>
      <c r="AA281" s="291"/>
      <c r="AB281" s="73"/>
      <c r="AC281" s="282"/>
      <c r="AD281" s="125"/>
      <c r="AE281" s="241"/>
      <c r="AF281" s="284"/>
      <c r="AG281" s="282"/>
      <c r="AH281" s="292"/>
      <c r="AI281" s="292"/>
      <c r="AJ281" s="292"/>
      <c r="AK281" s="282"/>
      <c r="AL281" s="75"/>
      <c r="AM281" s="75"/>
      <c r="AN281" s="75"/>
      <c r="AO281" s="282"/>
      <c r="AP281" s="75"/>
      <c r="AQ281" s="75"/>
      <c r="AR281" s="75"/>
      <c r="AS281" s="75"/>
      <c r="AT281" s="75"/>
    </row>
    <row r="282">
      <c r="A282" s="282"/>
      <c r="B282" s="125"/>
      <c r="C282" s="113"/>
      <c r="D282" s="75"/>
      <c r="E282" s="282"/>
      <c r="F282" s="125"/>
      <c r="G282" s="113"/>
      <c r="H282" s="75"/>
      <c r="I282" s="282"/>
      <c r="J282" s="125"/>
      <c r="K282" s="113"/>
      <c r="L282" s="75"/>
      <c r="M282" s="282"/>
      <c r="N282" s="125"/>
      <c r="O282" s="113"/>
      <c r="P282" s="75"/>
      <c r="Q282" s="282"/>
      <c r="R282" s="125"/>
      <c r="S282" s="113"/>
      <c r="T282" s="75"/>
      <c r="U282" s="282"/>
      <c r="V282" s="125"/>
      <c r="W282" s="113"/>
      <c r="X282" s="75"/>
      <c r="Y282" s="282"/>
      <c r="Z282" s="290"/>
      <c r="AA282" s="291"/>
      <c r="AB282" s="73"/>
      <c r="AC282" s="282"/>
      <c r="AD282" s="125"/>
      <c r="AE282" s="241"/>
      <c r="AF282" s="284"/>
      <c r="AG282" s="282"/>
      <c r="AH282" s="292"/>
      <c r="AI282" s="292"/>
      <c r="AJ282" s="292"/>
      <c r="AK282" s="282"/>
      <c r="AL282" s="75"/>
      <c r="AM282" s="75"/>
      <c r="AN282" s="75"/>
      <c r="AO282" s="282"/>
      <c r="AP282" s="75"/>
      <c r="AQ282" s="75"/>
      <c r="AR282" s="75"/>
      <c r="AS282" s="75"/>
      <c r="AT282" s="75"/>
    </row>
    <row r="283">
      <c r="A283" s="282"/>
      <c r="B283" s="125"/>
      <c r="C283" s="113"/>
      <c r="D283" s="75"/>
      <c r="E283" s="282"/>
      <c r="F283" s="125"/>
      <c r="G283" s="113"/>
      <c r="H283" s="75"/>
      <c r="I283" s="282"/>
      <c r="J283" s="125"/>
      <c r="K283" s="113"/>
      <c r="L283" s="75"/>
      <c r="M283" s="282"/>
      <c r="N283" s="125"/>
      <c r="O283" s="113"/>
      <c r="P283" s="75"/>
      <c r="Q283" s="282"/>
      <c r="R283" s="125"/>
      <c r="S283" s="113"/>
      <c r="T283" s="75"/>
      <c r="U283" s="282"/>
      <c r="V283" s="125"/>
      <c r="W283" s="113"/>
      <c r="X283" s="75"/>
      <c r="Y283" s="282"/>
      <c r="Z283" s="290"/>
      <c r="AA283" s="291"/>
      <c r="AB283" s="73"/>
      <c r="AC283" s="282"/>
      <c r="AD283" s="125"/>
      <c r="AE283" s="241"/>
      <c r="AF283" s="284"/>
      <c r="AG283" s="282"/>
      <c r="AH283" s="292"/>
      <c r="AI283" s="292"/>
      <c r="AJ283" s="292"/>
      <c r="AK283" s="282"/>
      <c r="AL283" s="75"/>
      <c r="AM283" s="75"/>
      <c r="AN283" s="75"/>
      <c r="AO283" s="282"/>
      <c r="AP283" s="75"/>
      <c r="AQ283" s="75"/>
      <c r="AR283" s="75"/>
      <c r="AS283" s="75"/>
      <c r="AT283" s="75"/>
    </row>
    <row r="284">
      <c r="A284" s="282"/>
      <c r="B284" s="125"/>
      <c r="C284" s="113"/>
      <c r="D284" s="75"/>
      <c r="E284" s="282"/>
      <c r="F284" s="125"/>
      <c r="G284" s="113"/>
      <c r="H284" s="75"/>
      <c r="I284" s="282"/>
      <c r="J284" s="125"/>
      <c r="K284" s="113"/>
      <c r="L284" s="75"/>
      <c r="M284" s="282"/>
      <c r="N284" s="125"/>
      <c r="O284" s="113"/>
      <c r="P284" s="75"/>
      <c r="Q284" s="282"/>
      <c r="R284" s="125"/>
      <c r="S284" s="113"/>
      <c r="T284" s="75"/>
      <c r="U284" s="282"/>
      <c r="V284" s="125"/>
      <c r="W284" s="113"/>
      <c r="X284" s="75"/>
      <c r="Y284" s="282"/>
      <c r="Z284" s="290"/>
      <c r="AA284" s="291"/>
      <c r="AB284" s="73"/>
      <c r="AC284" s="282"/>
      <c r="AD284" s="125"/>
      <c r="AE284" s="241"/>
      <c r="AF284" s="284"/>
      <c r="AG284" s="282"/>
      <c r="AH284" s="292"/>
      <c r="AI284" s="292"/>
      <c r="AJ284" s="292"/>
      <c r="AK284" s="282"/>
      <c r="AL284" s="75"/>
      <c r="AM284" s="75"/>
      <c r="AN284" s="75"/>
      <c r="AO284" s="282"/>
      <c r="AP284" s="75"/>
      <c r="AQ284" s="75"/>
      <c r="AR284" s="75"/>
      <c r="AS284" s="75"/>
      <c r="AT284" s="75"/>
    </row>
    <row r="285">
      <c r="A285" s="282"/>
      <c r="B285" s="125"/>
      <c r="C285" s="113"/>
      <c r="D285" s="75"/>
      <c r="E285" s="282"/>
      <c r="F285" s="125"/>
      <c r="G285" s="113"/>
      <c r="H285" s="75"/>
      <c r="I285" s="282"/>
      <c r="J285" s="125"/>
      <c r="K285" s="113"/>
      <c r="L285" s="75"/>
      <c r="M285" s="282"/>
      <c r="N285" s="125"/>
      <c r="O285" s="113"/>
      <c r="P285" s="75"/>
      <c r="Q285" s="282"/>
      <c r="R285" s="125"/>
      <c r="S285" s="113"/>
      <c r="T285" s="75"/>
      <c r="U285" s="282"/>
      <c r="V285" s="125"/>
      <c r="W285" s="113"/>
      <c r="X285" s="75"/>
      <c r="Y285" s="282"/>
      <c r="Z285" s="290"/>
      <c r="AA285" s="291"/>
      <c r="AB285" s="73"/>
      <c r="AC285" s="282"/>
      <c r="AD285" s="125"/>
      <c r="AE285" s="241"/>
      <c r="AF285" s="284"/>
      <c r="AG285" s="282"/>
      <c r="AH285" s="292"/>
      <c r="AI285" s="292"/>
      <c r="AJ285" s="292"/>
      <c r="AK285" s="282"/>
      <c r="AL285" s="75"/>
      <c r="AM285" s="75"/>
      <c r="AN285" s="75"/>
      <c r="AO285" s="282"/>
      <c r="AP285" s="75"/>
      <c r="AQ285" s="75"/>
      <c r="AR285" s="75"/>
      <c r="AS285" s="75"/>
      <c r="AT285" s="75"/>
    </row>
    <row r="286">
      <c r="A286" s="282"/>
      <c r="B286" s="125"/>
      <c r="C286" s="113"/>
      <c r="D286" s="75"/>
      <c r="E286" s="282"/>
      <c r="F286" s="125"/>
      <c r="G286" s="113"/>
      <c r="H286" s="75"/>
      <c r="I286" s="282"/>
      <c r="J286" s="125"/>
      <c r="K286" s="113"/>
      <c r="L286" s="75"/>
      <c r="M286" s="282"/>
      <c r="N286" s="125"/>
      <c r="O286" s="113"/>
      <c r="P286" s="75"/>
      <c r="Q286" s="282"/>
      <c r="R286" s="125"/>
      <c r="S286" s="113"/>
      <c r="T286" s="75"/>
      <c r="U286" s="282"/>
      <c r="V286" s="125"/>
      <c r="W286" s="113"/>
      <c r="X286" s="75"/>
      <c r="Y286" s="282"/>
      <c r="Z286" s="290"/>
      <c r="AA286" s="291"/>
      <c r="AB286" s="73"/>
      <c r="AC286" s="282"/>
      <c r="AD286" s="125"/>
      <c r="AE286" s="241"/>
      <c r="AF286" s="284"/>
      <c r="AG286" s="282"/>
      <c r="AH286" s="292"/>
      <c r="AI286" s="292"/>
      <c r="AJ286" s="292"/>
      <c r="AK286" s="282"/>
      <c r="AL286" s="75"/>
      <c r="AM286" s="75"/>
      <c r="AN286" s="75"/>
      <c r="AO286" s="282"/>
      <c r="AP286" s="75"/>
      <c r="AQ286" s="75"/>
      <c r="AR286" s="75"/>
      <c r="AS286" s="75"/>
      <c r="AT286" s="75"/>
    </row>
    <row r="287">
      <c r="A287" s="282"/>
      <c r="B287" s="125"/>
      <c r="C287" s="113"/>
      <c r="D287" s="75"/>
      <c r="E287" s="282"/>
      <c r="F287" s="125"/>
      <c r="G287" s="113"/>
      <c r="H287" s="75"/>
      <c r="I287" s="282"/>
      <c r="J287" s="125"/>
      <c r="K287" s="113"/>
      <c r="L287" s="75"/>
      <c r="M287" s="282"/>
      <c r="N287" s="125"/>
      <c r="O287" s="113"/>
      <c r="P287" s="75"/>
      <c r="Q287" s="282"/>
      <c r="R287" s="125"/>
      <c r="S287" s="113"/>
      <c r="T287" s="75"/>
      <c r="U287" s="282"/>
      <c r="V287" s="125"/>
      <c r="W287" s="113"/>
      <c r="X287" s="75"/>
      <c r="Y287" s="282"/>
      <c r="Z287" s="290"/>
      <c r="AA287" s="291"/>
      <c r="AB287" s="73"/>
      <c r="AC287" s="282"/>
      <c r="AD287" s="125"/>
      <c r="AE287" s="241"/>
      <c r="AF287" s="284"/>
      <c r="AG287" s="282"/>
      <c r="AH287" s="292"/>
      <c r="AI287" s="292"/>
      <c r="AJ287" s="292"/>
      <c r="AK287" s="282"/>
      <c r="AL287" s="75"/>
      <c r="AM287" s="75"/>
      <c r="AN287" s="75"/>
      <c r="AO287" s="282"/>
      <c r="AP287" s="75"/>
      <c r="AQ287" s="75"/>
      <c r="AR287" s="75"/>
      <c r="AS287" s="75"/>
      <c r="AT287" s="75"/>
    </row>
    <row r="288">
      <c r="A288" s="282"/>
      <c r="B288" s="125"/>
      <c r="C288" s="113"/>
      <c r="D288" s="75"/>
      <c r="E288" s="282"/>
      <c r="F288" s="125"/>
      <c r="G288" s="113"/>
      <c r="H288" s="75"/>
      <c r="I288" s="282"/>
      <c r="J288" s="125"/>
      <c r="K288" s="113"/>
      <c r="L288" s="75"/>
      <c r="M288" s="282"/>
      <c r="N288" s="125"/>
      <c r="O288" s="113"/>
      <c r="P288" s="75"/>
      <c r="Q288" s="282"/>
      <c r="R288" s="125"/>
      <c r="S288" s="113"/>
      <c r="T288" s="75"/>
      <c r="U288" s="282"/>
      <c r="V288" s="125"/>
      <c r="W288" s="113"/>
      <c r="X288" s="75"/>
      <c r="Y288" s="282"/>
      <c r="Z288" s="290"/>
      <c r="AA288" s="291"/>
      <c r="AB288" s="73"/>
      <c r="AC288" s="282"/>
      <c r="AD288" s="125"/>
      <c r="AE288" s="241"/>
      <c r="AF288" s="284"/>
      <c r="AG288" s="282"/>
      <c r="AH288" s="292"/>
      <c r="AI288" s="292"/>
      <c r="AJ288" s="292"/>
      <c r="AK288" s="282"/>
      <c r="AL288" s="75"/>
      <c r="AM288" s="75"/>
      <c r="AN288" s="75"/>
      <c r="AO288" s="282"/>
      <c r="AP288" s="75"/>
      <c r="AQ288" s="75"/>
      <c r="AR288" s="75"/>
      <c r="AS288" s="75"/>
      <c r="AT288" s="75"/>
    </row>
    <row r="289">
      <c r="A289" s="282"/>
      <c r="B289" s="125"/>
      <c r="C289" s="113"/>
      <c r="D289" s="75"/>
      <c r="E289" s="282"/>
      <c r="F289" s="125"/>
      <c r="G289" s="113"/>
      <c r="H289" s="75"/>
      <c r="I289" s="282"/>
      <c r="J289" s="125"/>
      <c r="K289" s="113"/>
      <c r="L289" s="75"/>
      <c r="M289" s="282"/>
      <c r="N289" s="125"/>
      <c r="O289" s="113"/>
      <c r="P289" s="75"/>
      <c r="Q289" s="282"/>
      <c r="R289" s="125"/>
      <c r="S289" s="113"/>
      <c r="T289" s="75"/>
      <c r="U289" s="282"/>
      <c r="V289" s="125"/>
      <c r="W289" s="113"/>
      <c r="X289" s="75"/>
      <c r="Y289" s="282"/>
      <c r="Z289" s="290"/>
      <c r="AA289" s="291"/>
      <c r="AB289" s="73"/>
      <c r="AC289" s="282"/>
      <c r="AD289" s="125"/>
      <c r="AE289" s="241"/>
      <c r="AF289" s="284"/>
      <c r="AG289" s="282"/>
      <c r="AH289" s="292"/>
      <c r="AI289" s="292"/>
      <c r="AJ289" s="292"/>
      <c r="AK289" s="282"/>
      <c r="AL289" s="75"/>
      <c r="AM289" s="75"/>
      <c r="AN289" s="75"/>
      <c r="AO289" s="282"/>
      <c r="AP289" s="75"/>
      <c r="AQ289" s="75"/>
      <c r="AR289" s="75"/>
      <c r="AS289" s="75"/>
      <c r="AT289" s="75"/>
    </row>
    <row r="290">
      <c r="A290" s="282"/>
      <c r="B290" s="125"/>
      <c r="C290" s="113"/>
      <c r="D290" s="75"/>
      <c r="E290" s="282"/>
      <c r="F290" s="125"/>
      <c r="G290" s="113"/>
      <c r="H290" s="75"/>
      <c r="I290" s="282"/>
      <c r="J290" s="125"/>
      <c r="K290" s="113"/>
      <c r="L290" s="75"/>
      <c r="M290" s="282"/>
      <c r="N290" s="125"/>
      <c r="O290" s="113"/>
      <c r="P290" s="75"/>
      <c r="Q290" s="282"/>
      <c r="R290" s="125"/>
      <c r="S290" s="113"/>
      <c r="T290" s="75"/>
      <c r="U290" s="282"/>
      <c r="V290" s="125"/>
      <c r="W290" s="113"/>
      <c r="X290" s="75"/>
      <c r="Y290" s="282"/>
      <c r="Z290" s="290"/>
      <c r="AA290" s="291"/>
      <c r="AB290" s="73"/>
      <c r="AC290" s="282"/>
      <c r="AD290" s="125"/>
      <c r="AE290" s="241"/>
      <c r="AF290" s="284"/>
      <c r="AG290" s="282"/>
      <c r="AH290" s="292"/>
      <c r="AI290" s="292"/>
      <c r="AJ290" s="292"/>
      <c r="AK290" s="282"/>
      <c r="AL290" s="75"/>
      <c r="AM290" s="75"/>
      <c r="AN290" s="75"/>
      <c r="AO290" s="282"/>
      <c r="AP290" s="75"/>
      <c r="AQ290" s="75"/>
      <c r="AR290" s="75"/>
      <c r="AS290" s="75"/>
      <c r="AT290" s="75"/>
    </row>
    <row r="291">
      <c r="A291" s="282"/>
      <c r="B291" s="125"/>
      <c r="C291" s="113"/>
      <c r="D291" s="75"/>
      <c r="E291" s="282"/>
      <c r="F291" s="125"/>
      <c r="G291" s="113"/>
      <c r="H291" s="75"/>
      <c r="I291" s="282"/>
      <c r="J291" s="125"/>
      <c r="K291" s="113"/>
      <c r="L291" s="75"/>
      <c r="M291" s="282"/>
      <c r="N291" s="125"/>
      <c r="O291" s="113"/>
      <c r="P291" s="75"/>
      <c r="Q291" s="282"/>
      <c r="R291" s="125"/>
      <c r="S291" s="113"/>
      <c r="T291" s="75"/>
      <c r="U291" s="282"/>
      <c r="V291" s="125"/>
      <c r="W291" s="113"/>
      <c r="X291" s="75"/>
      <c r="Y291" s="282"/>
      <c r="Z291" s="290"/>
      <c r="AA291" s="291"/>
      <c r="AB291" s="73"/>
      <c r="AC291" s="282"/>
      <c r="AD291" s="125"/>
      <c r="AE291" s="241"/>
      <c r="AF291" s="284"/>
      <c r="AG291" s="282"/>
      <c r="AH291" s="292"/>
      <c r="AI291" s="292"/>
      <c r="AJ291" s="292"/>
      <c r="AK291" s="282"/>
      <c r="AL291" s="75"/>
      <c r="AM291" s="75"/>
      <c r="AN291" s="75"/>
      <c r="AO291" s="282"/>
      <c r="AP291" s="75"/>
      <c r="AQ291" s="75"/>
      <c r="AR291" s="75"/>
      <c r="AS291" s="75"/>
      <c r="AT291" s="75"/>
    </row>
    <row r="292">
      <c r="A292" s="282"/>
      <c r="B292" s="125"/>
      <c r="C292" s="113"/>
      <c r="D292" s="75"/>
      <c r="E292" s="282"/>
      <c r="F292" s="125"/>
      <c r="G292" s="113"/>
      <c r="H292" s="75"/>
      <c r="I292" s="282"/>
      <c r="J292" s="125"/>
      <c r="K292" s="113"/>
      <c r="L292" s="75"/>
      <c r="M292" s="282"/>
      <c r="N292" s="125"/>
      <c r="O292" s="113"/>
      <c r="P292" s="75"/>
      <c r="Q292" s="282"/>
      <c r="R292" s="125"/>
      <c r="S292" s="113"/>
      <c r="T292" s="75"/>
      <c r="U292" s="282"/>
      <c r="V292" s="125"/>
      <c r="W292" s="113"/>
      <c r="X292" s="75"/>
      <c r="Y292" s="282"/>
      <c r="Z292" s="290"/>
      <c r="AA292" s="291"/>
      <c r="AB292" s="73"/>
      <c r="AC292" s="282"/>
      <c r="AD292" s="125"/>
      <c r="AE292" s="241"/>
      <c r="AF292" s="284"/>
      <c r="AG292" s="282"/>
      <c r="AH292" s="292"/>
      <c r="AI292" s="292"/>
      <c r="AJ292" s="292"/>
      <c r="AK292" s="282"/>
      <c r="AL292" s="75"/>
      <c r="AM292" s="75"/>
      <c r="AN292" s="75"/>
      <c r="AO292" s="282"/>
      <c r="AP292" s="75"/>
      <c r="AQ292" s="75"/>
      <c r="AR292" s="75"/>
      <c r="AS292" s="75"/>
      <c r="AT292" s="75"/>
    </row>
    <row r="293">
      <c r="A293" s="282"/>
      <c r="B293" s="125"/>
      <c r="C293" s="113"/>
      <c r="D293" s="75"/>
      <c r="E293" s="282"/>
      <c r="F293" s="125"/>
      <c r="G293" s="113"/>
      <c r="H293" s="75"/>
      <c r="I293" s="282"/>
      <c r="J293" s="125"/>
      <c r="K293" s="113"/>
      <c r="L293" s="75"/>
      <c r="M293" s="282"/>
      <c r="N293" s="125"/>
      <c r="O293" s="113"/>
      <c r="P293" s="75"/>
      <c r="Q293" s="282"/>
      <c r="R293" s="125"/>
      <c r="S293" s="113"/>
      <c r="T293" s="75"/>
      <c r="U293" s="282"/>
      <c r="V293" s="125"/>
      <c r="W293" s="113"/>
      <c r="X293" s="75"/>
      <c r="Y293" s="282"/>
      <c r="Z293" s="290"/>
      <c r="AA293" s="291"/>
      <c r="AB293" s="73"/>
      <c r="AC293" s="282"/>
      <c r="AD293" s="125"/>
      <c r="AE293" s="241"/>
      <c r="AF293" s="284"/>
      <c r="AG293" s="282"/>
      <c r="AH293" s="292"/>
      <c r="AI293" s="292"/>
      <c r="AJ293" s="292"/>
      <c r="AK293" s="282"/>
      <c r="AL293" s="75"/>
      <c r="AM293" s="75"/>
      <c r="AN293" s="75"/>
      <c r="AO293" s="282"/>
      <c r="AP293" s="75"/>
      <c r="AQ293" s="75"/>
      <c r="AR293" s="75"/>
      <c r="AS293" s="75"/>
      <c r="AT293" s="75"/>
    </row>
    <row r="294">
      <c r="A294" s="282"/>
      <c r="B294" s="125"/>
      <c r="C294" s="113"/>
      <c r="D294" s="75"/>
      <c r="E294" s="282"/>
      <c r="F294" s="125"/>
      <c r="G294" s="113"/>
      <c r="H294" s="75"/>
      <c r="I294" s="282"/>
      <c r="J294" s="125"/>
      <c r="K294" s="113"/>
      <c r="L294" s="75"/>
      <c r="M294" s="282"/>
      <c r="N294" s="125"/>
      <c r="O294" s="113"/>
      <c r="P294" s="75"/>
      <c r="Q294" s="282"/>
      <c r="R294" s="125"/>
      <c r="S294" s="113"/>
      <c r="T294" s="75"/>
      <c r="U294" s="282"/>
      <c r="V294" s="125"/>
      <c r="W294" s="113"/>
      <c r="X294" s="75"/>
      <c r="Y294" s="282"/>
      <c r="Z294" s="290"/>
      <c r="AA294" s="291"/>
      <c r="AB294" s="73"/>
      <c r="AC294" s="282"/>
      <c r="AD294" s="125"/>
      <c r="AE294" s="241"/>
      <c r="AF294" s="284"/>
      <c r="AG294" s="282"/>
      <c r="AH294" s="292"/>
      <c r="AI294" s="292"/>
      <c r="AJ294" s="292"/>
      <c r="AK294" s="282"/>
      <c r="AL294" s="75"/>
      <c r="AM294" s="75"/>
      <c r="AN294" s="75"/>
      <c r="AO294" s="282"/>
      <c r="AP294" s="75"/>
      <c r="AQ294" s="75"/>
      <c r="AR294" s="75"/>
      <c r="AS294" s="75"/>
      <c r="AT294" s="75"/>
    </row>
    <row r="295">
      <c r="A295" s="282"/>
      <c r="B295" s="125"/>
      <c r="C295" s="113"/>
      <c r="D295" s="75"/>
      <c r="E295" s="282"/>
      <c r="F295" s="125"/>
      <c r="G295" s="113"/>
      <c r="H295" s="75"/>
      <c r="I295" s="282"/>
      <c r="J295" s="125"/>
      <c r="K295" s="113"/>
      <c r="L295" s="75"/>
      <c r="M295" s="282"/>
      <c r="N295" s="125"/>
      <c r="O295" s="113"/>
      <c r="P295" s="75"/>
      <c r="Q295" s="282"/>
      <c r="R295" s="125"/>
      <c r="S295" s="113"/>
      <c r="T295" s="75"/>
      <c r="U295" s="282"/>
      <c r="V295" s="125"/>
      <c r="W295" s="113"/>
      <c r="X295" s="75"/>
      <c r="Y295" s="282"/>
      <c r="Z295" s="290"/>
      <c r="AA295" s="291"/>
      <c r="AB295" s="73"/>
      <c r="AC295" s="282"/>
      <c r="AD295" s="125"/>
      <c r="AE295" s="241"/>
      <c r="AF295" s="284"/>
      <c r="AG295" s="282"/>
      <c r="AH295" s="292"/>
      <c r="AI295" s="292"/>
      <c r="AJ295" s="292"/>
      <c r="AK295" s="282"/>
      <c r="AL295" s="75"/>
      <c r="AM295" s="75"/>
      <c r="AN295" s="75"/>
      <c r="AO295" s="282"/>
      <c r="AP295" s="75"/>
      <c r="AQ295" s="75"/>
      <c r="AR295" s="75"/>
      <c r="AS295" s="75"/>
      <c r="AT295" s="75"/>
    </row>
    <row r="296">
      <c r="A296" s="282"/>
      <c r="B296" s="125"/>
      <c r="C296" s="113"/>
      <c r="D296" s="75"/>
      <c r="E296" s="282"/>
      <c r="F296" s="125"/>
      <c r="G296" s="113"/>
      <c r="H296" s="75"/>
      <c r="I296" s="282"/>
      <c r="J296" s="125"/>
      <c r="K296" s="113"/>
      <c r="L296" s="75"/>
      <c r="M296" s="282"/>
      <c r="N296" s="125"/>
      <c r="O296" s="113"/>
      <c r="P296" s="75"/>
      <c r="Q296" s="282"/>
      <c r="R296" s="125"/>
      <c r="S296" s="113"/>
      <c r="T296" s="75"/>
      <c r="U296" s="282"/>
      <c r="V296" s="125"/>
      <c r="W296" s="113"/>
      <c r="X296" s="75"/>
      <c r="Y296" s="282"/>
      <c r="Z296" s="290"/>
      <c r="AA296" s="291"/>
      <c r="AB296" s="73"/>
      <c r="AC296" s="282"/>
      <c r="AD296" s="125"/>
      <c r="AE296" s="241"/>
      <c r="AF296" s="284"/>
      <c r="AG296" s="282"/>
      <c r="AH296" s="292"/>
      <c r="AI296" s="292"/>
      <c r="AJ296" s="292"/>
      <c r="AK296" s="282"/>
      <c r="AL296" s="75"/>
      <c r="AM296" s="75"/>
      <c r="AN296" s="75"/>
      <c r="AO296" s="282"/>
      <c r="AP296" s="75"/>
      <c r="AQ296" s="75"/>
      <c r="AR296" s="75"/>
      <c r="AS296" s="75"/>
      <c r="AT296" s="75"/>
    </row>
    <row r="297">
      <c r="A297" s="282"/>
      <c r="B297" s="125"/>
      <c r="C297" s="113"/>
      <c r="D297" s="75"/>
      <c r="E297" s="282"/>
      <c r="F297" s="125"/>
      <c r="G297" s="113"/>
      <c r="H297" s="75"/>
      <c r="I297" s="282"/>
      <c r="J297" s="125"/>
      <c r="K297" s="113"/>
      <c r="L297" s="75"/>
      <c r="M297" s="282"/>
      <c r="N297" s="125"/>
      <c r="O297" s="113"/>
      <c r="P297" s="75"/>
      <c r="Q297" s="282"/>
      <c r="R297" s="125"/>
      <c r="S297" s="113"/>
      <c r="T297" s="75"/>
      <c r="U297" s="282"/>
      <c r="V297" s="125"/>
      <c r="W297" s="113"/>
      <c r="X297" s="75"/>
      <c r="Y297" s="282"/>
      <c r="Z297" s="290"/>
      <c r="AA297" s="291"/>
      <c r="AB297" s="73"/>
      <c r="AC297" s="282"/>
      <c r="AD297" s="125"/>
      <c r="AE297" s="241"/>
      <c r="AF297" s="284"/>
      <c r="AG297" s="282"/>
      <c r="AH297" s="292"/>
      <c r="AI297" s="292"/>
      <c r="AJ297" s="292"/>
      <c r="AK297" s="282"/>
      <c r="AL297" s="75"/>
      <c r="AM297" s="75"/>
      <c r="AN297" s="75"/>
      <c r="AO297" s="282"/>
      <c r="AP297" s="75"/>
      <c r="AQ297" s="75"/>
      <c r="AR297" s="75"/>
      <c r="AS297" s="75"/>
      <c r="AT297" s="75"/>
    </row>
    <row r="298">
      <c r="A298" s="282"/>
      <c r="B298" s="125"/>
      <c r="C298" s="113"/>
      <c r="D298" s="75"/>
      <c r="E298" s="282"/>
      <c r="F298" s="125"/>
      <c r="G298" s="113"/>
      <c r="H298" s="75"/>
      <c r="I298" s="282"/>
      <c r="J298" s="125"/>
      <c r="K298" s="113"/>
      <c r="L298" s="75"/>
      <c r="M298" s="282"/>
      <c r="N298" s="125"/>
      <c r="O298" s="113"/>
      <c r="P298" s="75"/>
      <c r="Q298" s="282"/>
      <c r="R298" s="125"/>
      <c r="S298" s="113"/>
      <c r="T298" s="75"/>
      <c r="U298" s="282"/>
      <c r="V298" s="125"/>
      <c r="W298" s="113"/>
      <c r="X298" s="75"/>
      <c r="Y298" s="282"/>
      <c r="Z298" s="290"/>
      <c r="AA298" s="291"/>
      <c r="AB298" s="73"/>
      <c r="AC298" s="282"/>
      <c r="AD298" s="125"/>
      <c r="AE298" s="241"/>
      <c r="AF298" s="284"/>
      <c r="AG298" s="282"/>
      <c r="AH298" s="292"/>
      <c r="AI298" s="292"/>
      <c r="AJ298" s="292"/>
      <c r="AK298" s="282"/>
      <c r="AL298" s="75"/>
      <c r="AM298" s="75"/>
      <c r="AN298" s="75"/>
      <c r="AO298" s="282"/>
      <c r="AP298" s="75"/>
      <c r="AQ298" s="75"/>
      <c r="AR298" s="75"/>
      <c r="AS298" s="75"/>
      <c r="AT298" s="75"/>
    </row>
    <row r="299">
      <c r="A299" s="282"/>
      <c r="B299" s="125"/>
      <c r="C299" s="113"/>
      <c r="D299" s="75"/>
      <c r="E299" s="282"/>
      <c r="F299" s="125"/>
      <c r="G299" s="113"/>
      <c r="H299" s="75"/>
      <c r="I299" s="282"/>
      <c r="J299" s="125"/>
      <c r="K299" s="113"/>
      <c r="L299" s="75"/>
      <c r="M299" s="282"/>
      <c r="N299" s="125"/>
      <c r="O299" s="113"/>
      <c r="P299" s="75"/>
      <c r="Q299" s="282"/>
      <c r="R299" s="125"/>
      <c r="S299" s="113"/>
      <c r="T299" s="75"/>
      <c r="U299" s="282"/>
      <c r="V299" s="125"/>
      <c r="W299" s="113"/>
      <c r="X299" s="75"/>
      <c r="Y299" s="282"/>
      <c r="Z299" s="290"/>
      <c r="AA299" s="291"/>
      <c r="AB299" s="73"/>
      <c r="AC299" s="282"/>
      <c r="AD299" s="125"/>
      <c r="AE299" s="241"/>
      <c r="AF299" s="284"/>
      <c r="AG299" s="282"/>
      <c r="AH299" s="292"/>
      <c r="AI299" s="292"/>
      <c r="AJ299" s="292"/>
      <c r="AK299" s="282"/>
      <c r="AL299" s="75"/>
      <c r="AM299" s="75"/>
      <c r="AN299" s="75"/>
      <c r="AO299" s="282"/>
      <c r="AP299" s="75"/>
      <c r="AQ299" s="75"/>
      <c r="AR299" s="75"/>
      <c r="AS299" s="75"/>
      <c r="AT299" s="75"/>
    </row>
    <row r="300">
      <c r="A300" s="282"/>
      <c r="B300" s="125"/>
      <c r="C300" s="113"/>
      <c r="D300" s="75"/>
      <c r="E300" s="282"/>
      <c r="F300" s="125"/>
      <c r="G300" s="113"/>
      <c r="H300" s="75"/>
      <c r="I300" s="282"/>
      <c r="J300" s="125"/>
      <c r="K300" s="113"/>
      <c r="L300" s="75"/>
      <c r="M300" s="282"/>
      <c r="N300" s="125"/>
      <c r="O300" s="113"/>
      <c r="P300" s="75"/>
      <c r="Q300" s="282"/>
      <c r="R300" s="125"/>
      <c r="S300" s="113"/>
      <c r="T300" s="75"/>
      <c r="U300" s="282"/>
      <c r="V300" s="125"/>
      <c r="W300" s="113"/>
      <c r="X300" s="75"/>
      <c r="Y300" s="282"/>
      <c r="Z300" s="290"/>
      <c r="AA300" s="291"/>
      <c r="AB300" s="73"/>
      <c r="AC300" s="282"/>
      <c r="AD300" s="125"/>
      <c r="AE300" s="241"/>
      <c r="AF300" s="284"/>
      <c r="AG300" s="282"/>
      <c r="AH300" s="292"/>
      <c r="AI300" s="292"/>
      <c r="AJ300" s="292"/>
      <c r="AK300" s="282"/>
      <c r="AL300" s="75"/>
      <c r="AM300" s="75"/>
      <c r="AN300" s="75"/>
      <c r="AO300" s="282"/>
      <c r="AP300" s="75"/>
      <c r="AQ300" s="75"/>
      <c r="AR300" s="75"/>
      <c r="AS300" s="75"/>
      <c r="AT300" s="75"/>
    </row>
    <row r="301">
      <c r="A301" s="282"/>
      <c r="B301" s="125"/>
      <c r="C301" s="113"/>
      <c r="D301" s="75"/>
      <c r="E301" s="282"/>
      <c r="F301" s="125"/>
      <c r="G301" s="113"/>
      <c r="H301" s="75"/>
      <c r="I301" s="282"/>
      <c r="J301" s="125"/>
      <c r="K301" s="113"/>
      <c r="L301" s="75"/>
      <c r="M301" s="282"/>
      <c r="N301" s="125"/>
      <c r="O301" s="113"/>
      <c r="P301" s="75"/>
      <c r="Q301" s="282"/>
      <c r="R301" s="125"/>
      <c r="S301" s="113"/>
      <c r="T301" s="75"/>
      <c r="U301" s="282"/>
      <c r="V301" s="125"/>
      <c r="W301" s="113"/>
      <c r="X301" s="75"/>
      <c r="Y301" s="282"/>
      <c r="Z301" s="290"/>
      <c r="AA301" s="291"/>
      <c r="AB301" s="73"/>
      <c r="AC301" s="282"/>
      <c r="AD301" s="125"/>
      <c r="AE301" s="241"/>
      <c r="AF301" s="284"/>
      <c r="AG301" s="282"/>
      <c r="AH301" s="292"/>
      <c r="AI301" s="292"/>
      <c r="AJ301" s="292"/>
      <c r="AK301" s="282"/>
      <c r="AL301" s="75"/>
      <c r="AM301" s="75"/>
      <c r="AN301" s="75"/>
      <c r="AO301" s="282"/>
      <c r="AP301" s="75"/>
      <c r="AQ301" s="75"/>
      <c r="AR301" s="75"/>
      <c r="AS301" s="75"/>
      <c r="AT301" s="75"/>
    </row>
    <row r="302">
      <c r="A302" s="282"/>
      <c r="B302" s="125"/>
      <c r="C302" s="113"/>
      <c r="D302" s="75"/>
      <c r="E302" s="282"/>
      <c r="F302" s="125"/>
      <c r="G302" s="113"/>
      <c r="H302" s="75"/>
      <c r="I302" s="282"/>
      <c r="J302" s="125"/>
      <c r="K302" s="113"/>
      <c r="L302" s="75"/>
      <c r="M302" s="282"/>
      <c r="N302" s="125"/>
      <c r="O302" s="113"/>
      <c r="P302" s="75"/>
      <c r="Q302" s="282"/>
      <c r="R302" s="125"/>
      <c r="S302" s="113"/>
      <c r="T302" s="75"/>
      <c r="U302" s="282"/>
      <c r="V302" s="125"/>
      <c r="W302" s="113"/>
      <c r="X302" s="75"/>
      <c r="Y302" s="282"/>
      <c r="Z302" s="290"/>
      <c r="AA302" s="291"/>
      <c r="AB302" s="73"/>
      <c r="AC302" s="282"/>
      <c r="AD302" s="125"/>
      <c r="AE302" s="241"/>
      <c r="AF302" s="284"/>
      <c r="AG302" s="282"/>
      <c r="AH302" s="292"/>
      <c r="AI302" s="292"/>
      <c r="AJ302" s="292"/>
      <c r="AK302" s="282"/>
      <c r="AL302" s="75"/>
      <c r="AM302" s="75"/>
      <c r="AN302" s="75"/>
      <c r="AO302" s="282"/>
      <c r="AP302" s="75"/>
      <c r="AQ302" s="75"/>
      <c r="AR302" s="75"/>
      <c r="AS302" s="75"/>
      <c r="AT302" s="75"/>
    </row>
    <row r="303">
      <c r="A303" s="282"/>
      <c r="B303" s="125"/>
      <c r="C303" s="113"/>
      <c r="D303" s="75"/>
      <c r="E303" s="282"/>
      <c r="F303" s="125"/>
      <c r="G303" s="113"/>
      <c r="H303" s="75"/>
      <c r="I303" s="282"/>
      <c r="J303" s="125"/>
      <c r="K303" s="113"/>
      <c r="L303" s="75"/>
      <c r="M303" s="282"/>
      <c r="N303" s="125"/>
      <c r="O303" s="113"/>
      <c r="P303" s="75"/>
      <c r="Q303" s="282"/>
      <c r="R303" s="125"/>
      <c r="S303" s="113"/>
      <c r="T303" s="75"/>
      <c r="U303" s="282"/>
      <c r="V303" s="125"/>
      <c r="W303" s="113"/>
      <c r="X303" s="75"/>
      <c r="Y303" s="282"/>
      <c r="Z303" s="290"/>
      <c r="AA303" s="291"/>
      <c r="AB303" s="73"/>
      <c r="AC303" s="282"/>
      <c r="AD303" s="125"/>
      <c r="AE303" s="241"/>
      <c r="AF303" s="284"/>
      <c r="AG303" s="282"/>
      <c r="AH303" s="292"/>
      <c r="AI303" s="292"/>
      <c r="AJ303" s="292"/>
      <c r="AK303" s="282"/>
      <c r="AL303" s="75"/>
      <c r="AM303" s="75"/>
      <c r="AN303" s="75"/>
      <c r="AO303" s="282"/>
      <c r="AP303" s="75"/>
      <c r="AQ303" s="75"/>
      <c r="AR303" s="75"/>
      <c r="AS303" s="75"/>
      <c r="AT303" s="75"/>
    </row>
    <row r="304">
      <c r="A304" s="282"/>
      <c r="B304" s="125"/>
      <c r="C304" s="113"/>
      <c r="D304" s="75"/>
      <c r="E304" s="282"/>
      <c r="F304" s="125"/>
      <c r="G304" s="113"/>
      <c r="H304" s="75"/>
      <c r="I304" s="282"/>
      <c r="J304" s="125"/>
      <c r="K304" s="113"/>
      <c r="L304" s="75"/>
      <c r="M304" s="282"/>
      <c r="N304" s="125"/>
      <c r="O304" s="113"/>
      <c r="P304" s="75"/>
      <c r="Q304" s="282"/>
      <c r="R304" s="125"/>
      <c r="S304" s="113"/>
      <c r="T304" s="75"/>
      <c r="U304" s="282"/>
      <c r="V304" s="125"/>
      <c r="W304" s="113"/>
      <c r="X304" s="75"/>
      <c r="Y304" s="282"/>
      <c r="Z304" s="290"/>
      <c r="AA304" s="291"/>
      <c r="AB304" s="73"/>
      <c r="AC304" s="282"/>
      <c r="AD304" s="125"/>
      <c r="AE304" s="241"/>
      <c r="AF304" s="284"/>
      <c r="AG304" s="282"/>
      <c r="AH304" s="292"/>
      <c r="AI304" s="292"/>
      <c r="AJ304" s="292"/>
      <c r="AK304" s="282"/>
      <c r="AL304" s="75"/>
      <c r="AM304" s="75"/>
      <c r="AN304" s="75"/>
      <c r="AO304" s="282"/>
      <c r="AP304" s="75"/>
      <c r="AQ304" s="75"/>
      <c r="AR304" s="75"/>
      <c r="AS304" s="75"/>
      <c r="AT304" s="75"/>
    </row>
    <row r="305">
      <c r="A305" s="282"/>
      <c r="B305" s="125"/>
      <c r="C305" s="113"/>
      <c r="D305" s="75"/>
      <c r="E305" s="282"/>
      <c r="F305" s="125"/>
      <c r="G305" s="113"/>
      <c r="H305" s="75"/>
      <c r="I305" s="282"/>
      <c r="J305" s="125"/>
      <c r="K305" s="113"/>
      <c r="L305" s="75"/>
      <c r="M305" s="282"/>
      <c r="N305" s="125"/>
      <c r="O305" s="113"/>
      <c r="P305" s="75"/>
      <c r="Q305" s="282"/>
      <c r="R305" s="125"/>
      <c r="S305" s="113"/>
      <c r="T305" s="75"/>
      <c r="U305" s="282"/>
      <c r="V305" s="125"/>
      <c r="W305" s="113"/>
      <c r="X305" s="75"/>
      <c r="Y305" s="282"/>
      <c r="Z305" s="290"/>
      <c r="AA305" s="291"/>
      <c r="AB305" s="73"/>
      <c r="AC305" s="282"/>
      <c r="AD305" s="125"/>
      <c r="AE305" s="241"/>
      <c r="AF305" s="284"/>
      <c r="AG305" s="282"/>
      <c r="AH305" s="292"/>
      <c r="AI305" s="292"/>
      <c r="AJ305" s="292"/>
      <c r="AK305" s="282"/>
      <c r="AL305" s="75"/>
      <c r="AM305" s="75"/>
      <c r="AN305" s="75"/>
      <c r="AO305" s="282"/>
      <c r="AP305" s="75"/>
      <c r="AQ305" s="75"/>
      <c r="AR305" s="75"/>
      <c r="AS305" s="75"/>
      <c r="AT305" s="75"/>
    </row>
    <row r="306">
      <c r="A306" s="282"/>
      <c r="B306" s="125"/>
      <c r="C306" s="113"/>
      <c r="D306" s="75"/>
      <c r="E306" s="282"/>
      <c r="F306" s="125"/>
      <c r="G306" s="113"/>
      <c r="H306" s="75"/>
      <c r="I306" s="282"/>
      <c r="J306" s="125"/>
      <c r="K306" s="113"/>
      <c r="L306" s="75"/>
      <c r="M306" s="282"/>
      <c r="N306" s="125"/>
      <c r="O306" s="113"/>
      <c r="P306" s="75"/>
      <c r="Q306" s="282"/>
      <c r="R306" s="125"/>
      <c r="S306" s="113"/>
      <c r="T306" s="75"/>
      <c r="U306" s="282"/>
      <c r="V306" s="125"/>
      <c r="W306" s="113"/>
      <c r="X306" s="75"/>
      <c r="Y306" s="282"/>
      <c r="Z306" s="290"/>
      <c r="AA306" s="291"/>
      <c r="AB306" s="73"/>
      <c r="AC306" s="282"/>
      <c r="AD306" s="125"/>
      <c r="AE306" s="241"/>
      <c r="AF306" s="284"/>
      <c r="AG306" s="282"/>
      <c r="AH306" s="292"/>
      <c r="AI306" s="292"/>
      <c r="AJ306" s="292"/>
      <c r="AK306" s="282"/>
      <c r="AL306" s="75"/>
      <c r="AM306" s="75"/>
      <c r="AN306" s="75"/>
      <c r="AO306" s="282"/>
      <c r="AP306" s="75"/>
      <c r="AQ306" s="75"/>
      <c r="AR306" s="75"/>
      <c r="AS306" s="75"/>
      <c r="AT306" s="75"/>
    </row>
    <row r="307">
      <c r="A307" s="282"/>
      <c r="B307" s="125"/>
      <c r="C307" s="113"/>
      <c r="D307" s="75"/>
      <c r="E307" s="282"/>
      <c r="F307" s="125"/>
      <c r="G307" s="113"/>
      <c r="H307" s="75"/>
      <c r="I307" s="282"/>
      <c r="J307" s="125"/>
      <c r="K307" s="113"/>
      <c r="L307" s="75"/>
      <c r="M307" s="282"/>
      <c r="N307" s="125"/>
      <c r="O307" s="113"/>
      <c r="P307" s="75"/>
      <c r="Q307" s="282"/>
      <c r="R307" s="125"/>
      <c r="S307" s="113"/>
      <c r="T307" s="75"/>
      <c r="U307" s="282"/>
      <c r="V307" s="125"/>
      <c r="W307" s="113"/>
      <c r="X307" s="75"/>
      <c r="Y307" s="282"/>
      <c r="Z307" s="290"/>
      <c r="AA307" s="291"/>
      <c r="AB307" s="73"/>
      <c r="AC307" s="282"/>
      <c r="AD307" s="125"/>
      <c r="AE307" s="241"/>
      <c r="AF307" s="284"/>
      <c r="AG307" s="282"/>
      <c r="AH307" s="292"/>
      <c r="AI307" s="292"/>
      <c r="AJ307" s="292"/>
      <c r="AK307" s="282"/>
      <c r="AL307" s="75"/>
      <c r="AM307" s="75"/>
      <c r="AN307" s="75"/>
      <c r="AO307" s="282"/>
      <c r="AP307" s="75"/>
      <c r="AQ307" s="75"/>
      <c r="AR307" s="75"/>
      <c r="AS307" s="75"/>
      <c r="AT307" s="75"/>
    </row>
    <row r="308">
      <c r="A308" s="282"/>
      <c r="B308" s="125"/>
      <c r="C308" s="113"/>
      <c r="D308" s="75"/>
      <c r="E308" s="282"/>
      <c r="F308" s="125"/>
      <c r="G308" s="113"/>
      <c r="H308" s="75"/>
      <c r="I308" s="282"/>
      <c r="J308" s="125"/>
      <c r="K308" s="113"/>
      <c r="L308" s="75"/>
      <c r="M308" s="282"/>
      <c r="N308" s="125"/>
      <c r="O308" s="113"/>
      <c r="P308" s="75"/>
      <c r="Q308" s="282"/>
      <c r="R308" s="125"/>
      <c r="S308" s="113"/>
      <c r="T308" s="75"/>
      <c r="U308" s="282"/>
      <c r="V308" s="125"/>
      <c r="W308" s="113"/>
      <c r="X308" s="75"/>
      <c r="Y308" s="282"/>
      <c r="Z308" s="290"/>
      <c r="AA308" s="291"/>
      <c r="AB308" s="73"/>
      <c r="AC308" s="282"/>
      <c r="AD308" s="125"/>
      <c r="AE308" s="241"/>
      <c r="AF308" s="284"/>
      <c r="AG308" s="282"/>
      <c r="AH308" s="292"/>
      <c r="AI308" s="292"/>
      <c r="AJ308" s="292"/>
      <c r="AK308" s="282"/>
      <c r="AL308" s="75"/>
      <c r="AM308" s="75"/>
      <c r="AN308" s="75"/>
      <c r="AO308" s="282"/>
      <c r="AP308" s="75"/>
      <c r="AQ308" s="75"/>
      <c r="AR308" s="75"/>
      <c r="AS308" s="75"/>
      <c r="AT308" s="75"/>
    </row>
    <row r="309">
      <c r="A309" s="282"/>
      <c r="B309" s="125"/>
      <c r="C309" s="113"/>
      <c r="D309" s="75"/>
      <c r="E309" s="282"/>
      <c r="F309" s="125"/>
      <c r="G309" s="113"/>
      <c r="H309" s="75"/>
      <c r="I309" s="282"/>
      <c r="J309" s="125"/>
      <c r="K309" s="113"/>
      <c r="L309" s="75"/>
      <c r="M309" s="282"/>
      <c r="N309" s="125"/>
      <c r="O309" s="113"/>
      <c r="P309" s="75"/>
      <c r="Q309" s="282"/>
      <c r="R309" s="125"/>
      <c r="S309" s="113"/>
      <c r="T309" s="75"/>
      <c r="U309" s="282"/>
      <c r="V309" s="125"/>
      <c r="W309" s="113"/>
      <c r="X309" s="75"/>
      <c r="Y309" s="282"/>
      <c r="Z309" s="290"/>
      <c r="AA309" s="291"/>
      <c r="AB309" s="73"/>
      <c r="AC309" s="282"/>
      <c r="AD309" s="125"/>
      <c r="AE309" s="241"/>
      <c r="AF309" s="284"/>
      <c r="AG309" s="282"/>
      <c r="AH309" s="292"/>
      <c r="AI309" s="292"/>
      <c r="AJ309" s="292"/>
      <c r="AK309" s="282"/>
      <c r="AL309" s="75"/>
      <c r="AM309" s="75"/>
      <c r="AN309" s="75"/>
      <c r="AO309" s="282"/>
      <c r="AP309" s="75"/>
      <c r="AQ309" s="75"/>
      <c r="AR309" s="75"/>
      <c r="AS309" s="75"/>
      <c r="AT309" s="75"/>
    </row>
    <row r="310">
      <c r="A310" s="282"/>
      <c r="B310" s="125"/>
      <c r="C310" s="113"/>
      <c r="D310" s="75"/>
      <c r="E310" s="282"/>
      <c r="F310" s="125"/>
      <c r="G310" s="113"/>
      <c r="H310" s="75"/>
      <c r="I310" s="282"/>
      <c r="J310" s="125"/>
      <c r="K310" s="113"/>
      <c r="L310" s="75"/>
      <c r="M310" s="282"/>
      <c r="N310" s="125"/>
      <c r="O310" s="113"/>
      <c r="P310" s="75"/>
      <c r="Q310" s="282"/>
      <c r="R310" s="125"/>
      <c r="S310" s="113"/>
      <c r="T310" s="75"/>
      <c r="U310" s="282"/>
      <c r="V310" s="125"/>
      <c r="W310" s="113"/>
      <c r="X310" s="75"/>
      <c r="Y310" s="282"/>
      <c r="Z310" s="290"/>
      <c r="AA310" s="291"/>
      <c r="AB310" s="73"/>
      <c r="AC310" s="282"/>
      <c r="AD310" s="125"/>
      <c r="AE310" s="241"/>
      <c r="AF310" s="284"/>
      <c r="AG310" s="282"/>
      <c r="AH310" s="292"/>
      <c r="AI310" s="292"/>
      <c r="AJ310" s="292"/>
      <c r="AK310" s="282"/>
      <c r="AL310" s="75"/>
      <c r="AM310" s="75"/>
      <c r="AN310" s="75"/>
      <c r="AO310" s="282"/>
      <c r="AP310" s="75"/>
      <c r="AQ310" s="75"/>
      <c r="AR310" s="75"/>
      <c r="AS310" s="75"/>
      <c r="AT310" s="75"/>
    </row>
    <row r="311">
      <c r="A311" s="282"/>
      <c r="B311" s="125"/>
      <c r="C311" s="113"/>
      <c r="D311" s="75"/>
      <c r="E311" s="282"/>
      <c r="F311" s="125"/>
      <c r="G311" s="113"/>
      <c r="H311" s="75"/>
      <c r="I311" s="282"/>
      <c r="J311" s="125"/>
      <c r="K311" s="113"/>
      <c r="L311" s="75"/>
      <c r="M311" s="282"/>
      <c r="N311" s="125"/>
      <c r="O311" s="113"/>
      <c r="P311" s="75"/>
      <c r="Q311" s="282"/>
      <c r="R311" s="125"/>
      <c r="S311" s="113"/>
      <c r="T311" s="75"/>
      <c r="U311" s="282"/>
      <c r="V311" s="125"/>
      <c r="W311" s="113"/>
      <c r="X311" s="75"/>
      <c r="Y311" s="282"/>
      <c r="Z311" s="290"/>
      <c r="AA311" s="291"/>
      <c r="AB311" s="73"/>
      <c r="AC311" s="282"/>
      <c r="AD311" s="125"/>
      <c r="AE311" s="241"/>
      <c r="AF311" s="284"/>
      <c r="AG311" s="282"/>
      <c r="AH311" s="292"/>
      <c r="AI311" s="292"/>
      <c r="AJ311" s="292"/>
      <c r="AK311" s="282"/>
      <c r="AL311" s="75"/>
      <c r="AM311" s="75"/>
      <c r="AN311" s="75"/>
      <c r="AO311" s="282"/>
      <c r="AP311" s="75"/>
      <c r="AQ311" s="75"/>
      <c r="AR311" s="75"/>
      <c r="AS311" s="75"/>
      <c r="AT311" s="75"/>
    </row>
    <row r="312">
      <c r="A312" s="282"/>
      <c r="B312" s="125"/>
      <c r="C312" s="113"/>
      <c r="D312" s="75"/>
      <c r="E312" s="282"/>
      <c r="F312" s="125"/>
      <c r="G312" s="113"/>
      <c r="H312" s="75"/>
      <c r="I312" s="282"/>
      <c r="J312" s="125"/>
      <c r="K312" s="113"/>
      <c r="L312" s="75"/>
      <c r="M312" s="282"/>
      <c r="N312" s="125"/>
      <c r="O312" s="113"/>
      <c r="P312" s="75"/>
      <c r="Q312" s="282"/>
      <c r="R312" s="125"/>
      <c r="S312" s="113"/>
      <c r="T312" s="75"/>
      <c r="U312" s="282"/>
      <c r="V312" s="125"/>
      <c r="W312" s="113"/>
      <c r="X312" s="75"/>
      <c r="Y312" s="282"/>
      <c r="Z312" s="290"/>
      <c r="AA312" s="291"/>
      <c r="AB312" s="73"/>
      <c r="AC312" s="282"/>
      <c r="AD312" s="125"/>
      <c r="AE312" s="241"/>
      <c r="AF312" s="284"/>
      <c r="AG312" s="282"/>
      <c r="AH312" s="292"/>
      <c r="AI312" s="292"/>
      <c r="AJ312" s="292"/>
      <c r="AK312" s="282"/>
      <c r="AL312" s="75"/>
      <c r="AM312" s="75"/>
      <c r="AN312" s="75"/>
      <c r="AO312" s="282"/>
      <c r="AP312" s="75"/>
      <c r="AQ312" s="75"/>
      <c r="AR312" s="75"/>
      <c r="AS312" s="75"/>
      <c r="AT312" s="75"/>
    </row>
    <row r="313">
      <c r="A313" s="282"/>
      <c r="B313" s="125"/>
      <c r="C313" s="113"/>
      <c r="D313" s="75"/>
      <c r="E313" s="282"/>
      <c r="F313" s="125"/>
      <c r="G313" s="113"/>
      <c r="H313" s="75"/>
      <c r="I313" s="282"/>
      <c r="J313" s="125"/>
      <c r="K313" s="113"/>
      <c r="L313" s="75"/>
      <c r="M313" s="282"/>
      <c r="N313" s="125"/>
      <c r="O313" s="113"/>
      <c r="P313" s="75"/>
      <c r="Q313" s="282"/>
      <c r="R313" s="125"/>
      <c r="S313" s="113"/>
      <c r="T313" s="75"/>
      <c r="U313" s="282"/>
      <c r="V313" s="125"/>
      <c r="W313" s="113"/>
      <c r="X313" s="75"/>
      <c r="Y313" s="282"/>
      <c r="Z313" s="290"/>
      <c r="AA313" s="291"/>
      <c r="AB313" s="73"/>
      <c r="AC313" s="282"/>
      <c r="AD313" s="125"/>
      <c r="AE313" s="241"/>
      <c r="AF313" s="284"/>
      <c r="AG313" s="282"/>
      <c r="AH313" s="292"/>
      <c r="AI313" s="292"/>
      <c r="AJ313" s="292"/>
      <c r="AK313" s="282"/>
      <c r="AL313" s="75"/>
      <c r="AM313" s="75"/>
      <c r="AN313" s="75"/>
      <c r="AO313" s="282"/>
      <c r="AP313" s="75"/>
      <c r="AQ313" s="75"/>
      <c r="AR313" s="75"/>
      <c r="AS313" s="75"/>
      <c r="AT313" s="75"/>
    </row>
    <row r="314">
      <c r="A314" s="282"/>
      <c r="B314" s="125"/>
      <c r="C314" s="113"/>
      <c r="D314" s="75"/>
      <c r="E314" s="282"/>
      <c r="F314" s="125"/>
      <c r="G314" s="113"/>
      <c r="H314" s="75"/>
      <c r="I314" s="282"/>
      <c r="J314" s="125"/>
      <c r="K314" s="113"/>
      <c r="L314" s="75"/>
      <c r="M314" s="282"/>
      <c r="N314" s="125"/>
      <c r="O314" s="113"/>
      <c r="P314" s="75"/>
      <c r="Q314" s="282"/>
      <c r="R314" s="125"/>
      <c r="S314" s="113"/>
      <c r="T314" s="75"/>
      <c r="U314" s="282"/>
      <c r="V314" s="125"/>
      <c r="W314" s="113"/>
      <c r="X314" s="75"/>
      <c r="Y314" s="282"/>
      <c r="Z314" s="290"/>
      <c r="AA314" s="291"/>
      <c r="AB314" s="73"/>
      <c r="AC314" s="282"/>
      <c r="AD314" s="125"/>
      <c r="AE314" s="241"/>
      <c r="AF314" s="284"/>
      <c r="AG314" s="282"/>
      <c r="AH314" s="292"/>
      <c r="AI314" s="292"/>
      <c r="AJ314" s="292"/>
      <c r="AK314" s="282"/>
      <c r="AL314" s="75"/>
      <c r="AM314" s="75"/>
      <c r="AN314" s="75"/>
      <c r="AO314" s="282"/>
      <c r="AP314" s="75"/>
      <c r="AQ314" s="75"/>
      <c r="AR314" s="75"/>
      <c r="AS314" s="75"/>
      <c r="AT314" s="75"/>
    </row>
    <row r="315">
      <c r="A315" s="282"/>
      <c r="B315" s="125"/>
      <c r="C315" s="113"/>
      <c r="D315" s="75"/>
      <c r="E315" s="282"/>
      <c r="F315" s="125"/>
      <c r="G315" s="113"/>
      <c r="H315" s="75"/>
      <c r="I315" s="282"/>
      <c r="J315" s="125"/>
      <c r="K315" s="113"/>
      <c r="L315" s="75"/>
      <c r="M315" s="282"/>
      <c r="N315" s="125"/>
      <c r="O315" s="113"/>
      <c r="P315" s="75"/>
      <c r="Q315" s="282"/>
      <c r="R315" s="125"/>
      <c r="S315" s="113"/>
      <c r="T315" s="75"/>
      <c r="U315" s="282"/>
      <c r="V315" s="125"/>
      <c r="W315" s="113"/>
      <c r="X315" s="75"/>
      <c r="Y315" s="282"/>
      <c r="Z315" s="290"/>
      <c r="AA315" s="291"/>
      <c r="AB315" s="73"/>
      <c r="AC315" s="282"/>
      <c r="AD315" s="125"/>
      <c r="AE315" s="241"/>
      <c r="AF315" s="284"/>
      <c r="AG315" s="282"/>
      <c r="AH315" s="292"/>
      <c r="AI315" s="292"/>
      <c r="AJ315" s="292"/>
      <c r="AK315" s="282"/>
      <c r="AL315" s="75"/>
      <c r="AM315" s="75"/>
      <c r="AN315" s="75"/>
      <c r="AO315" s="282"/>
      <c r="AP315" s="75"/>
      <c r="AQ315" s="75"/>
      <c r="AR315" s="75"/>
      <c r="AS315" s="75"/>
      <c r="AT315" s="75"/>
    </row>
    <row r="316">
      <c r="A316" s="282"/>
      <c r="B316" s="125"/>
      <c r="C316" s="113"/>
      <c r="D316" s="75"/>
      <c r="E316" s="282"/>
      <c r="F316" s="125"/>
      <c r="G316" s="113"/>
      <c r="H316" s="75"/>
      <c r="I316" s="282"/>
      <c r="J316" s="125"/>
      <c r="K316" s="113"/>
      <c r="L316" s="75"/>
      <c r="M316" s="282"/>
      <c r="N316" s="125"/>
      <c r="O316" s="113"/>
      <c r="P316" s="75"/>
      <c r="Q316" s="282"/>
      <c r="R316" s="125"/>
      <c r="S316" s="113"/>
      <c r="T316" s="75"/>
      <c r="U316" s="282"/>
      <c r="V316" s="125"/>
      <c r="W316" s="113"/>
      <c r="X316" s="75"/>
      <c r="Y316" s="282"/>
      <c r="Z316" s="290"/>
      <c r="AA316" s="291"/>
      <c r="AB316" s="73"/>
      <c r="AC316" s="282"/>
      <c r="AD316" s="125"/>
      <c r="AE316" s="241"/>
      <c r="AF316" s="284"/>
      <c r="AG316" s="282"/>
      <c r="AH316" s="292"/>
      <c r="AI316" s="292"/>
      <c r="AJ316" s="292"/>
      <c r="AK316" s="282"/>
      <c r="AL316" s="75"/>
      <c r="AM316" s="75"/>
      <c r="AN316" s="75"/>
      <c r="AO316" s="282"/>
      <c r="AP316" s="75"/>
      <c r="AQ316" s="75"/>
      <c r="AR316" s="75"/>
      <c r="AS316" s="75"/>
      <c r="AT316" s="75"/>
    </row>
    <row r="317">
      <c r="A317" s="282"/>
      <c r="B317" s="125"/>
      <c r="C317" s="113"/>
      <c r="D317" s="75"/>
      <c r="E317" s="282"/>
      <c r="F317" s="125"/>
      <c r="G317" s="113"/>
      <c r="H317" s="75"/>
      <c r="I317" s="282"/>
      <c r="J317" s="125"/>
      <c r="K317" s="113"/>
      <c r="L317" s="75"/>
      <c r="M317" s="282"/>
      <c r="N317" s="125"/>
      <c r="O317" s="113"/>
      <c r="P317" s="75"/>
      <c r="Q317" s="282"/>
      <c r="R317" s="125"/>
      <c r="S317" s="113"/>
      <c r="T317" s="75"/>
      <c r="U317" s="282"/>
      <c r="V317" s="125"/>
      <c r="W317" s="113"/>
      <c r="X317" s="75"/>
      <c r="Y317" s="282"/>
      <c r="Z317" s="290"/>
      <c r="AA317" s="291"/>
      <c r="AB317" s="73"/>
      <c r="AC317" s="282"/>
      <c r="AD317" s="125"/>
      <c r="AE317" s="241"/>
      <c r="AF317" s="284"/>
      <c r="AG317" s="282"/>
      <c r="AH317" s="292"/>
      <c r="AI317" s="292"/>
      <c r="AJ317" s="292"/>
      <c r="AK317" s="282"/>
      <c r="AL317" s="75"/>
      <c r="AM317" s="75"/>
      <c r="AN317" s="75"/>
      <c r="AO317" s="282"/>
      <c r="AP317" s="75"/>
      <c r="AQ317" s="75"/>
      <c r="AR317" s="75"/>
      <c r="AS317" s="75"/>
      <c r="AT317" s="75"/>
    </row>
    <row r="318">
      <c r="A318" s="282"/>
      <c r="B318" s="125"/>
      <c r="C318" s="113"/>
      <c r="D318" s="75"/>
      <c r="E318" s="282"/>
      <c r="F318" s="125"/>
      <c r="G318" s="113"/>
      <c r="H318" s="75"/>
      <c r="I318" s="282"/>
      <c r="J318" s="125"/>
      <c r="K318" s="113"/>
      <c r="L318" s="75"/>
      <c r="M318" s="282"/>
      <c r="N318" s="125"/>
      <c r="O318" s="113"/>
      <c r="P318" s="75"/>
      <c r="Q318" s="282"/>
      <c r="R318" s="125"/>
      <c r="S318" s="113"/>
      <c r="T318" s="75"/>
      <c r="U318" s="282"/>
      <c r="V318" s="125"/>
      <c r="W318" s="113"/>
      <c r="X318" s="75"/>
      <c r="Y318" s="282"/>
      <c r="Z318" s="290"/>
      <c r="AA318" s="291"/>
      <c r="AB318" s="73"/>
      <c r="AC318" s="282"/>
      <c r="AD318" s="125"/>
      <c r="AE318" s="241"/>
      <c r="AF318" s="284"/>
      <c r="AG318" s="282"/>
      <c r="AH318" s="292"/>
      <c r="AI318" s="292"/>
      <c r="AJ318" s="292"/>
      <c r="AK318" s="282"/>
      <c r="AL318" s="75"/>
      <c r="AM318" s="75"/>
      <c r="AN318" s="75"/>
      <c r="AO318" s="282"/>
      <c r="AP318" s="75"/>
      <c r="AQ318" s="75"/>
      <c r="AR318" s="75"/>
      <c r="AS318" s="75"/>
      <c r="AT318" s="75"/>
    </row>
    <row r="319">
      <c r="A319" s="282"/>
      <c r="B319" s="125"/>
      <c r="C319" s="113"/>
      <c r="D319" s="75"/>
      <c r="E319" s="282"/>
      <c r="F319" s="125"/>
      <c r="G319" s="113"/>
      <c r="H319" s="75"/>
      <c r="I319" s="282"/>
      <c r="J319" s="125"/>
      <c r="K319" s="113"/>
      <c r="L319" s="75"/>
      <c r="M319" s="282"/>
      <c r="N319" s="125"/>
      <c r="O319" s="113"/>
      <c r="P319" s="75"/>
      <c r="Q319" s="282"/>
      <c r="R319" s="125"/>
      <c r="S319" s="113"/>
      <c r="T319" s="75"/>
      <c r="U319" s="282"/>
      <c r="V319" s="125"/>
      <c r="W319" s="113"/>
      <c r="X319" s="75"/>
      <c r="Y319" s="282"/>
      <c r="Z319" s="290"/>
      <c r="AA319" s="291"/>
      <c r="AB319" s="73"/>
      <c r="AC319" s="282"/>
      <c r="AD319" s="125"/>
      <c r="AE319" s="241"/>
      <c r="AF319" s="284"/>
      <c r="AG319" s="282"/>
      <c r="AH319" s="292"/>
      <c r="AI319" s="292"/>
      <c r="AJ319" s="292"/>
      <c r="AK319" s="282"/>
      <c r="AL319" s="75"/>
      <c r="AM319" s="75"/>
      <c r="AN319" s="75"/>
      <c r="AO319" s="282"/>
      <c r="AP319" s="75"/>
      <c r="AQ319" s="75"/>
      <c r="AR319" s="75"/>
      <c r="AS319" s="75"/>
      <c r="AT319" s="75"/>
    </row>
    <row r="320">
      <c r="A320" s="282"/>
      <c r="B320" s="125"/>
      <c r="C320" s="113"/>
      <c r="D320" s="75"/>
      <c r="E320" s="282"/>
      <c r="F320" s="125"/>
      <c r="G320" s="113"/>
      <c r="H320" s="75"/>
      <c r="I320" s="282"/>
      <c r="J320" s="125"/>
      <c r="K320" s="113"/>
      <c r="L320" s="75"/>
      <c r="M320" s="282"/>
      <c r="N320" s="125"/>
      <c r="O320" s="113"/>
      <c r="P320" s="75"/>
      <c r="Q320" s="282"/>
      <c r="R320" s="125"/>
      <c r="S320" s="113"/>
      <c r="T320" s="75"/>
      <c r="U320" s="282"/>
      <c r="V320" s="125"/>
      <c r="W320" s="113"/>
      <c r="X320" s="75"/>
      <c r="Y320" s="282"/>
      <c r="Z320" s="290"/>
      <c r="AA320" s="291"/>
      <c r="AB320" s="73"/>
      <c r="AC320" s="282"/>
      <c r="AD320" s="125"/>
      <c r="AE320" s="241"/>
      <c r="AF320" s="284"/>
      <c r="AG320" s="282"/>
      <c r="AH320" s="292"/>
      <c r="AI320" s="292"/>
      <c r="AJ320" s="292"/>
      <c r="AK320" s="282"/>
      <c r="AL320" s="75"/>
      <c r="AM320" s="75"/>
      <c r="AN320" s="75"/>
      <c r="AO320" s="282"/>
      <c r="AP320" s="75"/>
      <c r="AQ320" s="75"/>
      <c r="AR320" s="75"/>
      <c r="AS320" s="75"/>
      <c r="AT320" s="75"/>
    </row>
    <row r="321">
      <c r="A321" s="282"/>
      <c r="B321" s="125"/>
      <c r="C321" s="113"/>
      <c r="D321" s="75"/>
      <c r="E321" s="282"/>
      <c r="F321" s="125"/>
      <c r="G321" s="113"/>
      <c r="H321" s="75"/>
      <c r="I321" s="282"/>
      <c r="J321" s="125"/>
      <c r="K321" s="113"/>
      <c r="L321" s="75"/>
      <c r="M321" s="282"/>
      <c r="N321" s="125"/>
      <c r="O321" s="113"/>
      <c r="P321" s="75"/>
      <c r="Q321" s="282"/>
      <c r="R321" s="125"/>
      <c r="S321" s="113"/>
      <c r="T321" s="75"/>
      <c r="U321" s="282"/>
      <c r="V321" s="125"/>
      <c r="W321" s="113"/>
      <c r="X321" s="75"/>
      <c r="Y321" s="282"/>
      <c r="Z321" s="290"/>
      <c r="AA321" s="291"/>
      <c r="AB321" s="73"/>
      <c r="AC321" s="282"/>
      <c r="AD321" s="125"/>
      <c r="AE321" s="241"/>
      <c r="AF321" s="284"/>
      <c r="AG321" s="282"/>
      <c r="AH321" s="292"/>
      <c r="AI321" s="292"/>
      <c r="AJ321" s="292"/>
      <c r="AK321" s="282"/>
      <c r="AL321" s="75"/>
      <c r="AM321" s="75"/>
      <c r="AN321" s="75"/>
      <c r="AO321" s="282"/>
      <c r="AP321" s="75"/>
      <c r="AQ321" s="75"/>
      <c r="AR321" s="75"/>
      <c r="AS321" s="75"/>
      <c r="AT321" s="75"/>
    </row>
    <row r="322">
      <c r="A322" s="282"/>
      <c r="B322" s="125"/>
      <c r="C322" s="113"/>
      <c r="D322" s="75"/>
      <c r="E322" s="282"/>
      <c r="F322" s="125"/>
      <c r="G322" s="113"/>
      <c r="H322" s="75"/>
      <c r="I322" s="282"/>
      <c r="J322" s="125"/>
      <c r="K322" s="113"/>
      <c r="L322" s="75"/>
      <c r="M322" s="282"/>
      <c r="N322" s="125"/>
      <c r="O322" s="113"/>
      <c r="P322" s="75"/>
      <c r="Q322" s="282"/>
      <c r="R322" s="125"/>
      <c r="S322" s="113"/>
      <c r="T322" s="75"/>
      <c r="U322" s="282"/>
      <c r="V322" s="125"/>
      <c r="W322" s="113"/>
      <c r="X322" s="75"/>
      <c r="Y322" s="282"/>
      <c r="Z322" s="290"/>
      <c r="AA322" s="291"/>
      <c r="AB322" s="73"/>
      <c r="AC322" s="282"/>
      <c r="AD322" s="125"/>
      <c r="AE322" s="241"/>
      <c r="AF322" s="284"/>
      <c r="AG322" s="282"/>
      <c r="AH322" s="292"/>
      <c r="AI322" s="292"/>
      <c r="AJ322" s="292"/>
      <c r="AK322" s="282"/>
      <c r="AL322" s="75"/>
      <c r="AM322" s="75"/>
      <c r="AN322" s="75"/>
      <c r="AO322" s="282"/>
      <c r="AP322" s="75"/>
      <c r="AQ322" s="75"/>
      <c r="AR322" s="75"/>
      <c r="AS322" s="75"/>
      <c r="AT322" s="75"/>
    </row>
    <row r="323">
      <c r="A323" s="282"/>
      <c r="B323" s="125"/>
      <c r="C323" s="113"/>
      <c r="D323" s="75"/>
      <c r="E323" s="282"/>
      <c r="F323" s="125"/>
      <c r="G323" s="113"/>
      <c r="H323" s="75"/>
      <c r="I323" s="282"/>
      <c r="J323" s="125"/>
      <c r="K323" s="113"/>
      <c r="L323" s="75"/>
      <c r="M323" s="282"/>
      <c r="N323" s="125"/>
      <c r="O323" s="113"/>
      <c r="P323" s="75"/>
      <c r="Q323" s="282"/>
      <c r="R323" s="125"/>
      <c r="S323" s="113"/>
      <c r="T323" s="75"/>
      <c r="U323" s="282"/>
      <c r="V323" s="125"/>
      <c r="W323" s="113"/>
      <c r="X323" s="75"/>
      <c r="Y323" s="282"/>
      <c r="Z323" s="290"/>
      <c r="AA323" s="291"/>
      <c r="AB323" s="73"/>
      <c r="AC323" s="282"/>
      <c r="AD323" s="125"/>
      <c r="AE323" s="241"/>
      <c r="AF323" s="284"/>
      <c r="AG323" s="282"/>
      <c r="AH323" s="292"/>
      <c r="AI323" s="292"/>
      <c r="AJ323" s="292"/>
      <c r="AK323" s="282"/>
      <c r="AL323" s="75"/>
      <c r="AM323" s="75"/>
      <c r="AN323" s="75"/>
      <c r="AO323" s="282"/>
      <c r="AP323" s="75"/>
      <c r="AQ323" s="75"/>
      <c r="AR323" s="75"/>
      <c r="AS323" s="75"/>
      <c r="AT323" s="75"/>
    </row>
    <row r="324">
      <c r="A324" s="282"/>
      <c r="B324" s="125"/>
      <c r="C324" s="113"/>
      <c r="D324" s="75"/>
      <c r="E324" s="282"/>
      <c r="F324" s="125"/>
      <c r="G324" s="113"/>
      <c r="H324" s="75"/>
      <c r="I324" s="282"/>
      <c r="J324" s="125"/>
      <c r="K324" s="113"/>
      <c r="L324" s="75"/>
      <c r="M324" s="282"/>
      <c r="N324" s="125"/>
      <c r="O324" s="113"/>
      <c r="P324" s="75"/>
      <c r="Q324" s="282"/>
      <c r="R324" s="125"/>
      <c r="S324" s="113"/>
      <c r="T324" s="75"/>
      <c r="U324" s="282"/>
      <c r="V324" s="125"/>
      <c r="W324" s="113"/>
      <c r="X324" s="75"/>
      <c r="Y324" s="282"/>
      <c r="Z324" s="290"/>
      <c r="AA324" s="291"/>
      <c r="AB324" s="73"/>
      <c r="AC324" s="282"/>
      <c r="AD324" s="125"/>
      <c r="AE324" s="241"/>
      <c r="AF324" s="284"/>
      <c r="AG324" s="282"/>
      <c r="AH324" s="292"/>
      <c r="AI324" s="292"/>
      <c r="AJ324" s="292"/>
      <c r="AK324" s="282"/>
      <c r="AL324" s="75"/>
      <c r="AM324" s="75"/>
      <c r="AN324" s="75"/>
      <c r="AO324" s="282"/>
      <c r="AP324" s="75"/>
      <c r="AQ324" s="75"/>
      <c r="AR324" s="75"/>
      <c r="AS324" s="75"/>
      <c r="AT324" s="75"/>
    </row>
    <row r="325">
      <c r="A325" s="282"/>
      <c r="B325" s="125"/>
      <c r="C325" s="113"/>
      <c r="D325" s="75"/>
      <c r="E325" s="282"/>
      <c r="F325" s="125"/>
      <c r="G325" s="113"/>
      <c r="H325" s="75"/>
      <c r="I325" s="282"/>
      <c r="J325" s="125"/>
      <c r="K325" s="113"/>
      <c r="L325" s="75"/>
      <c r="M325" s="282"/>
      <c r="N325" s="125"/>
      <c r="O325" s="113"/>
      <c r="P325" s="75"/>
      <c r="Q325" s="282"/>
      <c r="R325" s="125"/>
      <c r="S325" s="113"/>
      <c r="T325" s="75"/>
      <c r="U325" s="282"/>
      <c r="V325" s="125"/>
      <c r="W325" s="113"/>
      <c r="X325" s="75"/>
      <c r="Y325" s="282"/>
      <c r="Z325" s="290"/>
      <c r="AA325" s="291"/>
      <c r="AB325" s="73"/>
      <c r="AC325" s="282"/>
      <c r="AD325" s="125"/>
      <c r="AE325" s="241"/>
      <c r="AF325" s="284"/>
      <c r="AG325" s="282"/>
      <c r="AH325" s="292"/>
      <c r="AI325" s="292"/>
      <c r="AJ325" s="292"/>
      <c r="AK325" s="282"/>
      <c r="AL325" s="75"/>
      <c r="AM325" s="75"/>
      <c r="AN325" s="75"/>
      <c r="AO325" s="282"/>
      <c r="AP325" s="75"/>
      <c r="AQ325" s="75"/>
      <c r="AR325" s="75"/>
      <c r="AS325" s="75"/>
      <c r="AT325" s="75"/>
    </row>
    <row r="326">
      <c r="A326" s="282"/>
      <c r="B326" s="125"/>
      <c r="C326" s="113"/>
      <c r="D326" s="75"/>
      <c r="E326" s="282"/>
      <c r="F326" s="125"/>
      <c r="G326" s="113"/>
      <c r="H326" s="75"/>
      <c r="I326" s="282"/>
      <c r="J326" s="125"/>
      <c r="K326" s="113"/>
      <c r="L326" s="75"/>
      <c r="M326" s="282"/>
      <c r="N326" s="125"/>
      <c r="O326" s="113"/>
      <c r="P326" s="75"/>
      <c r="Q326" s="282"/>
      <c r="R326" s="125"/>
      <c r="S326" s="113"/>
      <c r="T326" s="75"/>
      <c r="U326" s="282"/>
      <c r="V326" s="125"/>
      <c r="W326" s="113"/>
      <c r="X326" s="75"/>
      <c r="Y326" s="282"/>
      <c r="Z326" s="290"/>
      <c r="AA326" s="291"/>
      <c r="AB326" s="73"/>
      <c r="AC326" s="282"/>
      <c r="AD326" s="125"/>
      <c r="AE326" s="241"/>
      <c r="AF326" s="284"/>
      <c r="AG326" s="282"/>
      <c r="AH326" s="292"/>
      <c r="AI326" s="292"/>
      <c r="AJ326" s="292"/>
      <c r="AK326" s="282"/>
      <c r="AL326" s="75"/>
      <c r="AM326" s="75"/>
      <c r="AN326" s="75"/>
      <c r="AO326" s="282"/>
      <c r="AP326" s="75"/>
      <c r="AQ326" s="75"/>
      <c r="AR326" s="75"/>
      <c r="AS326" s="75"/>
      <c r="AT326" s="75"/>
    </row>
    <row r="327">
      <c r="A327" s="282"/>
      <c r="B327" s="125"/>
      <c r="C327" s="113"/>
      <c r="D327" s="75"/>
      <c r="E327" s="282"/>
      <c r="F327" s="125"/>
      <c r="G327" s="113"/>
      <c r="H327" s="75"/>
      <c r="I327" s="282"/>
      <c r="J327" s="125"/>
      <c r="K327" s="113"/>
      <c r="L327" s="75"/>
      <c r="M327" s="282"/>
      <c r="N327" s="125"/>
      <c r="O327" s="113"/>
      <c r="P327" s="75"/>
      <c r="Q327" s="282"/>
      <c r="R327" s="125"/>
      <c r="S327" s="113"/>
      <c r="T327" s="75"/>
      <c r="U327" s="282"/>
      <c r="V327" s="125"/>
      <c r="W327" s="113"/>
      <c r="X327" s="75"/>
      <c r="Y327" s="282"/>
      <c r="Z327" s="290"/>
      <c r="AA327" s="291"/>
      <c r="AB327" s="73"/>
      <c r="AC327" s="282"/>
      <c r="AD327" s="125"/>
      <c r="AE327" s="241"/>
      <c r="AF327" s="284"/>
      <c r="AG327" s="282"/>
      <c r="AH327" s="292"/>
      <c r="AI327" s="292"/>
      <c r="AJ327" s="292"/>
      <c r="AK327" s="282"/>
      <c r="AL327" s="75"/>
      <c r="AM327" s="75"/>
      <c r="AN327" s="75"/>
      <c r="AO327" s="282"/>
      <c r="AP327" s="75"/>
      <c r="AQ327" s="75"/>
      <c r="AR327" s="75"/>
      <c r="AS327" s="75"/>
      <c r="AT327" s="75"/>
    </row>
    <row r="328">
      <c r="A328" s="282"/>
      <c r="B328" s="125"/>
      <c r="C328" s="113"/>
      <c r="D328" s="75"/>
      <c r="E328" s="282"/>
      <c r="F328" s="125"/>
      <c r="G328" s="113"/>
      <c r="H328" s="75"/>
      <c r="I328" s="282"/>
      <c r="J328" s="125"/>
      <c r="K328" s="113"/>
      <c r="L328" s="75"/>
      <c r="M328" s="282"/>
      <c r="N328" s="125"/>
      <c r="O328" s="113"/>
      <c r="P328" s="75"/>
      <c r="Q328" s="282"/>
      <c r="R328" s="125"/>
      <c r="S328" s="113"/>
      <c r="T328" s="75"/>
      <c r="U328" s="282"/>
      <c r="V328" s="125"/>
      <c r="W328" s="113"/>
      <c r="X328" s="75"/>
      <c r="Y328" s="282"/>
      <c r="Z328" s="290"/>
      <c r="AA328" s="291"/>
      <c r="AB328" s="73"/>
      <c r="AC328" s="282"/>
      <c r="AD328" s="125"/>
      <c r="AE328" s="241"/>
      <c r="AF328" s="284"/>
      <c r="AG328" s="282"/>
      <c r="AH328" s="292"/>
      <c r="AI328" s="292"/>
      <c r="AJ328" s="292"/>
      <c r="AK328" s="282"/>
      <c r="AL328" s="75"/>
      <c r="AM328" s="75"/>
      <c r="AN328" s="75"/>
      <c r="AO328" s="282"/>
      <c r="AP328" s="75"/>
      <c r="AQ328" s="75"/>
      <c r="AR328" s="75"/>
      <c r="AS328" s="75"/>
      <c r="AT328" s="75"/>
    </row>
    <row r="329">
      <c r="A329" s="282"/>
      <c r="B329" s="125"/>
      <c r="C329" s="113"/>
      <c r="D329" s="75"/>
      <c r="E329" s="282"/>
      <c r="F329" s="125"/>
      <c r="G329" s="113"/>
      <c r="H329" s="75"/>
      <c r="I329" s="282"/>
      <c r="J329" s="125"/>
      <c r="K329" s="113"/>
      <c r="L329" s="75"/>
      <c r="M329" s="282"/>
      <c r="N329" s="125"/>
      <c r="O329" s="113"/>
      <c r="P329" s="75"/>
      <c r="Q329" s="282"/>
      <c r="R329" s="125"/>
      <c r="S329" s="113"/>
      <c r="T329" s="75"/>
      <c r="U329" s="282"/>
      <c r="V329" s="125"/>
      <c r="W329" s="113"/>
      <c r="X329" s="75"/>
      <c r="Y329" s="282"/>
      <c r="Z329" s="290"/>
      <c r="AA329" s="291"/>
      <c r="AB329" s="73"/>
      <c r="AC329" s="282"/>
      <c r="AD329" s="125"/>
      <c r="AE329" s="241"/>
      <c r="AF329" s="284"/>
      <c r="AG329" s="282"/>
      <c r="AH329" s="292"/>
      <c r="AI329" s="292"/>
      <c r="AJ329" s="292"/>
      <c r="AK329" s="282"/>
      <c r="AL329" s="75"/>
      <c r="AM329" s="75"/>
      <c r="AN329" s="75"/>
      <c r="AO329" s="282"/>
      <c r="AP329" s="75"/>
      <c r="AQ329" s="75"/>
      <c r="AR329" s="75"/>
      <c r="AS329" s="75"/>
      <c r="AT329" s="75"/>
    </row>
    <row r="330">
      <c r="A330" s="282"/>
      <c r="B330" s="125"/>
      <c r="C330" s="113"/>
      <c r="D330" s="75"/>
      <c r="E330" s="282"/>
      <c r="F330" s="125"/>
      <c r="G330" s="113"/>
      <c r="H330" s="75"/>
      <c r="I330" s="282"/>
      <c r="J330" s="125"/>
      <c r="K330" s="113"/>
      <c r="L330" s="75"/>
      <c r="M330" s="282"/>
      <c r="N330" s="125"/>
      <c r="O330" s="113"/>
      <c r="P330" s="75"/>
      <c r="Q330" s="282"/>
      <c r="R330" s="125"/>
      <c r="S330" s="113"/>
      <c r="T330" s="75"/>
      <c r="U330" s="282"/>
      <c r="V330" s="125"/>
      <c r="W330" s="113"/>
      <c r="X330" s="75"/>
      <c r="Y330" s="282"/>
      <c r="Z330" s="290"/>
      <c r="AA330" s="291"/>
      <c r="AB330" s="73"/>
      <c r="AC330" s="282"/>
      <c r="AD330" s="125"/>
      <c r="AE330" s="241"/>
      <c r="AF330" s="284"/>
      <c r="AG330" s="282"/>
      <c r="AH330" s="292"/>
      <c r="AI330" s="292"/>
      <c r="AJ330" s="292"/>
      <c r="AK330" s="282"/>
      <c r="AL330" s="75"/>
      <c r="AM330" s="75"/>
      <c r="AN330" s="75"/>
      <c r="AO330" s="282"/>
      <c r="AP330" s="75"/>
      <c r="AQ330" s="75"/>
      <c r="AR330" s="75"/>
      <c r="AS330" s="75"/>
      <c r="AT330" s="75"/>
    </row>
    <row r="331">
      <c r="A331" s="282"/>
      <c r="B331" s="125"/>
      <c r="C331" s="113"/>
      <c r="D331" s="75"/>
      <c r="E331" s="282"/>
      <c r="F331" s="125"/>
      <c r="G331" s="113"/>
      <c r="H331" s="75"/>
      <c r="I331" s="282"/>
      <c r="J331" s="125"/>
      <c r="K331" s="113"/>
      <c r="L331" s="75"/>
      <c r="M331" s="282"/>
      <c r="N331" s="125"/>
      <c r="O331" s="113"/>
      <c r="P331" s="75"/>
      <c r="Q331" s="282"/>
      <c r="R331" s="125"/>
      <c r="S331" s="113"/>
      <c r="T331" s="75"/>
      <c r="U331" s="282"/>
      <c r="V331" s="125"/>
      <c r="W331" s="113"/>
      <c r="X331" s="75"/>
      <c r="Y331" s="282"/>
      <c r="Z331" s="290"/>
      <c r="AA331" s="291"/>
      <c r="AB331" s="73"/>
      <c r="AC331" s="282"/>
      <c r="AD331" s="125"/>
      <c r="AE331" s="241"/>
      <c r="AF331" s="284"/>
      <c r="AG331" s="282"/>
      <c r="AH331" s="292"/>
      <c r="AI331" s="292"/>
      <c r="AJ331" s="292"/>
      <c r="AK331" s="282"/>
      <c r="AL331" s="75"/>
      <c r="AM331" s="75"/>
      <c r="AN331" s="75"/>
      <c r="AO331" s="282"/>
      <c r="AP331" s="75"/>
      <c r="AQ331" s="75"/>
      <c r="AR331" s="75"/>
      <c r="AS331" s="75"/>
      <c r="AT331" s="75"/>
    </row>
    <row r="332">
      <c r="A332" s="282"/>
      <c r="B332" s="125"/>
      <c r="C332" s="113"/>
      <c r="D332" s="75"/>
      <c r="E332" s="282"/>
      <c r="F332" s="125"/>
      <c r="G332" s="113"/>
      <c r="H332" s="75"/>
      <c r="I332" s="282"/>
      <c r="J332" s="125"/>
      <c r="K332" s="113"/>
      <c r="L332" s="75"/>
      <c r="M332" s="282"/>
      <c r="N332" s="125"/>
      <c r="O332" s="113"/>
      <c r="P332" s="75"/>
      <c r="Q332" s="282"/>
      <c r="R332" s="125"/>
      <c r="S332" s="113"/>
      <c r="T332" s="75"/>
      <c r="U332" s="282"/>
      <c r="V332" s="125"/>
      <c r="W332" s="113"/>
      <c r="X332" s="75"/>
      <c r="Y332" s="282"/>
      <c r="Z332" s="290"/>
      <c r="AA332" s="291"/>
      <c r="AB332" s="73"/>
      <c r="AC332" s="282"/>
      <c r="AD332" s="125"/>
      <c r="AE332" s="241"/>
      <c r="AF332" s="284"/>
      <c r="AG332" s="282"/>
      <c r="AH332" s="292"/>
      <c r="AI332" s="292"/>
      <c r="AJ332" s="292"/>
      <c r="AK332" s="282"/>
      <c r="AL332" s="75"/>
      <c r="AM332" s="75"/>
      <c r="AN332" s="75"/>
      <c r="AO332" s="282"/>
      <c r="AP332" s="75"/>
      <c r="AQ332" s="75"/>
      <c r="AR332" s="75"/>
      <c r="AS332" s="75"/>
      <c r="AT332" s="75"/>
    </row>
    <row r="333">
      <c r="A333" s="282"/>
      <c r="B333" s="125"/>
      <c r="C333" s="113"/>
      <c r="D333" s="75"/>
      <c r="E333" s="282"/>
      <c r="F333" s="125"/>
      <c r="G333" s="113"/>
      <c r="H333" s="75"/>
      <c r="I333" s="282"/>
      <c r="J333" s="125"/>
      <c r="K333" s="113"/>
      <c r="L333" s="75"/>
      <c r="M333" s="282"/>
      <c r="N333" s="125"/>
      <c r="O333" s="113"/>
      <c r="P333" s="75"/>
      <c r="Q333" s="282"/>
      <c r="R333" s="125"/>
      <c r="S333" s="113"/>
      <c r="T333" s="75"/>
      <c r="U333" s="282"/>
      <c r="V333" s="125"/>
      <c r="W333" s="113"/>
      <c r="X333" s="75"/>
      <c r="Y333" s="282"/>
      <c r="Z333" s="290"/>
      <c r="AA333" s="291"/>
      <c r="AB333" s="73"/>
      <c r="AC333" s="282"/>
      <c r="AD333" s="125"/>
      <c r="AE333" s="241"/>
      <c r="AF333" s="284"/>
      <c r="AG333" s="282"/>
      <c r="AH333" s="292"/>
      <c r="AI333" s="292"/>
      <c r="AJ333" s="292"/>
      <c r="AK333" s="282"/>
      <c r="AL333" s="75"/>
      <c r="AM333" s="75"/>
      <c r="AN333" s="75"/>
      <c r="AO333" s="282"/>
      <c r="AP333" s="75"/>
      <c r="AQ333" s="75"/>
      <c r="AR333" s="75"/>
      <c r="AS333" s="75"/>
      <c r="AT333" s="75"/>
    </row>
    <row r="334">
      <c r="A334" s="282"/>
      <c r="B334" s="125"/>
      <c r="C334" s="113"/>
      <c r="D334" s="75"/>
      <c r="E334" s="282"/>
      <c r="F334" s="125"/>
      <c r="G334" s="113"/>
      <c r="H334" s="75"/>
      <c r="I334" s="282"/>
      <c r="J334" s="125"/>
      <c r="K334" s="113"/>
      <c r="L334" s="75"/>
      <c r="M334" s="282"/>
      <c r="N334" s="125"/>
      <c r="O334" s="113"/>
      <c r="P334" s="75"/>
      <c r="Q334" s="282"/>
      <c r="R334" s="125"/>
      <c r="S334" s="113"/>
      <c r="T334" s="75"/>
      <c r="U334" s="282"/>
      <c r="V334" s="125"/>
      <c r="W334" s="113"/>
      <c r="X334" s="75"/>
      <c r="Y334" s="282"/>
      <c r="Z334" s="290"/>
      <c r="AA334" s="291"/>
      <c r="AB334" s="73"/>
      <c r="AC334" s="282"/>
      <c r="AD334" s="125"/>
      <c r="AE334" s="241"/>
      <c r="AF334" s="284"/>
      <c r="AG334" s="282"/>
      <c r="AH334" s="292"/>
      <c r="AI334" s="292"/>
      <c r="AJ334" s="292"/>
      <c r="AK334" s="282"/>
      <c r="AL334" s="75"/>
      <c r="AM334" s="75"/>
      <c r="AN334" s="75"/>
      <c r="AO334" s="282"/>
      <c r="AP334" s="75"/>
      <c r="AQ334" s="75"/>
      <c r="AR334" s="75"/>
      <c r="AS334" s="75"/>
      <c r="AT334" s="75"/>
    </row>
    <row r="335">
      <c r="A335" s="282"/>
      <c r="B335" s="125"/>
      <c r="C335" s="113"/>
      <c r="D335" s="75"/>
      <c r="E335" s="282"/>
      <c r="F335" s="125"/>
      <c r="G335" s="113"/>
      <c r="H335" s="75"/>
      <c r="I335" s="282"/>
      <c r="J335" s="125"/>
      <c r="K335" s="113"/>
      <c r="L335" s="75"/>
      <c r="M335" s="282"/>
      <c r="N335" s="125"/>
      <c r="O335" s="113"/>
      <c r="P335" s="75"/>
      <c r="Q335" s="282"/>
      <c r="R335" s="125"/>
      <c r="S335" s="113"/>
      <c r="T335" s="75"/>
      <c r="U335" s="282"/>
      <c r="V335" s="125"/>
      <c r="W335" s="113"/>
      <c r="X335" s="75"/>
      <c r="Y335" s="282"/>
      <c r="Z335" s="290"/>
      <c r="AA335" s="291"/>
      <c r="AB335" s="73"/>
      <c r="AC335" s="282"/>
      <c r="AD335" s="125"/>
      <c r="AE335" s="241"/>
      <c r="AF335" s="284"/>
      <c r="AG335" s="282"/>
      <c r="AH335" s="292"/>
      <c r="AI335" s="292"/>
      <c r="AJ335" s="292"/>
      <c r="AK335" s="282"/>
      <c r="AL335" s="75"/>
      <c r="AM335" s="75"/>
      <c r="AN335" s="75"/>
      <c r="AO335" s="282"/>
      <c r="AP335" s="75"/>
      <c r="AQ335" s="75"/>
      <c r="AR335" s="75"/>
      <c r="AS335" s="75"/>
      <c r="AT335" s="75"/>
    </row>
    <row r="336">
      <c r="A336" s="282"/>
      <c r="B336" s="125"/>
      <c r="C336" s="113"/>
      <c r="D336" s="75"/>
      <c r="E336" s="282"/>
      <c r="F336" s="125"/>
      <c r="G336" s="113"/>
      <c r="H336" s="75"/>
      <c r="I336" s="282"/>
      <c r="J336" s="125"/>
      <c r="K336" s="113"/>
      <c r="L336" s="75"/>
      <c r="M336" s="282"/>
      <c r="N336" s="125"/>
      <c r="O336" s="113"/>
      <c r="P336" s="75"/>
      <c r="Q336" s="282"/>
      <c r="R336" s="125"/>
      <c r="S336" s="113"/>
      <c r="T336" s="75"/>
      <c r="U336" s="282"/>
      <c r="V336" s="125"/>
      <c r="W336" s="113"/>
      <c r="X336" s="75"/>
      <c r="Y336" s="282"/>
      <c r="Z336" s="290"/>
      <c r="AA336" s="291"/>
      <c r="AB336" s="73"/>
      <c r="AC336" s="282"/>
      <c r="AD336" s="125"/>
      <c r="AE336" s="241"/>
      <c r="AF336" s="284"/>
      <c r="AG336" s="282"/>
      <c r="AH336" s="292"/>
      <c r="AI336" s="292"/>
      <c r="AJ336" s="292"/>
      <c r="AK336" s="282"/>
      <c r="AL336" s="75"/>
      <c r="AM336" s="75"/>
      <c r="AN336" s="75"/>
      <c r="AO336" s="282"/>
      <c r="AP336" s="75"/>
      <c r="AQ336" s="75"/>
      <c r="AR336" s="75"/>
      <c r="AS336" s="75"/>
      <c r="AT336" s="75"/>
    </row>
    <row r="337">
      <c r="A337" s="282"/>
      <c r="B337" s="125"/>
      <c r="C337" s="113"/>
      <c r="D337" s="75"/>
      <c r="E337" s="282"/>
      <c r="F337" s="125"/>
      <c r="G337" s="113"/>
      <c r="H337" s="75"/>
      <c r="I337" s="282"/>
      <c r="J337" s="125"/>
      <c r="K337" s="113"/>
      <c r="L337" s="75"/>
      <c r="M337" s="282"/>
      <c r="N337" s="125"/>
      <c r="O337" s="113"/>
      <c r="P337" s="75"/>
      <c r="Q337" s="282"/>
      <c r="R337" s="125"/>
      <c r="S337" s="113"/>
      <c r="T337" s="75"/>
      <c r="U337" s="282"/>
      <c r="V337" s="125"/>
      <c r="W337" s="113"/>
      <c r="X337" s="75"/>
      <c r="Y337" s="282"/>
      <c r="Z337" s="290"/>
      <c r="AA337" s="291"/>
      <c r="AB337" s="73"/>
      <c r="AC337" s="282"/>
      <c r="AD337" s="125"/>
      <c r="AE337" s="241"/>
      <c r="AF337" s="284"/>
      <c r="AG337" s="282"/>
      <c r="AH337" s="292"/>
      <c r="AI337" s="292"/>
      <c r="AJ337" s="292"/>
      <c r="AK337" s="282"/>
      <c r="AL337" s="75"/>
      <c r="AM337" s="75"/>
      <c r="AN337" s="75"/>
      <c r="AO337" s="282"/>
      <c r="AP337" s="75"/>
      <c r="AQ337" s="75"/>
      <c r="AR337" s="75"/>
      <c r="AS337" s="75"/>
      <c r="AT337" s="75"/>
    </row>
    <row r="338">
      <c r="A338" s="282"/>
      <c r="B338" s="125"/>
      <c r="C338" s="113"/>
      <c r="D338" s="75"/>
      <c r="E338" s="282"/>
      <c r="F338" s="125"/>
      <c r="G338" s="113"/>
      <c r="H338" s="75"/>
      <c r="I338" s="282"/>
      <c r="J338" s="125"/>
      <c r="K338" s="113"/>
      <c r="L338" s="75"/>
      <c r="M338" s="282"/>
      <c r="N338" s="125"/>
      <c r="O338" s="113"/>
      <c r="P338" s="75"/>
      <c r="Q338" s="282"/>
      <c r="R338" s="125"/>
      <c r="S338" s="113"/>
      <c r="T338" s="75"/>
      <c r="U338" s="282"/>
      <c r="V338" s="125"/>
      <c r="W338" s="113"/>
      <c r="X338" s="75"/>
      <c r="Y338" s="282"/>
      <c r="Z338" s="290"/>
      <c r="AA338" s="291"/>
      <c r="AB338" s="73"/>
      <c r="AC338" s="282"/>
      <c r="AD338" s="125"/>
      <c r="AE338" s="241"/>
      <c r="AF338" s="284"/>
      <c r="AG338" s="282"/>
      <c r="AH338" s="292"/>
      <c r="AI338" s="292"/>
      <c r="AJ338" s="292"/>
      <c r="AK338" s="282"/>
      <c r="AL338" s="75"/>
      <c r="AM338" s="75"/>
      <c r="AN338" s="75"/>
      <c r="AO338" s="282"/>
      <c r="AP338" s="75"/>
      <c r="AQ338" s="75"/>
      <c r="AR338" s="75"/>
      <c r="AS338" s="75"/>
      <c r="AT338" s="75"/>
    </row>
    <row r="339">
      <c r="A339" s="282"/>
      <c r="B339" s="125"/>
      <c r="C339" s="113"/>
      <c r="D339" s="75"/>
      <c r="E339" s="282"/>
      <c r="F339" s="125"/>
      <c r="G339" s="113"/>
      <c r="H339" s="75"/>
      <c r="I339" s="282"/>
      <c r="J339" s="125"/>
      <c r="K339" s="113"/>
      <c r="L339" s="75"/>
      <c r="M339" s="282"/>
      <c r="N339" s="125"/>
      <c r="O339" s="113"/>
      <c r="P339" s="75"/>
      <c r="Q339" s="282"/>
      <c r="R339" s="125"/>
      <c r="S339" s="113"/>
      <c r="T339" s="75"/>
      <c r="U339" s="282"/>
      <c r="V339" s="125"/>
      <c r="W339" s="113"/>
      <c r="X339" s="75"/>
      <c r="Y339" s="282"/>
      <c r="Z339" s="290"/>
      <c r="AA339" s="291"/>
      <c r="AB339" s="73"/>
      <c r="AC339" s="282"/>
      <c r="AD339" s="125"/>
      <c r="AE339" s="241"/>
      <c r="AF339" s="284"/>
      <c r="AG339" s="282"/>
      <c r="AH339" s="292"/>
      <c r="AI339" s="292"/>
      <c r="AJ339" s="292"/>
      <c r="AK339" s="282"/>
      <c r="AL339" s="75"/>
      <c r="AM339" s="75"/>
      <c r="AN339" s="75"/>
      <c r="AO339" s="282"/>
      <c r="AP339" s="75"/>
      <c r="AQ339" s="75"/>
      <c r="AR339" s="75"/>
      <c r="AS339" s="75"/>
      <c r="AT339" s="75"/>
    </row>
    <row r="340">
      <c r="A340" s="282"/>
      <c r="B340" s="125"/>
      <c r="C340" s="113"/>
      <c r="D340" s="75"/>
      <c r="E340" s="282"/>
      <c r="F340" s="125"/>
      <c r="G340" s="113"/>
      <c r="H340" s="75"/>
      <c r="I340" s="282"/>
      <c r="J340" s="125"/>
      <c r="K340" s="113"/>
      <c r="L340" s="75"/>
      <c r="M340" s="282"/>
      <c r="N340" s="125"/>
      <c r="O340" s="113"/>
      <c r="P340" s="75"/>
      <c r="Q340" s="282"/>
      <c r="R340" s="125"/>
      <c r="S340" s="113"/>
      <c r="T340" s="75"/>
      <c r="U340" s="282"/>
      <c r="V340" s="125"/>
      <c r="W340" s="113"/>
      <c r="X340" s="75"/>
      <c r="Y340" s="282"/>
      <c r="Z340" s="290"/>
      <c r="AA340" s="291"/>
      <c r="AB340" s="73"/>
      <c r="AC340" s="282"/>
      <c r="AD340" s="125"/>
      <c r="AE340" s="241"/>
      <c r="AF340" s="284"/>
      <c r="AG340" s="282"/>
      <c r="AH340" s="292"/>
      <c r="AI340" s="292"/>
      <c r="AJ340" s="292"/>
      <c r="AK340" s="282"/>
      <c r="AL340" s="75"/>
      <c r="AM340" s="75"/>
      <c r="AN340" s="75"/>
      <c r="AO340" s="282"/>
      <c r="AP340" s="75"/>
      <c r="AQ340" s="75"/>
      <c r="AR340" s="75"/>
      <c r="AS340" s="75"/>
      <c r="AT340" s="75"/>
    </row>
    <row r="341">
      <c r="A341" s="282"/>
      <c r="B341" s="125"/>
      <c r="C341" s="113"/>
      <c r="D341" s="75"/>
      <c r="E341" s="282"/>
      <c r="F341" s="125"/>
      <c r="G341" s="113"/>
      <c r="H341" s="75"/>
      <c r="I341" s="282"/>
      <c r="J341" s="125"/>
      <c r="K341" s="113"/>
      <c r="L341" s="75"/>
      <c r="M341" s="282"/>
      <c r="N341" s="125"/>
      <c r="O341" s="113"/>
      <c r="P341" s="75"/>
      <c r="Q341" s="282"/>
      <c r="R341" s="125"/>
      <c r="S341" s="113"/>
      <c r="T341" s="75"/>
      <c r="U341" s="282"/>
      <c r="V341" s="125"/>
      <c r="W341" s="113"/>
      <c r="X341" s="75"/>
      <c r="Y341" s="282"/>
      <c r="Z341" s="290"/>
      <c r="AA341" s="291"/>
      <c r="AB341" s="73"/>
      <c r="AC341" s="282"/>
      <c r="AD341" s="125"/>
      <c r="AE341" s="241"/>
      <c r="AF341" s="284"/>
      <c r="AG341" s="282"/>
      <c r="AH341" s="292"/>
      <c r="AI341" s="292"/>
      <c r="AJ341" s="292"/>
      <c r="AK341" s="282"/>
      <c r="AL341" s="75"/>
      <c r="AM341" s="75"/>
      <c r="AN341" s="75"/>
      <c r="AO341" s="282"/>
      <c r="AP341" s="75"/>
      <c r="AQ341" s="75"/>
      <c r="AR341" s="75"/>
      <c r="AS341" s="75"/>
      <c r="AT341" s="75"/>
    </row>
    <row r="342">
      <c r="A342" s="282"/>
      <c r="B342" s="125"/>
      <c r="C342" s="113"/>
      <c r="D342" s="75"/>
      <c r="E342" s="282"/>
      <c r="F342" s="125"/>
      <c r="G342" s="113"/>
      <c r="H342" s="75"/>
      <c r="I342" s="282"/>
      <c r="J342" s="125"/>
      <c r="K342" s="113"/>
      <c r="L342" s="75"/>
      <c r="M342" s="282"/>
      <c r="N342" s="125"/>
      <c r="O342" s="113"/>
      <c r="P342" s="75"/>
      <c r="Q342" s="282"/>
      <c r="R342" s="125"/>
      <c r="S342" s="113"/>
      <c r="T342" s="75"/>
      <c r="U342" s="282"/>
      <c r="V342" s="125"/>
      <c r="W342" s="113"/>
      <c r="X342" s="75"/>
      <c r="Y342" s="282"/>
      <c r="Z342" s="290"/>
      <c r="AA342" s="291"/>
      <c r="AB342" s="73"/>
      <c r="AC342" s="282"/>
      <c r="AD342" s="125"/>
      <c r="AE342" s="241"/>
      <c r="AF342" s="284"/>
      <c r="AG342" s="282"/>
      <c r="AH342" s="292"/>
      <c r="AI342" s="292"/>
      <c r="AJ342" s="292"/>
      <c r="AK342" s="282"/>
      <c r="AL342" s="75"/>
      <c r="AM342" s="75"/>
      <c r="AN342" s="75"/>
      <c r="AO342" s="282"/>
      <c r="AP342" s="75"/>
      <c r="AQ342" s="75"/>
      <c r="AR342" s="75"/>
      <c r="AS342" s="75"/>
      <c r="AT342" s="75"/>
    </row>
    <row r="343">
      <c r="A343" s="282"/>
      <c r="B343" s="125"/>
      <c r="C343" s="113"/>
      <c r="D343" s="75"/>
      <c r="E343" s="282"/>
      <c r="F343" s="125"/>
      <c r="G343" s="113"/>
      <c r="H343" s="75"/>
      <c r="I343" s="282"/>
      <c r="J343" s="125"/>
      <c r="K343" s="113"/>
      <c r="L343" s="75"/>
      <c r="M343" s="282"/>
      <c r="N343" s="125"/>
      <c r="O343" s="113"/>
      <c r="P343" s="75"/>
      <c r="Q343" s="282"/>
      <c r="R343" s="125"/>
      <c r="S343" s="113"/>
      <c r="T343" s="75"/>
      <c r="U343" s="282"/>
      <c r="V343" s="125"/>
      <c r="W343" s="113"/>
      <c r="X343" s="75"/>
      <c r="Y343" s="282"/>
      <c r="Z343" s="290"/>
      <c r="AA343" s="291"/>
      <c r="AB343" s="73"/>
      <c r="AC343" s="282"/>
      <c r="AD343" s="125"/>
      <c r="AE343" s="241"/>
      <c r="AF343" s="284"/>
      <c r="AG343" s="282"/>
      <c r="AH343" s="292"/>
      <c r="AI343" s="292"/>
      <c r="AJ343" s="292"/>
      <c r="AK343" s="282"/>
      <c r="AL343" s="75"/>
      <c r="AM343" s="75"/>
      <c r="AN343" s="75"/>
      <c r="AO343" s="282"/>
      <c r="AP343" s="75"/>
      <c r="AQ343" s="75"/>
      <c r="AR343" s="75"/>
      <c r="AS343" s="75"/>
      <c r="AT343" s="75"/>
    </row>
    <row r="344">
      <c r="A344" s="282"/>
      <c r="B344" s="125"/>
      <c r="C344" s="113"/>
      <c r="D344" s="75"/>
      <c r="E344" s="282"/>
      <c r="F344" s="125"/>
      <c r="G344" s="113"/>
      <c r="H344" s="75"/>
      <c r="I344" s="282"/>
      <c r="J344" s="125"/>
      <c r="K344" s="113"/>
      <c r="L344" s="75"/>
      <c r="M344" s="282"/>
      <c r="N344" s="125"/>
      <c r="O344" s="113"/>
      <c r="P344" s="75"/>
      <c r="Q344" s="282"/>
      <c r="R344" s="125"/>
      <c r="S344" s="113"/>
      <c r="T344" s="75"/>
      <c r="U344" s="282"/>
      <c r="V344" s="125"/>
      <c r="W344" s="113"/>
      <c r="X344" s="75"/>
      <c r="Y344" s="282"/>
      <c r="Z344" s="290"/>
      <c r="AA344" s="291"/>
      <c r="AB344" s="73"/>
      <c r="AC344" s="282"/>
      <c r="AD344" s="125"/>
      <c r="AE344" s="241"/>
      <c r="AF344" s="284"/>
      <c r="AG344" s="282"/>
      <c r="AH344" s="292"/>
      <c r="AI344" s="292"/>
      <c r="AJ344" s="292"/>
      <c r="AK344" s="282"/>
      <c r="AL344" s="75"/>
      <c r="AM344" s="75"/>
      <c r="AN344" s="75"/>
      <c r="AO344" s="282"/>
      <c r="AP344" s="75"/>
      <c r="AQ344" s="75"/>
      <c r="AR344" s="75"/>
      <c r="AS344" s="75"/>
      <c r="AT344" s="75"/>
    </row>
    <row r="345">
      <c r="A345" s="282"/>
      <c r="B345" s="125"/>
      <c r="C345" s="113"/>
      <c r="D345" s="75"/>
      <c r="E345" s="282"/>
      <c r="F345" s="125"/>
      <c r="G345" s="113"/>
      <c r="H345" s="75"/>
      <c r="I345" s="282"/>
      <c r="J345" s="125"/>
      <c r="K345" s="113"/>
      <c r="L345" s="75"/>
      <c r="M345" s="282"/>
      <c r="N345" s="125"/>
      <c r="O345" s="113"/>
      <c r="P345" s="75"/>
      <c r="Q345" s="282"/>
      <c r="R345" s="125"/>
      <c r="S345" s="113"/>
      <c r="T345" s="75"/>
      <c r="U345" s="282"/>
      <c r="V345" s="125"/>
      <c r="W345" s="113"/>
      <c r="X345" s="75"/>
      <c r="Y345" s="282"/>
      <c r="Z345" s="290"/>
      <c r="AA345" s="291"/>
      <c r="AB345" s="73"/>
      <c r="AC345" s="282"/>
      <c r="AD345" s="125"/>
      <c r="AE345" s="241"/>
      <c r="AF345" s="284"/>
      <c r="AG345" s="282"/>
      <c r="AH345" s="292"/>
      <c r="AI345" s="292"/>
      <c r="AJ345" s="292"/>
      <c r="AK345" s="282"/>
      <c r="AL345" s="75"/>
      <c r="AM345" s="75"/>
      <c r="AN345" s="75"/>
      <c r="AO345" s="282"/>
      <c r="AP345" s="75"/>
      <c r="AQ345" s="75"/>
      <c r="AR345" s="75"/>
      <c r="AS345" s="75"/>
      <c r="AT345" s="75"/>
    </row>
    <row r="346">
      <c r="A346" s="282"/>
      <c r="B346" s="125"/>
      <c r="C346" s="113"/>
      <c r="D346" s="75"/>
      <c r="E346" s="282"/>
      <c r="F346" s="125"/>
      <c r="G346" s="113"/>
      <c r="H346" s="75"/>
      <c r="I346" s="282"/>
      <c r="J346" s="125"/>
      <c r="K346" s="113"/>
      <c r="L346" s="75"/>
      <c r="M346" s="282"/>
      <c r="N346" s="125"/>
      <c r="O346" s="113"/>
      <c r="P346" s="75"/>
      <c r="Q346" s="282"/>
      <c r="R346" s="125"/>
      <c r="S346" s="113"/>
      <c r="T346" s="75"/>
      <c r="U346" s="282"/>
      <c r="V346" s="125"/>
      <c r="W346" s="113"/>
      <c r="X346" s="75"/>
      <c r="Y346" s="282"/>
      <c r="Z346" s="290"/>
      <c r="AA346" s="291"/>
      <c r="AB346" s="73"/>
      <c r="AC346" s="282"/>
      <c r="AD346" s="125"/>
      <c r="AE346" s="241"/>
      <c r="AF346" s="284"/>
      <c r="AG346" s="282"/>
      <c r="AH346" s="292"/>
      <c r="AI346" s="292"/>
      <c r="AJ346" s="292"/>
      <c r="AK346" s="282"/>
      <c r="AL346" s="75"/>
      <c r="AM346" s="75"/>
      <c r="AN346" s="75"/>
      <c r="AO346" s="282"/>
      <c r="AP346" s="75"/>
      <c r="AQ346" s="75"/>
      <c r="AR346" s="75"/>
      <c r="AS346" s="75"/>
      <c r="AT346" s="75"/>
    </row>
    <row r="347">
      <c r="A347" s="282"/>
      <c r="B347" s="125"/>
      <c r="C347" s="113"/>
      <c r="D347" s="75"/>
      <c r="E347" s="282"/>
      <c r="F347" s="125"/>
      <c r="G347" s="113"/>
      <c r="H347" s="75"/>
      <c r="I347" s="282"/>
      <c r="J347" s="125"/>
      <c r="K347" s="113"/>
      <c r="L347" s="75"/>
      <c r="M347" s="282"/>
      <c r="N347" s="125"/>
      <c r="O347" s="113"/>
      <c r="P347" s="75"/>
      <c r="Q347" s="282"/>
      <c r="R347" s="125"/>
      <c r="S347" s="113"/>
      <c r="T347" s="75"/>
      <c r="U347" s="282"/>
      <c r="V347" s="125"/>
      <c r="W347" s="113"/>
      <c r="X347" s="75"/>
      <c r="Y347" s="282"/>
      <c r="Z347" s="290"/>
      <c r="AA347" s="291"/>
      <c r="AB347" s="73"/>
      <c r="AC347" s="282"/>
      <c r="AD347" s="125"/>
      <c r="AE347" s="241"/>
      <c r="AF347" s="284"/>
      <c r="AG347" s="282"/>
      <c r="AH347" s="292"/>
      <c r="AI347" s="292"/>
      <c r="AJ347" s="292"/>
      <c r="AK347" s="282"/>
      <c r="AL347" s="75"/>
      <c r="AM347" s="75"/>
      <c r="AN347" s="75"/>
      <c r="AO347" s="282"/>
      <c r="AP347" s="75"/>
      <c r="AQ347" s="75"/>
      <c r="AR347" s="75"/>
      <c r="AS347" s="75"/>
      <c r="AT347" s="75"/>
    </row>
    <row r="348">
      <c r="A348" s="282"/>
      <c r="B348" s="125"/>
      <c r="C348" s="113"/>
      <c r="D348" s="75"/>
      <c r="E348" s="282"/>
      <c r="F348" s="125"/>
      <c r="G348" s="113"/>
      <c r="H348" s="75"/>
      <c r="I348" s="282"/>
      <c r="J348" s="125"/>
      <c r="K348" s="113"/>
      <c r="L348" s="75"/>
      <c r="M348" s="282"/>
      <c r="N348" s="125"/>
      <c r="O348" s="113"/>
      <c r="P348" s="75"/>
      <c r="Q348" s="282"/>
      <c r="R348" s="125"/>
      <c r="S348" s="113"/>
      <c r="T348" s="75"/>
      <c r="U348" s="282"/>
      <c r="V348" s="125"/>
      <c r="W348" s="113"/>
      <c r="X348" s="75"/>
      <c r="Y348" s="282"/>
      <c r="Z348" s="290"/>
      <c r="AA348" s="291"/>
      <c r="AB348" s="73"/>
      <c r="AC348" s="282"/>
      <c r="AD348" s="125"/>
      <c r="AE348" s="241"/>
      <c r="AF348" s="284"/>
      <c r="AG348" s="282"/>
      <c r="AH348" s="292"/>
      <c r="AI348" s="292"/>
      <c r="AJ348" s="292"/>
      <c r="AK348" s="282"/>
      <c r="AL348" s="75"/>
      <c r="AM348" s="75"/>
      <c r="AN348" s="75"/>
      <c r="AO348" s="282"/>
      <c r="AP348" s="75"/>
      <c r="AQ348" s="75"/>
      <c r="AR348" s="75"/>
      <c r="AS348" s="75"/>
      <c r="AT348" s="75"/>
    </row>
    <row r="349">
      <c r="A349" s="282"/>
      <c r="B349" s="125"/>
      <c r="C349" s="113"/>
      <c r="D349" s="75"/>
      <c r="E349" s="282"/>
      <c r="F349" s="125"/>
      <c r="G349" s="113"/>
      <c r="H349" s="75"/>
      <c r="I349" s="282"/>
      <c r="J349" s="125"/>
      <c r="K349" s="113"/>
      <c r="L349" s="75"/>
      <c r="M349" s="282"/>
      <c r="N349" s="125"/>
      <c r="O349" s="113"/>
      <c r="P349" s="75"/>
      <c r="Q349" s="282"/>
      <c r="R349" s="125"/>
      <c r="S349" s="113"/>
      <c r="T349" s="75"/>
      <c r="U349" s="282"/>
      <c r="V349" s="125"/>
      <c r="W349" s="113"/>
      <c r="X349" s="75"/>
      <c r="Y349" s="282"/>
      <c r="Z349" s="290"/>
      <c r="AA349" s="291"/>
      <c r="AB349" s="73"/>
      <c r="AC349" s="282"/>
      <c r="AD349" s="125"/>
      <c r="AE349" s="241"/>
      <c r="AF349" s="284"/>
      <c r="AG349" s="282"/>
      <c r="AH349" s="292"/>
      <c r="AI349" s="292"/>
      <c r="AJ349" s="292"/>
      <c r="AK349" s="282"/>
      <c r="AL349" s="75"/>
      <c r="AM349" s="75"/>
      <c r="AN349" s="75"/>
      <c r="AO349" s="282"/>
      <c r="AP349" s="75"/>
      <c r="AQ349" s="75"/>
      <c r="AR349" s="75"/>
      <c r="AS349" s="75"/>
      <c r="AT349" s="75"/>
    </row>
    <row r="350">
      <c r="A350" s="282"/>
      <c r="B350" s="125"/>
      <c r="C350" s="113"/>
      <c r="D350" s="75"/>
      <c r="E350" s="282"/>
      <c r="F350" s="125"/>
      <c r="G350" s="113"/>
      <c r="H350" s="75"/>
      <c r="I350" s="282"/>
      <c r="J350" s="125"/>
      <c r="K350" s="113"/>
      <c r="L350" s="75"/>
      <c r="M350" s="282"/>
      <c r="N350" s="125"/>
      <c r="O350" s="113"/>
      <c r="P350" s="75"/>
      <c r="Q350" s="282"/>
      <c r="R350" s="125"/>
      <c r="S350" s="113"/>
      <c r="T350" s="75"/>
      <c r="U350" s="282"/>
      <c r="V350" s="125"/>
      <c r="W350" s="113"/>
      <c r="X350" s="75"/>
      <c r="Y350" s="282"/>
      <c r="Z350" s="290"/>
      <c r="AA350" s="291"/>
      <c r="AB350" s="73"/>
      <c r="AC350" s="282"/>
      <c r="AD350" s="125"/>
      <c r="AE350" s="241"/>
      <c r="AF350" s="284"/>
      <c r="AG350" s="282"/>
      <c r="AH350" s="292"/>
      <c r="AI350" s="292"/>
      <c r="AJ350" s="292"/>
      <c r="AK350" s="282"/>
      <c r="AL350" s="75"/>
      <c r="AM350" s="75"/>
      <c r="AN350" s="75"/>
      <c r="AO350" s="282"/>
      <c r="AP350" s="75"/>
      <c r="AQ350" s="75"/>
      <c r="AR350" s="75"/>
      <c r="AS350" s="75"/>
      <c r="AT350" s="75"/>
    </row>
    <row r="351">
      <c r="A351" s="282"/>
      <c r="B351" s="125"/>
      <c r="C351" s="113"/>
      <c r="D351" s="75"/>
      <c r="E351" s="282"/>
      <c r="F351" s="125"/>
      <c r="G351" s="113"/>
      <c r="H351" s="75"/>
      <c r="I351" s="282"/>
      <c r="J351" s="125"/>
      <c r="K351" s="113"/>
      <c r="L351" s="75"/>
      <c r="M351" s="282"/>
      <c r="N351" s="125"/>
      <c r="O351" s="113"/>
      <c r="P351" s="75"/>
      <c r="Q351" s="282"/>
      <c r="R351" s="125"/>
      <c r="S351" s="113"/>
      <c r="T351" s="75"/>
      <c r="U351" s="282"/>
      <c r="V351" s="125"/>
      <c r="W351" s="113"/>
      <c r="X351" s="75"/>
      <c r="Y351" s="282"/>
      <c r="Z351" s="290"/>
      <c r="AA351" s="291"/>
      <c r="AB351" s="73"/>
      <c r="AC351" s="282"/>
      <c r="AD351" s="125"/>
      <c r="AE351" s="241"/>
      <c r="AF351" s="284"/>
      <c r="AG351" s="282"/>
      <c r="AH351" s="292"/>
      <c r="AI351" s="292"/>
      <c r="AJ351" s="292"/>
      <c r="AK351" s="282"/>
      <c r="AL351" s="75"/>
      <c r="AM351" s="75"/>
      <c r="AN351" s="75"/>
      <c r="AO351" s="282"/>
      <c r="AP351" s="75"/>
      <c r="AQ351" s="75"/>
      <c r="AR351" s="75"/>
      <c r="AS351" s="75"/>
      <c r="AT351" s="75"/>
    </row>
    <row r="352">
      <c r="A352" s="282"/>
      <c r="B352" s="125"/>
      <c r="C352" s="113"/>
      <c r="D352" s="75"/>
      <c r="E352" s="282"/>
      <c r="F352" s="125"/>
      <c r="G352" s="113"/>
      <c r="H352" s="75"/>
      <c r="I352" s="282"/>
      <c r="J352" s="125"/>
      <c r="K352" s="113"/>
      <c r="L352" s="75"/>
      <c r="M352" s="282"/>
      <c r="N352" s="125"/>
      <c r="O352" s="113"/>
      <c r="P352" s="75"/>
      <c r="Q352" s="282"/>
      <c r="R352" s="125"/>
      <c r="S352" s="113"/>
      <c r="T352" s="75"/>
      <c r="U352" s="282"/>
      <c r="V352" s="125"/>
      <c r="W352" s="113"/>
      <c r="X352" s="75"/>
      <c r="Y352" s="282"/>
      <c r="Z352" s="290"/>
      <c r="AA352" s="291"/>
      <c r="AB352" s="73"/>
      <c r="AC352" s="282"/>
      <c r="AD352" s="125"/>
      <c r="AE352" s="241"/>
      <c r="AF352" s="284"/>
      <c r="AG352" s="282"/>
      <c r="AH352" s="292"/>
      <c r="AI352" s="292"/>
      <c r="AJ352" s="292"/>
      <c r="AK352" s="282"/>
      <c r="AL352" s="75"/>
      <c r="AM352" s="75"/>
      <c r="AN352" s="75"/>
      <c r="AO352" s="282"/>
      <c r="AP352" s="75"/>
      <c r="AQ352" s="75"/>
      <c r="AR352" s="75"/>
      <c r="AS352" s="75"/>
      <c r="AT352" s="75"/>
    </row>
    <row r="353">
      <c r="A353" s="282"/>
      <c r="B353" s="125"/>
      <c r="C353" s="113"/>
      <c r="D353" s="75"/>
      <c r="E353" s="282"/>
      <c r="F353" s="125"/>
      <c r="G353" s="113"/>
      <c r="H353" s="75"/>
      <c r="I353" s="282"/>
      <c r="J353" s="125"/>
      <c r="K353" s="113"/>
      <c r="L353" s="75"/>
      <c r="M353" s="282"/>
      <c r="N353" s="125"/>
      <c r="O353" s="113"/>
      <c r="P353" s="75"/>
      <c r="Q353" s="282"/>
      <c r="R353" s="125"/>
      <c r="S353" s="113"/>
      <c r="T353" s="75"/>
      <c r="U353" s="282"/>
      <c r="V353" s="125"/>
      <c r="W353" s="113"/>
      <c r="X353" s="75"/>
      <c r="Y353" s="282"/>
      <c r="Z353" s="290"/>
      <c r="AA353" s="291"/>
      <c r="AB353" s="73"/>
      <c r="AC353" s="282"/>
      <c r="AD353" s="125"/>
      <c r="AE353" s="241"/>
      <c r="AF353" s="284"/>
      <c r="AG353" s="282"/>
      <c r="AH353" s="292"/>
      <c r="AI353" s="292"/>
      <c r="AJ353" s="292"/>
      <c r="AK353" s="282"/>
      <c r="AL353" s="75"/>
      <c r="AM353" s="75"/>
      <c r="AN353" s="75"/>
      <c r="AO353" s="282"/>
      <c r="AP353" s="75"/>
      <c r="AQ353" s="75"/>
      <c r="AR353" s="75"/>
      <c r="AS353" s="75"/>
      <c r="AT353" s="75"/>
    </row>
    <row r="354">
      <c r="A354" s="282"/>
      <c r="B354" s="125"/>
      <c r="C354" s="113"/>
      <c r="D354" s="75"/>
      <c r="E354" s="282"/>
      <c r="F354" s="125"/>
      <c r="G354" s="113"/>
      <c r="H354" s="75"/>
      <c r="I354" s="282"/>
      <c r="J354" s="125"/>
      <c r="K354" s="113"/>
      <c r="L354" s="75"/>
      <c r="M354" s="282"/>
      <c r="N354" s="125"/>
      <c r="O354" s="113"/>
      <c r="P354" s="75"/>
      <c r="Q354" s="282"/>
      <c r="R354" s="125"/>
      <c r="S354" s="113"/>
      <c r="T354" s="75"/>
      <c r="U354" s="282"/>
      <c r="V354" s="125"/>
      <c r="W354" s="113"/>
      <c r="X354" s="75"/>
      <c r="Y354" s="282"/>
      <c r="Z354" s="290"/>
      <c r="AA354" s="291"/>
      <c r="AB354" s="73"/>
      <c r="AC354" s="282"/>
      <c r="AD354" s="125"/>
      <c r="AE354" s="241"/>
      <c r="AF354" s="284"/>
      <c r="AG354" s="282"/>
      <c r="AH354" s="292"/>
      <c r="AI354" s="292"/>
      <c r="AJ354" s="292"/>
      <c r="AK354" s="282"/>
      <c r="AL354" s="75"/>
      <c r="AM354" s="75"/>
      <c r="AN354" s="75"/>
      <c r="AO354" s="282"/>
      <c r="AP354" s="75"/>
      <c r="AQ354" s="75"/>
      <c r="AR354" s="75"/>
      <c r="AS354" s="75"/>
      <c r="AT354" s="75"/>
    </row>
    <row r="355">
      <c r="A355" s="282"/>
      <c r="B355" s="125"/>
      <c r="C355" s="113"/>
      <c r="D355" s="75"/>
      <c r="E355" s="282"/>
      <c r="F355" s="125"/>
      <c r="G355" s="113"/>
      <c r="H355" s="75"/>
      <c r="I355" s="282"/>
      <c r="J355" s="125"/>
      <c r="K355" s="113"/>
      <c r="L355" s="75"/>
      <c r="M355" s="282"/>
      <c r="N355" s="125"/>
      <c r="O355" s="113"/>
      <c r="P355" s="75"/>
      <c r="Q355" s="282"/>
      <c r="R355" s="125"/>
      <c r="S355" s="113"/>
      <c r="T355" s="75"/>
      <c r="U355" s="282"/>
      <c r="V355" s="125"/>
      <c r="W355" s="113"/>
      <c r="X355" s="75"/>
      <c r="Y355" s="282"/>
      <c r="Z355" s="290"/>
      <c r="AA355" s="291"/>
      <c r="AB355" s="73"/>
      <c r="AC355" s="282"/>
      <c r="AD355" s="125"/>
      <c r="AE355" s="241"/>
      <c r="AF355" s="284"/>
      <c r="AG355" s="282"/>
      <c r="AH355" s="292"/>
      <c r="AI355" s="292"/>
      <c r="AJ355" s="292"/>
      <c r="AK355" s="282"/>
      <c r="AL355" s="75"/>
      <c r="AM355" s="75"/>
      <c r="AN355" s="75"/>
      <c r="AO355" s="282"/>
      <c r="AP355" s="75"/>
      <c r="AQ355" s="75"/>
      <c r="AR355" s="75"/>
      <c r="AS355" s="75"/>
      <c r="AT355" s="75"/>
    </row>
    <row r="356">
      <c r="A356" s="282"/>
      <c r="B356" s="125"/>
      <c r="C356" s="113"/>
      <c r="D356" s="75"/>
      <c r="E356" s="282"/>
      <c r="F356" s="125"/>
      <c r="G356" s="113"/>
      <c r="H356" s="75"/>
      <c r="I356" s="282"/>
      <c r="J356" s="125"/>
      <c r="K356" s="113"/>
      <c r="L356" s="75"/>
      <c r="M356" s="282"/>
      <c r="N356" s="125"/>
      <c r="O356" s="113"/>
      <c r="P356" s="75"/>
      <c r="Q356" s="282"/>
      <c r="R356" s="125"/>
      <c r="S356" s="113"/>
      <c r="T356" s="75"/>
      <c r="U356" s="282"/>
      <c r="V356" s="125"/>
      <c r="W356" s="113"/>
      <c r="X356" s="75"/>
      <c r="Y356" s="282"/>
      <c r="Z356" s="290"/>
      <c r="AA356" s="291"/>
      <c r="AB356" s="73"/>
      <c r="AC356" s="282"/>
      <c r="AD356" s="125"/>
      <c r="AE356" s="241"/>
      <c r="AF356" s="284"/>
      <c r="AG356" s="282"/>
      <c r="AH356" s="292"/>
      <c r="AI356" s="292"/>
      <c r="AJ356" s="292"/>
      <c r="AK356" s="282"/>
      <c r="AL356" s="75"/>
      <c r="AM356" s="75"/>
      <c r="AN356" s="75"/>
      <c r="AO356" s="282"/>
      <c r="AP356" s="75"/>
      <c r="AQ356" s="75"/>
      <c r="AR356" s="75"/>
      <c r="AS356" s="75"/>
      <c r="AT356" s="75"/>
    </row>
    <row r="357">
      <c r="A357" s="282"/>
      <c r="B357" s="125"/>
      <c r="C357" s="113"/>
      <c r="D357" s="75"/>
      <c r="E357" s="282"/>
      <c r="F357" s="125"/>
      <c r="G357" s="113"/>
      <c r="H357" s="75"/>
      <c r="I357" s="282"/>
      <c r="J357" s="125"/>
      <c r="K357" s="113"/>
      <c r="L357" s="75"/>
      <c r="M357" s="282"/>
      <c r="N357" s="125"/>
      <c r="O357" s="113"/>
      <c r="P357" s="75"/>
      <c r="Q357" s="282"/>
      <c r="R357" s="125"/>
      <c r="S357" s="113"/>
      <c r="T357" s="75"/>
      <c r="U357" s="282"/>
      <c r="V357" s="125"/>
      <c r="W357" s="113"/>
      <c r="X357" s="75"/>
      <c r="Y357" s="282"/>
      <c r="Z357" s="290"/>
      <c r="AA357" s="291"/>
      <c r="AB357" s="73"/>
      <c r="AC357" s="282"/>
      <c r="AD357" s="125"/>
      <c r="AE357" s="241"/>
      <c r="AF357" s="284"/>
      <c r="AG357" s="282"/>
      <c r="AH357" s="292"/>
      <c r="AI357" s="292"/>
      <c r="AJ357" s="292"/>
      <c r="AK357" s="282"/>
      <c r="AL357" s="75"/>
      <c r="AM357" s="75"/>
      <c r="AN357" s="75"/>
      <c r="AO357" s="282"/>
      <c r="AP357" s="75"/>
      <c r="AQ357" s="75"/>
      <c r="AR357" s="75"/>
      <c r="AS357" s="75"/>
      <c r="AT357" s="75"/>
    </row>
    <row r="358">
      <c r="A358" s="282"/>
      <c r="B358" s="125"/>
      <c r="C358" s="113"/>
      <c r="D358" s="75"/>
      <c r="E358" s="282"/>
      <c r="F358" s="125"/>
      <c r="G358" s="113"/>
      <c r="H358" s="75"/>
      <c r="I358" s="282"/>
      <c r="J358" s="125"/>
      <c r="K358" s="113"/>
      <c r="L358" s="75"/>
      <c r="M358" s="282"/>
      <c r="N358" s="125"/>
      <c r="O358" s="113"/>
      <c r="P358" s="75"/>
      <c r="Q358" s="282"/>
      <c r="R358" s="125"/>
      <c r="S358" s="113"/>
      <c r="T358" s="75"/>
      <c r="U358" s="282"/>
      <c r="V358" s="125"/>
      <c r="W358" s="113"/>
      <c r="X358" s="75"/>
      <c r="Y358" s="282"/>
      <c r="Z358" s="290"/>
      <c r="AA358" s="291"/>
      <c r="AB358" s="73"/>
      <c r="AC358" s="282"/>
      <c r="AD358" s="125"/>
      <c r="AE358" s="241"/>
      <c r="AF358" s="284"/>
      <c r="AG358" s="282"/>
      <c r="AH358" s="292"/>
      <c r="AI358" s="292"/>
      <c r="AJ358" s="292"/>
      <c r="AK358" s="282"/>
      <c r="AL358" s="75"/>
      <c r="AM358" s="75"/>
      <c r="AN358" s="75"/>
      <c r="AO358" s="282"/>
      <c r="AP358" s="75"/>
      <c r="AQ358" s="75"/>
      <c r="AR358" s="75"/>
      <c r="AS358" s="75"/>
      <c r="AT358" s="75"/>
    </row>
    <row r="359">
      <c r="A359" s="282"/>
      <c r="B359" s="125"/>
      <c r="C359" s="113"/>
      <c r="D359" s="75"/>
      <c r="E359" s="282"/>
      <c r="F359" s="125"/>
      <c r="G359" s="113"/>
      <c r="H359" s="75"/>
      <c r="I359" s="282"/>
      <c r="J359" s="125"/>
      <c r="K359" s="113"/>
      <c r="L359" s="75"/>
      <c r="M359" s="282"/>
      <c r="N359" s="125"/>
      <c r="O359" s="113"/>
      <c r="P359" s="75"/>
      <c r="Q359" s="282"/>
      <c r="R359" s="125"/>
      <c r="S359" s="113"/>
      <c r="T359" s="75"/>
      <c r="U359" s="282"/>
      <c r="V359" s="125"/>
      <c r="W359" s="113"/>
      <c r="X359" s="75"/>
      <c r="Y359" s="282"/>
      <c r="Z359" s="290"/>
      <c r="AA359" s="291"/>
      <c r="AB359" s="73"/>
      <c r="AC359" s="282"/>
      <c r="AD359" s="125"/>
      <c r="AE359" s="241"/>
      <c r="AF359" s="284"/>
      <c r="AG359" s="282"/>
      <c r="AH359" s="292"/>
      <c r="AI359" s="292"/>
      <c r="AJ359" s="292"/>
      <c r="AK359" s="282"/>
      <c r="AL359" s="75"/>
      <c r="AM359" s="75"/>
      <c r="AN359" s="75"/>
      <c r="AO359" s="282"/>
      <c r="AP359" s="75"/>
      <c r="AQ359" s="75"/>
      <c r="AR359" s="75"/>
      <c r="AS359" s="75"/>
      <c r="AT359" s="75"/>
    </row>
    <row r="360">
      <c r="A360" s="282"/>
      <c r="B360" s="125"/>
      <c r="C360" s="113"/>
      <c r="D360" s="75"/>
      <c r="E360" s="282"/>
      <c r="F360" s="125"/>
      <c r="G360" s="113"/>
      <c r="H360" s="75"/>
      <c r="I360" s="282"/>
      <c r="J360" s="125"/>
      <c r="K360" s="113"/>
      <c r="L360" s="75"/>
      <c r="M360" s="282"/>
      <c r="N360" s="125"/>
      <c r="O360" s="113"/>
      <c r="P360" s="75"/>
      <c r="Q360" s="282"/>
      <c r="R360" s="125"/>
      <c r="S360" s="113"/>
      <c r="T360" s="75"/>
      <c r="U360" s="282"/>
      <c r="V360" s="125"/>
      <c r="W360" s="113"/>
      <c r="X360" s="75"/>
      <c r="Y360" s="282"/>
      <c r="Z360" s="290"/>
      <c r="AA360" s="291"/>
      <c r="AB360" s="73"/>
      <c r="AC360" s="282"/>
      <c r="AD360" s="125"/>
      <c r="AE360" s="241"/>
      <c r="AF360" s="284"/>
      <c r="AG360" s="282"/>
      <c r="AH360" s="292"/>
      <c r="AI360" s="292"/>
      <c r="AJ360" s="292"/>
      <c r="AK360" s="282"/>
      <c r="AL360" s="75"/>
      <c r="AM360" s="75"/>
      <c r="AN360" s="75"/>
      <c r="AO360" s="282"/>
      <c r="AP360" s="75"/>
      <c r="AQ360" s="75"/>
      <c r="AR360" s="75"/>
      <c r="AS360" s="75"/>
      <c r="AT360" s="75"/>
    </row>
    <row r="361">
      <c r="A361" s="282"/>
      <c r="B361" s="125"/>
      <c r="C361" s="113"/>
      <c r="D361" s="75"/>
      <c r="E361" s="282"/>
      <c r="F361" s="125"/>
      <c r="G361" s="113"/>
      <c r="H361" s="75"/>
      <c r="I361" s="282"/>
      <c r="J361" s="125"/>
      <c r="K361" s="113"/>
      <c r="L361" s="75"/>
      <c r="M361" s="282"/>
      <c r="N361" s="125"/>
      <c r="O361" s="113"/>
      <c r="P361" s="75"/>
      <c r="Q361" s="282"/>
      <c r="R361" s="125"/>
      <c r="S361" s="113"/>
      <c r="T361" s="75"/>
      <c r="U361" s="282"/>
      <c r="V361" s="125"/>
      <c r="W361" s="113"/>
      <c r="X361" s="75"/>
      <c r="Y361" s="282"/>
      <c r="Z361" s="290"/>
      <c r="AA361" s="291"/>
      <c r="AB361" s="73"/>
      <c r="AC361" s="282"/>
      <c r="AD361" s="125"/>
      <c r="AE361" s="241"/>
      <c r="AF361" s="284"/>
      <c r="AG361" s="282"/>
      <c r="AH361" s="292"/>
      <c r="AI361" s="292"/>
      <c r="AJ361" s="292"/>
      <c r="AK361" s="282"/>
      <c r="AL361" s="75"/>
      <c r="AM361" s="75"/>
      <c r="AN361" s="75"/>
      <c r="AO361" s="282"/>
      <c r="AP361" s="75"/>
      <c r="AQ361" s="75"/>
      <c r="AR361" s="75"/>
      <c r="AS361" s="75"/>
      <c r="AT361" s="75"/>
    </row>
    <row r="362">
      <c r="A362" s="282"/>
      <c r="B362" s="125"/>
      <c r="C362" s="113"/>
      <c r="D362" s="75"/>
      <c r="E362" s="282"/>
      <c r="F362" s="125"/>
      <c r="G362" s="113"/>
      <c r="H362" s="75"/>
      <c r="I362" s="282"/>
      <c r="J362" s="125"/>
      <c r="K362" s="113"/>
      <c r="L362" s="75"/>
      <c r="M362" s="282"/>
      <c r="N362" s="125"/>
      <c r="O362" s="113"/>
      <c r="P362" s="75"/>
      <c r="Q362" s="282"/>
      <c r="R362" s="125"/>
      <c r="S362" s="113"/>
      <c r="T362" s="75"/>
      <c r="U362" s="282"/>
      <c r="V362" s="125"/>
      <c r="W362" s="113"/>
      <c r="X362" s="75"/>
      <c r="Y362" s="282"/>
      <c r="Z362" s="290"/>
      <c r="AA362" s="291"/>
      <c r="AB362" s="73"/>
      <c r="AC362" s="282"/>
      <c r="AD362" s="125"/>
      <c r="AE362" s="241"/>
      <c r="AF362" s="284"/>
      <c r="AG362" s="282"/>
      <c r="AH362" s="292"/>
      <c r="AI362" s="292"/>
      <c r="AJ362" s="292"/>
      <c r="AK362" s="282"/>
      <c r="AL362" s="75"/>
      <c r="AM362" s="75"/>
      <c r="AN362" s="75"/>
      <c r="AO362" s="282"/>
      <c r="AP362" s="75"/>
      <c r="AQ362" s="75"/>
      <c r="AR362" s="75"/>
      <c r="AS362" s="75"/>
      <c r="AT362" s="75"/>
    </row>
    <row r="363">
      <c r="A363" s="282"/>
      <c r="B363" s="125"/>
      <c r="C363" s="113"/>
      <c r="D363" s="75"/>
      <c r="E363" s="282"/>
      <c r="F363" s="125"/>
      <c r="G363" s="113"/>
      <c r="H363" s="75"/>
      <c r="I363" s="282"/>
      <c r="J363" s="125"/>
      <c r="K363" s="113"/>
      <c r="L363" s="75"/>
      <c r="M363" s="282"/>
      <c r="N363" s="125"/>
      <c r="O363" s="113"/>
      <c r="P363" s="75"/>
      <c r="Q363" s="282"/>
      <c r="R363" s="125"/>
      <c r="S363" s="113"/>
      <c r="T363" s="75"/>
      <c r="U363" s="282"/>
      <c r="V363" s="125"/>
      <c r="W363" s="113"/>
      <c r="X363" s="75"/>
      <c r="Y363" s="282"/>
      <c r="Z363" s="290"/>
      <c r="AA363" s="291"/>
      <c r="AB363" s="73"/>
      <c r="AC363" s="282"/>
      <c r="AD363" s="125"/>
      <c r="AE363" s="241"/>
      <c r="AF363" s="284"/>
      <c r="AG363" s="282"/>
      <c r="AH363" s="292"/>
      <c r="AI363" s="292"/>
      <c r="AJ363" s="292"/>
      <c r="AK363" s="282"/>
      <c r="AL363" s="75"/>
      <c r="AM363" s="75"/>
      <c r="AN363" s="75"/>
      <c r="AO363" s="282"/>
      <c r="AP363" s="75"/>
      <c r="AQ363" s="75"/>
      <c r="AR363" s="75"/>
      <c r="AS363" s="75"/>
      <c r="AT363" s="75"/>
    </row>
    <row r="364">
      <c r="A364" s="282"/>
      <c r="B364" s="125"/>
      <c r="C364" s="113"/>
      <c r="D364" s="75"/>
      <c r="E364" s="282"/>
      <c r="F364" s="125"/>
      <c r="G364" s="113"/>
      <c r="H364" s="75"/>
      <c r="I364" s="282"/>
      <c r="J364" s="125"/>
      <c r="K364" s="113"/>
      <c r="L364" s="75"/>
      <c r="M364" s="282"/>
      <c r="N364" s="125"/>
      <c r="O364" s="113"/>
      <c r="P364" s="75"/>
      <c r="Q364" s="282"/>
      <c r="R364" s="125"/>
      <c r="S364" s="113"/>
      <c r="T364" s="75"/>
      <c r="U364" s="282"/>
      <c r="V364" s="125"/>
      <c r="W364" s="113"/>
      <c r="X364" s="75"/>
      <c r="Y364" s="282"/>
      <c r="Z364" s="290"/>
      <c r="AA364" s="291"/>
      <c r="AB364" s="73"/>
      <c r="AC364" s="282"/>
      <c r="AD364" s="125"/>
      <c r="AE364" s="241"/>
      <c r="AF364" s="284"/>
      <c r="AG364" s="282"/>
      <c r="AH364" s="292"/>
      <c r="AI364" s="292"/>
      <c r="AJ364" s="292"/>
      <c r="AK364" s="282"/>
      <c r="AL364" s="75"/>
      <c r="AM364" s="75"/>
      <c r="AN364" s="75"/>
      <c r="AO364" s="282"/>
      <c r="AP364" s="75"/>
      <c r="AQ364" s="75"/>
      <c r="AR364" s="75"/>
      <c r="AS364" s="75"/>
      <c r="AT364" s="75"/>
    </row>
    <row r="365">
      <c r="A365" s="282"/>
      <c r="B365" s="125"/>
      <c r="C365" s="113"/>
      <c r="D365" s="75"/>
      <c r="E365" s="282"/>
      <c r="F365" s="125"/>
      <c r="G365" s="113"/>
      <c r="H365" s="75"/>
      <c r="I365" s="282"/>
      <c r="J365" s="125"/>
      <c r="K365" s="113"/>
      <c r="L365" s="75"/>
      <c r="M365" s="282"/>
      <c r="N365" s="125"/>
      <c r="O365" s="113"/>
      <c r="P365" s="75"/>
      <c r="Q365" s="282"/>
      <c r="R365" s="125"/>
      <c r="S365" s="113"/>
      <c r="T365" s="75"/>
      <c r="U365" s="282"/>
      <c r="V365" s="125"/>
      <c r="W365" s="113"/>
      <c r="X365" s="75"/>
      <c r="Y365" s="282"/>
      <c r="Z365" s="290"/>
      <c r="AA365" s="291"/>
      <c r="AB365" s="73"/>
      <c r="AC365" s="282"/>
      <c r="AD365" s="125"/>
      <c r="AE365" s="241"/>
      <c r="AF365" s="284"/>
      <c r="AG365" s="282"/>
      <c r="AH365" s="292"/>
      <c r="AI365" s="292"/>
      <c r="AJ365" s="292"/>
      <c r="AK365" s="282"/>
      <c r="AL365" s="75"/>
      <c r="AM365" s="75"/>
      <c r="AN365" s="75"/>
      <c r="AO365" s="282"/>
      <c r="AP365" s="75"/>
      <c r="AQ365" s="75"/>
      <c r="AR365" s="75"/>
      <c r="AS365" s="75"/>
      <c r="AT365" s="75"/>
    </row>
    <row r="366">
      <c r="A366" s="282"/>
      <c r="B366" s="125"/>
      <c r="C366" s="113"/>
      <c r="D366" s="75"/>
      <c r="E366" s="282"/>
      <c r="F366" s="125"/>
      <c r="G366" s="113"/>
      <c r="H366" s="75"/>
      <c r="I366" s="282"/>
      <c r="J366" s="125"/>
      <c r="K366" s="113"/>
      <c r="L366" s="75"/>
      <c r="M366" s="282"/>
      <c r="N366" s="125"/>
      <c r="O366" s="113"/>
      <c r="P366" s="75"/>
      <c r="Q366" s="282"/>
      <c r="R366" s="125"/>
      <c r="S366" s="113"/>
      <c r="T366" s="75"/>
      <c r="U366" s="282"/>
      <c r="V366" s="125"/>
      <c r="W366" s="113"/>
      <c r="X366" s="75"/>
      <c r="Y366" s="282"/>
      <c r="Z366" s="290"/>
      <c r="AA366" s="291"/>
      <c r="AB366" s="73"/>
      <c r="AC366" s="282"/>
      <c r="AD366" s="125"/>
      <c r="AE366" s="241"/>
      <c r="AF366" s="284"/>
      <c r="AG366" s="282"/>
      <c r="AH366" s="292"/>
      <c r="AI366" s="292"/>
      <c r="AJ366" s="292"/>
      <c r="AK366" s="282"/>
      <c r="AL366" s="75"/>
      <c r="AM366" s="75"/>
      <c r="AN366" s="75"/>
      <c r="AO366" s="282"/>
      <c r="AP366" s="75"/>
      <c r="AQ366" s="75"/>
      <c r="AR366" s="75"/>
      <c r="AS366" s="75"/>
      <c r="AT366" s="75"/>
    </row>
    <row r="367">
      <c r="A367" s="282"/>
      <c r="B367" s="125"/>
      <c r="C367" s="113"/>
      <c r="D367" s="75"/>
      <c r="E367" s="282"/>
      <c r="F367" s="125"/>
      <c r="G367" s="113"/>
      <c r="H367" s="75"/>
      <c r="I367" s="282"/>
      <c r="J367" s="125"/>
      <c r="K367" s="113"/>
      <c r="L367" s="75"/>
      <c r="M367" s="282"/>
      <c r="N367" s="125"/>
      <c r="O367" s="113"/>
      <c r="P367" s="75"/>
      <c r="Q367" s="282"/>
      <c r="R367" s="125"/>
      <c r="S367" s="113"/>
      <c r="T367" s="75"/>
      <c r="U367" s="282"/>
      <c r="V367" s="125"/>
      <c r="W367" s="113"/>
      <c r="X367" s="75"/>
      <c r="Y367" s="282"/>
      <c r="Z367" s="290"/>
      <c r="AA367" s="291"/>
      <c r="AB367" s="73"/>
      <c r="AC367" s="282"/>
      <c r="AD367" s="125"/>
      <c r="AE367" s="241"/>
      <c r="AF367" s="284"/>
      <c r="AG367" s="282"/>
      <c r="AH367" s="292"/>
      <c r="AI367" s="292"/>
      <c r="AJ367" s="292"/>
      <c r="AK367" s="282"/>
      <c r="AL367" s="75"/>
      <c r="AM367" s="75"/>
      <c r="AN367" s="75"/>
      <c r="AO367" s="282"/>
      <c r="AP367" s="75"/>
      <c r="AQ367" s="75"/>
      <c r="AR367" s="75"/>
      <c r="AS367" s="75"/>
      <c r="AT367" s="75"/>
    </row>
    <row r="368">
      <c r="A368" s="282"/>
      <c r="B368" s="125"/>
      <c r="C368" s="113"/>
      <c r="D368" s="75"/>
      <c r="E368" s="282"/>
      <c r="F368" s="125"/>
      <c r="G368" s="113"/>
      <c r="H368" s="75"/>
      <c r="I368" s="282"/>
      <c r="J368" s="125"/>
      <c r="K368" s="113"/>
      <c r="L368" s="75"/>
      <c r="M368" s="282"/>
      <c r="N368" s="125"/>
      <c r="O368" s="113"/>
      <c r="P368" s="75"/>
      <c r="Q368" s="282"/>
      <c r="R368" s="125"/>
      <c r="S368" s="113"/>
      <c r="T368" s="75"/>
      <c r="U368" s="282"/>
      <c r="V368" s="125"/>
      <c r="W368" s="113"/>
      <c r="X368" s="75"/>
      <c r="Y368" s="282"/>
      <c r="Z368" s="290"/>
      <c r="AA368" s="291"/>
      <c r="AB368" s="73"/>
      <c r="AC368" s="282"/>
      <c r="AD368" s="125"/>
      <c r="AE368" s="241"/>
      <c r="AF368" s="284"/>
      <c r="AG368" s="282"/>
      <c r="AH368" s="292"/>
      <c r="AI368" s="292"/>
      <c r="AJ368" s="292"/>
      <c r="AK368" s="282"/>
      <c r="AL368" s="75"/>
      <c r="AM368" s="75"/>
      <c r="AN368" s="75"/>
      <c r="AO368" s="282"/>
      <c r="AP368" s="75"/>
      <c r="AQ368" s="75"/>
      <c r="AR368" s="75"/>
      <c r="AS368" s="75"/>
      <c r="AT368" s="75"/>
    </row>
    <row r="369">
      <c r="A369" s="282"/>
      <c r="B369" s="125"/>
      <c r="C369" s="113"/>
      <c r="D369" s="75"/>
      <c r="E369" s="282"/>
      <c r="F369" s="125"/>
      <c r="G369" s="113"/>
      <c r="H369" s="75"/>
      <c r="I369" s="282"/>
      <c r="J369" s="125"/>
      <c r="K369" s="113"/>
      <c r="L369" s="75"/>
      <c r="M369" s="282"/>
      <c r="N369" s="125"/>
      <c r="O369" s="113"/>
      <c r="P369" s="75"/>
      <c r="Q369" s="282"/>
      <c r="R369" s="125"/>
      <c r="S369" s="113"/>
      <c r="T369" s="75"/>
      <c r="U369" s="282"/>
      <c r="V369" s="125"/>
      <c r="W369" s="113"/>
      <c r="X369" s="75"/>
      <c r="Y369" s="282"/>
      <c r="Z369" s="290"/>
      <c r="AA369" s="291"/>
      <c r="AB369" s="73"/>
      <c r="AC369" s="282"/>
      <c r="AD369" s="125"/>
      <c r="AE369" s="241"/>
      <c r="AF369" s="284"/>
      <c r="AG369" s="282"/>
      <c r="AH369" s="292"/>
      <c r="AI369" s="292"/>
      <c r="AJ369" s="292"/>
      <c r="AK369" s="282"/>
      <c r="AL369" s="75"/>
      <c r="AM369" s="75"/>
      <c r="AN369" s="75"/>
      <c r="AO369" s="282"/>
      <c r="AP369" s="75"/>
      <c r="AQ369" s="75"/>
      <c r="AR369" s="75"/>
      <c r="AS369" s="75"/>
      <c r="AT369" s="75"/>
    </row>
    <row r="370">
      <c r="A370" s="282"/>
      <c r="B370" s="125"/>
      <c r="C370" s="113"/>
      <c r="D370" s="75"/>
      <c r="E370" s="282"/>
      <c r="F370" s="125"/>
      <c r="G370" s="113"/>
      <c r="H370" s="75"/>
      <c r="I370" s="282"/>
      <c r="J370" s="125"/>
      <c r="K370" s="113"/>
      <c r="L370" s="75"/>
      <c r="M370" s="282"/>
      <c r="N370" s="125"/>
      <c r="O370" s="113"/>
      <c r="P370" s="75"/>
      <c r="Q370" s="282"/>
      <c r="R370" s="125"/>
      <c r="S370" s="113"/>
      <c r="T370" s="75"/>
      <c r="U370" s="282"/>
      <c r="V370" s="125"/>
      <c r="W370" s="113"/>
      <c r="X370" s="75"/>
      <c r="Y370" s="282"/>
      <c r="Z370" s="290"/>
      <c r="AA370" s="291"/>
      <c r="AB370" s="73"/>
      <c r="AC370" s="282"/>
      <c r="AD370" s="125"/>
      <c r="AE370" s="241"/>
      <c r="AF370" s="284"/>
      <c r="AG370" s="282"/>
      <c r="AH370" s="292"/>
      <c r="AI370" s="292"/>
      <c r="AJ370" s="292"/>
      <c r="AK370" s="282"/>
      <c r="AL370" s="75"/>
      <c r="AM370" s="75"/>
      <c r="AN370" s="75"/>
      <c r="AO370" s="282"/>
      <c r="AP370" s="75"/>
      <c r="AQ370" s="75"/>
      <c r="AR370" s="75"/>
      <c r="AS370" s="75"/>
      <c r="AT370" s="75"/>
    </row>
    <row r="371">
      <c r="A371" s="282"/>
      <c r="B371" s="125"/>
      <c r="C371" s="113"/>
      <c r="D371" s="75"/>
      <c r="E371" s="282"/>
      <c r="F371" s="125"/>
      <c r="G371" s="113"/>
      <c r="H371" s="75"/>
      <c r="I371" s="282"/>
      <c r="J371" s="125"/>
      <c r="K371" s="113"/>
      <c r="L371" s="75"/>
      <c r="M371" s="282"/>
      <c r="N371" s="125"/>
      <c r="O371" s="113"/>
      <c r="P371" s="75"/>
      <c r="Q371" s="282"/>
      <c r="R371" s="125"/>
      <c r="S371" s="113"/>
      <c r="T371" s="75"/>
      <c r="U371" s="282"/>
      <c r="V371" s="125"/>
      <c r="W371" s="113"/>
      <c r="X371" s="75"/>
      <c r="Y371" s="282"/>
      <c r="Z371" s="290"/>
      <c r="AA371" s="291"/>
      <c r="AB371" s="73"/>
      <c r="AC371" s="282"/>
      <c r="AD371" s="125"/>
      <c r="AE371" s="241"/>
      <c r="AF371" s="284"/>
      <c r="AG371" s="282"/>
      <c r="AH371" s="292"/>
      <c r="AI371" s="292"/>
      <c r="AJ371" s="292"/>
      <c r="AK371" s="282"/>
      <c r="AL371" s="75"/>
      <c r="AM371" s="75"/>
      <c r="AN371" s="75"/>
      <c r="AO371" s="282"/>
      <c r="AP371" s="75"/>
      <c r="AQ371" s="75"/>
      <c r="AR371" s="75"/>
      <c r="AS371" s="75"/>
      <c r="AT371" s="75"/>
    </row>
    <row r="372">
      <c r="A372" s="282"/>
      <c r="B372" s="125"/>
      <c r="C372" s="113"/>
      <c r="D372" s="75"/>
      <c r="E372" s="282"/>
      <c r="F372" s="125"/>
      <c r="G372" s="113"/>
      <c r="H372" s="75"/>
      <c r="I372" s="282"/>
      <c r="J372" s="125"/>
      <c r="K372" s="113"/>
      <c r="L372" s="75"/>
      <c r="M372" s="282"/>
      <c r="N372" s="125"/>
      <c r="O372" s="113"/>
      <c r="P372" s="75"/>
      <c r="Q372" s="282"/>
      <c r="R372" s="125"/>
      <c r="S372" s="113"/>
      <c r="T372" s="75"/>
      <c r="U372" s="282"/>
      <c r="V372" s="125"/>
      <c r="W372" s="113"/>
      <c r="X372" s="75"/>
      <c r="Y372" s="282"/>
      <c r="Z372" s="290"/>
      <c r="AA372" s="291"/>
      <c r="AB372" s="73"/>
      <c r="AC372" s="282"/>
      <c r="AD372" s="125"/>
      <c r="AE372" s="241"/>
      <c r="AF372" s="284"/>
      <c r="AG372" s="282"/>
      <c r="AH372" s="292"/>
      <c r="AI372" s="292"/>
      <c r="AJ372" s="292"/>
      <c r="AK372" s="282"/>
      <c r="AL372" s="75"/>
      <c r="AM372" s="75"/>
      <c r="AN372" s="75"/>
      <c r="AO372" s="282"/>
      <c r="AP372" s="75"/>
      <c r="AQ372" s="75"/>
      <c r="AR372" s="75"/>
      <c r="AS372" s="75"/>
      <c r="AT372" s="75"/>
    </row>
    <row r="373">
      <c r="A373" s="282"/>
      <c r="B373" s="125"/>
      <c r="C373" s="113"/>
      <c r="D373" s="75"/>
      <c r="E373" s="282"/>
      <c r="F373" s="125"/>
      <c r="G373" s="113"/>
      <c r="H373" s="75"/>
      <c r="I373" s="282"/>
      <c r="J373" s="125"/>
      <c r="K373" s="113"/>
      <c r="L373" s="75"/>
      <c r="M373" s="282"/>
      <c r="N373" s="125"/>
      <c r="O373" s="113"/>
      <c r="P373" s="75"/>
      <c r="Q373" s="282"/>
      <c r="R373" s="125"/>
      <c r="S373" s="113"/>
      <c r="T373" s="75"/>
      <c r="U373" s="282"/>
      <c r="V373" s="125"/>
      <c r="W373" s="113"/>
      <c r="X373" s="75"/>
      <c r="Y373" s="282"/>
      <c r="Z373" s="290"/>
      <c r="AA373" s="291"/>
      <c r="AB373" s="73"/>
      <c r="AC373" s="282"/>
      <c r="AD373" s="125"/>
      <c r="AE373" s="241"/>
      <c r="AF373" s="284"/>
      <c r="AG373" s="282"/>
      <c r="AH373" s="292"/>
      <c r="AI373" s="292"/>
      <c r="AJ373" s="292"/>
      <c r="AK373" s="282"/>
      <c r="AL373" s="75"/>
      <c r="AM373" s="75"/>
      <c r="AN373" s="75"/>
      <c r="AO373" s="282"/>
      <c r="AP373" s="75"/>
      <c r="AQ373" s="75"/>
      <c r="AR373" s="75"/>
      <c r="AS373" s="75"/>
      <c r="AT373" s="75"/>
    </row>
    <row r="374">
      <c r="A374" s="282"/>
      <c r="B374" s="125"/>
      <c r="C374" s="113"/>
      <c r="D374" s="75"/>
      <c r="E374" s="282"/>
      <c r="F374" s="125"/>
      <c r="G374" s="113"/>
      <c r="H374" s="75"/>
      <c r="I374" s="282"/>
      <c r="J374" s="125"/>
      <c r="K374" s="113"/>
      <c r="L374" s="75"/>
      <c r="M374" s="282"/>
      <c r="N374" s="125"/>
      <c r="O374" s="113"/>
      <c r="P374" s="75"/>
      <c r="Q374" s="282"/>
      <c r="R374" s="125"/>
      <c r="S374" s="113"/>
      <c r="T374" s="75"/>
      <c r="U374" s="282"/>
      <c r="V374" s="125"/>
      <c r="W374" s="113"/>
      <c r="X374" s="75"/>
      <c r="Y374" s="282"/>
      <c r="Z374" s="290"/>
      <c r="AA374" s="291"/>
      <c r="AB374" s="73"/>
      <c r="AC374" s="282"/>
      <c r="AD374" s="125"/>
      <c r="AE374" s="241"/>
      <c r="AF374" s="284"/>
      <c r="AG374" s="282"/>
      <c r="AH374" s="292"/>
      <c r="AI374" s="292"/>
      <c r="AJ374" s="292"/>
      <c r="AK374" s="282"/>
      <c r="AL374" s="75"/>
      <c r="AM374" s="75"/>
      <c r="AN374" s="75"/>
      <c r="AO374" s="282"/>
      <c r="AP374" s="75"/>
      <c r="AQ374" s="75"/>
      <c r="AR374" s="75"/>
      <c r="AS374" s="75"/>
      <c r="AT374" s="75"/>
    </row>
    <row r="375">
      <c r="A375" s="282"/>
      <c r="B375" s="125"/>
      <c r="C375" s="113"/>
      <c r="D375" s="75"/>
      <c r="E375" s="282"/>
      <c r="F375" s="125"/>
      <c r="G375" s="113"/>
      <c r="H375" s="75"/>
      <c r="I375" s="282"/>
      <c r="J375" s="125"/>
      <c r="K375" s="113"/>
      <c r="L375" s="75"/>
      <c r="M375" s="282"/>
      <c r="N375" s="125"/>
      <c r="O375" s="113"/>
      <c r="P375" s="75"/>
      <c r="Q375" s="282"/>
      <c r="R375" s="125"/>
      <c r="S375" s="113"/>
      <c r="T375" s="75"/>
      <c r="U375" s="282"/>
      <c r="V375" s="125"/>
      <c r="W375" s="113"/>
      <c r="X375" s="75"/>
      <c r="Y375" s="282"/>
      <c r="Z375" s="290"/>
      <c r="AA375" s="291"/>
      <c r="AB375" s="73"/>
      <c r="AC375" s="282"/>
      <c r="AD375" s="125"/>
      <c r="AE375" s="241"/>
      <c r="AF375" s="284"/>
      <c r="AG375" s="282"/>
      <c r="AH375" s="292"/>
      <c r="AI375" s="292"/>
      <c r="AJ375" s="292"/>
      <c r="AK375" s="282"/>
      <c r="AL375" s="75"/>
      <c r="AM375" s="75"/>
      <c r="AN375" s="75"/>
      <c r="AO375" s="282"/>
      <c r="AP375" s="75"/>
      <c r="AQ375" s="75"/>
      <c r="AR375" s="75"/>
      <c r="AS375" s="75"/>
      <c r="AT375" s="75"/>
    </row>
    <row r="376">
      <c r="A376" s="282"/>
      <c r="B376" s="125"/>
      <c r="C376" s="113"/>
      <c r="D376" s="75"/>
      <c r="E376" s="282"/>
      <c r="F376" s="125"/>
      <c r="G376" s="113"/>
      <c r="H376" s="75"/>
      <c r="I376" s="282"/>
      <c r="J376" s="125"/>
      <c r="K376" s="113"/>
      <c r="L376" s="75"/>
      <c r="M376" s="282"/>
      <c r="N376" s="125"/>
      <c r="O376" s="113"/>
      <c r="P376" s="75"/>
      <c r="Q376" s="282"/>
      <c r="R376" s="125"/>
      <c r="S376" s="113"/>
      <c r="T376" s="75"/>
      <c r="U376" s="282"/>
      <c r="V376" s="125"/>
      <c r="W376" s="113"/>
      <c r="X376" s="75"/>
      <c r="Y376" s="282"/>
      <c r="Z376" s="290"/>
      <c r="AA376" s="291"/>
      <c r="AB376" s="73"/>
      <c r="AC376" s="282"/>
      <c r="AD376" s="125"/>
      <c r="AE376" s="241"/>
      <c r="AF376" s="284"/>
      <c r="AG376" s="282"/>
      <c r="AH376" s="292"/>
      <c r="AI376" s="292"/>
      <c r="AJ376" s="292"/>
      <c r="AK376" s="282"/>
      <c r="AL376" s="75"/>
      <c r="AM376" s="75"/>
      <c r="AN376" s="75"/>
      <c r="AO376" s="282"/>
      <c r="AP376" s="75"/>
      <c r="AQ376" s="75"/>
      <c r="AR376" s="75"/>
      <c r="AS376" s="75"/>
      <c r="AT376" s="75"/>
    </row>
    <row r="377">
      <c r="A377" s="282"/>
      <c r="B377" s="125"/>
      <c r="C377" s="113"/>
      <c r="D377" s="75"/>
      <c r="E377" s="282"/>
      <c r="F377" s="125"/>
      <c r="G377" s="113"/>
      <c r="H377" s="75"/>
      <c r="I377" s="282"/>
      <c r="J377" s="125"/>
      <c r="K377" s="113"/>
      <c r="L377" s="75"/>
      <c r="M377" s="282"/>
      <c r="N377" s="125"/>
      <c r="O377" s="113"/>
      <c r="P377" s="75"/>
      <c r="Q377" s="282"/>
      <c r="R377" s="125"/>
      <c r="S377" s="113"/>
      <c r="T377" s="75"/>
      <c r="U377" s="282"/>
      <c r="V377" s="125"/>
      <c r="W377" s="113"/>
      <c r="X377" s="75"/>
      <c r="Y377" s="282"/>
      <c r="Z377" s="290"/>
      <c r="AA377" s="291"/>
      <c r="AB377" s="73"/>
      <c r="AC377" s="282"/>
      <c r="AD377" s="125"/>
      <c r="AE377" s="241"/>
      <c r="AF377" s="284"/>
      <c r="AG377" s="282"/>
      <c r="AH377" s="292"/>
      <c r="AI377" s="292"/>
      <c r="AJ377" s="292"/>
      <c r="AK377" s="282"/>
      <c r="AL377" s="75"/>
      <c r="AM377" s="75"/>
      <c r="AN377" s="75"/>
      <c r="AO377" s="282"/>
      <c r="AP377" s="75"/>
      <c r="AQ377" s="75"/>
      <c r="AR377" s="75"/>
      <c r="AS377" s="75"/>
      <c r="AT377" s="75"/>
    </row>
    <row r="378">
      <c r="A378" s="282"/>
      <c r="B378" s="125"/>
      <c r="C378" s="113"/>
      <c r="D378" s="75"/>
      <c r="E378" s="282"/>
      <c r="F378" s="125"/>
      <c r="G378" s="113"/>
      <c r="H378" s="75"/>
      <c r="I378" s="282"/>
      <c r="J378" s="125"/>
      <c r="K378" s="113"/>
      <c r="L378" s="75"/>
      <c r="M378" s="282"/>
      <c r="N378" s="125"/>
      <c r="O378" s="113"/>
      <c r="P378" s="75"/>
      <c r="Q378" s="282"/>
      <c r="R378" s="125"/>
      <c r="S378" s="113"/>
      <c r="T378" s="75"/>
      <c r="U378" s="282"/>
      <c r="V378" s="125"/>
      <c r="W378" s="113"/>
      <c r="X378" s="75"/>
      <c r="Y378" s="282"/>
      <c r="Z378" s="290"/>
      <c r="AA378" s="291"/>
      <c r="AB378" s="73"/>
      <c r="AC378" s="282"/>
      <c r="AD378" s="125"/>
      <c r="AE378" s="241"/>
      <c r="AF378" s="284"/>
      <c r="AG378" s="282"/>
      <c r="AH378" s="292"/>
      <c r="AI378" s="292"/>
      <c r="AJ378" s="292"/>
      <c r="AK378" s="282"/>
      <c r="AL378" s="75"/>
      <c r="AM378" s="75"/>
      <c r="AN378" s="75"/>
      <c r="AO378" s="282"/>
      <c r="AP378" s="75"/>
      <c r="AQ378" s="75"/>
      <c r="AR378" s="75"/>
      <c r="AS378" s="75"/>
      <c r="AT378" s="75"/>
    </row>
    <row r="379">
      <c r="A379" s="282"/>
      <c r="B379" s="125"/>
      <c r="C379" s="113"/>
      <c r="D379" s="75"/>
      <c r="E379" s="282"/>
      <c r="F379" s="125"/>
      <c r="G379" s="113"/>
      <c r="H379" s="75"/>
      <c r="I379" s="282"/>
      <c r="J379" s="125"/>
      <c r="K379" s="113"/>
      <c r="L379" s="75"/>
      <c r="M379" s="282"/>
      <c r="N379" s="125"/>
      <c r="O379" s="113"/>
      <c r="P379" s="75"/>
      <c r="Q379" s="282"/>
      <c r="R379" s="125"/>
      <c r="S379" s="113"/>
      <c r="T379" s="75"/>
      <c r="U379" s="282"/>
      <c r="V379" s="125"/>
      <c r="W379" s="113"/>
      <c r="X379" s="75"/>
      <c r="Y379" s="282"/>
      <c r="Z379" s="290"/>
      <c r="AA379" s="291"/>
      <c r="AB379" s="73"/>
      <c r="AC379" s="282"/>
      <c r="AD379" s="125"/>
      <c r="AE379" s="241"/>
      <c r="AF379" s="284"/>
      <c r="AG379" s="282"/>
      <c r="AH379" s="292"/>
      <c r="AI379" s="292"/>
      <c r="AJ379" s="292"/>
      <c r="AK379" s="282"/>
      <c r="AL379" s="75"/>
      <c r="AM379" s="75"/>
      <c r="AN379" s="75"/>
      <c r="AO379" s="282"/>
      <c r="AP379" s="75"/>
      <c r="AQ379" s="75"/>
      <c r="AR379" s="75"/>
      <c r="AS379" s="75"/>
      <c r="AT379" s="75"/>
    </row>
    <row r="380">
      <c r="A380" s="282"/>
      <c r="B380" s="125"/>
      <c r="C380" s="113"/>
      <c r="D380" s="75"/>
      <c r="E380" s="282"/>
      <c r="F380" s="125"/>
      <c r="G380" s="113"/>
      <c r="H380" s="75"/>
      <c r="I380" s="282"/>
      <c r="J380" s="125"/>
      <c r="K380" s="113"/>
      <c r="L380" s="75"/>
      <c r="M380" s="282"/>
      <c r="N380" s="125"/>
      <c r="O380" s="113"/>
      <c r="P380" s="75"/>
      <c r="Q380" s="282"/>
      <c r="R380" s="125"/>
      <c r="S380" s="113"/>
      <c r="T380" s="75"/>
      <c r="U380" s="282"/>
      <c r="V380" s="125"/>
      <c r="W380" s="113"/>
      <c r="X380" s="75"/>
      <c r="Y380" s="282"/>
      <c r="Z380" s="290"/>
      <c r="AA380" s="291"/>
      <c r="AB380" s="73"/>
      <c r="AC380" s="282"/>
      <c r="AD380" s="125"/>
      <c r="AE380" s="241"/>
      <c r="AF380" s="284"/>
      <c r="AG380" s="282"/>
      <c r="AH380" s="292"/>
      <c r="AI380" s="292"/>
      <c r="AJ380" s="292"/>
      <c r="AK380" s="282"/>
      <c r="AL380" s="75"/>
      <c r="AM380" s="75"/>
      <c r="AN380" s="75"/>
      <c r="AO380" s="282"/>
      <c r="AP380" s="75"/>
      <c r="AQ380" s="75"/>
      <c r="AR380" s="75"/>
      <c r="AS380" s="75"/>
      <c r="AT380" s="75"/>
    </row>
    <row r="381">
      <c r="A381" s="282"/>
      <c r="B381" s="125"/>
      <c r="C381" s="113"/>
      <c r="D381" s="75"/>
      <c r="E381" s="282"/>
      <c r="F381" s="125"/>
      <c r="G381" s="113"/>
      <c r="H381" s="75"/>
      <c r="I381" s="282"/>
      <c r="J381" s="125"/>
      <c r="K381" s="113"/>
      <c r="L381" s="75"/>
      <c r="M381" s="282"/>
      <c r="N381" s="125"/>
      <c r="O381" s="113"/>
      <c r="P381" s="75"/>
      <c r="Q381" s="282"/>
      <c r="R381" s="125"/>
      <c r="S381" s="113"/>
      <c r="T381" s="75"/>
      <c r="U381" s="282"/>
      <c r="V381" s="125"/>
      <c r="W381" s="113"/>
      <c r="X381" s="75"/>
      <c r="Y381" s="282"/>
      <c r="Z381" s="290"/>
      <c r="AA381" s="291"/>
      <c r="AB381" s="73"/>
      <c r="AC381" s="282"/>
      <c r="AD381" s="125"/>
      <c r="AE381" s="241"/>
      <c r="AF381" s="284"/>
      <c r="AG381" s="282"/>
      <c r="AH381" s="292"/>
      <c r="AI381" s="292"/>
      <c r="AJ381" s="292"/>
      <c r="AK381" s="282"/>
      <c r="AL381" s="75"/>
      <c r="AM381" s="75"/>
      <c r="AN381" s="75"/>
      <c r="AO381" s="282"/>
      <c r="AP381" s="75"/>
      <c r="AQ381" s="75"/>
      <c r="AR381" s="75"/>
      <c r="AS381" s="75"/>
      <c r="AT381" s="75"/>
    </row>
    <row r="382">
      <c r="A382" s="282"/>
      <c r="B382" s="125"/>
      <c r="C382" s="113"/>
      <c r="D382" s="75"/>
      <c r="E382" s="282"/>
      <c r="F382" s="125"/>
      <c r="G382" s="113"/>
      <c r="H382" s="75"/>
      <c r="I382" s="282"/>
      <c r="J382" s="125"/>
      <c r="K382" s="113"/>
      <c r="L382" s="75"/>
      <c r="M382" s="282"/>
      <c r="N382" s="125"/>
      <c r="O382" s="113"/>
      <c r="P382" s="75"/>
      <c r="Q382" s="282"/>
      <c r="R382" s="125"/>
      <c r="S382" s="113"/>
      <c r="T382" s="75"/>
      <c r="U382" s="282"/>
      <c r="V382" s="125"/>
      <c r="W382" s="113"/>
      <c r="X382" s="75"/>
      <c r="Y382" s="282"/>
      <c r="Z382" s="290"/>
      <c r="AA382" s="291"/>
      <c r="AB382" s="73"/>
      <c r="AC382" s="282"/>
      <c r="AD382" s="125"/>
      <c r="AE382" s="241"/>
      <c r="AF382" s="284"/>
      <c r="AG382" s="282"/>
      <c r="AH382" s="292"/>
      <c r="AI382" s="292"/>
      <c r="AJ382" s="292"/>
      <c r="AK382" s="282"/>
      <c r="AL382" s="75"/>
      <c r="AM382" s="75"/>
      <c r="AN382" s="75"/>
      <c r="AO382" s="282"/>
      <c r="AP382" s="75"/>
      <c r="AQ382" s="75"/>
      <c r="AR382" s="75"/>
      <c r="AS382" s="75"/>
      <c r="AT382" s="75"/>
    </row>
    <row r="383">
      <c r="A383" s="282"/>
      <c r="B383" s="125"/>
      <c r="C383" s="113"/>
      <c r="D383" s="75"/>
      <c r="E383" s="282"/>
      <c r="F383" s="125"/>
      <c r="G383" s="113"/>
      <c r="H383" s="75"/>
      <c r="I383" s="282"/>
      <c r="J383" s="125"/>
      <c r="K383" s="113"/>
      <c r="L383" s="75"/>
      <c r="M383" s="282"/>
      <c r="N383" s="125"/>
      <c r="O383" s="113"/>
      <c r="P383" s="75"/>
      <c r="Q383" s="282"/>
      <c r="R383" s="125"/>
      <c r="S383" s="113"/>
      <c r="T383" s="75"/>
      <c r="U383" s="282"/>
      <c r="V383" s="125"/>
      <c r="W383" s="113"/>
      <c r="X383" s="75"/>
      <c r="Y383" s="282"/>
      <c r="Z383" s="290"/>
      <c r="AA383" s="291"/>
      <c r="AB383" s="73"/>
      <c r="AC383" s="282"/>
      <c r="AD383" s="125"/>
      <c r="AE383" s="241"/>
      <c r="AF383" s="284"/>
      <c r="AG383" s="282"/>
      <c r="AH383" s="292"/>
      <c r="AI383" s="292"/>
      <c r="AJ383" s="292"/>
      <c r="AK383" s="282"/>
      <c r="AL383" s="75"/>
      <c r="AM383" s="75"/>
      <c r="AN383" s="75"/>
      <c r="AO383" s="282"/>
      <c r="AP383" s="75"/>
      <c r="AQ383" s="75"/>
      <c r="AR383" s="75"/>
      <c r="AS383" s="75"/>
      <c r="AT383" s="75"/>
    </row>
    <row r="384">
      <c r="A384" s="282"/>
      <c r="B384" s="125"/>
      <c r="C384" s="113"/>
      <c r="D384" s="75"/>
      <c r="E384" s="282"/>
      <c r="F384" s="125"/>
      <c r="G384" s="113"/>
      <c r="H384" s="75"/>
      <c r="I384" s="282"/>
      <c r="J384" s="125"/>
      <c r="K384" s="113"/>
      <c r="L384" s="75"/>
      <c r="M384" s="282"/>
      <c r="N384" s="125"/>
      <c r="O384" s="113"/>
      <c r="P384" s="75"/>
      <c r="Q384" s="282"/>
      <c r="R384" s="125"/>
      <c r="S384" s="113"/>
      <c r="T384" s="75"/>
      <c r="U384" s="282"/>
      <c r="V384" s="125"/>
      <c r="W384" s="113"/>
      <c r="X384" s="75"/>
      <c r="Y384" s="282"/>
      <c r="Z384" s="290"/>
      <c r="AA384" s="291"/>
      <c r="AB384" s="73"/>
      <c r="AC384" s="282"/>
      <c r="AD384" s="125"/>
      <c r="AE384" s="241"/>
      <c r="AF384" s="284"/>
      <c r="AG384" s="282"/>
      <c r="AH384" s="292"/>
      <c r="AI384" s="292"/>
      <c r="AJ384" s="292"/>
      <c r="AK384" s="282"/>
      <c r="AL384" s="75"/>
      <c r="AM384" s="75"/>
      <c r="AN384" s="75"/>
      <c r="AO384" s="282"/>
      <c r="AP384" s="75"/>
      <c r="AQ384" s="75"/>
      <c r="AR384" s="75"/>
      <c r="AS384" s="75"/>
      <c r="AT384" s="75"/>
    </row>
    <row r="385">
      <c r="A385" s="282"/>
      <c r="B385" s="125"/>
      <c r="C385" s="113"/>
      <c r="D385" s="75"/>
      <c r="E385" s="282"/>
      <c r="F385" s="125"/>
      <c r="G385" s="113"/>
      <c r="H385" s="75"/>
      <c r="I385" s="282"/>
      <c r="J385" s="125"/>
      <c r="K385" s="113"/>
      <c r="L385" s="75"/>
      <c r="M385" s="282"/>
      <c r="N385" s="125"/>
      <c r="O385" s="113"/>
      <c r="P385" s="75"/>
      <c r="Q385" s="282"/>
      <c r="R385" s="125"/>
      <c r="S385" s="113"/>
      <c r="T385" s="75"/>
      <c r="U385" s="282"/>
      <c r="V385" s="125"/>
      <c r="W385" s="113"/>
      <c r="X385" s="75"/>
      <c r="Y385" s="282"/>
      <c r="Z385" s="290"/>
      <c r="AA385" s="291"/>
      <c r="AB385" s="73"/>
      <c r="AC385" s="282"/>
      <c r="AD385" s="125"/>
      <c r="AE385" s="241"/>
      <c r="AF385" s="284"/>
      <c r="AG385" s="282"/>
      <c r="AH385" s="292"/>
      <c r="AI385" s="292"/>
      <c r="AJ385" s="292"/>
      <c r="AK385" s="282"/>
      <c r="AL385" s="75"/>
      <c r="AM385" s="75"/>
      <c r="AN385" s="75"/>
      <c r="AO385" s="282"/>
      <c r="AP385" s="75"/>
      <c r="AQ385" s="75"/>
      <c r="AR385" s="75"/>
      <c r="AS385" s="75"/>
      <c r="AT385" s="75"/>
    </row>
    <row r="386">
      <c r="A386" s="282"/>
      <c r="B386" s="125"/>
      <c r="C386" s="113"/>
      <c r="D386" s="75"/>
      <c r="E386" s="282"/>
      <c r="F386" s="125"/>
      <c r="G386" s="113"/>
      <c r="H386" s="75"/>
      <c r="I386" s="282"/>
      <c r="J386" s="125"/>
      <c r="K386" s="113"/>
      <c r="L386" s="75"/>
      <c r="M386" s="282"/>
      <c r="N386" s="125"/>
      <c r="O386" s="113"/>
      <c r="P386" s="75"/>
      <c r="Q386" s="282"/>
      <c r="R386" s="125"/>
      <c r="S386" s="113"/>
      <c r="T386" s="75"/>
      <c r="U386" s="282"/>
      <c r="V386" s="125"/>
      <c r="W386" s="113"/>
      <c r="X386" s="75"/>
      <c r="Y386" s="282"/>
      <c r="Z386" s="290"/>
      <c r="AA386" s="291"/>
      <c r="AB386" s="73"/>
      <c r="AC386" s="282"/>
      <c r="AD386" s="125"/>
      <c r="AE386" s="241"/>
      <c r="AF386" s="284"/>
      <c r="AG386" s="282"/>
      <c r="AH386" s="292"/>
      <c r="AI386" s="292"/>
      <c r="AJ386" s="292"/>
      <c r="AK386" s="282"/>
      <c r="AL386" s="75"/>
      <c r="AM386" s="75"/>
      <c r="AN386" s="75"/>
      <c r="AO386" s="282"/>
      <c r="AP386" s="75"/>
      <c r="AQ386" s="75"/>
      <c r="AR386" s="75"/>
      <c r="AS386" s="75"/>
      <c r="AT386" s="75"/>
    </row>
    <row r="387">
      <c r="A387" s="282"/>
      <c r="B387" s="125"/>
      <c r="C387" s="113"/>
      <c r="D387" s="75"/>
      <c r="E387" s="282"/>
      <c r="F387" s="125"/>
      <c r="G387" s="113"/>
      <c r="H387" s="75"/>
      <c r="I387" s="282"/>
      <c r="J387" s="125"/>
      <c r="K387" s="113"/>
      <c r="L387" s="75"/>
      <c r="M387" s="282"/>
      <c r="N387" s="125"/>
      <c r="O387" s="113"/>
      <c r="P387" s="75"/>
      <c r="Q387" s="282"/>
      <c r="R387" s="125"/>
      <c r="S387" s="113"/>
      <c r="T387" s="75"/>
      <c r="U387" s="282"/>
      <c r="V387" s="125"/>
      <c r="W387" s="113"/>
      <c r="X387" s="75"/>
      <c r="Y387" s="282"/>
      <c r="Z387" s="290"/>
      <c r="AA387" s="291"/>
      <c r="AB387" s="73"/>
      <c r="AC387" s="282"/>
      <c r="AD387" s="125"/>
      <c r="AE387" s="241"/>
      <c r="AF387" s="284"/>
      <c r="AG387" s="282"/>
      <c r="AH387" s="292"/>
      <c r="AI387" s="292"/>
      <c r="AJ387" s="292"/>
      <c r="AK387" s="282"/>
      <c r="AL387" s="75"/>
      <c r="AM387" s="75"/>
      <c r="AN387" s="75"/>
      <c r="AO387" s="282"/>
      <c r="AP387" s="75"/>
      <c r="AQ387" s="75"/>
      <c r="AR387" s="75"/>
      <c r="AS387" s="75"/>
      <c r="AT387" s="75"/>
    </row>
    <row r="388">
      <c r="A388" s="282"/>
      <c r="B388" s="125"/>
      <c r="C388" s="113"/>
      <c r="D388" s="75"/>
      <c r="E388" s="282"/>
      <c r="F388" s="125"/>
      <c r="G388" s="113"/>
      <c r="H388" s="75"/>
      <c r="I388" s="282"/>
      <c r="J388" s="125"/>
      <c r="K388" s="113"/>
      <c r="L388" s="75"/>
      <c r="M388" s="282"/>
      <c r="N388" s="125"/>
      <c r="O388" s="113"/>
      <c r="P388" s="75"/>
      <c r="Q388" s="282"/>
      <c r="R388" s="125"/>
      <c r="S388" s="113"/>
      <c r="T388" s="75"/>
      <c r="U388" s="282"/>
      <c r="V388" s="125"/>
      <c r="W388" s="113"/>
      <c r="X388" s="75"/>
      <c r="Y388" s="282"/>
      <c r="Z388" s="290"/>
      <c r="AA388" s="291"/>
      <c r="AB388" s="73"/>
      <c r="AC388" s="282"/>
      <c r="AD388" s="125"/>
      <c r="AE388" s="241"/>
      <c r="AF388" s="284"/>
      <c r="AG388" s="282"/>
      <c r="AH388" s="292"/>
      <c r="AI388" s="292"/>
      <c r="AJ388" s="292"/>
      <c r="AK388" s="282"/>
      <c r="AL388" s="75"/>
      <c r="AM388" s="75"/>
      <c r="AN388" s="75"/>
      <c r="AO388" s="282"/>
      <c r="AP388" s="75"/>
      <c r="AQ388" s="75"/>
      <c r="AR388" s="75"/>
      <c r="AS388" s="75"/>
      <c r="AT388" s="75"/>
    </row>
    <row r="389">
      <c r="A389" s="282"/>
      <c r="B389" s="125"/>
      <c r="C389" s="113"/>
      <c r="D389" s="75"/>
      <c r="E389" s="282"/>
      <c r="F389" s="125"/>
      <c r="G389" s="113"/>
      <c r="H389" s="75"/>
      <c r="I389" s="282"/>
      <c r="J389" s="125"/>
      <c r="K389" s="113"/>
      <c r="L389" s="75"/>
      <c r="M389" s="282"/>
      <c r="N389" s="125"/>
      <c r="O389" s="113"/>
      <c r="P389" s="75"/>
      <c r="Q389" s="282"/>
      <c r="R389" s="125"/>
      <c r="S389" s="113"/>
      <c r="T389" s="75"/>
      <c r="U389" s="282"/>
      <c r="V389" s="125"/>
      <c r="W389" s="113"/>
      <c r="X389" s="75"/>
      <c r="Y389" s="282"/>
      <c r="Z389" s="290"/>
      <c r="AA389" s="291"/>
      <c r="AB389" s="73"/>
      <c r="AC389" s="282"/>
      <c r="AD389" s="125"/>
      <c r="AE389" s="241"/>
      <c r="AF389" s="284"/>
      <c r="AG389" s="282"/>
      <c r="AH389" s="292"/>
      <c r="AI389" s="292"/>
      <c r="AJ389" s="292"/>
      <c r="AK389" s="282"/>
      <c r="AL389" s="75"/>
      <c r="AM389" s="75"/>
      <c r="AN389" s="75"/>
      <c r="AO389" s="282"/>
      <c r="AP389" s="75"/>
      <c r="AQ389" s="75"/>
      <c r="AR389" s="75"/>
      <c r="AS389" s="75"/>
      <c r="AT389" s="75"/>
    </row>
    <row r="390">
      <c r="A390" s="282"/>
      <c r="B390" s="125"/>
      <c r="C390" s="113"/>
      <c r="D390" s="75"/>
      <c r="E390" s="282"/>
      <c r="F390" s="125"/>
      <c r="G390" s="113"/>
      <c r="H390" s="75"/>
      <c r="I390" s="282"/>
      <c r="J390" s="125"/>
      <c r="K390" s="113"/>
      <c r="L390" s="75"/>
      <c r="M390" s="282"/>
      <c r="N390" s="125"/>
      <c r="O390" s="113"/>
      <c r="P390" s="75"/>
      <c r="Q390" s="282"/>
      <c r="R390" s="125"/>
      <c r="S390" s="113"/>
      <c r="T390" s="75"/>
      <c r="U390" s="282"/>
      <c r="V390" s="125"/>
      <c r="W390" s="113"/>
      <c r="X390" s="75"/>
      <c r="Y390" s="282"/>
      <c r="Z390" s="290"/>
      <c r="AA390" s="291"/>
      <c r="AB390" s="73"/>
      <c r="AC390" s="282"/>
      <c r="AD390" s="125"/>
      <c r="AE390" s="241"/>
      <c r="AF390" s="284"/>
      <c r="AG390" s="282"/>
      <c r="AH390" s="292"/>
      <c r="AI390" s="292"/>
      <c r="AJ390" s="292"/>
      <c r="AK390" s="282"/>
      <c r="AL390" s="75"/>
      <c r="AM390" s="75"/>
      <c r="AN390" s="75"/>
      <c r="AO390" s="282"/>
      <c r="AP390" s="75"/>
      <c r="AQ390" s="75"/>
      <c r="AR390" s="75"/>
      <c r="AS390" s="75"/>
      <c r="AT390" s="75"/>
    </row>
    <row r="391">
      <c r="A391" s="282"/>
      <c r="B391" s="125"/>
      <c r="C391" s="113"/>
      <c r="D391" s="75"/>
      <c r="E391" s="282"/>
      <c r="F391" s="125"/>
      <c r="G391" s="113"/>
      <c r="H391" s="75"/>
      <c r="I391" s="282"/>
      <c r="J391" s="125"/>
      <c r="K391" s="113"/>
      <c r="L391" s="75"/>
      <c r="M391" s="282"/>
      <c r="N391" s="125"/>
      <c r="O391" s="113"/>
      <c r="P391" s="75"/>
      <c r="Q391" s="282"/>
      <c r="R391" s="125"/>
      <c r="S391" s="113"/>
      <c r="T391" s="75"/>
      <c r="U391" s="282"/>
      <c r="V391" s="125"/>
      <c r="W391" s="113"/>
      <c r="X391" s="75"/>
      <c r="Y391" s="282"/>
      <c r="Z391" s="290"/>
      <c r="AA391" s="291"/>
      <c r="AB391" s="73"/>
      <c r="AC391" s="282"/>
      <c r="AD391" s="125"/>
      <c r="AE391" s="241"/>
      <c r="AF391" s="284"/>
      <c r="AG391" s="282"/>
      <c r="AH391" s="292"/>
      <c r="AI391" s="292"/>
      <c r="AJ391" s="292"/>
      <c r="AK391" s="282"/>
      <c r="AL391" s="75"/>
      <c r="AM391" s="75"/>
      <c r="AN391" s="75"/>
      <c r="AO391" s="282"/>
      <c r="AP391" s="75"/>
      <c r="AQ391" s="75"/>
      <c r="AR391" s="75"/>
      <c r="AS391" s="75"/>
      <c r="AT391" s="75"/>
    </row>
    <row r="392">
      <c r="A392" s="282"/>
      <c r="B392" s="125"/>
      <c r="C392" s="113"/>
      <c r="D392" s="75"/>
      <c r="E392" s="282"/>
      <c r="F392" s="125"/>
      <c r="G392" s="113"/>
      <c r="H392" s="75"/>
      <c r="I392" s="282"/>
      <c r="J392" s="125"/>
      <c r="K392" s="113"/>
      <c r="L392" s="75"/>
      <c r="M392" s="282"/>
      <c r="N392" s="125"/>
      <c r="O392" s="113"/>
      <c r="P392" s="75"/>
      <c r="Q392" s="282"/>
      <c r="R392" s="125"/>
      <c r="S392" s="113"/>
      <c r="T392" s="75"/>
      <c r="U392" s="282"/>
      <c r="V392" s="125"/>
      <c r="W392" s="113"/>
      <c r="X392" s="75"/>
      <c r="Y392" s="282"/>
      <c r="Z392" s="290"/>
      <c r="AA392" s="291"/>
      <c r="AB392" s="73"/>
      <c r="AC392" s="282"/>
      <c r="AD392" s="125"/>
      <c r="AE392" s="241"/>
      <c r="AF392" s="284"/>
      <c r="AG392" s="282"/>
      <c r="AH392" s="292"/>
      <c r="AI392" s="292"/>
      <c r="AJ392" s="292"/>
      <c r="AK392" s="282"/>
      <c r="AL392" s="75"/>
      <c r="AM392" s="75"/>
      <c r="AN392" s="75"/>
      <c r="AO392" s="282"/>
      <c r="AP392" s="75"/>
      <c r="AQ392" s="75"/>
      <c r="AR392" s="75"/>
      <c r="AS392" s="75"/>
      <c r="AT392" s="75"/>
    </row>
    <row r="393">
      <c r="A393" s="282"/>
      <c r="B393" s="125"/>
      <c r="C393" s="113"/>
      <c r="D393" s="75"/>
      <c r="E393" s="282"/>
      <c r="F393" s="125"/>
      <c r="G393" s="113"/>
      <c r="H393" s="75"/>
      <c r="I393" s="282"/>
      <c r="J393" s="125"/>
      <c r="K393" s="113"/>
      <c r="L393" s="75"/>
      <c r="M393" s="282"/>
      <c r="N393" s="125"/>
      <c r="O393" s="113"/>
      <c r="P393" s="75"/>
      <c r="Q393" s="282"/>
      <c r="R393" s="125"/>
      <c r="S393" s="113"/>
      <c r="T393" s="75"/>
      <c r="U393" s="282"/>
      <c r="V393" s="125"/>
      <c r="W393" s="113"/>
      <c r="X393" s="75"/>
      <c r="Y393" s="282"/>
      <c r="Z393" s="290"/>
      <c r="AA393" s="291"/>
      <c r="AB393" s="73"/>
      <c r="AC393" s="282"/>
      <c r="AD393" s="125"/>
      <c r="AE393" s="241"/>
      <c r="AF393" s="284"/>
      <c r="AG393" s="282"/>
      <c r="AH393" s="292"/>
      <c r="AI393" s="292"/>
      <c r="AJ393" s="292"/>
      <c r="AK393" s="282"/>
      <c r="AL393" s="75"/>
      <c r="AM393" s="75"/>
      <c r="AN393" s="75"/>
      <c r="AO393" s="282"/>
      <c r="AP393" s="75"/>
      <c r="AQ393" s="75"/>
      <c r="AR393" s="75"/>
      <c r="AS393" s="75"/>
      <c r="AT393" s="75"/>
    </row>
    <row r="394">
      <c r="A394" s="282"/>
      <c r="B394" s="125"/>
      <c r="C394" s="113"/>
      <c r="D394" s="75"/>
      <c r="E394" s="282"/>
      <c r="F394" s="125"/>
      <c r="G394" s="113"/>
      <c r="H394" s="75"/>
      <c r="I394" s="282"/>
      <c r="J394" s="125"/>
      <c r="K394" s="113"/>
      <c r="L394" s="75"/>
      <c r="M394" s="282"/>
      <c r="N394" s="125"/>
      <c r="O394" s="113"/>
      <c r="P394" s="75"/>
      <c r="Q394" s="282"/>
      <c r="R394" s="125"/>
      <c r="S394" s="113"/>
      <c r="T394" s="75"/>
      <c r="U394" s="282"/>
      <c r="V394" s="125"/>
      <c r="W394" s="113"/>
      <c r="X394" s="75"/>
      <c r="Y394" s="282"/>
      <c r="Z394" s="290"/>
      <c r="AA394" s="291"/>
      <c r="AB394" s="73"/>
      <c r="AC394" s="282"/>
      <c r="AD394" s="125"/>
      <c r="AE394" s="241"/>
      <c r="AF394" s="284"/>
      <c r="AG394" s="282"/>
      <c r="AH394" s="292"/>
      <c r="AI394" s="292"/>
      <c r="AJ394" s="292"/>
      <c r="AK394" s="282"/>
      <c r="AL394" s="75"/>
      <c r="AM394" s="75"/>
      <c r="AN394" s="75"/>
      <c r="AO394" s="282"/>
      <c r="AP394" s="75"/>
      <c r="AQ394" s="75"/>
      <c r="AR394" s="75"/>
      <c r="AS394" s="75"/>
      <c r="AT394" s="75"/>
    </row>
    <row r="395">
      <c r="A395" s="282"/>
      <c r="B395" s="125"/>
      <c r="C395" s="113"/>
      <c r="D395" s="75"/>
      <c r="E395" s="282"/>
      <c r="F395" s="125"/>
      <c r="G395" s="113"/>
      <c r="H395" s="75"/>
      <c r="I395" s="282"/>
      <c r="J395" s="125"/>
      <c r="K395" s="113"/>
      <c r="L395" s="75"/>
      <c r="M395" s="282"/>
      <c r="N395" s="125"/>
      <c r="O395" s="113"/>
      <c r="P395" s="75"/>
      <c r="Q395" s="282"/>
      <c r="R395" s="125"/>
      <c r="S395" s="113"/>
      <c r="T395" s="75"/>
      <c r="U395" s="282"/>
      <c r="V395" s="125"/>
      <c r="W395" s="113"/>
      <c r="X395" s="75"/>
      <c r="Y395" s="282"/>
      <c r="Z395" s="290"/>
      <c r="AA395" s="291"/>
      <c r="AB395" s="73"/>
      <c r="AC395" s="282"/>
      <c r="AD395" s="125"/>
      <c r="AE395" s="241"/>
      <c r="AF395" s="284"/>
      <c r="AG395" s="282"/>
      <c r="AH395" s="292"/>
      <c r="AI395" s="292"/>
      <c r="AJ395" s="292"/>
      <c r="AK395" s="282"/>
      <c r="AL395" s="75"/>
      <c r="AM395" s="75"/>
      <c r="AN395" s="75"/>
      <c r="AO395" s="282"/>
      <c r="AP395" s="75"/>
      <c r="AQ395" s="75"/>
      <c r="AR395" s="75"/>
      <c r="AS395" s="75"/>
      <c r="AT395" s="75"/>
    </row>
    <row r="396">
      <c r="A396" s="282"/>
      <c r="B396" s="125"/>
      <c r="C396" s="113"/>
      <c r="D396" s="75"/>
      <c r="E396" s="282"/>
      <c r="F396" s="125"/>
      <c r="G396" s="113"/>
      <c r="H396" s="75"/>
      <c r="I396" s="282"/>
      <c r="J396" s="125"/>
      <c r="K396" s="113"/>
      <c r="L396" s="75"/>
      <c r="M396" s="282"/>
      <c r="N396" s="125"/>
      <c r="O396" s="113"/>
      <c r="P396" s="75"/>
      <c r="Q396" s="282"/>
      <c r="R396" s="125"/>
      <c r="S396" s="113"/>
      <c r="T396" s="75"/>
      <c r="U396" s="282"/>
      <c r="V396" s="125"/>
      <c r="W396" s="113"/>
      <c r="X396" s="75"/>
      <c r="Y396" s="282"/>
      <c r="Z396" s="290"/>
      <c r="AA396" s="291"/>
      <c r="AB396" s="73"/>
      <c r="AC396" s="282"/>
      <c r="AD396" s="125"/>
      <c r="AE396" s="241"/>
      <c r="AF396" s="284"/>
      <c r="AG396" s="282"/>
      <c r="AH396" s="292"/>
      <c r="AI396" s="292"/>
      <c r="AJ396" s="292"/>
      <c r="AK396" s="282"/>
      <c r="AL396" s="75"/>
      <c r="AM396" s="75"/>
      <c r="AN396" s="75"/>
      <c r="AO396" s="282"/>
      <c r="AP396" s="75"/>
      <c r="AQ396" s="75"/>
      <c r="AR396" s="75"/>
      <c r="AS396" s="75"/>
      <c r="AT396" s="75"/>
    </row>
    <row r="397">
      <c r="A397" s="282"/>
      <c r="B397" s="125"/>
      <c r="C397" s="113"/>
      <c r="D397" s="75"/>
      <c r="E397" s="282"/>
      <c r="F397" s="125"/>
      <c r="G397" s="113"/>
      <c r="H397" s="75"/>
      <c r="I397" s="282"/>
      <c r="J397" s="125"/>
      <c r="K397" s="113"/>
      <c r="L397" s="75"/>
      <c r="M397" s="282"/>
      <c r="N397" s="125"/>
      <c r="O397" s="113"/>
      <c r="P397" s="75"/>
      <c r="Q397" s="282"/>
      <c r="R397" s="125"/>
      <c r="S397" s="113"/>
      <c r="T397" s="75"/>
      <c r="U397" s="282"/>
      <c r="V397" s="125"/>
      <c r="W397" s="113"/>
      <c r="X397" s="75"/>
      <c r="Y397" s="282"/>
      <c r="Z397" s="290"/>
      <c r="AA397" s="291"/>
      <c r="AB397" s="73"/>
      <c r="AC397" s="282"/>
      <c r="AD397" s="125"/>
      <c r="AE397" s="241"/>
      <c r="AF397" s="284"/>
      <c r="AG397" s="282"/>
      <c r="AH397" s="292"/>
      <c r="AI397" s="292"/>
      <c r="AJ397" s="292"/>
      <c r="AK397" s="282"/>
      <c r="AL397" s="75"/>
      <c r="AM397" s="75"/>
      <c r="AN397" s="75"/>
      <c r="AO397" s="282"/>
      <c r="AP397" s="75"/>
      <c r="AQ397" s="75"/>
      <c r="AR397" s="75"/>
      <c r="AS397" s="75"/>
      <c r="AT397" s="75"/>
    </row>
    <row r="398">
      <c r="A398" s="282"/>
      <c r="B398" s="125"/>
      <c r="C398" s="113"/>
      <c r="D398" s="75"/>
      <c r="E398" s="282"/>
      <c r="F398" s="125"/>
      <c r="G398" s="113"/>
      <c r="H398" s="75"/>
      <c r="I398" s="282"/>
      <c r="J398" s="125"/>
      <c r="K398" s="113"/>
      <c r="L398" s="75"/>
      <c r="M398" s="282"/>
      <c r="N398" s="125"/>
      <c r="O398" s="113"/>
      <c r="P398" s="75"/>
      <c r="Q398" s="282"/>
      <c r="R398" s="125"/>
      <c r="S398" s="113"/>
      <c r="T398" s="75"/>
      <c r="U398" s="282"/>
      <c r="V398" s="125"/>
      <c r="W398" s="113"/>
      <c r="X398" s="75"/>
      <c r="Y398" s="282"/>
      <c r="Z398" s="290"/>
      <c r="AA398" s="291"/>
      <c r="AB398" s="73"/>
      <c r="AC398" s="282"/>
      <c r="AD398" s="125"/>
      <c r="AE398" s="241"/>
      <c r="AF398" s="284"/>
      <c r="AG398" s="282"/>
      <c r="AH398" s="292"/>
      <c r="AI398" s="292"/>
      <c r="AJ398" s="292"/>
      <c r="AK398" s="282"/>
      <c r="AL398" s="75"/>
      <c r="AM398" s="75"/>
      <c r="AN398" s="75"/>
      <c r="AO398" s="282"/>
      <c r="AP398" s="75"/>
      <c r="AQ398" s="75"/>
      <c r="AR398" s="75"/>
      <c r="AS398" s="75"/>
      <c r="AT398" s="75"/>
    </row>
    <row r="399">
      <c r="A399" s="282"/>
      <c r="B399" s="125"/>
      <c r="C399" s="113"/>
      <c r="D399" s="75"/>
      <c r="E399" s="282"/>
      <c r="F399" s="125"/>
      <c r="G399" s="113"/>
      <c r="H399" s="75"/>
      <c r="I399" s="282"/>
      <c r="J399" s="125"/>
      <c r="K399" s="113"/>
      <c r="L399" s="75"/>
      <c r="M399" s="282"/>
      <c r="N399" s="125"/>
      <c r="O399" s="113"/>
      <c r="P399" s="75"/>
      <c r="Q399" s="282"/>
      <c r="R399" s="125"/>
      <c r="S399" s="113"/>
      <c r="T399" s="75"/>
      <c r="U399" s="282"/>
      <c r="V399" s="125"/>
      <c r="W399" s="113"/>
      <c r="X399" s="75"/>
      <c r="Y399" s="282"/>
      <c r="Z399" s="290"/>
      <c r="AA399" s="291"/>
      <c r="AB399" s="73"/>
      <c r="AC399" s="282"/>
      <c r="AD399" s="125"/>
      <c r="AE399" s="241"/>
      <c r="AF399" s="284"/>
      <c r="AG399" s="282"/>
      <c r="AH399" s="292"/>
      <c r="AI399" s="292"/>
      <c r="AJ399" s="292"/>
      <c r="AK399" s="282"/>
      <c r="AL399" s="75"/>
      <c r="AM399" s="75"/>
      <c r="AN399" s="75"/>
      <c r="AO399" s="282"/>
      <c r="AP399" s="75"/>
      <c r="AQ399" s="75"/>
      <c r="AR399" s="75"/>
      <c r="AS399" s="75"/>
      <c r="AT399" s="75"/>
    </row>
    <row r="400">
      <c r="A400" s="282"/>
      <c r="B400" s="125"/>
      <c r="C400" s="113"/>
      <c r="D400" s="75"/>
      <c r="E400" s="282"/>
      <c r="F400" s="125"/>
      <c r="G400" s="113"/>
      <c r="H400" s="75"/>
      <c r="I400" s="282"/>
      <c r="J400" s="125"/>
      <c r="K400" s="113"/>
      <c r="L400" s="75"/>
      <c r="M400" s="282"/>
      <c r="N400" s="125"/>
      <c r="O400" s="113"/>
      <c r="P400" s="75"/>
      <c r="Q400" s="282"/>
      <c r="R400" s="125"/>
      <c r="S400" s="113"/>
      <c r="T400" s="75"/>
      <c r="U400" s="282"/>
      <c r="V400" s="125"/>
      <c r="W400" s="113"/>
      <c r="X400" s="75"/>
      <c r="Y400" s="282"/>
      <c r="Z400" s="290"/>
      <c r="AA400" s="291"/>
      <c r="AB400" s="73"/>
      <c r="AC400" s="282"/>
      <c r="AD400" s="125"/>
      <c r="AE400" s="241"/>
      <c r="AF400" s="284"/>
      <c r="AG400" s="282"/>
      <c r="AH400" s="292"/>
      <c r="AI400" s="292"/>
      <c r="AJ400" s="292"/>
      <c r="AK400" s="282"/>
      <c r="AL400" s="75"/>
      <c r="AM400" s="75"/>
      <c r="AN400" s="75"/>
      <c r="AO400" s="282"/>
      <c r="AP400" s="75"/>
      <c r="AQ400" s="75"/>
      <c r="AR400" s="75"/>
      <c r="AS400" s="75"/>
      <c r="AT400" s="75"/>
    </row>
    <row r="401">
      <c r="A401" s="282"/>
      <c r="B401" s="125"/>
      <c r="C401" s="113"/>
      <c r="D401" s="75"/>
      <c r="E401" s="282"/>
      <c r="F401" s="125"/>
      <c r="G401" s="113"/>
      <c r="H401" s="75"/>
      <c r="I401" s="282"/>
      <c r="J401" s="125"/>
      <c r="K401" s="113"/>
      <c r="L401" s="75"/>
      <c r="M401" s="282"/>
      <c r="N401" s="125"/>
      <c r="O401" s="113"/>
      <c r="P401" s="75"/>
      <c r="Q401" s="282"/>
      <c r="R401" s="125"/>
      <c r="S401" s="113"/>
      <c r="T401" s="75"/>
      <c r="U401" s="282"/>
      <c r="V401" s="125"/>
      <c r="W401" s="113"/>
      <c r="X401" s="75"/>
      <c r="Y401" s="282"/>
      <c r="Z401" s="290"/>
      <c r="AA401" s="291"/>
      <c r="AB401" s="73"/>
      <c r="AC401" s="282"/>
      <c r="AD401" s="125"/>
      <c r="AE401" s="241"/>
      <c r="AF401" s="284"/>
      <c r="AG401" s="282"/>
      <c r="AH401" s="292"/>
      <c r="AI401" s="292"/>
      <c r="AJ401" s="292"/>
      <c r="AK401" s="282"/>
      <c r="AL401" s="75"/>
      <c r="AM401" s="75"/>
      <c r="AN401" s="75"/>
      <c r="AO401" s="282"/>
      <c r="AP401" s="75"/>
      <c r="AQ401" s="75"/>
      <c r="AR401" s="75"/>
      <c r="AS401" s="75"/>
      <c r="AT401" s="75"/>
    </row>
    <row r="402">
      <c r="A402" s="282"/>
      <c r="B402" s="125"/>
      <c r="C402" s="113"/>
      <c r="D402" s="75"/>
      <c r="E402" s="282"/>
      <c r="F402" s="125"/>
      <c r="G402" s="113"/>
      <c r="H402" s="75"/>
      <c r="I402" s="282"/>
      <c r="J402" s="125"/>
      <c r="K402" s="113"/>
      <c r="L402" s="75"/>
      <c r="M402" s="282"/>
      <c r="N402" s="125"/>
      <c r="O402" s="113"/>
      <c r="P402" s="75"/>
      <c r="Q402" s="282"/>
      <c r="R402" s="125"/>
      <c r="S402" s="113"/>
      <c r="T402" s="75"/>
      <c r="U402" s="282"/>
      <c r="V402" s="125"/>
      <c r="W402" s="113"/>
      <c r="X402" s="75"/>
      <c r="Y402" s="282"/>
      <c r="Z402" s="290"/>
      <c r="AA402" s="291"/>
      <c r="AB402" s="73"/>
      <c r="AC402" s="282"/>
      <c r="AD402" s="125"/>
      <c r="AE402" s="241"/>
      <c r="AF402" s="284"/>
      <c r="AG402" s="282"/>
      <c r="AH402" s="292"/>
      <c r="AI402" s="292"/>
      <c r="AJ402" s="292"/>
      <c r="AK402" s="282"/>
      <c r="AL402" s="75"/>
      <c r="AM402" s="75"/>
      <c r="AN402" s="75"/>
      <c r="AO402" s="282"/>
      <c r="AP402" s="75"/>
      <c r="AQ402" s="75"/>
      <c r="AR402" s="75"/>
      <c r="AS402" s="75"/>
      <c r="AT402" s="75"/>
    </row>
    <row r="403">
      <c r="A403" s="282"/>
      <c r="B403" s="125"/>
      <c r="C403" s="113"/>
      <c r="D403" s="75"/>
      <c r="E403" s="282"/>
      <c r="F403" s="125"/>
      <c r="G403" s="113"/>
      <c r="H403" s="75"/>
      <c r="I403" s="282"/>
      <c r="J403" s="125"/>
      <c r="K403" s="113"/>
      <c r="L403" s="75"/>
      <c r="M403" s="282"/>
      <c r="N403" s="125"/>
      <c r="O403" s="113"/>
      <c r="P403" s="75"/>
      <c r="Q403" s="282"/>
      <c r="R403" s="125"/>
      <c r="S403" s="113"/>
      <c r="T403" s="75"/>
      <c r="U403" s="282"/>
      <c r="V403" s="125"/>
      <c r="W403" s="113"/>
      <c r="X403" s="75"/>
      <c r="Y403" s="282"/>
      <c r="Z403" s="290"/>
      <c r="AA403" s="291"/>
      <c r="AB403" s="73"/>
      <c r="AC403" s="282"/>
      <c r="AD403" s="125"/>
      <c r="AE403" s="241"/>
      <c r="AF403" s="284"/>
      <c r="AG403" s="282"/>
      <c r="AH403" s="292"/>
      <c r="AI403" s="292"/>
      <c r="AJ403" s="292"/>
      <c r="AK403" s="282"/>
      <c r="AL403" s="75"/>
      <c r="AM403" s="75"/>
      <c r="AN403" s="75"/>
      <c r="AO403" s="282"/>
      <c r="AP403" s="75"/>
      <c r="AQ403" s="75"/>
      <c r="AR403" s="75"/>
      <c r="AS403" s="75"/>
      <c r="AT403" s="75"/>
    </row>
    <row r="404">
      <c r="A404" s="282"/>
      <c r="B404" s="125"/>
      <c r="C404" s="113"/>
      <c r="D404" s="75"/>
      <c r="E404" s="282"/>
      <c r="F404" s="125"/>
      <c r="G404" s="113"/>
      <c r="H404" s="75"/>
      <c r="I404" s="282"/>
      <c r="J404" s="125"/>
      <c r="K404" s="113"/>
      <c r="L404" s="75"/>
      <c r="M404" s="282"/>
      <c r="N404" s="125"/>
      <c r="O404" s="113"/>
      <c r="P404" s="75"/>
      <c r="Q404" s="282"/>
      <c r="R404" s="125"/>
      <c r="S404" s="113"/>
      <c r="T404" s="75"/>
      <c r="U404" s="282"/>
      <c r="V404" s="125"/>
      <c r="W404" s="113"/>
      <c r="X404" s="75"/>
      <c r="Y404" s="282"/>
      <c r="Z404" s="290"/>
      <c r="AA404" s="291"/>
      <c r="AB404" s="73"/>
      <c r="AC404" s="282"/>
      <c r="AD404" s="125"/>
      <c r="AE404" s="241"/>
      <c r="AF404" s="284"/>
      <c r="AG404" s="282"/>
      <c r="AH404" s="292"/>
      <c r="AI404" s="292"/>
      <c r="AJ404" s="292"/>
      <c r="AK404" s="282"/>
      <c r="AL404" s="75"/>
      <c r="AM404" s="75"/>
      <c r="AN404" s="75"/>
      <c r="AO404" s="282"/>
      <c r="AP404" s="75"/>
      <c r="AQ404" s="75"/>
      <c r="AR404" s="75"/>
      <c r="AS404" s="75"/>
      <c r="AT404" s="75"/>
    </row>
    <row r="405">
      <c r="A405" s="282"/>
      <c r="B405" s="125"/>
      <c r="C405" s="113"/>
      <c r="D405" s="75"/>
      <c r="E405" s="282"/>
      <c r="F405" s="125"/>
      <c r="G405" s="113"/>
      <c r="H405" s="75"/>
      <c r="I405" s="282"/>
      <c r="J405" s="125"/>
      <c r="K405" s="113"/>
      <c r="L405" s="75"/>
      <c r="M405" s="282"/>
      <c r="N405" s="125"/>
      <c r="O405" s="113"/>
      <c r="P405" s="75"/>
      <c r="Q405" s="282"/>
      <c r="R405" s="125"/>
      <c r="S405" s="113"/>
      <c r="T405" s="75"/>
      <c r="U405" s="282"/>
      <c r="V405" s="125"/>
      <c r="W405" s="113"/>
      <c r="X405" s="75"/>
      <c r="Y405" s="282"/>
      <c r="Z405" s="290"/>
      <c r="AA405" s="291"/>
      <c r="AB405" s="73"/>
      <c r="AC405" s="282"/>
      <c r="AD405" s="125"/>
      <c r="AE405" s="241"/>
      <c r="AF405" s="284"/>
      <c r="AG405" s="282"/>
      <c r="AH405" s="292"/>
      <c r="AI405" s="292"/>
      <c r="AJ405" s="292"/>
      <c r="AK405" s="282"/>
      <c r="AL405" s="75"/>
      <c r="AM405" s="75"/>
      <c r="AN405" s="75"/>
      <c r="AO405" s="282"/>
      <c r="AP405" s="75"/>
      <c r="AQ405" s="75"/>
      <c r="AR405" s="75"/>
      <c r="AS405" s="75"/>
      <c r="AT405" s="75"/>
    </row>
    <row r="406">
      <c r="A406" s="282"/>
      <c r="B406" s="125"/>
      <c r="C406" s="113"/>
      <c r="D406" s="75"/>
      <c r="E406" s="282"/>
      <c r="F406" s="125"/>
      <c r="G406" s="113"/>
      <c r="H406" s="75"/>
      <c r="I406" s="282"/>
      <c r="J406" s="125"/>
      <c r="K406" s="113"/>
      <c r="L406" s="75"/>
      <c r="M406" s="282"/>
      <c r="N406" s="125"/>
      <c r="O406" s="113"/>
      <c r="P406" s="75"/>
      <c r="Q406" s="282"/>
      <c r="R406" s="125"/>
      <c r="S406" s="113"/>
      <c r="T406" s="75"/>
      <c r="U406" s="282"/>
      <c r="V406" s="125"/>
      <c r="W406" s="113"/>
      <c r="X406" s="75"/>
      <c r="Y406" s="282"/>
      <c r="Z406" s="290"/>
      <c r="AA406" s="291"/>
      <c r="AB406" s="73"/>
      <c r="AC406" s="282"/>
      <c r="AD406" s="125"/>
      <c r="AE406" s="241"/>
      <c r="AF406" s="284"/>
      <c r="AG406" s="282"/>
      <c r="AH406" s="292"/>
      <c r="AI406" s="292"/>
      <c r="AJ406" s="292"/>
      <c r="AK406" s="282"/>
      <c r="AL406" s="75"/>
      <c r="AM406" s="75"/>
      <c r="AN406" s="75"/>
      <c r="AO406" s="282"/>
      <c r="AP406" s="75"/>
      <c r="AQ406" s="75"/>
      <c r="AR406" s="75"/>
      <c r="AS406" s="75"/>
      <c r="AT406" s="75"/>
    </row>
    <row r="407">
      <c r="A407" s="282"/>
      <c r="B407" s="125"/>
      <c r="C407" s="113"/>
      <c r="D407" s="75"/>
      <c r="E407" s="282"/>
      <c r="F407" s="125"/>
      <c r="G407" s="113"/>
      <c r="H407" s="75"/>
      <c r="I407" s="282"/>
      <c r="J407" s="125"/>
      <c r="K407" s="113"/>
      <c r="L407" s="75"/>
      <c r="M407" s="282"/>
      <c r="N407" s="125"/>
      <c r="O407" s="113"/>
      <c r="P407" s="75"/>
      <c r="Q407" s="282"/>
      <c r="R407" s="125"/>
      <c r="S407" s="113"/>
      <c r="T407" s="75"/>
      <c r="U407" s="282"/>
      <c r="V407" s="125"/>
      <c r="W407" s="113"/>
      <c r="X407" s="75"/>
      <c r="Y407" s="282"/>
      <c r="Z407" s="290"/>
      <c r="AA407" s="291"/>
      <c r="AB407" s="73"/>
      <c r="AC407" s="282"/>
      <c r="AD407" s="125"/>
      <c r="AE407" s="241"/>
      <c r="AF407" s="284"/>
      <c r="AG407" s="282"/>
      <c r="AH407" s="292"/>
      <c r="AI407" s="292"/>
      <c r="AJ407" s="292"/>
      <c r="AK407" s="282"/>
      <c r="AL407" s="75"/>
      <c r="AM407" s="75"/>
      <c r="AN407" s="75"/>
      <c r="AO407" s="282"/>
      <c r="AP407" s="75"/>
      <c r="AQ407" s="75"/>
      <c r="AR407" s="75"/>
      <c r="AS407" s="75"/>
      <c r="AT407" s="75"/>
    </row>
    <row r="408">
      <c r="A408" s="282"/>
      <c r="B408" s="125"/>
      <c r="C408" s="113"/>
      <c r="D408" s="75"/>
      <c r="E408" s="282"/>
      <c r="F408" s="125"/>
      <c r="G408" s="113"/>
      <c r="H408" s="75"/>
      <c r="I408" s="282"/>
      <c r="J408" s="125"/>
      <c r="K408" s="113"/>
      <c r="L408" s="75"/>
      <c r="M408" s="282"/>
      <c r="N408" s="125"/>
      <c r="O408" s="113"/>
      <c r="P408" s="75"/>
      <c r="Q408" s="282"/>
      <c r="R408" s="125"/>
      <c r="S408" s="113"/>
      <c r="T408" s="75"/>
      <c r="U408" s="282"/>
      <c r="V408" s="125"/>
      <c r="W408" s="113"/>
      <c r="X408" s="75"/>
      <c r="Y408" s="282"/>
      <c r="Z408" s="290"/>
      <c r="AA408" s="291"/>
      <c r="AB408" s="73"/>
      <c r="AC408" s="282"/>
      <c r="AD408" s="125"/>
      <c r="AE408" s="241"/>
      <c r="AF408" s="284"/>
      <c r="AG408" s="282"/>
      <c r="AH408" s="292"/>
      <c r="AI408" s="292"/>
      <c r="AJ408" s="292"/>
      <c r="AK408" s="282"/>
      <c r="AL408" s="75"/>
      <c r="AM408" s="75"/>
      <c r="AN408" s="75"/>
      <c r="AO408" s="282"/>
      <c r="AP408" s="75"/>
      <c r="AQ408" s="75"/>
      <c r="AR408" s="75"/>
      <c r="AS408" s="75"/>
      <c r="AT408" s="75"/>
    </row>
    <row r="409">
      <c r="A409" s="282"/>
      <c r="B409" s="125"/>
      <c r="C409" s="113"/>
      <c r="D409" s="75"/>
      <c r="E409" s="282"/>
      <c r="F409" s="125"/>
      <c r="G409" s="113"/>
      <c r="H409" s="75"/>
      <c r="I409" s="282"/>
      <c r="J409" s="125"/>
      <c r="K409" s="113"/>
      <c r="L409" s="75"/>
      <c r="M409" s="282"/>
      <c r="N409" s="125"/>
      <c r="O409" s="113"/>
      <c r="P409" s="75"/>
      <c r="Q409" s="282"/>
      <c r="R409" s="125"/>
      <c r="S409" s="113"/>
      <c r="T409" s="75"/>
      <c r="U409" s="282"/>
      <c r="V409" s="125"/>
      <c r="W409" s="113"/>
      <c r="X409" s="75"/>
      <c r="Y409" s="282"/>
      <c r="Z409" s="290"/>
      <c r="AA409" s="291"/>
      <c r="AB409" s="73"/>
      <c r="AC409" s="282"/>
      <c r="AD409" s="125"/>
      <c r="AE409" s="241"/>
      <c r="AF409" s="284"/>
      <c r="AG409" s="282"/>
      <c r="AH409" s="292"/>
      <c r="AI409" s="292"/>
      <c r="AJ409" s="292"/>
      <c r="AK409" s="282"/>
      <c r="AL409" s="75"/>
      <c r="AM409" s="75"/>
      <c r="AN409" s="75"/>
      <c r="AO409" s="282"/>
      <c r="AP409" s="75"/>
      <c r="AQ409" s="75"/>
      <c r="AR409" s="75"/>
      <c r="AS409" s="75"/>
      <c r="AT409" s="75"/>
    </row>
    <row r="410">
      <c r="A410" s="282"/>
      <c r="B410" s="125"/>
      <c r="C410" s="113"/>
      <c r="D410" s="75"/>
      <c r="E410" s="282"/>
      <c r="F410" s="125"/>
      <c r="G410" s="113"/>
      <c r="H410" s="75"/>
      <c r="I410" s="282"/>
      <c r="J410" s="125"/>
      <c r="K410" s="113"/>
      <c r="L410" s="75"/>
      <c r="M410" s="282"/>
      <c r="N410" s="125"/>
      <c r="O410" s="113"/>
      <c r="P410" s="75"/>
      <c r="Q410" s="282"/>
      <c r="R410" s="125"/>
      <c r="S410" s="113"/>
      <c r="T410" s="75"/>
      <c r="U410" s="282"/>
      <c r="V410" s="125"/>
      <c r="W410" s="113"/>
      <c r="X410" s="75"/>
      <c r="Y410" s="282"/>
      <c r="Z410" s="290"/>
      <c r="AA410" s="291"/>
      <c r="AB410" s="73"/>
      <c r="AC410" s="282"/>
      <c r="AD410" s="125"/>
      <c r="AE410" s="241"/>
      <c r="AF410" s="284"/>
      <c r="AG410" s="282"/>
      <c r="AH410" s="292"/>
      <c r="AI410" s="292"/>
      <c r="AJ410" s="292"/>
      <c r="AK410" s="282"/>
      <c r="AL410" s="75"/>
      <c r="AM410" s="75"/>
      <c r="AN410" s="75"/>
      <c r="AO410" s="282"/>
      <c r="AP410" s="75"/>
      <c r="AQ410" s="75"/>
      <c r="AR410" s="75"/>
      <c r="AS410" s="75"/>
      <c r="AT410" s="75"/>
    </row>
    <row r="411">
      <c r="A411" s="282"/>
      <c r="B411" s="125"/>
      <c r="C411" s="113"/>
      <c r="D411" s="75"/>
      <c r="E411" s="282"/>
      <c r="F411" s="125"/>
      <c r="G411" s="113"/>
      <c r="H411" s="75"/>
      <c r="I411" s="282"/>
      <c r="J411" s="125"/>
      <c r="K411" s="113"/>
      <c r="L411" s="75"/>
      <c r="M411" s="282"/>
      <c r="N411" s="125"/>
      <c r="O411" s="113"/>
      <c r="P411" s="75"/>
      <c r="Q411" s="282"/>
      <c r="R411" s="125"/>
      <c r="S411" s="113"/>
      <c r="T411" s="75"/>
      <c r="U411" s="282"/>
      <c r="V411" s="125"/>
      <c r="W411" s="113"/>
      <c r="X411" s="75"/>
      <c r="Y411" s="282"/>
      <c r="Z411" s="290"/>
      <c r="AA411" s="291"/>
      <c r="AB411" s="73"/>
      <c r="AC411" s="282"/>
      <c r="AD411" s="125"/>
      <c r="AE411" s="241"/>
      <c r="AF411" s="284"/>
      <c r="AG411" s="282"/>
      <c r="AH411" s="292"/>
      <c r="AI411" s="292"/>
      <c r="AJ411" s="292"/>
      <c r="AK411" s="282"/>
      <c r="AL411" s="75"/>
      <c r="AM411" s="75"/>
      <c r="AN411" s="75"/>
      <c r="AO411" s="282"/>
      <c r="AP411" s="75"/>
      <c r="AQ411" s="75"/>
      <c r="AR411" s="75"/>
      <c r="AS411" s="75"/>
      <c r="AT411" s="75"/>
    </row>
    <row r="412">
      <c r="A412" s="282"/>
      <c r="B412" s="125"/>
      <c r="C412" s="113"/>
      <c r="D412" s="75"/>
      <c r="E412" s="282"/>
      <c r="F412" s="125"/>
      <c r="G412" s="113"/>
      <c r="H412" s="75"/>
      <c r="I412" s="282"/>
      <c r="J412" s="125"/>
      <c r="K412" s="113"/>
      <c r="L412" s="75"/>
      <c r="M412" s="282"/>
      <c r="N412" s="125"/>
      <c r="O412" s="113"/>
      <c r="P412" s="75"/>
      <c r="Q412" s="282"/>
      <c r="R412" s="125"/>
      <c r="S412" s="113"/>
      <c r="T412" s="75"/>
      <c r="U412" s="282"/>
      <c r="V412" s="125"/>
      <c r="W412" s="113"/>
      <c r="X412" s="75"/>
      <c r="Y412" s="282"/>
      <c r="Z412" s="290"/>
      <c r="AA412" s="291"/>
      <c r="AB412" s="73"/>
      <c r="AC412" s="282"/>
      <c r="AD412" s="125"/>
      <c r="AE412" s="241"/>
      <c r="AF412" s="284"/>
      <c r="AG412" s="282"/>
      <c r="AH412" s="292"/>
      <c r="AI412" s="292"/>
      <c r="AJ412" s="292"/>
      <c r="AK412" s="282"/>
      <c r="AL412" s="75"/>
      <c r="AM412" s="75"/>
      <c r="AN412" s="75"/>
      <c r="AO412" s="282"/>
      <c r="AP412" s="75"/>
      <c r="AQ412" s="75"/>
      <c r="AR412" s="75"/>
      <c r="AS412" s="75"/>
      <c r="AT412" s="75"/>
    </row>
    <row r="413">
      <c r="A413" s="282"/>
      <c r="B413" s="125"/>
      <c r="C413" s="113"/>
      <c r="D413" s="75"/>
      <c r="E413" s="282"/>
      <c r="F413" s="125"/>
      <c r="G413" s="113"/>
      <c r="H413" s="75"/>
      <c r="I413" s="282"/>
      <c r="J413" s="125"/>
      <c r="K413" s="113"/>
      <c r="L413" s="75"/>
      <c r="M413" s="282"/>
      <c r="N413" s="125"/>
      <c r="O413" s="113"/>
      <c r="P413" s="75"/>
      <c r="Q413" s="282"/>
      <c r="R413" s="125"/>
      <c r="S413" s="113"/>
      <c r="T413" s="75"/>
      <c r="U413" s="282"/>
      <c r="V413" s="125"/>
      <c r="W413" s="113"/>
      <c r="X413" s="75"/>
      <c r="Y413" s="282"/>
      <c r="Z413" s="290"/>
      <c r="AA413" s="291"/>
      <c r="AB413" s="73"/>
      <c r="AC413" s="282"/>
      <c r="AD413" s="125"/>
      <c r="AE413" s="241"/>
      <c r="AF413" s="284"/>
      <c r="AG413" s="282"/>
      <c r="AH413" s="292"/>
      <c r="AI413" s="292"/>
      <c r="AJ413" s="292"/>
      <c r="AK413" s="282"/>
      <c r="AL413" s="75"/>
      <c r="AM413" s="75"/>
      <c r="AN413" s="75"/>
      <c r="AO413" s="282"/>
      <c r="AP413" s="75"/>
      <c r="AQ413" s="75"/>
      <c r="AR413" s="75"/>
      <c r="AS413" s="75"/>
      <c r="AT413" s="75"/>
    </row>
    <row r="414">
      <c r="A414" s="282"/>
      <c r="B414" s="125"/>
      <c r="C414" s="113"/>
      <c r="D414" s="75"/>
      <c r="E414" s="282"/>
      <c r="F414" s="125"/>
      <c r="G414" s="113"/>
      <c r="H414" s="75"/>
      <c r="I414" s="282"/>
      <c r="J414" s="125"/>
      <c r="K414" s="113"/>
      <c r="L414" s="75"/>
      <c r="M414" s="282"/>
      <c r="N414" s="125"/>
      <c r="O414" s="113"/>
      <c r="P414" s="75"/>
      <c r="Q414" s="282"/>
      <c r="R414" s="125"/>
      <c r="S414" s="113"/>
      <c r="T414" s="75"/>
      <c r="U414" s="282"/>
      <c r="V414" s="125"/>
      <c r="W414" s="113"/>
      <c r="X414" s="75"/>
      <c r="Y414" s="282"/>
      <c r="Z414" s="290"/>
      <c r="AA414" s="291"/>
      <c r="AB414" s="73"/>
      <c r="AC414" s="282"/>
      <c r="AD414" s="125"/>
      <c r="AE414" s="241"/>
      <c r="AF414" s="284"/>
      <c r="AG414" s="282"/>
      <c r="AH414" s="292"/>
      <c r="AI414" s="292"/>
      <c r="AJ414" s="292"/>
      <c r="AK414" s="282"/>
      <c r="AL414" s="75"/>
      <c r="AM414" s="75"/>
      <c r="AN414" s="75"/>
      <c r="AO414" s="282"/>
      <c r="AP414" s="75"/>
      <c r="AQ414" s="75"/>
      <c r="AR414" s="75"/>
      <c r="AS414" s="75"/>
      <c r="AT414" s="75"/>
    </row>
    <row r="415">
      <c r="A415" s="282"/>
      <c r="B415" s="125"/>
      <c r="C415" s="113"/>
      <c r="D415" s="75"/>
      <c r="E415" s="282"/>
      <c r="F415" s="125"/>
      <c r="G415" s="113"/>
      <c r="H415" s="75"/>
      <c r="I415" s="282"/>
      <c r="J415" s="125"/>
      <c r="K415" s="113"/>
      <c r="L415" s="75"/>
      <c r="M415" s="282"/>
      <c r="N415" s="125"/>
      <c r="O415" s="113"/>
      <c r="P415" s="75"/>
      <c r="Q415" s="282"/>
      <c r="R415" s="125"/>
      <c r="S415" s="113"/>
      <c r="T415" s="75"/>
      <c r="U415" s="282"/>
      <c r="V415" s="125"/>
      <c r="W415" s="113"/>
      <c r="X415" s="75"/>
      <c r="Y415" s="282"/>
      <c r="Z415" s="290"/>
      <c r="AA415" s="291"/>
      <c r="AB415" s="73"/>
      <c r="AC415" s="282"/>
      <c r="AD415" s="125"/>
      <c r="AE415" s="241"/>
      <c r="AF415" s="284"/>
      <c r="AG415" s="282"/>
      <c r="AH415" s="292"/>
      <c r="AI415" s="292"/>
      <c r="AJ415" s="292"/>
      <c r="AK415" s="282"/>
      <c r="AL415" s="75"/>
      <c r="AM415" s="75"/>
      <c r="AN415" s="75"/>
      <c r="AO415" s="282"/>
      <c r="AP415" s="75"/>
      <c r="AQ415" s="75"/>
      <c r="AR415" s="75"/>
      <c r="AS415" s="75"/>
      <c r="AT415" s="75"/>
    </row>
    <row r="416">
      <c r="A416" s="282"/>
      <c r="B416" s="125"/>
      <c r="C416" s="113"/>
      <c r="D416" s="75"/>
      <c r="E416" s="282"/>
      <c r="F416" s="125"/>
      <c r="G416" s="113"/>
      <c r="H416" s="75"/>
      <c r="I416" s="282"/>
      <c r="J416" s="125"/>
      <c r="K416" s="113"/>
      <c r="L416" s="75"/>
      <c r="M416" s="282"/>
      <c r="N416" s="125"/>
      <c r="O416" s="113"/>
      <c r="P416" s="75"/>
      <c r="Q416" s="282"/>
      <c r="R416" s="125"/>
      <c r="S416" s="113"/>
      <c r="T416" s="75"/>
      <c r="U416" s="282"/>
      <c r="V416" s="125"/>
      <c r="W416" s="113"/>
      <c r="X416" s="75"/>
      <c r="Y416" s="282"/>
      <c r="Z416" s="290"/>
      <c r="AA416" s="291"/>
      <c r="AB416" s="73"/>
      <c r="AC416" s="282"/>
      <c r="AD416" s="125"/>
      <c r="AE416" s="241"/>
      <c r="AF416" s="284"/>
      <c r="AG416" s="282"/>
      <c r="AH416" s="292"/>
      <c r="AI416" s="292"/>
      <c r="AJ416" s="292"/>
      <c r="AK416" s="282"/>
      <c r="AL416" s="75"/>
      <c r="AM416" s="75"/>
      <c r="AN416" s="75"/>
      <c r="AO416" s="282"/>
      <c r="AP416" s="75"/>
      <c r="AQ416" s="75"/>
      <c r="AR416" s="75"/>
      <c r="AS416" s="75"/>
      <c r="AT416" s="75"/>
    </row>
    <row r="417">
      <c r="A417" s="282"/>
      <c r="B417" s="125"/>
      <c r="C417" s="113"/>
      <c r="D417" s="75"/>
      <c r="E417" s="282"/>
      <c r="F417" s="125"/>
      <c r="G417" s="113"/>
      <c r="H417" s="75"/>
      <c r="I417" s="282"/>
      <c r="J417" s="125"/>
      <c r="K417" s="113"/>
      <c r="L417" s="75"/>
      <c r="M417" s="282"/>
      <c r="N417" s="125"/>
      <c r="O417" s="113"/>
      <c r="P417" s="75"/>
      <c r="Q417" s="282"/>
      <c r="R417" s="125"/>
      <c r="S417" s="113"/>
      <c r="T417" s="75"/>
      <c r="U417" s="282"/>
      <c r="V417" s="125"/>
      <c r="W417" s="113"/>
      <c r="X417" s="75"/>
      <c r="Y417" s="282"/>
      <c r="Z417" s="290"/>
      <c r="AA417" s="291"/>
      <c r="AB417" s="73"/>
      <c r="AC417" s="282"/>
      <c r="AD417" s="125"/>
      <c r="AE417" s="241"/>
      <c r="AF417" s="284"/>
      <c r="AG417" s="282"/>
      <c r="AH417" s="292"/>
      <c r="AI417" s="292"/>
      <c r="AJ417" s="292"/>
      <c r="AK417" s="282"/>
      <c r="AL417" s="75"/>
      <c r="AM417" s="75"/>
      <c r="AN417" s="75"/>
      <c r="AO417" s="282"/>
      <c r="AP417" s="75"/>
      <c r="AQ417" s="75"/>
      <c r="AR417" s="75"/>
      <c r="AS417" s="75"/>
      <c r="AT417" s="75"/>
    </row>
    <row r="418">
      <c r="A418" s="282"/>
      <c r="B418" s="125"/>
      <c r="C418" s="113"/>
      <c r="D418" s="75"/>
      <c r="E418" s="282"/>
      <c r="F418" s="125"/>
      <c r="G418" s="113"/>
      <c r="H418" s="75"/>
      <c r="I418" s="282"/>
      <c r="J418" s="125"/>
      <c r="K418" s="113"/>
      <c r="L418" s="75"/>
      <c r="M418" s="282"/>
      <c r="N418" s="125"/>
      <c r="O418" s="113"/>
      <c r="P418" s="75"/>
      <c r="Q418" s="282"/>
      <c r="R418" s="125"/>
      <c r="S418" s="113"/>
      <c r="T418" s="75"/>
      <c r="U418" s="282"/>
      <c r="V418" s="125"/>
      <c r="W418" s="113"/>
      <c r="X418" s="75"/>
      <c r="Y418" s="282"/>
      <c r="Z418" s="290"/>
      <c r="AA418" s="291"/>
      <c r="AB418" s="73"/>
      <c r="AC418" s="282"/>
      <c r="AD418" s="125"/>
      <c r="AE418" s="241"/>
      <c r="AF418" s="284"/>
      <c r="AG418" s="282"/>
      <c r="AH418" s="292"/>
      <c r="AI418" s="292"/>
      <c r="AJ418" s="292"/>
      <c r="AK418" s="282"/>
      <c r="AL418" s="75"/>
      <c r="AM418" s="75"/>
      <c r="AN418" s="75"/>
      <c r="AO418" s="282"/>
      <c r="AP418" s="75"/>
      <c r="AQ418" s="75"/>
      <c r="AR418" s="75"/>
      <c r="AS418" s="75"/>
      <c r="AT418" s="75"/>
    </row>
    <row r="419">
      <c r="A419" s="282"/>
      <c r="B419" s="125"/>
      <c r="C419" s="113"/>
      <c r="D419" s="75"/>
      <c r="E419" s="282"/>
      <c r="F419" s="125"/>
      <c r="G419" s="113"/>
      <c r="H419" s="75"/>
      <c r="I419" s="282"/>
      <c r="J419" s="125"/>
      <c r="K419" s="113"/>
      <c r="L419" s="75"/>
      <c r="M419" s="282"/>
      <c r="N419" s="125"/>
      <c r="O419" s="113"/>
      <c r="P419" s="75"/>
      <c r="Q419" s="282"/>
      <c r="R419" s="125"/>
      <c r="S419" s="113"/>
      <c r="T419" s="75"/>
      <c r="U419" s="282"/>
      <c r="V419" s="125"/>
      <c r="W419" s="113"/>
      <c r="X419" s="75"/>
      <c r="Y419" s="282"/>
      <c r="Z419" s="290"/>
      <c r="AA419" s="291"/>
      <c r="AB419" s="73"/>
      <c r="AC419" s="282"/>
      <c r="AD419" s="125"/>
      <c r="AE419" s="241"/>
      <c r="AF419" s="284"/>
      <c r="AG419" s="282"/>
      <c r="AH419" s="292"/>
      <c r="AI419" s="292"/>
      <c r="AJ419" s="292"/>
      <c r="AK419" s="282"/>
      <c r="AL419" s="75"/>
      <c r="AM419" s="75"/>
      <c r="AN419" s="75"/>
      <c r="AO419" s="282"/>
      <c r="AP419" s="75"/>
      <c r="AQ419" s="75"/>
      <c r="AR419" s="75"/>
      <c r="AS419" s="75"/>
      <c r="AT419" s="75"/>
    </row>
    <row r="420">
      <c r="A420" s="282"/>
      <c r="B420" s="125"/>
      <c r="C420" s="113"/>
      <c r="D420" s="75"/>
      <c r="E420" s="282"/>
      <c r="F420" s="125"/>
      <c r="G420" s="113"/>
      <c r="H420" s="75"/>
      <c r="I420" s="282"/>
      <c r="J420" s="125"/>
      <c r="K420" s="113"/>
      <c r="L420" s="75"/>
      <c r="M420" s="282"/>
      <c r="N420" s="125"/>
      <c r="O420" s="113"/>
      <c r="P420" s="75"/>
      <c r="Q420" s="282"/>
      <c r="R420" s="125"/>
      <c r="S420" s="113"/>
      <c r="T420" s="75"/>
      <c r="U420" s="282"/>
      <c r="V420" s="125"/>
      <c r="W420" s="113"/>
      <c r="X420" s="75"/>
      <c r="Y420" s="282"/>
      <c r="Z420" s="290"/>
      <c r="AA420" s="291"/>
      <c r="AB420" s="73"/>
      <c r="AC420" s="282"/>
      <c r="AD420" s="125"/>
      <c r="AE420" s="241"/>
      <c r="AF420" s="284"/>
      <c r="AG420" s="282"/>
      <c r="AH420" s="292"/>
      <c r="AI420" s="292"/>
      <c r="AJ420" s="292"/>
      <c r="AK420" s="282"/>
      <c r="AL420" s="75"/>
      <c r="AM420" s="75"/>
      <c r="AN420" s="75"/>
      <c r="AO420" s="282"/>
      <c r="AP420" s="75"/>
      <c r="AQ420" s="75"/>
      <c r="AR420" s="75"/>
      <c r="AS420" s="75"/>
      <c r="AT420" s="75"/>
    </row>
    <row r="421">
      <c r="A421" s="282"/>
      <c r="B421" s="125"/>
      <c r="C421" s="113"/>
      <c r="D421" s="75"/>
      <c r="E421" s="282"/>
      <c r="F421" s="125"/>
      <c r="G421" s="113"/>
      <c r="H421" s="75"/>
      <c r="I421" s="282"/>
      <c r="J421" s="125"/>
      <c r="K421" s="113"/>
      <c r="L421" s="75"/>
      <c r="M421" s="282"/>
      <c r="N421" s="125"/>
      <c r="O421" s="113"/>
      <c r="P421" s="75"/>
      <c r="Q421" s="282"/>
      <c r="R421" s="125"/>
      <c r="S421" s="113"/>
      <c r="T421" s="75"/>
      <c r="U421" s="282"/>
      <c r="V421" s="125"/>
      <c r="W421" s="113"/>
      <c r="X421" s="75"/>
      <c r="Y421" s="282"/>
      <c r="Z421" s="290"/>
      <c r="AA421" s="291"/>
      <c r="AB421" s="73"/>
      <c r="AC421" s="282"/>
      <c r="AD421" s="125"/>
      <c r="AE421" s="241"/>
      <c r="AF421" s="284"/>
      <c r="AG421" s="282"/>
      <c r="AH421" s="292"/>
      <c r="AI421" s="292"/>
      <c r="AJ421" s="292"/>
      <c r="AK421" s="282"/>
      <c r="AL421" s="75"/>
      <c r="AM421" s="75"/>
      <c r="AN421" s="75"/>
      <c r="AO421" s="282"/>
      <c r="AP421" s="75"/>
      <c r="AQ421" s="75"/>
      <c r="AR421" s="75"/>
      <c r="AS421" s="75"/>
      <c r="AT421" s="75"/>
    </row>
    <row r="422">
      <c r="A422" s="282"/>
      <c r="B422" s="125"/>
      <c r="C422" s="113"/>
      <c r="D422" s="75"/>
      <c r="E422" s="282"/>
      <c r="F422" s="125"/>
      <c r="G422" s="113"/>
      <c r="H422" s="75"/>
      <c r="I422" s="282"/>
      <c r="J422" s="125"/>
      <c r="K422" s="113"/>
      <c r="L422" s="75"/>
      <c r="M422" s="282"/>
      <c r="N422" s="125"/>
      <c r="O422" s="113"/>
      <c r="P422" s="75"/>
      <c r="Q422" s="282"/>
      <c r="R422" s="125"/>
      <c r="S422" s="113"/>
      <c r="T422" s="75"/>
      <c r="U422" s="282"/>
      <c r="V422" s="125"/>
      <c r="W422" s="113"/>
      <c r="X422" s="75"/>
      <c r="Y422" s="282"/>
      <c r="Z422" s="290"/>
      <c r="AA422" s="291"/>
      <c r="AB422" s="73"/>
      <c r="AC422" s="282"/>
      <c r="AD422" s="125"/>
      <c r="AE422" s="241"/>
      <c r="AF422" s="284"/>
      <c r="AG422" s="282"/>
      <c r="AH422" s="292"/>
      <c r="AI422" s="292"/>
      <c r="AJ422" s="292"/>
      <c r="AK422" s="282"/>
      <c r="AL422" s="75"/>
      <c r="AM422" s="75"/>
      <c r="AN422" s="75"/>
      <c r="AO422" s="282"/>
      <c r="AP422" s="75"/>
      <c r="AQ422" s="75"/>
      <c r="AR422" s="75"/>
      <c r="AS422" s="75"/>
      <c r="AT422" s="75"/>
    </row>
    <row r="423">
      <c r="A423" s="282"/>
      <c r="B423" s="125"/>
      <c r="C423" s="113"/>
      <c r="D423" s="75"/>
      <c r="E423" s="282"/>
      <c r="F423" s="125"/>
      <c r="G423" s="113"/>
      <c r="H423" s="75"/>
      <c r="I423" s="282"/>
      <c r="J423" s="125"/>
      <c r="K423" s="113"/>
      <c r="L423" s="75"/>
      <c r="M423" s="282"/>
      <c r="N423" s="125"/>
      <c r="O423" s="113"/>
      <c r="P423" s="75"/>
      <c r="Q423" s="282"/>
      <c r="R423" s="125"/>
      <c r="S423" s="113"/>
      <c r="T423" s="75"/>
      <c r="U423" s="282"/>
      <c r="V423" s="125"/>
      <c r="W423" s="113"/>
      <c r="X423" s="75"/>
      <c r="Y423" s="282"/>
      <c r="Z423" s="290"/>
      <c r="AA423" s="291"/>
      <c r="AB423" s="73"/>
      <c r="AC423" s="282"/>
      <c r="AD423" s="125"/>
      <c r="AE423" s="241"/>
      <c r="AF423" s="284"/>
      <c r="AG423" s="282"/>
      <c r="AH423" s="292"/>
      <c r="AI423" s="292"/>
      <c r="AJ423" s="292"/>
      <c r="AK423" s="282"/>
      <c r="AL423" s="75"/>
      <c r="AM423" s="75"/>
      <c r="AN423" s="75"/>
      <c r="AO423" s="282"/>
      <c r="AP423" s="75"/>
      <c r="AQ423" s="75"/>
      <c r="AR423" s="75"/>
      <c r="AS423" s="75"/>
      <c r="AT423" s="75"/>
    </row>
    <row r="424">
      <c r="A424" s="282"/>
      <c r="B424" s="125"/>
      <c r="C424" s="113"/>
      <c r="D424" s="75"/>
      <c r="E424" s="282"/>
      <c r="F424" s="125"/>
      <c r="G424" s="113"/>
      <c r="H424" s="75"/>
      <c r="I424" s="282"/>
      <c r="J424" s="125"/>
      <c r="K424" s="113"/>
      <c r="L424" s="75"/>
      <c r="M424" s="282"/>
      <c r="N424" s="125"/>
      <c r="O424" s="113"/>
      <c r="P424" s="75"/>
      <c r="Q424" s="282"/>
      <c r="R424" s="125"/>
      <c r="S424" s="113"/>
      <c r="T424" s="75"/>
      <c r="U424" s="282"/>
      <c r="V424" s="125"/>
      <c r="W424" s="113"/>
      <c r="X424" s="75"/>
      <c r="Y424" s="282"/>
      <c r="Z424" s="290"/>
      <c r="AA424" s="291"/>
      <c r="AB424" s="73"/>
      <c r="AC424" s="282"/>
      <c r="AD424" s="125"/>
      <c r="AE424" s="241"/>
      <c r="AF424" s="284"/>
      <c r="AG424" s="282"/>
      <c r="AH424" s="292"/>
      <c r="AI424" s="292"/>
      <c r="AJ424" s="292"/>
      <c r="AK424" s="282"/>
      <c r="AL424" s="75"/>
      <c r="AM424" s="75"/>
      <c r="AN424" s="75"/>
      <c r="AO424" s="282"/>
      <c r="AP424" s="75"/>
      <c r="AQ424" s="75"/>
      <c r="AR424" s="75"/>
      <c r="AS424" s="75"/>
      <c r="AT424" s="75"/>
    </row>
    <row r="425">
      <c r="A425" s="282"/>
      <c r="B425" s="125"/>
      <c r="C425" s="113"/>
      <c r="D425" s="75"/>
      <c r="E425" s="282"/>
      <c r="F425" s="125"/>
      <c r="G425" s="113"/>
      <c r="H425" s="75"/>
      <c r="I425" s="282"/>
      <c r="J425" s="125"/>
      <c r="K425" s="113"/>
      <c r="L425" s="75"/>
      <c r="M425" s="282"/>
      <c r="N425" s="125"/>
      <c r="O425" s="113"/>
      <c r="P425" s="75"/>
      <c r="Q425" s="282"/>
      <c r="R425" s="125"/>
      <c r="S425" s="113"/>
      <c r="T425" s="75"/>
      <c r="U425" s="282"/>
      <c r="V425" s="125"/>
      <c r="W425" s="113"/>
      <c r="X425" s="75"/>
      <c r="Y425" s="282"/>
      <c r="Z425" s="290"/>
      <c r="AA425" s="291"/>
      <c r="AB425" s="73"/>
      <c r="AC425" s="282"/>
      <c r="AD425" s="125"/>
      <c r="AE425" s="241"/>
      <c r="AF425" s="284"/>
      <c r="AG425" s="282"/>
      <c r="AH425" s="292"/>
      <c r="AI425" s="292"/>
      <c r="AJ425" s="292"/>
      <c r="AK425" s="282"/>
      <c r="AL425" s="75"/>
      <c r="AM425" s="75"/>
      <c r="AN425" s="75"/>
      <c r="AO425" s="282"/>
      <c r="AP425" s="75"/>
      <c r="AQ425" s="75"/>
      <c r="AR425" s="75"/>
      <c r="AS425" s="75"/>
      <c r="AT425" s="75"/>
    </row>
    <row r="426">
      <c r="A426" s="282"/>
      <c r="B426" s="125"/>
      <c r="C426" s="113"/>
      <c r="D426" s="75"/>
      <c r="E426" s="282"/>
      <c r="F426" s="125"/>
      <c r="G426" s="113"/>
      <c r="H426" s="75"/>
      <c r="I426" s="282"/>
      <c r="J426" s="125"/>
      <c r="K426" s="113"/>
      <c r="L426" s="75"/>
      <c r="M426" s="282"/>
      <c r="N426" s="125"/>
      <c r="O426" s="113"/>
      <c r="P426" s="75"/>
      <c r="Q426" s="282"/>
      <c r="R426" s="125"/>
      <c r="S426" s="113"/>
      <c r="T426" s="75"/>
      <c r="U426" s="282"/>
      <c r="V426" s="125"/>
      <c r="W426" s="113"/>
      <c r="X426" s="75"/>
      <c r="Y426" s="282"/>
      <c r="Z426" s="290"/>
      <c r="AA426" s="291"/>
      <c r="AB426" s="73"/>
      <c r="AC426" s="282"/>
      <c r="AD426" s="125"/>
      <c r="AE426" s="241"/>
      <c r="AF426" s="284"/>
      <c r="AG426" s="282"/>
      <c r="AH426" s="292"/>
      <c r="AI426" s="292"/>
      <c r="AJ426" s="292"/>
      <c r="AK426" s="282"/>
      <c r="AL426" s="75"/>
      <c r="AM426" s="75"/>
      <c r="AN426" s="75"/>
      <c r="AO426" s="282"/>
      <c r="AP426" s="75"/>
      <c r="AQ426" s="75"/>
      <c r="AR426" s="75"/>
      <c r="AS426" s="75"/>
      <c r="AT426" s="75"/>
    </row>
    <row r="427">
      <c r="A427" s="282"/>
      <c r="B427" s="125"/>
      <c r="C427" s="113"/>
      <c r="D427" s="75"/>
      <c r="E427" s="282"/>
      <c r="F427" s="125"/>
      <c r="G427" s="113"/>
      <c r="H427" s="75"/>
      <c r="I427" s="282"/>
      <c r="J427" s="125"/>
      <c r="K427" s="113"/>
      <c r="L427" s="75"/>
      <c r="M427" s="282"/>
      <c r="N427" s="125"/>
      <c r="O427" s="113"/>
      <c r="P427" s="75"/>
      <c r="Q427" s="282"/>
      <c r="R427" s="125"/>
      <c r="S427" s="113"/>
      <c r="T427" s="75"/>
      <c r="U427" s="282"/>
      <c r="V427" s="125"/>
      <c r="W427" s="113"/>
      <c r="X427" s="75"/>
      <c r="Y427" s="282"/>
      <c r="Z427" s="290"/>
      <c r="AA427" s="291"/>
      <c r="AB427" s="73"/>
      <c r="AC427" s="282"/>
      <c r="AD427" s="125"/>
      <c r="AE427" s="241"/>
      <c r="AF427" s="284"/>
      <c r="AG427" s="282"/>
      <c r="AH427" s="292"/>
      <c r="AI427" s="292"/>
      <c r="AJ427" s="292"/>
      <c r="AK427" s="282"/>
      <c r="AL427" s="75"/>
      <c r="AM427" s="75"/>
      <c r="AN427" s="75"/>
      <c r="AO427" s="282"/>
      <c r="AP427" s="75"/>
      <c r="AQ427" s="75"/>
      <c r="AR427" s="75"/>
      <c r="AS427" s="75"/>
      <c r="AT427" s="75"/>
    </row>
    <row r="428">
      <c r="A428" s="282"/>
      <c r="B428" s="125"/>
      <c r="C428" s="113"/>
      <c r="D428" s="75"/>
      <c r="E428" s="282"/>
      <c r="F428" s="125"/>
      <c r="G428" s="113"/>
      <c r="H428" s="75"/>
      <c r="I428" s="282"/>
      <c r="J428" s="125"/>
      <c r="K428" s="113"/>
      <c r="L428" s="75"/>
      <c r="M428" s="282"/>
      <c r="N428" s="125"/>
      <c r="O428" s="113"/>
      <c r="P428" s="75"/>
      <c r="Q428" s="282"/>
      <c r="R428" s="125"/>
      <c r="S428" s="113"/>
      <c r="T428" s="75"/>
      <c r="U428" s="282"/>
      <c r="V428" s="125"/>
      <c r="W428" s="113"/>
      <c r="X428" s="75"/>
      <c r="Y428" s="282"/>
      <c r="Z428" s="290"/>
      <c r="AA428" s="291"/>
      <c r="AB428" s="73"/>
      <c r="AC428" s="282"/>
      <c r="AD428" s="125"/>
      <c r="AE428" s="241"/>
      <c r="AF428" s="284"/>
      <c r="AG428" s="282"/>
      <c r="AH428" s="292"/>
      <c r="AI428" s="292"/>
      <c r="AJ428" s="292"/>
      <c r="AK428" s="282"/>
      <c r="AL428" s="75"/>
      <c r="AM428" s="75"/>
      <c r="AN428" s="75"/>
      <c r="AO428" s="282"/>
      <c r="AP428" s="75"/>
      <c r="AQ428" s="75"/>
      <c r="AR428" s="75"/>
      <c r="AS428" s="75"/>
      <c r="AT428" s="75"/>
    </row>
    <row r="429">
      <c r="A429" s="282"/>
      <c r="B429" s="125"/>
      <c r="C429" s="113"/>
      <c r="D429" s="75"/>
      <c r="E429" s="282"/>
      <c r="F429" s="125"/>
      <c r="G429" s="113"/>
      <c r="H429" s="75"/>
      <c r="I429" s="282"/>
      <c r="J429" s="125"/>
      <c r="K429" s="113"/>
      <c r="L429" s="75"/>
      <c r="M429" s="282"/>
      <c r="N429" s="125"/>
      <c r="O429" s="113"/>
      <c r="P429" s="75"/>
      <c r="Q429" s="282"/>
      <c r="R429" s="125"/>
      <c r="S429" s="113"/>
      <c r="T429" s="75"/>
      <c r="U429" s="282"/>
      <c r="V429" s="125"/>
      <c r="W429" s="113"/>
      <c r="X429" s="75"/>
      <c r="Y429" s="282"/>
      <c r="Z429" s="290"/>
      <c r="AA429" s="291"/>
      <c r="AB429" s="73"/>
      <c r="AC429" s="282"/>
      <c r="AD429" s="125"/>
      <c r="AE429" s="241"/>
      <c r="AF429" s="284"/>
      <c r="AG429" s="282"/>
      <c r="AH429" s="292"/>
      <c r="AI429" s="292"/>
      <c r="AJ429" s="292"/>
      <c r="AK429" s="282"/>
      <c r="AL429" s="75"/>
      <c r="AM429" s="75"/>
      <c r="AN429" s="75"/>
      <c r="AO429" s="282"/>
      <c r="AP429" s="75"/>
      <c r="AQ429" s="75"/>
      <c r="AR429" s="75"/>
      <c r="AS429" s="75"/>
      <c r="AT429" s="75"/>
    </row>
    <row r="430">
      <c r="A430" s="282"/>
      <c r="B430" s="125"/>
      <c r="C430" s="113"/>
      <c r="D430" s="75"/>
      <c r="E430" s="282"/>
      <c r="F430" s="125"/>
      <c r="G430" s="113"/>
      <c r="H430" s="75"/>
      <c r="I430" s="282"/>
      <c r="J430" s="125"/>
      <c r="K430" s="113"/>
      <c r="L430" s="75"/>
      <c r="M430" s="282"/>
      <c r="N430" s="125"/>
      <c r="O430" s="113"/>
      <c r="P430" s="75"/>
      <c r="Q430" s="282"/>
      <c r="R430" s="125"/>
      <c r="S430" s="113"/>
      <c r="T430" s="75"/>
      <c r="U430" s="282"/>
      <c r="V430" s="125"/>
      <c r="W430" s="113"/>
      <c r="X430" s="75"/>
      <c r="Y430" s="282"/>
      <c r="Z430" s="290"/>
      <c r="AA430" s="291"/>
      <c r="AB430" s="73"/>
      <c r="AC430" s="282"/>
      <c r="AD430" s="125"/>
      <c r="AE430" s="241"/>
      <c r="AF430" s="284"/>
      <c r="AG430" s="282"/>
      <c r="AH430" s="292"/>
      <c r="AI430" s="292"/>
      <c r="AJ430" s="292"/>
      <c r="AK430" s="282"/>
      <c r="AL430" s="75"/>
      <c r="AM430" s="75"/>
      <c r="AN430" s="75"/>
      <c r="AO430" s="282"/>
      <c r="AP430" s="75"/>
      <c r="AQ430" s="75"/>
      <c r="AR430" s="75"/>
      <c r="AS430" s="75"/>
      <c r="AT430" s="75"/>
    </row>
    <row r="431">
      <c r="A431" s="282"/>
      <c r="B431" s="125"/>
      <c r="C431" s="113"/>
      <c r="D431" s="75"/>
      <c r="E431" s="282"/>
      <c r="F431" s="125"/>
      <c r="G431" s="113"/>
      <c r="H431" s="75"/>
      <c r="I431" s="282"/>
      <c r="J431" s="125"/>
      <c r="K431" s="113"/>
      <c r="L431" s="75"/>
      <c r="M431" s="282"/>
      <c r="N431" s="125"/>
      <c r="O431" s="113"/>
      <c r="P431" s="75"/>
      <c r="Q431" s="282"/>
      <c r="R431" s="125"/>
      <c r="S431" s="113"/>
      <c r="T431" s="75"/>
      <c r="U431" s="282"/>
      <c r="V431" s="125"/>
      <c r="W431" s="113"/>
      <c r="X431" s="75"/>
      <c r="Y431" s="282"/>
      <c r="Z431" s="290"/>
      <c r="AA431" s="291"/>
      <c r="AB431" s="73"/>
      <c r="AC431" s="282"/>
      <c r="AD431" s="125"/>
      <c r="AE431" s="241"/>
      <c r="AF431" s="284"/>
      <c r="AG431" s="282"/>
      <c r="AH431" s="292"/>
      <c r="AI431" s="292"/>
      <c r="AJ431" s="292"/>
      <c r="AK431" s="282"/>
      <c r="AL431" s="75"/>
      <c r="AM431" s="75"/>
      <c r="AN431" s="75"/>
      <c r="AO431" s="282"/>
      <c r="AP431" s="75"/>
      <c r="AQ431" s="75"/>
      <c r="AR431" s="75"/>
      <c r="AS431" s="75"/>
      <c r="AT431" s="75"/>
    </row>
    <row r="432">
      <c r="A432" s="282"/>
      <c r="B432" s="125"/>
      <c r="C432" s="113"/>
      <c r="D432" s="75"/>
      <c r="E432" s="282"/>
      <c r="F432" s="125"/>
      <c r="G432" s="113"/>
      <c r="H432" s="75"/>
      <c r="I432" s="282"/>
      <c r="J432" s="125"/>
      <c r="K432" s="113"/>
      <c r="L432" s="75"/>
      <c r="M432" s="282"/>
      <c r="N432" s="125"/>
      <c r="O432" s="113"/>
      <c r="P432" s="75"/>
      <c r="Q432" s="282"/>
      <c r="R432" s="125"/>
      <c r="S432" s="113"/>
      <c r="T432" s="75"/>
      <c r="U432" s="282"/>
      <c r="V432" s="125"/>
      <c r="W432" s="113"/>
      <c r="X432" s="75"/>
      <c r="Y432" s="282"/>
      <c r="Z432" s="290"/>
      <c r="AA432" s="291"/>
      <c r="AB432" s="73"/>
      <c r="AC432" s="282"/>
      <c r="AD432" s="125"/>
      <c r="AE432" s="241"/>
      <c r="AF432" s="284"/>
      <c r="AG432" s="282"/>
      <c r="AH432" s="292"/>
      <c r="AI432" s="292"/>
      <c r="AJ432" s="292"/>
      <c r="AK432" s="282"/>
      <c r="AL432" s="75"/>
      <c r="AM432" s="75"/>
      <c r="AN432" s="75"/>
      <c r="AO432" s="282"/>
      <c r="AP432" s="75"/>
      <c r="AQ432" s="75"/>
      <c r="AR432" s="75"/>
      <c r="AS432" s="75"/>
      <c r="AT432" s="75"/>
    </row>
    <row r="433">
      <c r="A433" s="282"/>
      <c r="B433" s="125"/>
      <c r="C433" s="113"/>
      <c r="D433" s="75"/>
      <c r="E433" s="282"/>
      <c r="F433" s="125"/>
      <c r="G433" s="113"/>
      <c r="H433" s="75"/>
      <c r="I433" s="282"/>
      <c r="J433" s="125"/>
      <c r="K433" s="113"/>
      <c r="L433" s="75"/>
      <c r="M433" s="282"/>
      <c r="N433" s="125"/>
      <c r="O433" s="113"/>
      <c r="P433" s="75"/>
      <c r="Q433" s="282"/>
      <c r="R433" s="125"/>
      <c r="S433" s="113"/>
      <c r="T433" s="75"/>
      <c r="U433" s="282"/>
      <c r="V433" s="125"/>
      <c r="W433" s="113"/>
      <c r="X433" s="75"/>
      <c r="Y433" s="282"/>
      <c r="Z433" s="290"/>
      <c r="AA433" s="291"/>
      <c r="AB433" s="73"/>
      <c r="AC433" s="282"/>
      <c r="AD433" s="125"/>
      <c r="AE433" s="241"/>
      <c r="AF433" s="284"/>
      <c r="AG433" s="282"/>
      <c r="AH433" s="292"/>
      <c r="AI433" s="292"/>
      <c r="AJ433" s="292"/>
      <c r="AK433" s="282"/>
      <c r="AL433" s="75"/>
      <c r="AM433" s="75"/>
      <c r="AN433" s="75"/>
      <c r="AO433" s="282"/>
      <c r="AP433" s="75"/>
      <c r="AQ433" s="75"/>
      <c r="AR433" s="75"/>
      <c r="AS433" s="75"/>
      <c r="AT433" s="75"/>
    </row>
    <row r="434">
      <c r="A434" s="282"/>
      <c r="B434" s="125"/>
      <c r="C434" s="113"/>
      <c r="D434" s="75"/>
      <c r="E434" s="282"/>
      <c r="F434" s="125"/>
      <c r="G434" s="113"/>
      <c r="H434" s="75"/>
      <c r="I434" s="282"/>
      <c r="J434" s="125"/>
      <c r="K434" s="113"/>
      <c r="L434" s="75"/>
      <c r="M434" s="282"/>
      <c r="N434" s="125"/>
      <c r="O434" s="113"/>
      <c r="P434" s="75"/>
      <c r="Q434" s="282"/>
      <c r="R434" s="125"/>
      <c r="S434" s="113"/>
      <c r="T434" s="75"/>
      <c r="U434" s="282"/>
      <c r="V434" s="125"/>
      <c r="W434" s="113"/>
      <c r="X434" s="75"/>
      <c r="Y434" s="282"/>
      <c r="Z434" s="290"/>
      <c r="AA434" s="291"/>
      <c r="AB434" s="73"/>
      <c r="AC434" s="282"/>
      <c r="AD434" s="125"/>
      <c r="AE434" s="241"/>
      <c r="AF434" s="284"/>
      <c r="AG434" s="282"/>
      <c r="AH434" s="292"/>
      <c r="AI434" s="292"/>
      <c r="AJ434" s="292"/>
      <c r="AK434" s="282"/>
      <c r="AL434" s="75"/>
      <c r="AM434" s="75"/>
      <c r="AN434" s="75"/>
      <c r="AO434" s="282"/>
      <c r="AP434" s="75"/>
      <c r="AQ434" s="75"/>
      <c r="AR434" s="75"/>
      <c r="AS434" s="75"/>
      <c r="AT434" s="75"/>
    </row>
    <row r="435">
      <c r="A435" s="282"/>
      <c r="B435" s="125"/>
      <c r="C435" s="113"/>
      <c r="D435" s="75"/>
      <c r="E435" s="282"/>
      <c r="F435" s="125"/>
      <c r="G435" s="113"/>
      <c r="H435" s="75"/>
      <c r="I435" s="282"/>
      <c r="J435" s="125"/>
      <c r="K435" s="113"/>
      <c r="L435" s="75"/>
      <c r="M435" s="282"/>
      <c r="N435" s="125"/>
      <c r="O435" s="113"/>
      <c r="P435" s="75"/>
      <c r="Q435" s="282"/>
      <c r="R435" s="125"/>
      <c r="S435" s="113"/>
      <c r="T435" s="75"/>
      <c r="U435" s="282"/>
      <c r="V435" s="125"/>
      <c r="W435" s="113"/>
      <c r="X435" s="75"/>
      <c r="Y435" s="282"/>
      <c r="Z435" s="290"/>
      <c r="AA435" s="291"/>
      <c r="AB435" s="73"/>
      <c r="AC435" s="282"/>
      <c r="AD435" s="125"/>
      <c r="AE435" s="241"/>
      <c r="AF435" s="284"/>
      <c r="AG435" s="282"/>
      <c r="AH435" s="292"/>
      <c r="AI435" s="292"/>
      <c r="AJ435" s="292"/>
      <c r="AK435" s="282"/>
      <c r="AL435" s="75"/>
      <c r="AM435" s="75"/>
      <c r="AN435" s="75"/>
      <c r="AO435" s="282"/>
      <c r="AP435" s="75"/>
      <c r="AQ435" s="75"/>
      <c r="AR435" s="75"/>
      <c r="AS435" s="75"/>
      <c r="AT435" s="75"/>
    </row>
    <row r="436">
      <c r="A436" s="282"/>
      <c r="B436" s="125"/>
      <c r="C436" s="113"/>
      <c r="D436" s="75"/>
      <c r="E436" s="282"/>
      <c r="F436" s="125"/>
      <c r="G436" s="113"/>
      <c r="H436" s="75"/>
      <c r="I436" s="282"/>
      <c r="J436" s="125"/>
      <c r="K436" s="113"/>
      <c r="L436" s="75"/>
      <c r="M436" s="282"/>
      <c r="N436" s="125"/>
      <c r="O436" s="113"/>
      <c r="P436" s="75"/>
      <c r="Q436" s="282"/>
      <c r="R436" s="125"/>
      <c r="S436" s="113"/>
      <c r="T436" s="75"/>
      <c r="U436" s="282"/>
      <c r="V436" s="125"/>
      <c r="W436" s="113"/>
      <c r="X436" s="75"/>
      <c r="Y436" s="282"/>
      <c r="Z436" s="290"/>
      <c r="AA436" s="291"/>
      <c r="AB436" s="73"/>
      <c r="AC436" s="282"/>
      <c r="AD436" s="125"/>
      <c r="AE436" s="241"/>
      <c r="AF436" s="284"/>
      <c r="AG436" s="282"/>
      <c r="AH436" s="292"/>
      <c r="AI436" s="292"/>
      <c r="AJ436" s="292"/>
      <c r="AK436" s="282"/>
      <c r="AL436" s="75"/>
      <c r="AM436" s="75"/>
      <c r="AN436" s="75"/>
      <c r="AO436" s="282"/>
      <c r="AP436" s="75"/>
      <c r="AQ436" s="75"/>
      <c r="AR436" s="75"/>
      <c r="AS436" s="75"/>
      <c r="AT436" s="75"/>
    </row>
    <row r="437">
      <c r="A437" s="282"/>
      <c r="B437" s="125"/>
      <c r="C437" s="113"/>
      <c r="D437" s="75"/>
      <c r="E437" s="282"/>
      <c r="F437" s="125"/>
      <c r="G437" s="113"/>
      <c r="H437" s="75"/>
      <c r="I437" s="282"/>
      <c r="J437" s="125"/>
      <c r="K437" s="113"/>
      <c r="L437" s="75"/>
      <c r="M437" s="282"/>
      <c r="N437" s="125"/>
      <c r="O437" s="113"/>
      <c r="P437" s="75"/>
      <c r="Q437" s="282"/>
      <c r="R437" s="125"/>
      <c r="S437" s="113"/>
      <c r="T437" s="75"/>
      <c r="U437" s="282"/>
      <c r="V437" s="125"/>
      <c r="W437" s="113"/>
      <c r="X437" s="75"/>
      <c r="Y437" s="282"/>
      <c r="Z437" s="290"/>
      <c r="AA437" s="291"/>
      <c r="AB437" s="73"/>
      <c r="AC437" s="282"/>
      <c r="AD437" s="125"/>
      <c r="AE437" s="241"/>
      <c r="AF437" s="284"/>
      <c r="AG437" s="282"/>
      <c r="AH437" s="292"/>
      <c r="AI437" s="292"/>
      <c r="AJ437" s="292"/>
      <c r="AK437" s="282"/>
      <c r="AL437" s="75"/>
      <c r="AM437" s="75"/>
      <c r="AN437" s="75"/>
      <c r="AO437" s="282"/>
      <c r="AP437" s="75"/>
      <c r="AQ437" s="75"/>
      <c r="AR437" s="75"/>
      <c r="AS437" s="75"/>
      <c r="AT437" s="75"/>
    </row>
    <row r="438">
      <c r="A438" s="282"/>
      <c r="B438" s="125"/>
      <c r="C438" s="113"/>
      <c r="D438" s="75"/>
      <c r="E438" s="282"/>
      <c r="F438" s="125"/>
      <c r="G438" s="113"/>
      <c r="H438" s="75"/>
      <c r="I438" s="282"/>
      <c r="J438" s="125"/>
      <c r="K438" s="113"/>
      <c r="L438" s="75"/>
      <c r="M438" s="282"/>
      <c r="N438" s="125"/>
      <c r="O438" s="113"/>
      <c r="P438" s="75"/>
      <c r="Q438" s="282"/>
      <c r="R438" s="125"/>
      <c r="S438" s="113"/>
      <c r="T438" s="75"/>
      <c r="U438" s="282"/>
      <c r="V438" s="125"/>
      <c r="W438" s="113"/>
      <c r="X438" s="75"/>
      <c r="Y438" s="282"/>
      <c r="Z438" s="290"/>
      <c r="AA438" s="291"/>
      <c r="AB438" s="73"/>
      <c r="AC438" s="282"/>
      <c r="AD438" s="125"/>
      <c r="AE438" s="241"/>
      <c r="AF438" s="284"/>
      <c r="AG438" s="282"/>
      <c r="AH438" s="292"/>
      <c r="AI438" s="292"/>
      <c r="AJ438" s="292"/>
      <c r="AK438" s="282"/>
      <c r="AL438" s="75"/>
      <c r="AM438" s="75"/>
      <c r="AN438" s="75"/>
      <c r="AO438" s="282"/>
      <c r="AP438" s="75"/>
      <c r="AQ438" s="75"/>
      <c r="AR438" s="75"/>
      <c r="AS438" s="75"/>
      <c r="AT438" s="75"/>
    </row>
    <row r="439">
      <c r="A439" s="282"/>
      <c r="B439" s="125"/>
      <c r="C439" s="113"/>
      <c r="D439" s="75"/>
      <c r="E439" s="282"/>
      <c r="F439" s="125"/>
      <c r="G439" s="113"/>
      <c r="H439" s="75"/>
      <c r="I439" s="282"/>
      <c r="J439" s="125"/>
      <c r="K439" s="113"/>
      <c r="L439" s="75"/>
      <c r="M439" s="282"/>
      <c r="N439" s="125"/>
      <c r="O439" s="113"/>
      <c r="P439" s="75"/>
      <c r="Q439" s="282"/>
      <c r="R439" s="125"/>
      <c r="S439" s="113"/>
      <c r="T439" s="75"/>
      <c r="U439" s="282"/>
      <c r="V439" s="125"/>
      <c r="W439" s="113"/>
      <c r="X439" s="75"/>
      <c r="Y439" s="282"/>
      <c r="Z439" s="290"/>
      <c r="AA439" s="291"/>
      <c r="AB439" s="73"/>
      <c r="AC439" s="282"/>
      <c r="AD439" s="125"/>
      <c r="AE439" s="241"/>
      <c r="AF439" s="284"/>
      <c r="AG439" s="282"/>
      <c r="AH439" s="292"/>
      <c r="AI439" s="292"/>
      <c r="AJ439" s="292"/>
      <c r="AK439" s="282"/>
      <c r="AL439" s="75"/>
      <c r="AM439" s="75"/>
      <c r="AN439" s="75"/>
      <c r="AO439" s="282"/>
      <c r="AP439" s="75"/>
      <c r="AQ439" s="75"/>
      <c r="AR439" s="75"/>
      <c r="AS439" s="75"/>
      <c r="AT439" s="75"/>
    </row>
    <row r="440">
      <c r="A440" s="282"/>
      <c r="B440" s="125"/>
      <c r="C440" s="113"/>
      <c r="D440" s="75"/>
      <c r="E440" s="282"/>
      <c r="F440" s="125"/>
      <c r="G440" s="113"/>
      <c r="H440" s="75"/>
      <c r="I440" s="282"/>
      <c r="J440" s="125"/>
      <c r="K440" s="113"/>
      <c r="L440" s="75"/>
      <c r="M440" s="282"/>
      <c r="N440" s="125"/>
      <c r="O440" s="113"/>
      <c r="P440" s="75"/>
      <c r="Q440" s="282"/>
      <c r="R440" s="125"/>
      <c r="S440" s="113"/>
      <c r="T440" s="75"/>
      <c r="U440" s="282"/>
      <c r="V440" s="125"/>
      <c r="W440" s="113"/>
      <c r="X440" s="75"/>
      <c r="Y440" s="282"/>
      <c r="Z440" s="290"/>
      <c r="AA440" s="291"/>
      <c r="AB440" s="73"/>
      <c r="AC440" s="282"/>
      <c r="AD440" s="125"/>
      <c r="AE440" s="241"/>
      <c r="AF440" s="284"/>
      <c r="AG440" s="282"/>
      <c r="AH440" s="292"/>
      <c r="AI440" s="292"/>
      <c r="AJ440" s="292"/>
      <c r="AK440" s="282"/>
      <c r="AL440" s="75"/>
      <c r="AM440" s="75"/>
      <c r="AN440" s="75"/>
      <c r="AO440" s="282"/>
      <c r="AP440" s="75"/>
      <c r="AQ440" s="75"/>
      <c r="AR440" s="75"/>
      <c r="AS440" s="75"/>
      <c r="AT440" s="75"/>
    </row>
    <row r="441">
      <c r="A441" s="282"/>
      <c r="B441" s="125"/>
      <c r="C441" s="113"/>
      <c r="D441" s="75"/>
      <c r="E441" s="282"/>
      <c r="F441" s="125"/>
      <c r="G441" s="113"/>
      <c r="H441" s="75"/>
      <c r="I441" s="282"/>
      <c r="J441" s="125"/>
      <c r="K441" s="113"/>
      <c r="L441" s="75"/>
      <c r="M441" s="282"/>
      <c r="N441" s="125"/>
      <c r="O441" s="113"/>
      <c r="P441" s="75"/>
      <c r="Q441" s="282"/>
      <c r="R441" s="125"/>
      <c r="S441" s="113"/>
      <c r="T441" s="75"/>
      <c r="U441" s="282"/>
      <c r="V441" s="125"/>
      <c r="W441" s="113"/>
      <c r="X441" s="75"/>
      <c r="Y441" s="282"/>
      <c r="Z441" s="290"/>
      <c r="AA441" s="291"/>
      <c r="AB441" s="73"/>
      <c r="AC441" s="282"/>
      <c r="AD441" s="125"/>
      <c r="AE441" s="241"/>
      <c r="AF441" s="284"/>
      <c r="AG441" s="282"/>
      <c r="AH441" s="292"/>
      <c r="AI441" s="292"/>
      <c r="AJ441" s="292"/>
      <c r="AK441" s="282"/>
      <c r="AL441" s="75"/>
      <c r="AM441" s="75"/>
      <c r="AN441" s="75"/>
      <c r="AO441" s="282"/>
      <c r="AP441" s="75"/>
      <c r="AQ441" s="75"/>
      <c r="AR441" s="75"/>
      <c r="AS441" s="75"/>
      <c r="AT441" s="75"/>
    </row>
    <row r="442">
      <c r="A442" s="282"/>
      <c r="B442" s="125"/>
      <c r="C442" s="113"/>
      <c r="D442" s="75"/>
      <c r="E442" s="282"/>
      <c r="F442" s="125"/>
      <c r="G442" s="113"/>
      <c r="H442" s="75"/>
      <c r="I442" s="282"/>
      <c r="J442" s="125"/>
      <c r="K442" s="113"/>
      <c r="L442" s="75"/>
      <c r="M442" s="282"/>
      <c r="N442" s="125"/>
      <c r="O442" s="113"/>
      <c r="P442" s="75"/>
      <c r="Q442" s="282"/>
      <c r="R442" s="125"/>
      <c r="S442" s="113"/>
      <c r="T442" s="75"/>
      <c r="U442" s="282"/>
      <c r="V442" s="125"/>
      <c r="W442" s="113"/>
      <c r="X442" s="75"/>
      <c r="Y442" s="282"/>
      <c r="Z442" s="290"/>
      <c r="AA442" s="291"/>
      <c r="AB442" s="73"/>
      <c r="AC442" s="282"/>
      <c r="AD442" s="125"/>
      <c r="AE442" s="241"/>
      <c r="AF442" s="284"/>
      <c r="AG442" s="282"/>
      <c r="AH442" s="292"/>
      <c r="AI442" s="292"/>
      <c r="AJ442" s="292"/>
      <c r="AK442" s="282"/>
      <c r="AL442" s="75"/>
      <c r="AM442" s="75"/>
      <c r="AN442" s="75"/>
      <c r="AO442" s="282"/>
      <c r="AP442" s="75"/>
      <c r="AQ442" s="75"/>
      <c r="AR442" s="75"/>
      <c r="AS442" s="75"/>
      <c r="AT442" s="75"/>
    </row>
    <row r="443">
      <c r="A443" s="282"/>
      <c r="B443" s="125"/>
      <c r="C443" s="113"/>
      <c r="D443" s="75"/>
      <c r="E443" s="282"/>
      <c r="F443" s="125"/>
      <c r="G443" s="113"/>
      <c r="H443" s="75"/>
      <c r="I443" s="282"/>
      <c r="J443" s="125"/>
      <c r="K443" s="113"/>
      <c r="L443" s="75"/>
      <c r="M443" s="282"/>
      <c r="N443" s="125"/>
      <c r="O443" s="113"/>
      <c r="P443" s="75"/>
      <c r="Q443" s="282"/>
      <c r="R443" s="125"/>
      <c r="S443" s="113"/>
      <c r="T443" s="75"/>
      <c r="U443" s="282"/>
      <c r="V443" s="125"/>
      <c r="W443" s="113"/>
      <c r="X443" s="75"/>
      <c r="Y443" s="282"/>
      <c r="Z443" s="290"/>
      <c r="AA443" s="291"/>
      <c r="AB443" s="73"/>
      <c r="AC443" s="282"/>
      <c r="AD443" s="125"/>
      <c r="AE443" s="241"/>
      <c r="AF443" s="284"/>
      <c r="AG443" s="282"/>
      <c r="AH443" s="292"/>
      <c r="AI443" s="292"/>
      <c r="AJ443" s="292"/>
      <c r="AK443" s="282"/>
      <c r="AL443" s="75"/>
      <c r="AM443" s="75"/>
      <c r="AN443" s="75"/>
      <c r="AO443" s="282"/>
      <c r="AP443" s="75"/>
      <c r="AQ443" s="75"/>
      <c r="AR443" s="75"/>
      <c r="AS443" s="75"/>
      <c r="AT443" s="75"/>
    </row>
    <row r="444">
      <c r="A444" s="282"/>
      <c r="B444" s="125"/>
      <c r="C444" s="113"/>
      <c r="D444" s="75"/>
      <c r="E444" s="282"/>
      <c r="F444" s="125"/>
      <c r="G444" s="113"/>
      <c r="H444" s="75"/>
      <c r="I444" s="282"/>
      <c r="J444" s="125"/>
      <c r="K444" s="113"/>
      <c r="L444" s="75"/>
      <c r="M444" s="282"/>
      <c r="N444" s="125"/>
      <c r="O444" s="113"/>
      <c r="P444" s="75"/>
      <c r="Q444" s="282"/>
      <c r="R444" s="125"/>
      <c r="S444" s="113"/>
      <c r="T444" s="75"/>
      <c r="U444" s="282"/>
      <c r="V444" s="125"/>
      <c r="W444" s="113"/>
      <c r="X444" s="75"/>
      <c r="Y444" s="282"/>
      <c r="Z444" s="290"/>
      <c r="AA444" s="291"/>
      <c r="AB444" s="73"/>
      <c r="AC444" s="282"/>
      <c r="AD444" s="125"/>
      <c r="AE444" s="241"/>
      <c r="AF444" s="284"/>
      <c r="AG444" s="282"/>
      <c r="AH444" s="292"/>
      <c r="AI444" s="292"/>
      <c r="AJ444" s="292"/>
      <c r="AK444" s="282"/>
      <c r="AL444" s="75"/>
      <c r="AM444" s="75"/>
      <c r="AN444" s="75"/>
      <c r="AO444" s="282"/>
      <c r="AP444" s="75"/>
      <c r="AQ444" s="75"/>
      <c r="AR444" s="75"/>
      <c r="AS444" s="75"/>
      <c r="AT444" s="75"/>
    </row>
    <row r="445">
      <c r="A445" s="282"/>
      <c r="B445" s="125"/>
      <c r="C445" s="113"/>
      <c r="D445" s="75"/>
      <c r="E445" s="282"/>
      <c r="F445" s="125"/>
      <c r="G445" s="113"/>
      <c r="H445" s="75"/>
      <c r="I445" s="282"/>
      <c r="J445" s="125"/>
      <c r="K445" s="113"/>
      <c r="L445" s="75"/>
      <c r="M445" s="282"/>
      <c r="N445" s="125"/>
      <c r="O445" s="113"/>
      <c r="P445" s="75"/>
      <c r="Q445" s="282"/>
      <c r="R445" s="125"/>
      <c r="S445" s="113"/>
      <c r="T445" s="75"/>
      <c r="U445" s="282"/>
      <c r="V445" s="125"/>
      <c r="W445" s="113"/>
      <c r="X445" s="75"/>
      <c r="Y445" s="282"/>
      <c r="Z445" s="290"/>
      <c r="AA445" s="291"/>
      <c r="AB445" s="73"/>
      <c r="AC445" s="282"/>
      <c r="AD445" s="125"/>
      <c r="AE445" s="241"/>
      <c r="AF445" s="284"/>
      <c r="AG445" s="282"/>
      <c r="AH445" s="292"/>
      <c r="AI445" s="292"/>
      <c r="AJ445" s="292"/>
      <c r="AK445" s="282"/>
      <c r="AL445" s="75"/>
      <c r="AM445" s="75"/>
      <c r="AN445" s="75"/>
      <c r="AO445" s="282"/>
      <c r="AP445" s="75"/>
      <c r="AQ445" s="75"/>
      <c r="AR445" s="75"/>
      <c r="AS445" s="75"/>
      <c r="AT445" s="75"/>
    </row>
    <row r="446">
      <c r="A446" s="282"/>
      <c r="B446" s="125"/>
      <c r="C446" s="113"/>
      <c r="D446" s="75"/>
      <c r="E446" s="282"/>
      <c r="F446" s="125"/>
      <c r="G446" s="113"/>
      <c r="H446" s="75"/>
      <c r="I446" s="282"/>
      <c r="J446" s="125"/>
      <c r="K446" s="113"/>
      <c r="L446" s="75"/>
      <c r="M446" s="282"/>
      <c r="N446" s="125"/>
      <c r="O446" s="113"/>
      <c r="P446" s="75"/>
      <c r="Q446" s="282"/>
      <c r="R446" s="125"/>
      <c r="S446" s="113"/>
      <c r="T446" s="75"/>
      <c r="U446" s="282"/>
      <c r="V446" s="125"/>
      <c r="W446" s="113"/>
      <c r="X446" s="75"/>
      <c r="Y446" s="282"/>
      <c r="Z446" s="290"/>
      <c r="AA446" s="291"/>
      <c r="AB446" s="73"/>
      <c r="AC446" s="282"/>
      <c r="AD446" s="125"/>
      <c r="AE446" s="241"/>
      <c r="AF446" s="284"/>
      <c r="AG446" s="282"/>
      <c r="AH446" s="292"/>
      <c r="AI446" s="292"/>
      <c r="AJ446" s="292"/>
      <c r="AK446" s="282"/>
      <c r="AL446" s="75"/>
      <c r="AM446" s="75"/>
      <c r="AN446" s="75"/>
      <c r="AO446" s="282"/>
      <c r="AP446" s="75"/>
      <c r="AQ446" s="75"/>
      <c r="AR446" s="75"/>
      <c r="AS446" s="75"/>
      <c r="AT446" s="75"/>
    </row>
    <row r="447">
      <c r="A447" s="282"/>
      <c r="B447" s="125"/>
      <c r="C447" s="113"/>
      <c r="D447" s="75"/>
      <c r="E447" s="282"/>
      <c r="F447" s="125"/>
      <c r="G447" s="113"/>
      <c r="H447" s="75"/>
      <c r="I447" s="282"/>
      <c r="J447" s="125"/>
      <c r="K447" s="113"/>
      <c r="L447" s="75"/>
      <c r="M447" s="282"/>
      <c r="N447" s="125"/>
      <c r="O447" s="113"/>
      <c r="P447" s="75"/>
      <c r="Q447" s="282"/>
      <c r="R447" s="125"/>
      <c r="S447" s="113"/>
      <c r="T447" s="75"/>
      <c r="U447" s="282"/>
      <c r="V447" s="125"/>
      <c r="W447" s="113"/>
      <c r="X447" s="75"/>
      <c r="Y447" s="282"/>
      <c r="Z447" s="290"/>
      <c r="AA447" s="291"/>
      <c r="AB447" s="73"/>
      <c r="AC447" s="282"/>
      <c r="AD447" s="125"/>
      <c r="AE447" s="241"/>
      <c r="AF447" s="284"/>
      <c r="AG447" s="282"/>
      <c r="AH447" s="292"/>
      <c r="AI447" s="292"/>
      <c r="AJ447" s="292"/>
      <c r="AK447" s="282"/>
      <c r="AL447" s="75"/>
      <c r="AM447" s="75"/>
      <c r="AN447" s="75"/>
      <c r="AO447" s="282"/>
      <c r="AP447" s="75"/>
      <c r="AQ447" s="75"/>
      <c r="AR447" s="75"/>
      <c r="AS447" s="75"/>
      <c r="AT447" s="75"/>
    </row>
    <row r="448">
      <c r="A448" s="282"/>
      <c r="B448" s="125"/>
      <c r="C448" s="113"/>
      <c r="D448" s="75"/>
      <c r="E448" s="282"/>
      <c r="F448" s="125"/>
      <c r="G448" s="113"/>
      <c r="H448" s="75"/>
      <c r="I448" s="282"/>
      <c r="J448" s="125"/>
      <c r="K448" s="113"/>
      <c r="L448" s="75"/>
      <c r="M448" s="282"/>
      <c r="N448" s="125"/>
      <c r="O448" s="113"/>
      <c r="P448" s="75"/>
      <c r="Q448" s="282"/>
      <c r="R448" s="125"/>
      <c r="S448" s="113"/>
      <c r="T448" s="75"/>
      <c r="U448" s="282"/>
      <c r="V448" s="125"/>
      <c r="W448" s="113"/>
      <c r="X448" s="75"/>
      <c r="Y448" s="282"/>
      <c r="Z448" s="290"/>
      <c r="AA448" s="291"/>
      <c r="AB448" s="73"/>
      <c r="AC448" s="282"/>
      <c r="AD448" s="125"/>
      <c r="AE448" s="241"/>
      <c r="AF448" s="284"/>
      <c r="AG448" s="282"/>
      <c r="AH448" s="292"/>
      <c r="AI448" s="292"/>
      <c r="AJ448" s="292"/>
      <c r="AK448" s="282"/>
      <c r="AL448" s="75"/>
      <c r="AM448" s="75"/>
      <c r="AN448" s="75"/>
      <c r="AO448" s="282"/>
      <c r="AP448" s="75"/>
      <c r="AQ448" s="75"/>
      <c r="AR448" s="75"/>
      <c r="AS448" s="75"/>
      <c r="AT448" s="75"/>
    </row>
    <row r="449">
      <c r="A449" s="282"/>
      <c r="B449" s="125"/>
      <c r="C449" s="113"/>
      <c r="D449" s="75"/>
      <c r="E449" s="282"/>
      <c r="F449" s="125"/>
      <c r="G449" s="113"/>
      <c r="H449" s="75"/>
      <c r="I449" s="282"/>
      <c r="J449" s="125"/>
      <c r="K449" s="113"/>
      <c r="L449" s="75"/>
      <c r="M449" s="282"/>
      <c r="N449" s="125"/>
      <c r="O449" s="113"/>
      <c r="P449" s="75"/>
      <c r="Q449" s="282"/>
      <c r="R449" s="125"/>
      <c r="S449" s="113"/>
      <c r="T449" s="75"/>
      <c r="U449" s="282"/>
      <c r="V449" s="125"/>
      <c r="W449" s="113"/>
      <c r="X449" s="75"/>
      <c r="Y449" s="282"/>
      <c r="Z449" s="290"/>
      <c r="AA449" s="291"/>
      <c r="AB449" s="73"/>
      <c r="AC449" s="282"/>
      <c r="AD449" s="125"/>
      <c r="AE449" s="241"/>
      <c r="AF449" s="284"/>
      <c r="AG449" s="282"/>
      <c r="AH449" s="292"/>
      <c r="AI449" s="292"/>
      <c r="AJ449" s="292"/>
      <c r="AK449" s="282"/>
      <c r="AL449" s="75"/>
      <c r="AM449" s="75"/>
      <c r="AN449" s="75"/>
      <c r="AO449" s="282"/>
      <c r="AP449" s="75"/>
      <c r="AQ449" s="75"/>
      <c r="AR449" s="75"/>
      <c r="AS449" s="75"/>
      <c r="AT449" s="75"/>
    </row>
    <row r="450">
      <c r="A450" s="282"/>
      <c r="B450" s="125"/>
      <c r="C450" s="113"/>
      <c r="D450" s="75"/>
      <c r="E450" s="282"/>
      <c r="F450" s="125"/>
      <c r="G450" s="113"/>
      <c r="H450" s="75"/>
      <c r="I450" s="282"/>
      <c r="J450" s="125"/>
      <c r="K450" s="113"/>
      <c r="L450" s="75"/>
      <c r="M450" s="282"/>
      <c r="N450" s="125"/>
      <c r="O450" s="113"/>
      <c r="P450" s="75"/>
      <c r="Q450" s="282"/>
      <c r="R450" s="125"/>
      <c r="S450" s="113"/>
      <c r="T450" s="75"/>
      <c r="U450" s="282"/>
      <c r="V450" s="125"/>
      <c r="W450" s="113"/>
      <c r="X450" s="75"/>
      <c r="Y450" s="282"/>
      <c r="Z450" s="290"/>
      <c r="AA450" s="291"/>
      <c r="AB450" s="73"/>
      <c r="AC450" s="282"/>
      <c r="AD450" s="125"/>
      <c r="AE450" s="241"/>
      <c r="AF450" s="284"/>
      <c r="AG450" s="282"/>
      <c r="AH450" s="292"/>
      <c r="AI450" s="292"/>
      <c r="AJ450" s="292"/>
      <c r="AK450" s="282"/>
      <c r="AL450" s="75"/>
      <c r="AM450" s="75"/>
      <c r="AN450" s="75"/>
      <c r="AO450" s="282"/>
      <c r="AP450" s="75"/>
      <c r="AQ450" s="75"/>
      <c r="AR450" s="75"/>
      <c r="AS450" s="75"/>
      <c r="AT450" s="75"/>
    </row>
    <row r="451">
      <c r="A451" s="282"/>
      <c r="B451" s="125"/>
      <c r="C451" s="113"/>
      <c r="D451" s="75"/>
      <c r="E451" s="282"/>
      <c r="F451" s="125"/>
      <c r="G451" s="113"/>
      <c r="H451" s="75"/>
      <c r="I451" s="282"/>
      <c r="J451" s="125"/>
      <c r="K451" s="113"/>
      <c r="L451" s="75"/>
      <c r="M451" s="282"/>
      <c r="N451" s="125"/>
      <c r="O451" s="113"/>
      <c r="P451" s="75"/>
      <c r="Q451" s="282"/>
      <c r="R451" s="125"/>
      <c r="S451" s="113"/>
      <c r="T451" s="75"/>
      <c r="U451" s="282"/>
      <c r="V451" s="125"/>
      <c r="W451" s="113"/>
      <c r="X451" s="75"/>
      <c r="Y451" s="282"/>
      <c r="Z451" s="290"/>
      <c r="AA451" s="291"/>
      <c r="AB451" s="73"/>
      <c r="AC451" s="282"/>
      <c r="AD451" s="125"/>
      <c r="AE451" s="241"/>
      <c r="AF451" s="284"/>
      <c r="AG451" s="282"/>
      <c r="AH451" s="292"/>
      <c r="AI451" s="292"/>
      <c r="AJ451" s="292"/>
      <c r="AK451" s="282"/>
      <c r="AL451" s="75"/>
      <c r="AM451" s="75"/>
      <c r="AN451" s="75"/>
      <c r="AO451" s="282"/>
      <c r="AP451" s="75"/>
      <c r="AQ451" s="75"/>
      <c r="AR451" s="75"/>
      <c r="AS451" s="75"/>
      <c r="AT451" s="75"/>
    </row>
    <row r="452">
      <c r="A452" s="282"/>
      <c r="B452" s="125"/>
      <c r="C452" s="113"/>
      <c r="D452" s="75"/>
      <c r="E452" s="282"/>
      <c r="F452" s="125"/>
      <c r="G452" s="113"/>
      <c r="H452" s="75"/>
      <c r="I452" s="282"/>
      <c r="J452" s="125"/>
      <c r="K452" s="113"/>
      <c r="L452" s="75"/>
      <c r="M452" s="282"/>
      <c r="N452" s="125"/>
      <c r="O452" s="113"/>
      <c r="P452" s="75"/>
      <c r="Q452" s="282"/>
      <c r="R452" s="125"/>
      <c r="S452" s="113"/>
      <c r="T452" s="75"/>
      <c r="U452" s="282"/>
      <c r="V452" s="125"/>
      <c r="W452" s="113"/>
      <c r="X452" s="75"/>
      <c r="Y452" s="282"/>
      <c r="Z452" s="290"/>
      <c r="AA452" s="291"/>
      <c r="AB452" s="73"/>
      <c r="AC452" s="282"/>
      <c r="AD452" s="125"/>
      <c r="AE452" s="241"/>
      <c r="AF452" s="284"/>
      <c r="AG452" s="282"/>
      <c r="AH452" s="292"/>
      <c r="AI452" s="292"/>
      <c r="AJ452" s="292"/>
      <c r="AK452" s="282"/>
      <c r="AL452" s="75"/>
      <c r="AM452" s="75"/>
      <c r="AN452" s="75"/>
      <c r="AO452" s="282"/>
      <c r="AP452" s="75"/>
      <c r="AQ452" s="75"/>
      <c r="AR452" s="75"/>
      <c r="AS452" s="75"/>
      <c r="AT452" s="75"/>
    </row>
    <row r="453">
      <c r="A453" s="282"/>
      <c r="B453" s="125"/>
      <c r="C453" s="113"/>
      <c r="D453" s="75"/>
      <c r="E453" s="282"/>
      <c r="F453" s="125"/>
      <c r="G453" s="113"/>
      <c r="H453" s="75"/>
      <c r="I453" s="282"/>
      <c r="J453" s="125"/>
      <c r="K453" s="113"/>
      <c r="L453" s="75"/>
      <c r="M453" s="282"/>
      <c r="N453" s="125"/>
      <c r="O453" s="113"/>
      <c r="P453" s="75"/>
      <c r="Q453" s="282"/>
      <c r="R453" s="125"/>
      <c r="S453" s="113"/>
      <c r="T453" s="75"/>
      <c r="U453" s="282"/>
      <c r="V453" s="125"/>
      <c r="W453" s="113"/>
      <c r="X453" s="75"/>
      <c r="Y453" s="282"/>
      <c r="Z453" s="290"/>
      <c r="AA453" s="291"/>
      <c r="AB453" s="73"/>
      <c r="AC453" s="282"/>
      <c r="AD453" s="125"/>
      <c r="AE453" s="241"/>
      <c r="AF453" s="284"/>
      <c r="AG453" s="282"/>
      <c r="AH453" s="292"/>
      <c r="AI453" s="292"/>
      <c r="AJ453" s="292"/>
      <c r="AK453" s="282"/>
      <c r="AL453" s="75"/>
      <c r="AM453" s="75"/>
      <c r="AN453" s="75"/>
      <c r="AO453" s="282"/>
      <c r="AP453" s="75"/>
      <c r="AQ453" s="75"/>
      <c r="AR453" s="75"/>
      <c r="AS453" s="75"/>
      <c r="AT453" s="75"/>
    </row>
    <row r="454">
      <c r="A454" s="282"/>
      <c r="B454" s="125"/>
      <c r="C454" s="113"/>
      <c r="D454" s="75"/>
      <c r="E454" s="282"/>
      <c r="F454" s="125"/>
      <c r="G454" s="113"/>
      <c r="H454" s="75"/>
      <c r="I454" s="282"/>
      <c r="J454" s="125"/>
      <c r="K454" s="113"/>
      <c r="L454" s="75"/>
      <c r="M454" s="282"/>
      <c r="N454" s="125"/>
      <c r="O454" s="113"/>
      <c r="P454" s="75"/>
      <c r="Q454" s="282"/>
      <c r="R454" s="125"/>
      <c r="S454" s="113"/>
      <c r="T454" s="75"/>
      <c r="U454" s="282"/>
      <c r="V454" s="125"/>
      <c r="W454" s="113"/>
      <c r="X454" s="75"/>
      <c r="Y454" s="282"/>
      <c r="Z454" s="290"/>
      <c r="AA454" s="291"/>
      <c r="AB454" s="73"/>
      <c r="AC454" s="282"/>
      <c r="AD454" s="125"/>
      <c r="AE454" s="241"/>
      <c r="AF454" s="284"/>
      <c r="AG454" s="282"/>
      <c r="AH454" s="292"/>
      <c r="AI454" s="292"/>
      <c r="AJ454" s="292"/>
      <c r="AK454" s="282"/>
      <c r="AL454" s="75"/>
      <c r="AM454" s="75"/>
      <c r="AN454" s="75"/>
      <c r="AO454" s="282"/>
      <c r="AP454" s="75"/>
      <c r="AQ454" s="75"/>
      <c r="AR454" s="75"/>
      <c r="AS454" s="75"/>
      <c r="AT454" s="75"/>
    </row>
    <row r="455">
      <c r="A455" s="282"/>
      <c r="B455" s="125"/>
      <c r="C455" s="113"/>
      <c r="D455" s="75"/>
      <c r="E455" s="282"/>
      <c r="F455" s="125"/>
      <c r="G455" s="113"/>
      <c r="H455" s="75"/>
      <c r="I455" s="282"/>
      <c r="J455" s="125"/>
      <c r="K455" s="113"/>
      <c r="L455" s="75"/>
      <c r="M455" s="282"/>
      <c r="N455" s="125"/>
      <c r="O455" s="113"/>
      <c r="P455" s="75"/>
      <c r="Q455" s="282"/>
      <c r="R455" s="125"/>
      <c r="S455" s="113"/>
      <c r="T455" s="75"/>
      <c r="U455" s="282"/>
      <c r="V455" s="125"/>
      <c r="W455" s="113"/>
      <c r="X455" s="75"/>
      <c r="Y455" s="282"/>
      <c r="Z455" s="290"/>
      <c r="AA455" s="291"/>
      <c r="AB455" s="73"/>
      <c r="AC455" s="282"/>
      <c r="AD455" s="125"/>
      <c r="AE455" s="241"/>
      <c r="AF455" s="284"/>
      <c r="AG455" s="282"/>
      <c r="AH455" s="292"/>
      <c r="AI455" s="292"/>
      <c r="AJ455" s="292"/>
      <c r="AK455" s="282"/>
      <c r="AL455" s="75"/>
      <c r="AM455" s="75"/>
      <c r="AN455" s="75"/>
      <c r="AO455" s="282"/>
      <c r="AP455" s="75"/>
      <c r="AQ455" s="75"/>
      <c r="AR455" s="75"/>
      <c r="AS455" s="75"/>
      <c r="AT455" s="75"/>
    </row>
    <row r="456">
      <c r="A456" s="282"/>
      <c r="B456" s="125"/>
      <c r="C456" s="113"/>
      <c r="D456" s="75"/>
      <c r="E456" s="282"/>
      <c r="F456" s="125"/>
      <c r="G456" s="113"/>
      <c r="H456" s="75"/>
      <c r="I456" s="282"/>
      <c r="J456" s="125"/>
      <c r="K456" s="113"/>
      <c r="L456" s="75"/>
      <c r="M456" s="282"/>
      <c r="N456" s="125"/>
      <c r="O456" s="113"/>
      <c r="P456" s="75"/>
      <c r="Q456" s="282"/>
      <c r="R456" s="125"/>
      <c r="S456" s="113"/>
      <c r="T456" s="75"/>
      <c r="U456" s="282"/>
      <c r="V456" s="125"/>
      <c r="W456" s="113"/>
      <c r="X456" s="75"/>
      <c r="Y456" s="282"/>
      <c r="Z456" s="290"/>
      <c r="AA456" s="291"/>
      <c r="AB456" s="73"/>
      <c r="AC456" s="282"/>
      <c r="AD456" s="125"/>
      <c r="AE456" s="241"/>
      <c r="AF456" s="284"/>
      <c r="AG456" s="282"/>
      <c r="AH456" s="292"/>
      <c r="AI456" s="292"/>
      <c r="AJ456" s="292"/>
      <c r="AK456" s="282"/>
      <c r="AL456" s="75"/>
      <c r="AM456" s="75"/>
      <c r="AN456" s="75"/>
      <c r="AO456" s="282"/>
      <c r="AP456" s="75"/>
      <c r="AQ456" s="75"/>
      <c r="AR456" s="75"/>
      <c r="AS456" s="75"/>
      <c r="AT456" s="75"/>
    </row>
    <row r="457">
      <c r="A457" s="282"/>
      <c r="B457" s="125"/>
      <c r="C457" s="113"/>
      <c r="D457" s="75"/>
      <c r="E457" s="282"/>
      <c r="F457" s="125"/>
      <c r="G457" s="113"/>
      <c r="H457" s="75"/>
      <c r="I457" s="282"/>
      <c r="J457" s="125"/>
      <c r="K457" s="113"/>
      <c r="L457" s="75"/>
      <c r="M457" s="282"/>
      <c r="N457" s="125"/>
      <c r="O457" s="113"/>
      <c r="P457" s="75"/>
      <c r="Q457" s="282"/>
      <c r="R457" s="125"/>
      <c r="S457" s="113"/>
      <c r="T457" s="75"/>
      <c r="U457" s="282"/>
      <c r="V457" s="125"/>
      <c r="W457" s="113"/>
      <c r="X457" s="75"/>
      <c r="Y457" s="282"/>
      <c r="Z457" s="290"/>
      <c r="AA457" s="291"/>
      <c r="AB457" s="73"/>
      <c r="AC457" s="282"/>
      <c r="AD457" s="125"/>
      <c r="AE457" s="241"/>
      <c r="AF457" s="284"/>
      <c r="AG457" s="282"/>
      <c r="AH457" s="292"/>
      <c r="AI457" s="292"/>
      <c r="AJ457" s="292"/>
      <c r="AK457" s="282"/>
      <c r="AL457" s="75"/>
      <c r="AM457" s="75"/>
      <c r="AN457" s="75"/>
      <c r="AO457" s="282"/>
      <c r="AP457" s="75"/>
      <c r="AQ457" s="75"/>
      <c r="AR457" s="75"/>
      <c r="AS457" s="75"/>
      <c r="AT457" s="75"/>
    </row>
    <row r="458">
      <c r="A458" s="282"/>
      <c r="B458" s="125"/>
      <c r="C458" s="113"/>
      <c r="D458" s="75"/>
      <c r="E458" s="282"/>
      <c r="F458" s="125"/>
      <c r="G458" s="113"/>
      <c r="H458" s="75"/>
      <c r="I458" s="282"/>
      <c r="J458" s="125"/>
      <c r="K458" s="113"/>
      <c r="L458" s="75"/>
      <c r="M458" s="282"/>
      <c r="N458" s="125"/>
      <c r="O458" s="113"/>
      <c r="P458" s="75"/>
      <c r="Q458" s="282"/>
      <c r="R458" s="125"/>
      <c r="S458" s="113"/>
      <c r="T458" s="75"/>
      <c r="U458" s="282"/>
      <c r="V458" s="125"/>
      <c r="W458" s="113"/>
      <c r="X458" s="75"/>
      <c r="Y458" s="282"/>
      <c r="Z458" s="290"/>
      <c r="AA458" s="291"/>
      <c r="AB458" s="73"/>
      <c r="AC458" s="282"/>
      <c r="AD458" s="125"/>
      <c r="AE458" s="241"/>
      <c r="AF458" s="284"/>
      <c r="AG458" s="282"/>
      <c r="AH458" s="292"/>
      <c r="AI458" s="292"/>
      <c r="AJ458" s="292"/>
      <c r="AK458" s="282"/>
      <c r="AL458" s="75"/>
      <c r="AM458" s="75"/>
      <c r="AN458" s="75"/>
      <c r="AO458" s="282"/>
      <c r="AP458" s="75"/>
      <c r="AQ458" s="75"/>
      <c r="AR458" s="75"/>
      <c r="AS458" s="75"/>
      <c r="AT458" s="75"/>
    </row>
    <row r="459">
      <c r="A459" s="282"/>
      <c r="B459" s="125"/>
      <c r="C459" s="113"/>
      <c r="D459" s="75"/>
      <c r="E459" s="282"/>
      <c r="F459" s="125"/>
      <c r="G459" s="113"/>
      <c r="H459" s="75"/>
      <c r="I459" s="282"/>
      <c r="J459" s="125"/>
      <c r="K459" s="113"/>
      <c r="L459" s="75"/>
      <c r="M459" s="282"/>
      <c r="N459" s="125"/>
      <c r="O459" s="113"/>
      <c r="P459" s="75"/>
      <c r="Q459" s="282"/>
      <c r="R459" s="125"/>
      <c r="S459" s="113"/>
      <c r="T459" s="75"/>
      <c r="U459" s="282"/>
      <c r="V459" s="125"/>
      <c r="W459" s="113"/>
      <c r="X459" s="75"/>
      <c r="Y459" s="282"/>
      <c r="Z459" s="290"/>
      <c r="AA459" s="291"/>
      <c r="AB459" s="73"/>
      <c r="AC459" s="282"/>
      <c r="AD459" s="125"/>
      <c r="AE459" s="241"/>
      <c r="AF459" s="284"/>
      <c r="AG459" s="282"/>
      <c r="AH459" s="292"/>
      <c r="AI459" s="292"/>
      <c r="AJ459" s="292"/>
      <c r="AK459" s="282"/>
      <c r="AL459" s="75"/>
      <c r="AM459" s="75"/>
      <c r="AN459" s="75"/>
      <c r="AO459" s="282"/>
      <c r="AP459" s="75"/>
      <c r="AQ459" s="75"/>
      <c r="AR459" s="75"/>
      <c r="AS459" s="75"/>
      <c r="AT459" s="75"/>
    </row>
    <row r="460">
      <c r="A460" s="282"/>
      <c r="B460" s="125"/>
      <c r="C460" s="113"/>
      <c r="D460" s="75"/>
      <c r="E460" s="282"/>
      <c r="F460" s="125"/>
      <c r="G460" s="113"/>
      <c r="H460" s="75"/>
      <c r="I460" s="282"/>
      <c r="J460" s="125"/>
      <c r="K460" s="113"/>
      <c r="L460" s="75"/>
      <c r="M460" s="282"/>
      <c r="N460" s="125"/>
      <c r="O460" s="113"/>
      <c r="P460" s="75"/>
      <c r="Q460" s="282"/>
      <c r="R460" s="125"/>
      <c r="S460" s="113"/>
      <c r="T460" s="75"/>
      <c r="U460" s="282"/>
      <c r="V460" s="125"/>
      <c r="W460" s="113"/>
      <c r="X460" s="75"/>
      <c r="Y460" s="282"/>
      <c r="Z460" s="290"/>
      <c r="AA460" s="291"/>
      <c r="AB460" s="73"/>
      <c r="AC460" s="282"/>
      <c r="AD460" s="125"/>
      <c r="AE460" s="241"/>
      <c r="AF460" s="284"/>
      <c r="AG460" s="282"/>
      <c r="AH460" s="292"/>
      <c r="AI460" s="292"/>
      <c r="AJ460" s="292"/>
      <c r="AK460" s="282"/>
      <c r="AL460" s="75"/>
      <c r="AM460" s="75"/>
      <c r="AN460" s="75"/>
      <c r="AO460" s="282"/>
      <c r="AP460" s="75"/>
      <c r="AQ460" s="75"/>
      <c r="AR460" s="75"/>
      <c r="AS460" s="75"/>
      <c r="AT460" s="75"/>
    </row>
    <row r="461">
      <c r="A461" s="282"/>
      <c r="B461" s="125"/>
      <c r="C461" s="113"/>
      <c r="D461" s="75"/>
      <c r="E461" s="282"/>
      <c r="F461" s="125"/>
      <c r="G461" s="113"/>
      <c r="H461" s="75"/>
      <c r="I461" s="282"/>
      <c r="J461" s="125"/>
      <c r="K461" s="113"/>
      <c r="L461" s="75"/>
      <c r="M461" s="282"/>
      <c r="N461" s="125"/>
      <c r="O461" s="113"/>
      <c r="P461" s="75"/>
      <c r="Q461" s="282"/>
      <c r="R461" s="125"/>
      <c r="S461" s="113"/>
      <c r="T461" s="75"/>
      <c r="U461" s="282"/>
      <c r="V461" s="125"/>
      <c r="W461" s="113"/>
      <c r="X461" s="75"/>
      <c r="Y461" s="282"/>
      <c r="Z461" s="290"/>
      <c r="AA461" s="291"/>
      <c r="AB461" s="73"/>
      <c r="AC461" s="282"/>
      <c r="AD461" s="125"/>
      <c r="AE461" s="241"/>
      <c r="AF461" s="284"/>
      <c r="AG461" s="282"/>
      <c r="AH461" s="292"/>
      <c r="AI461" s="292"/>
      <c r="AJ461" s="292"/>
      <c r="AK461" s="282"/>
      <c r="AL461" s="75"/>
      <c r="AM461" s="75"/>
      <c r="AN461" s="75"/>
      <c r="AO461" s="282"/>
      <c r="AP461" s="75"/>
      <c r="AQ461" s="75"/>
      <c r="AR461" s="75"/>
      <c r="AS461" s="75"/>
      <c r="AT461" s="75"/>
    </row>
    <row r="462">
      <c r="A462" s="282"/>
      <c r="B462" s="125"/>
      <c r="C462" s="113"/>
      <c r="D462" s="75"/>
      <c r="E462" s="282"/>
      <c r="F462" s="125"/>
      <c r="G462" s="113"/>
      <c r="H462" s="75"/>
      <c r="I462" s="282"/>
      <c r="J462" s="125"/>
      <c r="K462" s="113"/>
      <c r="L462" s="75"/>
      <c r="M462" s="282"/>
      <c r="N462" s="125"/>
      <c r="O462" s="113"/>
      <c r="P462" s="75"/>
      <c r="Q462" s="282"/>
      <c r="R462" s="125"/>
      <c r="S462" s="113"/>
      <c r="T462" s="75"/>
      <c r="U462" s="282"/>
      <c r="V462" s="125"/>
      <c r="W462" s="113"/>
      <c r="X462" s="75"/>
      <c r="Y462" s="282"/>
      <c r="Z462" s="290"/>
      <c r="AA462" s="291"/>
      <c r="AB462" s="73"/>
      <c r="AC462" s="282"/>
      <c r="AD462" s="125"/>
      <c r="AE462" s="241"/>
      <c r="AF462" s="284"/>
      <c r="AG462" s="282"/>
      <c r="AH462" s="292"/>
      <c r="AI462" s="292"/>
      <c r="AJ462" s="292"/>
      <c r="AK462" s="282"/>
      <c r="AL462" s="75"/>
      <c r="AM462" s="75"/>
      <c r="AN462" s="75"/>
      <c r="AO462" s="282"/>
      <c r="AP462" s="75"/>
      <c r="AQ462" s="75"/>
      <c r="AR462" s="75"/>
      <c r="AS462" s="75"/>
      <c r="AT462" s="75"/>
    </row>
    <row r="463">
      <c r="A463" s="282"/>
      <c r="B463" s="125"/>
      <c r="C463" s="113"/>
      <c r="D463" s="75"/>
      <c r="E463" s="282"/>
      <c r="F463" s="125"/>
      <c r="G463" s="113"/>
      <c r="H463" s="75"/>
      <c r="I463" s="282"/>
      <c r="J463" s="125"/>
      <c r="K463" s="113"/>
      <c r="L463" s="75"/>
      <c r="M463" s="282"/>
      <c r="N463" s="125"/>
      <c r="O463" s="113"/>
      <c r="P463" s="75"/>
      <c r="Q463" s="282"/>
      <c r="R463" s="125"/>
      <c r="S463" s="113"/>
      <c r="T463" s="75"/>
      <c r="U463" s="282"/>
      <c r="V463" s="125"/>
      <c r="W463" s="113"/>
      <c r="X463" s="75"/>
      <c r="Y463" s="282"/>
      <c r="Z463" s="290"/>
      <c r="AA463" s="291"/>
      <c r="AB463" s="73"/>
      <c r="AC463" s="282"/>
      <c r="AD463" s="125"/>
      <c r="AE463" s="241"/>
      <c r="AF463" s="284"/>
      <c r="AG463" s="282"/>
      <c r="AH463" s="292"/>
      <c r="AI463" s="292"/>
      <c r="AJ463" s="292"/>
      <c r="AK463" s="282"/>
      <c r="AL463" s="75"/>
      <c r="AM463" s="75"/>
      <c r="AN463" s="75"/>
      <c r="AO463" s="282"/>
      <c r="AP463" s="75"/>
      <c r="AQ463" s="75"/>
      <c r="AR463" s="75"/>
      <c r="AS463" s="75"/>
      <c r="AT463" s="75"/>
    </row>
    <row r="464">
      <c r="A464" s="282"/>
      <c r="B464" s="125"/>
      <c r="C464" s="113"/>
      <c r="D464" s="75"/>
      <c r="E464" s="282"/>
      <c r="F464" s="125"/>
      <c r="G464" s="113"/>
      <c r="H464" s="75"/>
      <c r="I464" s="282"/>
      <c r="J464" s="125"/>
      <c r="K464" s="113"/>
      <c r="L464" s="75"/>
      <c r="M464" s="282"/>
      <c r="N464" s="125"/>
      <c r="O464" s="113"/>
      <c r="P464" s="75"/>
      <c r="Q464" s="282"/>
      <c r="R464" s="125"/>
      <c r="S464" s="113"/>
      <c r="T464" s="75"/>
      <c r="U464" s="282"/>
      <c r="V464" s="125"/>
      <c r="W464" s="113"/>
      <c r="X464" s="75"/>
      <c r="Y464" s="282"/>
      <c r="Z464" s="290"/>
      <c r="AA464" s="291"/>
      <c r="AB464" s="73"/>
      <c r="AC464" s="282"/>
      <c r="AD464" s="125"/>
      <c r="AE464" s="241"/>
      <c r="AF464" s="284"/>
      <c r="AG464" s="282"/>
      <c r="AH464" s="292"/>
      <c r="AI464" s="292"/>
      <c r="AJ464" s="292"/>
      <c r="AK464" s="282"/>
      <c r="AL464" s="75"/>
      <c r="AM464" s="75"/>
      <c r="AN464" s="75"/>
      <c r="AO464" s="282"/>
      <c r="AP464" s="75"/>
      <c r="AQ464" s="75"/>
      <c r="AR464" s="75"/>
      <c r="AS464" s="75"/>
      <c r="AT464" s="75"/>
    </row>
    <row r="465">
      <c r="A465" s="282"/>
      <c r="B465" s="125"/>
      <c r="C465" s="113"/>
      <c r="D465" s="75"/>
      <c r="E465" s="282"/>
      <c r="F465" s="125"/>
      <c r="G465" s="113"/>
      <c r="H465" s="75"/>
      <c r="I465" s="282"/>
      <c r="J465" s="125"/>
      <c r="K465" s="113"/>
      <c r="L465" s="75"/>
      <c r="M465" s="282"/>
      <c r="N465" s="125"/>
      <c r="O465" s="113"/>
      <c r="P465" s="75"/>
      <c r="Q465" s="282"/>
      <c r="R465" s="125"/>
      <c r="S465" s="113"/>
      <c r="T465" s="75"/>
      <c r="U465" s="282"/>
      <c r="V465" s="125"/>
      <c r="W465" s="113"/>
      <c r="X465" s="75"/>
      <c r="Y465" s="282"/>
      <c r="Z465" s="290"/>
      <c r="AA465" s="291"/>
      <c r="AB465" s="73"/>
      <c r="AC465" s="282"/>
      <c r="AD465" s="125"/>
      <c r="AE465" s="241"/>
      <c r="AF465" s="284"/>
      <c r="AG465" s="282"/>
      <c r="AH465" s="292"/>
      <c r="AI465" s="292"/>
      <c r="AJ465" s="292"/>
      <c r="AK465" s="282"/>
      <c r="AL465" s="75"/>
      <c r="AM465" s="75"/>
      <c r="AN465" s="75"/>
      <c r="AO465" s="282"/>
      <c r="AP465" s="75"/>
      <c r="AQ465" s="75"/>
      <c r="AR465" s="75"/>
      <c r="AS465" s="75"/>
      <c r="AT465" s="75"/>
    </row>
    <row r="466">
      <c r="A466" s="282"/>
      <c r="B466" s="125"/>
      <c r="C466" s="113"/>
      <c r="D466" s="75"/>
      <c r="E466" s="282"/>
      <c r="F466" s="125"/>
      <c r="G466" s="113"/>
      <c r="H466" s="75"/>
      <c r="I466" s="282"/>
      <c r="J466" s="125"/>
      <c r="K466" s="113"/>
      <c r="L466" s="75"/>
      <c r="M466" s="282"/>
      <c r="N466" s="125"/>
      <c r="O466" s="113"/>
      <c r="P466" s="75"/>
      <c r="Q466" s="282"/>
      <c r="R466" s="125"/>
      <c r="S466" s="113"/>
      <c r="T466" s="75"/>
      <c r="U466" s="282"/>
      <c r="V466" s="125"/>
      <c r="W466" s="113"/>
      <c r="X466" s="75"/>
      <c r="Y466" s="282"/>
      <c r="Z466" s="290"/>
      <c r="AA466" s="291"/>
      <c r="AB466" s="73"/>
      <c r="AC466" s="282"/>
      <c r="AD466" s="125"/>
      <c r="AE466" s="241"/>
      <c r="AF466" s="284"/>
      <c r="AG466" s="282"/>
      <c r="AH466" s="292"/>
      <c r="AI466" s="292"/>
      <c r="AJ466" s="292"/>
      <c r="AK466" s="282"/>
      <c r="AL466" s="75"/>
      <c r="AM466" s="75"/>
      <c r="AN466" s="75"/>
      <c r="AO466" s="282"/>
      <c r="AP466" s="75"/>
      <c r="AQ466" s="75"/>
      <c r="AR466" s="75"/>
      <c r="AS466" s="75"/>
      <c r="AT466" s="75"/>
    </row>
    <row r="467">
      <c r="A467" s="282"/>
      <c r="B467" s="125"/>
      <c r="C467" s="113"/>
      <c r="D467" s="75"/>
      <c r="E467" s="282"/>
      <c r="F467" s="125"/>
      <c r="G467" s="113"/>
      <c r="H467" s="75"/>
      <c r="I467" s="282"/>
      <c r="J467" s="125"/>
      <c r="K467" s="113"/>
      <c r="L467" s="75"/>
      <c r="M467" s="282"/>
      <c r="N467" s="125"/>
      <c r="O467" s="113"/>
      <c r="P467" s="75"/>
      <c r="Q467" s="282"/>
      <c r="R467" s="125"/>
      <c r="S467" s="113"/>
      <c r="T467" s="75"/>
      <c r="U467" s="282"/>
      <c r="V467" s="125"/>
      <c r="W467" s="113"/>
      <c r="X467" s="75"/>
      <c r="Y467" s="282"/>
      <c r="Z467" s="290"/>
      <c r="AA467" s="291"/>
      <c r="AB467" s="73"/>
      <c r="AC467" s="282"/>
      <c r="AD467" s="125"/>
      <c r="AE467" s="241"/>
      <c r="AF467" s="284"/>
      <c r="AG467" s="282"/>
      <c r="AH467" s="292"/>
      <c r="AI467" s="292"/>
      <c r="AJ467" s="292"/>
      <c r="AK467" s="282"/>
      <c r="AL467" s="75"/>
      <c r="AM467" s="75"/>
      <c r="AN467" s="75"/>
      <c r="AO467" s="282"/>
      <c r="AP467" s="75"/>
      <c r="AQ467" s="75"/>
      <c r="AR467" s="75"/>
      <c r="AS467" s="75"/>
      <c r="AT467" s="75"/>
    </row>
    <row r="468">
      <c r="A468" s="282"/>
      <c r="B468" s="125"/>
      <c r="C468" s="113"/>
      <c r="D468" s="75"/>
      <c r="E468" s="282"/>
      <c r="F468" s="125"/>
      <c r="G468" s="113"/>
      <c r="H468" s="75"/>
      <c r="I468" s="282"/>
      <c r="J468" s="125"/>
      <c r="K468" s="113"/>
      <c r="L468" s="75"/>
      <c r="M468" s="282"/>
      <c r="N468" s="125"/>
      <c r="O468" s="113"/>
      <c r="P468" s="75"/>
      <c r="Q468" s="282"/>
      <c r="R468" s="125"/>
      <c r="S468" s="113"/>
      <c r="T468" s="75"/>
      <c r="U468" s="282"/>
      <c r="V468" s="125"/>
      <c r="W468" s="113"/>
      <c r="X468" s="75"/>
      <c r="Y468" s="282"/>
      <c r="Z468" s="290"/>
      <c r="AA468" s="291"/>
      <c r="AB468" s="73"/>
      <c r="AC468" s="282"/>
      <c r="AD468" s="125"/>
      <c r="AE468" s="241"/>
      <c r="AF468" s="284"/>
      <c r="AG468" s="282"/>
      <c r="AH468" s="292"/>
      <c r="AI468" s="292"/>
      <c r="AJ468" s="292"/>
      <c r="AK468" s="282"/>
      <c r="AL468" s="75"/>
      <c r="AM468" s="75"/>
      <c r="AN468" s="75"/>
      <c r="AO468" s="282"/>
      <c r="AP468" s="75"/>
      <c r="AQ468" s="75"/>
      <c r="AR468" s="75"/>
      <c r="AS468" s="75"/>
      <c r="AT468" s="75"/>
    </row>
    <row r="469">
      <c r="A469" s="282"/>
      <c r="B469" s="125"/>
      <c r="C469" s="113"/>
      <c r="D469" s="75"/>
      <c r="E469" s="282"/>
      <c r="F469" s="125"/>
      <c r="G469" s="113"/>
      <c r="H469" s="75"/>
      <c r="I469" s="282"/>
      <c r="J469" s="125"/>
      <c r="K469" s="113"/>
      <c r="L469" s="75"/>
      <c r="M469" s="282"/>
      <c r="N469" s="125"/>
      <c r="O469" s="113"/>
      <c r="P469" s="75"/>
      <c r="Q469" s="282"/>
      <c r="R469" s="125"/>
      <c r="S469" s="113"/>
      <c r="T469" s="75"/>
      <c r="U469" s="282"/>
      <c r="V469" s="125"/>
      <c r="W469" s="113"/>
      <c r="X469" s="75"/>
      <c r="Y469" s="282"/>
      <c r="Z469" s="290"/>
      <c r="AA469" s="291"/>
      <c r="AB469" s="73"/>
      <c r="AC469" s="282"/>
      <c r="AD469" s="125"/>
      <c r="AE469" s="241"/>
      <c r="AF469" s="284"/>
      <c r="AG469" s="282"/>
      <c r="AH469" s="292"/>
      <c r="AI469" s="292"/>
      <c r="AJ469" s="292"/>
      <c r="AK469" s="282"/>
      <c r="AL469" s="75"/>
      <c r="AM469" s="75"/>
      <c r="AN469" s="75"/>
      <c r="AO469" s="282"/>
      <c r="AP469" s="75"/>
      <c r="AQ469" s="75"/>
      <c r="AR469" s="75"/>
      <c r="AS469" s="75"/>
      <c r="AT469" s="75"/>
    </row>
    <row r="470">
      <c r="A470" s="282"/>
      <c r="B470" s="125"/>
      <c r="C470" s="113"/>
      <c r="D470" s="75"/>
      <c r="E470" s="282"/>
      <c r="F470" s="125"/>
      <c r="G470" s="113"/>
      <c r="H470" s="75"/>
      <c r="I470" s="282"/>
      <c r="J470" s="125"/>
      <c r="K470" s="113"/>
      <c r="L470" s="75"/>
      <c r="M470" s="282"/>
      <c r="N470" s="125"/>
      <c r="O470" s="113"/>
      <c r="P470" s="75"/>
      <c r="Q470" s="282"/>
      <c r="R470" s="125"/>
      <c r="S470" s="113"/>
      <c r="T470" s="75"/>
      <c r="U470" s="282"/>
      <c r="V470" s="125"/>
      <c r="W470" s="113"/>
      <c r="X470" s="75"/>
      <c r="Y470" s="282"/>
      <c r="Z470" s="290"/>
      <c r="AA470" s="291"/>
      <c r="AB470" s="73"/>
      <c r="AC470" s="282"/>
      <c r="AD470" s="125"/>
      <c r="AE470" s="241"/>
      <c r="AF470" s="284"/>
      <c r="AG470" s="282"/>
      <c r="AH470" s="292"/>
      <c r="AI470" s="292"/>
      <c r="AJ470" s="292"/>
      <c r="AK470" s="282"/>
      <c r="AL470" s="75"/>
      <c r="AM470" s="75"/>
      <c r="AN470" s="75"/>
      <c r="AO470" s="282"/>
      <c r="AP470" s="75"/>
      <c r="AQ470" s="75"/>
      <c r="AR470" s="75"/>
      <c r="AS470" s="75"/>
      <c r="AT470" s="75"/>
    </row>
    <row r="471">
      <c r="A471" s="282"/>
      <c r="B471" s="125"/>
      <c r="C471" s="113"/>
      <c r="D471" s="75"/>
      <c r="E471" s="282"/>
      <c r="F471" s="125"/>
      <c r="G471" s="113"/>
      <c r="H471" s="75"/>
      <c r="I471" s="282"/>
      <c r="J471" s="125"/>
      <c r="K471" s="113"/>
      <c r="L471" s="75"/>
      <c r="M471" s="282"/>
      <c r="N471" s="125"/>
      <c r="O471" s="113"/>
      <c r="P471" s="75"/>
      <c r="Q471" s="282"/>
      <c r="R471" s="125"/>
      <c r="S471" s="113"/>
      <c r="T471" s="75"/>
      <c r="U471" s="282"/>
      <c r="V471" s="125"/>
      <c r="W471" s="113"/>
      <c r="X471" s="75"/>
      <c r="Y471" s="282"/>
      <c r="Z471" s="290"/>
      <c r="AA471" s="291"/>
      <c r="AB471" s="73"/>
      <c r="AC471" s="282"/>
      <c r="AD471" s="125"/>
      <c r="AE471" s="241"/>
      <c r="AF471" s="284"/>
      <c r="AG471" s="282"/>
      <c r="AH471" s="292"/>
      <c r="AI471" s="292"/>
      <c r="AJ471" s="292"/>
      <c r="AK471" s="282"/>
      <c r="AL471" s="75"/>
      <c r="AM471" s="75"/>
      <c r="AN471" s="75"/>
      <c r="AO471" s="282"/>
      <c r="AP471" s="75"/>
      <c r="AQ471" s="75"/>
      <c r="AR471" s="75"/>
      <c r="AS471" s="75"/>
      <c r="AT471" s="75"/>
    </row>
    <row r="472">
      <c r="A472" s="282"/>
      <c r="B472" s="125"/>
      <c r="C472" s="113"/>
      <c r="D472" s="75"/>
      <c r="E472" s="282"/>
      <c r="F472" s="125"/>
      <c r="G472" s="113"/>
      <c r="H472" s="75"/>
      <c r="I472" s="282"/>
      <c r="J472" s="125"/>
      <c r="K472" s="113"/>
      <c r="L472" s="75"/>
      <c r="M472" s="282"/>
      <c r="N472" s="125"/>
      <c r="O472" s="113"/>
      <c r="P472" s="75"/>
      <c r="Q472" s="282"/>
      <c r="R472" s="125"/>
      <c r="S472" s="113"/>
      <c r="T472" s="75"/>
      <c r="U472" s="282"/>
      <c r="V472" s="125"/>
      <c r="W472" s="113"/>
      <c r="X472" s="75"/>
      <c r="Y472" s="282"/>
      <c r="Z472" s="290"/>
      <c r="AA472" s="291"/>
      <c r="AB472" s="73"/>
      <c r="AC472" s="282"/>
      <c r="AD472" s="125"/>
      <c r="AE472" s="241"/>
      <c r="AF472" s="284"/>
      <c r="AG472" s="282"/>
      <c r="AH472" s="292"/>
      <c r="AI472" s="292"/>
      <c r="AJ472" s="292"/>
      <c r="AK472" s="282"/>
      <c r="AL472" s="75"/>
      <c r="AM472" s="75"/>
      <c r="AN472" s="75"/>
      <c r="AO472" s="282"/>
      <c r="AP472" s="75"/>
      <c r="AQ472" s="75"/>
      <c r="AR472" s="75"/>
      <c r="AS472" s="75"/>
      <c r="AT472" s="75"/>
    </row>
    <row r="473">
      <c r="A473" s="282"/>
      <c r="B473" s="125"/>
      <c r="C473" s="113"/>
      <c r="D473" s="75"/>
      <c r="E473" s="282"/>
      <c r="F473" s="125"/>
      <c r="G473" s="113"/>
      <c r="H473" s="75"/>
      <c r="I473" s="282"/>
      <c r="J473" s="125"/>
      <c r="K473" s="113"/>
      <c r="L473" s="75"/>
      <c r="M473" s="282"/>
      <c r="N473" s="125"/>
      <c r="O473" s="113"/>
      <c r="P473" s="75"/>
      <c r="Q473" s="282"/>
      <c r="R473" s="125"/>
      <c r="S473" s="113"/>
      <c r="T473" s="75"/>
      <c r="U473" s="282"/>
      <c r="V473" s="125"/>
      <c r="W473" s="113"/>
      <c r="X473" s="75"/>
      <c r="Y473" s="282"/>
      <c r="Z473" s="290"/>
      <c r="AA473" s="291"/>
      <c r="AB473" s="73"/>
      <c r="AC473" s="282"/>
      <c r="AD473" s="125"/>
      <c r="AE473" s="241"/>
      <c r="AF473" s="284"/>
      <c r="AG473" s="282"/>
      <c r="AH473" s="292"/>
      <c r="AI473" s="292"/>
      <c r="AJ473" s="292"/>
      <c r="AK473" s="282"/>
      <c r="AL473" s="75"/>
      <c r="AM473" s="75"/>
      <c r="AN473" s="75"/>
      <c r="AO473" s="282"/>
      <c r="AP473" s="75"/>
      <c r="AQ473" s="75"/>
      <c r="AR473" s="75"/>
      <c r="AS473" s="75"/>
      <c r="AT473" s="75"/>
    </row>
    <row r="474">
      <c r="A474" s="282"/>
      <c r="B474" s="125"/>
      <c r="C474" s="113"/>
      <c r="D474" s="75"/>
      <c r="E474" s="282"/>
      <c r="F474" s="125"/>
      <c r="G474" s="113"/>
      <c r="H474" s="75"/>
      <c r="I474" s="282"/>
      <c r="J474" s="125"/>
      <c r="K474" s="113"/>
      <c r="L474" s="75"/>
      <c r="M474" s="282"/>
      <c r="N474" s="125"/>
      <c r="O474" s="113"/>
      <c r="P474" s="75"/>
      <c r="Q474" s="282"/>
      <c r="R474" s="125"/>
      <c r="S474" s="113"/>
      <c r="T474" s="75"/>
      <c r="U474" s="282"/>
      <c r="V474" s="125"/>
      <c r="W474" s="113"/>
      <c r="X474" s="75"/>
      <c r="Y474" s="282"/>
      <c r="Z474" s="290"/>
      <c r="AA474" s="291"/>
      <c r="AB474" s="73"/>
      <c r="AC474" s="282"/>
      <c r="AD474" s="125"/>
      <c r="AE474" s="241"/>
      <c r="AF474" s="284"/>
      <c r="AG474" s="282"/>
      <c r="AH474" s="292"/>
      <c r="AI474" s="292"/>
      <c r="AJ474" s="292"/>
      <c r="AK474" s="282"/>
      <c r="AL474" s="75"/>
      <c r="AM474" s="75"/>
      <c r="AN474" s="75"/>
      <c r="AO474" s="282"/>
      <c r="AP474" s="75"/>
      <c r="AQ474" s="75"/>
      <c r="AR474" s="75"/>
      <c r="AS474" s="75"/>
      <c r="AT474" s="75"/>
    </row>
    <row r="475">
      <c r="A475" s="282"/>
      <c r="B475" s="125"/>
      <c r="C475" s="113"/>
      <c r="D475" s="75"/>
      <c r="E475" s="282"/>
      <c r="F475" s="125"/>
      <c r="G475" s="113"/>
      <c r="H475" s="75"/>
      <c r="I475" s="282"/>
      <c r="J475" s="125"/>
      <c r="K475" s="113"/>
      <c r="L475" s="75"/>
      <c r="M475" s="282"/>
      <c r="N475" s="125"/>
      <c r="O475" s="113"/>
      <c r="P475" s="75"/>
      <c r="Q475" s="282"/>
      <c r="R475" s="125"/>
      <c r="S475" s="113"/>
      <c r="T475" s="75"/>
      <c r="U475" s="282"/>
      <c r="V475" s="125"/>
      <c r="W475" s="113"/>
      <c r="X475" s="75"/>
      <c r="Y475" s="282"/>
      <c r="Z475" s="290"/>
      <c r="AA475" s="291"/>
      <c r="AB475" s="73"/>
      <c r="AC475" s="282"/>
      <c r="AD475" s="125"/>
      <c r="AE475" s="241"/>
      <c r="AF475" s="284"/>
      <c r="AG475" s="282"/>
      <c r="AH475" s="292"/>
      <c r="AI475" s="292"/>
      <c r="AJ475" s="292"/>
      <c r="AK475" s="282"/>
      <c r="AL475" s="75"/>
      <c r="AM475" s="75"/>
      <c r="AN475" s="75"/>
      <c r="AO475" s="282"/>
      <c r="AP475" s="75"/>
      <c r="AQ475" s="75"/>
      <c r="AR475" s="75"/>
      <c r="AS475" s="75"/>
      <c r="AT475" s="75"/>
    </row>
    <row r="476">
      <c r="A476" s="282"/>
      <c r="B476" s="125"/>
      <c r="C476" s="113"/>
      <c r="D476" s="75"/>
      <c r="E476" s="282"/>
      <c r="F476" s="125"/>
      <c r="G476" s="113"/>
      <c r="H476" s="75"/>
      <c r="I476" s="282"/>
      <c r="J476" s="125"/>
      <c r="K476" s="113"/>
      <c r="L476" s="75"/>
      <c r="M476" s="282"/>
      <c r="N476" s="125"/>
      <c r="O476" s="113"/>
      <c r="P476" s="75"/>
      <c r="Q476" s="282"/>
      <c r="R476" s="125"/>
      <c r="S476" s="113"/>
      <c r="T476" s="75"/>
      <c r="U476" s="282"/>
      <c r="V476" s="125"/>
      <c r="W476" s="113"/>
      <c r="X476" s="75"/>
      <c r="Y476" s="282"/>
      <c r="Z476" s="290"/>
      <c r="AA476" s="291"/>
      <c r="AB476" s="73"/>
      <c r="AC476" s="282"/>
      <c r="AD476" s="125"/>
      <c r="AE476" s="241"/>
      <c r="AF476" s="284"/>
      <c r="AG476" s="282"/>
      <c r="AH476" s="292"/>
      <c r="AI476" s="292"/>
      <c r="AJ476" s="292"/>
      <c r="AK476" s="282"/>
      <c r="AL476" s="75"/>
      <c r="AM476" s="75"/>
      <c r="AN476" s="75"/>
      <c r="AO476" s="282"/>
      <c r="AP476" s="75"/>
      <c r="AQ476" s="75"/>
      <c r="AR476" s="75"/>
      <c r="AS476" s="75"/>
      <c r="AT476" s="75"/>
    </row>
    <row r="477">
      <c r="A477" s="282"/>
      <c r="B477" s="125"/>
      <c r="C477" s="113"/>
      <c r="D477" s="75"/>
      <c r="E477" s="282"/>
      <c r="F477" s="125"/>
      <c r="G477" s="113"/>
      <c r="H477" s="75"/>
      <c r="I477" s="282"/>
      <c r="J477" s="125"/>
      <c r="K477" s="113"/>
      <c r="L477" s="75"/>
      <c r="M477" s="282"/>
      <c r="N477" s="125"/>
      <c r="O477" s="113"/>
      <c r="P477" s="75"/>
      <c r="Q477" s="282"/>
      <c r="R477" s="125"/>
      <c r="S477" s="113"/>
      <c r="T477" s="75"/>
      <c r="U477" s="282"/>
      <c r="V477" s="125"/>
      <c r="W477" s="113"/>
      <c r="X477" s="75"/>
      <c r="Y477" s="282"/>
      <c r="Z477" s="290"/>
      <c r="AA477" s="291"/>
      <c r="AB477" s="73"/>
      <c r="AC477" s="282"/>
      <c r="AD477" s="125"/>
      <c r="AE477" s="241"/>
      <c r="AF477" s="284"/>
      <c r="AG477" s="282"/>
      <c r="AH477" s="292"/>
      <c r="AI477" s="292"/>
      <c r="AJ477" s="292"/>
      <c r="AK477" s="282"/>
      <c r="AL477" s="75"/>
      <c r="AM477" s="75"/>
      <c r="AN477" s="75"/>
      <c r="AO477" s="282"/>
      <c r="AP477" s="75"/>
      <c r="AQ477" s="75"/>
      <c r="AR477" s="75"/>
      <c r="AS477" s="75"/>
      <c r="AT477" s="75"/>
    </row>
    <row r="478">
      <c r="A478" s="282"/>
      <c r="B478" s="125"/>
      <c r="C478" s="113"/>
      <c r="D478" s="75"/>
      <c r="E478" s="282"/>
      <c r="F478" s="125"/>
      <c r="G478" s="113"/>
      <c r="H478" s="75"/>
      <c r="I478" s="282"/>
      <c r="J478" s="125"/>
      <c r="K478" s="113"/>
      <c r="L478" s="75"/>
      <c r="M478" s="282"/>
      <c r="N478" s="125"/>
      <c r="O478" s="113"/>
      <c r="P478" s="75"/>
      <c r="Q478" s="282"/>
      <c r="R478" s="125"/>
      <c r="S478" s="113"/>
      <c r="T478" s="75"/>
      <c r="U478" s="282"/>
      <c r="V478" s="125"/>
      <c r="W478" s="113"/>
      <c r="X478" s="75"/>
      <c r="Y478" s="282"/>
      <c r="Z478" s="290"/>
      <c r="AA478" s="291"/>
      <c r="AB478" s="73"/>
      <c r="AC478" s="282"/>
      <c r="AD478" s="125"/>
      <c r="AE478" s="241"/>
      <c r="AF478" s="284"/>
      <c r="AG478" s="282"/>
      <c r="AH478" s="292"/>
      <c r="AI478" s="292"/>
      <c r="AJ478" s="292"/>
      <c r="AK478" s="282"/>
      <c r="AL478" s="75"/>
      <c r="AM478" s="75"/>
      <c r="AN478" s="75"/>
      <c r="AO478" s="282"/>
      <c r="AP478" s="75"/>
      <c r="AQ478" s="75"/>
      <c r="AR478" s="75"/>
      <c r="AS478" s="75"/>
      <c r="AT478" s="75"/>
    </row>
    <row r="479">
      <c r="A479" s="282"/>
      <c r="B479" s="125"/>
      <c r="C479" s="113"/>
      <c r="D479" s="75"/>
      <c r="E479" s="282"/>
      <c r="F479" s="125"/>
      <c r="G479" s="113"/>
      <c r="H479" s="75"/>
      <c r="I479" s="282"/>
      <c r="J479" s="125"/>
      <c r="K479" s="113"/>
      <c r="L479" s="75"/>
      <c r="M479" s="282"/>
      <c r="N479" s="125"/>
      <c r="O479" s="113"/>
      <c r="P479" s="75"/>
      <c r="Q479" s="282"/>
      <c r="R479" s="125"/>
      <c r="S479" s="113"/>
      <c r="T479" s="75"/>
      <c r="U479" s="282"/>
      <c r="V479" s="125"/>
      <c r="W479" s="113"/>
      <c r="X479" s="75"/>
      <c r="Y479" s="282"/>
      <c r="Z479" s="290"/>
      <c r="AA479" s="291"/>
      <c r="AB479" s="73"/>
      <c r="AC479" s="282"/>
      <c r="AD479" s="125"/>
      <c r="AE479" s="241"/>
      <c r="AF479" s="284"/>
      <c r="AG479" s="282"/>
      <c r="AH479" s="292"/>
      <c r="AI479" s="292"/>
      <c r="AJ479" s="292"/>
      <c r="AK479" s="282"/>
      <c r="AL479" s="75"/>
      <c r="AM479" s="75"/>
      <c r="AN479" s="75"/>
      <c r="AO479" s="282"/>
      <c r="AP479" s="75"/>
      <c r="AQ479" s="75"/>
      <c r="AR479" s="75"/>
      <c r="AS479" s="75"/>
      <c r="AT479" s="75"/>
    </row>
    <row r="480">
      <c r="A480" s="282"/>
      <c r="B480" s="125"/>
      <c r="C480" s="113"/>
      <c r="D480" s="75"/>
      <c r="E480" s="282"/>
      <c r="F480" s="125"/>
      <c r="G480" s="113"/>
      <c r="H480" s="75"/>
      <c r="I480" s="282"/>
      <c r="J480" s="125"/>
      <c r="K480" s="113"/>
      <c r="L480" s="75"/>
      <c r="M480" s="282"/>
      <c r="N480" s="125"/>
      <c r="O480" s="113"/>
      <c r="P480" s="75"/>
      <c r="Q480" s="282"/>
      <c r="R480" s="125"/>
      <c r="S480" s="113"/>
      <c r="T480" s="75"/>
      <c r="U480" s="282"/>
      <c r="V480" s="125"/>
      <c r="W480" s="113"/>
      <c r="X480" s="75"/>
      <c r="Y480" s="282"/>
      <c r="Z480" s="290"/>
      <c r="AA480" s="291"/>
      <c r="AB480" s="73"/>
      <c r="AC480" s="282"/>
      <c r="AD480" s="125"/>
      <c r="AE480" s="241"/>
      <c r="AF480" s="284"/>
      <c r="AG480" s="282"/>
      <c r="AH480" s="292"/>
      <c r="AI480" s="292"/>
      <c r="AJ480" s="292"/>
      <c r="AK480" s="282"/>
      <c r="AL480" s="75"/>
      <c r="AM480" s="75"/>
      <c r="AN480" s="75"/>
      <c r="AO480" s="282"/>
      <c r="AP480" s="75"/>
      <c r="AQ480" s="75"/>
      <c r="AR480" s="75"/>
      <c r="AS480" s="75"/>
      <c r="AT480" s="75"/>
    </row>
    <row r="481">
      <c r="A481" s="282"/>
      <c r="B481" s="125"/>
      <c r="C481" s="113"/>
      <c r="D481" s="75"/>
      <c r="E481" s="282"/>
      <c r="F481" s="125"/>
      <c r="G481" s="113"/>
      <c r="H481" s="75"/>
      <c r="I481" s="282"/>
      <c r="J481" s="125"/>
      <c r="K481" s="113"/>
      <c r="L481" s="75"/>
      <c r="M481" s="282"/>
      <c r="N481" s="125"/>
      <c r="O481" s="113"/>
      <c r="P481" s="75"/>
      <c r="Q481" s="282"/>
      <c r="R481" s="125"/>
      <c r="S481" s="113"/>
      <c r="T481" s="75"/>
      <c r="U481" s="282"/>
      <c r="V481" s="125"/>
      <c r="W481" s="113"/>
      <c r="X481" s="75"/>
      <c r="Y481" s="282"/>
      <c r="Z481" s="290"/>
      <c r="AA481" s="291"/>
      <c r="AB481" s="73"/>
      <c r="AC481" s="282"/>
      <c r="AD481" s="125"/>
      <c r="AE481" s="241"/>
      <c r="AF481" s="284"/>
      <c r="AG481" s="282"/>
      <c r="AH481" s="292"/>
      <c r="AI481" s="292"/>
      <c r="AJ481" s="292"/>
      <c r="AK481" s="282"/>
      <c r="AL481" s="75"/>
      <c r="AM481" s="75"/>
      <c r="AN481" s="75"/>
      <c r="AO481" s="282"/>
      <c r="AP481" s="75"/>
      <c r="AQ481" s="75"/>
      <c r="AR481" s="75"/>
      <c r="AS481" s="75"/>
      <c r="AT481" s="75"/>
    </row>
    <row r="482">
      <c r="A482" s="282"/>
      <c r="B482" s="125"/>
      <c r="C482" s="113"/>
      <c r="D482" s="75"/>
      <c r="E482" s="282"/>
      <c r="F482" s="125"/>
      <c r="G482" s="113"/>
      <c r="H482" s="75"/>
      <c r="I482" s="282"/>
      <c r="J482" s="125"/>
      <c r="K482" s="113"/>
      <c r="L482" s="75"/>
      <c r="M482" s="282"/>
      <c r="N482" s="125"/>
      <c r="O482" s="113"/>
      <c r="P482" s="75"/>
      <c r="Q482" s="282"/>
      <c r="R482" s="125"/>
      <c r="S482" s="113"/>
      <c r="T482" s="75"/>
      <c r="U482" s="282"/>
      <c r="V482" s="125"/>
      <c r="W482" s="113"/>
      <c r="X482" s="75"/>
      <c r="Y482" s="282"/>
      <c r="Z482" s="290"/>
      <c r="AA482" s="291"/>
      <c r="AB482" s="73"/>
      <c r="AC482" s="282"/>
      <c r="AD482" s="125"/>
      <c r="AE482" s="241"/>
      <c r="AF482" s="284"/>
      <c r="AG482" s="282"/>
      <c r="AH482" s="292"/>
      <c r="AI482" s="292"/>
      <c r="AJ482" s="292"/>
      <c r="AK482" s="282"/>
      <c r="AL482" s="75"/>
      <c r="AM482" s="75"/>
      <c r="AN482" s="75"/>
      <c r="AO482" s="282"/>
      <c r="AP482" s="75"/>
      <c r="AQ482" s="75"/>
      <c r="AR482" s="75"/>
      <c r="AS482" s="75"/>
      <c r="AT482" s="75"/>
    </row>
    <row r="483">
      <c r="A483" s="282"/>
      <c r="B483" s="125"/>
      <c r="C483" s="113"/>
      <c r="D483" s="75"/>
      <c r="E483" s="282"/>
      <c r="F483" s="125"/>
      <c r="G483" s="113"/>
      <c r="H483" s="75"/>
      <c r="I483" s="282"/>
      <c r="J483" s="125"/>
      <c r="K483" s="113"/>
      <c r="L483" s="75"/>
      <c r="M483" s="282"/>
      <c r="N483" s="125"/>
      <c r="O483" s="113"/>
      <c r="P483" s="75"/>
      <c r="Q483" s="282"/>
      <c r="R483" s="125"/>
      <c r="S483" s="113"/>
      <c r="T483" s="75"/>
      <c r="U483" s="282"/>
      <c r="V483" s="125"/>
      <c r="W483" s="113"/>
      <c r="X483" s="75"/>
      <c r="Y483" s="282"/>
      <c r="Z483" s="290"/>
      <c r="AA483" s="291"/>
      <c r="AB483" s="73"/>
      <c r="AC483" s="282"/>
      <c r="AD483" s="125"/>
      <c r="AE483" s="241"/>
      <c r="AF483" s="284"/>
      <c r="AG483" s="282"/>
      <c r="AH483" s="292"/>
      <c r="AI483" s="292"/>
      <c r="AJ483" s="292"/>
      <c r="AK483" s="282"/>
      <c r="AL483" s="75"/>
      <c r="AM483" s="75"/>
      <c r="AN483" s="75"/>
      <c r="AO483" s="282"/>
      <c r="AP483" s="75"/>
      <c r="AQ483" s="75"/>
      <c r="AR483" s="75"/>
      <c r="AS483" s="75"/>
      <c r="AT483" s="75"/>
    </row>
    <row r="484">
      <c r="A484" s="282"/>
      <c r="B484" s="125"/>
      <c r="C484" s="113"/>
      <c r="D484" s="75"/>
      <c r="E484" s="282"/>
      <c r="F484" s="125"/>
      <c r="G484" s="113"/>
      <c r="H484" s="75"/>
      <c r="I484" s="282"/>
      <c r="J484" s="125"/>
      <c r="K484" s="113"/>
      <c r="L484" s="75"/>
      <c r="M484" s="282"/>
      <c r="N484" s="125"/>
      <c r="O484" s="113"/>
      <c r="P484" s="75"/>
      <c r="Q484" s="282"/>
      <c r="R484" s="125"/>
      <c r="S484" s="113"/>
      <c r="T484" s="75"/>
      <c r="U484" s="282"/>
      <c r="V484" s="125"/>
      <c r="W484" s="113"/>
      <c r="X484" s="75"/>
      <c r="Y484" s="282"/>
      <c r="Z484" s="290"/>
      <c r="AA484" s="291"/>
      <c r="AB484" s="73"/>
      <c r="AC484" s="282"/>
      <c r="AD484" s="125"/>
      <c r="AE484" s="241"/>
      <c r="AF484" s="284"/>
      <c r="AG484" s="282"/>
      <c r="AH484" s="292"/>
      <c r="AI484" s="292"/>
      <c r="AJ484" s="292"/>
      <c r="AK484" s="282"/>
      <c r="AL484" s="75"/>
      <c r="AM484" s="75"/>
      <c r="AN484" s="75"/>
      <c r="AO484" s="282"/>
      <c r="AP484" s="75"/>
      <c r="AQ484" s="75"/>
      <c r="AR484" s="75"/>
      <c r="AS484" s="75"/>
      <c r="AT484" s="75"/>
    </row>
    <row r="485">
      <c r="A485" s="282"/>
      <c r="B485" s="125"/>
      <c r="C485" s="113"/>
      <c r="D485" s="75"/>
      <c r="E485" s="282"/>
      <c r="F485" s="125"/>
      <c r="G485" s="113"/>
      <c r="H485" s="75"/>
      <c r="I485" s="282"/>
      <c r="J485" s="125"/>
      <c r="K485" s="113"/>
      <c r="L485" s="75"/>
      <c r="M485" s="282"/>
      <c r="N485" s="125"/>
      <c r="O485" s="113"/>
      <c r="P485" s="75"/>
      <c r="Q485" s="282"/>
      <c r="R485" s="125"/>
      <c r="S485" s="113"/>
      <c r="T485" s="75"/>
      <c r="U485" s="282"/>
      <c r="V485" s="125"/>
      <c r="W485" s="113"/>
      <c r="X485" s="75"/>
      <c r="Y485" s="282"/>
      <c r="Z485" s="290"/>
      <c r="AA485" s="291"/>
      <c r="AB485" s="73"/>
      <c r="AC485" s="282"/>
      <c r="AD485" s="125"/>
      <c r="AE485" s="241"/>
      <c r="AF485" s="284"/>
      <c r="AG485" s="282"/>
      <c r="AH485" s="292"/>
      <c r="AI485" s="292"/>
      <c r="AJ485" s="292"/>
      <c r="AK485" s="282"/>
      <c r="AL485" s="75"/>
      <c r="AM485" s="75"/>
      <c r="AN485" s="75"/>
      <c r="AO485" s="282"/>
      <c r="AP485" s="75"/>
      <c r="AQ485" s="75"/>
      <c r="AR485" s="75"/>
      <c r="AS485" s="75"/>
      <c r="AT485" s="75"/>
    </row>
    <row r="486">
      <c r="A486" s="282"/>
      <c r="B486" s="125"/>
      <c r="C486" s="113"/>
      <c r="D486" s="75"/>
      <c r="E486" s="282"/>
      <c r="F486" s="125"/>
      <c r="G486" s="113"/>
      <c r="H486" s="75"/>
      <c r="I486" s="282"/>
      <c r="J486" s="125"/>
      <c r="K486" s="113"/>
      <c r="L486" s="75"/>
      <c r="M486" s="282"/>
      <c r="N486" s="125"/>
      <c r="O486" s="113"/>
      <c r="P486" s="75"/>
      <c r="Q486" s="282"/>
      <c r="R486" s="125"/>
      <c r="S486" s="113"/>
      <c r="T486" s="75"/>
      <c r="U486" s="282"/>
      <c r="V486" s="125"/>
      <c r="W486" s="113"/>
      <c r="X486" s="75"/>
      <c r="Y486" s="282"/>
      <c r="Z486" s="290"/>
      <c r="AA486" s="291"/>
      <c r="AB486" s="73"/>
      <c r="AC486" s="282"/>
      <c r="AD486" s="125"/>
      <c r="AE486" s="241"/>
      <c r="AF486" s="284"/>
      <c r="AG486" s="282"/>
      <c r="AH486" s="292"/>
      <c r="AI486" s="292"/>
      <c r="AJ486" s="292"/>
      <c r="AK486" s="282"/>
      <c r="AL486" s="75"/>
      <c r="AM486" s="75"/>
      <c r="AN486" s="75"/>
      <c r="AO486" s="282"/>
      <c r="AP486" s="75"/>
      <c r="AQ486" s="75"/>
      <c r="AR486" s="75"/>
      <c r="AS486" s="75"/>
      <c r="AT486" s="75"/>
    </row>
    <row r="487">
      <c r="A487" s="282"/>
      <c r="B487" s="125"/>
      <c r="C487" s="113"/>
      <c r="D487" s="75"/>
      <c r="E487" s="282"/>
      <c r="F487" s="125"/>
      <c r="G487" s="113"/>
      <c r="H487" s="75"/>
      <c r="I487" s="282"/>
      <c r="J487" s="125"/>
      <c r="K487" s="113"/>
      <c r="L487" s="75"/>
      <c r="M487" s="282"/>
      <c r="N487" s="125"/>
      <c r="O487" s="113"/>
      <c r="P487" s="75"/>
      <c r="Q487" s="282"/>
      <c r="R487" s="125"/>
      <c r="S487" s="113"/>
      <c r="T487" s="75"/>
      <c r="U487" s="282"/>
      <c r="V487" s="125"/>
      <c r="W487" s="113"/>
      <c r="X487" s="75"/>
      <c r="Y487" s="282"/>
      <c r="Z487" s="290"/>
      <c r="AA487" s="291"/>
      <c r="AB487" s="73"/>
      <c r="AC487" s="282"/>
      <c r="AD487" s="125"/>
      <c r="AE487" s="241"/>
      <c r="AF487" s="284"/>
      <c r="AG487" s="282"/>
      <c r="AH487" s="292"/>
      <c r="AI487" s="292"/>
      <c r="AJ487" s="292"/>
      <c r="AK487" s="282"/>
      <c r="AL487" s="75"/>
      <c r="AM487" s="75"/>
      <c r="AN487" s="75"/>
      <c r="AO487" s="282"/>
      <c r="AP487" s="75"/>
      <c r="AQ487" s="75"/>
      <c r="AR487" s="75"/>
      <c r="AS487" s="75"/>
      <c r="AT487" s="75"/>
    </row>
    <row r="488">
      <c r="A488" s="282"/>
      <c r="B488" s="125"/>
      <c r="C488" s="113"/>
      <c r="D488" s="75"/>
      <c r="E488" s="282"/>
      <c r="F488" s="125"/>
      <c r="G488" s="113"/>
      <c r="H488" s="75"/>
      <c r="I488" s="282"/>
      <c r="J488" s="125"/>
      <c r="K488" s="113"/>
      <c r="L488" s="75"/>
      <c r="M488" s="282"/>
      <c r="N488" s="125"/>
      <c r="O488" s="113"/>
      <c r="P488" s="75"/>
      <c r="Q488" s="282"/>
      <c r="R488" s="125"/>
      <c r="S488" s="113"/>
      <c r="T488" s="75"/>
      <c r="U488" s="282"/>
      <c r="V488" s="125"/>
      <c r="W488" s="113"/>
      <c r="X488" s="75"/>
      <c r="Y488" s="282"/>
      <c r="Z488" s="290"/>
      <c r="AA488" s="291"/>
      <c r="AB488" s="73"/>
      <c r="AC488" s="282"/>
      <c r="AD488" s="125"/>
      <c r="AE488" s="241"/>
      <c r="AF488" s="284"/>
      <c r="AG488" s="282"/>
      <c r="AH488" s="292"/>
      <c r="AI488" s="292"/>
      <c r="AJ488" s="292"/>
      <c r="AK488" s="282"/>
      <c r="AL488" s="75"/>
      <c r="AM488" s="75"/>
      <c r="AN488" s="75"/>
      <c r="AO488" s="282"/>
      <c r="AP488" s="75"/>
      <c r="AQ488" s="75"/>
      <c r="AR488" s="75"/>
      <c r="AS488" s="75"/>
      <c r="AT488" s="75"/>
    </row>
    <row r="489">
      <c r="A489" s="282"/>
      <c r="B489" s="125"/>
      <c r="C489" s="113"/>
      <c r="D489" s="75"/>
      <c r="E489" s="282"/>
      <c r="F489" s="125"/>
      <c r="G489" s="113"/>
      <c r="H489" s="75"/>
      <c r="I489" s="282"/>
      <c r="J489" s="125"/>
      <c r="K489" s="113"/>
      <c r="L489" s="75"/>
      <c r="M489" s="282"/>
      <c r="N489" s="125"/>
      <c r="O489" s="113"/>
      <c r="P489" s="75"/>
      <c r="Q489" s="282"/>
      <c r="R489" s="125"/>
      <c r="S489" s="113"/>
      <c r="T489" s="75"/>
      <c r="U489" s="282"/>
      <c r="V489" s="125"/>
      <c r="W489" s="113"/>
      <c r="X489" s="75"/>
      <c r="Y489" s="282"/>
      <c r="Z489" s="290"/>
      <c r="AA489" s="291"/>
      <c r="AB489" s="73"/>
      <c r="AC489" s="282"/>
      <c r="AD489" s="125"/>
      <c r="AE489" s="241"/>
      <c r="AF489" s="284"/>
      <c r="AG489" s="282"/>
      <c r="AH489" s="292"/>
      <c r="AI489" s="292"/>
      <c r="AJ489" s="292"/>
      <c r="AK489" s="282"/>
      <c r="AL489" s="75"/>
      <c r="AM489" s="75"/>
      <c r="AN489" s="75"/>
      <c r="AO489" s="282"/>
      <c r="AP489" s="75"/>
      <c r="AQ489" s="75"/>
      <c r="AR489" s="75"/>
      <c r="AS489" s="75"/>
      <c r="AT489" s="75"/>
    </row>
    <row r="490">
      <c r="A490" s="282"/>
      <c r="B490" s="125"/>
      <c r="C490" s="113"/>
      <c r="D490" s="75"/>
      <c r="E490" s="282"/>
      <c r="F490" s="125"/>
      <c r="G490" s="113"/>
      <c r="H490" s="75"/>
      <c r="I490" s="282"/>
      <c r="J490" s="125"/>
      <c r="K490" s="113"/>
      <c r="L490" s="75"/>
      <c r="M490" s="282"/>
      <c r="N490" s="125"/>
      <c r="O490" s="113"/>
      <c r="P490" s="75"/>
      <c r="Q490" s="282"/>
      <c r="R490" s="125"/>
      <c r="S490" s="113"/>
      <c r="T490" s="75"/>
      <c r="U490" s="282"/>
      <c r="V490" s="125"/>
      <c r="W490" s="113"/>
      <c r="X490" s="75"/>
      <c r="Y490" s="282"/>
      <c r="Z490" s="290"/>
      <c r="AA490" s="291"/>
      <c r="AB490" s="73"/>
      <c r="AC490" s="282"/>
      <c r="AD490" s="125"/>
      <c r="AE490" s="241"/>
      <c r="AF490" s="284"/>
      <c r="AG490" s="282"/>
      <c r="AH490" s="292"/>
      <c r="AI490" s="292"/>
      <c r="AJ490" s="292"/>
      <c r="AK490" s="282"/>
      <c r="AL490" s="75"/>
      <c r="AM490" s="75"/>
      <c r="AN490" s="75"/>
      <c r="AO490" s="282"/>
      <c r="AP490" s="75"/>
      <c r="AQ490" s="75"/>
      <c r="AR490" s="75"/>
      <c r="AS490" s="75"/>
      <c r="AT490" s="75"/>
    </row>
    <row r="491">
      <c r="A491" s="282"/>
      <c r="B491" s="125"/>
      <c r="C491" s="113"/>
      <c r="D491" s="75"/>
      <c r="E491" s="282"/>
      <c r="F491" s="125"/>
      <c r="G491" s="113"/>
      <c r="H491" s="75"/>
      <c r="I491" s="282"/>
      <c r="J491" s="125"/>
      <c r="K491" s="113"/>
      <c r="L491" s="75"/>
      <c r="M491" s="282"/>
      <c r="N491" s="125"/>
      <c r="O491" s="113"/>
      <c r="P491" s="75"/>
      <c r="Q491" s="282"/>
      <c r="R491" s="125"/>
      <c r="S491" s="113"/>
      <c r="T491" s="75"/>
      <c r="U491" s="282"/>
      <c r="V491" s="125"/>
      <c r="W491" s="113"/>
      <c r="X491" s="75"/>
      <c r="Y491" s="282"/>
      <c r="Z491" s="290"/>
      <c r="AA491" s="291"/>
      <c r="AB491" s="73"/>
      <c r="AC491" s="282"/>
      <c r="AD491" s="125"/>
      <c r="AE491" s="241"/>
      <c r="AF491" s="284"/>
      <c r="AG491" s="282"/>
      <c r="AH491" s="292"/>
      <c r="AI491" s="292"/>
      <c r="AJ491" s="292"/>
      <c r="AK491" s="282"/>
      <c r="AL491" s="75"/>
      <c r="AM491" s="75"/>
      <c r="AN491" s="75"/>
      <c r="AO491" s="282"/>
      <c r="AP491" s="75"/>
      <c r="AQ491" s="75"/>
      <c r="AR491" s="75"/>
      <c r="AS491" s="75"/>
      <c r="AT491" s="75"/>
    </row>
    <row r="492">
      <c r="A492" s="282"/>
      <c r="B492" s="125"/>
      <c r="C492" s="113"/>
      <c r="D492" s="75"/>
      <c r="E492" s="282"/>
      <c r="F492" s="125"/>
      <c r="G492" s="113"/>
      <c r="H492" s="75"/>
      <c r="I492" s="282"/>
      <c r="J492" s="125"/>
      <c r="K492" s="113"/>
      <c r="L492" s="75"/>
      <c r="M492" s="282"/>
      <c r="N492" s="125"/>
      <c r="O492" s="113"/>
      <c r="P492" s="75"/>
      <c r="Q492" s="282"/>
      <c r="R492" s="125"/>
      <c r="S492" s="113"/>
      <c r="T492" s="75"/>
      <c r="U492" s="282"/>
      <c r="V492" s="125"/>
      <c r="W492" s="113"/>
      <c r="X492" s="75"/>
      <c r="Y492" s="282"/>
      <c r="Z492" s="290"/>
      <c r="AA492" s="291"/>
      <c r="AB492" s="73"/>
      <c r="AC492" s="282"/>
      <c r="AD492" s="125"/>
      <c r="AE492" s="241"/>
      <c r="AF492" s="284"/>
      <c r="AG492" s="282"/>
      <c r="AH492" s="292"/>
      <c r="AI492" s="292"/>
      <c r="AJ492" s="292"/>
      <c r="AK492" s="282"/>
      <c r="AL492" s="75"/>
      <c r="AM492" s="75"/>
      <c r="AN492" s="75"/>
      <c r="AO492" s="282"/>
      <c r="AP492" s="75"/>
      <c r="AQ492" s="75"/>
      <c r="AR492" s="75"/>
      <c r="AS492" s="75"/>
      <c r="AT492" s="75"/>
    </row>
    <row r="493">
      <c r="A493" s="282"/>
      <c r="B493" s="125"/>
      <c r="C493" s="113"/>
      <c r="D493" s="75"/>
      <c r="E493" s="282"/>
      <c r="F493" s="125"/>
      <c r="G493" s="113"/>
      <c r="H493" s="75"/>
      <c r="I493" s="282"/>
      <c r="J493" s="125"/>
      <c r="K493" s="113"/>
      <c r="L493" s="75"/>
      <c r="M493" s="282"/>
      <c r="N493" s="125"/>
      <c r="O493" s="113"/>
      <c r="P493" s="75"/>
      <c r="Q493" s="282"/>
      <c r="R493" s="125"/>
      <c r="S493" s="113"/>
      <c r="T493" s="75"/>
      <c r="U493" s="282"/>
      <c r="V493" s="125"/>
      <c r="W493" s="113"/>
      <c r="X493" s="75"/>
      <c r="Y493" s="282"/>
      <c r="Z493" s="290"/>
      <c r="AA493" s="291"/>
      <c r="AB493" s="73"/>
      <c r="AC493" s="282"/>
      <c r="AD493" s="125"/>
      <c r="AE493" s="241"/>
      <c r="AF493" s="284"/>
      <c r="AG493" s="282"/>
      <c r="AH493" s="292"/>
      <c r="AI493" s="292"/>
      <c r="AJ493" s="292"/>
      <c r="AK493" s="282"/>
      <c r="AL493" s="75"/>
      <c r="AM493" s="75"/>
      <c r="AN493" s="75"/>
      <c r="AO493" s="282"/>
      <c r="AP493" s="75"/>
      <c r="AQ493" s="75"/>
      <c r="AR493" s="75"/>
      <c r="AS493" s="75"/>
      <c r="AT493" s="75"/>
    </row>
    <row r="494">
      <c r="A494" s="282"/>
      <c r="B494" s="125"/>
      <c r="C494" s="113"/>
      <c r="D494" s="75"/>
      <c r="E494" s="282"/>
      <c r="F494" s="125"/>
      <c r="G494" s="113"/>
      <c r="H494" s="75"/>
      <c r="I494" s="282"/>
      <c r="J494" s="125"/>
      <c r="K494" s="113"/>
      <c r="L494" s="75"/>
      <c r="M494" s="282"/>
      <c r="N494" s="125"/>
      <c r="O494" s="113"/>
      <c r="P494" s="75"/>
      <c r="Q494" s="282"/>
      <c r="R494" s="125"/>
      <c r="S494" s="113"/>
      <c r="T494" s="75"/>
      <c r="U494" s="282"/>
      <c r="V494" s="125"/>
      <c r="W494" s="113"/>
      <c r="X494" s="75"/>
      <c r="Y494" s="282"/>
      <c r="Z494" s="290"/>
      <c r="AA494" s="291"/>
      <c r="AB494" s="73"/>
      <c r="AC494" s="282"/>
      <c r="AD494" s="125"/>
      <c r="AE494" s="241"/>
      <c r="AF494" s="284"/>
      <c r="AG494" s="282"/>
      <c r="AH494" s="292"/>
      <c r="AI494" s="292"/>
      <c r="AJ494" s="292"/>
      <c r="AK494" s="282"/>
      <c r="AL494" s="75"/>
      <c r="AM494" s="75"/>
      <c r="AN494" s="75"/>
      <c r="AO494" s="282"/>
      <c r="AP494" s="75"/>
      <c r="AQ494" s="75"/>
      <c r="AR494" s="75"/>
      <c r="AS494" s="75"/>
      <c r="AT494" s="75"/>
    </row>
    <row r="495">
      <c r="A495" s="282"/>
      <c r="B495" s="125"/>
      <c r="C495" s="113"/>
      <c r="D495" s="75"/>
      <c r="E495" s="282"/>
      <c r="F495" s="125"/>
      <c r="G495" s="113"/>
      <c r="H495" s="75"/>
      <c r="I495" s="282"/>
      <c r="J495" s="125"/>
      <c r="K495" s="113"/>
      <c r="L495" s="75"/>
      <c r="M495" s="282"/>
      <c r="N495" s="125"/>
      <c r="O495" s="113"/>
      <c r="P495" s="75"/>
      <c r="Q495" s="282"/>
      <c r="R495" s="125"/>
      <c r="S495" s="113"/>
      <c r="T495" s="75"/>
      <c r="U495" s="282"/>
      <c r="V495" s="125"/>
      <c r="W495" s="113"/>
      <c r="X495" s="75"/>
      <c r="Y495" s="282"/>
      <c r="Z495" s="290"/>
      <c r="AA495" s="291"/>
      <c r="AB495" s="73"/>
      <c r="AC495" s="282"/>
      <c r="AD495" s="125"/>
      <c r="AE495" s="241"/>
      <c r="AF495" s="284"/>
      <c r="AG495" s="282"/>
      <c r="AH495" s="292"/>
      <c r="AI495" s="292"/>
      <c r="AJ495" s="292"/>
      <c r="AK495" s="282"/>
      <c r="AL495" s="75"/>
      <c r="AM495" s="75"/>
      <c r="AN495" s="75"/>
      <c r="AO495" s="282"/>
      <c r="AP495" s="75"/>
      <c r="AQ495" s="75"/>
      <c r="AR495" s="75"/>
      <c r="AS495" s="75"/>
      <c r="AT495" s="75"/>
    </row>
    <row r="496">
      <c r="A496" s="282"/>
      <c r="B496" s="125"/>
      <c r="C496" s="113"/>
      <c r="D496" s="75"/>
      <c r="E496" s="282"/>
      <c r="F496" s="125"/>
      <c r="G496" s="113"/>
      <c r="H496" s="75"/>
      <c r="I496" s="282"/>
      <c r="J496" s="125"/>
      <c r="K496" s="113"/>
      <c r="L496" s="75"/>
      <c r="M496" s="282"/>
      <c r="N496" s="125"/>
      <c r="O496" s="113"/>
      <c r="P496" s="75"/>
      <c r="Q496" s="282"/>
      <c r="R496" s="125"/>
      <c r="S496" s="113"/>
      <c r="T496" s="75"/>
      <c r="U496" s="282"/>
      <c r="V496" s="125"/>
      <c r="W496" s="113"/>
      <c r="X496" s="75"/>
      <c r="Y496" s="282"/>
      <c r="Z496" s="290"/>
      <c r="AA496" s="291"/>
      <c r="AB496" s="73"/>
      <c r="AC496" s="282"/>
      <c r="AD496" s="125"/>
      <c r="AE496" s="241"/>
      <c r="AF496" s="284"/>
      <c r="AG496" s="282"/>
      <c r="AH496" s="292"/>
      <c r="AI496" s="292"/>
      <c r="AJ496" s="292"/>
      <c r="AK496" s="282"/>
      <c r="AL496" s="75"/>
      <c r="AM496" s="75"/>
      <c r="AN496" s="75"/>
      <c r="AO496" s="282"/>
      <c r="AP496" s="75"/>
      <c r="AQ496" s="75"/>
      <c r="AR496" s="75"/>
      <c r="AS496" s="75"/>
      <c r="AT496" s="75"/>
    </row>
    <row r="497">
      <c r="A497" s="282"/>
      <c r="B497" s="125"/>
      <c r="C497" s="113"/>
      <c r="D497" s="75"/>
      <c r="E497" s="282"/>
      <c r="F497" s="125"/>
      <c r="G497" s="113"/>
      <c r="H497" s="75"/>
      <c r="I497" s="282"/>
      <c r="J497" s="125"/>
      <c r="K497" s="113"/>
      <c r="L497" s="75"/>
      <c r="M497" s="282"/>
      <c r="N497" s="125"/>
      <c r="O497" s="113"/>
      <c r="P497" s="75"/>
      <c r="Q497" s="282"/>
      <c r="R497" s="125"/>
      <c r="S497" s="113"/>
      <c r="T497" s="75"/>
      <c r="U497" s="282"/>
      <c r="V497" s="125"/>
      <c r="W497" s="113"/>
      <c r="X497" s="75"/>
      <c r="Y497" s="282"/>
      <c r="Z497" s="290"/>
      <c r="AA497" s="291"/>
      <c r="AB497" s="73"/>
      <c r="AC497" s="282"/>
      <c r="AD497" s="125"/>
      <c r="AE497" s="241"/>
      <c r="AF497" s="284"/>
      <c r="AG497" s="282"/>
      <c r="AH497" s="292"/>
      <c r="AI497" s="292"/>
      <c r="AJ497" s="292"/>
      <c r="AK497" s="282"/>
      <c r="AL497" s="75"/>
      <c r="AM497" s="75"/>
      <c r="AN497" s="75"/>
      <c r="AO497" s="282"/>
      <c r="AP497" s="75"/>
      <c r="AQ497" s="75"/>
      <c r="AR497" s="75"/>
      <c r="AS497" s="75"/>
      <c r="AT497" s="75"/>
    </row>
    <row r="498">
      <c r="A498" s="282"/>
      <c r="B498" s="125"/>
      <c r="C498" s="113"/>
      <c r="D498" s="75"/>
      <c r="E498" s="282"/>
      <c r="F498" s="125"/>
      <c r="G498" s="113"/>
      <c r="H498" s="75"/>
      <c r="I498" s="282"/>
      <c r="J498" s="125"/>
      <c r="K498" s="113"/>
      <c r="L498" s="75"/>
      <c r="M498" s="282"/>
      <c r="N498" s="125"/>
      <c r="O498" s="113"/>
      <c r="P498" s="75"/>
      <c r="Q498" s="282"/>
      <c r="R498" s="125"/>
      <c r="S498" s="113"/>
      <c r="T498" s="75"/>
      <c r="U498" s="282"/>
      <c r="V498" s="125"/>
      <c r="W498" s="113"/>
      <c r="X498" s="75"/>
      <c r="Y498" s="282"/>
      <c r="Z498" s="290"/>
      <c r="AA498" s="291"/>
      <c r="AB498" s="73"/>
      <c r="AC498" s="282"/>
      <c r="AD498" s="125"/>
      <c r="AE498" s="241"/>
      <c r="AF498" s="284"/>
      <c r="AG498" s="282"/>
      <c r="AH498" s="292"/>
      <c r="AI498" s="292"/>
      <c r="AJ498" s="292"/>
      <c r="AK498" s="282"/>
      <c r="AL498" s="75"/>
      <c r="AM498" s="75"/>
      <c r="AN498" s="75"/>
      <c r="AO498" s="282"/>
      <c r="AP498" s="75"/>
      <c r="AQ498" s="75"/>
      <c r="AR498" s="75"/>
      <c r="AS498" s="75"/>
      <c r="AT498" s="75"/>
    </row>
    <row r="499">
      <c r="A499" s="282"/>
      <c r="B499" s="125"/>
      <c r="C499" s="113"/>
      <c r="D499" s="75"/>
      <c r="E499" s="282"/>
      <c r="F499" s="125"/>
      <c r="G499" s="113"/>
      <c r="H499" s="75"/>
      <c r="I499" s="282"/>
      <c r="J499" s="125"/>
      <c r="K499" s="113"/>
      <c r="L499" s="75"/>
      <c r="M499" s="282"/>
      <c r="N499" s="125"/>
      <c r="O499" s="113"/>
      <c r="P499" s="75"/>
      <c r="Q499" s="282"/>
      <c r="R499" s="125"/>
      <c r="S499" s="113"/>
      <c r="T499" s="75"/>
      <c r="U499" s="282"/>
      <c r="V499" s="125"/>
      <c r="W499" s="113"/>
      <c r="X499" s="75"/>
      <c r="Y499" s="282"/>
      <c r="Z499" s="290"/>
      <c r="AA499" s="291"/>
      <c r="AB499" s="73"/>
      <c r="AC499" s="282"/>
      <c r="AD499" s="125"/>
      <c r="AE499" s="241"/>
      <c r="AF499" s="284"/>
      <c r="AG499" s="282"/>
      <c r="AH499" s="292"/>
      <c r="AI499" s="292"/>
      <c r="AJ499" s="292"/>
      <c r="AK499" s="282"/>
      <c r="AL499" s="75"/>
      <c r="AM499" s="75"/>
      <c r="AN499" s="75"/>
      <c r="AO499" s="282"/>
      <c r="AP499" s="75"/>
      <c r="AQ499" s="75"/>
      <c r="AR499" s="75"/>
      <c r="AS499" s="75"/>
      <c r="AT499" s="75"/>
    </row>
    <row r="500">
      <c r="A500" s="282"/>
      <c r="B500" s="125"/>
      <c r="C500" s="113"/>
      <c r="D500" s="75"/>
      <c r="E500" s="282"/>
      <c r="F500" s="125"/>
      <c r="G500" s="113"/>
      <c r="H500" s="75"/>
      <c r="I500" s="282"/>
      <c r="J500" s="125"/>
      <c r="K500" s="113"/>
      <c r="L500" s="75"/>
      <c r="M500" s="282"/>
      <c r="N500" s="125"/>
      <c r="O500" s="113"/>
      <c r="P500" s="75"/>
      <c r="Q500" s="282"/>
      <c r="R500" s="125"/>
      <c r="S500" s="113"/>
      <c r="T500" s="75"/>
      <c r="U500" s="282"/>
      <c r="V500" s="125"/>
      <c r="W500" s="113"/>
      <c r="X500" s="75"/>
      <c r="Y500" s="282"/>
      <c r="Z500" s="290"/>
      <c r="AA500" s="291"/>
      <c r="AB500" s="73"/>
      <c r="AC500" s="282"/>
      <c r="AD500" s="125"/>
      <c r="AE500" s="241"/>
      <c r="AF500" s="284"/>
      <c r="AG500" s="282"/>
      <c r="AH500" s="292"/>
      <c r="AI500" s="292"/>
      <c r="AJ500" s="292"/>
      <c r="AK500" s="282"/>
      <c r="AL500" s="75"/>
      <c r="AM500" s="75"/>
      <c r="AN500" s="75"/>
      <c r="AO500" s="282"/>
      <c r="AP500" s="75"/>
      <c r="AQ500" s="75"/>
      <c r="AR500" s="75"/>
      <c r="AS500" s="75"/>
      <c r="AT500" s="75"/>
    </row>
    <row r="501">
      <c r="A501" s="282"/>
      <c r="B501" s="125"/>
      <c r="C501" s="113"/>
      <c r="D501" s="75"/>
      <c r="E501" s="282"/>
      <c r="F501" s="125"/>
      <c r="G501" s="113"/>
      <c r="H501" s="75"/>
      <c r="I501" s="282"/>
      <c r="J501" s="125"/>
      <c r="K501" s="113"/>
      <c r="L501" s="75"/>
      <c r="M501" s="282"/>
      <c r="N501" s="125"/>
      <c r="O501" s="113"/>
      <c r="P501" s="75"/>
      <c r="Q501" s="282"/>
      <c r="R501" s="125"/>
      <c r="S501" s="113"/>
      <c r="T501" s="75"/>
      <c r="U501" s="282"/>
      <c r="V501" s="125"/>
      <c r="W501" s="113"/>
      <c r="X501" s="75"/>
      <c r="Y501" s="282"/>
      <c r="Z501" s="290"/>
      <c r="AA501" s="291"/>
      <c r="AB501" s="73"/>
      <c r="AC501" s="282"/>
      <c r="AD501" s="125"/>
      <c r="AE501" s="241"/>
      <c r="AF501" s="284"/>
      <c r="AG501" s="282"/>
      <c r="AH501" s="292"/>
      <c r="AI501" s="292"/>
      <c r="AJ501" s="292"/>
      <c r="AK501" s="282"/>
      <c r="AL501" s="75"/>
      <c r="AM501" s="75"/>
      <c r="AN501" s="75"/>
      <c r="AO501" s="282"/>
      <c r="AP501" s="75"/>
      <c r="AQ501" s="75"/>
      <c r="AR501" s="75"/>
      <c r="AS501" s="75"/>
      <c r="AT501" s="75"/>
    </row>
    <row r="502">
      <c r="A502" s="282"/>
      <c r="B502" s="125"/>
      <c r="C502" s="113"/>
      <c r="D502" s="75"/>
      <c r="E502" s="282"/>
      <c r="F502" s="125"/>
      <c r="G502" s="113"/>
      <c r="H502" s="75"/>
      <c r="I502" s="282"/>
      <c r="J502" s="125"/>
      <c r="K502" s="113"/>
      <c r="L502" s="75"/>
      <c r="M502" s="282"/>
      <c r="N502" s="125"/>
      <c r="O502" s="113"/>
      <c r="P502" s="75"/>
      <c r="Q502" s="282"/>
      <c r="R502" s="125"/>
      <c r="S502" s="113"/>
      <c r="T502" s="75"/>
      <c r="U502" s="282"/>
      <c r="V502" s="125"/>
      <c r="W502" s="113"/>
      <c r="X502" s="75"/>
      <c r="Y502" s="282"/>
      <c r="Z502" s="290"/>
      <c r="AA502" s="291"/>
      <c r="AB502" s="73"/>
      <c r="AC502" s="282"/>
      <c r="AD502" s="125"/>
      <c r="AE502" s="241"/>
      <c r="AF502" s="284"/>
      <c r="AG502" s="282"/>
      <c r="AH502" s="292"/>
      <c r="AI502" s="292"/>
      <c r="AJ502" s="292"/>
      <c r="AK502" s="282"/>
      <c r="AL502" s="75"/>
      <c r="AM502" s="75"/>
      <c r="AN502" s="75"/>
      <c r="AO502" s="282"/>
      <c r="AP502" s="75"/>
      <c r="AQ502" s="75"/>
      <c r="AR502" s="75"/>
      <c r="AS502" s="75"/>
      <c r="AT502" s="75"/>
    </row>
    <row r="503">
      <c r="A503" s="282"/>
      <c r="B503" s="125"/>
      <c r="C503" s="113"/>
      <c r="D503" s="75"/>
      <c r="E503" s="282"/>
      <c r="F503" s="125"/>
      <c r="G503" s="113"/>
      <c r="H503" s="75"/>
      <c r="I503" s="282"/>
      <c r="J503" s="125"/>
      <c r="K503" s="113"/>
      <c r="L503" s="75"/>
      <c r="M503" s="282"/>
      <c r="N503" s="125"/>
      <c r="O503" s="113"/>
      <c r="P503" s="75"/>
      <c r="Q503" s="282"/>
      <c r="R503" s="125"/>
      <c r="S503" s="113"/>
      <c r="T503" s="75"/>
      <c r="U503" s="282"/>
      <c r="V503" s="125"/>
      <c r="W503" s="113"/>
      <c r="X503" s="75"/>
      <c r="Y503" s="282"/>
      <c r="Z503" s="290"/>
      <c r="AA503" s="291"/>
      <c r="AB503" s="73"/>
      <c r="AC503" s="282"/>
      <c r="AD503" s="125"/>
      <c r="AE503" s="241"/>
      <c r="AF503" s="284"/>
      <c r="AG503" s="282"/>
      <c r="AH503" s="292"/>
      <c r="AI503" s="292"/>
      <c r="AJ503" s="292"/>
      <c r="AK503" s="282"/>
      <c r="AL503" s="75"/>
      <c r="AM503" s="75"/>
      <c r="AN503" s="75"/>
      <c r="AO503" s="282"/>
      <c r="AP503" s="75"/>
      <c r="AQ503" s="75"/>
      <c r="AR503" s="75"/>
      <c r="AS503" s="75"/>
      <c r="AT503" s="75"/>
    </row>
    <row r="504">
      <c r="A504" s="282"/>
      <c r="B504" s="125"/>
      <c r="C504" s="113"/>
      <c r="D504" s="75"/>
      <c r="E504" s="282"/>
      <c r="F504" s="125"/>
      <c r="G504" s="113"/>
      <c r="H504" s="75"/>
      <c r="I504" s="282"/>
      <c r="J504" s="125"/>
      <c r="K504" s="113"/>
      <c r="L504" s="75"/>
      <c r="M504" s="282"/>
      <c r="N504" s="125"/>
      <c r="O504" s="113"/>
      <c r="P504" s="75"/>
      <c r="Q504" s="282"/>
      <c r="R504" s="125"/>
      <c r="S504" s="113"/>
      <c r="T504" s="75"/>
      <c r="U504" s="282"/>
      <c r="V504" s="125"/>
      <c r="W504" s="113"/>
      <c r="X504" s="75"/>
      <c r="Y504" s="282"/>
      <c r="Z504" s="290"/>
      <c r="AA504" s="291"/>
      <c r="AB504" s="73"/>
      <c r="AC504" s="282"/>
      <c r="AD504" s="125"/>
      <c r="AE504" s="241"/>
      <c r="AF504" s="284"/>
      <c r="AG504" s="282"/>
      <c r="AH504" s="292"/>
      <c r="AI504" s="292"/>
      <c r="AJ504" s="292"/>
      <c r="AK504" s="282"/>
      <c r="AL504" s="75"/>
      <c r="AM504" s="75"/>
      <c r="AN504" s="75"/>
      <c r="AO504" s="282"/>
      <c r="AP504" s="75"/>
      <c r="AQ504" s="75"/>
      <c r="AR504" s="75"/>
      <c r="AS504" s="75"/>
      <c r="AT504" s="75"/>
    </row>
    <row r="505">
      <c r="A505" s="282"/>
      <c r="B505" s="125"/>
      <c r="C505" s="113"/>
      <c r="D505" s="75"/>
      <c r="E505" s="282"/>
      <c r="F505" s="125"/>
      <c r="G505" s="113"/>
      <c r="H505" s="75"/>
      <c r="I505" s="282"/>
      <c r="J505" s="125"/>
      <c r="K505" s="113"/>
      <c r="L505" s="75"/>
      <c r="M505" s="282"/>
      <c r="N505" s="125"/>
      <c r="O505" s="113"/>
      <c r="P505" s="75"/>
      <c r="Q505" s="282"/>
      <c r="R505" s="125"/>
      <c r="S505" s="113"/>
      <c r="T505" s="75"/>
      <c r="U505" s="282"/>
      <c r="V505" s="125"/>
      <c r="W505" s="113"/>
      <c r="X505" s="75"/>
      <c r="Y505" s="282"/>
      <c r="Z505" s="290"/>
      <c r="AA505" s="291"/>
      <c r="AB505" s="73"/>
      <c r="AC505" s="282"/>
      <c r="AD505" s="125"/>
      <c r="AE505" s="241"/>
      <c r="AF505" s="284"/>
      <c r="AG505" s="282"/>
      <c r="AH505" s="292"/>
      <c r="AI505" s="292"/>
      <c r="AJ505" s="292"/>
      <c r="AK505" s="282"/>
      <c r="AL505" s="75"/>
      <c r="AM505" s="75"/>
      <c r="AN505" s="75"/>
      <c r="AO505" s="282"/>
      <c r="AP505" s="75"/>
      <c r="AQ505" s="75"/>
      <c r="AR505" s="75"/>
      <c r="AS505" s="75"/>
      <c r="AT505" s="75"/>
    </row>
    <row r="506">
      <c r="A506" s="282"/>
      <c r="B506" s="125"/>
      <c r="C506" s="113"/>
      <c r="D506" s="75"/>
      <c r="E506" s="282"/>
      <c r="F506" s="125"/>
      <c r="G506" s="113"/>
      <c r="H506" s="75"/>
      <c r="I506" s="282"/>
      <c r="J506" s="125"/>
      <c r="K506" s="113"/>
      <c r="L506" s="75"/>
      <c r="M506" s="282"/>
      <c r="N506" s="125"/>
      <c r="O506" s="113"/>
      <c r="P506" s="75"/>
      <c r="Q506" s="282"/>
      <c r="R506" s="125"/>
      <c r="S506" s="113"/>
      <c r="T506" s="75"/>
      <c r="U506" s="282"/>
      <c r="V506" s="125"/>
      <c r="W506" s="113"/>
      <c r="X506" s="75"/>
      <c r="Y506" s="282"/>
      <c r="Z506" s="290"/>
      <c r="AA506" s="291"/>
      <c r="AB506" s="73"/>
      <c r="AC506" s="282"/>
      <c r="AD506" s="125"/>
      <c r="AE506" s="241"/>
      <c r="AF506" s="284"/>
      <c r="AG506" s="282"/>
      <c r="AH506" s="292"/>
      <c r="AI506" s="292"/>
      <c r="AJ506" s="292"/>
      <c r="AK506" s="282"/>
      <c r="AL506" s="75"/>
      <c r="AM506" s="75"/>
      <c r="AN506" s="75"/>
      <c r="AO506" s="282"/>
      <c r="AP506" s="75"/>
      <c r="AQ506" s="75"/>
      <c r="AR506" s="75"/>
      <c r="AS506" s="75"/>
      <c r="AT506" s="75"/>
    </row>
    <row r="507">
      <c r="A507" s="282"/>
      <c r="B507" s="125"/>
      <c r="C507" s="113"/>
      <c r="D507" s="75"/>
      <c r="E507" s="282"/>
      <c r="F507" s="125"/>
      <c r="G507" s="113"/>
      <c r="H507" s="75"/>
      <c r="I507" s="282"/>
      <c r="J507" s="125"/>
      <c r="K507" s="113"/>
      <c r="L507" s="75"/>
      <c r="M507" s="282"/>
      <c r="N507" s="125"/>
      <c r="O507" s="113"/>
      <c r="P507" s="75"/>
      <c r="Q507" s="282"/>
      <c r="R507" s="125"/>
      <c r="S507" s="113"/>
      <c r="T507" s="75"/>
      <c r="U507" s="282"/>
      <c r="V507" s="125"/>
      <c r="W507" s="113"/>
      <c r="X507" s="75"/>
      <c r="Y507" s="282"/>
      <c r="Z507" s="290"/>
      <c r="AA507" s="291"/>
      <c r="AB507" s="73"/>
      <c r="AC507" s="282"/>
      <c r="AD507" s="125"/>
      <c r="AE507" s="241"/>
      <c r="AF507" s="284"/>
      <c r="AG507" s="282"/>
      <c r="AH507" s="292"/>
      <c r="AI507" s="292"/>
      <c r="AJ507" s="292"/>
      <c r="AK507" s="282"/>
      <c r="AL507" s="75"/>
      <c r="AM507" s="75"/>
      <c r="AN507" s="75"/>
      <c r="AO507" s="282"/>
      <c r="AP507" s="75"/>
      <c r="AQ507" s="75"/>
      <c r="AR507" s="75"/>
      <c r="AS507" s="75"/>
      <c r="AT507" s="75"/>
    </row>
    <row r="508">
      <c r="A508" s="282"/>
      <c r="B508" s="125"/>
      <c r="C508" s="113"/>
      <c r="D508" s="75"/>
      <c r="E508" s="282"/>
      <c r="F508" s="125"/>
      <c r="G508" s="113"/>
      <c r="H508" s="75"/>
      <c r="I508" s="282"/>
      <c r="J508" s="125"/>
      <c r="K508" s="113"/>
      <c r="L508" s="75"/>
      <c r="M508" s="282"/>
      <c r="N508" s="125"/>
      <c r="O508" s="113"/>
      <c r="P508" s="75"/>
      <c r="Q508" s="282"/>
      <c r="R508" s="125"/>
      <c r="S508" s="113"/>
      <c r="T508" s="75"/>
      <c r="U508" s="282"/>
      <c r="V508" s="125"/>
      <c r="W508" s="113"/>
      <c r="X508" s="75"/>
      <c r="Y508" s="282"/>
      <c r="Z508" s="290"/>
      <c r="AA508" s="291"/>
      <c r="AB508" s="73"/>
      <c r="AC508" s="282"/>
      <c r="AD508" s="125"/>
      <c r="AE508" s="241"/>
      <c r="AF508" s="284"/>
      <c r="AG508" s="282"/>
      <c r="AH508" s="292"/>
      <c r="AI508" s="292"/>
      <c r="AJ508" s="292"/>
      <c r="AK508" s="282"/>
      <c r="AL508" s="75"/>
      <c r="AM508" s="75"/>
      <c r="AN508" s="75"/>
      <c r="AO508" s="282"/>
      <c r="AP508" s="75"/>
      <c r="AQ508" s="75"/>
      <c r="AR508" s="75"/>
      <c r="AS508" s="75"/>
      <c r="AT508" s="75"/>
    </row>
    <row r="509">
      <c r="A509" s="282"/>
      <c r="B509" s="125"/>
      <c r="C509" s="113"/>
      <c r="D509" s="75"/>
      <c r="E509" s="282"/>
      <c r="F509" s="125"/>
      <c r="G509" s="113"/>
      <c r="H509" s="75"/>
      <c r="I509" s="282"/>
      <c r="J509" s="125"/>
      <c r="K509" s="113"/>
      <c r="L509" s="75"/>
      <c r="M509" s="282"/>
      <c r="N509" s="125"/>
      <c r="O509" s="113"/>
      <c r="P509" s="75"/>
      <c r="Q509" s="282"/>
      <c r="R509" s="125"/>
      <c r="S509" s="113"/>
      <c r="T509" s="75"/>
      <c r="U509" s="282"/>
      <c r="V509" s="125"/>
      <c r="W509" s="113"/>
      <c r="X509" s="75"/>
      <c r="Y509" s="282"/>
      <c r="Z509" s="290"/>
      <c r="AA509" s="291"/>
      <c r="AB509" s="73"/>
      <c r="AC509" s="282"/>
      <c r="AD509" s="125"/>
      <c r="AE509" s="241"/>
      <c r="AF509" s="284"/>
      <c r="AG509" s="282"/>
      <c r="AH509" s="292"/>
      <c r="AI509" s="292"/>
      <c r="AJ509" s="292"/>
      <c r="AK509" s="282"/>
      <c r="AL509" s="75"/>
      <c r="AM509" s="75"/>
      <c r="AN509" s="75"/>
      <c r="AO509" s="282"/>
      <c r="AP509" s="75"/>
      <c r="AQ509" s="75"/>
      <c r="AR509" s="75"/>
      <c r="AS509" s="75"/>
      <c r="AT509" s="75"/>
    </row>
    <row r="510">
      <c r="A510" s="282"/>
      <c r="B510" s="125"/>
      <c r="C510" s="113"/>
      <c r="D510" s="75"/>
      <c r="E510" s="282"/>
      <c r="F510" s="125"/>
      <c r="G510" s="113"/>
      <c r="H510" s="75"/>
      <c r="I510" s="282"/>
      <c r="J510" s="125"/>
      <c r="K510" s="113"/>
      <c r="L510" s="75"/>
      <c r="M510" s="282"/>
      <c r="N510" s="125"/>
      <c r="O510" s="113"/>
      <c r="P510" s="75"/>
      <c r="Q510" s="282"/>
      <c r="R510" s="125"/>
      <c r="S510" s="113"/>
      <c r="T510" s="75"/>
      <c r="U510" s="282"/>
      <c r="V510" s="125"/>
      <c r="W510" s="113"/>
      <c r="X510" s="75"/>
      <c r="Y510" s="282"/>
      <c r="Z510" s="290"/>
      <c r="AA510" s="291"/>
      <c r="AB510" s="73"/>
      <c r="AC510" s="282"/>
      <c r="AD510" s="125"/>
      <c r="AE510" s="241"/>
      <c r="AF510" s="284"/>
      <c r="AG510" s="282"/>
      <c r="AH510" s="292"/>
      <c r="AI510" s="292"/>
      <c r="AJ510" s="292"/>
      <c r="AK510" s="282"/>
      <c r="AL510" s="75"/>
      <c r="AM510" s="75"/>
      <c r="AN510" s="75"/>
      <c r="AO510" s="282"/>
      <c r="AP510" s="75"/>
      <c r="AQ510" s="75"/>
      <c r="AR510" s="75"/>
      <c r="AS510" s="75"/>
      <c r="AT510" s="75"/>
    </row>
    <row r="511">
      <c r="A511" s="282"/>
      <c r="B511" s="125"/>
      <c r="C511" s="113"/>
      <c r="D511" s="75"/>
      <c r="E511" s="282"/>
      <c r="F511" s="125"/>
      <c r="G511" s="113"/>
      <c r="H511" s="75"/>
      <c r="I511" s="282"/>
      <c r="J511" s="125"/>
      <c r="K511" s="113"/>
      <c r="L511" s="75"/>
      <c r="M511" s="282"/>
      <c r="N511" s="125"/>
      <c r="O511" s="113"/>
      <c r="P511" s="75"/>
      <c r="Q511" s="282"/>
      <c r="R511" s="125"/>
      <c r="S511" s="113"/>
      <c r="T511" s="75"/>
      <c r="U511" s="282"/>
      <c r="V511" s="125"/>
      <c r="W511" s="113"/>
      <c r="X511" s="75"/>
      <c r="Y511" s="282"/>
      <c r="Z511" s="290"/>
      <c r="AA511" s="291"/>
      <c r="AB511" s="73"/>
      <c r="AC511" s="282"/>
      <c r="AD511" s="125"/>
      <c r="AE511" s="241"/>
      <c r="AF511" s="284"/>
      <c r="AG511" s="282"/>
      <c r="AH511" s="292"/>
      <c r="AI511" s="292"/>
      <c r="AJ511" s="292"/>
      <c r="AK511" s="282"/>
      <c r="AL511" s="75"/>
      <c r="AM511" s="75"/>
      <c r="AN511" s="75"/>
      <c r="AO511" s="282"/>
      <c r="AP511" s="75"/>
      <c r="AQ511" s="75"/>
      <c r="AR511" s="75"/>
      <c r="AS511" s="75"/>
      <c r="AT511" s="75"/>
    </row>
    <row r="512">
      <c r="A512" s="282"/>
      <c r="B512" s="125"/>
      <c r="C512" s="113"/>
      <c r="D512" s="75"/>
      <c r="E512" s="282"/>
      <c r="F512" s="125"/>
      <c r="G512" s="113"/>
      <c r="H512" s="75"/>
      <c r="I512" s="282"/>
      <c r="J512" s="125"/>
      <c r="K512" s="113"/>
      <c r="L512" s="75"/>
      <c r="M512" s="282"/>
      <c r="N512" s="125"/>
      <c r="O512" s="113"/>
      <c r="P512" s="75"/>
      <c r="Q512" s="282"/>
      <c r="R512" s="125"/>
      <c r="S512" s="113"/>
      <c r="T512" s="75"/>
      <c r="U512" s="282"/>
      <c r="V512" s="125"/>
      <c r="W512" s="113"/>
      <c r="X512" s="75"/>
      <c r="Y512" s="282"/>
      <c r="Z512" s="290"/>
      <c r="AA512" s="291"/>
      <c r="AB512" s="73"/>
      <c r="AC512" s="282"/>
      <c r="AD512" s="125"/>
      <c r="AE512" s="241"/>
      <c r="AF512" s="284"/>
      <c r="AG512" s="282"/>
      <c r="AH512" s="292"/>
      <c r="AI512" s="292"/>
      <c r="AJ512" s="292"/>
      <c r="AK512" s="282"/>
      <c r="AL512" s="75"/>
      <c r="AM512" s="75"/>
      <c r="AN512" s="75"/>
      <c r="AO512" s="282"/>
      <c r="AP512" s="75"/>
      <c r="AQ512" s="75"/>
      <c r="AR512" s="75"/>
      <c r="AS512" s="75"/>
      <c r="AT512" s="75"/>
    </row>
    <row r="513">
      <c r="A513" s="282"/>
      <c r="B513" s="125"/>
      <c r="C513" s="113"/>
      <c r="D513" s="75"/>
      <c r="E513" s="282"/>
      <c r="F513" s="125"/>
      <c r="G513" s="113"/>
      <c r="H513" s="75"/>
      <c r="I513" s="282"/>
      <c r="J513" s="125"/>
      <c r="K513" s="113"/>
      <c r="L513" s="75"/>
      <c r="M513" s="282"/>
      <c r="N513" s="125"/>
      <c r="O513" s="113"/>
      <c r="P513" s="75"/>
      <c r="Q513" s="282"/>
      <c r="R513" s="125"/>
      <c r="S513" s="113"/>
      <c r="T513" s="75"/>
      <c r="U513" s="282"/>
      <c r="V513" s="125"/>
      <c r="W513" s="113"/>
      <c r="X513" s="75"/>
      <c r="Y513" s="282"/>
      <c r="Z513" s="290"/>
      <c r="AA513" s="291"/>
      <c r="AB513" s="73"/>
      <c r="AC513" s="282"/>
      <c r="AD513" s="125"/>
      <c r="AE513" s="241"/>
      <c r="AF513" s="284"/>
      <c r="AG513" s="282"/>
      <c r="AH513" s="292"/>
      <c r="AI513" s="292"/>
      <c r="AJ513" s="292"/>
      <c r="AK513" s="282"/>
      <c r="AL513" s="75"/>
      <c r="AM513" s="75"/>
      <c r="AN513" s="75"/>
      <c r="AO513" s="282"/>
      <c r="AP513" s="75"/>
      <c r="AQ513" s="75"/>
      <c r="AR513" s="75"/>
      <c r="AS513" s="75"/>
      <c r="AT513" s="75"/>
    </row>
    <row r="514">
      <c r="A514" s="282"/>
      <c r="B514" s="125"/>
      <c r="C514" s="113"/>
      <c r="D514" s="75"/>
      <c r="E514" s="282"/>
      <c r="F514" s="125"/>
      <c r="G514" s="113"/>
      <c r="H514" s="75"/>
      <c r="I514" s="282"/>
      <c r="J514" s="125"/>
      <c r="K514" s="113"/>
      <c r="L514" s="75"/>
      <c r="M514" s="282"/>
      <c r="N514" s="125"/>
      <c r="O514" s="113"/>
      <c r="P514" s="75"/>
      <c r="Q514" s="282"/>
      <c r="R514" s="125"/>
      <c r="S514" s="113"/>
      <c r="T514" s="75"/>
      <c r="U514" s="282"/>
      <c r="V514" s="125"/>
      <c r="W514" s="113"/>
      <c r="X514" s="75"/>
      <c r="Y514" s="282"/>
      <c r="Z514" s="290"/>
      <c r="AA514" s="291"/>
      <c r="AB514" s="73"/>
      <c r="AC514" s="282"/>
      <c r="AD514" s="125"/>
      <c r="AE514" s="241"/>
      <c r="AF514" s="284"/>
      <c r="AG514" s="282"/>
      <c r="AH514" s="292"/>
      <c r="AI514" s="292"/>
      <c r="AJ514" s="292"/>
      <c r="AK514" s="282"/>
      <c r="AL514" s="75"/>
      <c r="AM514" s="75"/>
      <c r="AN514" s="75"/>
      <c r="AO514" s="282"/>
      <c r="AP514" s="75"/>
      <c r="AQ514" s="75"/>
      <c r="AR514" s="75"/>
      <c r="AS514" s="75"/>
      <c r="AT514" s="75"/>
    </row>
    <row r="515">
      <c r="A515" s="282"/>
      <c r="B515" s="125"/>
      <c r="C515" s="113"/>
      <c r="D515" s="75"/>
      <c r="E515" s="282"/>
      <c r="F515" s="125"/>
      <c r="G515" s="113"/>
      <c r="H515" s="75"/>
      <c r="I515" s="282"/>
      <c r="J515" s="125"/>
      <c r="K515" s="113"/>
      <c r="L515" s="75"/>
      <c r="M515" s="282"/>
      <c r="N515" s="125"/>
      <c r="O515" s="113"/>
      <c r="P515" s="75"/>
      <c r="Q515" s="282"/>
      <c r="R515" s="125"/>
      <c r="S515" s="113"/>
      <c r="T515" s="75"/>
      <c r="U515" s="282"/>
      <c r="V515" s="125"/>
      <c r="W515" s="113"/>
      <c r="X515" s="75"/>
      <c r="Y515" s="282"/>
      <c r="Z515" s="290"/>
      <c r="AA515" s="291"/>
      <c r="AB515" s="73"/>
      <c r="AC515" s="282"/>
      <c r="AD515" s="125"/>
      <c r="AE515" s="241"/>
      <c r="AF515" s="284"/>
      <c r="AG515" s="282"/>
      <c r="AH515" s="292"/>
      <c r="AI515" s="292"/>
      <c r="AJ515" s="292"/>
      <c r="AK515" s="282"/>
      <c r="AL515" s="75"/>
      <c r="AM515" s="75"/>
      <c r="AN515" s="75"/>
      <c r="AO515" s="282"/>
      <c r="AP515" s="75"/>
      <c r="AQ515" s="75"/>
      <c r="AR515" s="75"/>
      <c r="AS515" s="75"/>
      <c r="AT515" s="75"/>
    </row>
    <row r="516">
      <c r="A516" s="282"/>
      <c r="B516" s="125"/>
      <c r="C516" s="113"/>
      <c r="D516" s="75"/>
      <c r="E516" s="282"/>
      <c r="F516" s="125"/>
      <c r="G516" s="113"/>
      <c r="H516" s="75"/>
      <c r="I516" s="282"/>
      <c r="J516" s="125"/>
      <c r="K516" s="113"/>
      <c r="L516" s="75"/>
      <c r="M516" s="282"/>
      <c r="N516" s="125"/>
      <c r="O516" s="113"/>
      <c r="P516" s="75"/>
      <c r="Q516" s="282"/>
      <c r="R516" s="125"/>
      <c r="S516" s="113"/>
      <c r="T516" s="75"/>
      <c r="U516" s="282"/>
      <c r="V516" s="125"/>
      <c r="W516" s="113"/>
      <c r="X516" s="75"/>
      <c r="Y516" s="282"/>
      <c r="Z516" s="290"/>
      <c r="AA516" s="291"/>
      <c r="AB516" s="73"/>
      <c r="AC516" s="282"/>
      <c r="AD516" s="125"/>
      <c r="AE516" s="241"/>
      <c r="AF516" s="284"/>
      <c r="AG516" s="282"/>
      <c r="AH516" s="292"/>
      <c r="AI516" s="292"/>
      <c r="AJ516" s="292"/>
      <c r="AK516" s="282"/>
      <c r="AL516" s="75"/>
      <c r="AM516" s="75"/>
      <c r="AN516" s="75"/>
      <c r="AO516" s="282"/>
      <c r="AP516" s="75"/>
      <c r="AQ516" s="75"/>
      <c r="AR516" s="75"/>
      <c r="AS516" s="75"/>
      <c r="AT516" s="75"/>
    </row>
    <row r="517">
      <c r="A517" s="282"/>
      <c r="B517" s="125"/>
      <c r="C517" s="113"/>
      <c r="D517" s="75"/>
      <c r="E517" s="282"/>
      <c r="F517" s="125"/>
      <c r="G517" s="113"/>
      <c r="H517" s="75"/>
      <c r="I517" s="282"/>
      <c r="J517" s="125"/>
      <c r="K517" s="113"/>
      <c r="L517" s="75"/>
      <c r="M517" s="282"/>
      <c r="N517" s="125"/>
      <c r="O517" s="113"/>
      <c r="P517" s="75"/>
      <c r="Q517" s="282"/>
      <c r="R517" s="125"/>
      <c r="S517" s="113"/>
      <c r="T517" s="75"/>
      <c r="U517" s="282"/>
      <c r="V517" s="125"/>
      <c r="W517" s="113"/>
      <c r="X517" s="75"/>
      <c r="Y517" s="282"/>
      <c r="Z517" s="290"/>
      <c r="AA517" s="291"/>
      <c r="AB517" s="73"/>
      <c r="AC517" s="282"/>
      <c r="AD517" s="125"/>
      <c r="AE517" s="241"/>
      <c r="AF517" s="284"/>
      <c r="AG517" s="282"/>
      <c r="AH517" s="292"/>
      <c r="AI517" s="292"/>
      <c r="AJ517" s="292"/>
      <c r="AK517" s="282"/>
      <c r="AL517" s="75"/>
      <c r="AM517" s="75"/>
      <c r="AN517" s="75"/>
      <c r="AO517" s="282"/>
      <c r="AP517" s="75"/>
      <c r="AQ517" s="75"/>
      <c r="AR517" s="75"/>
      <c r="AS517" s="75"/>
      <c r="AT517" s="75"/>
    </row>
    <row r="518">
      <c r="A518" s="282"/>
      <c r="B518" s="125"/>
      <c r="C518" s="113"/>
      <c r="D518" s="75"/>
      <c r="E518" s="282"/>
      <c r="F518" s="125"/>
      <c r="G518" s="113"/>
      <c r="H518" s="75"/>
      <c r="I518" s="282"/>
      <c r="J518" s="125"/>
      <c r="K518" s="113"/>
      <c r="L518" s="75"/>
      <c r="M518" s="282"/>
      <c r="N518" s="125"/>
      <c r="O518" s="113"/>
      <c r="P518" s="75"/>
      <c r="Q518" s="282"/>
      <c r="R518" s="125"/>
      <c r="S518" s="113"/>
      <c r="T518" s="75"/>
      <c r="U518" s="282"/>
      <c r="V518" s="125"/>
      <c r="W518" s="113"/>
      <c r="X518" s="75"/>
      <c r="Y518" s="282"/>
      <c r="Z518" s="290"/>
      <c r="AA518" s="291"/>
      <c r="AB518" s="73"/>
      <c r="AC518" s="282"/>
      <c r="AD518" s="125"/>
      <c r="AE518" s="241"/>
      <c r="AF518" s="284"/>
      <c r="AG518" s="282"/>
      <c r="AH518" s="292"/>
      <c r="AI518" s="292"/>
      <c r="AJ518" s="292"/>
      <c r="AK518" s="282"/>
      <c r="AL518" s="75"/>
      <c r="AM518" s="75"/>
      <c r="AN518" s="75"/>
      <c r="AO518" s="282"/>
      <c r="AP518" s="75"/>
      <c r="AQ518" s="75"/>
      <c r="AR518" s="75"/>
      <c r="AS518" s="75"/>
      <c r="AT518" s="75"/>
    </row>
    <row r="519">
      <c r="A519" s="282"/>
      <c r="B519" s="125"/>
      <c r="C519" s="113"/>
      <c r="D519" s="75"/>
      <c r="E519" s="282"/>
      <c r="F519" s="125"/>
      <c r="G519" s="113"/>
      <c r="H519" s="75"/>
      <c r="I519" s="282"/>
      <c r="J519" s="125"/>
      <c r="K519" s="113"/>
      <c r="L519" s="75"/>
      <c r="M519" s="282"/>
      <c r="N519" s="125"/>
      <c r="O519" s="113"/>
      <c r="P519" s="75"/>
      <c r="Q519" s="282"/>
      <c r="R519" s="125"/>
      <c r="S519" s="113"/>
      <c r="T519" s="75"/>
      <c r="U519" s="282"/>
      <c r="V519" s="125"/>
      <c r="W519" s="113"/>
      <c r="X519" s="75"/>
      <c r="Y519" s="282"/>
      <c r="Z519" s="290"/>
      <c r="AA519" s="291"/>
      <c r="AB519" s="73"/>
      <c r="AC519" s="282"/>
      <c r="AD519" s="125"/>
      <c r="AE519" s="241"/>
      <c r="AF519" s="284"/>
      <c r="AG519" s="282"/>
      <c r="AH519" s="292"/>
      <c r="AI519" s="292"/>
      <c r="AJ519" s="292"/>
      <c r="AK519" s="282"/>
      <c r="AL519" s="75"/>
      <c r="AM519" s="75"/>
      <c r="AN519" s="75"/>
      <c r="AO519" s="282"/>
      <c r="AP519" s="75"/>
      <c r="AQ519" s="75"/>
      <c r="AR519" s="75"/>
      <c r="AS519" s="75"/>
      <c r="AT519" s="75"/>
    </row>
    <row r="520">
      <c r="A520" s="282"/>
      <c r="B520" s="125"/>
      <c r="C520" s="113"/>
      <c r="D520" s="75"/>
      <c r="E520" s="282"/>
      <c r="F520" s="125"/>
      <c r="G520" s="113"/>
      <c r="H520" s="75"/>
      <c r="I520" s="282"/>
      <c r="J520" s="125"/>
      <c r="K520" s="113"/>
      <c r="L520" s="75"/>
      <c r="M520" s="282"/>
      <c r="N520" s="125"/>
      <c r="O520" s="113"/>
      <c r="P520" s="75"/>
      <c r="Q520" s="282"/>
      <c r="R520" s="125"/>
      <c r="S520" s="113"/>
      <c r="T520" s="75"/>
      <c r="U520" s="282"/>
      <c r="V520" s="125"/>
      <c r="W520" s="113"/>
      <c r="X520" s="75"/>
      <c r="Y520" s="282"/>
      <c r="Z520" s="290"/>
      <c r="AA520" s="291"/>
      <c r="AB520" s="73"/>
      <c r="AC520" s="282"/>
      <c r="AD520" s="125"/>
      <c r="AE520" s="241"/>
      <c r="AF520" s="284"/>
      <c r="AG520" s="282"/>
      <c r="AH520" s="292"/>
      <c r="AI520" s="292"/>
      <c r="AJ520" s="292"/>
      <c r="AK520" s="282"/>
      <c r="AL520" s="75"/>
      <c r="AM520" s="75"/>
      <c r="AN520" s="75"/>
      <c r="AO520" s="282"/>
      <c r="AP520" s="75"/>
      <c r="AQ520" s="75"/>
      <c r="AR520" s="75"/>
      <c r="AS520" s="75"/>
      <c r="AT520" s="75"/>
    </row>
    <row r="521">
      <c r="A521" s="282"/>
      <c r="B521" s="125"/>
      <c r="C521" s="113"/>
      <c r="D521" s="75"/>
      <c r="E521" s="282"/>
      <c r="F521" s="125"/>
      <c r="G521" s="113"/>
      <c r="H521" s="75"/>
      <c r="I521" s="282"/>
      <c r="J521" s="125"/>
      <c r="K521" s="113"/>
      <c r="L521" s="75"/>
      <c r="M521" s="282"/>
      <c r="N521" s="125"/>
      <c r="O521" s="113"/>
      <c r="P521" s="75"/>
      <c r="Q521" s="282"/>
      <c r="R521" s="125"/>
      <c r="S521" s="113"/>
      <c r="T521" s="75"/>
      <c r="U521" s="282"/>
      <c r="V521" s="125"/>
      <c r="W521" s="113"/>
      <c r="X521" s="75"/>
      <c r="Y521" s="282"/>
      <c r="Z521" s="290"/>
      <c r="AA521" s="291"/>
      <c r="AB521" s="73"/>
      <c r="AC521" s="282"/>
      <c r="AD521" s="125"/>
      <c r="AE521" s="241"/>
      <c r="AF521" s="284"/>
      <c r="AG521" s="282"/>
      <c r="AH521" s="292"/>
      <c r="AI521" s="292"/>
      <c r="AJ521" s="292"/>
      <c r="AK521" s="282"/>
      <c r="AL521" s="75"/>
      <c r="AM521" s="75"/>
      <c r="AN521" s="75"/>
      <c r="AO521" s="282"/>
      <c r="AP521" s="75"/>
      <c r="AQ521" s="75"/>
      <c r="AR521" s="75"/>
      <c r="AS521" s="75"/>
      <c r="AT521" s="75"/>
    </row>
    <row r="522">
      <c r="A522" s="282"/>
      <c r="B522" s="125"/>
      <c r="C522" s="113"/>
      <c r="D522" s="75"/>
      <c r="E522" s="282"/>
      <c r="F522" s="125"/>
      <c r="G522" s="113"/>
      <c r="H522" s="75"/>
      <c r="I522" s="282"/>
      <c r="J522" s="125"/>
      <c r="K522" s="113"/>
      <c r="L522" s="75"/>
      <c r="M522" s="282"/>
      <c r="N522" s="125"/>
      <c r="O522" s="113"/>
      <c r="P522" s="75"/>
      <c r="Q522" s="282"/>
      <c r="R522" s="125"/>
      <c r="S522" s="113"/>
      <c r="T522" s="75"/>
      <c r="U522" s="282"/>
      <c r="V522" s="125"/>
      <c r="W522" s="113"/>
      <c r="X522" s="75"/>
      <c r="Y522" s="282"/>
      <c r="Z522" s="290"/>
      <c r="AA522" s="291"/>
      <c r="AB522" s="73"/>
      <c r="AC522" s="282"/>
      <c r="AD522" s="125"/>
      <c r="AE522" s="241"/>
      <c r="AF522" s="284"/>
      <c r="AG522" s="282"/>
      <c r="AH522" s="292"/>
      <c r="AI522" s="292"/>
      <c r="AJ522" s="292"/>
      <c r="AK522" s="282"/>
      <c r="AL522" s="75"/>
      <c r="AM522" s="75"/>
      <c r="AN522" s="75"/>
      <c r="AO522" s="282"/>
      <c r="AP522" s="75"/>
      <c r="AQ522" s="75"/>
      <c r="AR522" s="75"/>
      <c r="AS522" s="75"/>
      <c r="AT522" s="75"/>
    </row>
    <row r="523">
      <c r="A523" s="282"/>
      <c r="B523" s="125"/>
      <c r="C523" s="113"/>
      <c r="D523" s="75"/>
      <c r="E523" s="282"/>
      <c r="F523" s="125"/>
      <c r="G523" s="113"/>
      <c r="H523" s="75"/>
      <c r="I523" s="282"/>
      <c r="J523" s="125"/>
      <c r="K523" s="113"/>
      <c r="L523" s="75"/>
      <c r="M523" s="282"/>
      <c r="N523" s="125"/>
      <c r="O523" s="113"/>
      <c r="P523" s="75"/>
      <c r="Q523" s="282"/>
      <c r="R523" s="125"/>
      <c r="S523" s="113"/>
      <c r="T523" s="75"/>
      <c r="U523" s="282"/>
      <c r="V523" s="125"/>
      <c r="W523" s="113"/>
      <c r="X523" s="75"/>
      <c r="Y523" s="282"/>
      <c r="Z523" s="290"/>
      <c r="AA523" s="291"/>
      <c r="AB523" s="73"/>
      <c r="AC523" s="282"/>
      <c r="AD523" s="125"/>
      <c r="AE523" s="241"/>
      <c r="AF523" s="284"/>
      <c r="AG523" s="282"/>
      <c r="AH523" s="292"/>
      <c r="AI523" s="292"/>
      <c r="AJ523" s="292"/>
      <c r="AK523" s="282"/>
      <c r="AL523" s="75"/>
      <c r="AM523" s="75"/>
      <c r="AN523" s="75"/>
      <c r="AO523" s="282"/>
      <c r="AP523" s="75"/>
      <c r="AQ523" s="75"/>
      <c r="AR523" s="75"/>
      <c r="AS523" s="75"/>
      <c r="AT523" s="75"/>
    </row>
    <row r="524">
      <c r="A524" s="282"/>
      <c r="B524" s="125"/>
      <c r="C524" s="113"/>
      <c r="D524" s="75"/>
      <c r="E524" s="282"/>
      <c r="F524" s="125"/>
      <c r="G524" s="113"/>
      <c r="H524" s="75"/>
      <c r="I524" s="282"/>
      <c r="J524" s="125"/>
      <c r="K524" s="113"/>
      <c r="L524" s="75"/>
      <c r="M524" s="282"/>
      <c r="N524" s="125"/>
      <c r="O524" s="113"/>
      <c r="P524" s="75"/>
      <c r="Q524" s="282"/>
      <c r="R524" s="125"/>
      <c r="S524" s="113"/>
      <c r="T524" s="75"/>
      <c r="U524" s="282"/>
      <c r="V524" s="125"/>
      <c r="W524" s="113"/>
      <c r="X524" s="75"/>
      <c r="Y524" s="282"/>
      <c r="Z524" s="290"/>
      <c r="AA524" s="291"/>
      <c r="AB524" s="73"/>
      <c r="AC524" s="282"/>
      <c r="AD524" s="125"/>
      <c r="AE524" s="241"/>
      <c r="AF524" s="284"/>
      <c r="AG524" s="282"/>
      <c r="AH524" s="292"/>
      <c r="AI524" s="292"/>
      <c r="AJ524" s="292"/>
      <c r="AK524" s="282"/>
      <c r="AL524" s="75"/>
      <c r="AM524" s="75"/>
      <c r="AN524" s="75"/>
      <c r="AO524" s="282"/>
      <c r="AP524" s="75"/>
      <c r="AQ524" s="75"/>
      <c r="AR524" s="75"/>
      <c r="AS524" s="75"/>
      <c r="AT524" s="75"/>
    </row>
    <row r="525">
      <c r="A525" s="282"/>
      <c r="B525" s="125"/>
      <c r="C525" s="113"/>
      <c r="D525" s="75"/>
      <c r="E525" s="282"/>
      <c r="F525" s="125"/>
      <c r="G525" s="113"/>
      <c r="H525" s="75"/>
      <c r="I525" s="282"/>
      <c r="J525" s="125"/>
      <c r="K525" s="113"/>
      <c r="L525" s="75"/>
      <c r="M525" s="282"/>
      <c r="N525" s="125"/>
      <c r="O525" s="113"/>
      <c r="P525" s="75"/>
      <c r="Q525" s="282"/>
      <c r="R525" s="125"/>
      <c r="S525" s="113"/>
      <c r="T525" s="75"/>
      <c r="U525" s="282"/>
      <c r="V525" s="125"/>
      <c r="W525" s="113"/>
      <c r="X525" s="75"/>
      <c r="Y525" s="282"/>
      <c r="Z525" s="290"/>
      <c r="AA525" s="291"/>
      <c r="AB525" s="73"/>
      <c r="AC525" s="282"/>
      <c r="AD525" s="125"/>
      <c r="AE525" s="241"/>
      <c r="AF525" s="284"/>
      <c r="AG525" s="282"/>
      <c r="AH525" s="292"/>
      <c r="AI525" s="292"/>
      <c r="AJ525" s="292"/>
      <c r="AK525" s="282"/>
      <c r="AL525" s="75"/>
      <c r="AM525" s="75"/>
      <c r="AN525" s="75"/>
      <c r="AO525" s="282"/>
      <c r="AP525" s="75"/>
      <c r="AQ525" s="75"/>
      <c r="AR525" s="75"/>
      <c r="AS525" s="75"/>
      <c r="AT525" s="75"/>
    </row>
    <row r="526">
      <c r="A526" s="282"/>
      <c r="B526" s="125"/>
      <c r="C526" s="113"/>
      <c r="D526" s="75"/>
      <c r="E526" s="282"/>
      <c r="F526" s="125"/>
      <c r="G526" s="113"/>
      <c r="H526" s="75"/>
      <c r="I526" s="282"/>
      <c r="J526" s="125"/>
      <c r="K526" s="113"/>
      <c r="L526" s="75"/>
      <c r="M526" s="282"/>
      <c r="N526" s="125"/>
      <c r="O526" s="113"/>
      <c r="P526" s="75"/>
      <c r="Q526" s="282"/>
      <c r="R526" s="125"/>
      <c r="S526" s="113"/>
      <c r="T526" s="75"/>
      <c r="U526" s="282"/>
      <c r="V526" s="125"/>
      <c r="W526" s="113"/>
      <c r="X526" s="75"/>
      <c r="Y526" s="282"/>
      <c r="Z526" s="290"/>
      <c r="AA526" s="291"/>
      <c r="AB526" s="73"/>
      <c r="AC526" s="282"/>
      <c r="AD526" s="125"/>
      <c r="AE526" s="241"/>
      <c r="AF526" s="284"/>
      <c r="AG526" s="282"/>
      <c r="AH526" s="292"/>
      <c r="AI526" s="292"/>
      <c r="AJ526" s="292"/>
      <c r="AK526" s="282"/>
      <c r="AL526" s="75"/>
      <c r="AM526" s="75"/>
      <c r="AN526" s="75"/>
      <c r="AO526" s="282"/>
      <c r="AP526" s="75"/>
      <c r="AQ526" s="75"/>
      <c r="AR526" s="75"/>
      <c r="AS526" s="75"/>
      <c r="AT526" s="75"/>
    </row>
    <row r="527">
      <c r="A527" s="282"/>
      <c r="B527" s="125"/>
      <c r="C527" s="113"/>
      <c r="D527" s="75"/>
      <c r="E527" s="282"/>
      <c r="F527" s="125"/>
      <c r="G527" s="113"/>
      <c r="H527" s="75"/>
      <c r="I527" s="282"/>
      <c r="J527" s="125"/>
      <c r="K527" s="113"/>
      <c r="L527" s="75"/>
      <c r="M527" s="282"/>
      <c r="N527" s="125"/>
      <c r="O527" s="113"/>
      <c r="P527" s="75"/>
      <c r="Q527" s="282"/>
      <c r="R527" s="125"/>
      <c r="S527" s="113"/>
      <c r="T527" s="75"/>
      <c r="U527" s="282"/>
      <c r="V527" s="125"/>
      <c r="W527" s="113"/>
      <c r="X527" s="75"/>
      <c r="Y527" s="282"/>
      <c r="Z527" s="290"/>
      <c r="AA527" s="291"/>
      <c r="AB527" s="73"/>
      <c r="AC527" s="282"/>
      <c r="AD527" s="125"/>
      <c r="AE527" s="241"/>
      <c r="AF527" s="284"/>
      <c r="AG527" s="282"/>
      <c r="AH527" s="292"/>
      <c r="AI527" s="292"/>
      <c r="AJ527" s="292"/>
      <c r="AK527" s="282"/>
      <c r="AL527" s="75"/>
      <c r="AM527" s="75"/>
      <c r="AN527" s="75"/>
      <c r="AO527" s="282"/>
      <c r="AP527" s="75"/>
      <c r="AQ527" s="75"/>
      <c r="AR527" s="75"/>
      <c r="AS527" s="75"/>
      <c r="AT527" s="75"/>
    </row>
    <row r="528">
      <c r="A528" s="282"/>
      <c r="B528" s="125"/>
      <c r="C528" s="113"/>
      <c r="D528" s="75"/>
      <c r="E528" s="282"/>
      <c r="F528" s="125"/>
      <c r="G528" s="113"/>
      <c r="H528" s="75"/>
      <c r="I528" s="282"/>
      <c r="J528" s="125"/>
      <c r="K528" s="113"/>
      <c r="L528" s="75"/>
      <c r="M528" s="282"/>
      <c r="N528" s="125"/>
      <c r="O528" s="113"/>
      <c r="P528" s="75"/>
      <c r="Q528" s="282"/>
      <c r="R528" s="125"/>
      <c r="S528" s="113"/>
      <c r="T528" s="75"/>
      <c r="U528" s="282"/>
      <c r="V528" s="125"/>
      <c r="W528" s="113"/>
      <c r="X528" s="75"/>
      <c r="Y528" s="282"/>
      <c r="Z528" s="290"/>
      <c r="AA528" s="291"/>
      <c r="AB528" s="73"/>
      <c r="AC528" s="282"/>
      <c r="AD528" s="125"/>
      <c r="AE528" s="241"/>
      <c r="AF528" s="284"/>
      <c r="AG528" s="282"/>
      <c r="AH528" s="292"/>
      <c r="AI528" s="292"/>
      <c r="AJ528" s="292"/>
      <c r="AK528" s="282"/>
      <c r="AL528" s="75"/>
      <c r="AM528" s="75"/>
      <c r="AN528" s="75"/>
      <c r="AO528" s="282"/>
      <c r="AP528" s="75"/>
      <c r="AQ528" s="75"/>
      <c r="AR528" s="75"/>
      <c r="AS528" s="75"/>
      <c r="AT528" s="75"/>
    </row>
    <row r="529">
      <c r="A529" s="282"/>
      <c r="B529" s="125"/>
      <c r="C529" s="113"/>
      <c r="D529" s="75"/>
      <c r="E529" s="282"/>
      <c r="F529" s="125"/>
      <c r="G529" s="113"/>
      <c r="H529" s="75"/>
      <c r="I529" s="282"/>
      <c r="J529" s="125"/>
      <c r="K529" s="113"/>
      <c r="L529" s="75"/>
      <c r="M529" s="282"/>
      <c r="N529" s="125"/>
      <c r="O529" s="113"/>
      <c r="P529" s="75"/>
      <c r="Q529" s="282"/>
      <c r="R529" s="125"/>
      <c r="S529" s="113"/>
      <c r="T529" s="75"/>
      <c r="U529" s="282"/>
      <c r="V529" s="125"/>
      <c r="W529" s="113"/>
      <c r="X529" s="75"/>
      <c r="Y529" s="282"/>
      <c r="Z529" s="290"/>
      <c r="AA529" s="291"/>
      <c r="AB529" s="73"/>
      <c r="AC529" s="282"/>
      <c r="AD529" s="125"/>
      <c r="AE529" s="241"/>
      <c r="AF529" s="284"/>
      <c r="AG529" s="282"/>
      <c r="AH529" s="292"/>
      <c r="AI529" s="292"/>
      <c r="AJ529" s="292"/>
      <c r="AK529" s="282"/>
      <c r="AL529" s="75"/>
      <c r="AM529" s="75"/>
      <c r="AN529" s="75"/>
      <c r="AO529" s="282"/>
      <c r="AP529" s="75"/>
      <c r="AQ529" s="75"/>
      <c r="AR529" s="75"/>
      <c r="AS529" s="75"/>
      <c r="AT529" s="75"/>
    </row>
    <row r="530">
      <c r="A530" s="282"/>
      <c r="B530" s="125"/>
      <c r="C530" s="113"/>
      <c r="D530" s="75"/>
      <c r="E530" s="282"/>
      <c r="F530" s="125"/>
      <c r="G530" s="113"/>
      <c r="H530" s="75"/>
      <c r="I530" s="282"/>
      <c r="J530" s="125"/>
      <c r="K530" s="113"/>
      <c r="L530" s="75"/>
      <c r="M530" s="282"/>
      <c r="N530" s="125"/>
      <c r="O530" s="113"/>
      <c r="P530" s="75"/>
      <c r="Q530" s="282"/>
      <c r="R530" s="125"/>
      <c r="S530" s="113"/>
      <c r="T530" s="75"/>
      <c r="U530" s="282"/>
      <c r="V530" s="125"/>
      <c r="W530" s="113"/>
      <c r="X530" s="75"/>
      <c r="Y530" s="282"/>
      <c r="Z530" s="290"/>
      <c r="AA530" s="291"/>
      <c r="AB530" s="73"/>
      <c r="AC530" s="282"/>
      <c r="AD530" s="125"/>
      <c r="AE530" s="241"/>
      <c r="AF530" s="284"/>
      <c r="AG530" s="282"/>
      <c r="AH530" s="292"/>
      <c r="AI530" s="292"/>
      <c r="AJ530" s="292"/>
      <c r="AK530" s="282"/>
      <c r="AL530" s="75"/>
      <c r="AM530" s="75"/>
      <c r="AN530" s="75"/>
      <c r="AO530" s="282"/>
      <c r="AP530" s="75"/>
      <c r="AQ530" s="75"/>
      <c r="AR530" s="75"/>
      <c r="AS530" s="75"/>
      <c r="AT530" s="75"/>
    </row>
    <row r="531">
      <c r="A531" s="282"/>
      <c r="B531" s="125"/>
      <c r="C531" s="113"/>
      <c r="D531" s="75"/>
      <c r="E531" s="282"/>
      <c r="F531" s="125"/>
      <c r="G531" s="113"/>
      <c r="H531" s="75"/>
      <c r="I531" s="282"/>
      <c r="J531" s="125"/>
      <c r="K531" s="113"/>
      <c r="L531" s="75"/>
      <c r="M531" s="282"/>
      <c r="N531" s="125"/>
      <c r="O531" s="113"/>
      <c r="P531" s="75"/>
      <c r="Q531" s="282"/>
      <c r="R531" s="125"/>
      <c r="S531" s="113"/>
      <c r="T531" s="75"/>
      <c r="U531" s="282"/>
      <c r="V531" s="125"/>
      <c r="W531" s="113"/>
      <c r="X531" s="75"/>
      <c r="Y531" s="282"/>
      <c r="Z531" s="290"/>
      <c r="AA531" s="291"/>
      <c r="AB531" s="73"/>
      <c r="AC531" s="282"/>
      <c r="AD531" s="125"/>
      <c r="AE531" s="241"/>
      <c r="AF531" s="284"/>
      <c r="AG531" s="282"/>
      <c r="AH531" s="292"/>
      <c r="AI531" s="292"/>
      <c r="AJ531" s="292"/>
      <c r="AK531" s="282"/>
      <c r="AL531" s="75"/>
      <c r="AM531" s="75"/>
      <c r="AN531" s="75"/>
      <c r="AO531" s="282"/>
      <c r="AP531" s="75"/>
      <c r="AQ531" s="75"/>
      <c r="AR531" s="75"/>
      <c r="AS531" s="75"/>
      <c r="AT531" s="75"/>
    </row>
    <row r="532">
      <c r="A532" s="282"/>
      <c r="B532" s="125"/>
      <c r="C532" s="113"/>
      <c r="D532" s="75"/>
      <c r="E532" s="282"/>
      <c r="F532" s="125"/>
      <c r="G532" s="113"/>
      <c r="H532" s="75"/>
      <c r="I532" s="282"/>
      <c r="J532" s="125"/>
      <c r="K532" s="113"/>
      <c r="L532" s="75"/>
      <c r="M532" s="282"/>
      <c r="N532" s="125"/>
      <c r="O532" s="113"/>
      <c r="P532" s="75"/>
      <c r="Q532" s="282"/>
      <c r="R532" s="125"/>
      <c r="S532" s="113"/>
      <c r="T532" s="75"/>
      <c r="U532" s="282"/>
      <c r="V532" s="125"/>
      <c r="W532" s="113"/>
      <c r="X532" s="75"/>
      <c r="Y532" s="282"/>
      <c r="Z532" s="290"/>
      <c r="AA532" s="291"/>
      <c r="AB532" s="73"/>
      <c r="AC532" s="282"/>
      <c r="AD532" s="125"/>
      <c r="AE532" s="241"/>
      <c r="AF532" s="284"/>
      <c r="AG532" s="282"/>
      <c r="AH532" s="292"/>
      <c r="AI532" s="292"/>
      <c r="AJ532" s="292"/>
      <c r="AK532" s="282"/>
      <c r="AL532" s="75"/>
      <c r="AM532" s="75"/>
      <c r="AN532" s="75"/>
      <c r="AO532" s="282"/>
      <c r="AP532" s="75"/>
      <c r="AQ532" s="75"/>
      <c r="AR532" s="75"/>
      <c r="AS532" s="75"/>
      <c r="AT532" s="75"/>
    </row>
    <row r="533">
      <c r="A533" s="282"/>
      <c r="B533" s="125"/>
      <c r="C533" s="113"/>
      <c r="D533" s="75"/>
      <c r="E533" s="282"/>
      <c r="F533" s="125"/>
      <c r="G533" s="113"/>
      <c r="H533" s="75"/>
      <c r="I533" s="282"/>
      <c r="J533" s="125"/>
      <c r="K533" s="113"/>
      <c r="L533" s="75"/>
      <c r="M533" s="282"/>
      <c r="N533" s="125"/>
      <c r="O533" s="113"/>
      <c r="P533" s="75"/>
      <c r="Q533" s="282"/>
      <c r="R533" s="125"/>
      <c r="S533" s="113"/>
      <c r="T533" s="75"/>
      <c r="U533" s="282"/>
      <c r="V533" s="125"/>
      <c r="W533" s="113"/>
      <c r="X533" s="75"/>
      <c r="Y533" s="282"/>
      <c r="Z533" s="290"/>
      <c r="AA533" s="291"/>
      <c r="AB533" s="73"/>
      <c r="AC533" s="282"/>
      <c r="AD533" s="125"/>
      <c r="AE533" s="241"/>
      <c r="AF533" s="284"/>
      <c r="AG533" s="282"/>
      <c r="AH533" s="292"/>
      <c r="AI533" s="292"/>
      <c r="AJ533" s="292"/>
      <c r="AK533" s="282"/>
      <c r="AL533" s="75"/>
      <c r="AM533" s="75"/>
      <c r="AN533" s="75"/>
      <c r="AO533" s="282"/>
      <c r="AP533" s="75"/>
      <c r="AQ533" s="75"/>
      <c r="AR533" s="75"/>
      <c r="AS533" s="75"/>
      <c r="AT533" s="75"/>
    </row>
    <row r="534">
      <c r="A534" s="282"/>
      <c r="B534" s="125"/>
      <c r="C534" s="113"/>
      <c r="D534" s="75"/>
      <c r="E534" s="282"/>
      <c r="F534" s="125"/>
      <c r="G534" s="113"/>
      <c r="H534" s="75"/>
      <c r="I534" s="282"/>
      <c r="J534" s="125"/>
      <c r="K534" s="113"/>
      <c r="L534" s="75"/>
      <c r="M534" s="282"/>
      <c r="N534" s="125"/>
      <c r="O534" s="113"/>
      <c r="P534" s="75"/>
      <c r="Q534" s="282"/>
      <c r="R534" s="125"/>
      <c r="S534" s="113"/>
      <c r="T534" s="75"/>
      <c r="U534" s="282"/>
      <c r="V534" s="125"/>
      <c r="W534" s="113"/>
      <c r="X534" s="75"/>
      <c r="Y534" s="282"/>
      <c r="Z534" s="290"/>
      <c r="AA534" s="291"/>
      <c r="AB534" s="73"/>
      <c r="AC534" s="282"/>
      <c r="AD534" s="125"/>
      <c r="AE534" s="241"/>
      <c r="AF534" s="284"/>
      <c r="AG534" s="282"/>
      <c r="AH534" s="292"/>
      <c r="AI534" s="292"/>
      <c r="AJ534" s="292"/>
      <c r="AK534" s="282"/>
      <c r="AL534" s="75"/>
      <c r="AM534" s="75"/>
      <c r="AN534" s="75"/>
      <c r="AO534" s="282"/>
      <c r="AP534" s="75"/>
      <c r="AQ534" s="75"/>
      <c r="AR534" s="75"/>
      <c r="AS534" s="75"/>
      <c r="AT534" s="75"/>
    </row>
    <row r="535">
      <c r="A535" s="282"/>
      <c r="B535" s="125"/>
      <c r="C535" s="113"/>
      <c r="D535" s="75"/>
      <c r="E535" s="282"/>
      <c r="F535" s="125"/>
      <c r="G535" s="113"/>
      <c r="H535" s="75"/>
      <c r="I535" s="282"/>
      <c r="J535" s="125"/>
      <c r="K535" s="113"/>
      <c r="L535" s="75"/>
      <c r="M535" s="282"/>
      <c r="N535" s="125"/>
      <c r="O535" s="113"/>
      <c r="P535" s="75"/>
      <c r="Q535" s="282"/>
      <c r="R535" s="125"/>
      <c r="S535" s="113"/>
      <c r="T535" s="75"/>
      <c r="U535" s="282"/>
      <c r="V535" s="125"/>
      <c r="W535" s="113"/>
      <c r="X535" s="75"/>
      <c r="Y535" s="282"/>
      <c r="Z535" s="290"/>
      <c r="AA535" s="291"/>
      <c r="AB535" s="73"/>
      <c r="AC535" s="282"/>
      <c r="AD535" s="125"/>
      <c r="AE535" s="241"/>
      <c r="AF535" s="284"/>
      <c r="AG535" s="282"/>
      <c r="AH535" s="292"/>
      <c r="AI535" s="292"/>
      <c r="AJ535" s="292"/>
      <c r="AK535" s="282"/>
      <c r="AL535" s="75"/>
      <c r="AM535" s="75"/>
      <c r="AN535" s="75"/>
      <c r="AO535" s="282"/>
      <c r="AP535" s="75"/>
      <c r="AQ535" s="75"/>
      <c r="AR535" s="75"/>
      <c r="AS535" s="75"/>
      <c r="AT535" s="75"/>
    </row>
    <row r="536">
      <c r="A536" s="282"/>
      <c r="B536" s="125"/>
      <c r="C536" s="113"/>
      <c r="D536" s="75"/>
      <c r="E536" s="282"/>
      <c r="F536" s="125"/>
      <c r="G536" s="113"/>
      <c r="H536" s="75"/>
      <c r="I536" s="282"/>
      <c r="J536" s="125"/>
      <c r="K536" s="113"/>
      <c r="L536" s="75"/>
      <c r="M536" s="282"/>
      <c r="N536" s="125"/>
      <c r="O536" s="113"/>
      <c r="P536" s="75"/>
      <c r="Q536" s="282"/>
      <c r="R536" s="125"/>
      <c r="S536" s="113"/>
      <c r="T536" s="75"/>
      <c r="U536" s="282"/>
      <c r="V536" s="125"/>
      <c r="W536" s="113"/>
      <c r="X536" s="75"/>
      <c r="Y536" s="282"/>
      <c r="Z536" s="290"/>
      <c r="AA536" s="291"/>
      <c r="AB536" s="73"/>
      <c r="AC536" s="282"/>
      <c r="AD536" s="125"/>
      <c r="AE536" s="241"/>
      <c r="AF536" s="284"/>
      <c r="AG536" s="282"/>
      <c r="AH536" s="292"/>
      <c r="AI536" s="292"/>
      <c r="AJ536" s="292"/>
      <c r="AK536" s="282"/>
      <c r="AL536" s="75"/>
      <c r="AM536" s="75"/>
      <c r="AN536" s="75"/>
      <c r="AO536" s="282"/>
      <c r="AP536" s="75"/>
      <c r="AQ536" s="75"/>
      <c r="AR536" s="75"/>
      <c r="AS536" s="75"/>
      <c r="AT536" s="75"/>
    </row>
    <row r="537">
      <c r="A537" s="282"/>
      <c r="B537" s="125"/>
      <c r="C537" s="113"/>
      <c r="D537" s="75"/>
      <c r="E537" s="282"/>
      <c r="F537" s="125"/>
      <c r="G537" s="113"/>
      <c r="H537" s="75"/>
      <c r="I537" s="282"/>
      <c r="J537" s="125"/>
      <c r="K537" s="113"/>
      <c r="L537" s="75"/>
      <c r="M537" s="282"/>
      <c r="N537" s="125"/>
      <c r="O537" s="113"/>
      <c r="P537" s="75"/>
      <c r="Q537" s="282"/>
      <c r="R537" s="125"/>
      <c r="S537" s="113"/>
      <c r="T537" s="75"/>
      <c r="U537" s="282"/>
      <c r="V537" s="125"/>
      <c r="W537" s="113"/>
      <c r="X537" s="75"/>
      <c r="Y537" s="282"/>
      <c r="Z537" s="290"/>
      <c r="AA537" s="291"/>
      <c r="AB537" s="73"/>
      <c r="AC537" s="282"/>
      <c r="AD537" s="125"/>
      <c r="AE537" s="241"/>
      <c r="AF537" s="284"/>
      <c r="AG537" s="282"/>
      <c r="AH537" s="292"/>
      <c r="AI537" s="292"/>
      <c r="AJ537" s="292"/>
      <c r="AK537" s="282"/>
      <c r="AL537" s="75"/>
      <c r="AM537" s="75"/>
      <c r="AN537" s="75"/>
      <c r="AO537" s="282"/>
      <c r="AP537" s="75"/>
      <c r="AQ537" s="75"/>
      <c r="AR537" s="75"/>
      <c r="AS537" s="75"/>
      <c r="AT537" s="75"/>
    </row>
    <row r="538">
      <c r="A538" s="282"/>
      <c r="B538" s="125"/>
      <c r="C538" s="113"/>
      <c r="D538" s="75"/>
      <c r="E538" s="282"/>
      <c r="F538" s="125"/>
      <c r="G538" s="113"/>
      <c r="H538" s="75"/>
      <c r="I538" s="282"/>
      <c r="J538" s="125"/>
      <c r="K538" s="113"/>
      <c r="L538" s="75"/>
      <c r="M538" s="282"/>
      <c r="N538" s="125"/>
      <c r="O538" s="113"/>
      <c r="P538" s="75"/>
      <c r="Q538" s="282"/>
      <c r="R538" s="125"/>
      <c r="S538" s="113"/>
      <c r="T538" s="75"/>
      <c r="U538" s="282"/>
      <c r="V538" s="125"/>
      <c r="W538" s="113"/>
      <c r="X538" s="75"/>
      <c r="Y538" s="282"/>
      <c r="Z538" s="290"/>
      <c r="AA538" s="291"/>
      <c r="AB538" s="73"/>
      <c r="AC538" s="282"/>
      <c r="AD538" s="125"/>
      <c r="AE538" s="241"/>
      <c r="AF538" s="284"/>
      <c r="AG538" s="282"/>
      <c r="AH538" s="292"/>
      <c r="AI538" s="292"/>
      <c r="AJ538" s="292"/>
      <c r="AK538" s="282"/>
      <c r="AL538" s="75"/>
      <c r="AM538" s="75"/>
      <c r="AN538" s="75"/>
      <c r="AO538" s="282"/>
      <c r="AP538" s="75"/>
      <c r="AQ538" s="75"/>
      <c r="AR538" s="75"/>
      <c r="AS538" s="75"/>
      <c r="AT538" s="75"/>
    </row>
    <row r="539">
      <c r="A539" s="282"/>
      <c r="B539" s="125"/>
      <c r="C539" s="113"/>
      <c r="D539" s="75"/>
      <c r="E539" s="282"/>
      <c r="F539" s="125"/>
      <c r="G539" s="113"/>
      <c r="H539" s="75"/>
      <c r="I539" s="282"/>
      <c r="J539" s="125"/>
      <c r="K539" s="113"/>
      <c r="L539" s="75"/>
      <c r="M539" s="282"/>
      <c r="N539" s="125"/>
      <c r="O539" s="113"/>
      <c r="P539" s="75"/>
      <c r="Q539" s="282"/>
      <c r="R539" s="125"/>
      <c r="S539" s="113"/>
      <c r="T539" s="75"/>
      <c r="U539" s="282"/>
      <c r="V539" s="125"/>
      <c r="W539" s="113"/>
      <c r="X539" s="75"/>
      <c r="Y539" s="282"/>
      <c r="Z539" s="290"/>
      <c r="AA539" s="291"/>
      <c r="AB539" s="73"/>
      <c r="AC539" s="282"/>
      <c r="AD539" s="125"/>
      <c r="AE539" s="241"/>
      <c r="AF539" s="284"/>
      <c r="AG539" s="282"/>
      <c r="AH539" s="292"/>
      <c r="AI539" s="292"/>
      <c r="AJ539" s="292"/>
      <c r="AK539" s="282"/>
      <c r="AL539" s="75"/>
      <c r="AM539" s="75"/>
      <c r="AN539" s="75"/>
      <c r="AO539" s="282"/>
      <c r="AP539" s="75"/>
      <c r="AQ539" s="75"/>
      <c r="AR539" s="75"/>
      <c r="AS539" s="75"/>
      <c r="AT539" s="75"/>
    </row>
    <row r="540">
      <c r="A540" s="282"/>
      <c r="B540" s="125"/>
      <c r="C540" s="113"/>
      <c r="D540" s="75"/>
      <c r="E540" s="282"/>
      <c r="F540" s="125"/>
      <c r="G540" s="113"/>
      <c r="H540" s="75"/>
      <c r="I540" s="282"/>
      <c r="J540" s="125"/>
      <c r="K540" s="113"/>
      <c r="L540" s="75"/>
      <c r="M540" s="282"/>
      <c r="N540" s="125"/>
      <c r="O540" s="113"/>
      <c r="P540" s="75"/>
      <c r="Q540" s="282"/>
      <c r="R540" s="125"/>
      <c r="S540" s="113"/>
      <c r="T540" s="75"/>
      <c r="U540" s="282"/>
      <c r="V540" s="125"/>
      <c r="W540" s="113"/>
      <c r="X540" s="75"/>
      <c r="Y540" s="282"/>
      <c r="Z540" s="290"/>
      <c r="AA540" s="291"/>
      <c r="AB540" s="73"/>
      <c r="AC540" s="282"/>
      <c r="AD540" s="125"/>
      <c r="AE540" s="241"/>
      <c r="AF540" s="284"/>
      <c r="AG540" s="282"/>
      <c r="AH540" s="292"/>
      <c r="AI540" s="292"/>
      <c r="AJ540" s="292"/>
      <c r="AK540" s="282"/>
      <c r="AL540" s="75"/>
      <c r="AM540" s="75"/>
      <c r="AN540" s="75"/>
      <c r="AO540" s="282"/>
      <c r="AP540" s="75"/>
      <c r="AQ540" s="75"/>
      <c r="AR540" s="75"/>
      <c r="AS540" s="75"/>
      <c r="AT540" s="75"/>
    </row>
    <row r="541">
      <c r="A541" s="282"/>
      <c r="B541" s="125"/>
      <c r="C541" s="113"/>
      <c r="D541" s="75"/>
      <c r="E541" s="282"/>
      <c r="F541" s="125"/>
      <c r="G541" s="113"/>
      <c r="H541" s="75"/>
      <c r="I541" s="282"/>
      <c r="J541" s="125"/>
      <c r="K541" s="113"/>
      <c r="L541" s="75"/>
      <c r="M541" s="282"/>
      <c r="N541" s="125"/>
      <c r="O541" s="113"/>
      <c r="P541" s="75"/>
      <c r="Q541" s="282"/>
      <c r="R541" s="125"/>
      <c r="S541" s="113"/>
      <c r="T541" s="75"/>
      <c r="U541" s="282"/>
      <c r="V541" s="125"/>
      <c r="W541" s="113"/>
      <c r="X541" s="75"/>
      <c r="Y541" s="282"/>
      <c r="Z541" s="290"/>
      <c r="AA541" s="291"/>
      <c r="AB541" s="73"/>
      <c r="AC541" s="282"/>
      <c r="AD541" s="125"/>
      <c r="AE541" s="241"/>
      <c r="AF541" s="284"/>
      <c r="AG541" s="282"/>
      <c r="AH541" s="292"/>
      <c r="AI541" s="292"/>
      <c r="AJ541" s="292"/>
      <c r="AK541" s="282"/>
      <c r="AL541" s="75"/>
      <c r="AM541" s="75"/>
      <c r="AN541" s="75"/>
      <c r="AO541" s="282"/>
      <c r="AP541" s="75"/>
      <c r="AQ541" s="75"/>
      <c r="AR541" s="75"/>
      <c r="AS541" s="75"/>
      <c r="AT541" s="75"/>
    </row>
    <row r="542">
      <c r="A542" s="282"/>
      <c r="B542" s="125"/>
      <c r="C542" s="113"/>
      <c r="D542" s="75"/>
      <c r="E542" s="282"/>
      <c r="F542" s="125"/>
      <c r="G542" s="113"/>
      <c r="H542" s="75"/>
      <c r="I542" s="282"/>
      <c r="J542" s="125"/>
      <c r="K542" s="113"/>
      <c r="L542" s="75"/>
      <c r="M542" s="282"/>
      <c r="N542" s="125"/>
      <c r="O542" s="113"/>
      <c r="P542" s="75"/>
      <c r="Q542" s="282"/>
      <c r="R542" s="125"/>
      <c r="S542" s="113"/>
      <c r="T542" s="75"/>
      <c r="U542" s="282"/>
      <c r="V542" s="125"/>
      <c r="W542" s="113"/>
      <c r="X542" s="75"/>
      <c r="Y542" s="282"/>
      <c r="Z542" s="290"/>
      <c r="AA542" s="291"/>
      <c r="AB542" s="73"/>
      <c r="AC542" s="282"/>
      <c r="AD542" s="125"/>
      <c r="AE542" s="241"/>
      <c r="AF542" s="284"/>
      <c r="AG542" s="282"/>
      <c r="AH542" s="292"/>
      <c r="AI542" s="292"/>
      <c r="AJ542" s="292"/>
      <c r="AK542" s="282"/>
      <c r="AL542" s="75"/>
      <c r="AM542" s="75"/>
      <c r="AN542" s="75"/>
      <c r="AO542" s="282"/>
      <c r="AP542" s="75"/>
      <c r="AQ542" s="75"/>
      <c r="AR542" s="75"/>
      <c r="AS542" s="75"/>
      <c r="AT542" s="75"/>
    </row>
    <row r="543">
      <c r="A543" s="282"/>
      <c r="B543" s="125"/>
      <c r="C543" s="113"/>
      <c r="D543" s="75"/>
      <c r="E543" s="282"/>
      <c r="F543" s="125"/>
      <c r="G543" s="113"/>
      <c r="H543" s="75"/>
      <c r="I543" s="282"/>
      <c r="J543" s="125"/>
      <c r="K543" s="113"/>
      <c r="L543" s="75"/>
      <c r="M543" s="282"/>
      <c r="N543" s="125"/>
      <c r="O543" s="113"/>
      <c r="P543" s="75"/>
      <c r="Q543" s="282"/>
      <c r="R543" s="125"/>
      <c r="S543" s="113"/>
      <c r="T543" s="75"/>
      <c r="U543" s="282"/>
      <c r="V543" s="125"/>
      <c r="W543" s="113"/>
      <c r="X543" s="75"/>
      <c r="Y543" s="282"/>
      <c r="Z543" s="290"/>
      <c r="AA543" s="291"/>
      <c r="AB543" s="73"/>
      <c r="AC543" s="282"/>
      <c r="AD543" s="125"/>
      <c r="AE543" s="241"/>
      <c r="AF543" s="284"/>
      <c r="AG543" s="282"/>
      <c r="AH543" s="292"/>
      <c r="AI543" s="292"/>
      <c r="AJ543" s="292"/>
      <c r="AK543" s="282"/>
      <c r="AL543" s="75"/>
      <c r="AM543" s="75"/>
      <c r="AN543" s="75"/>
      <c r="AO543" s="282"/>
      <c r="AP543" s="75"/>
      <c r="AQ543" s="75"/>
      <c r="AR543" s="75"/>
      <c r="AS543" s="75"/>
      <c r="AT543" s="75"/>
    </row>
    <row r="544">
      <c r="A544" s="282"/>
      <c r="B544" s="125"/>
      <c r="C544" s="113"/>
      <c r="D544" s="75"/>
      <c r="E544" s="282"/>
      <c r="F544" s="125"/>
      <c r="G544" s="113"/>
      <c r="H544" s="75"/>
      <c r="I544" s="282"/>
      <c r="J544" s="125"/>
      <c r="K544" s="113"/>
      <c r="L544" s="75"/>
      <c r="M544" s="282"/>
      <c r="N544" s="125"/>
      <c r="O544" s="113"/>
      <c r="P544" s="75"/>
      <c r="Q544" s="282"/>
      <c r="R544" s="125"/>
      <c r="S544" s="113"/>
      <c r="T544" s="75"/>
      <c r="U544" s="282"/>
      <c r="V544" s="125"/>
      <c r="W544" s="113"/>
      <c r="X544" s="75"/>
      <c r="Y544" s="282"/>
      <c r="Z544" s="290"/>
      <c r="AA544" s="291"/>
      <c r="AB544" s="73"/>
      <c r="AC544" s="282"/>
      <c r="AD544" s="125"/>
      <c r="AE544" s="241"/>
      <c r="AF544" s="284"/>
      <c r="AG544" s="282"/>
      <c r="AH544" s="292"/>
      <c r="AI544" s="292"/>
      <c r="AJ544" s="292"/>
      <c r="AK544" s="282"/>
      <c r="AL544" s="75"/>
      <c r="AM544" s="75"/>
      <c r="AN544" s="75"/>
      <c r="AO544" s="282"/>
      <c r="AP544" s="75"/>
      <c r="AQ544" s="75"/>
      <c r="AR544" s="75"/>
      <c r="AS544" s="75"/>
      <c r="AT544" s="75"/>
    </row>
    <row r="545">
      <c r="A545" s="282"/>
      <c r="B545" s="125"/>
      <c r="C545" s="113"/>
      <c r="D545" s="75"/>
      <c r="E545" s="282"/>
      <c r="F545" s="125"/>
      <c r="G545" s="113"/>
      <c r="H545" s="75"/>
      <c r="I545" s="282"/>
      <c r="J545" s="125"/>
      <c r="K545" s="113"/>
      <c r="L545" s="75"/>
      <c r="M545" s="282"/>
      <c r="N545" s="125"/>
      <c r="O545" s="113"/>
      <c r="P545" s="75"/>
      <c r="Q545" s="282"/>
      <c r="R545" s="125"/>
      <c r="S545" s="113"/>
      <c r="T545" s="75"/>
      <c r="U545" s="282"/>
      <c r="V545" s="125"/>
      <c r="W545" s="113"/>
      <c r="X545" s="75"/>
      <c r="Y545" s="282"/>
      <c r="Z545" s="290"/>
      <c r="AA545" s="291"/>
      <c r="AB545" s="73"/>
      <c r="AC545" s="282"/>
      <c r="AD545" s="125"/>
      <c r="AE545" s="241"/>
      <c r="AF545" s="284"/>
      <c r="AG545" s="282"/>
      <c r="AH545" s="292"/>
      <c r="AI545" s="292"/>
      <c r="AJ545" s="292"/>
      <c r="AK545" s="282"/>
      <c r="AL545" s="75"/>
      <c r="AM545" s="75"/>
      <c r="AN545" s="75"/>
      <c r="AO545" s="282"/>
      <c r="AP545" s="75"/>
      <c r="AQ545" s="75"/>
      <c r="AR545" s="75"/>
      <c r="AS545" s="75"/>
      <c r="AT545" s="75"/>
    </row>
    <row r="546">
      <c r="A546" s="282"/>
      <c r="B546" s="125"/>
      <c r="C546" s="113"/>
      <c r="D546" s="75"/>
      <c r="E546" s="282"/>
      <c r="F546" s="125"/>
      <c r="G546" s="113"/>
      <c r="H546" s="75"/>
      <c r="I546" s="282"/>
      <c r="J546" s="125"/>
      <c r="K546" s="113"/>
      <c r="L546" s="75"/>
      <c r="M546" s="282"/>
      <c r="N546" s="125"/>
      <c r="O546" s="113"/>
      <c r="P546" s="75"/>
      <c r="Q546" s="282"/>
      <c r="R546" s="125"/>
      <c r="S546" s="113"/>
      <c r="T546" s="75"/>
      <c r="U546" s="282"/>
      <c r="V546" s="125"/>
      <c r="W546" s="113"/>
      <c r="X546" s="75"/>
      <c r="Y546" s="282"/>
      <c r="Z546" s="290"/>
      <c r="AA546" s="291"/>
      <c r="AB546" s="73"/>
      <c r="AC546" s="282"/>
      <c r="AD546" s="125"/>
      <c r="AE546" s="241"/>
      <c r="AF546" s="284"/>
      <c r="AG546" s="282"/>
      <c r="AH546" s="292"/>
      <c r="AI546" s="292"/>
      <c r="AJ546" s="292"/>
      <c r="AK546" s="282"/>
      <c r="AL546" s="75"/>
      <c r="AM546" s="75"/>
      <c r="AN546" s="75"/>
      <c r="AO546" s="282"/>
      <c r="AP546" s="75"/>
      <c r="AQ546" s="75"/>
      <c r="AR546" s="75"/>
      <c r="AS546" s="75"/>
      <c r="AT546" s="75"/>
    </row>
    <row r="547">
      <c r="A547" s="282"/>
      <c r="B547" s="125"/>
      <c r="C547" s="113"/>
      <c r="D547" s="75"/>
      <c r="E547" s="282"/>
      <c r="F547" s="125"/>
      <c r="G547" s="113"/>
      <c r="H547" s="75"/>
      <c r="I547" s="282"/>
      <c r="J547" s="125"/>
      <c r="K547" s="113"/>
      <c r="L547" s="75"/>
      <c r="M547" s="282"/>
      <c r="N547" s="125"/>
      <c r="O547" s="113"/>
      <c r="P547" s="75"/>
      <c r="Q547" s="282"/>
      <c r="R547" s="125"/>
      <c r="S547" s="113"/>
      <c r="T547" s="75"/>
      <c r="U547" s="282"/>
      <c r="V547" s="125"/>
      <c r="W547" s="113"/>
      <c r="X547" s="75"/>
      <c r="Y547" s="282"/>
      <c r="Z547" s="290"/>
      <c r="AA547" s="291"/>
      <c r="AB547" s="73"/>
      <c r="AC547" s="282"/>
      <c r="AD547" s="125"/>
      <c r="AE547" s="241"/>
      <c r="AF547" s="284"/>
      <c r="AG547" s="282"/>
      <c r="AH547" s="292"/>
      <c r="AI547" s="292"/>
      <c r="AJ547" s="292"/>
      <c r="AK547" s="282"/>
      <c r="AL547" s="75"/>
      <c r="AM547" s="75"/>
      <c r="AN547" s="75"/>
      <c r="AO547" s="282"/>
      <c r="AP547" s="75"/>
      <c r="AQ547" s="75"/>
      <c r="AR547" s="75"/>
      <c r="AS547" s="75"/>
      <c r="AT547" s="75"/>
    </row>
    <row r="548">
      <c r="A548" s="282"/>
      <c r="B548" s="125"/>
      <c r="C548" s="113"/>
      <c r="D548" s="75"/>
      <c r="E548" s="282"/>
      <c r="F548" s="125"/>
      <c r="G548" s="113"/>
      <c r="H548" s="75"/>
      <c r="I548" s="282"/>
      <c r="J548" s="125"/>
      <c r="K548" s="113"/>
      <c r="L548" s="75"/>
      <c r="M548" s="282"/>
      <c r="N548" s="125"/>
      <c r="O548" s="113"/>
      <c r="P548" s="75"/>
      <c r="Q548" s="282"/>
      <c r="R548" s="125"/>
      <c r="S548" s="113"/>
      <c r="T548" s="75"/>
      <c r="U548" s="282"/>
      <c r="V548" s="125"/>
      <c r="W548" s="113"/>
      <c r="X548" s="75"/>
      <c r="Y548" s="282"/>
      <c r="Z548" s="290"/>
      <c r="AA548" s="291"/>
      <c r="AB548" s="73"/>
      <c r="AC548" s="282"/>
      <c r="AD548" s="125"/>
      <c r="AE548" s="241"/>
      <c r="AF548" s="284"/>
      <c r="AG548" s="282"/>
      <c r="AH548" s="292"/>
      <c r="AI548" s="292"/>
      <c r="AJ548" s="292"/>
      <c r="AK548" s="282"/>
      <c r="AL548" s="75"/>
      <c r="AM548" s="75"/>
      <c r="AN548" s="75"/>
      <c r="AO548" s="282"/>
      <c r="AP548" s="75"/>
      <c r="AQ548" s="75"/>
      <c r="AR548" s="75"/>
      <c r="AS548" s="75"/>
      <c r="AT548" s="75"/>
    </row>
    <row r="549">
      <c r="A549" s="282"/>
      <c r="B549" s="125"/>
      <c r="C549" s="113"/>
      <c r="D549" s="75"/>
      <c r="E549" s="282"/>
      <c r="F549" s="125"/>
      <c r="G549" s="113"/>
      <c r="H549" s="75"/>
      <c r="I549" s="282"/>
      <c r="J549" s="125"/>
      <c r="K549" s="113"/>
      <c r="L549" s="75"/>
      <c r="M549" s="282"/>
      <c r="N549" s="125"/>
      <c r="O549" s="113"/>
      <c r="P549" s="75"/>
      <c r="Q549" s="282"/>
      <c r="R549" s="125"/>
      <c r="S549" s="113"/>
      <c r="T549" s="75"/>
      <c r="U549" s="282"/>
      <c r="V549" s="125"/>
      <c r="W549" s="113"/>
      <c r="X549" s="75"/>
      <c r="Y549" s="282"/>
      <c r="Z549" s="290"/>
      <c r="AA549" s="291"/>
      <c r="AB549" s="73"/>
      <c r="AC549" s="282"/>
      <c r="AD549" s="125"/>
      <c r="AE549" s="241"/>
      <c r="AF549" s="284"/>
      <c r="AG549" s="282"/>
      <c r="AH549" s="292"/>
      <c r="AI549" s="292"/>
      <c r="AJ549" s="292"/>
      <c r="AK549" s="282"/>
      <c r="AL549" s="75"/>
      <c r="AM549" s="75"/>
      <c r="AN549" s="75"/>
      <c r="AO549" s="282"/>
      <c r="AP549" s="75"/>
      <c r="AQ549" s="75"/>
      <c r="AR549" s="75"/>
      <c r="AS549" s="75"/>
      <c r="AT549" s="75"/>
    </row>
    <row r="550">
      <c r="A550" s="282"/>
      <c r="B550" s="125"/>
      <c r="C550" s="113"/>
      <c r="D550" s="75"/>
      <c r="E550" s="282"/>
      <c r="F550" s="125"/>
      <c r="G550" s="113"/>
      <c r="H550" s="75"/>
      <c r="I550" s="282"/>
      <c r="J550" s="125"/>
      <c r="K550" s="113"/>
      <c r="L550" s="75"/>
      <c r="M550" s="282"/>
      <c r="N550" s="125"/>
      <c r="O550" s="113"/>
      <c r="P550" s="75"/>
      <c r="Q550" s="282"/>
      <c r="R550" s="125"/>
      <c r="S550" s="113"/>
      <c r="T550" s="75"/>
      <c r="U550" s="282"/>
      <c r="V550" s="125"/>
      <c r="W550" s="113"/>
      <c r="X550" s="75"/>
      <c r="Y550" s="282"/>
      <c r="Z550" s="290"/>
      <c r="AA550" s="291"/>
      <c r="AB550" s="73"/>
      <c r="AC550" s="282"/>
      <c r="AD550" s="125"/>
      <c r="AE550" s="241"/>
      <c r="AF550" s="284"/>
      <c r="AG550" s="282"/>
      <c r="AH550" s="292"/>
      <c r="AI550" s="292"/>
      <c r="AJ550" s="292"/>
      <c r="AK550" s="282"/>
      <c r="AL550" s="75"/>
      <c r="AM550" s="75"/>
      <c r="AN550" s="75"/>
      <c r="AO550" s="282"/>
      <c r="AP550" s="75"/>
      <c r="AQ550" s="75"/>
      <c r="AR550" s="75"/>
      <c r="AS550" s="75"/>
      <c r="AT550" s="75"/>
    </row>
    <row r="551">
      <c r="A551" s="282"/>
      <c r="B551" s="125"/>
      <c r="C551" s="113"/>
      <c r="D551" s="75"/>
      <c r="E551" s="282"/>
      <c r="F551" s="125"/>
      <c r="G551" s="113"/>
      <c r="H551" s="75"/>
      <c r="I551" s="282"/>
      <c r="J551" s="125"/>
      <c r="K551" s="113"/>
      <c r="L551" s="75"/>
      <c r="M551" s="282"/>
      <c r="N551" s="125"/>
      <c r="O551" s="113"/>
      <c r="P551" s="75"/>
      <c r="Q551" s="282"/>
      <c r="R551" s="125"/>
      <c r="S551" s="113"/>
      <c r="T551" s="75"/>
      <c r="U551" s="282"/>
      <c r="V551" s="125"/>
      <c r="W551" s="113"/>
      <c r="X551" s="75"/>
      <c r="Y551" s="282"/>
      <c r="Z551" s="290"/>
      <c r="AA551" s="291"/>
      <c r="AB551" s="73"/>
      <c r="AC551" s="282"/>
      <c r="AD551" s="125"/>
      <c r="AE551" s="241"/>
      <c r="AF551" s="284"/>
      <c r="AG551" s="282"/>
      <c r="AH551" s="292"/>
      <c r="AI551" s="292"/>
      <c r="AJ551" s="292"/>
      <c r="AK551" s="282"/>
      <c r="AL551" s="75"/>
      <c r="AM551" s="75"/>
      <c r="AN551" s="75"/>
      <c r="AO551" s="282"/>
      <c r="AP551" s="75"/>
      <c r="AQ551" s="75"/>
      <c r="AR551" s="75"/>
      <c r="AS551" s="75"/>
      <c r="AT551" s="75"/>
    </row>
    <row r="552">
      <c r="A552" s="282"/>
      <c r="B552" s="125"/>
      <c r="C552" s="113"/>
      <c r="D552" s="75"/>
      <c r="E552" s="282"/>
      <c r="F552" s="125"/>
      <c r="G552" s="113"/>
      <c r="H552" s="75"/>
      <c r="I552" s="282"/>
      <c r="J552" s="125"/>
      <c r="K552" s="113"/>
      <c r="L552" s="75"/>
      <c r="M552" s="282"/>
      <c r="N552" s="125"/>
      <c r="O552" s="113"/>
      <c r="P552" s="75"/>
      <c r="Q552" s="282"/>
      <c r="R552" s="125"/>
      <c r="S552" s="113"/>
      <c r="T552" s="75"/>
      <c r="U552" s="282"/>
      <c r="V552" s="125"/>
      <c r="W552" s="113"/>
      <c r="X552" s="75"/>
      <c r="Y552" s="282"/>
      <c r="Z552" s="290"/>
      <c r="AA552" s="291"/>
      <c r="AB552" s="73"/>
      <c r="AC552" s="282"/>
      <c r="AD552" s="125"/>
      <c r="AE552" s="241"/>
      <c r="AF552" s="284"/>
      <c r="AG552" s="282"/>
      <c r="AH552" s="292"/>
      <c r="AI552" s="292"/>
      <c r="AJ552" s="292"/>
      <c r="AK552" s="282"/>
      <c r="AL552" s="75"/>
      <c r="AM552" s="75"/>
      <c r="AN552" s="75"/>
      <c r="AO552" s="282"/>
      <c r="AP552" s="75"/>
      <c r="AQ552" s="75"/>
      <c r="AR552" s="75"/>
      <c r="AS552" s="75"/>
      <c r="AT552" s="75"/>
    </row>
    <row r="553">
      <c r="A553" s="282"/>
      <c r="B553" s="125"/>
      <c r="C553" s="113"/>
      <c r="D553" s="75"/>
      <c r="E553" s="282"/>
      <c r="F553" s="125"/>
      <c r="G553" s="113"/>
      <c r="H553" s="75"/>
      <c r="I553" s="282"/>
      <c r="J553" s="125"/>
      <c r="K553" s="113"/>
      <c r="L553" s="75"/>
      <c r="M553" s="282"/>
      <c r="N553" s="125"/>
      <c r="O553" s="113"/>
      <c r="P553" s="75"/>
      <c r="Q553" s="282"/>
      <c r="R553" s="125"/>
      <c r="S553" s="113"/>
      <c r="T553" s="75"/>
      <c r="U553" s="282"/>
      <c r="V553" s="125"/>
      <c r="W553" s="113"/>
      <c r="X553" s="75"/>
      <c r="Y553" s="282"/>
      <c r="Z553" s="290"/>
      <c r="AA553" s="291"/>
      <c r="AB553" s="73"/>
      <c r="AC553" s="282"/>
      <c r="AD553" s="125"/>
      <c r="AE553" s="241"/>
      <c r="AF553" s="284"/>
      <c r="AG553" s="282"/>
      <c r="AH553" s="292"/>
      <c r="AI553" s="292"/>
      <c r="AJ553" s="292"/>
      <c r="AK553" s="282"/>
      <c r="AL553" s="75"/>
      <c r="AM553" s="75"/>
      <c r="AN553" s="75"/>
      <c r="AO553" s="282"/>
      <c r="AP553" s="75"/>
      <c r="AQ553" s="75"/>
      <c r="AR553" s="75"/>
      <c r="AS553" s="75"/>
      <c r="AT553" s="75"/>
    </row>
    <row r="554">
      <c r="A554" s="282"/>
      <c r="B554" s="125"/>
      <c r="C554" s="113"/>
      <c r="D554" s="75"/>
      <c r="E554" s="282"/>
      <c r="F554" s="125"/>
      <c r="G554" s="113"/>
      <c r="H554" s="75"/>
      <c r="I554" s="282"/>
      <c r="J554" s="125"/>
      <c r="K554" s="113"/>
      <c r="L554" s="75"/>
      <c r="M554" s="282"/>
      <c r="N554" s="125"/>
      <c r="O554" s="113"/>
      <c r="P554" s="75"/>
      <c r="Q554" s="282"/>
      <c r="R554" s="125"/>
      <c r="S554" s="113"/>
      <c r="T554" s="75"/>
      <c r="U554" s="282"/>
      <c r="V554" s="125"/>
      <c r="W554" s="113"/>
      <c r="X554" s="75"/>
      <c r="Y554" s="282"/>
      <c r="Z554" s="290"/>
      <c r="AA554" s="291"/>
      <c r="AB554" s="73"/>
      <c r="AC554" s="282"/>
      <c r="AD554" s="125"/>
      <c r="AE554" s="241"/>
      <c r="AF554" s="284"/>
      <c r="AG554" s="282"/>
      <c r="AH554" s="292"/>
      <c r="AI554" s="292"/>
      <c r="AJ554" s="292"/>
      <c r="AK554" s="282"/>
      <c r="AL554" s="75"/>
      <c r="AM554" s="75"/>
      <c r="AN554" s="75"/>
      <c r="AO554" s="282"/>
      <c r="AP554" s="75"/>
      <c r="AQ554" s="75"/>
      <c r="AR554" s="75"/>
      <c r="AS554" s="75"/>
      <c r="AT554" s="75"/>
    </row>
    <row r="555">
      <c r="A555" s="282"/>
      <c r="B555" s="125"/>
      <c r="C555" s="113"/>
      <c r="D555" s="75"/>
      <c r="E555" s="282"/>
      <c r="F555" s="125"/>
      <c r="G555" s="113"/>
      <c r="H555" s="75"/>
      <c r="I555" s="282"/>
      <c r="J555" s="125"/>
      <c r="K555" s="113"/>
      <c r="L555" s="75"/>
      <c r="M555" s="282"/>
      <c r="N555" s="125"/>
      <c r="O555" s="113"/>
      <c r="P555" s="75"/>
      <c r="Q555" s="282"/>
      <c r="R555" s="125"/>
      <c r="S555" s="113"/>
      <c r="T555" s="75"/>
      <c r="U555" s="282"/>
      <c r="V555" s="125"/>
      <c r="W555" s="113"/>
      <c r="X555" s="75"/>
      <c r="Y555" s="282"/>
      <c r="Z555" s="290"/>
      <c r="AA555" s="291"/>
      <c r="AB555" s="73"/>
      <c r="AC555" s="282"/>
      <c r="AD555" s="125"/>
      <c r="AE555" s="241"/>
      <c r="AF555" s="284"/>
      <c r="AG555" s="282"/>
      <c r="AH555" s="292"/>
      <c r="AI555" s="292"/>
      <c r="AJ555" s="292"/>
      <c r="AK555" s="282"/>
      <c r="AL555" s="75"/>
      <c r="AM555" s="75"/>
      <c r="AN555" s="75"/>
      <c r="AO555" s="282"/>
      <c r="AP555" s="75"/>
      <c r="AQ555" s="75"/>
      <c r="AR555" s="75"/>
      <c r="AS555" s="75"/>
      <c r="AT555" s="75"/>
    </row>
    <row r="556">
      <c r="A556" s="282"/>
      <c r="B556" s="125"/>
      <c r="C556" s="113"/>
      <c r="D556" s="75"/>
      <c r="E556" s="282"/>
      <c r="F556" s="125"/>
      <c r="G556" s="113"/>
      <c r="H556" s="75"/>
      <c r="I556" s="282"/>
      <c r="J556" s="125"/>
      <c r="K556" s="113"/>
      <c r="L556" s="75"/>
      <c r="M556" s="282"/>
      <c r="N556" s="125"/>
      <c r="O556" s="113"/>
      <c r="P556" s="75"/>
      <c r="Q556" s="282"/>
      <c r="R556" s="125"/>
      <c r="S556" s="113"/>
      <c r="T556" s="75"/>
      <c r="U556" s="282"/>
      <c r="V556" s="125"/>
      <c r="W556" s="113"/>
      <c r="X556" s="75"/>
      <c r="Y556" s="282"/>
      <c r="Z556" s="290"/>
      <c r="AA556" s="291"/>
      <c r="AB556" s="73"/>
      <c r="AC556" s="282"/>
      <c r="AD556" s="125"/>
      <c r="AE556" s="241"/>
      <c r="AF556" s="284"/>
      <c r="AG556" s="282"/>
      <c r="AH556" s="292"/>
      <c r="AI556" s="292"/>
      <c r="AJ556" s="292"/>
      <c r="AK556" s="282"/>
      <c r="AL556" s="75"/>
      <c r="AM556" s="75"/>
      <c r="AN556" s="75"/>
      <c r="AO556" s="282"/>
      <c r="AP556" s="75"/>
      <c r="AQ556" s="75"/>
      <c r="AR556" s="75"/>
      <c r="AS556" s="75"/>
      <c r="AT556" s="75"/>
    </row>
    <row r="557">
      <c r="A557" s="282"/>
      <c r="B557" s="125"/>
      <c r="C557" s="113"/>
      <c r="D557" s="75"/>
      <c r="E557" s="282"/>
      <c r="F557" s="125"/>
      <c r="G557" s="113"/>
      <c r="H557" s="75"/>
      <c r="I557" s="282"/>
      <c r="J557" s="125"/>
      <c r="K557" s="113"/>
      <c r="L557" s="75"/>
      <c r="M557" s="282"/>
      <c r="N557" s="125"/>
      <c r="O557" s="113"/>
      <c r="P557" s="75"/>
      <c r="Q557" s="282"/>
      <c r="R557" s="125"/>
      <c r="S557" s="113"/>
      <c r="T557" s="75"/>
      <c r="U557" s="282"/>
      <c r="V557" s="125"/>
      <c r="W557" s="113"/>
      <c r="X557" s="75"/>
      <c r="Y557" s="282"/>
      <c r="Z557" s="290"/>
      <c r="AA557" s="291"/>
      <c r="AB557" s="73"/>
      <c r="AC557" s="282"/>
      <c r="AD557" s="125"/>
      <c r="AE557" s="241"/>
      <c r="AF557" s="284"/>
      <c r="AG557" s="282"/>
      <c r="AH557" s="292"/>
      <c r="AI557" s="292"/>
      <c r="AJ557" s="292"/>
      <c r="AK557" s="282"/>
      <c r="AL557" s="75"/>
      <c r="AM557" s="75"/>
      <c r="AN557" s="75"/>
      <c r="AO557" s="282"/>
      <c r="AP557" s="75"/>
      <c r="AQ557" s="75"/>
      <c r="AR557" s="75"/>
      <c r="AS557" s="75"/>
      <c r="AT557" s="75"/>
    </row>
    <row r="558">
      <c r="A558" s="282"/>
      <c r="B558" s="125"/>
      <c r="C558" s="113"/>
      <c r="D558" s="75"/>
      <c r="E558" s="282"/>
      <c r="F558" s="125"/>
      <c r="G558" s="113"/>
      <c r="H558" s="75"/>
      <c r="I558" s="282"/>
      <c r="J558" s="125"/>
      <c r="K558" s="113"/>
      <c r="L558" s="75"/>
      <c r="M558" s="282"/>
      <c r="N558" s="125"/>
      <c r="O558" s="113"/>
      <c r="P558" s="75"/>
      <c r="Q558" s="282"/>
      <c r="R558" s="125"/>
      <c r="S558" s="113"/>
      <c r="T558" s="75"/>
      <c r="U558" s="282"/>
      <c r="V558" s="125"/>
      <c r="W558" s="113"/>
      <c r="X558" s="75"/>
      <c r="Y558" s="282"/>
      <c r="Z558" s="290"/>
      <c r="AA558" s="291"/>
      <c r="AB558" s="73"/>
      <c r="AC558" s="282"/>
      <c r="AD558" s="125"/>
      <c r="AE558" s="241"/>
      <c r="AF558" s="284"/>
      <c r="AG558" s="282"/>
      <c r="AH558" s="292"/>
      <c r="AI558" s="292"/>
      <c r="AJ558" s="292"/>
      <c r="AK558" s="282"/>
      <c r="AL558" s="75"/>
      <c r="AM558" s="75"/>
      <c r="AN558" s="75"/>
      <c r="AO558" s="282"/>
      <c r="AP558" s="75"/>
      <c r="AQ558" s="75"/>
      <c r="AR558" s="75"/>
      <c r="AS558" s="75"/>
      <c r="AT558" s="75"/>
    </row>
    <row r="559">
      <c r="A559" s="282"/>
      <c r="B559" s="125"/>
      <c r="C559" s="113"/>
      <c r="D559" s="75"/>
      <c r="E559" s="282"/>
      <c r="F559" s="125"/>
      <c r="G559" s="113"/>
      <c r="H559" s="75"/>
      <c r="I559" s="282"/>
      <c r="J559" s="125"/>
      <c r="K559" s="113"/>
      <c r="L559" s="75"/>
      <c r="M559" s="282"/>
      <c r="N559" s="125"/>
      <c r="O559" s="113"/>
      <c r="P559" s="75"/>
      <c r="Q559" s="282"/>
      <c r="R559" s="125"/>
      <c r="S559" s="113"/>
      <c r="T559" s="75"/>
      <c r="U559" s="282"/>
      <c r="V559" s="125"/>
      <c r="W559" s="113"/>
      <c r="X559" s="75"/>
      <c r="Y559" s="282"/>
      <c r="Z559" s="290"/>
      <c r="AA559" s="291"/>
      <c r="AB559" s="73"/>
      <c r="AC559" s="282"/>
      <c r="AD559" s="125"/>
      <c r="AE559" s="241"/>
      <c r="AF559" s="284"/>
      <c r="AG559" s="282"/>
      <c r="AH559" s="292"/>
      <c r="AI559" s="292"/>
      <c r="AJ559" s="292"/>
      <c r="AK559" s="282"/>
      <c r="AL559" s="75"/>
      <c r="AM559" s="75"/>
      <c r="AN559" s="75"/>
      <c r="AO559" s="282"/>
      <c r="AP559" s="75"/>
      <c r="AQ559" s="75"/>
      <c r="AR559" s="75"/>
      <c r="AS559" s="75"/>
      <c r="AT559" s="75"/>
    </row>
    <row r="560">
      <c r="A560" s="282"/>
      <c r="B560" s="125"/>
      <c r="C560" s="113"/>
      <c r="D560" s="75"/>
      <c r="E560" s="282"/>
      <c r="F560" s="125"/>
      <c r="G560" s="113"/>
      <c r="H560" s="75"/>
      <c r="I560" s="282"/>
      <c r="J560" s="125"/>
      <c r="K560" s="113"/>
      <c r="L560" s="75"/>
      <c r="M560" s="282"/>
      <c r="N560" s="125"/>
      <c r="O560" s="113"/>
      <c r="P560" s="75"/>
      <c r="Q560" s="282"/>
      <c r="R560" s="125"/>
      <c r="S560" s="113"/>
      <c r="T560" s="75"/>
      <c r="U560" s="282"/>
      <c r="V560" s="125"/>
      <c r="W560" s="113"/>
      <c r="X560" s="75"/>
      <c r="Y560" s="282"/>
      <c r="Z560" s="290"/>
      <c r="AA560" s="291"/>
      <c r="AB560" s="73"/>
      <c r="AC560" s="282"/>
      <c r="AD560" s="125"/>
      <c r="AE560" s="241"/>
      <c r="AF560" s="284"/>
      <c r="AG560" s="282"/>
      <c r="AH560" s="292"/>
      <c r="AI560" s="292"/>
      <c r="AJ560" s="292"/>
      <c r="AK560" s="282"/>
      <c r="AL560" s="75"/>
      <c r="AM560" s="75"/>
      <c r="AN560" s="75"/>
      <c r="AO560" s="282"/>
      <c r="AP560" s="75"/>
      <c r="AQ560" s="75"/>
      <c r="AR560" s="75"/>
      <c r="AS560" s="75"/>
      <c r="AT560" s="75"/>
    </row>
    <row r="561">
      <c r="A561" s="282"/>
      <c r="B561" s="125"/>
      <c r="C561" s="113"/>
      <c r="D561" s="75"/>
      <c r="E561" s="282"/>
      <c r="F561" s="125"/>
      <c r="G561" s="113"/>
      <c r="H561" s="75"/>
      <c r="I561" s="282"/>
      <c r="J561" s="125"/>
      <c r="K561" s="113"/>
      <c r="L561" s="75"/>
      <c r="M561" s="282"/>
      <c r="N561" s="125"/>
      <c r="O561" s="113"/>
      <c r="P561" s="75"/>
      <c r="Q561" s="282"/>
      <c r="R561" s="125"/>
      <c r="S561" s="113"/>
      <c r="T561" s="75"/>
      <c r="U561" s="282"/>
      <c r="V561" s="125"/>
      <c r="W561" s="113"/>
      <c r="X561" s="75"/>
      <c r="Y561" s="282"/>
      <c r="Z561" s="290"/>
      <c r="AA561" s="291"/>
      <c r="AB561" s="73"/>
      <c r="AC561" s="282"/>
      <c r="AD561" s="125"/>
      <c r="AE561" s="241"/>
      <c r="AF561" s="284"/>
      <c r="AG561" s="282"/>
      <c r="AH561" s="292"/>
      <c r="AI561" s="292"/>
      <c r="AJ561" s="292"/>
      <c r="AK561" s="282"/>
      <c r="AL561" s="75"/>
      <c r="AM561" s="75"/>
      <c r="AN561" s="75"/>
      <c r="AO561" s="282"/>
      <c r="AP561" s="75"/>
      <c r="AQ561" s="75"/>
      <c r="AR561" s="75"/>
      <c r="AS561" s="75"/>
      <c r="AT561" s="75"/>
    </row>
    <row r="562">
      <c r="A562" s="282"/>
      <c r="B562" s="125"/>
      <c r="C562" s="113"/>
      <c r="D562" s="75"/>
      <c r="E562" s="282"/>
      <c r="F562" s="125"/>
      <c r="G562" s="113"/>
      <c r="H562" s="75"/>
      <c r="I562" s="282"/>
      <c r="J562" s="125"/>
      <c r="K562" s="113"/>
      <c r="L562" s="75"/>
      <c r="M562" s="282"/>
      <c r="N562" s="125"/>
      <c r="O562" s="113"/>
      <c r="P562" s="75"/>
      <c r="Q562" s="282"/>
      <c r="R562" s="125"/>
      <c r="S562" s="113"/>
      <c r="T562" s="75"/>
      <c r="U562" s="282"/>
      <c r="V562" s="125"/>
      <c r="W562" s="113"/>
      <c r="X562" s="75"/>
      <c r="Y562" s="282"/>
      <c r="Z562" s="290"/>
      <c r="AA562" s="291"/>
      <c r="AB562" s="73"/>
      <c r="AC562" s="282"/>
      <c r="AD562" s="125"/>
      <c r="AE562" s="241"/>
      <c r="AF562" s="284"/>
      <c r="AG562" s="282"/>
      <c r="AH562" s="292"/>
      <c r="AI562" s="292"/>
      <c r="AJ562" s="292"/>
      <c r="AK562" s="282"/>
      <c r="AL562" s="75"/>
      <c r="AM562" s="75"/>
      <c r="AN562" s="75"/>
      <c r="AO562" s="282"/>
      <c r="AP562" s="75"/>
      <c r="AQ562" s="75"/>
      <c r="AR562" s="75"/>
      <c r="AS562" s="75"/>
      <c r="AT562" s="75"/>
    </row>
    <row r="563">
      <c r="A563" s="282"/>
      <c r="B563" s="125"/>
      <c r="C563" s="113"/>
      <c r="D563" s="75"/>
      <c r="E563" s="282"/>
      <c r="F563" s="125"/>
      <c r="G563" s="113"/>
      <c r="H563" s="75"/>
      <c r="I563" s="282"/>
      <c r="J563" s="125"/>
      <c r="K563" s="113"/>
      <c r="L563" s="75"/>
      <c r="M563" s="282"/>
      <c r="N563" s="125"/>
      <c r="O563" s="113"/>
      <c r="P563" s="75"/>
      <c r="Q563" s="282"/>
      <c r="R563" s="125"/>
      <c r="S563" s="113"/>
      <c r="T563" s="75"/>
      <c r="U563" s="282"/>
      <c r="V563" s="125"/>
      <c r="W563" s="113"/>
      <c r="X563" s="75"/>
      <c r="Y563" s="282"/>
      <c r="Z563" s="290"/>
      <c r="AA563" s="291"/>
      <c r="AB563" s="73"/>
      <c r="AC563" s="282"/>
      <c r="AD563" s="125"/>
      <c r="AE563" s="241"/>
      <c r="AF563" s="284"/>
      <c r="AG563" s="282"/>
      <c r="AH563" s="292"/>
      <c r="AI563" s="292"/>
      <c r="AJ563" s="292"/>
      <c r="AK563" s="282"/>
      <c r="AL563" s="75"/>
      <c r="AM563" s="75"/>
      <c r="AN563" s="75"/>
      <c r="AO563" s="282"/>
      <c r="AP563" s="75"/>
      <c r="AQ563" s="75"/>
      <c r="AR563" s="75"/>
      <c r="AS563" s="75"/>
      <c r="AT563" s="75"/>
    </row>
    <row r="564">
      <c r="A564" s="282"/>
      <c r="B564" s="125"/>
      <c r="C564" s="113"/>
      <c r="D564" s="75"/>
      <c r="E564" s="282"/>
      <c r="F564" s="125"/>
      <c r="G564" s="113"/>
      <c r="H564" s="75"/>
      <c r="I564" s="282"/>
      <c r="J564" s="125"/>
      <c r="K564" s="113"/>
      <c r="L564" s="75"/>
      <c r="M564" s="282"/>
      <c r="N564" s="125"/>
      <c r="O564" s="113"/>
      <c r="P564" s="75"/>
      <c r="Q564" s="282"/>
      <c r="R564" s="125"/>
      <c r="S564" s="113"/>
      <c r="T564" s="75"/>
      <c r="U564" s="282"/>
      <c r="V564" s="125"/>
      <c r="W564" s="113"/>
      <c r="X564" s="75"/>
      <c r="Y564" s="282"/>
      <c r="Z564" s="290"/>
      <c r="AA564" s="291"/>
      <c r="AB564" s="73"/>
      <c r="AC564" s="282"/>
      <c r="AD564" s="125"/>
      <c r="AE564" s="241"/>
      <c r="AF564" s="284"/>
      <c r="AG564" s="282"/>
      <c r="AH564" s="292"/>
      <c r="AI564" s="292"/>
      <c r="AJ564" s="292"/>
      <c r="AK564" s="282"/>
      <c r="AL564" s="75"/>
      <c r="AM564" s="75"/>
      <c r="AN564" s="75"/>
      <c r="AO564" s="282"/>
      <c r="AP564" s="75"/>
      <c r="AQ564" s="75"/>
      <c r="AR564" s="75"/>
      <c r="AS564" s="75"/>
      <c r="AT564" s="75"/>
    </row>
    <row r="565">
      <c r="A565" s="282"/>
      <c r="B565" s="125"/>
      <c r="C565" s="113"/>
      <c r="D565" s="75"/>
      <c r="E565" s="282"/>
      <c r="F565" s="125"/>
      <c r="G565" s="113"/>
      <c r="H565" s="75"/>
      <c r="I565" s="282"/>
      <c r="J565" s="125"/>
      <c r="K565" s="113"/>
      <c r="L565" s="75"/>
      <c r="M565" s="282"/>
      <c r="N565" s="125"/>
      <c r="O565" s="113"/>
      <c r="P565" s="75"/>
      <c r="Q565" s="282"/>
      <c r="R565" s="125"/>
      <c r="S565" s="113"/>
      <c r="T565" s="75"/>
      <c r="U565" s="282"/>
      <c r="V565" s="125"/>
      <c r="W565" s="113"/>
      <c r="X565" s="75"/>
      <c r="Y565" s="282"/>
      <c r="Z565" s="290"/>
      <c r="AA565" s="291"/>
      <c r="AB565" s="73"/>
      <c r="AC565" s="282"/>
      <c r="AD565" s="125"/>
      <c r="AE565" s="241"/>
      <c r="AF565" s="284"/>
      <c r="AG565" s="282"/>
      <c r="AH565" s="292"/>
      <c r="AI565" s="292"/>
      <c r="AJ565" s="292"/>
      <c r="AK565" s="282"/>
      <c r="AL565" s="75"/>
      <c r="AM565" s="75"/>
      <c r="AN565" s="75"/>
      <c r="AO565" s="282"/>
      <c r="AP565" s="75"/>
      <c r="AQ565" s="75"/>
      <c r="AR565" s="75"/>
      <c r="AS565" s="75"/>
      <c r="AT565" s="75"/>
    </row>
    <row r="566">
      <c r="A566" s="282"/>
      <c r="B566" s="125"/>
      <c r="C566" s="113"/>
      <c r="D566" s="75"/>
      <c r="E566" s="282"/>
      <c r="F566" s="125"/>
      <c r="G566" s="113"/>
      <c r="H566" s="75"/>
      <c r="I566" s="282"/>
      <c r="J566" s="125"/>
      <c r="K566" s="113"/>
      <c r="L566" s="75"/>
      <c r="M566" s="282"/>
      <c r="N566" s="125"/>
      <c r="O566" s="113"/>
      <c r="P566" s="75"/>
      <c r="Q566" s="282"/>
      <c r="R566" s="125"/>
      <c r="S566" s="113"/>
      <c r="T566" s="75"/>
      <c r="U566" s="282"/>
      <c r="V566" s="125"/>
      <c r="W566" s="113"/>
      <c r="X566" s="75"/>
      <c r="Y566" s="282"/>
      <c r="Z566" s="290"/>
      <c r="AA566" s="291"/>
      <c r="AB566" s="73"/>
      <c r="AC566" s="282"/>
      <c r="AD566" s="125"/>
      <c r="AE566" s="241"/>
      <c r="AF566" s="284"/>
      <c r="AG566" s="282"/>
      <c r="AH566" s="292"/>
      <c r="AI566" s="292"/>
      <c r="AJ566" s="292"/>
      <c r="AK566" s="282"/>
      <c r="AL566" s="75"/>
      <c r="AM566" s="75"/>
      <c r="AN566" s="75"/>
      <c r="AO566" s="282"/>
      <c r="AP566" s="75"/>
      <c r="AQ566" s="75"/>
      <c r="AR566" s="75"/>
      <c r="AS566" s="75"/>
      <c r="AT566" s="75"/>
    </row>
    <row r="567">
      <c r="A567" s="282"/>
      <c r="B567" s="125"/>
      <c r="C567" s="113"/>
      <c r="D567" s="75"/>
      <c r="E567" s="282"/>
      <c r="F567" s="125"/>
      <c r="G567" s="113"/>
      <c r="H567" s="75"/>
      <c r="I567" s="282"/>
      <c r="J567" s="125"/>
      <c r="K567" s="113"/>
      <c r="L567" s="75"/>
      <c r="M567" s="282"/>
      <c r="N567" s="125"/>
      <c r="O567" s="113"/>
      <c r="P567" s="75"/>
      <c r="Q567" s="282"/>
      <c r="R567" s="125"/>
      <c r="S567" s="113"/>
      <c r="T567" s="75"/>
      <c r="U567" s="282"/>
      <c r="V567" s="125"/>
      <c r="W567" s="113"/>
      <c r="X567" s="75"/>
      <c r="Y567" s="282"/>
      <c r="Z567" s="290"/>
      <c r="AA567" s="291"/>
      <c r="AB567" s="73"/>
      <c r="AC567" s="282"/>
      <c r="AD567" s="125"/>
      <c r="AE567" s="241"/>
      <c r="AF567" s="284"/>
      <c r="AG567" s="282"/>
      <c r="AH567" s="292"/>
      <c r="AI567" s="292"/>
      <c r="AJ567" s="292"/>
      <c r="AK567" s="282"/>
      <c r="AL567" s="75"/>
      <c r="AM567" s="75"/>
      <c r="AN567" s="75"/>
      <c r="AO567" s="282"/>
      <c r="AP567" s="75"/>
      <c r="AQ567" s="75"/>
      <c r="AR567" s="75"/>
      <c r="AS567" s="75"/>
      <c r="AT567" s="75"/>
    </row>
    <row r="568">
      <c r="A568" s="282"/>
      <c r="B568" s="125"/>
      <c r="C568" s="113"/>
      <c r="D568" s="75"/>
      <c r="E568" s="282"/>
      <c r="F568" s="125"/>
      <c r="G568" s="113"/>
      <c r="H568" s="75"/>
      <c r="I568" s="282"/>
      <c r="J568" s="125"/>
      <c r="K568" s="113"/>
      <c r="L568" s="75"/>
      <c r="M568" s="282"/>
      <c r="N568" s="125"/>
      <c r="O568" s="113"/>
      <c r="P568" s="75"/>
      <c r="Q568" s="282"/>
      <c r="R568" s="125"/>
      <c r="S568" s="113"/>
      <c r="T568" s="75"/>
      <c r="U568" s="282"/>
      <c r="V568" s="125"/>
      <c r="W568" s="113"/>
      <c r="X568" s="75"/>
      <c r="Y568" s="282"/>
      <c r="Z568" s="290"/>
      <c r="AA568" s="291"/>
      <c r="AB568" s="73"/>
      <c r="AC568" s="282"/>
      <c r="AD568" s="125"/>
      <c r="AE568" s="241"/>
      <c r="AF568" s="284"/>
      <c r="AG568" s="282"/>
      <c r="AH568" s="292"/>
      <c r="AI568" s="292"/>
      <c r="AJ568" s="292"/>
      <c r="AK568" s="282"/>
      <c r="AL568" s="75"/>
      <c r="AM568" s="75"/>
      <c r="AN568" s="75"/>
      <c r="AO568" s="282"/>
      <c r="AP568" s="75"/>
      <c r="AQ568" s="75"/>
      <c r="AR568" s="75"/>
      <c r="AS568" s="75"/>
      <c r="AT568" s="75"/>
    </row>
    <row r="569">
      <c r="A569" s="282"/>
      <c r="B569" s="125"/>
      <c r="C569" s="113"/>
      <c r="D569" s="75"/>
      <c r="E569" s="282"/>
      <c r="F569" s="125"/>
      <c r="G569" s="113"/>
      <c r="H569" s="75"/>
      <c r="I569" s="282"/>
      <c r="J569" s="125"/>
      <c r="K569" s="113"/>
      <c r="L569" s="75"/>
      <c r="M569" s="282"/>
      <c r="N569" s="125"/>
      <c r="O569" s="113"/>
      <c r="P569" s="75"/>
      <c r="Q569" s="282"/>
      <c r="R569" s="125"/>
      <c r="S569" s="113"/>
      <c r="T569" s="75"/>
      <c r="U569" s="282"/>
      <c r="V569" s="125"/>
      <c r="W569" s="113"/>
      <c r="X569" s="75"/>
      <c r="Y569" s="282"/>
      <c r="Z569" s="290"/>
      <c r="AA569" s="291"/>
      <c r="AB569" s="73"/>
      <c r="AC569" s="282"/>
      <c r="AD569" s="125"/>
      <c r="AE569" s="241"/>
      <c r="AF569" s="284"/>
      <c r="AG569" s="282"/>
      <c r="AH569" s="292"/>
      <c r="AI569" s="292"/>
      <c r="AJ569" s="292"/>
      <c r="AK569" s="282"/>
      <c r="AL569" s="75"/>
      <c r="AM569" s="75"/>
      <c r="AN569" s="75"/>
      <c r="AO569" s="282"/>
      <c r="AP569" s="75"/>
      <c r="AQ569" s="75"/>
      <c r="AR569" s="75"/>
      <c r="AS569" s="75"/>
      <c r="AT569" s="75"/>
    </row>
    <row r="570">
      <c r="A570" s="282"/>
      <c r="B570" s="125"/>
      <c r="C570" s="113"/>
      <c r="D570" s="75"/>
      <c r="E570" s="282"/>
      <c r="F570" s="125"/>
      <c r="G570" s="113"/>
      <c r="H570" s="75"/>
      <c r="I570" s="282"/>
      <c r="J570" s="125"/>
      <c r="K570" s="113"/>
      <c r="L570" s="75"/>
      <c r="M570" s="282"/>
      <c r="N570" s="125"/>
      <c r="O570" s="113"/>
      <c r="P570" s="75"/>
      <c r="Q570" s="282"/>
      <c r="R570" s="125"/>
      <c r="S570" s="113"/>
      <c r="T570" s="75"/>
      <c r="U570" s="282"/>
      <c r="V570" s="125"/>
      <c r="W570" s="113"/>
      <c r="X570" s="75"/>
      <c r="Y570" s="282"/>
      <c r="Z570" s="290"/>
      <c r="AA570" s="291"/>
      <c r="AB570" s="73"/>
      <c r="AC570" s="282"/>
      <c r="AD570" s="125"/>
      <c r="AE570" s="241"/>
      <c r="AF570" s="284"/>
      <c r="AG570" s="282"/>
      <c r="AH570" s="292"/>
      <c r="AI570" s="292"/>
      <c r="AJ570" s="292"/>
      <c r="AK570" s="282"/>
      <c r="AL570" s="75"/>
      <c r="AM570" s="75"/>
      <c r="AN570" s="75"/>
      <c r="AO570" s="282"/>
      <c r="AP570" s="75"/>
      <c r="AQ570" s="75"/>
      <c r="AR570" s="75"/>
      <c r="AS570" s="75"/>
      <c r="AT570" s="75"/>
    </row>
    <row r="571">
      <c r="A571" s="282"/>
      <c r="B571" s="125"/>
      <c r="C571" s="113"/>
      <c r="D571" s="75"/>
      <c r="E571" s="282"/>
      <c r="F571" s="125"/>
      <c r="G571" s="113"/>
      <c r="H571" s="75"/>
      <c r="I571" s="282"/>
      <c r="J571" s="125"/>
      <c r="K571" s="113"/>
      <c r="L571" s="75"/>
      <c r="M571" s="282"/>
      <c r="N571" s="125"/>
      <c r="O571" s="113"/>
      <c r="P571" s="75"/>
      <c r="Q571" s="282"/>
      <c r="R571" s="125"/>
      <c r="S571" s="113"/>
      <c r="T571" s="75"/>
      <c r="U571" s="282"/>
      <c r="V571" s="125"/>
      <c r="W571" s="113"/>
      <c r="X571" s="75"/>
      <c r="Y571" s="282"/>
      <c r="Z571" s="290"/>
      <c r="AA571" s="291"/>
      <c r="AB571" s="73"/>
      <c r="AC571" s="282"/>
      <c r="AD571" s="125"/>
      <c r="AE571" s="241"/>
      <c r="AF571" s="284"/>
      <c r="AG571" s="282"/>
      <c r="AH571" s="292"/>
      <c r="AI571" s="292"/>
      <c r="AJ571" s="292"/>
      <c r="AK571" s="282"/>
      <c r="AL571" s="75"/>
      <c r="AM571" s="75"/>
      <c r="AN571" s="75"/>
      <c r="AO571" s="282"/>
      <c r="AP571" s="75"/>
      <c r="AQ571" s="75"/>
      <c r="AR571" s="75"/>
      <c r="AS571" s="75"/>
      <c r="AT571" s="75"/>
    </row>
    <row r="572">
      <c r="A572" s="282"/>
      <c r="B572" s="125"/>
      <c r="C572" s="113"/>
      <c r="D572" s="75"/>
      <c r="E572" s="282"/>
      <c r="F572" s="125"/>
      <c r="G572" s="113"/>
      <c r="H572" s="75"/>
      <c r="I572" s="282"/>
      <c r="J572" s="125"/>
      <c r="K572" s="113"/>
      <c r="L572" s="75"/>
      <c r="M572" s="282"/>
      <c r="N572" s="125"/>
      <c r="O572" s="113"/>
      <c r="P572" s="75"/>
      <c r="Q572" s="282"/>
      <c r="R572" s="125"/>
      <c r="S572" s="113"/>
      <c r="T572" s="75"/>
      <c r="U572" s="282"/>
      <c r="V572" s="125"/>
      <c r="W572" s="113"/>
      <c r="X572" s="75"/>
      <c r="Y572" s="282"/>
      <c r="Z572" s="290"/>
      <c r="AA572" s="291"/>
      <c r="AB572" s="73"/>
      <c r="AC572" s="282"/>
      <c r="AD572" s="125"/>
      <c r="AE572" s="241"/>
      <c r="AF572" s="284"/>
      <c r="AG572" s="282"/>
      <c r="AH572" s="292"/>
      <c r="AI572" s="292"/>
      <c r="AJ572" s="292"/>
      <c r="AK572" s="282"/>
      <c r="AL572" s="75"/>
      <c r="AM572" s="75"/>
      <c r="AN572" s="75"/>
      <c r="AO572" s="282"/>
      <c r="AP572" s="75"/>
      <c r="AQ572" s="75"/>
      <c r="AR572" s="75"/>
      <c r="AS572" s="75"/>
      <c r="AT572" s="75"/>
    </row>
    <row r="573">
      <c r="A573" s="282"/>
      <c r="B573" s="125"/>
      <c r="C573" s="113"/>
      <c r="D573" s="75"/>
      <c r="E573" s="282"/>
      <c r="F573" s="125"/>
      <c r="G573" s="113"/>
      <c r="H573" s="75"/>
      <c r="I573" s="282"/>
      <c r="J573" s="125"/>
      <c r="K573" s="113"/>
      <c r="L573" s="75"/>
      <c r="M573" s="282"/>
      <c r="N573" s="125"/>
      <c r="O573" s="113"/>
      <c r="P573" s="75"/>
      <c r="Q573" s="282"/>
      <c r="R573" s="125"/>
      <c r="S573" s="113"/>
      <c r="T573" s="75"/>
      <c r="U573" s="282"/>
      <c r="V573" s="125"/>
      <c r="W573" s="113"/>
      <c r="X573" s="75"/>
      <c r="Y573" s="282"/>
      <c r="Z573" s="290"/>
      <c r="AA573" s="291"/>
      <c r="AB573" s="73"/>
      <c r="AC573" s="282"/>
      <c r="AD573" s="125"/>
      <c r="AE573" s="241"/>
      <c r="AF573" s="284"/>
      <c r="AG573" s="282"/>
      <c r="AH573" s="292"/>
      <c r="AI573" s="292"/>
      <c r="AJ573" s="292"/>
      <c r="AK573" s="282"/>
      <c r="AL573" s="75"/>
      <c r="AM573" s="75"/>
      <c r="AN573" s="75"/>
      <c r="AO573" s="282"/>
      <c r="AP573" s="75"/>
      <c r="AQ573" s="75"/>
      <c r="AR573" s="75"/>
      <c r="AS573" s="75"/>
      <c r="AT573" s="75"/>
    </row>
    <row r="574">
      <c r="A574" s="282"/>
      <c r="B574" s="125"/>
      <c r="C574" s="113"/>
      <c r="D574" s="75"/>
      <c r="E574" s="282"/>
      <c r="F574" s="125"/>
      <c r="G574" s="113"/>
      <c r="H574" s="75"/>
      <c r="I574" s="282"/>
      <c r="J574" s="125"/>
      <c r="K574" s="113"/>
      <c r="L574" s="75"/>
      <c r="M574" s="282"/>
      <c r="N574" s="125"/>
      <c r="O574" s="113"/>
      <c r="P574" s="75"/>
      <c r="Q574" s="282"/>
      <c r="R574" s="125"/>
      <c r="S574" s="113"/>
      <c r="T574" s="75"/>
      <c r="U574" s="282"/>
      <c r="V574" s="125"/>
      <c r="W574" s="113"/>
      <c r="X574" s="75"/>
      <c r="Y574" s="282"/>
      <c r="Z574" s="290"/>
      <c r="AA574" s="291"/>
      <c r="AB574" s="73"/>
      <c r="AC574" s="282"/>
      <c r="AD574" s="125"/>
      <c r="AE574" s="241"/>
      <c r="AF574" s="284"/>
      <c r="AG574" s="282"/>
      <c r="AH574" s="292"/>
      <c r="AI574" s="292"/>
      <c r="AJ574" s="292"/>
      <c r="AK574" s="282"/>
      <c r="AL574" s="75"/>
      <c r="AM574" s="75"/>
      <c r="AN574" s="75"/>
      <c r="AO574" s="282"/>
      <c r="AP574" s="75"/>
      <c r="AQ574" s="75"/>
      <c r="AR574" s="75"/>
      <c r="AS574" s="75"/>
      <c r="AT574" s="75"/>
    </row>
    <row r="575">
      <c r="A575" s="282"/>
      <c r="B575" s="125"/>
      <c r="C575" s="113"/>
      <c r="D575" s="75"/>
      <c r="E575" s="282"/>
      <c r="F575" s="125"/>
      <c r="G575" s="113"/>
      <c r="H575" s="75"/>
      <c r="I575" s="282"/>
      <c r="J575" s="125"/>
      <c r="K575" s="113"/>
      <c r="L575" s="75"/>
      <c r="M575" s="282"/>
      <c r="N575" s="125"/>
      <c r="O575" s="113"/>
      <c r="P575" s="75"/>
      <c r="Q575" s="282"/>
      <c r="R575" s="125"/>
      <c r="S575" s="113"/>
      <c r="T575" s="75"/>
      <c r="U575" s="282"/>
      <c r="V575" s="125"/>
      <c r="W575" s="113"/>
      <c r="X575" s="75"/>
      <c r="Y575" s="282"/>
      <c r="Z575" s="290"/>
      <c r="AA575" s="291"/>
      <c r="AB575" s="73"/>
      <c r="AC575" s="282"/>
      <c r="AD575" s="125"/>
      <c r="AE575" s="241"/>
      <c r="AF575" s="284"/>
      <c r="AG575" s="282"/>
      <c r="AH575" s="292"/>
      <c r="AI575" s="292"/>
      <c r="AJ575" s="292"/>
      <c r="AK575" s="282"/>
      <c r="AL575" s="75"/>
      <c r="AM575" s="75"/>
      <c r="AN575" s="75"/>
      <c r="AO575" s="282"/>
      <c r="AP575" s="75"/>
      <c r="AQ575" s="75"/>
      <c r="AR575" s="75"/>
      <c r="AS575" s="75"/>
      <c r="AT575" s="75"/>
    </row>
    <row r="576">
      <c r="A576" s="282"/>
      <c r="B576" s="125"/>
      <c r="C576" s="113"/>
      <c r="D576" s="75"/>
      <c r="E576" s="282"/>
      <c r="F576" s="125"/>
      <c r="G576" s="113"/>
      <c r="H576" s="75"/>
      <c r="I576" s="282"/>
      <c r="J576" s="125"/>
      <c r="K576" s="113"/>
      <c r="L576" s="75"/>
      <c r="M576" s="282"/>
      <c r="N576" s="125"/>
      <c r="O576" s="113"/>
      <c r="P576" s="75"/>
      <c r="Q576" s="282"/>
      <c r="R576" s="125"/>
      <c r="S576" s="113"/>
      <c r="T576" s="75"/>
      <c r="U576" s="282"/>
      <c r="V576" s="125"/>
      <c r="W576" s="113"/>
      <c r="X576" s="75"/>
      <c r="Y576" s="282"/>
      <c r="Z576" s="290"/>
      <c r="AA576" s="291"/>
      <c r="AB576" s="73"/>
      <c r="AC576" s="282"/>
      <c r="AD576" s="125"/>
      <c r="AE576" s="241"/>
      <c r="AF576" s="284"/>
      <c r="AG576" s="282"/>
      <c r="AH576" s="292"/>
      <c r="AI576" s="292"/>
      <c r="AJ576" s="292"/>
      <c r="AK576" s="282"/>
      <c r="AL576" s="75"/>
      <c r="AM576" s="75"/>
      <c r="AN576" s="75"/>
      <c r="AO576" s="282"/>
      <c r="AP576" s="75"/>
      <c r="AQ576" s="75"/>
      <c r="AR576" s="75"/>
      <c r="AS576" s="75"/>
      <c r="AT576" s="75"/>
    </row>
    <row r="577">
      <c r="A577" s="282"/>
      <c r="B577" s="125"/>
      <c r="C577" s="113"/>
      <c r="D577" s="75"/>
      <c r="E577" s="282"/>
      <c r="F577" s="125"/>
      <c r="G577" s="113"/>
      <c r="H577" s="75"/>
      <c r="I577" s="282"/>
      <c r="J577" s="125"/>
      <c r="K577" s="113"/>
      <c r="L577" s="75"/>
      <c r="M577" s="282"/>
      <c r="N577" s="125"/>
      <c r="O577" s="113"/>
      <c r="P577" s="75"/>
      <c r="Q577" s="282"/>
      <c r="R577" s="125"/>
      <c r="S577" s="113"/>
      <c r="T577" s="75"/>
      <c r="U577" s="282"/>
      <c r="V577" s="125"/>
      <c r="W577" s="113"/>
      <c r="X577" s="75"/>
      <c r="Y577" s="282"/>
      <c r="Z577" s="290"/>
      <c r="AA577" s="291"/>
      <c r="AB577" s="73"/>
      <c r="AC577" s="282"/>
      <c r="AD577" s="125"/>
      <c r="AE577" s="241"/>
      <c r="AF577" s="284"/>
      <c r="AG577" s="282"/>
      <c r="AH577" s="292"/>
      <c r="AI577" s="292"/>
      <c r="AJ577" s="292"/>
      <c r="AK577" s="282"/>
      <c r="AL577" s="75"/>
      <c r="AM577" s="75"/>
      <c r="AN577" s="75"/>
      <c r="AO577" s="282"/>
      <c r="AP577" s="75"/>
      <c r="AQ577" s="75"/>
      <c r="AR577" s="75"/>
      <c r="AS577" s="75"/>
      <c r="AT577" s="75"/>
    </row>
    <row r="578">
      <c r="A578" s="282"/>
      <c r="B578" s="125"/>
      <c r="C578" s="113"/>
      <c r="D578" s="75"/>
      <c r="E578" s="282"/>
      <c r="F578" s="125"/>
      <c r="G578" s="113"/>
      <c r="H578" s="75"/>
      <c r="I578" s="282"/>
      <c r="J578" s="125"/>
      <c r="K578" s="113"/>
      <c r="L578" s="75"/>
      <c r="M578" s="282"/>
      <c r="N578" s="125"/>
      <c r="O578" s="113"/>
      <c r="P578" s="75"/>
      <c r="Q578" s="282"/>
      <c r="R578" s="125"/>
      <c r="S578" s="113"/>
      <c r="T578" s="75"/>
      <c r="U578" s="282"/>
      <c r="V578" s="125"/>
      <c r="W578" s="113"/>
      <c r="X578" s="75"/>
      <c r="Y578" s="282"/>
      <c r="Z578" s="290"/>
      <c r="AA578" s="291"/>
      <c r="AB578" s="73"/>
      <c r="AC578" s="282"/>
      <c r="AD578" s="125"/>
      <c r="AE578" s="241"/>
      <c r="AF578" s="284"/>
      <c r="AG578" s="282"/>
      <c r="AH578" s="292"/>
      <c r="AI578" s="292"/>
      <c r="AJ578" s="292"/>
      <c r="AK578" s="282"/>
      <c r="AL578" s="75"/>
      <c r="AM578" s="75"/>
      <c r="AN578" s="75"/>
      <c r="AO578" s="282"/>
      <c r="AP578" s="75"/>
      <c r="AQ578" s="75"/>
      <c r="AR578" s="75"/>
      <c r="AS578" s="75"/>
      <c r="AT578" s="75"/>
    </row>
    <row r="579">
      <c r="A579" s="282"/>
      <c r="B579" s="125"/>
      <c r="C579" s="113"/>
      <c r="D579" s="75"/>
      <c r="E579" s="282"/>
      <c r="F579" s="125"/>
      <c r="G579" s="113"/>
      <c r="H579" s="75"/>
      <c r="I579" s="282"/>
      <c r="J579" s="125"/>
      <c r="K579" s="113"/>
      <c r="L579" s="75"/>
      <c r="M579" s="282"/>
      <c r="N579" s="125"/>
      <c r="O579" s="113"/>
      <c r="P579" s="75"/>
      <c r="Q579" s="282"/>
      <c r="R579" s="125"/>
      <c r="S579" s="113"/>
      <c r="T579" s="75"/>
      <c r="U579" s="282"/>
      <c r="V579" s="125"/>
      <c r="W579" s="113"/>
      <c r="X579" s="75"/>
      <c r="Y579" s="282"/>
      <c r="Z579" s="290"/>
      <c r="AA579" s="291"/>
      <c r="AB579" s="73"/>
      <c r="AC579" s="282"/>
      <c r="AD579" s="125"/>
      <c r="AE579" s="241"/>
      <c r="AF579" s="284"/>
      <c r="AG579" s="282"/>
      <c r="AH579" s="292"/>
      <c r="AI579" s="292"/>
      <c r="AJ579" s="292"/>
      <c r="AK579" s="282"/>
      <c r="AL579" s="75"/>
      <c r="AM579" s="75"/>
      <c r="AN579" s="75"/>
      <c r="AO579" s="282"/>
      <c r="AP579" s="75"/>
      <c r="AQ579" s="75"/>
      <c r="AR579" s="75"/>
      <c r="AS579" s="75"/>
      <c r="AT579" s="75"/>
    </row>
    <row r="580">
      <c r="A580" s="282"/>
      <c r="B580" s="125"/>
      <c r="C580" s="113"/>
      <c r="D580" s="75"/>
      <c r="E580" s="282"/>
      <c r="F580" s="125"/>
      <c r="G580" s="113"/>
      <c r="H580" s="75"/>
      <c r="I580" s="282"/>
      <c r="J580" s="125"/>
      <c r="K580" s="113"/>
      <c r="L580" s="75"/>
      <c r="M580" s="282"/>
      <c r="N580" s="125"/>
      <c r="O580" s="113"/>
      <c r="P580" s="75"/>
      <c r="Q580" s="282"/>
      <c r="R580" s="125"/>
      <c r="S580" s="113"/>
      <c r="T580" s="75"/>
      <c r="U580" s="282"/>
      <c r="V580" s="125"/>
      <c r="W580" s="113"/>
      <c r="X580" s="75"/>
      <c r="Y580" s="282"/>
      <c r="Z580" s="290"/>
      <c r="AA580" s="291"/>
      <c r="AB580" s="73"/>
      <c r="AC580" s="282"/>
      <c r="AD580" s="125"/>
      <c r="AE580" s="241"/>
      <c r="AF580" s="284"/>
      <c r="AG580" s="282"/>
      <c r="AH580" s="292"/>
      <c r="AI580" s="292"/>
      <c r="AJ580" s="292"/>
      <c r="AK580" s="282"/>
      <c r="AL580" s="75"/>
      <c r="AM580" s="75"/>
      <c r="AN580" s="75"/>
      <c r="AO580" s="282"/>
      <c r="AP580" s="75"/>
      <c r="AQ580" s="75"/>
      <c r="AR580" s="75"/>
      <c r="AS580" s="75"/>
      <c r="AT580" s="75"/>
    </row>
    <row r="581">
      <c r="A581" s="282"/>
      <c r="B581" s="125"/>
      <c r="C581" s="113"/>
      <c r="D581" s="75"/>
      <c r="E581" s="282"/>
      <c r="F581" s="125"/>
      <c r="G581" s="113"/>
      <c r="H581" s="75"/>
      <c r="I581" s="282"/>
      <c r="J581" s="125"/>
      <c r="K581" s="113"/>
      <c r="L581" s="75"/>
      <c r="M581" s="282"/>
      <c r="N581" s="125"/>
      <c r="O581" s="113"/>
      <c r="P581" s="75"/>
      <c r="Q581" s="282"/>
      <c r="R581" s="125"/>
      <c r="S581" s="113"/>
      <c r="T581" s="75"/>
      <c r="U581" s="282"/>
      <c r="V581" s="125"/>
      <c r="W581" s="113"/>
      <c r="X581" s="75"/>
      <c r="Y581" s="282"/>
      <c r="Z581" s="290"/>
      <c r="AA581" s="291"/>
      <c r="AB581" s="73"/>
      <c r="AC581" s="282"/>
      <c r="AD581" s="125"/>
      <c r="AE581" s="241"/>
      <c r="AF581" s="284"/>
      <c r="AG581" s="282"/>
      <c r="AH581" s="292"/>
      <c r="AI581" s="292"/>
      <c r="AJ581" s="292"/>
      <c r="AK581" s="282"/>
      <c r="AL581" s="75"/>
      <c r="AM581" s="75"/>
      <c r="AN581" s="75"/>
      <c r="AO581" s="282"/>
      <c r="AP581" s="75"/>
      <c r="AQ581" s="75"/>
      <c r="AR581" s="75"/>
      <c r="AS581" s="75"/>
      <c r="AT581" s="75"/>
    </row>
    <row r="582">
      <c r="A582" s="282"/>
      <c r="B582" s="125"/>
      <c r="C582" s="113"/>
      <c r="D582" s="75"/>
      <c r="E582" s="282"/>
      <c r="F582" s="125"/>
      <c r="G582" s="113"/>
      <c r="H582" s="75"/>
      <c r="I582" s="282"/>
      <c r="J582" s="125"/>
      <c r="K582" s="113"/>
      <c r="L582" s="75"/>
      <c r="M582" s="282"/>
      <c r="N582" s="125"/>
      <c r="O582" s="113"/>
      <c r="P582" s="75"/>
      <c r="Q582" s="282"/>
      <c r="R582" s="125"/>
      <c r="S582" s="113"/>
      <c r="T582" s="75"/>
      <c r="U582" s="282"/>
      <c r="V582" s="125"/>
      <c r="W582" s="113"/>
      <c r="X582" s="75"/>
      <c r="Y582" s="282"/>
      <c r="Z582" s="290"/>
      <c r="AA582" s="291"/>
      <c r="AB582" s="73"/>
      <c r="AC582" s="282"/>
      <c r="AD582" s="125"/>
      <c r="AE582" s="241"/>
      <c r="AF582" s="284"/>
      <c r="AG582" s="282"/>
      <c r="AH582" s="292"/>
      <c r="AI582" s="292"/>
      <c r="AJ582" s="292"/>
      <c r="AK582" s="282"/>
      <c r="AL582" s="75"/>
      <c r="AM582" s="75"/>
      <c r="AN582" s="75"/>
      <c r="AO582" s="282"/>
      <c r="AP582" s="75"/>
      <c r="AQ582" s="75"/>
      <c r="AR582" s="75"/>
      <c r="AS582" s="75"/>
      <c r="AT582" s="75"/>
    </row>
    <row r="583">
      <c r="A583" s="282"/>
      <c r="B583" s="125"/>
      <c r="C583" s="113"/>
      <c r="D583" s="75"/>
      <c r="E583" s="282"/>
      <c r="F583" s="125"/>
      <c r="G583" s="113"/>
      <c r="H583" s="75"/>
      <c r="I583" s="282"/>
      <c r="J583" s="125"/>
      <c r="K583" s="113"/>
      <c r="L583" s="75"/>
      <c r="M583" s="282"/>
      <c r="N583" s="125"/>
      <c r="O583" s="113"/>
      <c r="P583" s="75"/>
      <c r="Q583" s="282"/>
      <c r="R583" s="125"/>
      <c r="S583" s="113"/>
      <c r="T583" s="75"/>
      <c r="U583" s="282"/>
      <c r="V583" s="125"/>
      <c r="W583" s="113"/>
      <c r="X583" s="75"/>
      <c r="Y583" s="282"/>
      <c r="Z583" s="290"/>
      <c r="AA583" s="291"/>
      <c r="AB583" s="73"/>
      <c r="AC583" s="282"/>
      <c r="AD583" s="125"/>
      <c r="AE583" s="241"/>
      <c r="AF583" s="284"/>
      <c r="AG583" s="282"/>
      <c r="AH583" s="292"/>
      <c r="AI583" s="292"/>
      <c r="AJ583" s="292"/>
      <c r="AK583" s="282"/>
      <c r="AL583" s="75"/>
      <c r="AM583" s="75"/>
      <c r="AN583" s="75"/>
      <c r="AO583" s="282"/>
      <c r="AP583" s="75"/>
      <c r="AQ583" s="75"/>
      <c r="AR583" s="75"/>
      <c r="AS583" s="75"/>
      <c r="AT583" s="75"/>
    </row>
    <row r="584">
      <c r="A584" s="282"/>
      <c r="B584" s="125"/>
      <c r="C584" s="113"/>
      <c r="D584" s="75"/>
      <c r="E584" s="282"/>
      <c r="F584" s="125"/>
      <c r="G584" s="113"/>
      <c r="H584" s="75"/>
      <c r="I584" s="282"/>
      <c r="J584" s="125"/>
      <c r="K584" s="113"/>
      <c r="L584" s="75"/>
      <c r="M584" s="282"/>
      <c r="N584" s="125"/>
      <c r="O584" s="113"/>
      <c r="P584" s="75"/>
      <c r="Q584" s="282"/>
      <c r="R584" s="125"/>
      <c r="S584" s="113"/>
      <c r="T584" s="75"/>
      <c r="U584" s="282"/>
      <c r="V584" s="125"/>
      <c r="W584" s="113"/>
      <c r="X584" s="75"/>
      <c r="Y584" s="282"/>
      <c r="Z584" s="290"/>
      <c r="AA584" s="291"/>
      <c r="AB584" s="73"/>
      <c r="AC584" s="282"/>
      <c r="AD584" s="125"/>
      <c r="AE584" s="241"/>
      <c r="AF584" s="284"/>
      <c r="AG584" s="282"/>
      <c r="AH584" s="292"/>
      <c r="AI584" s="292"/>
      <c r="AJ584" s="292"/>
      <c r="AK584" s="282"/>
      <c r="AL584" s="75"/>
      <c r="AM584" s="75"/>
      <c r="AN584" s="75"/>
      <c r="AO584" s="282"/>
      <c r="AP584" s="75"/>
      <c r="AQ584" s="75"/>
      <c r="AR584" s="75"/>
      <c r="AS584" s="75"/>
      <c r="AT584" s="75"/>
    </row>
    <row r="585">
      <c r="A585" s="282"/>
      <c r="B585" s="125"/>
      <c r="C585" s="113"/>
      <c r="D585" s="75"/>
      <c r="E585" s="282"/>
      <c r="F585" s="125"/>
      <c r="G585" s="113"/>
      <c r="H585" s="75"/>
      <c r="I585" s="282"/>
      <c r="J585" s="125"/>
      <c r="K585" s="113"/>
      <c r="L585" s="75"/>
      <c r="M585" s="282"/>
      <c r="N585" s="125"/>
      <c r="O585" s="113"/>
      <c r="P585" s="75"/>
      <c r="Q585" s="282"/>
      <c r="R585" s="125"/>
      <c r="S585" s="113"/>
      <c r="T585" s="75"/>
      <c r="U585" s="282"/>
      <c r="V585" s="125"/>
      <c r="W585" s="113"/>
      <c r="X585" s="75"/>
      <c r="Y585" s="282"/>
      <c r="Z585" s="290"/>
      <c r="AA585" s="291"/>
      <c r="AB585" s="73"/>
      <c r="AC585" s="282"/>
      <c r="AD585" s="125"/>
      <c r="AE585" s="241"/>
      <c r="AF585" s="284"/>
      <c r="AG585" s="282"/>
      <c r="AH585" s="292"/>
      <c r="AI585" s="292"/>
      <c r="AJ585" s="292"/>
      <c r="AK585" s="282"/>
      <c r="AL585" s="75"/>
      <c r="AM585" s="75"/>
      <c r="AN585" s="75"/>
      <c r="AO585" s="282"/>
      <c r="AP585" s="75"/>
      <c r="AQ585" s="75"/>
      <c r="AR585" s="75"/>
      <c r="AS585" s="75"/>
      <c r="AT585" s="75"/>
    </row>
    <row r="586">
      <c r="A586" s="282"/>
      <c r="B586" s="125"/>
      <c r="C586" s="113"/>
      <c r="D586" s="75"/>
      <c r="E586" s="282"/>
      <c r="F586" s="125"/>
      <c r="G586" s="113"/>
      <c r="H586" s="75"/>
      <c r="I586" s="282"/>
      <c r="J586" s="125"/>
      <c r="K586" s="113"/>
      <c r="L586" s="75"/>
      <c r="M586" s="282"/>
      <c r="N586" s="125"/>
      <c r="O586" s="113"/>
      <c r="P586" s="75"/>
      <c r="Q586" s="282"/>
      <c r="R586" s="125"/>
      <c r="S586" s="113"/>
      <c r="T586" s="75"/>
      <c r="U586" s="282"/>
      <c r="V586" s="125"/>
      <c r="W586" s="113"/>
      <c r="X586" s="75"/>
      <c r="Y586" s="282"/>
      <c r="Z586" s="290"/>
      <c r="AA586" s="291"/>
      <c r="AB586" s="73"/>
      <c r="AC586" s="282"/>
      <c r="AD586" s="125"/>
      <c r="AE586" s="241"/>
      <c r="AF586" s="284"/>
      <c r="AG586" s="282"/>
      <c r="AH586" s="292"/>
      <c r="AI586" s="292"/>
      <c r="AJ586" s="292"/>
      <c r="AK586" s="282"/>
      <c r="AL586" s="75"/>
      <c r="AM586" s="75"/>
      <c r="AN586" s="75"/>
      <c r="AO586" s="282"/>
      <c r="AP586" s="75"/>
      <c r="AQ586" s="75"/>
      <c r="AR586" s="75"/>
      <c r="AS586" s="75"/>
      <c r="AT586" s="75"/>
    </row>
    <row r="587">
      <c r="A587" s="282"/>
      <c r="B587" s="125"/>
      <c r="C587" s="113"/>
      <c r="D587" s="75"/>
      <c r="E587" s="282"/>
      <c r="F587" s="125"/>
      <c r="G587" s="113"/>
      <c r="H587" s="75"/>
      <c r="I587" s="282"/>
      <c r="J587" s="125"/>
      <c r="K587" s="113"/>
      <c r="L587" s="75"/>
      <c r="M587" s="282"/>
      <c r="N587" s="125"/>
      <c r="O587" s="113"/>
      <c r="P587" s="75"/>
      <c r="Q587" s="282"/>
      <c r="R587" s="125"/>
      <c r="S587" s="113"/>
      <c r="T587" s="75"/>
      <c r="U587" s="282"/>
      <c r="V587" s="125"/>
      <c r="W587" s="113"/>
      <c r="X587" s="75"/>
      <c r="Y587" s="282"/>
      <c r="Z587" s="290"/>
      <c r="AA587" s="291"/>
      <c r="AB587" s="73"/>
      <c r="AC587" s="282"/>
      <c r="AD587" s="125"/>
      <c r="AE587" s="241"/>
      <c r="AF587" s="284"/>
      <c r="AG587" s="282"/>
      <c r="AH587" s="292"/>
      <c r="AI587" s="292"/>
      <c r="AJ587" s="292"/>
      <c r="AK587" s="282"/>
      <c r="AL587" s="75"/>
      <c r="AM587" s="75"/>
      <c r="AN587" s="75"/>
      <c r="AO587" s="282"/>
      <c r="AP587" s="75"/>
      <c r="AQ587" s="75"/>
      <c r="AR587" s="75"/>
      <c r="AS587" s="75"/>
      <c r="AT587" s="75"/>
    </row>
    <row r="588">
      <c r="A588" s="282"/>
      <c r="B588" s="125"/>
      <c r="C588" s="113"/>
      <c r="D588" s="75"/>
      <c r="E588" s="282"/>
      <c r="F588" s="125"/>
      <c r="G588" s="113"/>
      <c r="H588" s="75"/>
      <c r="I588" s="282"/>
      <c r="J588" s="125"/>
      <c r="K588" s="113"/>
      <c r="L588" s="75"/>
      <c r="M588" s="282"/>
      <c r="N588" s="125"/>
      <c r="O588" s="113"/>
      <c r="P588" s="75"/>
      <c r="Q588" s="282"/>
      <c r="R588" s="125"/>
      <c r="S588" s="113"/>
      <c r="T588" s="75"/>
      <c r="U588" s="282"/>
      <c r="V588" s="125"/>
      <c r="W588" s="113"/>
      <c r="X588" s="75"/>
      <c r="Y588" s="282"/>
      <c r="Z588" s="290"/>
      <c r="AA588" s="291"/>
      <c r="AB588" s="73"/>
      <c r="AC588" s="282"/>
      <c r="AD588" s="125"/>
      <c r="AE588" s="241"/>
      <c r="AF588" s="284"/>
      <c r="AG588" s="282"/>
      <c r="AH588" s="292"/>
      <c r="AI588" s="292"/>
      <c r="AJ588" s="292"/>
      <c r="AK588" s="282"/>
      <c r="AL588" s="75"/>
      <c r="AM588" s="75"/>
      <c r="AN588" s="75"/>
      <c r="AO588" s="282"/>
      <c r="AP588" s="75"/>
      <c r="AQ588" s="75"/>
      <c r="AR588" s="75"/>
      <c r="AS588" s="75"/>
      <c r="AT588" s="75"/>
    </row>
    <row r="589">
      <c r="A589" s="282"/>
      <c r="B589" s="125"/>
      <c r="C589" s="113"/>
      <c r="D589" s="75"/>
      <c r="E589" s="282"/>
      <c r="F589" s="125"/>
      <c r="G589" s="113"/>
      <c r="H589" s="75"/>
      <c r="I589" s="282"/>
      <c r="J589" s="125"/>
      <c r="K589" s="113"/>
      <c r="L589" s="75"/>
      <c r="M589" s="282"/>
      <c r="N589" s="125"/>
      <c r="O589" s="113"/>
      <c r="P589" s="75"/>
      <c r="Q589" s="282"/>
      <c r="R589" s="125"/>
      <c r="S589" s="113"/>
      <c r="T589" s="75"/>
      <c r="U589" s="282"/>
      <c r="V589" s="125"/>
      <c r="W589" s="113"/>
      <c r="X589" s="75"/>
      <c r="Y589" s="282"/>
      <c r="Z589" s="290"/>
      <c r="AA589" s="291"/>
      <c r="AB589" s="73"/>
      <c r="AC589" s="282"/>
      <c r="AD589" s="125"/>
      <c r="AE589" s="241"/>
      <c r="AF589" s="284"/>
      <c r="AG589" s="282"/>
      <c r="AH589" s="292"/>
      <c r="AI589" s="292"/>
      <c r="AJ589" s="292"/>
      <c r="AK589" s="282"/>
      <c r="AL589" s="75"/>
      <c r="AM589" s="75"/>
      <c r="AN589" s="75"/>
      <c r="AO589" s="282"/>
      <c r="AP589" s="75"/>
      <c r="AQ589" s="75"/>
      <c r="AR589" s="75"/>
      <c r="AS589" s="75"/>
      <c r="AT589" s="75"/>
    </row>
    <row r="590">
      <c r="A590" s="282"/>
      <c r="B590" s="125"/>
      <c r="C590" s="113"/>
      <c r="D590" s="75"/>
      <c r="E590" s="282"/>
      <c r="F590" s="125"/>
      <c r="G590" s="113"/>
      <c r="H590" s="75"/>
      <c r="I590" s="282"/>
      <c r="J590" s="125"/>
      <c r="K590" s="113"/>
      <c r="L590" s="75"/>
      <c r="M590" s="282"/>
      <c r="N590" s="125"/>
      <c r="O590" s="113"/>
      <c r="P590" s="75"/>
      <c r="Q590" s="282"/>
      <c r="R590" s="125"/>
      <c r="S590" s="113"/>
      <c r="T590" s="75"/>
      <c r="U590" s="282"/>
      <c r="V590" s="125"/>
      <c r="W590" s="113"/>
      <c r="X590" s="75"/>
      <c r="Y590" s="282"/>
      <c r="Z590" s="290"/>
      <c r="AA590" s="291"/>
      <c r="AB590" s="73"/>
      <c r="AC590" s="282"/>
      <c r="AD590" s="125"/>
      <c r="AE590" s="241"/>
      <c r="AF590" s="284"/>
      <c r="AG590" s="282"/>
      <c r="AH590" s="292"/>
      <c r="AI590" s="292"/>
      <c r="AJ590" s="292"/>
      <c r="AK590" s="282"/>
      <c r="AL590" s="75"/>
      <c r="AM590" s="75"/>
      <c r="AN590" s="75"/>
      <c r="AO590" s="282"/>
      <c r="AP590" s="75"/>
      <c r="AQ590" s="75"/>
      <c r="AR590" s="75"/>
      <c r="AS590" s="75"/>
      <c r="AT590" s="75"/>
    </row>
    <row r="591">
      <c r="A591" s="282"/>
      <c r="B591" s="125"/>
      <c r="C591" s="113"/>
      <c r="D591" s="75"/>
      <c r="E591" s="282"/>
      <c r="F591" s="125"/>
      <c r="G591" s="113"/>
      <c r="H591" s="75"/>
      <c r="I591" s="282"/>
      <c r="J591" s="125"/>
      <c r="K591" s="113"/>
      <c r="L591" s="75"/>
      <c r="M591" s="282"/>
      <c r="N591" s="125"/>
      <c r="O591" s="113"/>
      <c r="P591" s="75"/>
      <c r="Q591" s="282"/>
      <c r="R591" s="125"/>
      <c r="S591" s="113"/>
      <c r="T591" s="75"/>
      <c r="U591" s="282"/>
      <c r="V591" s="125"/>
      <c r="W591" s="113"/>
      <c r="X591" s="75"/>
      <c r="Y591" s="282"/>
      <c r="Z591" s="290"/>
      <c r="AA591" s="291"/>
      <c r="AB591" s="73"/>
      <c r="AC591" s="282"/>
      <c r="AD591" s="125"/>
      <c r="AE591" s="241"/>
      <c r="AF591" s="284"/>
      <c r="AG591" s="282"/>
      <c r="AH591" s="292"/>
      <c r="AI591" s="292"/>
      <c r="AJ591" s="292"/>
      <c r="AK591" s="282"/>
      <c r="AL591" s="75"/>
      <c r="AM591" s="75"/>
      <c r="AN591" s="75"/>
      <c r="AO591" s="282"/>
      <c r="AP591" s="75"/>
      <c r="AQ591" s="75"/>
      <c r="AR591" s="75"/>
      <c r="AS591" s="75"/>
      <c r="AT591" s="75"/>
    </row>
    <row r="592">
      <c r="A592" s="282"/>
      <c r="B592" s="125"/>
      <c r="C592" s="113"/>
      <c r="D592" s="75"/>
      <c r="E592" s="282"/>
      <c r="F592" s="125"/>
      <c r="G592" s="113"/>
      <c r="H592" s="75"/>
      <c r="I592" s="282"/>
      <c r="J592" s="125"/>
      <c r="K592" s="113"/>
      <c r="L592" s="75"/>
      <c r="M592" s="282"/>
      <c r="N592" s="125"/>
      <c r="O592" s="113"/>
      <c r="P592" s="75"/>
      <c r="Q592" s="282"/>
      <c r="R592" s="125"/>
      <c r="S592" s="113"/>
      <c r="T592" s="75"/>
      <c r="U592" s="282"/>
      <c r="V592" s="125"/>
      <c r="W592" s="113"/>
      <c r="X592" s="75"/>
      <c r="Y592" s="282"/>
      <c r="Z592" s="290"/>
      <c r="AA592" s="291"/>
      <c r="AB592" s="73"/>
      <c r="AC592" s="282"/>
      <c r="AD592" s="125"/>
      <c r="AE592" s="241"/>
      <c r="AF592" s="284"/>
      <c r="AG592" s="282"/>
      <c r="AH592" s="292"/>
      <c r="AI592" s="292"/>
      <c r="AJ592" s="292"/>
      <c r="AK592" s="282"/>
      <c r="AL592" s="75"/>
      <c r="AM592" s="75"/>
      <c r="AN592" s="75"/>
      <c r="AO592" s="282"/>
      <c r="AP592" s="75"/>
      <c r="AQ592" s="75"/>
      <c r="AR592" s="75"/>
      <c r="AS592" s="75"/>
      <c r="AT592" s="75"/>
    </row>
    <row r="593">
      <c r="A593" s="282"/>
      <c r="B593" s="125"/>
      <c r="C593" s="113"/>
      <c r="D593" s="75"/>
      <c r="E593" s="282"/>
      <c r="F593" s="125"/>
      <c r="G593" s="113"/>
      <c r="H593" s="75"/>
      <c r="I593" s="282"/>
      <c r="J593" s="125"/>
      <c r="K593" s="113"/>
      <c r="L593" s="75"/>
      <c r="M593" s="282"/>
      <c r="N593" s="125"/>
      <c r="O593" s="113"/>
      <c r="P593" s="75"/>
      <c r="Q593" s="282"/>
      <c r="R593" s="125"/>
      <c r="S593" s="113"/>
      <c r="T593" s="75"/>
      <c r="U593" s="282"/>
      <c r="V593" s="125"/>
      <c r="W593" s="113"/>
      <c r="X593" s="75"/>
      <c r="Y593" s="282"/>
      <c r="Z593" s="290"/>
      <c r="AA593" s="291"/>
      <c r="AB593" s="73"/>
      <c r="AC593" s="282"/>
      <c r="AD593" s="125"/>
      <c r="AE593" s="241"/>
      <c r="AF593" s="284"/>
      <c r="AG593" s="282"/>
      <c r="AH593" s="292"/>
      <c r="AI593" s="292"/>
      <c r="AJ593" s="292"/>
      <c r="AK593" s="282"/>
      <c r="AL593" s="75"/>
      <c r="AM593" s="75"/>
      <c r="AN593" s="75"/>
      <c r="AO593" s="282"/>
      <c r="AP593" s="75"/>
      <c r="AQ593" s="75"/>
      <c r="AR593" s="75"/>
      <c r="AS593" s="75"/>
      <c r="AT593" s="75"/>
    </row>
    <row r="594">
      <c r="A594" s="282"/>
      <c r="B594" s="125"/>
      <c r="C594" s="113"/>
      <c r="D594" s="75"/>
      <c r="E594" s="282"/>
      <c r="F594" s="125"/>
      <c r="G594" s="113"/>
      <c r="H594" s="75"/>
      <c r="I594" s="282"/>
      <c r="J594" s="125"/>
      <c r="K594" s="113"/>
      <c r="L594" s="75"/>
      <c r="M594" s="282"/>
      <c r="N594" s="125"/>
      <c r="O594" s="113"/>
      <c r="P594" s="75"/>
      <c r="Q594" s="282"/>
      <c r="R594" s="125"/>
      <c r="S594" s="113"/>
      <c r="T594" s="75"/>
      <c r="U594" s="282"/>
      <c r="V594" s="125"/>
      <c r="W594" s="113"/>
      <c r="X594" s="75"/>
      <c r="Y594" s="282"/>
      <c r="Z594" s="290"/>
      <c r="AA594" s="291"/>
      <c r="AB594" s="73"/>
      <c r="AC594" s="282"/>
      <c r="AD594" s="125"/>
      <c r="AE594" s="241"/>
      <c r="AF594" s="284"/>
      <c r="AG594" s="282"/>
      <c r="AH594" s="292"/>
      <c r="AI594" s="292"/>
      <c r="AJ594" s="292"/>
      <c r="AK594" s="282"/>
      <c r="AL594" s="75"/>
      <c r="AM594" s="75"/>
      <c r="AN594" s="75"/>
      <c r="AO594" s="282"/>
      <c r="AP594" s="75"/>
      <c r="AQ594" s="75"/>
      <c r="AR594" s="75"/>
      <c r="AS594" s="75"/>
      <c r="AT594" s="75"/>
    </row>
    <row r="595">
      <c r="A595" s="282"/>
      <c r="B595" s="125"/>
      <c r="C595" s="113"/>
      <c r="D595" s="75"/>
      <c r="E595" s="282"/>
      <c r="F595" s="125"/>
      <c r="G595" s="113"/>
      <c r="H595" s="75"/>
      <c r="I595" s="282"/>
      <c r="J595" s="125"/>
      <c r="K595" s="113"/>
      <c r="L595" s="75"/>
      <c r="M595" s="282"/>
      <c r="N595" s="125"/>
      <c r="O595" s="113"/>
      <c r="P595" s="75"/>
      <c r="Q595" s="282"/>
      <c r="R595" s="125"/>
      <c r="S595" s="113"/>
      <c r="T595" s="75"/>
      <c r="U595" s="282"/>
      <c r="V595" s="125"/>
      <c r="W595" s="113"/>
      <c r="X595" s="75"/>
      <c r="Y595" s="282"/>
      <c r="Z595" s="290"/>
      <c r="AA595" s="291"/>
      <c r="AB595" s="73"/>
      <c r="AC595" s="282"/>
      <c r="AD595" s="125"/>
      <c r="AE595" s="241"/>
      <c r="AF595" s="284"/>
      <c r="AG595" s="282"/>
      <c r="AH595" s="292"/>
      <c r="AI595" s="292"/>
      <c r="AJ595" s="292"/>
      <c r="AK595" s="282"/>
      <c r="AL595" s="75"/>
      <c r="AM595" s="75"/>
      <c r="AN595" s="75"/>
      <c r="AO595" s="282"/>
      <c r="AP595" s="75"/>
      <c r="AQ595" s="75"/>
      <c r="AR595" s="75"/>
      <c r="AS595" s="75"/>
      <c r="AT595" s="75"/>
    </row>
    <row r="596">
      <c r="A596" s="282"/>
      <c r="B596" s="125"/>
      <c r="C596" s="113"/>
      <c r="D596" s="75"/>
      <c r="E596" s="282"/>
      <c r="F596" s="125"/>
      <c r="G596" s="113"/>
      <c r="H596" s="75"/>
      <c r="I596" s="282"/>
      <c r="J596" s="125"/>
      <c r="K596" s="113"/>
      <c r="L596" s="75"/>
      <c r="M596" s="282"/>
      <c r="N596" s="125"/>
      <c r="O596" s="113"/>
      <c r="P596" s="75"/>
      <c r="Q596" s="282"/>
      <c r="R596" s="125"/>
      <c r="S596" s="113"/>
      <c r="T596" s="75"/>
      <c r="U596" s="282"/>
      <c r="V596" s="125"/>
      <c r="W596" s="113"/>
      <c r="X596" s="75"/>
      <c r="Y596" s="282"/>
      <c r="Z596" s="290"/>
      <c r="AA596" s="291"/>
      <c r="AB596" s="73"/>
      <c r="AC596" s="282"/>
      <c r="AD596" s="125"/>
      <c r="AE596" s="241"/>
      <c r="AF596" s="284"/>
      <c r="AG596" s="282"/>
      <c r="AH596" s="292"/>
      <c r="AI596" s="292"/>
      <c r="AJ596" s="292"/>
      <c r="AK596" s="282"/>
      <c r="AL596" s="75"/>
      <c r="AM596" s="75"/>
      <c r="AN596" s="75"/>
      <c r="AO596" s="282"/>
      <c r="AP596" s="75"/>
      <c r="AQ596" s="75"/>
      <c r="AR596" s="75"/>
      <c r="AS596" s="75"/>
      <c r="AT596" s="75"/>
    </row>
    <row r="597">
      <c r="A597" s="282"/>
      <c r="B597" s="125"/>
      <c r="C597" s="113"/>
      <c r="D597" s="75"/>
      <c r="E597" s="282"/>
      <c r="F597" s="125"/>
      <c r="G597" s="113"/>
      <c r="H597" s="75"/>
      <c r="I597" s="282"/>
      <c r="J597" s="125"/>
      <c r="K597" s="113"/>
      <c r="L597" s="75"/>
      <c r="M597" s="282"/>
      <c r="N597" s="125"/>
      <c r="O597" s="113"/>
      <c r="P597" s="75"/>
      <c r="Q597" s="282"/>
      <c r="R597" s="125"/>
      <c r="S597" s="113"/>
      <c r="T597" s="75"/>
      <c r="U597" s="282"/>
      <c r="V597" s="125"/>
      <c r="W597" s="113"/>
      <c r="X597" s="75"/>
      <c r="Y597" s="282"/>
      <c r="Z597" s="290"/>
      <c r="AA597" s="291"/>
      <c r="AB597" s="73"/>
      <c r="AC597" s="282"/>
      <c r="AD597" s="125"/>
      <c r="AE597" s="241"/>
      <c r="AF597" s="284"/>
      <c r="AG597" s="282"/>
      <c r="AH597" s="292"/>
      <c r="AI597" s="292"/>
      <c r="AJ597" s="292"/>
      <c r="AK597" s="282"/>
      <c r="AL597" s="75"/>
      <c r="AM597" s="75"/>
      <c r="AN597" s="75"/>
      <c r="AO597" s="282"/>
      <c r="AP597" s="75"/>
      <c r="AQ597" s="75"/>
      <c r="AR597" s="75"/>
      <c r="AS597" s="75"/>
      <c r="AT597" s="75"/>
    </row>
    <row r="598">
      <c r="A598" s="282"/>
      <c r="B598" s="125"/>
      <c r="C598" s="113"/>
      <c r="D598" s="75"/>
      <c r="E598" s="282"/>
      <c r="F598" s="125"/>
      <c r="G598" s="113"/>
      <c r="H598" s="75"/>
      <c r="I598" s="282"/>
      <c r="J598" s="125"/>
      <c r="K598" s="113"/>
      <c r="L598" s="75"/>
      <c r="M598" s="282"/>
      <c r="N598" s="125"/>
      <c r="O598" s="113"/>
      <c r="P598" s="75"/>
      <c r="Q598" s="282"/>
      <c r="R598" s="125"/>
      <c r="S598" s="113"/>
      <c r="T598" s="75"/>
      <c r="U598" s="282"/>
      <c r="V598" s="125"/>
      <c r="W598" s="113"/>
      <c r="X598" s="75"/>
      <c r="Y598" s="282"/>
      <c r="Z598" s="290"/>
      <c r="AA598" s="291"/>
      <c r="AB598" s="73"/>
      <c r="AC598" s="282"/>
      <c r="AD598" s="125"/>
      <c r="AE598" s="241"/>
      <c r="AF598" s="284"/>
      <c r="AG598" s="282"/>
      <c r="AH598" s="292"/>
      <c r="AI598" s="292"/>
      <c r="AJ598" s="292"/>
      <c r="AK598" s="282"/>
      <c r="AL598" s="75"/>
      <c r="AM598" s="75"/>
      <c r="AN598" s="75"/>
      <c r="AO598" s="282"/>
      <c r="AP598" s="75"/>
      <c r="AQ598" s="75"/>
      <c r="AR598" s="75"/>
      <c r="AS598" s="75"/>
      <c r="AT598" s="75"/>
    </row>
    <row r="599">
      <c r="A599" s="282"/>
      <c r="B599" s="125"/>
      <c r="C599" s="113"/>
      <c r="D599" s="75"/>
      <c r="E599" s="282"/>
      <c r="F599" s="125"/>
      <c r="G599" s="113"/>
      <c r="H599" s="75"/>
      <c r="I599" s="282"/>
      <c r="J599" s="125"/>
      <c r="K599" s="113"/>
      <c r="L599" s="75"/>
      <c r="M599" s="282"/>
      <c r="N599" s="125"/>
      <c r="O599" s="113"/>
      <c r="P599" s="75"/>
      <c r="Q599" s="282"/>
      <c r="R599" s="125"/>
      <c r="S599" s="113"/>
      <c r="T599" s="75"/>
      <c r="U599" s="282"/>
      <c r="V599" s="125"/>
      <c r="W599" s="113"/>
      <c r="X599" s="75"/>
      <c r="Y599" s="282"/>
      <c r="Z599" s="290"/>
      <c r="AA599" s="291"/>
      <c r="AB599" s="73"/>
      <c r="AC599" s="282"/>
      <c r="AD599" s="125"/>
      <c r="AE599" s="241"/>
      <c r="AF599" s="284"/>
      <c r="AG599" s="282"/>
      <c r="AH599" s="292"/>
      <c r="AI599" s="292"/>
      <c r="AJ599" s="292"/>
      <c r="AK599" s="282"/>
      <c r="AL599" s="75"/>
      <c r="AM599" s="75"/>
      <c r="AN599" s="75"/>
      <c r="AO599" s="282"/>
      <c r="AP599" s="75"/>
      <c r="AQ599" s="75"/>
      <c r="AR599" s="75"/>
      <c r="AS599" s="75"/>
      <c r="AT599" s="75"/>
    </row>
    <row r="600">
      <c r="A600" s="282"/>
      <c r="B600" s="125"/>
      <c r="C600" s="113"/>
      <c r="D600" s="75"/>
      <c r="E600" s="282"/>
      <c r="F600" s="125"/>
      <c r="G600" s="113"/>
      <c r="H600" s="75"/>
      <c r="I600" s="282"/>
      <c r="J600" s="125"/>
      <c r="K600" s="113"/>
      <c r="L600" s="75"/>
      <c r="M600" s="282"/>
      <c r="N600" s="125"/>
      <c r="O600" s="113"/>
      <c r="P600" s="75"/>
      <c r="Q600" s="282"/>
      <c r="R600" s="125"/>
      <c r="S600" s="113"/>
      <c r="T600" s="75"/>
      <c r="U600" s="282"/>
      <c r="V600" s="125"/>
      <c r="W600" s="113"/>
      <c r="X600" s="75"/>
      <c r="Y600" s="282"/>
      <c r="Z600" s="290"/>
      <c r="AA600" s="291"/>
      <c r="AB600" s="73"/>
      <c r="AC600" s="282"/>
      <c r="AD600" s="125"/>
      <c r="AE600" s="241"/>
      <c r="AF600" s="284"/>
      <c r="AG600" s="282"/>
      <c r="AH600" s="292"/>
      <c r="AI600" s="292"/>
      <c r="AJ600" s="292"/>
      <c r="AK600" s="282"/>
      <c r="AL600" s="75"/>
      <c r="AM600" s="75"/>
      <c r="AN600" s="75"/>
      <c r="AO600" s="282"/>
      <c r="AP600" s="75"/>
      <c r="AQ600" s="75"/>
      <c r="AR600" s="75"/>
      <c r="AS600" s="75"/>
      <c r="AT600" s="75"/>
    </row>
    <row r="601">
      <c r="A601" s="282"/>
      <c r="B601" s="125"/>
      <c r="C601" s="113"/>
      <c r="D601" s="75"/>
      <c r="E601" s="282"/>
      <c r="F601" s="125"/>
      <c r="G601" s="113"/>
      <c r="H601" s="75"/>
      <c r="I601" s="282"/>
      <c r="J601" s="125"/>
      <c r="K601" s="113"/>
      <c r="L601" s="75"/>
      <c r="M601" s="282"/>
      <c r="N601" s="125"/>
      <c r="O601" s="113"/>
      <c r="P601" s="75"/>
      <c r="Q601" s="282"/>
      <c r="R601" s="125"/>
      <c r="S601" s="113"/>
      <c r="T601" s="75"/>
      <c r="U601" s="282"/>
      <c r="V601" s="125"/>
      <c r="W601" s="113"/>
      <c r="X601" s="75"/>
      <c r="Y601" s="282"/>
      <c r="Z601" s="290"/>
      <c r="AA601" s="291"/>
      <c r="AB601" s="73"/>
      <c r="AC601" s="282"/>
      <c r="AD601" s="125"/>
      <c r="AE601" s="241"/>
      <c r="AF601" s="284"/>
      <c r="AG601" s="282"/>
      <c r="AH601" s="292"/>
      <c r="AI601" s="292"/>
      <c r="AJ601" s="292"/>
      <c r="AK601" s="282"/>
      <c r="AL601" s="75"/>
      <c r="AM601" s="75"/>
      <c r="AN601" s="75"/>
      <c r="AO601" s="282"/>
      <c r="AP601" s="75"/>
      <c r="AQ601" s="75"/>
      <c r="AR601" s="75"/>
      <c r="AS601" s="75"/>
      <c r="AT601" s="75"/>
    </row>
    <row r="602">
      <c r="A602" s="282"/>
      <c r="B602" s="125"/>
      <c r="C602" s="113"/>
      <c r="D602" s="75"/>
      <c r="E602" s="282"/>
      <c r="F602" s="125"/>
      <c r="G602" s="113"/>
      <c r="H602" s="75"/>
      <c r="I602" s="282"/>
      <c r="J602" s="125"/>
      <c r="K602" s="113"/>
      <c r="L602" s="75"/>
      <c r="M602" s="282"/>
      <c r="N602" s="125"/>
      <c r="O602" s="113"/>
      <c r="P602" s="75"/>
      <c r="Q602" s="282"/>
      <c r="R602" s="125"/>
      <c r="S602" s="113"/>
      <c r="T602" s="75"/>
      <c r="U602" s="282"/>
      <c r="V602" s="125"/>
      <c r="W602" s="113"/>
      <c r="X602" s="75"/>
      <c r="Y602" s="282"/>
      <c r="Z602" s="290"/>
      <c r="AA602" s="291"/>
      <c r="AB602" s="73"/>
      <c r="AC602" s="282"/>
      <c r="AD602" s="125"/>
      <c r="AE602" s="241"/>
      <c r="AF602" s="284"/>
      <c r="AG602" s="282"/>
      <c r="AH602" s="292"/>
      <c r="AI602" s="292"/>
      <c r="AJ602" s="292"/>
      <c r="AK602" s="282"/>
      <c r="AL602" s="75"/>
      <c r="AM602" s="75"/>
      <c r="AN602" s="75"/>
      <c r="AO602" s="282"/>
      <c r="AP602" s="75"/>
      <c r="AQ602" s="75"/>
      <c r="AR602" s="75"/>
      <c r="AS602" s="75"/>
      <c r="AT602" s="75"/>
    </row>
    <row r="603">
      <c r="A603" s="282"/>
      <c r="B603" s="125"/>
      <c r="C603" s="113"/>
      <c r="D603" s="75"/>
      <c r="E603" s="282"/>
      <c r="F603" s="125"/>
      <c r="G603" s="113"/>
      <c r="H603" s="75"/>
      <c r="I603" s="282"/>
      <c r="J603" s="125"/>
      <c r="K603" s="113"/>
      <c r="L603" s="75"/>
      <c r="M603" s="282"/>
      <c r="N603" s="125"/>
      <c r="O603" s="113"/>
      <c r="P603" s="75"/>
      <c r="Q603" s="282"/>
      <c r="R603" s="125"/>
      <c r="S603" s="113"/>
      <c r="T603" s="75"/>
      <c r="U603" s="282"/>
      <c r="V603" s="125"/>
      <c r="W603" s="113"/>
      <c r="X603" s="75"/>
      <c r="Y603" s="282"/>
      <c r="Z603" s="290"/>
      <c r="AA603" s="291"/>
      <c r="AB603" s="73"/>
      <c r="AC603" s="282"/>
      <c r="AD603" s="125"/>
      <c r="AE603" s="241"/>
      <c r="AF603" s="284"/>
      <c r="AG603" s="282"/>
      <c r="AH603" s="292"/>
      <c r="AI603" s="292"/>
      <c r="AJ603" s="292"/>
      <c r="AK603" s="282"/>
      <c r="AL603" s="75"/>
      <c r="AM603" s="75"/>
      <c r="AN603" s="75"/>
      <c r="AO603" s="282"/>
      <c r="AP603" s="75"/>
      <c r="AQ603" s="75"/>
      <c r="AR603" s="75"/>
      <c r="AS603" s="75"/>
      <c r="AT603" s="75"/>
    </row>
    <row r="604">
      <c r="A604" s="282"/>
      <c r="B604" s="125"/>
      <c r="C604" s="113"/>
      <c r="D604" s="75"/>
      <c r="E604" s="282"/>
      <c r="F604" s="125"/>
      <c r="G604" s="113"/>
      <c r="H604" s="75"/>
      <c r="I604" s="282"/>
      <c r="J604" s="125"/>
      <c r="K604" s="113"/>
      <c r="L604" s="75"/>
      <c r="M604" s="282"/>
      <c r="N604" s="125"/>
      <c r="O604" s="113"/>
      <c r="P604" s="75"/>
      <c r="Q604" s="282"/>
      <c r="R604" s="125"/>
      <c r="S604" s="113"/>
      <c r="T604" s="75"/>
      <c r="U604" s="282"/>
      <c r="V604" s="125"/>
      <c r="W604" s="113"/>
      <c r="X604" s="75"/>
      <c r="Y604" s="282"/>
      <c r="Z604" s="290"/>
      <c r="AA604" s="291"/>
      <c r="AB604" s="73"/>
      <c r="AC604" s="282"/>
      <c r="AD604" s="125"/>
      <c r="AE604" s="241"/>
      <c r="AF604" s="284"/>
      <c r="AG604" s="282"/>
      <c r="AH604" s="292"/>
      <c r="AI604" s="292"/>
      <c r="AJ604" s="292"/>
      <c r="AK604" s="282"/>
      <c r="AL604" s="75"/>
      <c r="AM604" s="75"/>
      <c r="AN604" s="75"/>
      <c r="AO604" s="282"/>
      <c r="AP604" s="75"/>
      <c r="AQ604" s="75"/>
      <c r="AR604" s="75"/>
      <c r="AS604" s="75"/>
      <c r="AT604" s="75"/>
    </row>
    <row r="605">
      <c r="A605" s="282"/>
      <c r="B605" s="125"/>
      <c r="C605" s="113"/>
      <c r="D605" s="75"/>
      <c r="E605" s="282"/>
      <c r="F605" s="125"/>
      <c r="G605" s="113"/>
      <c r="H605" s="75"/>
      <c r="I605" s="282"/>
      <c r="J605" s="125"/>
      <c r="K605" s="113"/>
      <c r="L605" s="75"/>
      <c r="M605" s="282"/>
      <c r="N605" s="125"/>
      <c r="O605" s="113"/>
      <c r="P605" s="75"/>
      <c r="Q605" s="282"/>
      <c r="R605" s="125"/>
      <c r="S605" s="113"/>
      <c r="T605" s="75"/>
      <c r="U605" s="282"/>
      <c r="V605" s="125"/>
      <c r="W605" s="113"/>
      <c r="X605" s="75"/>
      <c r="Y605" s="282"/>
      <c r="Z605" s="290"/>
      <c r="AA605" s="291"/>
      <c r="AB605" s="73"/>
      <c r="AC605" s="282"/>
      <c r="AD605" s="125"/>
      <c r="AE605" s="241"/>
      <c r="AF605" s="284"/>
      <c r="AG605" s="282"/>
      <c r="AH605" s="292"/>
      <c r="AI605" s="292"/>
      <c r="AJ605" s="292"/>
      <c r="AK605" s="282"/>
      <c r="AL605" s="75"/>
      <c r="AM605" s="75"/>
      <c r="AN605" s="75"/>
      <c r="AO605" s="282"/>
      <c r="AP605" s="75"/>
      <c r="AQ605" s="75"/>
      <c r="AR605" s="75"/>
      <c r="AS605" s="75"/>
      <c r="AT605" s="75"/>
    </row>
    <row r="606">
      <c r="A606" s="282"/>
      <c r="B606" s="125"/>
      <c r="C606" s="113"/>
      <c r="D606" s="75"/>
      <c r="E606" s="282"/>
      <c r="F606" s="125"/>
      <c r="G606" s="113"/>
      <c r="H606" s="75"/>
      <c r="I606" s="282"/>
      <c r="J606" s="125"/>
      <c r="K606" s="113"/>
      <c r="L606" s="75"/>
      <c r="M606" s="282"/>
      <c r="N606" s="125"/>
      <c r="O606" s="113"/>
      <c r="P606" s="75"/>
      <c r="Q606" s="282"/>
      <c r="R606" s="125"/>
      <c r="S606" s="113"/>
      <c r="T606" s="75"/>
      <c r="U606" s="282"/>
      <c r="V606" s="125"/>
      <c r="W606" s="113"/>
      <c r="X606" s="75"/>
      <c r="Y606" s="282"/>
      <c r="Z606" s="290"/>
      <c r="AA606" s="291"/>
      <c r="AB606" s="73"/>
      <c r="AC606" s="282"/>
      <c r="AD606" s="125"/>
      <c r="AE606" s="241"/>
      <c r="AF606" s="284"/>
      <c r="AG606" s="282"/>
      <c r="AH606" s="292"/>
      <c r="AI606" s="292"/>
      <c r="AJ606" s="292"/>
      <c r="AK606" s="282"/>
      <c r="AL606" s="75"/>
      <c r="AM606" s="75"/>
      <c r="AN606" s="75"/>
      <c r="AO606" s="282"/>
      <c r="AP606" s="75"/>
      <c r="AQ606" s="75"/>
      <c r="AR606" s="75"/>
      <c r="AS606" s="75"/>
      <c r="AT606" s="75"/>
    </row>
    <row r="607">
      <c r="A607" s="282"/>
      <c r="B607" s="125"/>
      <c r="C607" s="113"/>
      <c r="D607" s="75"/>
      <c r="E607" s="282"/>
      <c r="F607" s="125"/>
      <c r="G607" s="113"/>
      <c r="H607" s="75"/>
      <c r="I607" s="282"/>
      <c r="J607" s="125"/>
      <c r="K607" s="113"/>
      <c r="L607" s="75"/>
      <c r="M607" s="282"/>
      <c r="N607" s="125"/>
      <c r="O607" s="113"/>
      <c r="P607" s="75"/>
      <c r="Q607" s="282"/>
      <c r="R607" s="125"/>
      <c r="S607" s="113"/>
      <c r="T607" s="75"/>
      <c r="U607" s="282"/>
      <c r="V607" s="125"/>
      <c r="W607" s="113"/>
      <c r="X607" s="75"/>
      <c r="Y607" s="282"/>
      <c r="Z607" s="290"/>
      <c r="AA607" s="291"/>
      <c r="AB607" s="73"/>
      <c r="AC607" s="282"/>
      <c r="AD607" s="125"/>
      <c r="AE607" s="241"/>
      <c r="AF607" s="284"/>
      <c r="AG607" s="282"/>
      <c r="AH607" s="292"/>
      <c r="AI607" s="292"/>
      <c r="AJ607" s="292"/>
      <c r="AK607" s="282"/>
      <c r="AL607" s="75"/>
      <c r="AM607" s="75"/>
      <c r="AN607" s="75"/>
      <c r="AO607" s="282"/>
      <c r="AP607" s="75"/>
      <c r="AQ607" s="75"/>
      <c r="AR607" s="75"/>
      <c r="AS607" s="75"/>
      <c r="AT607" s="75"/>
    </row>
    <row r="608">
      <c r="A608" s="282"/>
      <c r="B608" s="125"/>
      <c r="C608" s="113"/>
      <c r="D608" s="75"/>
      <c r="E608" s="282"/>
      <c r="F608" s="125"/>
      <c r="G608" s="113"/>
      <c r="H608" s="75"/>
      <c r="I608" s="282"/>
      <c r="J608" s="125"/>
      <c r="K608" s="113"/>
      <c r="L608" s="75"/>
      <c r="M608" s="282"/>
      <c r="N608" s="125"/>
      <c r="O608" s="113"/>
      <c r="P608" s="75"/>
      <c r="Q608" s="282"/>
      <c r="R608" s="125"/>
      <c r="S608" s="113"/>
      <c r="T608" s="75"/>
      <c r="U608" s="282"/>
      <c r="V608" s="125"/>
      <c r="W608" s="113"/>
      <c r="X608" s="75"/>
      <c r="Y608" s="282"/>
      <c r="Z608" s="290"/>
      <c r="AA608" s="291"/>
      <c r="AB608" s="73"/>
      <c r="AC608" s="282"/>
      <c r="AD608" s="125"/>
      <c r="AE608" s="241"/>
      <c r="AF608" s="284"/>
      <c r="AG608" s="282"/>
      <c r="AH608" s="292"/>
      <c r="AI608" s="292"/>
      <c r="AJ608" s="292"/>
      <c r="AK608" s="282"/>
      <c r="AL608" s="75"/>
      <c r="AM608" s="75"/>
      <c r="AN608" s="75"/>
      <c r="AO608" s="282"/>
      <c r="AP608" s="75"/>
      <c r="AQ608" s="75"/>
      <c r="AR608" s="75"/>
      <c r="AS608" s="75"/>
      <c r="AT608" s="75"/>
    </row>
    <row r="609">
      <c r="A609" s="282"/>
      <c r="B609" s="125"/>
      <c r="C609" s="113"/>
      <c r="D609" s="75"/>
      <c r="E609" s="282"/>
      <c r="F609" s="125"/>
      <c r="G609" s="113"/>
      <c r="H609" s="75"/>
      <c r="I609" s="282"/>
      <c r="J609" s="125"/>
      <c r="K609" s="113"/>
      <c r="L609" s="75"/>
      <c r="M609" s="282"/>
      <c r="N609" s="125"/>
      <c r="O609" s="113"/>
      <c r="P609" s="75"/>
      <c r="Q609" s="282"/>
      <c r="R609" s="125"/>
      <c r="S609" s="113"/>
      <c r="T609" s="75"/>
      <c r="U609" s="282"/>
      <c r="V609" s="125"/>
      <c r="W609" s="113"/>
      <c r="X609" s="75"/>
      <c r="Y609" s="282"/>
      <c r="Z609" s="290"/>
      <c r="AA609" s="291"/>
      <c r="AB609" s="73"/>
      <c r="AC609" s="282"/>
      <c r="AD609" s="125"/>
      <c r="AE609" s="241"/>
      <c r="AF609" s="284"/>
      <c r="AG609" s="282"/>
      <c r="AH609" s="292"/>
      <c r="AI609" s="292"/>
      <c r="AJ609" s="292"/>
      <c r="AK609" s="282"/>
      <c r="AL609" s="75"/>
      <c r="AM609" s="75"/>
      <c r="AN609" s="75"/>
      <c r="AO609" s="282"/>
      <c r="AP609" s="75"/>
      <c r="AQ609" s="75"/>
      <c r="AR609" s="75"/>
      <c r="AS609" s="75"/>
      <c r="AT609" s="75"/>
    </row>
    <row r="610">
      <c r="A610" s="282"/>
      <c r="B610" s="125"/>
      <c r="C610" s="113"/>
      <c r="D610" s="75"/>
      <c r="E610" s="282"/>
      <c r="F610" s="125"/>
      <c r="G610" s="113"/>
      <c r="H610" s="75"/>
      <c r="I610" s="282"/>
      <c r="J610" s="125"/>
      <c r="K610" s="113"/>
      <c r="L610" s="75"/>
      <c r="M610" s="282"/>
      <c r="N610" s="125"/>
      <c r="O610" s="113"/>
      <c r="P610" s="75"/>
      <c r="Q610" s="282"/>
      <c r="R610" s="125"/>
      <c r="S610" s="113"/>
      <c r="T610" s="75"/>
      <c r="U610" s="282"/>
      <c r="V610" s="125"/>
      <c r="W610" s="113"/>
      <c r="X610" s="75"/>
      <c r="Y610" s="282"/>
      <c r="Z610" s="290"/>
      <c r="AA610" s="291"/>
      <c r="AB610" s="73"/>
      <c r="AC610" s="282"/>
      <c r="AD610" s="125"/>
      <c r="AE610" s="241"/>
      <c r="AF610" s="284"/>
      <c r="AG610" s="282"/>
      <c r="AH610" s="292"/>
      <c r="AI610" s="292"/>
      <c r="AJ610" s="292"/>
      <c r="AK610" s="282"/>
      <c r="AL610" s="75"/>
      <c r="AM610" s="75"/>
      <c r="AN610" s="75"/>
      <c r="AO610" s="282"/>
      <c r="AP610" s="75"/>
      <c r="AQ610" s="75"/>
      <c r="AR610" s="75"/>
      <c r="AS610" s="75"/>
      <c r="AT610" s="75"/>
    </row>
    <row r="611">
      <c r="A611" s="282"/>
      <c r="B611" s="125"/>
      <c r="C611" s="113"/>
      <c r="D611" s="75"/>
      <c r="E611" s="282"/>
      <c r="F611" s="125"/>
      <c r="G611" s="113"/>
      <c r="H611" s="75"/>
      <c r="I611" s="282"/>
      <c r="J611" s="125"/>
      <c r="K611" s="113"/>
      <c r="L611" s="75"/>
      <c r="M611" s="282"/>
      <c r="N611" s="125"/>
      <c r="O611" s="113"/>
      <c r="P611" s="75"/>
      <c r="Q611" s="282"/>
      <c r="R611" s="125"/>
      <c r="S611" s="113"/>
      <c r="T611" s="75"/>
      <c r="U611" s="282"/>
      <c r="V611" s="125"/>
      <c r="W611" s="113"/>
      <c r="X611" s="75"/>
      <c r="Y611" s="282"/>
      <c r="Z611" s="290"/>
      <c r="AA611" s="291"/>
      <c r="AB611" s="73"/>
      <c r="AC611" s="282"/>
      <c r="AD611" s="125"/>
      <c r="AE611" s="241"/>
      <c r="AF611" s="284"/>
      <c r="AG611" s="282"/>
      <c r="AH611" s="292"/>
      <c r="AI611" s="292"/>
      <c r="AJ611" s="292"/>
      <c r="AK611" s="282"/>
      <c r="AL611" s="75"/>
      <c r="AM611" s="75"/>
      <c r="AN611" s="75"/>
      <c r="AO611" s="282"/>
      <c r="AP611" s="75"/>
      <c r="AQ611" s="75"/>
      <c r="AR611" s="75"/>
      <c r="AS611" s="75"/>
      <c r="AT611" s="75"/>
    </row>
    <row r="612">
      <c r="A612" s="282"/>
      <c r="B612" s="125"/>
      <c r="C612" s="113"/>
      <c r="D612" s="75"/>
      <c r="E612" s="282"/>
      <c r="F612" s="125"/>
      <c r="G612" s="113"/>
      <c r="H612" s="75"/>
      <c r="I612" s="282"/>
      <c r="J612" s="125"/>
      <c r="K612" s="113"/>
      <c r="L612" s="75"/>
      <c r="M612" s="282"/>
      <c r="N612" s="125"/>
      <c r="O612" s="113"/>
      <c r="P612" s="75"/>
      <c r="Q612" s="282"/>
      <c r="R612" s="125"/>
      <c r="S612" s="113"/>
      <c r="T612" s="75"/>
      <c r="U612" s="282"/>
      <c r="V612" s="125"/>
      <c r="W612" s="113"/>
      <c r="X612" s="75"/>
      <c r="Y612" s="282"/>
      <c r="Z612" s="290"/>
      <c r="AA612" s="291"/>
      <c r="AB612" s="73"/>
      <c r="AC612" s="282"/>
      <c r="AD612" s="125"/>
      <c r="AE612" s="241"/>
      <c r="AF612" s="284"/>
      <c r="AG612" s="282"/>
      <c r="AH612" s="292"/>
      <c r="AI612" s="292"/>
      <c r="AJ612" s="292"/>
      <c r="AK612" s="282"/>
      <c r="AL612" s="75"/>
      <c r="AM612" s="75"/>
      <c r="AN612" s="75"/>
      <c r="AO612" s="282"/>
      <c r="AP612" s="75"/>
      <c r="AQ612" s="75"/>
      <c r="AR612" s="75"/>
      <c r="AS612" s="75"/>
      <c r="AT612" s="75"/>
    </row>
    <row r="613">
      <c r="A613" s="282"/>
      <c r="B613" s="125"/>
      <c r="C613" s="113"/>
      <c r="D613" s="75"/>
      <c r="E613" s="282"/>
      <c r="F613" s="125"/>
      <c r="G613" s="113"/>
      <c r="H613" s="75"/>
      <c r="I613" s="282"/>
      <c r="J613" s="125"/>
      <c r="K613" s="113"/>
      <c r="L613" s="75"/>
      <c r="M613" s="282"/>
      <c r="N613" s="125"/>
      <c r="O613" s="113"/>
      <c r="P613" s="75"/>
      <c r="Q613" s="282"/>
      <c r="R613" s="125"/>
      <c r="S613" s="113"/>
      <c r="T613" s="75"/>
      <c r="U613" s="282"/>
      <c r="V613" s="125"/>
      <c r="W613" s="113"/>
      <c r="X613" s="75"/>
      <c r="Y613" s="282"/>
      <c r="Z613" s="290"/>
      <c r="AA613" s="291"/>
      <c r="AB613" s="73"/>
      <c r="AC613" s="282"/>
      <c r="AD613" s="125"/>
      <c r="AE613" s="241"/>
      <c r="AF613" s="284"/>
      <c r="AG613" s="282"/>
      <c r="AH613" s="292"/>
      <c r="AI613" s="292"/>
      <c r="AJ613" s="292"/>
      <c r="AK613" s="282"/>
      <c r="AL613" s="75"/>
      <c r="AM613" s="75"/>
      <c r="AN613" s="75"/>
      <c r="AO613" s="282"/>
      <c r="AP613" s="75"/>
      <c r="AQ613" s="75"/>
      <c r="AR613" s="75"/>
      <c r="AS613" s="75"/>
      <c r="AT613" s="75"/>
    </row>
    <row r="614">
      <c r="A614" s="282"/>
      <c r="B614" s="125"/>
      <c r="C614" s="113"/>
      <c r="D614" s="75"/>
      <c r="E614" s="282"/>
      <c r="F614" s="125"/>
      <c r="G614" s="113"/>
      <c r="H614" s="75"/>
      <c r="I614" s="282"/>
      <c r="J614" s="125"/>
      <c r="K614" s="113"/>
      <c r="L614" s="75"/>
      <c r="M614" s="282"/>
      <c r="N614" s="125"/>
      <c r="O614" s="113"/>
      <c r="P614" s="75"/>
      <c r="Q614" s="282"/>
      <c r="R614" s="125"/>
      <c r="S614" s="113"/>
      <c r="T614" s="75"/>
      <c r="U614" s="282"/>
      <c r="V614" s="125"/>
      <c r="W614" s="113"/>
      <c r="X614" s="75"/>
      <c r="Y614" s="282"/>
      <c r="Z614" s="290"/>
      <c r="AA614" s="291"/>
      <c r="AB614" s="73"/>
      <c r="AC614" s="282"/>
      <c r="AD614" s="125"/>
      <c r="AE614" s="241"/>
      <c r="AF614" s="284"/>
      <c r="AG614" s="282"/>
      <c r="AH614" s="292"/>
      <c r="AI614" s="292"/>
      <c r="AJ614" s="292"/>
      <c r="AK614" s="282"/>
      <c r="AL614" s="75"/>
      <c r="AM614" s="75"/>
      <c r="AN614" s="75"/>
      <c r="AO614" s="282"/>
      <c r="AP614" s="75"/>
      <c r="AQ614" s="75"/>
      <c r="AR614" s="75"/>
      <c r="AS614" s="75"/>
      <c r="AT614" s="75"/>
    </row>
    <row r="615">
      <c r="A615" s="282"/>
      <c r="B615" s="125"/>
      <c r="C615" s="113"/>
      <c r="D615" s="75"/>
      <c r="E615" s="282"/>
      <c r="F615" s="125"/>
      <c r="G615" s="113"/>
      <c r="H615" s="75"/>
      <c r="I615" s="282"/>
      <c r="J615" s="125"/>
      <c r="K615" s="113"/>
      <c r="L615" s="75"/>
      <c r="M615" s="282"/>
      <c r="N615" s="125"/>
      <c r="O615" s="113"/>
      <c r="P615" s="75"/>
      <c r="Q615" s="282"/>
      <c r="R615" s="125"/>
      <c r="S615" s="113"/>
      <c r="T615" s="75"/>
      <c r="U615" s="282"/>
      <c r="V615" s="125"/>
      <c r="W615" s="113"/>
      <c r="X615" s="75"/>
      <c r="Y615" s="282"/>
      <c r="Z615" s="290"/>
      <c r="AA615" s="291"/>
      <c r="AB615" s="73"/>
      <c r="AC615" s="282"/>
      <c r="AD615" s="125"/>
      <c r="AE615" s="241"/>
      <c r="AF615" s="284"/>
      <c r="AG615" s="282"/>
      <c r="AH615" s="292"/>
      <c r="AI615" s="292"/>
      <c r="AJ615" s="292"/>
      <c r="AK615" s="282"/>
      <c r="AL615" s="75"/>
      <c r="AM615" s="75"/>
      <c r="AN615" s="75"/>
      <c r="AO615" s="282"/>
      <c r="AP615" s="75"/>
      <c r="AQ615" s="75"/>
      <c r="AR615" s="75"/>
      <c r="AS615" s="75"/>
      <c r="AT615" s="75"/>
    </row>
    <row r="616">
      <c r="A616" s="282"/>
      <c r="B616" s="125"/>
      <c r="C616" s="113"/>
      <c r="D616" s="75"/>
      <c r="E616" s="282"/>
      <c r="F616" s="125"/>
      <c r="G616" s="113"/>
      <c r="H616" s="75"/>
      <c r="I616" s="282"/>
      <c r="J616" s="125"/>
      <c r="K616" s="113"/>
      <c r="L616" s="75"/>
      <c r="M616" s="282"/>
      <c r="N616" s="125"/>
      <c r="O616" s="113"/>
      <c r="P616" s="75"/>
      <c r="Q616" s="282"/>
      <c r="R616" s="125"/>
      <c r="S616" s="113"/>
      <c r="T616" s="75"/>
      <c r="U616" s="282"/>
      <c r="V616" s="125"/>
      <c r="W616" s="113"/>
      <c r="X616" s="75"/>
      <c r="Y616" s="282"/>
      <c r="Z616" s="290"/>
      <c r="AA616" s="291"/>
      <c r="AB616" s="73"/>
      <c r="AC616" s="282"/>
      <c r="AD616" s="125"/>
      <c r="AE616" s="241"/>
      <c r="AF616" s="284"/>
      <c r="AG616" s="282"/>
      <c r="AH616" s="292"/>
      <c r="AI616" s="292"/>
      <c r="AJ616" s="292"/>
      <c r="AK616" s="282"/>
      <c r="AL616" s="75"/>
      <c r="AM616" s="75"/>
      <c r="AN616" s="75"/>
      <c r="AO616" s="282"/>
      <c r="AP616" s="75"/>
      <c r="AQ616" s="75"/>
      <c r="AR616" s="75"/>
      <c r="AS616" s="75"/>
      <c r="AT616" s="75"/>
    </row>
    <row r="617">
      <c r="A617" s="282"/>
      <c r="B617" s="125"/>
      <c r="C617" s="113"/>
      <c r="D617" s="75"/>
      <c r="E617" s="282"/>
      <c r="F617" s="125"/>
      <c r="G617" s="113"/>
      <c r="H617" s="75"/>
      <c r="I617" s="282"/>
      <c r="J617" s="125"/>
      <c r="K617" s="113"/>
      <c r="L617" s="75"/>
      <c r="M617" s="282"/>
      <c r="N617" s="125"/>
      <c r="O617" s="113"/>
      <c r="P617" s="75"/>
      <c r="Q617" s="282"/>
      <c r="R617" s="125"/>
      <c r="S617" s="113"/>
      <c r="T617" s="75"/>
      <c r="U617" s="282"/>
      <c r="V617" s="125"/>
      <c r="W617" s="113"/>
      <c r="X617" s="75"/>
      <c r="Y617" s="282"/>
      <c r="Z617" s="290"/>
      <c r="AA617" s="291"/>
      <c r="AB617" s="73"/>
      <c r="AC617" s="282"/>
      <c r="AD617" s="125"/>
      <c r="AE617" s="241"/>
      <c r="AF617" s="284"/>
      <c r="AG617" s="282"/>
      <c r="AH617" s="292"/>
      <c r="AI617" s="292"/>
      <c r="AJ617" s="292"/>
      <c r="AK617" s="282"/>
      <c r="AL617" s="75"/>
      <c r="AM617" s="75"/>
      <c r="AN617" s="75"/>
      <c r="AO617" s="282"/>
      <c r="AP617" s="75"/>
      <c r="AQ617" s="75"/>
      <c r="AR617" s="75"/>
      <c r="AS617" s="75"/>
      <c r="AT617" s="75"/>
    </row>
    <row r="618">
      <c r="A618" s="282"/>
      <c r="B618" s="125"/>
      <c r="C618" s="113"/>
      <c r="D618" s="75"/>
      <c r="E618" s="282"/>
      <c r="F618" s="125"/>
      <c r="G618" s="113"/>
      <c r="H618" s="75"/>
      <c r="I618" s="282"/>
      <c r="J618" s="125"/>
      <c r="K618" s="113"/>
      <c r="L618" s="75"/>
      <c r="M618" s="282"/>
      <c r="N618" s="125"/>
      <c r="O618" s="113"/>
      <c r="P618" s="75"/>
      <c r="Q618" s="282"/>
      <c r="R618" s="125"/>
      <c r="S618" s="113"/>
      <c r="T618" s="75"/>
      <c r="U618" s="282"/>
      <c r="V618" s="125"/>
      <c r="W618" s="113"/>
      <c r="X618" s="75"/>
      <c r="Y618" s="282"/>
      <c r="Z618" s="290"/>
      <c r="AA618" s="291"/>
      <c r="AB618" s="73"/>
      <c r="AC618" s="282"/>
      <c r="AD618" s="125"/>
      <c r="AE618" s="241"/>
      <c r="AF618" s="284"/>
      <c r="AG618" s="282"/>
      <c r="AH618" s="292"/>
      <c r="AI618" s="292"/>
      <c r="AJ618" s="292"/>
      <c r="AK618" s="282"/>
      <c r="AL618" s="75"/>
      <c r="AM618" s="75"/>
      <c r="AN618" s="75"/>
      <c r="AO618" s="282"/>
      <c r="AP618" s="75"/>
      <c r="AQ618" s="75"/>
      <c r="AR618" s="75"/>
      <c r="AS618" s="75"/>
      <c r="AT618" s="75"/>
    </row>
    <row r="619">
      <c r="A619" s="282"/>
      <c r="B619" s="125"/>
      <c r="C619" s="113"/>
      <c r="D619" s="75"/>
      <c r="E619" s="282"/>
      <c r="F619" s="125"/>
      <c r="G619" s="113"/>
      <c r="H619" s="75"/>
      <c r="I619" s="282"/>
      <c r="J619" s="125"/>
      <c r="K619" s="113"/>
      <c r="L619" s="75"/>
      <c r="M619" s="282"/>
      <c r="N619" s="125"/>
      <c r="O619" s="113"/>
      <c r="P619" s="75"/>
      <c r="Q619" s="282"/>
      <c r="R619" s="125"/>
      <c r="S619" s="113"/>
      <c r="T619" s="75"/>
      <c r="U619" s="282"/>
      <c r="V619" s="125"/>
      <c r="W619" s="113"/>
      <c r="X619" s="75"/>
      <c r="Y619" s="282"/>
      <c r="Z619" s="290"/>
      <c r="AA619" s="291"/>
      <c r="AB619" s="73"/>
      <c r="AC619" s="282"/>
      <c r="AD619" s="125"/>
      <c r="AE619" s="241"/>
      <c r="AF619" s="284"/>
      <c r="AG619" s="282"/>
      <c r="AH619" s="292"/>
      <c r="AI619" s="292"/>
      <c r="AJ619" s="292"/>
      <c r="AK619" s="282"/>
      <c r="AL619" s="75"/>
      <c r="AM619" s="75"/>
      <c r="AN619" s="75"/>
      <c r="AO619" s="282"/>
      <c r="AP619" s="75"/>
      <c r="AQ619" s="75"/>
      <c r="AR619" s="75"/>
      <c r="AS619" s="75"/>
      <c r="AT619" s="75"/>
    </row>
    <row r="620">
      <c r="A620" s="282"/>
      <c r="B620" s="125"/>
      <c r="C620" s="113"/>
      <c r="D620" s="75"/>
      <c r="E620" s="282"/>
      <c r="F620" s="125"/>
      <c r="G620" s="113"/>
      <c r="H620" s="75"/>
      <c r="I620" s="282"/>
      <c r="J620" s="125"/>
      <c r="K620" s="113"/>
      <c r="L620" s="75"/>
      <c r="M620" s="282"/>
      <c r="N620" s="125"/>
      <c r="O620" s="113"/>
      <c r="P620" s="75"/>
      <c r="Q620" s="282"/>
      <c r="R620" s="125"/>
      <c r="S620" s="113"/>
      <c r="T620" s="75"/>
      <c r="U620" s="282"/>
      <c r="V620" s="125"/>
      <c r="W620" s="113"/>
      <c r="X620" s="75"/>
      <c r="Y620" s="282"/>
      <c r="Z620" s="290"/>
      <c r="AA620" s="291"/>
      <c r="AB620" s="73"/>
      <c r="AC620" s="282"/>
      <c r="AD620" s="125"/>
      <c r="AE620" s="241"/>
      <c r="AF620" s="284"/>
      <c r="AG620" s="282"/>
      <c r="AH620" s="292"/>
      <c r="AI620" s="292"/>
      <c r="AJ620" s="292"/>
      <c r="AK620" s="282"/>
      <c r="AL620" s="75"/>
      <c r="AM620" s="75"/>
      <c r="AN620" s="75"/>
      <c r="AO620" s="282"/>
      <c r="AP620" s="75"/>
      <c r="AQ620" s="75"/>
      <c r="AR620" s="75"/>
      <c r="AS620" s="75"/>
      <c r="AT620" s="75"/>
    </row>
    <row r="621">
      <c r="A621" s="282"/>
      <c r="B621" s="125"/>
      <c r="C621" s="113"/>
      <c r="D621" s="75"/>
      <c r="E621" s="282"/>
      <c r="F621" s="125"/>
      <c r="G621" s="113"/>
      <c r="H621" s="75"/>
      <c r="I621" s="282"/>
      <c r="J621" s="125"/>
      <c r="K621" s="113"/>
      <c r="L621" s="75"/>
      <c r="M621" s="282"/>
      <c r="N621" s="125"/>
      <c r="O621" s="113"/>
      <c r="P621" s="75"/>
      <c r="Q621" s="282"/>
      <c r="R621" s="125"/>
      <c r="S621" s="113"/>
      <c r="T621" s="75"/>
      <c r="U621" s="282"/>
      <c r="V621" s="125"/>
      <c r="W621" s="113"/>
      <c r="X621" s="75"/>
      <c r="Y621" s="282"/>
      <c r="Z621" s="290"/>
      <c r="AA621" s="291"/>
      <c r="AB621" s="73"/>
      <c r="AC621" s="282"/>
      <c r="AD621" s="125"/>
      <c r="AE621" s="241"/>
      <c r="AF621" s="284"/>
      <c r="AG621" s="282"/>
      <c r="AH621" s="292"/>
      <c r="AI621" s="292"/>
      <c r="AJ621" s="292"/>
      <c r="AK621" s="282"/>
      <c r="AL621" s="75"/>
      <c r="AM621" s="75"/>
      <c r="AN621" s="75"/>
      <c r="AO621" s="282"/>
      <c r="AP621" s="75"/>
      <c r="AQ621" s="75"/>
      <c r="AR621" s="75"/>
      <c r="AS621" s="75"/>
      <c r="AT621" s="75"/>
    </row>
    <row r="622">
      <c r="A622" s="282"/>
      <c r="B622" s="125"/>
      <c r="C622" s="113"/>
      <c r="D622" s="75"/>
      <c r="E622" s="282"/>
      <c r="F622" s="125"/>
      <c r="G622" s="113"/>
      <c r="H622" s="75"/>
      <c r="I622" s="282"/>
      <c r="J622" s="125"/>
      <c r="K622" s="113"/>
      <c r="L622" s="75"/>
      <c r="M622" s="282"/>
      <c r="N622" s="125"/>
      <c r="O622" s="113"/>
      <c r="P622" s="75"/>
      <c r="Q622" s="282"/>
      <c r="R622" s="125"/>
      <c r="S622" s="113"/>
      <c r="T622" s="75"/>
      <c r="U622" s="282"/>
      <c r="V622" s="125"/>
      <c r="W622" s="113"/>
      <c r="X622" s="75"/>
      <c r="Y622" s="282"/>
      <c r="Z622" s="290"/>
      <c r="AA622" s="291"/>
      <c r="AB622" s="73"/>
      <c r="AC622" s="282"/>
      <c r="AD622" s="125"/>
      <c r="AE622" s="241"/>
      <c r="AF622" s="284"/>
      <c r="AG622" s="282"/>
      <c r="AH622" s="292"/>
      <c r="AI622" s="292"/>
      <c r="AJ622" s="292"/>
      <c r="AK622" s="282"/>
      <c r="AL622" s="75"/>
      <c r="AM622" s="75"/>
      <c r="AN622" s="75"/>
      <c r="AO622" s="282"/>
      <c r="AP622" s="75"/>
      <c r="AQ622" s="75"/>
      <c r="AR622" s="75"/>
      <c r="AS622" s="75"/>
      <c r="AT622" s="75"/>
    </row>
    <row r="623">
      <c r="A623" s="282"/>
      <c r="B623" s="125"/>
      <c r="C623" s="113"/>
      <c r="D623" s="75"/>
      <c r="E623" s="282"/>
      <c r="F623" s="125"/>
      <c r="G623" s="113"/>
      <c r="H623" s="75"/>
      <c r="I623" s="282"/>
      <c r="J623" s="125"/>
      <c r="K623" s="113"/>
      <c r="L623" s="75"/>
      <c r="M623" s="282"/>
      <c r="N623" s="125"/>
      <c r="O623" s="113"/>
      <c r="P623" s="75"/>
      <c r="Q623" s="282"/>
      <c r="R623" s="125"/>
      <c r="S623" s="113"/>
      <c r="T623" s="75"/>
      <c r="U623" s="282"/>
      <c r="V623" s="125"/>
      <c r="W623" s="113"/>
      <c r="X623" s="75"/>
      <c r="Y623" s="282"/>
      <c r="Z623" s="290"/>
      <c r="AA623" s="291"/>
      <c r="AB623" s="73"/>
      <c r="AC623" s="282"/>
      <c r="AD623" s="125"/>
      <c r="AE623" s="241"/>
      <c r="AF623" s="284"/>
      <c r="AG623" s="282"/>
      <c r="AH623" s="292"/>
      <c r="AI623" s="292"/>
      <c r="AJ623" s="292"/>
      <c r="AK623" s="282"/>
      <c r="AL623" s="75"/>
      <c r="AM623" s="75"/>
      <c r="AN623" s="75"/>
      <c r="AO623" s="282"/>
      <c r="AP623" s="75"/>
      <c r="AQ623" s="75"/>
      <c r="AR623" s="75"/>
      <c r="AS623" s="75"/>
      <c r="AT623" s="75"/>
    </row>
    <row r="624">
      <c r="A624" s="282"/>
      <c r="B624" s="125"/>
      <c r="C624" s="113"/>
      <c r="D624" s="75"/>
      <c r="E624" s="282"/>
      <c r="F624" s="125"/>
      <c r="G624" s="113"/>
      <c r="H624" s="75"/>
      <c r="I624" s="282"/>
      <c r="J624" s="125"/>
      <c r="K624" s="113"/>
      <c r="L624" s="75"/>
      <c r="M624" s="282"/>
      <c r="N624" s="125"/>
      <c r="O624" s="113"/>
      <c r="P624" s="75"/>
      <c r="Q624" s="282"/>
      <c r="R624" s="125"/>
      <c r="S624" s="113"/>
      <c r="T624" s="75"/>
      <c r="U624" s="282"/>
      <c r="V624" s="125"/>
      <c r="W624" s="113"/>
      <c r="X624" s="75"/>
      <c r="Y624" s="282"/>
      <c r="Z624" s="290"/>
      <c r="AA624" s="291"/>
      <c r="AB624" s="73"/>
      <c r="AC624" s="282"/>
      <c r="AD624" s="125"/>
      <c r="AE624" s="241"/>
      <c r="AF624" s="284"/>
      <c r="AG624" s="282"/>
      <c r="AH624" s="292"/>
      <c r="AI624" s="292"/>
      <c r="AJ624" s="292"/>
      <c r="AK624" s="282"/>
      <c r="AL624" s="75"/>
      <c r="AM624" s="75"/>
      <c r="AN624" s="75"/>
      <c r="AO624" s="282"/>
      <c r="AP624" s="75"/>
      <c r="AQ624" s="75"/>
      <c r="AR624" s="75"/>
      <c r="AS624" s="75"/>
      <c r="AT624" s="75"/>
    </row>
    <row r="625">
      <c r="A625" s="282"/>
      <c r="B625" s="125"/>
      <c r="C625" s="113"/>
      <c r="D625" s="75"/>
      <c r="E625" s="282"/>
      <c r="F625" s="125"/>
      <c r="G625" s="113"/>
      <c r="H625" s="75"/>
      <c r="I625" s="282"/>
      <c r="J625" s="125"/>
      <c r="K625" s="113"/>
      <c r="L625" s="75"/>
      <c r="M625" s="282"/>
      <c r="N625" s="125"/>
      <c r="O625" s="113"/>
      <c r="P625" s="75"/>
      <c r="Q625" s="282"/>
      <c r="R625" s="125"/>
      <c r="S625" s="113"/>
      <c r="T625" s="75"/>
      <c r="U625" s="282"/>
      <c r="V625" s="125"/>
      <c r="W625" s="113"/>
      <c r="X625" s="75"/>
      <c r="Y625" s="282"/>
      <c r="Z625" s="290"/>
      <c r="AA625" s="291"/>
      <c r="AB625" s="73"/>
      <c r="AC625" s="282"/>
      <c r="AD625" s="125"/>
      <c r="AE625" s="241"/>
      <c r="AF625" s="284"/>
      <c r="AG625" s="282"/>
      <c r="AH625" s="292"/>
      <c r="AI625" s="292"/>
      <c r="AJ625" s="292"/>
      <c r="AK625" s="282"/>
      <c r="AL625" s="75"/>
      <c r="AM625" s="75"/>
      <c r="AN625" s="75"/>
      <c r="AO625" s="282"/>
      <c r="AP625" s="75"/>
      <c r="AQ625" s="75"/>
      <c r="AR625" s="75"/>
      <c r="AS625" s="75"/>
      <c r="AT625" s="75"/>
    </row>
    <row r="626">
      <c r="A626" s="282"/>
      <c r="B626" s="125"/>
      <c r="C626" s="113"/>
      <c r="D626" s="75"/>
      <c r="E626" s="282"/>
      <c r="F626" s="125"/>
      <c r="G626" s="113"/>
      <c r="H626" s="75"/>
      <c r="I626" s="282"/>
      <c r="J626" s="125"/>
      <c r="K626" s="113"/>
      <c r="L626" s="75"/>
      <c r="M626" s="282"/>
      <c r="N626" s="125"/>
      <c r="O626" s="113"/>
      <c r="P626" s="75"/>
      <c r="Q626" s="282"/>
      <c r="R626" s="125"/>
      <c r="S626" s="113"/>
      <c r="T626" s="75"/>
      <c r="U626" s="282"/>
      <c r="V626" s="125"/>
      <c r="W626" s="113"/>
      <c r="X626" s="75"/>
      <c r="Y626" s="282"/>
      <c r="Z626" s="290"/>
      <c r="AA626" s="291"/>
      <c r="AB626" s="73"/>
      <c r="AC626" s="282"/>
      <c r="AD626" s="125"/>
      <c r="AE626" s="241"/>
      <c r="AF626" s="284"/>
      <c r="AG626" s="282"/>
      <c r="AH626" s="292"/>
      <c r="AI626" s="292"/>
      <c r="AJ626" s="292"/>
      <c r="AK626" s="282"/>
      <c r="AL626" s="75"/>
      <c r="AM626" s="75"/>
      <c r="AN626" s="75"/>
      <c r="AO626" s="282"/>
      <c r="AP626" s="75"/>
      <c r="AQ626" s="75"/>
      <c r="AR626" s="75"/>
      <c r="AS626" s="75"/>
      <c r="AT626" s="75"/>
    </row>
    <row r="627">
      <c r="A627" s="282"/>
      <c r="B627" s="125"/>
      <c r="C627" s="113"/>
      <c r="D627" s="75"/>
      <c r="E627" s="282"/>
      <c r="F627" s="125"/>
      <c r="G627" s="113"/>
      <c r="H627" s="75"/>
      <c r="I627" s="282"/>
      <c r="J627" s="125"/>
      <c r="K627" s="113"/>
      <c r="L627" s="75"/>
      <c r="M627" s="282"/>
      <c r="N627" s="125"/>
      <c r="O627" s="113"/>
      <c r="P627" s="75"/>
      <c r="Q627" s="282"/>
      <c r="R627" s="125"/>
      <c r="S627" s="113"/>
      <c r="T627" s="75"/>
      <c r="U627" s="282"/>
      <c r="V627" s="125"/>
      <c r="W627" s="113"/>
      <c r="X627" s="75"/>
      <c r="Y627" s="282"/>
      <c r="Z627" s="290"/>
      <c r="AA627" s="291"/>
      <c r="AB627" s="73"/>
      <c r="AC627" s="282"/>
      <c r="AD627" s="125"/>
      <c r="AE627" s="241"/>
      <c r="AF627" s="284"/>
      <c r="AG627" s="282"/>
      <c r="AH627" s="292"/>
      <c r="AI627" s="292"/>
      <c r="AJ627" s="292"/>
      <c r="AK627" s="282"/>
      <c r="AL627" s="75"/>
      <c r="AM627" s="75"/>
      <c r="AN627" s="75"/>
      <c r="AO627" s="282"/>
      <c r="AP627" s="75"/>
      <c r="AQ627" s="75"/>
      <c r="AR627" s="75"/>
      <c r="AS627" s="75"/>
      <c r="AT627" s="75"/>
    </row>
    <row r="628">
      <c r="A628" s="282"/>
      <c r="B628" s="125"/>
      <c r="C628" s="113"/>
      <c r="D628" s="75"/>
      <c r="E628" s="282"/>
      <c r="F628" s="125"/>
      <c r="G628" s="113"/>
      <c r="H628" s="75"/>
      <c r="I628" s="282"/>
      <c r="J628" s="125"/>
      <c r="K628" s="113"/>
      <c r="L628" s="75"/>
      <c r="M628" s="282"/>
      <c r="N628" s="125"/>
      <c r="O628" s="113"/>
      <c r="P628" s="75"/>
      <c r="Q628" s="282"/>
      <c r="R628" s="125"/>
      <c r="S628" s="113"/>
      <c r="T628" s="75"/>
      <c r="U628" s="282"/>
      <c r="V628" s="125"/>
      <c r="W628" s="113"/>
      <c r="X628" s="75"/>
      <c r="Y628" s="282"/>
      <c r="Z628" s="290"/>
      <c r="AA628" s="291"/>
      <c r="AB628" s="73"/>
      <c r="AC628" s="282"/>
      <c r="AD628" s="125"/>
      <c r="AE628" s="241"/>
      <c r="AF628" s="284"/>
      <c r="AG628" s="282"/>
      <c r="AH628" s="292"/>
      <c r="AI628" s="292"/>
      <c r="AJ628" s="292"/>
      <c r="AK628" s="282"/>
      <c r="AL628" s="75"/>
      <c r="AM628" s="75"/>
      <c r="AN628" s="75"/>
      <c r="AO628" s="282"/>
      <c r="AP628" s="75"/>
      <c r="AQ628" s="75"/>
      <c r="AR628" s="75"/>
      <c r="AS628" s="75"/>
      <c r="AT628" s="75"/>
    </row>
    <row r="629">
      <c r="A629" s="282"/>
      <c r="B629" s="125"/>
      <c r="C629" s="113"/>
      <c r="D629" s="75"/>
      <c r="E629" s="282"/>
      <c r="F629" s="125"/>
      <c r="G629" s="113"/>
      <c r="H629" s="75"/>
      <c r="I629" s="282"/>
      <c r="J629" s="125"/>
      <c r="K629" s="113"/>
      <c r="L629" s="75"/>
      <c r="M629" s="282"/>
      <c r="N629" s="125"/>
      <c r="O629" s="113"/>
      <c r="P629" s="75"/>
      <c r="Q629" s="282"/>
      <c r="R629" s="125"/>
      <c r="S629" s="113"/>
      <c r="T629" s="75"/>
      <c r="U629" s="282"/>
      <c r="V629" s="125"/>
      <c r="W629" s="113"/>
      <c r="X629" s="75"/>
      <c r="Y629" s="282"/>
      <c r="Z629" s="290"/>
      <c r="AA629" s="291"/>
      <c r="AB629" s="73"/>
      <c r="AC629" s="282"/>
      <c r="AD629" s="125"/>
      <c r="AE629" s="241"/>
      <c r="AF629" s="284"/>
      <c r="AG629" s="282"/>
      <c r="AH629" s="292"/>
      <c r="AI629" s="292"/>
      <c r="AJ629" s="292"/>
      <c r="AK629" s="282"/>
      <c r="AL629" s="75"/>
      <c r="AM629" s="75"/>
      <c r="AN629" s="75"/>
      <c r="AO629" s="282"/>
      <c r="AP629" s="75"/>
      <c r="AQ629" s="75"/>
      <c r="AR629" s="75"/>
      <c r="AS629" s="75"/>
      <c r="AT629" s="75"/>
    </row>
    <row r="630">
      <c r="A630" s="282"/>
      <c r="B630" s="125"/>
      <c r="C630" s="113"/>
      <c r="D630" s="75"/>
      <c r="E630" s="282"/>
      <c r="F630" s="125"/>
      <c r="G630" s="113"/>
      <c r="H630" s="75"/>
      <c r="I630" s="282"/>
      <c r="J630" s="125"/>
      <c r="K630" s="113"/>
      <c r="L630" s="75"/>
      <c r="M630" s="282"/>
      <c r="N630" s="125"/>
      <c r="O630" s="113"/>
      <c r="P630" s="75"/>
      <c r="Q630" s="282"/>
      <c r="R630" s="125"/>
      <c r="S630" s="113"/>
      <c r="T630" s="75"/>
      <c r="U630" s="282"/>
      <c r="V630" s="125"/>
      <c r="W630" s="113"/>
      <c r="X630" s="75"/>
      <c r="Y630" s="282"/>
      <c r="Z630" s="290"/>
      <c r="AA630" s="291"/>
      <c r="AB630" s="73"/>
      <c r="AC630" s="282"/>
      <c r="AD630" s="125"/>
      <c r="AE630" s="241"/>
      <c r="AF630" s="284"/>
      <c r="AG630" s="282"/>
      <c r="AH630" s="292"/>
      <c r="AI630" s="292"/>
      <c r="AJ630" s="292"/>
      <c r="AK630" s="282"/>
      <c r="AL630" s="75"/>
      <c r="AM630" s="75"/>
      <c r="AN630" s="75"/>
      <c r="AO630" s="282"/>
      <c r="AP630" s="75"/>
      <c r="AQ630" s="75"/>
      <c r="AR630" s="75"/>
      <c r="AS630" s="75"/>
      <c r="AT630" s="75"/>
    </row>
    <row r="631">
      <c r="A631" s="282"/>
      <c r="B631" s="125"/>
      <c r="C631" s="113"/>
      <c r="D631" s="75"/>
      <c r="E631" s="282"/>
      <c r="F631" s="125"/>
      <c r="G631" s="113"/>
      <c r="H631" s="75"/>
      <c r="I631" s="282"/>
      <c r="J631" s="125"/>
      <c r="K631" s="113"/>
      <c r="L631" s="75"/>
      <c r="M631" s="282"/>
      <c r="N631" s="125"/>
      <c r="O631" s="113"/>
      <c r="P631" s="75"/>
      <c r="Q631" s="282"/>
      <c r="R631" s="125"/>
      <c r="S631" s="113"/>
      <c r="T631" s="75"/>
      <c r="U631" s="282"/>
      <c r="V631" s="125"/>
      <c r="W631" s="113"/>
      <c r="X631" s="75"/>
      <c r="Y631" s="282"/>
      <c r="Z631" s="290"/>
      <c r="AA631" s="291"/>
      <c r="AB631" s="73"/>
      <c r="AC631" s="282"/>
      <c r="AD631" s="125"/>
      <c r="AE631" s="241"/>
      <c r="AF631" s="284"/>
      <c r="AG631" s="282"/>
      <c r="AH631" s="292"/>
      <c r="AI631" s="292"/>
      <c r="AJ631" s="292"/>
      <c r="AK631" s="282"/>
      <c r="AL631" s="75"/>
      <c r="AM631" s="75"/>
      <c r="AN631" s="75"/>
      <c r="AO631" s="282"/>
      <c r="AP631" s="75"/>
      <c r="AQ631" s="75"/>
      <c r="AR631" s="75"/>
      <c r="AS631" s="75"/>
      <c r="AT631" s="75"/>
    </row>
    <row r="632">
      <c r="A632" s="282"/>
      <c r="B632" s="125"/>
      <c r="C632" s="113"/>
      <c r="D632" s="75"/>
      <c r="E632" s="282"/>
      <c r="F632" s="125"/>
      <c r="G632" s="113"/>
      <c r="H632" s="75"/>
      <c r="I632" s="282"/>
      <c r="J632" s="125"/>
      <c r="K632" s="113"/>
      <c r="L632" s="75"/>
      <c r="M632" s="282"/>
      <c r="N632" s="125"/>
      <c r="O632" s="113"/>
      <c r="P632" s="75"/>
      <c r="Q632" s="282"/>
      <c r="R632" s="125"/>
      <c r="S632" s="113"/>
      <c r="T632" s="75"/>
      <c r="U632" s="282"/>
      <c r="V632" s="125"/>
      <c r="W632" s="113"/>
      <c r="X632" s="75"/>
      <c r="Y632" s="282"/>
      <c r="Z632" s="290"/>
      <c r="AA632" s="291"/>
      <c r="AB632" s="73"/>
      <c r="AC632" s="282"/>
      <c r="AD632" s="125"/>
      <c r="AE632" s="241"/>
      <c r="AF632" s="284"/>
      <c r="AG632" s="282"/>
      <c r="AH632" s="292"/>
      <c r="AI632" s="292"/>
      <c r="AJ632" s="292"/>
      <c r="AK632" s="282"/>
      <c r="AL632" s="75"/>
      <c r="AM632" s="75"/>
      <c r="AN632" s="75"/>
      <c r="AO632" s="282"/>
      <c r="AP632" s="75"/>
      <c r="AQ632" s="75"/>
      <c r="AR632" s="75"/>
      <c r="AS632" s="75"/>
      <c r="AT632" s="75"/>
    </row>
    <row r="633">
      <c r="A633" s="282"/>
      <c r="B633" s="125"/>
      <c r="C633" s="113"/>
      <c r="D633" s="75"/>
      <c r="E633" s="282"/>
      <c r="F633" s="125"/>
      <c r="G633" s="113"/>
      <c r="H633" s="75"/>
      <c r="I633" s="282"/>
      <c r="J633" s="125"/>
      <c r="K633" s="113"/>
      <c r="L633" s="75"/>
      <c r="M633" s="282"/>
      <c r="N633" s="125"/>
      <c r="O633" s="113"/>
      <c r="P633" s="75"/>
      <c r="Q633" s="282"/>
      <c r="R633" s="125"/>
      <c r="S633" s="113"/>
      <c r="T633" s="75"/>
      <c r="U633" s="282"/>
      <c r="V633" s="125"/>
      <c r="W633" s="113"/>
      <c r="X633" s="75"/>
      <c r="Y633" s="282"/>
      <c r="Z633" s="290"/>
      <c r="AA633" s="291"/>
      <c r="AB633" s="73"/>
      <c r="AC633" s="282"/>
      <c r="AD633" s="125"/>
      <c r="AE633" s="241"/>
      <c r="AF633" s="284"/>
      <c r="AG633" s="282"/>
      <c r="AH633" s="292"/>
      <c r="AI633" s="292"/>
      <c r="AJ633" s="292"/>
      <c r="AK633" s="282"/>
      <c r="AL633" s="75"/>
      <c r="AM633" s="75"/>
      <c r="AN633" s="75"/>
      <c r="AO633" s="282"/>
      <c r="AP633" s="75"/>
      <c r="AQ633" s="75"/>
      <c r="AR633" s="75"/>
      <c r="AS633" s="75"/>
      <c r="AT633" s="75"/>
    </row>
    <row r="634">
      <c r="A634" s="282"/>
      <c r="B634" s="125"/>
      <c r="C634" s="113"/>
      <c r="D634" s="75"/>
      <c r="E634" s="282"/>
      <c r="F634" s="125"/>
      <c r="G634" s="113"/>
      <c r="H634" s="75"/>
      <c r="I634" s="282"/>
      <c r="J634" s="125"/>
      <c r="K634" s="113"/>
      <c r="L634" s="75"/>
      <c r="M634" s="282"/>
      <c r="N634" s="125"/>
      <c r="O634" s="113"/>
      <c r="P634" s="75"/>
      <c r="Q634" s="282"/>
      <c r="R634" s="125"/>
      <c r="S634" s="113"/>
      <c r="T634" s="75"/>
      <c r="U634" s="282"/>
      <c r="V634" s="125"/>
      <c r="W634" s="113"/>
      <c r="X634" s="75"/>
      <c r="Y634" s="282"/>
      <c r="Z634" s="290"/>
      <c r="AA634" s="291"/>
      <c r="AB634" s="73"/>
      <c r="AC634" s="282"/>
      <c r="AD634" s="125"/>
      <c r="AE634" s="241"/>
      <c r="AF634" s="284"/>
      <c r="AG634" s="282"/>
      <c r="AH634" s="292"/>
      <c r="AI634" s="292"/>
      <c r="AJ634" s="292"/>
      <c r="AK634" s="282"/>
      <c r="AL634" s="75"/>
      <c r="AM634" s="75"/>
      <c r="AN634" s="75"/>
      <c r="AO634" s="282"/>
      <c r="AP634" s="75"/>
      <c r="AQ634" s="75"/>
      <c r="AR634" s="75"/>
      <c r="AS634" s="75"/>
      <c r="AT634" s="75"/>
    </row>
    <row r="635">
      <c r="A635" s="282"/>
      <c r="B635" s="125"/>
      <c r="C635" s="113"/>
      <c r="D635" s="75"/>
      <c r="E635" s="282"/>
      <c r="F635" s="125"/>
      <c r="G635" s="113"/>
      <c r="H635" s="75"/>
      <c r="I635" s="282"/>
      <c r="J635" s="125"/>
      <c r="K635" s="113"/>
      <c r="L635" s="75"/>
      <c r="M635" s="282"/>
      <c r="N635" s="125"/>
      <c r="O635" s="113"/>
      <c r="P635" s="75"/>
      <c r="Q635" s="282"/>
      <c r="R635" s="125"/>
      <c r="S635" s="113"/>
      <c r="T635" s="75"/>
      <c r="U635" s="282"/>
      <c r="V635" s="125"/>
      <c r="W635" s="113"/>
      <c r="X635" s="75"/>
      <c r="Y635" s="282"/>
      <c r="Z635" s="290"/>
      <c r="AA635" s="291"/>
      <c r="AB635" s="73"/>
      <c r="AC635" s="282"/>
      <c r="AD635" s="125"/>
      <c r="AE635" s="241"/>
      <c r="AF635" s="284"/>
      <c r="AG635" s="282"/>
      <c r="AH635" s="292"/>
      <c r="AI635" s="292"/>
      <c r="AJ635" s="292"/>
      <c r="AK635" s="282"/>
      <c r="AL635" s="75"/>
      <c r="AM635" s="75"/>
      <c r="AN635" s="75"/>
      <c r="AO635" s="282"/>
      <c r="AP635" s="75"/>
      <c r="AQ635" s="75"/>
      <c r="AR635" s="75"/>
      <c r="AS635" s="75"/>
      <c r="AT635" s="75"/>
    </row>
    <row r="636">
      <c r="A636" s="282"/>
      <c r="B636" s="125"/>
      <c r="C636" s="113"/>
      <c r="D636" s="75"/>
      <c r="E636" s="282"/>
      <c r="F636" s="125"/>
      <c r="G636" s="113"/>
      <c r="H636" s="75"/>
      <c r="I636" s="282"/>
      <c r="J636" s="125"/>
      <c r="K636" s="113"/>
      <c r="L636" s="75"/>
      <c r="M636" s="282"/>
      <c r="N636" s="125"/>
      <c r="O636" s="113"/>
      <c r="P636" s="75"/>
      <c r="Q636" s="282"/>
      <c r="R636" s="125"/>
      <c r="S636" s="113"/>
      <c r="T636" s="75"/>
      <c r="U636" s="282"/>
      <c r="V636" s="125"/>
      <c r="W636" s="113"/>
      <c r="X636" s="75"/>
      <c r="Y636" s="282"/>
      <c r="Z636" s="290"/>
      <c r="AA636" s="291"/>
      <c r="AB636" s="73"/>
      <c r="AC636" s="282"/>
      <c r="AD636" s="125"/>
      <c r="AE636" s="241"/>
      <c r="AF636" s="284"/>
      <c r="AG636" s="282"/>
      <c r="AH636" s="292"/>
      <c r="AI636" s="292"/>
      <c r="AJ636" s="292"/>
      <c r="AK636" s="282"/>
      <c r="AL636" s="75"/>
      <c r="AM636" s="75"/>
      <c r="AN636" s="75"/>
      <c r="AO636" s="282"/>
      <c r="AP636" s="75"/>
      <c r="AQ636" s="75"/>
      <c r="AR636" s="75"/>
      <c r="AS636" s="75"/>
      <c r="AT636" s="75"/>
    </row>
    <row r="637">
      <c r="A637" s="282"/>
      <c r="B637" s="125"/>
      <c r="C637" s="113"/>
      <c r="D637" s="75"/>
      <c r="E637" s="282"/>
      <c r="F637" s="125"/>
      <c r="G637" s="113"/>
      <c r="H637" s="75"/>
      <c r="I637" s="282"/>
      <c r="J637" s="125"/>
      <c r="K637" s="113"/>
      <c r="L637" s="75"/>
      <c r="M637" s="282"/>
      <c r="N637" s="125"/>
      <c r="O637" s="113"/>
      <c r="P637" s="75"/>
      <c r="Q637" s="282"/>
      <c r="R637" s="125"/>
      <c r="S637" s="113"/>
      <c r="T637" s="75"/>
      <c r="U637" s="282"/>
      <c r="V637" s="125"/>
      <c r="W637" s="113"/>
      <c r="X637" s="75"/>
      <c r="Y637" s="282"/>
      <c r="Z637" s="290"/>
      <c r="AA637" s="291"/>
      <c r="AB637" s="73"/>
      <c r="AC637" s="282"/>
      <c r="AD637" s="125"/>
      <c r="AE637" s="241"/>
      <c r="AF637" s="284"/>
      <c r="AG637" s="282"/>
      <c r="AH637" s="292"/>
      <c r="AI637" s="292"/>
      <c r="AJ637" s="292"/>
      <c r="AK637" s="282"/>
      <c r="AL637" s="75"/>
      <c r="AM637" s="75"/>
      <c r="AN637" s="75"/>
      <c r="AO637" s="282"/>
      <c r="AP637" s="75"/>
      <c r="AQ637" s="75"/>
      <c r="AR637" s="75"/>
      <c r="AS637" s="75"/>
      <c r="AT637" s="75"/>
    </row>
    <row r="638">
      <c r="A638" s="282"/>
      <c r="B638" s="125"/>
      <c r="C638" s="113"/>
      <c r="D638" s="75"/>
      <c r="E638" s="282"/>
      <c r="F638" s="125"/>
      <c r="G638" s="113"/>
      <c r="H638" s="75"/>
      <c r="I638" s="282"/>
      <c r="J638" s="125"/>
      <c r="K638" s="113"/>
      <c r="L638" s="75"/>
      <c r="M638" s="282"/>
      <c r="N638" s="125"/>
      <c r="O638" s="113"/>
      <c r="P638" s="75"/>
      <c r="Q638" s="282"/>
      <c r="R638" s="125"/>
      <c r="S638" s="113"/>
      <c r="T638" s="75"/>
      <c r="U638" s="282"/>
      <c r="V638" s="125"/>
      <c r="W638" s="113"/>
      <c r="X638" s="75"/>
      <c r="Y638" s="282"/>
      <c r="Z638" s="290"/>
      <c r="AA638" s="291"/>
      <c r="AB638" s="73"/>
      <c r="AC638" s="282"/>
      <c r="AD638" s="125"/>
      <c r="AE638" s="241"/>
      <c r="AF638" s="284"/>
      <c r="AG638" s="282"/>
      <c r="AH638" s="292"/>
      <c r="AI638" s="292"/>
      <c r="AJ638" s="292"/>
      <c r="AK638" s="282"/>
      <c r="AL638" s="75"/>
      <c r="AM638" s="75"/>
      <c r="AN638" s="75"/>
      <c r="AO638" s="282"/>
      <c r="AP638" s="75"/>
      <c r="AQ638" s="75"/>
      <c r="AR638" s="75"/>
      <c r="AS638" s="75"/>
      <c r="AT638" s="75"/>
    </row>
    <row r="639">
      <c r="A639" s="282"/>
      <c r="B639" s="125"/>
      <c r="C639" s="113"/>
      <c r="D639" s="75"/>
      <c r="E639" s="282"/>
      <c r="F639" s="125"/>
      <c r="G639" s="113"/>
      <c r="H639" s="75"/>
      <c r="I639" s="282"/>
      <c r="J639" s="125"/>
      <c r="K639" s="113"/>
      <c r="L639" s="75"/>
      <c r="M639" s="282"/>
      <c r="N639" s="125"/>
      <c r="O639" s="113"/>
      <c r="P639" s="75"/>
      <c r="Q639" s="282"/>
      <c r="R639" s="125"/>
      <c r="S639" s="113"/>
      <c r="T639" s="75"/>
      <c r="U639" s="282"/>
      <c r="V639" s="125"/>
      <c r="W639" s="113"/>
      <c r="X639" s="75"/>
      <c r="Y639" s="282"/>
      <c r="Z639" s="290"/>
      <c r="AA639" s="291"/>
      <c r="AB639" s="73"/>
      <c r="AC639" s="282"/>
      <c r="AD639" s="125"/>
      <c r="AE639" s="241"/>
      <c r="AF639" s="284"/>
      <c r="AG639" s="282"/>
      <c r="AH639" s="292"/>
      <c r="AI639" s="292"/>
      <c r="AJ639" s="292"/>
      <c r="AK639" s="282"/>
      <c r="AL639" s="75"/>
      <c r="AM639" s="75"/>
      <c r="AN639" s="75"/>
      <c r="AO639" s="282"/>
      <c r="AP639" s="75"/>
      <c r="AQ639" s="75"/>
      <c r="AR639" s="75"/>
      <c r="AS639" s="75"/>
      <c r="AT639" s="75"/>
    </row>
    <row r="640">
      <c r="A640" s="282"/>
      <c r="B640" s="125"/>
      <c r="C640" s="113"/>
      <c r="D640" s="75"/>
      <c r="E640" s="282"/>
      <c r="F640" s="125"/>
      <c r="G640" s="113"/>
      <c r="H640" s="75"/>
      <c r="I640" s="282"/>
      <c r="J640" s="125"/>
      <c r="K640" s="113"/>
      <c r="L640" s="75"/>
      <c r="M640" s="282"/>
      <c r="N640" s="125"/>
      <c r="O640" s="113"/>
      <c r="P640" s="75"/>
      <c r="Q640" s="282"/>
      <c r="R640" s="125"/>
      <c r="S640" s="113"/>
      <c r="T640" s="75"/>
      <c r="U640" s="282"/>
      <c r="V640" s="125"/>
      <c r="W640" s="113"/>
      <c r="X640" s="75"/>
      <c r="Y640" s="282"/>
      <c r="Z640" s="290"/>
      <c r="AA640" s="291"/>
      <c r="AB640" s="73"/>
      <c r="AC640" s="282"/>
      <c r="AD640" s="125"/>
      <c r="AE640" s="241"/>
      <c r="AF640" s="284"/>
      <c r="AG640" s="282"/>
      <c r="AH640" s="292"/>
      <c r="AI640" s="292"/>
      <c r="AJ640" s="292"/>
      <c r="AK640" s="282"/>
      <c r="AL640" s="75"/>
      <c r="AM640" s="75"/>
      <c r="AN640" s="75"/>
      <c r="AO640" s="282"/>
      <c r="AP640" s="75"/>
      <c r="AQ640" s="75"/>
      <c r="AR640" s="75"/>
      <c r="AS640" s="75"/>
      <c r="AT640" s="75"/>
    </row>
    <row r="641">
      <c r="A641" s="282"/>
      <c r="B641" s="125"/>
      <c r="C641" s="113"/>
      <c r="D641" s="75"/>
      <c r="E641" s="282"/>
      <c r="F641" s="125"/>
      <c r="G641" s="113"/>
      <c r="H641" s="75"/>
      <c r="I641" s="282"/>
      <c r="J641" s="125"/>
      <c r="K641" s="113"/>
      <c r="L641" s="75"/>
      <c r="M641" s="282"/>
      <c r="N641" s="125"/>
      <c r="O641" s="113"/>
      <c r="P641" s="75"/>
      <c r="Q641" s="282"/>
      <c r="R641" s="125"/>
      <c r="S641" s="113"/>
      <c r="T641" s="75"/>
      <c r="U641" s="282"/>
      <c r="V641" s="125"/>
      <c r="W641" s="113"/>
      <c r="X641" s="75"/>
      <c r="Y641" s="282"/>
      <c r="Z641" s="290"/>
      <c r="AA641" s="291"/>
      <c r="AB641" s="73"/>
      <c r="AC641" s="282"/>
      <c r="AD641" s="125"/>
      <c r="AE641" s="241"/>
      <c r="AF641" s="284"/>
      <c r="AG641" s="282"/>
      <c r="AH641" s="292"/>
      <c r="AI641" s="292"/>
      <c r="AJ641" s="292"/>
      <c r="AK641" s="282"/>
      <c r="AL641" s="75"/>
      <c r="AM641" s="75"/>
      <c r="AN641" s="75"/>
      <c r="AO641" s="282"/>
      <c r="AP641" s="75"/>
      <c r="AQ641" s="75"/>
      <c r="AR641" s="75"/>
      <c r="AS641" s="75"/>
      <c r="AT641" s="75"/>
    </row>
    <row r="642">
      <c r="A642" s="282"/>
      <c r="B642" s="125"/>
      <c r="C642" s="113"/>
      <c r="D642" s="75"/>
      <c r="E642" s="282"/>
      <c r="F642" s="125"/>
      <c r="G642" s="113"/>
      <c r="H642" s="75"/>
      <c r="I642" s="282"/>
      <c r="J642" s="125"/>
      <c r="K642" s="113"/>
      <c r="L642" s="75"/>
      <c r="M642" s="282"/>
      <c r="N642" s="125"/>
      <c r="O642" s="113"/>
      <c r="P642" s="75"/>
      <c r="Q642" s="282"/>
      <c r="R642" s="125"/>
      <c r="S642" s="113"/>
      <c r="T642" s="75"/>
      <c r="U642" s="282"/>
      <c r="V642" s="125"/>
      <c r="W642" s="113"/>
      <c r="X642" s="75"/>
      <c r="Y642" s="282"/>
      <c r="Z642" s="290"/>
      <c r="AA642" s="291"/>
      <c r="AB642" s="73"/>
      <c r="AC642" s="282"/>
      <c r="AD642" s="125"/>
      <c r="AE642" s="241"/>
      <c r="AF642" s="284"/>
      <c r="AG642" s="282"/>
      <c r="AH642" s="292"/>
      <c r="AI642" s="292"/>
      <c r="AJ642" s="292"/>
      <c r="AK642" s="282"/>
      <c r="AL642" s="75"/>
      <c r="AM642" s="75"/>
      <c r="AN642" s="75"/>
      <c r="AO642" s="282"/>
      <c r="AP642" s="75"/>
      <c r="AQ642" s="75"/>
      <c r="AR642" s="75"/>
      <c r="AS642" s="75"/>
      <c r="AT642" s="75"/>
    </row>
    <row r="643">
      <c r="A643" s="282"/>
      <c r="B643" s="125"/>
      <c r="C643" s="113"/>
      <c r="D643" s="75"/>
      <c r="E643" s="282"/>
      <c r="F643" s="125"/>
      <c r="G643" s="113"/>
      <c r="H643" s="75"/>
      <c r="I643" s="282"/>
      <c r="J643" s="125"/>
      <c r="K643" s="113"/>
      <c r="L643" s="75"/>
      <c r="M643" s="282"/>
      <c r="N643" s="125"/>
      <c r="O643" s="113"/>
      <c r="P643" s="75"/>
      <c r="Q643" s="282"/>
      <c r="R643" s="125"/>
      <c r="S643" s="113"/>
      <c r="T643" s="75"/>
      <c r="U643" s="282"/>
      <c r="V643" s="125"/>
      <c r="W643" s="113"/>
      <c r="X643" s="75"/>
      <c r="Y643" s="282"/>
      <c r="Z643" s="290"/>
      <c r="AA643" s="291"/>
      <c r="AB643" s="73"/>
      <c r="AC643" s="282"/>
      <c r="AD643" s="125"/>
      <c r="AE643" s="241"/>
      <c r="AF643" s="284"/>
      <c r="AG643" s="282"/>
      <c r="AH643" s="292"/>
      <c r="AI643" s="292"/>
      <c r="AJ643" s="292"/>
      <c r="AK643" s="282"/>
      <c r="AL643" s="75"/>
      <c r="AM643" s="75"/>
      <c r="AN643" s="75"/>
      <c r="AO643" s="282"/>
      <c r="AP643" s="75"/>
      <c r="AQ643" s="75"/>
      <c r="AR643" s="75"/>
      <c r="AS643" s="75"/>
      <c r="AT643" s="75"/>
    </row>
    <row r="644">
      <c r="A644" s="282"/>
      <c r="B644" s="125"/>
      <c r="C644" s="113"/>
      <c r="D644" s="75"/>
      <c r="E644" s="282"/>
      <c r="F644" s="125"/>
      <c r="G644" s="113"/>
      <c r="H644" s="75"/>
      <c r="I644" s="282"/>
      <c r="J644" s="125"/>
      <c r="K644" s="113"/>
      <c r="L644" s="75"/>
      <c r="M644" s="282"/>
      <c r="N644" s="125"/>
      <c r="O644" s="113"/>
      <c r="P644" s="75"/>
      <c r="Q644" s="282"/>
      <c r="R644" s="125"/>
      <c r="S644" s="113"/>
      <c r="T644" s="75"/>
      <c r="U644" s="282"/>
      <c r="V644" s="125"/>
      <c r="W644" s="113"/>
      <c r="X644" s="75"/>
      <c r="Y644" s="282"/>
      <c r="Z644" s="290"/>
      <c r="AA644" s="291"/>
      <c r="AB644" s="73"/>
      <c r="AC644" s="282"/>
      <c r="AD644" s="125"/>
      <c r="AE644" s="241"/>
      <c r="AF644" s="284"/>
      <c r="AG644" s="282"/>
      <c r="AH644" s="292"/>
      <c r="AI644" s="292"/>
      <c r="AJ644" s="292"/>
      <c r="AK644" s="282"/>
      <c r="AL644" s="75"/>
      <c r="AM644" s="75"/>
      <c r="AN644" s="75"/>
      <c r="AO644" s="282"/>
      <c r="AP644" s="75"/>
      <c r="AQ644" s="75"/>
      <c r="AR644" s="75"/>
      <c r="AS644" s="75"/>
      <c r="AT644" s="75"/>
    </row>
    <row r="645">
      <c r="A645" s="282"/>
      <c r="B645" s="125"/>
      <c r="C645" s="113"/>
      <c r="D645" s="75"/>
      <c r="E645" s="282"/>
      <c r="F645" s="125"/>
      <c r="G645" s="113"/>
      <c r="H645" s="75"/>
      <c r="I645" s="282"/>
      <c r="J645" s="125"/>
      <c r="K645" s="113"/>
      <c r="L645" s="75"/>
      <c r="M645" s="282"/>
      <c r="N645" s="125"/>
      <c r="O645" s="113"/>
      <c r="P645" s="75"/>
      <c r="Q645" s="282"/>
      <c r="R645" s="125"/>
      <c r="S645" s="113"/>
      <c r="T645" s="75"/>
      <c r="U645" s="282"/>
      <c r="V645" s="125"/>
      <c r="W645" s="113"/>
      <c r="X645" s="75"/>
      <c r="Y645" s="282"/>
      <c r="Z645" s="290"/>
      <c r="AA645" s="291"/>
      <c r="AB645" s="73"/>
      <c r="AC645" s="282"/>
      <c r="AD645" s="125"/>
      <c r="AE645" s="241"/>
      <c r="AF645" s="284"/>
      <c r="AG645" s="282"/>
      <c r="AH645" s="292"/>
      <c r="AI645" s="292"/>
      <c r="AJ645" s="292"/>
      <c r="AK645" s="282"/>
      <c r="AL645" s="75"/>
      <c r="AM645" s="75"/>
      <c r="AN645" s="75"/>
      <c r="AO645" s="282"/>
      <c r="AP645" s="75"/>
      <c r="AQ645" s="75"/>
      <c r="AR645" s="75"/>
      <c r="AS645" s="75"/>
      <c r="AT645" s="75"/>
    </row>
    <row r="646">
      <c r="A646" s="282"/>
      <c r="B646" s="125"/>
      <c r="C646" s="113"/>
      <c r="D646" s="75"/>
      <c r="E646" s="282"/>
      <c r="F646" s="125"/>
      <c r="G646" s="113"/>
      <c r="H646" s="75"/>
      <c r="I646" s="282"/>
      <c r="J646" s="125"/>
      <c r="K646" s="113"/>
      <c r="L646" s="75"/>
      <c r="M646" s="282"/>
      <c r="N646" s="125"/>
      <c r="O646" s="113"/>
      <c r="P646" s="75"/>
      <c r="Q646" s="282"/>
      <c r="R646" s="125"/>
      <c r="S646" s="113"/>
      <c r="T646" s="75"/>
      <c r="U646" s="282"/>
      <c r="V646" s="125"/>
      <c r="W646" s="113"/>
      <c r="X646" s="75"/>
      <c r="Y646" s="282"/>
      <c r="Z646" s="290"/>
      <c r="AA646" s="291"/>
      <c r="AB646" s="73"/>
      <c r="AC646" s="282"/>
      <c r="AD646" s="125"/>
      <c r="AE646" s="241"/>
      <c r="AF646" s="284"/>
      <c r="AG646" s="282"/>
      <c r="AH646" s="292"/>
      <c r="AI646" s="292"/>
      <c r="AJ646" s="292"/>
      <c r="AK646" s="282"/>
      <c r="AL646" s="75"/>
      <c r="AM646" s="75"/>
      <c r="AN646" s="75"/>
      <c r="AO646" s="282"/>
      <c r="AP646" s="75"/>
      <c r="AQ646" s="75"/>
      <c r="AR646" s="75"/>
      <c r="AS646" s="75"/>
      <c r="AT646" s="75"/>
    </row>
    <row r="647">
      <c r="A647" s="282"/>
      <c r="B647" s="125"/>
      <c r="C647" s="113"/>
      <c r="D647" s="75"/>
      <c r="E647" s="282"/>
      <c r="F647" s="125"/>
      <c r="G647" s="113"/>
      <c r="H647" s="75"/>
      <c r="I647" s="282"/>
      <c r="J647" s="125"/>
      <c r="K647" s="113"/>
      <c r="L647" s="75"/>
      <c r="M647" s="282"/>
      <c r="N647" s="125"/>
      <c r="O647" s="113"/>
      <c r="P647" s="75"/>
      <c r="Q647" s="282"/>
      <c r="R647" s="125"/>
      <c r="S647" s="113"/>
      <c r="T647" s="75"/>
      <c r="U647" s="282"/>
      <c r="V647" s="125"/>
      <c r="W647" s="113"/>
      <c r="X647" s="75"/>
      <c r="Y647" s="282"/>
      <c r="Z647" s="290"/>
      <c r="AA647" s="291"/>
      <c r="AB647" s="73"/>
      <c r="AC647" s="282"/>
      <c r="AD647" s="125"/>
      <c r="AE647" s="241"/>
      <c r="AF647" s="284"/>
      <c r="AG647" s="282"/>
      <c r="AH647" s="292"/>
      <c r="AI647" s="292"/>
      <c r="AJ647" s="292"/>
      <c r="AK647" s="282"/>
      <c r="AL647" s="75"/>
      <c r="AM647" s="75"/>
      <c r="AN647" s="75"/>
      <c r="AO647" s="282"/>
      <c r="AP647" s="75"/>
      <c r="AQ647" s="75"/>
      <c r="AR647" s="75"/>
      <c r="AS647" s="75"/>
      <c r="AT647" s="75"/>
    </row>
    <row r="648">
      <c r="A648" s="282"/>
      <c r="B648" s="125"/>
      <c r="C648" s="113"/>
      <c r="D648" s="75"/>
      <c r="E648" s="282"/>
      <c r="F648" s="125"/>
      <c r="G648" s="113"/>
      <c r="H648" s="75"/>
      <c r="I648" s="282"/>
      <c r="J648" s="125"/>
      <c r="K648" s="113"/>
      <c r="L648" s="75"/>
      <c r="M648" s="282"/>
      <c r="N648" s="125"/>
      <c r="O648" s="113"/>
      <c r="P648" s="75"/>
      <c r="Q648" s="282"/>
      <c r="R648" s="125"/>
      <c r="S648" s="113"/>
      <c r="T648" s="75"/>
      <c r="U648" s="282"/>
      <c r="V648" s="125"/>
      <c r="W648" s="113"/>
      <c r="X648" s="75"/>
      <c r="Y648" s="282"/>
      <c r="Z648" s="290"/>
      <c r="AA648" s="291"/>
      <c r="AB648" s="73"/>
      <c r="AC648" s="282"/>
      <c r="AD648" s="125"/>
      <c r="AE648" s="241"/>
      <c r="AF648" s="284"/>
      <c r="AG648" s="282"/>
      <c r="AH648" s="292"/>
      <c r="AI648" s="292"/>
      <c r="AJ648" s="292"/>
      <c r="AK648" s="282"/>
      <c r="AL648" s="75"/>
      <c r="AM648" s="75"/>
      <c r="AN648" s="75"/>
      <c r="AO648" s="282"/>
      <c r="AP648" s="75"/>
      <c r="AQ648" s="75"/>
      <c r="AR648" s="75"/>
      <c r="AS648" s="75"/>
      <c r="AT648" s="75"/>
    </row>
    <row r="649">
      <c r="A649" s="282"/>
      <c r="B649" s="125"/>
      <c r="C649" s="113"/>
      <c r="D649" s="75"/>
      <c r="E649" s="282"/>
      <c r="F649" s="125"/>
      <c r="G649" s="113"/>
      <c r="H649" s="75"/>
      <c r="I649" s="282"/>
      <c r="J649" s="125"/>
      <c r="K649" s="113"/>
      <c r="L649" s="75"/>
      <c r="M649" s="282"/>
      <c r="N649" s="125"/>
      <c r="O649" s="113"/>
      <c r="P649" s="75"/>
      <c r="Q649" s="282"/>
      <c r="R649" s="125"/>
      <c r="S649" s="113"/>
      <c r="T649" s="75"/>
      <c r="U649" s="282"/>
      <c r="V649" s="125"/>
      <c r="W649" s="113"/>
      <c r="X649" s="75"/>
      <c r="Y649" s="282"/>
      <c r="Z649" s="290"/>
      <c r="AA649" s="291"/>
      <c r="AB649" s="73"/>
      <c r="AC649" s="282"/>
      <c r="AD649" s="125"/>
      <c r="AE649" s="241"/>
      <c r="AF649" s="284"/>
      <c r="AG649" s="282"/>
      <c r="AH649" s="292"/>
      <c r="AI649" s="292"/>
      <c r="AJ649" s="292"/>
      <c r="AK649" s="282"/>
      <c r="AL649" s="75"/>
      <c r="AM649" s="75"/>
      <c r="AN649" s="75"/>
      <c r="AO649" s="282"/>
      <c r="AP649" s="75"/>
      <c r="AQ649" s="75"/>
      <c r="AR649" s="75"/>
      <c r="AS649" s="75"/>
      <c r="AT649" s="75"/>
    </row>
    <row r="650">
      <c r="A650" s="282"/>
      <c r="B650" s="125"/>
      <c r="C650" s="113"/>
      <c r="D650" s="75"/>
      <c r="E650" s="282"/>
      <c r="F650" s="125"/>
      <c r="G650" s="113"/>
      <c r="H650" s="75"/>
      <c r="I650" s="282"/>
      <c r="J650" s="125"/>
      <c r="K650" s="113"/>
      <c r="L650" s="75"/>
      <c r="M650" s="282"/>
      <c r="N650" s="125"/>
      <c r="O650" s="113"/>
      <c r="P650" s="75"/>
      <c r="Q650" s="282"/>
      <c r="R650" s="125"/>
      <c r="S650" s="113"/>
      <c r="T650" s="75"/>
      <c r="U650" s="282"/>
      <c r="V650" s="125"/>
      <c r="W650" s="113"/>
      <c r="X650" s="75"/>
      <c r="Y650" s="282"/>
      <c r="Z650" s="290"/>
      <c r="AA650" s="291"/>
      <c r="AB650" s="73"/>
      <c r="AC650" s="282"/>
      <c r="AD650" s="125"/>
      <c r="AE650" s="241"/>
      <c r="AF650" s="284"/>
      <c r="AG650" s="282"/>
      <c r="AH650" s="292"/>
      <c r="AI650" s="292"/>
      <c r="AJ650" s="292"/>
      <c r="AK650" s="282"/>
      <c r="AL650" s="75"/>
      <c r="AM650" s="75"/>
      <c r="AN650" s="75"/>
      <c r="AO650" s="282"/>
      <c r="AP650" s="75"/>
      <c r="AQ650" s="75"/>
      <c r="AR650" s="75"/>
      <c r="AS650" s="75"/>
      <c r="AT650" s="75"/>
    </row>
    <row r="651">
      <c r="A651" s="282"/>
      <c r="B651" s="125"/>
      <c r="C651" s="113"/>
      <c r="D651" s="75"/>
      <c r="E651" s="282"/>
      <c r="F651" s="125"/>
      <c r="G651" s="113"/>
      <c r="H651" s="75"/>
      <c r="I651" s="282"/>
      <c r="J651" s="125"/>
      <c r="K651" s="113"/>
      <c r="L651" s="75"/>
      <c r="M651" s="282"/>
      <c r="N651" s="125"/>
      <c r="O651" s="113"/>
      <c r="P651" s="75"/>
      <c r="Q651" s="282"/>
      <c r="R651" s="125"/>
      <c r="S651" s="113"/>
      <c r="T651" s="75"/>
      <c r="U651" s="282"/>
      <c r="V651" s="125"/>
      <c r="W651" s="113"/>
      <c r="X651" s="75"/>
      <c r="Y651" s="282"/>
      <c r="Z651" s="290"/>
      <c r="AA651" s="291"/>
      <c r="AB651" s="73"/>
      <c r="AC651" s="282"/>
      <c r="AD651" s="125"/>
      <c r="AE651" s="241"/>
      <c r="AF651" s="284"/>
      <c r="AG651" s="282"/>
      <c r="AH651" s="292"/>
      <c r="AI651" s="292"/>
      <c r="AJ651" s="292"/>
      <c r="AK651" s="282"/>
      <c r="AL651" s="75"/>
      <c r="AM651" s="75"/>
      <c r="AN651" s="75"/>
      <c r="AO651" s="282"/>
      <c r="AP651" s="75"/>
      <c r="AQ651" s="75"/>
      <c r="AR651" s="75"/>
      <c r="AS651" s="75"/>
      <c r="AT651" s="75"/>
    </row>
    <row r="652">
      <c r="A652" s="282"/>
      <c r="B652" s="125"/>
      <c r="C652" s="113"/>
      <c r="D652" s="75"/>
      <c r="E652" s="282"/>
      <c r="F652" s="125"/>
      <c r="G652" s="113"/>
      <c r="H652" s="75"/>
      <c r="I652" s="282"/>
      <c r="J652" s="125"/>
      <c r="K652" s="113"/>
      <c r="L652" s="75"/>
      <c r="M652" s="282"/>
      <c r="N652" s="125"/>
      <c r="O652" s="113"/>
      <c r="P652" s="75"/>
      <c r="Q652" s="282"/>
      <c r="R652" s="125"/>
      <c r="S652" s="113"/>
      <c r="T652" s="75"/>
      <c r="U652" s="282"/>
      <c r="V652" s="125"/>
      <c r="W652" s="113"/>
      <c r="X652" s="75"/>
      <c r="Y652" s="282"/>
      <c r="Z652" s="290"/>
      <c r="AA652" s="291"/>
      <c r="AB652" s="73"/>
      <c r="AC652" s="282"/>
      <c r="AD652" s="125"/>
      <c r="AE652" s="241"/>
      <c r="AF652" s="284"/>
      <c r="AG652" s="282"/>
      <c r="AH652" s="292"/>
      <c r="AI652" s="292"/>
      <c r="AJ652" s="292"/>
      <c r="AK652" s="282"/>
      <c r="AL652" s="75"/>
      <c r="AM652" s="75"/>
      <c r="AN652" s="75"/>
      <c r="AO652" s="282"/>
      <c r="AP652" s="75"/>
      <c r="AQ652" s="75"/>
      <c r="AR652" s="75"/>
      <c r="AS652" s="75"/>
      <c r="AT652" s="75"/>
    </row>
    <row r="653">
      <c r="A653" s="282"/>
      <c r="B653" s="125"/>
      <c r="C653" s="113"/>
      <c r="D653" s="75"/>
      <c r="E653" s="282"/>
      <c r="F653" s="125"/>
      <c r="G653" s="113"/>
      <c r="H653" s="75"/>
      <c r="I653" s="282"/>
      <c r="J653" s="125"/>
      <c r="K653" s="113"/>
      <c r="L653" s="75"/>
      <c r="M653" s="282"/>
      <c r="N653" s="125"/>
      <c r="O653" s="113"/>
      <c r="P653" s="75"/>
      <c r="Q653" s="282"/>
      <c r="R653" s="125"/>
      <c r="S653" s="113"/>
      <c r="T653" s="75"/>
      <c r="U653" s="282"/>
      <c r="V653" s="125"/>
      <c r="W653" s="113"/>
      <c r="X653" s="75"/>
      <c r="Y653" s="282"/>
      <c r="Z653" s="290"/>
      <c r="AA653" s="291"/>
      <c r="AB653" s="73"/>
      <c r="AC653" s="282"/>
      <c r="AD653" s="125"/>
      <c r="AE653" s="241"/>
      <c r="AF653" s="284"/>
      <c r="AG653" s="282"/>
      <c r="AH653" s="292"/>
      <c r="AI653" s="292"/>
      <c r="AJ653" s="292"/>
      <c r="AK653" s="282"/>
      <c r="AL653" s="75"/>
      <c r="AM653" s="75"/>
      <c r="AN653" s="75"/>
      <c r="AO653" s="282"/>
      <c r="AP653" s="75"/>
      <c r="AQ653" s="75"/>
      <c r="AR653" s="75"/>
      <c r="AS653" s="75"/>
      <c r="AT653" s="75"/>
    </row>
    <row r="654">
      <c r="A654" s="282"/>
      <c r="B654" s="125"/>
      <c r="C654" s="113"/>
      <c r="D654" s="75"/>
      <c r="E654" s="282"/>
      <c r="F654" s="125"/>
      <c r="G654" s="113"/>
      <c r="H654" s="75"/>
      <c r="I654" s="282"/>
      <c r="J654" s="125"/>
      <c r="K654" s="113"/>
      <c r="L654" s="75"/>
      <c r="M654" s="282"/>
      <c r="N654" s="125"/>
      <c r="O654" s="113"/>
      <c r="P654" s="75"/>
      <c r="Q654" s="282"/>
      <c r="R654" s="125"/>
      <c r="S654" s="113"/>
      <c r="T654" s="75"/>
      <c r="U654" s="282"/>
      <c r="V654" s="125"/>
      <c r="W654" s="113"/>
      <c r="X654" s="75"/>
      <c r="Y654" s="282"/>
      <c r="Z654" s="290"/>
      <c r="AA654" s="291"/>
      <c r="AB654" s="73"/>
      <c r="AC654" s="282"/>
      <c r="AD654" s="125"/>
      <c r="AE654" s="241"/>
      <c r="AF654" s="284"/>
      <c r="AG654" s="282"/>
      <c r="AH654" s="292"/>
      <c r="AI654" s="292"/>
      <c r="AJ654" s="292"/>
      <c r="AK654" s="282"/>
      <c r="AL654" s="75"/>
      <c r="AM654" s="75"/>
      <c r="AN654" s="75"/>
      <c r="AO654" s="282"/>
      <c r="AP654" s="75"/>
      <c r="AQ654" s="75"/>
      <c r="AR654" s="75"/>
      <c r="AS654" s="75"/>
      <c r="AT654" s="75"/>
    </row>
    <row r="655">
      <c r="A655" s="282"/>
      <c r="B655" s="125"/>
      <c r="C655" s="113"/>
      <c r="D655" s="75"/>
      <c r="E655" s="282"/>
      <c r="F655" s="125"/>
      <c r="G655" s="113"/>
      <c r="H655" s="75"/>
      <c r="I655" s="282"/>
      <c r="J655" s="125"/>
      <c r="K655" s="113"/>
      <c r="L655" s="75"/>
      <c r="M655" s="282"/>
      <c r="N655" s="125"/>
      <c r="O655" s="113"/>
      <c r="P655" s="75"/>
      <c r="Q655" s="282"/>
      <c r="R655" s="125"/>
      <c r="S655" s="113"/>
      <c r="T655" s="75"/>
      <c r="U655" s="282"/>
      <c r="V655" s="125"/>
      <c r="W655" s="113"/>
      <c r="X655" s="75"/>
      <c r="Y655" s="282"/>
      <c r="Z655" s="290"/>
      <c r="AA655" s="291"/>
      <c r="AB655" s="73"/>
      <c r="AC655" s="282"/>
      <c r="AD655" s="125"/>
      <c r="AE655" s="241"/>
      <c r="AF655" s="284"/>
      <c r="AG655" s="282"/>
      <c r="AH655" s="292"/>
      <c r="AI655" s="292"/>
      <c r="AJ655" s="292"/>
      <c r="AK655" s="282"/>
      <c r="AL655" s="75"/>
      <c r="AM655" s="75"/>
      <c r="AN655" s="75"/>
      <c r="AO655" s="282"/>
      <c r="AP655" s="75"/>
      <c r="AQ655" s="75"/>
      <c r="AR655" s="75"/>
      <c r="AS655" s="75"/>
      <c r="AT655" s="75"/>
    </row>
    <row r="656">
      <c r="A656" s="282"/>
      <c r="B656" s="125"/>
      <c r="C656" s="113"/>
      <c r="D656" s="75"/>
      <c r="E656" s="282"/>
      <c r="F656" s="125"/>
      <c r="G656" s="113"/>
      <c r="H656" s="75"/>
      <c r="I656" s="282"/>
      <c r="J656" s="125"/>
      <c r="K656" s="113"/>
      <c r="L656" s="75"/>
      <c r="M656" s="282"/>
      <c r="N656" s="125"/>
      <c r="O656" s="113"/>
      <c r="P656" s="75"/>
      <c r="Q656" s="282"/>
      <c r="R656" s="125"/>
      <c r="S656" s="113"/>
      <c r="T656" s="75"/>
      <c r="U656" s="282"/>
      <c r="V656" s="125"/>
      <c r="W656" s="113"/>
      <c r="X656" s="75"/>
      <c r="Y656" s="282"/>
      <c r="Z656" s="290"/>
      <c r="AA656" s="291"/>
      <c r="AB656" s="73"/>
      <c r="AC656" s="282"/>
      <c r="AD656" s="125"/>
      <c r="AE656" s="241"/>
      <c r="AF656" s="284"/>
      <c r="AG656" s="282"/>
      <c r="AH656" s="292"/>
      <c r="AI656" s="292"/>
      <c r="AJ656" s="292"/>
      <c r="AK656" s="282"/>
      <c r="AL656" s="75"/>
      <c r="AM656" s="75"/>
      <c r="AN656" s="75"/>
      <c r="AO656" s="282"/>
      <c r="AP656" s="75"/>
      <c r="AQ656" s="75"/>
      <c r="AR656" s="75"/>
      <c r="AS656" s="75"/>
      <c r="AT656" s="75"/>
    </row>
    <row r="657">
      <c r="A657" s="282"/>
      <c r="B657" s="125"/>
      <c r="C657" s="113"/>
      <c r="D657" s="75"/>
      <c r="E657" s="282"/>
      <c r="F657" s="125"/>
      <c r="G657" s="113"/>
      <c r="H657" s="75"/>
      <c r="I657" s="282"/>
      <c r="J657" s="125"/>
      <c r="K657" s="113"/>
      <c r="L657" s="75"/>
      <c r="M657" s="282"/>
      <c r="N657" s="125"/>
      <c r="O657" s="113"/>
      <c r="P657" s="75"/>
      <c r="Q657" s="282"/>
      <c r="R657" s="125"/>
      <c r="S657" s="113"/>
      <c r="T657" s="75"/>
      <c r="U657" s="282"/>
      <c r="V657" s="125"/>
      <c r="W657" s="113"/>
      <c r="X657" s="75"/>
      <c r="Y657" s="282"/>
      <c r="Z657" s="290"/>
      <c r="AA657" s="291"/>
      <c r="AB657" s="73"/>
      <c r="AC657" s="282"/>
      <c r="AD657" s="125"/>
      <c r="AE657" s="241"/>
      <c r="AF657" s="284"/>
      <c r="AG657" s="282"/>
      <c r="AH657" s="292"/>
      <c r="AI657" s="292"/>
      <c r="AJ657" s="292"/>
      <c r="AK657" s="282"/>
      <c r="AL657" s="75"/>
      <c r="AM657" s="75"/>
      <c r="AN657" s="75"/>
      <c r="AO657" s="282"/>
      <c r="AP657" s="75"/>
      <c r="AQ657" s="75"/>
      <c r="AR657" s="75"/>
      <c r="AS657" s="75"/>
      <c r="AT657" s="75"/>
    </row>
    <row r="658">
      <c r="A658" s="282"/>
      <c r="B658" s="125"/>
      <c r="C658" s="113"/>
      <c r="D658" s="75"/>
      <c r="E658" s="282"/>
      <c r="F658" s="125"/>
      <c r="G658" s="113"/>
      <c r="H658" s="75"/>
      <c r="I658" s="282"/>
      <c r="J658" s="125"/>
      <c r="K658" s="113"/>
      <c r="L658" s="75"/>
      <c r="M658" s="282"/>
      <c r="N658" s="125"/>
      <c r="O658" s="113"/>
      <c r="P658" s="75"/>
      <c r="Q658" s="282"/>
      <c r="R658" s="125"/>
      <c r="S658" s="113"/>
      <c r="T658" s="75"/>
      <c r="U658" s="282"/>
      <c r="V658" s="125"/>
      <c r="W658" s="113"/>
      <c r="X658" s="75"/>
      <c r="Y658" s="282"/>
      <c r="Z658" s="290"/>
      <c r="AA658" s="291"/>
      <c r="AB658" s="73"/>
      <c r="AC658" s="282"/>
      <c r="AD658" s="125"/>
      <c r="AE658" s="241"/>
      <c r="AF658" s="284"/>
      <c r="AG658" s="282"/>
      <c r="AH658" s="292"/>
      <c r="AI658" s="292"/>
      <c r="AJ658" s="292"/>
      <c r="AK658" s="282"/>
      <c r="AL658" s="75"/>
      <c r="AM658" s="75"/>
      <c r="AN658" s="75"/>
      <c r="AO658" s="282"/>
      <c r="AP658" s="75"/>
      <c r="AQ658" s="75"/>
      <c r="AR658" s="75"/>
      <c r="AS658" s="75"/>
      <c r="AT658" s="75"/>
    </row>
    <row r="659">
      <c r="A659" s="282"/>
      <c r="B659" s="125"/>
      <c r="C659" s="113"/>
      <c r="D659" s="75"/>
      <c r="E659" s="282"/>
      <c r="F659" s="125"/>
      <c r="G659" s="113"/>
      <c r="H659" s="75"/>
      <c r="I659" s="282"/>
      <c r="J659" s="125"/>
      <c r="K659" s="113"/>
      <c r="L659" s="75"/>
      <c r="M659" s="282"/>
      <c r="N659" s="125"/>
      <c r="O659" s="113"/>
      <c r="P659" s="75"/>
      <c r="Q659" s="282"/>
      <c r="R659" s="125"/>
      <c r="S659" s="113"/>
      <c r="T659" s="75"/>
      <c r="U659" s="282"/>
      <c r="V659" s="125"/>
      <c r="W659" s="113"/>
      <c r="X659" s="75"/>
      <c r="Y659" s="282"/>
      <c r="Z659" s="290"/>
      <c r="AA659" s="291"/>
      <c r="AB659" s="73"/>
      <c r="AC659" s="282"/>
      <c r="AD659" s="125"/>
      <c r="AE659" s="241"/>
      <c r="AF659" s="284"/>
      <c r="AG659" s="282"/>
      <c r="AH659" s="292"/>
      <c r="AI659" s="292"/>
      <c r="AJ659" s="292"/>
      <c r="AK659" s="282"/>
      <c r="AL659" s="75"/>
      <c r="AM659" s="75"/>
      <c r="AN659" s="75"/>
      <c r="AO659" s="282"/>
      <c r="AP659" s="75"/>
      <c r="AQ659" s="75"/>
      <c r="AR659" s="75"/>
      <c r="AS659" s="75"/>
      <c r="AT659" s="75"/>
    </row>
    <row r="660">
      <c r="A660" s="282"/>
      <c r="B660" s="125"/>
      <c r="C660" s="113"/>
      <c r="D660" s="75"/>
      <c r="E660" s="282"/>
      <c r="F660" s="125"/>
      <c r="G660" s="113"/>
      <c r="H660" s="75"/>
      <c r="I660" s="282"/>
      <c r="J660" s="125"/>
      <c r="K660" s="113"/>
      <c r="L660" s="75"/>
      <c r="M660" s="282"/>
      <c r="N660" s="125"/>
      <c r="O660" s="113"/>
      <c r="P660" s="75"/>
      <c r="Q660" s="282"/>
      <c r="R660" s="125"/>
      <c r="S660" s="113"/>
      <c r="T660" s="75"/>
      <c r="U660" s="282"/>
      <c r="V660" s="125"/>
      <c r="W660" s="113"/>
      <c r="X660" s="75"/>
      <c r="Y660" s="282"/>
      <c r="Z660" s="290"/>
      <c r="AA660" s="291"/>
      <c r="AB660" s="73"/>
      <c r="AC660" s="282"/>
      <c r="AD660" s="125"/>
      <c r="AE660" s="241"/>
      <c r="AF660" s="284"/>
      <c r="AG660" s="282"/>
      <c r="AH660" s="292"/>
      <c r="AI660" s="292"/>
      <c r="AJ660" s="292"/>
      <c r="AK660" s="282"/>
      <c r="AL660" s="75"/>
      <c r="AM660" s="75"/>
      <c r="AN660" s="75"/>
      <c r="AO660" s="282"/>
      <c r="AP660" s="75"/>
      <c r="AQ660" s="75"/>
      <c r="AR660" s="75"/>
      <c r="AS660" s="75"/>
      <c r="AT660" s="75"/>
    </row>
    <row r="661">
      <c r="A661" s="282"/>
      <c r="B661" s="125"/>
      <c r="C661" s="113"/>
      <c r="D661" s="75"/>
      <c r="E661" s="282"/>
      <c r="F661" s="125"/>
      <c r="G661" s="113"/>
      <c r="H661" s="75"/>
      <c r="I661" s="282"/>
      <c r="J661" s="125"/>
      <c r="K661" s="113"/>
      <c r="L661" s="75"/>
      <c r="M661" s="282"/>
      <c r="N661" s="125"/>
      <c r="O661" s="113"/>
      <c r="P661" s="75"/>
      <c r="Q661" s="282"/>
      <c r="R661" s="125"/>
      <c r="S661" s="113"/>
      <c r="T661" s="75"/>
      <c r="U661" s="282"/>
      <c r="V661" s="125"/>
      <c r="W661" s="113"/>
      <c r="X661" s="75"/>
      <c r="Y661" s="282"/>
      <c r="Z661" s="290"/>
      <c r="AA661" s="291"/>
      <c r="AB661" s="73"/>
      <c r="AC661" s="282"/>
      <c r="AD661" s="125"/>
      <c r="AE661" s="241"/>
      <c r="AF661" s="284"/>
      <c r="AG661" s="282"/>
      <c r="AH661" s="292"/>
      <c r="AI661" s="292"/>
      <c r="AJ661" s="292"/>
      <c r="AK661" s="282"/>
      <c r="AL661" s="75"/>
      <c r="AM661" s="75"/>
      <c r="AN661" s="75"/>
      <c r="AO661" s="282"/>
      <c r="AP661" s="75"/>
      <c r="AQ661" s="75"/>
      <c r="AR661" s="75"/>
      <c r="AS661" s="75"/>
      <c r="AT661" s="75"/>
    </row>
    <row r="662">
      <c r="A662" s="282"/>
      <c r="B662" s="125"/>
      <c r="C662" s="113"/>
      <c r="D662" s="75"/>
      <c r="E662" s="282"/>
      <c r="F662" s="125"/>
      <c r="G662" s="113"/>
      <c r="H662" s="75"/>
      <c r="I662" s="282"/>
      <c r="J662" s="125"/>
      <c r="K662" s="113"/>
      <c r="L662" s="75"/>
      <c r="M662" s="282"/>
      <c r="N662" s="125"/>
      <c r="O662" s="113"/>
      <c r="P662" s="75"/>
      <c r="Q662" s="282"/>
      <c r="R662" s="125"/>
      <c r="S662" s="113"/>
      <c r="T662" s="75"/>
      <c r="U662" s="282"/>
      <c r="V662" s="125"/>
      <c r="W662" s="113"/>
      <c r="X662" s="75"/>
      <c r="Y662" s="282"/>
      <c r="Z662" s="290"/>
      <c r="AA662" s="291"/>
      <c r="AB662" s="73"/>
      <c r="AC662" s="282"/>
      <c r="AD662" s="125"/>
      <c r="AE662" s="241"/>
      <c r="AF662" s="284"/>
      <c r="AG662" s="282"/>
      <c r="AH662" s="292"/>
      <c r="AI662" s="292"/>
      <c r="AJ662" s="292"/>
      <c r="AK662" s="282"/>
      <c r="AL662" s="75"/>
      <c r="AM662" s="75"/>
      <c r="AN662" s="75"/>
      <c r="AO662" s="282"/>
      <c r="AP662" s="75"/>
      <c r="AQ662" s="75"/>
      <c r="AR662" s="75"/>
      <c r="AS662" s="75"/>
      <c r="AT662" s="75"/>
    </row>
    <row r="663">
      <c r="A663" s="282"/>
      <c r="B663" s="125"/>
      <c r="C663" s="113"/>
      <c r="D663" s="75"/>
      <c r="E663" s="282"/>
      <c r="F663" s="125"/>
      <c r="G663" s="113"/>
      <c r="H663" s="75"/>
      <c r="I663" s="282"/>
      <c r="J663" s="125"/>
      <c r="K663" s="113"/>
      <c r="L663" s="75"/>
      <c r="M663" s="282"/>
      <c r="N663" s="125"/>
      <c r="O663" s="113"/>
      <c r="P663" s="75"/>
      <c r="Q663" s="282"/>
      <c r="R663" s="125"/>
      <c r="S663" s="113"/>
      <c r="T663" s="75"/>
      <c r="U663" s="282"/>
      <c r="V663" s="125"/>
      <c r="W663" s="113"/>
      <c r="X663" s="75"/>
      <c r="Y663" s="282"/>
      <c r="Z663" s="290"/>
      <c r="AA663" s="291"/>
      <c r="AB663" s="73"/>
      <c r="AC663" s="282"/>
      <c r="AD663" s="125"/>
      <c r="AE663" s="241"/>
      <c r="AF663" s="284"/>
      <c r="AG663" s="282"/>
      <c r="AH663" s="292"/>
      <c r="AI663" s="292"/>
      <c r="AJ663" s="292"/>
      <c r="AK663" s="282"/>
      <c r="AL663" s="75"/>
      <c r="AM663" s="75"/>
      <c r="AN663" s="75"/>
      <c r="AO663" s="282"/>
      <c r="AP663" s="75"/>
      <c r="AQ663" s="75"/>
      <c r="AR663" s="75"/>
      <c r="AS663" s="75"/>
      <c r="AT663" s="75"/>
    </row>
    <row r="664">
      <c r="A664" s="282"/>
      <c r="B664" s="125"/>
      <c r="C664" s="113"/>
      <c r="D664" s="75"/>
      <c r="E664" s="282"/>
      <c r="F664" s="125"/>
      <c r="G664" s="113"/>
      <c r="H664" s="75"/>
      <c r="I664" s="282"/>
      <c r="J664" s="125"/>
      <c r="K664" s="113"/>
      <c r="L664" s="75"/>
      <c r="M664" s="282"/>
      <c r="N664" s="125"/>
      <c r="O664" s="113"/>
      <c r="P664" s="75"/>
      <c r="Q664" s="282"/>
      <c r="R664" s="125"/>
      <c r="S664" s="113"/>
      <c r="T664" s="75"/>
      <c r="U664" s="282"/>
      <c r="V664" s="125"/>
      <c r="W664" s="113"/>
      <c r="X664" s="75"/>
      <c r="Y664" s="282"/>
      <c r="Z664" s="290"/>
      <c r="AA664" s="291"/>
      <c r="AB664" s="73"/>
      <c r="AC664" s="282"/>
      <c r="AD664" s="125"/>
      <c r="AE664" s="241"/>
      <c r="AF664" s="284"/>
      <c r="AG664" s="282"/>
      <c r="AH664" s="292"/>
      <c r="AI664" s="292"/>
      <c r="AJ664" s="292"/>
      <c r="AK664" s="282"/>
      <c r="AL664" s="75"/>
      <c r="AM664" s="75"/>
      <c r="AN664" s="75"/>
      <c r="AO664" s="282"/>
      <c r="AP664" s="75"/>
      <c r="AQ664" s="75"/>
      <c r="AR664" s="75"/>
      <c r="AS664" s="75"/>
      <c r="AT664" s="75"/>
    </row>
    <row r="665">
      <c r="A665" s="282"/>
      <c r="B665" s="125"/>
      <c r="C665" s="113"/>
      <c r="D665" s="75"/>
      <c r="E665" s="282"/>
      <c r="F665" s="125"/>
      <c r="G665" s="113"/>
      <c r="H665" s="75"/>
      <c r="I665" s="282"/>
      <c r="J665" s="125"/>
      <c r="K665" s="113"/>
      <c r="L665" s="75"/>
      <c r="M665" s="282"/>
      <c r="N665" s="125"/>
      <c r="O665" s="113"/>
      <c r="P665" s="75"/>
      <c r="Q665" s="282"/>
      <c r="R665" s="125"/>
      <c r="S665" s="113"/>
      <c r="T665" s="75"/>
      <c r="U665" s="282"/>
      <c r="V665" s="125"/>
      <c r="W665" s="113"/>
      <c r="X665" s="75"/>
      <c r="Y665" s="282"/>
      <c r="Z665" s="290"/>
      <c r="AA665" s="291"/>
      <c r="AB665" s="73"/>
      <c r="AC665" s="282"/>
      <c r="AD665" s="125"/>
      <c r="AE665" s="241"/>
      <c r="AF665" s="284"/>
      <c r="AG665" s="282"/>
      <c r="AH665" s="292"/>
      <c r="AI665" s="292"/>
      <c r="AJ665" s="292"/>
      <c r="AK665" s="282"/>
      <c r="AL665" s="75"/>
      <c r="AM665" s="75"/>
      <c r="AN665" s="75"/>
      <c r="AO665" s="282"/>
      <c r="AP665" s="75"/>
      <c r="AQ665" s="75"/>
      <c r="AR665" s="75"/>
      <c r="AS665" s="75"/>
      <c r="AT665" s="75"/>
    </row>
    <row r="666">
      <c r="A666" s="282"/>
      <c r="B666" s="125"/>
      <c r="C666" s="113"/>
      <c r="D666" s="75"/>
      <c r="E666" s="282"/>
      <c r="F666" s="125"/>
      <c r="G666" s="113"/>
      <c r="H666" s="75"/>
      <c r="I666" s="282"/>
      <c r="J666" s="125"/>
      <c r="K666" s="113"/>
      <c r="L666" s="75"/>
      <c r="M666" s="282"/>
      <c r="N666" s="125"/>
      <c r="O666" s="113"/>
      <c r="P666" s="75"/>
      <c r="Q666" s="282"/>
      <c r="R666" s="125"/>
      <c r="S666" s="113"/>
      <c r="T666" s="75"/>
      <c r="U666" s="282"/>
      <c r="V666" s="125"/>
      <c r="W666" s="113"/>
      <c r="X666" s="75"/>
      <c r="Y666" s="282"/>
      <c r="Z666" s="290"/>
      <c r="AA666" s="291"/>
      <c r="AB666" s="73"/>
      <c r="AC666" s="282"/>
      <c r="AD666" s="125"/>
      <c r="AE666" s="241"/>
      <c r="AF666" s="284"/>
      <c r="AG666" s="282"/>
      <c r="AH666" s="292"/>
      <c r="AI666" s="292"/>
      <c r="AJ666" s="292"/>
      <c r="AK666" s="282"/>
      <c r="AL666" s="75"/>
      <c r="AM666" s="75"/>
      <c r="AN666" s="75"/>
      <c r="AO666" s="282"/>
      <c r="AP666" s="75"/>
      <c r="AQ666" s="75"/>
      <c r="AR666" s="75"/>
      <c r="AS666" s="75"/>
      <c r="AT666" s="75"/>
    </row>
    <row r="667">
      <c r="A667" s="282"/>
      <c r="B667" s="125"/>
      <c r="C667" s="113"/>
      <c r="D667" s="75"/>
      <c r="E667" s="282"/>
      <c r="F667" s="125"/>
      <c r="G667" s="113"/>
      <c r="H667" s="75"/>
      <c r="I667" s="282"/>
      <c r="J667" s="125"/>
      <c r="K667" s="113"/>
      <c r="L667" s="75"/>
      <c r="M667" s="282"/>
      <c r="N667" s="125"/>
      <c r="O667" s="113"/>
      <c r="P667" s="75"/>
      <c r="Q667" s="282"/>
      <c r="R667" s="125"/>
      <c r="S667" s="113"/>
      <c r="T667" s="75"/>
      <c r="U667" s="282"/>
      <c r="V667" s="125"/>
      <c r="W667" s="113"/>
      <c r="X667" s="75"/>
      <c r="Y667" s="282"/>
      <c r="Z667" s="290"/>
      <c r="AA667" s="291"/>
      <c r="AB667" s="73"/>
      <c r="AC667" s="282"/>
      <c r="AD667" s="125"/>
      <c r="AE667" s="241"/>
      <c r="AF667" s="284"/>
      <c r="AG667" s="282"/>
      <c r="AH667" s="292"/>
      <c r="AI667" s="292"/>
      <c r="AJ667" s="292"/>
      <c r="AK667" s="282"/>
      <c r="AL667" s="75"/>
      <c r="AM667" s="75"/>
      <c r="AN667" s="75"/>
      <c r="AO667" s="282"/>
      <c r="AP667" s="75"/>
      <c r="AQ667" s="75"/>
      <c r="AR667" s="75"/>
      <c r="AS667" s="75"/>
      <c r="AT667" s="75"/>
    </row>
    <row r="668">
      <c r="A668" s="282"/>
      <c r="B668" s="125"/>
      <c r="C668" s="113"/>
      <c r="D668" s="75"/>
      <c r="E668" s="282"/>
      <c r="F668" s="125"/>
      <c r="G668" s="113"/>
      <c r="H668" s="75"/>
      <c r="I668" s="282"/>
      <c r="J668" s="125"/>
      <c r="K668" s="113"/>
      <c r="L668" s="75"/>
      <c r="M668" s="282"/>
      <c r="N668" s="125"/>
      <c r="O668" s="113"/>
      <c r="P668" s="75"/>
      <c r="Q668" s="282"/>
      <c r="R668" s="125"/>
      <c r="S668" s="113"/>
      <c r="T668" s="75"/>
      <c r="U668" s="282"/>
      <c r="V668" s="125"/>
      <c r="W668" s="113"/>
      <c r="X668" s="75"/>
      <c r="Y668" s="282"/>
      <c r="Z668" s="290"/>
      <c r="AA668" s="291"/>
      <c r="AB668" s="73"/>
      <c r="AC668" s="282"/>
      <c r="AD668" s="125"/>
      <c r="AE668" s="241"/>
      <c r="AF668" s="284"/>
      <c r="AG668" s="282"/>
      <c r="AH668" s="292"/>
      <c r="AI668" s="292"/>
      <c r="AJ668" s="292"/>
      <c r="AK668" s="282"/>
      <c r="AL668" s="75"/>
      <c r="AM668" s="75"/>
      <c r="AN668" s="75"/>
      <c r="AO668" s="282"/>
      <c r="AP668" s="75"/>
      <c r="AQ668" s="75"/>
      <c r="AR668" s="75"/>
      <c r="AS668" s="75"/>
      <c r="AT668" s="75"/>
    </row>
    <row r="669">
      <c r="A669" s="282"/>
      <c r="B669" s="125"/>
      <c r="C669" s="113"/>
      <c r="D669" s="75"/>
      <c r="E669" s="282"/>
      <c r="F669" s="125"/>
      <c r="G669" s="113"/>
      <c r="H669" s="75"/>
      <c r="I669" s="282"/>
      <c r="J669" s="125"/>
      <c r="K669" s="113"/>
      <c r="L669" s="75"/>
      <c r="M669" s="282"/>
      <c r="N669" s="125"/>
      <c r="O669" s="113"/>
      <c r="P669" s="75"/>
      <c r="Q669" s="282"/>
      <c r="R669" s="125"/>
      <c r="S669" s="113"/>
      <c r="T669" s="75"/>
      <c r="U669" s="282"/>
      <c r="V669" s="125"/>
      <c r="W669" s="113"/>
      <c r="X669" s="75"/>
      <c r="Y669" s="282"/>
      <c r="Z669" s="290"/>
      <c r="AA669" s="291"/>
      <c r="AB669" s="73"/>
      <c r="AC669" s="282"/>
      <c r="AD669" s="125"/>
      <c r="AE669" s="241"/>
      <c r="AF669" s="284"/>
      <c r="AG669" s="282"/>
      <c r="AH669" s="292"/>
      <c r="AI669" s="292"/>
      <c r="AJ669" s="292"/>
      <c r="AK669" s="282"/>
      <c r="AL669" s="75"/>
      <c r="AM669" s="75"/>
      <c r="AN669" s="75"/>
      <c r="AO669" s="282"/>
      <c r="AP669" s="75"/>
      <c r="AQ669" s="75"/>
      <c r="AR669" s="75"/>
      <c r="AS669" s="75"/>
      <c r="AT669" s="75"/>
    </row>
    <row r="670">
      <c r="A670" s="282"/>
      <c r="B670" s="125"/>
      <c r="C670" s="113"/>
      <c r="D670" s="75"/>
      <c r="E670" s="282"/>
      <c r="F670" s="125"/>
      <c r="G670" s="113"/>
      <c r="H670" s="75"/>
      <c r="I670" s="282"/>
      <c r="J670" s="125"/>
      <c r="K670" s="113"/>
      <c r="L670" s="75"/>
      <c r="M670" s="282"/>
      <c r="N670" s="125"/>
      <c r="O670" s="113"/>
      <c r="P670" s="75"/>
      <c r="Q670" s="282"/>
      <c r="R670" s="125"/>
      <c r="S670" s="113"/>
      <c r="T670" s="75"/>
      <c r="U670" s="282"/>
      <c r="V670" s="125"/>
      <c r="W670" s="113"/>
      <c r="X670" s="75"/>
      <c r="Y670" s="282"/>
      <c r="Z670" s="290"/>
      <c r="AA670" s="291"/>
      <c r="AB670" s="73"/>
      <c r="AC670" s="282"/>
      <c r="AD670" s="125"/>
      <c r="AE670" s="241"/>
      <c r="AF670" s="284"/>
      <c r="AG670" s="282"/>
      <c r="AH670" s="292"/>
      <c r="AI670" s="292"/>
      <c r="AJ670" s="292"/>
      <c r="AK670" s="282"/>
      <c r="AL670" s="75"/>
      <c r="AM670" s="75"/>
      <c r="AN670" s="75"/>
      <c r="AO670" s="282"/>
      <c r="AP670" s="75"/>
      <c r="AQ670" s="75"/>
      <c r="AR670" s="75"/>
      <c r="AS670" s="75"/>
      <c r="AT670" s="75"/>
    </row>
    <row r="671">
      <c r="A671" s="282"/>
      <c r="B671" s="125"/>
      <c r="C671" s="113"/>
      <c r="D671" s="75"/>
      <c r="E671" s="282"/>
      <c r="F671" s="125"/>
      <c r="G671" s="113"/>
      <c r="H671" s="75"/>
      <c r="I671" s="282"/>
      <c r="J671" s="125"/>
      <c r="K671" s="113"/>
      <c r="L671" s="75"/>
      <c r="M671" s="282"/>
      <c r="N671" s="125"/>
      <c r="O671" s="113"/>
      <c r="P671" s="75"/>
      <c r="Q671" s="282"/>
      <c r="R671" s="125"/>
      <c r="S671" s="113"/>
      <c r="T671" s="75"/>
      <c r="U671" s="282"/>
      <c r="V671" s="125"/>
      <c r="W671" s="113"/>
      <c r="X671" s="75"/>
      <c r="Y671" s="282"/>
      <c r="Z671" s="290"/>
      <c r="AA671" s="291"/>
      <c r="AB671" s="73"/>
      <c r="AC671" s="282"/>
      <c r="AD671" s="125"/>
      <c r="AE671" s="241"/>
      <c r="AF671" s="284"/>
      <c r="AG671" s="282"/>
      <c r="AH671" s="292"/>
      <c r="AI671" s="292"/>
      <c r="AJ671" s="292"/>
      <c r="AK671" s="282"/>
      <c r="AL671" s="75"/>
      <c r="AM671" s="75"/>
      <c r="AN671" s="75"/>
      <c r="AO671" s="282"/>
      <c r="AP671" s="75"/>
      <c r="AQ671" s="75"/>
      <c r="AR671" s="75"/>
      <c r="AS671" s="75"/>
      <c r="AT671" s="75"/>
    </row>
    <row r="672">
      <c r="A672" s="282"/>
      <c r="B672" s="125"/>
      <c r="C672" s="113"/>
      <c r="D672" s="75"/>
      <c r="E672" s="282"/>
      <c r="F672" s="125"/>
      <c r="G672" s="113"/>
      <c r="H672" s="75"/>
      <c r="I672" s="282"/>
      <c r="J672" s="125"/>
      <c r="K672" s="113"/>
      <c r="L672" s="75"/>
      <c r="M672" s="282"/>
      <c r="N672" s="125"/>
      <c r="O672" s="113"/>
      <c r="P672" s="75"/>
      <c r="Q672" s="282"/>
      <c r="R672" s="125"/>
      <c r="S672" s="113"/>
      <c r="T672" s="75"/>
      <c r="U672" s="282"/>
      <c r="V672" s="125"/>
      <c r="W672" s="113"/>
      <c r="X672" s="75"/>
      <c r="Y672" s="282"/>
      <c r="Z672" s="290"/>
      <c r="AA672" s="291"/>
      <c r="AB672" s="73"/>
      <c r="AC672" s="282"/>
      <c r="AD672" s="125"/>
      <c r="AE672" s="241"/>
      <c r="AF672" s="284"/>
      <c r="AG672" s="282"/>
      <c r="AH672" s="292"/>
      <c r="AI672" s="292"/>
      <c r="AJ672" s="292"/>
      <c r="AK672" s="282"/>
      <c r="AL672" s="75"/>
      <c r="AM672" s="75"/>
      <c r="AN672" s="75"/>
      <c r="AO672" s="282"/>
      <c r="AP672" s="75"/>
      <c r="AQ672" s="75"/>
      <c r="AR672" s="75"/>
      <c r="AS672" s="75"/>
      <c r="AT672" s="75"/>
    </row>
    <row r="673">
      <c r="A673" s="282"/>
      <c r="B673" s="125"/>
      <c r="C673" s="113"/>
      <c r="D673" s="75"/>
      <c r="E673" s="282"/>
      <c r="F673" s="125"/>
      <c r="G673" s="113"/>
      <c r="H673" s="75"/>
      <c r="I673" s="282"/>
      <c r="J673" s="125"/>
      <c r="K673" s="113"/>
      <c r="L673" s="75"/>
      <c r="M673" s="282"/>
      <c r="N673" s="125"/>
      <c r="O673" s="113"/>
      <c r="P673" s="75"/>
      <c r="Q673" s="282"/>
      <c r="R673" s="125"/>
      <c r="S673" s="113"/>
      <c r="T673" s="75"/>
      <c r="U673" s="282"/>
      <c r="V673" s="125"/>
      <c r="W673" s="113"/>
      <c r="X673" s="75"/>
      <c r="Y673" s="282"/>
      <c r="Z673" s="290"/>
      <c r="AA673" s="291"/>
      <c r="AB673" s="73"/>
      <c r="AC673" s="282"/>
      <c r="AD673" s="125"/>
      <c r="AE673" s="241"/>
      <c r="AF673" s="284"/>
      <c r="AG673" s="282"/>
      <c r="AH673" s="292"/>
      <c r="AI673" s="292"/>
      <c r="AJ673" s="292"/>
      <c r="AK673" s="282"/>
      <c r="AL673" s="75"/>
      <c r="AM673" s="75"/>
      <c r="AN673" s="75"/>
      <c r="AO673" s="282"/>
      <c r="AP673" s="75"/>
      <c r="AQ673" s="75"/>
      <c r="AR673" s="75"/>
      <c r="AS673" s="75"/>
      <c r="AT673" s="75"/>
    </row>
    <row r="674">
      <c r="A674" s="282"/>
      <c r="B674" s="125"/>
      <c r="C674" s="113"/>
      <c r="D674" s="75"/>
      <c r="E674" s="282"/>
      <c r="F674" s="125"/>
      <c r="G674" s="113"/>
      <c r="H674" s="75"/>
      <c r="I674" s="282"/>
      <c r="J674" s="125"/>
      <c r="K674" s="113"/>
      <c r="L674" s="75"/>
      <c r="M674" s="282"/>
      <c r="N674" s="125"/>
      <c r="O674" s="113"/>
      <c r="P674" s="75"/>
      <c r="Q674" s="282"/>
      <c r="R674" s="125"/>
      <c r="S674" s="113"/>
      <c r="T674" s="75"/>
      <c r="U674" s="282"/>
      <c r="V674" s="125"/>
      <c r="W674" s="113"/>
      <c r="X674" s="75"/>
      <c r="Y674" s="282"/>
      <c r="Z674" s="290"/>
      <c r="AA674" s="291"/>
      <c r="AB674" s="73"/>
      <c r="AC674" s="282"/>
      <c r="AD674" s="125"/>
      <c r="AE674" s="241"/>
      <c r="AF674" s="284"/>
      <c r="AG674" s="282"/>
      <c r="AH674" s="292"/>
      <c r="AI674" s="292"/>
      <c r="AJ674" s="292"/>
      <c r="AK674" s="282"/>
      <c r="AL674" s="75"/>
      <c r="AM674" s="75"/>
      <c r="AN674" s="75"/>
      <c r="AO674" s="282"/>
      <c r="AP674" s="75"/>
      <c r="AQ674" s="75"/>
      <c r="AR674" s="75"/>
      <c r="AS674" s="75"/>
      <c r="AT674" s="75"/>
    </row>
    <row r="675">
      <c r="A675" s="282"/>
      <c r="B675" s="125"/>
      <c r="C675" s="113"/>
      <c r="D675" s="75"/>
      <c r="E675" s="282"/>
      <c r="F675" s="125"/>
      <c r="G675" s="113"/>
      <c r="H675" s="75"/>
      <c r="I675" s="282"/>
      <c r="J675" s="125"/>
      <c r="K675" s="113"/>
      <c r="L675" s="75"/>
      <c r="M675" s="282"/>
      <c r="N675" s="125"/>
      <c r="O675" s="113"/>
      <c r="P675" s="75"/>
      <c r="Q675" s="282"/>
      <c r="R675" s="125"/>
      <c r="S675" s="113"/>
      <c r="T675" s="75"/>
      <c r="U675" s="282"/>
      <c r="V675" s="125"/>
      <c r="W675" s="113"/>
      <c r="X675" s="75"/>
      <c r="Y675" s="282"/>
      <c r="Z675" s="290"/>
      <c r="AA675" s="291"/>
      <c r="AB675" s="73"/>
      <c r="AC675" s="282"/>
      <c r="AD675" s="125"/>
      <c r="AE675" s="241"/>
      <c r="AF675" s="284"/>
      <c r="AG675" s="282"/>
      <c r="AH675" s="292"/>
      <c r="AI675" s="292"/>
      <c r="AJ675" s="292"/>
      <c r="AK675" s="282"/>
      <c r="AL675" s="75"/>
      <c r="AM675" s="75"/>
      <c r="AN675" s="75"/>
      <c r="AO675" s="282"/>
      <c r="AP675" s="75"/>
      <c r="AQ675" s="75"/>
      <c r="AR675" s="75"/>
      <c r="AS675" s="75"/>
      <c r="AT675" s="75"/>
    </row>
    <row r="676">
      <c r="A676" s="282"/>
      <c r="B676" s="125"/>
      <c r="C676" s="113"/>
      <c r="D676" s="75"/>
      <c r="E676" s="282"/>
      <c r="F676" s="125"/>
      <c r="G676" s="113"/>
      <c r="H676" s="75"/>
      <c r="I676" s="282"/>
      <c r="J676" s="125"/>
      <c r="K676" s="113"/>
      <c r="L676" s="75"/>
      <c r="M676" s="282"/>
      <c r="N676" s="125"/>
      <c r="O676" s="113"/>
      <c r="P676" s="75"/>
      <c r="Q676" s="282"/>
      <c r="R676" s="125"/>
      <c r="S676" s="113"/>
      <c r="T676" s="75"/>
      <c r="U676" s="282"/>
      <c r="V676" s="125"/>
      <c r="W676" s="113"/>
      <c r="X676" s="75"/>
      <c r="Y676" s="282"/>
      <c r="Z676" s="290"/>
      <c r="AA676" s="291"/>
      <c r="AB676" s="73"/>
      <c r="AC676" s="282"/>
      <c r="AD676" s="125"/>
      <c r="AE676" s="241"/>
      <c r="AF676" s="284"/>
      <c r="AG676" s="282"/>
      <c r="AH676" s="292"/>
      <c r="AI676" s="292"/>
      <c r="AJ676" s="292"/>
      <c r="AK676" s="282"/>
      <c r="AL676" s="75"/>
      <c r="AM676" s="75"/>
      <c r="AN676" s="75"/>
      <c r="AO676" s="282"/>
      <c r="AP676" s="75"/>
      <c r="AQ676" s="75"/>
      <c r="AR676" s="75"/>
      <c r="AS676" s="75"/>
      <c r="AT676" s="75"/>
    </row>
    <row r="677">
      <c r="A677" s="282"/>
      <c r="B677" s="125"/>
      <c r="C677" s="113"/>
      <c r="D677" s="75"/>
      <c r="E677" s="282"/>
      <c r="F677" s="125"/>
      <c r="G677" s="113"/>
      <c r="H677" s="75"/>
      <c r="I677" s="282"/>
      <c r="J677" s="125"/>
      <c r="K677" s="113"/>
      <c r="L677" s="75"/>
      <c r="M677" s="282"/>
      <c r="N677" s="125"/>
      <c r="O677" s="113"/>
      <c r="P677" s="75"/>
      <c r="Q677" s="282"/>
      <c r="R677" s="125"/>
      <c r="S677" s="113"/>
      <c r="T677" s="75"/>
      <c r="U677" s="282"/>
      <c r="V677" s="125"/>
      <c r="W677" s="113"/>
      <c r="X677" s="75"/>
      <c r="Y677" s="282"/>
      <c r="Z677" s="290"/>
      <c r="AA677" s="291"/>
      <c r="AB677" s="73"/>
      <c r="AC677" s="282"/>
      <c r="AD677" s="125"/>
      <c r="AE677" s="241"/>
      <c r="AF677" s="284"/>
      <c r="AG677" s="282"/>
      <c r="AH677" s="292"/>
      <c r="AI677" s="292"/>
      <c r="AJ677" s="292"/>
      <c r="AK677" s="282"/>
      <c r="AL677" s="75"/>
      <c r="AM677" s="75"/>
      <c r="AN677" s="75"/>
      <c r="AO677" s="282"/>
      <c r="AP677" s="75"/>
      <c r="AQ677" s="75"/>
      <c r="AR677" s="75"/>
      <c r="AS677" s="75"/>
      <c r="AT677" s="75"/>
    </row>
    <row r="678">
      <c r="A678" s="282"/>
      <c r="B678" s="125"/>
      <c r="C678" s="113"/>
      <c r="D678" s="75"/>
      <c r="E678" s="282"/>
      <c r="F678" s="125"/>
      <c r="G678" s="113"/>
      <c r="H678" s="75"/>
      <c r="I678" s="282"/>
      <c r="J678" s="125"/>
      <c r="K678" s="113"/>
      <c r="L678" s="75"/>
      <c r="M678" s="282"/>
      <c r="N678" s="125"/>
      <c r="O678" s="113"/>
      <c r="P678" s="75"/>
      <c r="Q678" s="282"/>
      <c r="R678" s="125"/>
      <c r="S678" s="113"/>
      <c r="T678" s="75"/>
      <c r="U678" s="282"/>
      <c r="V678" s="125"/>
      <c r="W678" s="113"/>
      <c r="X678" s="75"/>
      <c r="Y678" s="282"/>
      <c r="Z678" s="290"/>
      <c r="AA678" s="291"/>
      <c r="AB678" s="73"/>
      <c r="AC678" s="282"/>
      <c r="AD678" s="125"/>
      <c r="AE678" s="241"/>
      <c r="AF678" s="284"/>
      <c r="AG678" s="282"/>
      <c r="AH678" s="292"/>
      <c r="AI678" s="292"/>
      <c r="AJ678" s="292"/>
      <c r="AK678" s="282"/>
      <c r="AL678" s="75"/>
      <c r="AM678" s="75"/>
      <c r="AN678" s="75"/>
      <c r="AO678" s="282"/>
      <c r="AP678" s="75"/>
      <c r="AQ678" s="75"/>
      <c r="AR678" s="75"/>
      <c r="AS678" s="75"/>
      <c r="AT678" s="75"/>
    </row>
    <row r="679">
      <c r="A679" s="282"/>
      <c r="B679" s="125"/>
      <c r="C679" s="113"/>
      <c r="D679" s="75"/>
      <c r="E679" s="282"/>
      <c r="F679" s="125"/>
      <c r="G679" s="113"/>
      <c r="H679" s="75"/>
      <c r="I679" s="282"/>
      <c r="J679" s="125"/>
      <c r="K679" s="113"/>
      <c r="L679" s="75"/>
      <c r="M679" s="282"/>
      <c r="N679" s="125"/>
      <c r="O679" s="113"/>
      <c r="P679" s="75"/>
      <c r="Q679" s="282"/>
      <c r="R679" s="125"/>
      <c r="S679" s="113"/>
      <c r="T679" s="75"/>
      <c r="U679" s="282"/>
      <c r="V679" s="125"/>
      <c r="W679" s="113"/>
      <c r="X679" s="75"/>
      <c r="Y679" s="282"/>
      <c r="Z679" s="290"/>
      <c r="AA679" s="291"/>
      <c r="AB679" s="73"/>
      <c r="AC679" s="282"/>
      <c r="AD679" s="125"/>
      <c r="AE679" s="241"/>
      <c r="AF679" s="284"/>
      <c r="AG679" s="282"/>
      <c r="AH679" s="292"/>
      <c r="AI679" s="292"/>
      <c r="AJ679" s="292"/>
      <c r="AK679" s="282"/>
      <c r="AL679" s="75"/>
      <c r="AM679" s="75"/>
      <c r="AN679" s="75"/>
      <c r="AO679" s="282"/>
      <c r="AP679" s="75"/>
      <c r="AQ679" s="75"/>
      <c r="AR679" s="75"/>
      <c r="AS679" s="75"/>
      <c r="AT679" s="75"/>
    </row>
    <row r="680">
      <c r="A680" s="282"/>
      <c r="B680" s="125"/>
      <c r="C680" s="113"/>
      <c r="D680" s="75"/>
      <c r="E680" s="282"/>
      <c r="F680" s="125"/>
      <c r="G680" s="113"/>
      <c r="H680" s="75"/>
      <c r="I680" s="282"/>
      <c r="J680" s="125"/>
      <c r="K680" s="113"/>
      <c r="L680" s="75"/>
      <c r="M680" s="282"/>
      <c r="N680" s="125"/>
      <c r="O680" s="113"/>
      <c r="P680" s="75"/>
      <c r="Q680" s="282"/>
      <c r="R680" s="125"/>
      <c r="S680" s="113"/>
      <c r="T680" s="75"/>
      <c r="U680" s="282"/>
      <c r="V680" s="125"/>
      <c r="W680" s="113"/>
      <c r="X680" s="75"/>
      <c r="Y680" s="282"/>
      <c r="Z680" s="290"/>
      <c r="AA680" s="291"/>
      <c r="AB680" s="73"/>
      <c r="AC680" s="282"/>
      <c r="AD680" s="125"/>
      <c r="AE680" s="241"/>
      <c r="AF680" s="284"/>
      <c r="AG680" s="282"/>
      <c r="AH680" s="292"/>
      <c r="AI680" s="292"/>
      <c r="AJ680" s="292"/>
      <c r="AK680" s="282"/>
      <c r="AL680" s="75"/>
      <c r="AM680" s="75"/>
      <c r="AN680" s="75"/>
      <c r="AO680" s="282"/>
      <c r="AP680" s="75"/>
      <c r="AQ680" s="75"/>
      <c r="AR680" s="75"/>
      <c r="AS680" s="75"/>
      <c r="AT680" s="75"/>
    </row>
    <row r="681">
      <c r="A681" s="282"/>
      <c r="B681" s="125"/>
      <c r="C681" s="113"/>
      <c r="D681" s="75"/>
      <c r="E681" s="282"/>
      <c r="F681" s="125"/>
      <c r="G681" s="113"/>
      <c r="H681" s="75"/>
      <c r="I681" s="282"/>
      <c r="J681" s="125"/>
      <c r="K681" s="113"/>
      <c r="L681" s="75"/>
      <c r="M681" s="282"/>
      <c r="N681" s="125"/>
      <c r="O681" s="113"/>
      <c r="P681" s="75"/>
      <c r="Q681" s="282"/>
      <c r="R681" s="125"/>
      <c r="S681" s="113"/>
      <c r="T681" s="75"/>
      <c r="U681" s="282"/>
      <c r="V681" s="125"/>
      <c r="W681" s="113"/>
      <c r="X681" s="75"/>
      <c r="Y681" s="282"/>
      <c r="Z681" s="290"/>
      <c r="AA681" s="291"/>
      <c r="AB681" s="73"/>
      <c r="AC681" s="282"/>
      <c r="AD681" s="125"/>
      <c r="AE681" s="241"/>
      <c r="AF681" s="284"/>
      <c r="AG681" s="282"/>
      <c r="AH681" s="292"/>
      <c r="AI681" s="292"/>
      <c r="AJ681" s="292"/>
      <c r="AK681" s="282"/>
      <c r="AL681" s="75"/>
      <c r="AM681" s="75"/>
      <c r="AN681" s="75"/>
      <c r="AO681" s="282"/>
      <c r="AP681" s="75"/>
      <c r="AQ681" s="75"/>
      <c r="AR681" s="75"/>
      <c r="AS681" s="75"/>
      <c r="AT681" s="75"/>
    </row>
    <row r="682">
      <c r="A682" s="282"/>
      <c r="B682" s="125"/>
      <c r="C682" s="113"/>
      <c r="D682" s="75"/>
      <c r="E682" s="282"/>
      <c r="F682" s="125"/>
      <c r="G682" s="113"/>
      <c r="H682" s="75"/>
      <c r="I682" s="282"/>
      <c r="J682" s="125"/>
      <c r="K682" s="113"/>
      <c r="L682" s="75"/>
      <c r="M682" s="282"/>
      <c r="N682" s="125"/>
      <c r="O682" s="113"/>
      <c r="P682" s="75"/>
      <c r="Q682" s="282"/>
      <c r="R682" s="125"/>
      <c r="S682" s="113"/>
      <c r="T682" s="75"/>
      <c r="U682" s="282"/>
      <c r="V682" s="125"/>
      <c r="W682" s="113"/>
      <c r="X682" s="75"/>
      <c r="Y682" s="282"/>
      <c r="Z682" s="290"/>
      <c r="AA682" s="291"/>
      <c r="AB682" s="73"/>
      <c r="AC682" s="282"/>
      <c r="AD682" s="125"/>
      <c r="AE682" s="241"/>
      <c r="AF682" s="284"/>
      <c r="AG682" s="282"/>
      <c r="AH682" s="292"/>
      <c r="AI682" s="292"/>
      <c r="AJ682" s="292"/>
      <c r="AK682" s="282"/>
      <c r="AL682" s="75"/>
      <c r="AM682" s="75"/>
      <c r="AN682" s="75"/>
      <c r="AO682" s="282"/>
      <c r="AP682" s="75"/>
      <c r="AQ682" s="75"/>
      <c r="AR682" s="75"/>
      <c r="AS682" s="75"/>
      <c r="AT682" s="75"/>
    </row>
    <row r="683">
      <c r="A683" s="282"/>
      <c r="B683" s="125"/>
      <c r="C683" s="113"/>
      <c r="D683" s="75"/>
      <c r="E683" s="282"/>
      <c r="F683" s="125"/>
      <c r="G683" s="113"/>
      <c r="H683" s="75"/>
      <c r="I683" s="282"/>
      <c r="J683" s="125"/>
      <c r="K683" s="113"/>
      <c r="L683" s="75"/>
      <c r="M683" s="282"/>
      <c r="N683" s="125"/>
      <c r="O683" s="113"/>
      <c r="P683" s="75"/>
      <c r="Q683" s="282"/>
      <c r="R683" s="125"/>
      <c r="S683" s="113"/>
      <c r="T683" s="75"/>
      <c r="U683" s="282"/>
      <c r="V683" s="125"/>
      <c r="W683" s="113"/>
      <c r="X683" s="75"/>
      <c r="Y683" s="282"/>
      <c r="Z683" s="290"/>
      <c r="AA683" s="291"/>
      <c r="AB683" s="73"/>
      <c r="AC683" s="282"/>
      <c r="AD683" s="125"/>
      <c r="AE683" s="241"/>
      <c r="AF683" s="284"/>
      <c r="AG683" s="282"/>
      <c r="AH683" s="292"/>
      <c r="AI683" s="292"/>
      <c r="AJ683" s="292"/>
      <c r="AK683" s="282"/>
      <c r="AL683" s="75"/>
      <c r="AM683" s="75"/>
      <c r="AN683" s="75"/>
      <c r="AO683" s="282"/>
      <c r="AP683" s="75"/>
      <c r="AQ683" s="75"/>
      <c r="AR683" s="75"/>
      <c r="AS683" s="75"/>
      <c r="AT683" s="75"/>
    </row>
    <row r="684">
      <c r="A684" s="282"/>
      <c r="B684" s="125"/>
      <c r="C684" s="113"/>
      <c r="D684" s="75"/>
      <c r="E684" s="282"/>
      <c r="F684" s="125"/>
      <c r="G684" s="113"/>
      <c r="H684" s="75"/>
      <c r="I684" s="282"/>
      <c r="J684" s="125"/>
      <c r="K684" s="113"/>
      <c r="L684" s="75"/>
      <c r="M684" s="282"/>
      <c r="N684" s="125"/>
      <c r="O684" s="113"/>
      <c r="P684" s="75"/>
      <c r="Q684" s="282"/>
      <c r="R684" s="125"/>
      <c r="S684" s="113"/>
      <c r="T684" s="75"/>
      <c r="U684" s="282"/>
      <c r="V684" s="125"/>
      <c r="W684" s="113"/>
      <c r="X684" s="75"/>
      <c r="Y684" s="282"/>
      <c r="Z684" s="290"/>
      <c r="AA684" s="291"/>
      <c r="AB684" s="73"/>
      <c r="AC684" s="282"/>
      <c r="AD684" s="125"/>
      <c r="AE684" s="241"/>
      <c r="AF684" s="284"/>
      <c r="AG684" s="282"/>
      <c r="AH684" s="292"/>
      <c r="AI684" s="292"/>
      <c r="AJ684" s="292"/>
      <c r="AK684" s="282"/>
      <c r="AL684" s="75"/>
      <c r="AM684" s="75"/>
      <c r="AN684" s="75"/>
      <c r="AO684" s="282"/>
      <c r="AP684" s="75"/>
      <c r="AQ684" s="75"/>
      <c r="AR684" s="75"/>
      <c r="AS684" s="75"/>
      <c r="AT684" s="75"/>
    </row>
    <row r="685">
      <c r="A685" s="282"/>
      <c r="B685" s="125"/>
      <c r="C685" s="113"/>
      <c r="D685" s="75"/>
      <c r="E685" s="282"/>
      <c r="F685" s="125"/>
      <c r="G685" s="113"/>
      <c r="H685" s="75"/>
      <c r="I685" s="282"/>
      <c r="J685" s="125"/>
      <c r="K685" s="113"/>
      <c r="L685" s="75"/>
      <c r="M685" s="282"/>
      <c r="N685" s="125"/>
      <c r="O685" s="113"/>
      <c r="P685" s="75"/>
      <c r="Q685" s="282"/>
      <c r="R685" s="125"/>
      <c r="S685" s="113"/>
      <c r="T685" s="75"/>
      <c r="U685" s="282"/>
      <c r="V685" s="125"/>
      <c r="W685" s="113"/>
      <c r="X685" s="75"/>
      <c r="Y685" s="282"/>
      <c r="Z685" s="290"/>
      <c r="AA685" s="291"/>
      <c r="AB685" s="73"/>
      <c r="AC685" s="282"/>
      <c r="AD685" s="125"/>
      <c r="AE685" s="241"/>
      <c r="AF685" s="284"/>
      <c r="AG685" s="282"/>
      <c r="AH685" s="292"/>
      <c r="AI685" s="292"/>
      <c r="AJ685" s="292"/>
      <c r="AK685" s="282"/>
      <c r="AL685" s="75"/>
      <c r="AM685" s="75"/>
      <c r="AN685" s="75"/>
      <c r="AO685" s="282"/>
      <c r="AP685" s="75"/>
      <c r="AQ685" s="75"/>
      <c r="AR685" s="75"/>
      <c r="AS685" s="75"/>
      <c r="AT685" s="75"/>
    </row>
    <row r="686">
      <c r="A686" s="282"/>
      <c r="B686" s="125"/>
      <c r="C686" s="113"/>
      <c r="D686" s="75"/>
      <c r="E686" s="282"/>
      <c r="F686" s="125"/>
      <c r="G686" s="113"/>
      <c r="H686" s="75"/>
      <c r="I686" s="282"/>
      <c r="J686" s="125"/>
      <c r="K686" s="113"/>
      <c r="L686" s="75"/>
      <c r="M686" s="282"/>
      <c r="N686" s="125"/>
      <c r="O686" s="113"/>
      <c r="P686" s="75"/>
      <c r="Q686" s="282"/>
      <c r="R686" s="125"/>
      <c r="S686" s="113"/>
      <c r="T686" s="75"/>
      <c r="U686" s="282"/>
      <c r="V686" s="125"/>
      <c r="W686" s="113"/>
      <c r="X686" s="75"/>
      <c r="Y686" s="282"/>
      <c r="Z686" s="290"/>
      <c r="AA686" s="291"/>
      <c r="AB686" s="73"/>
      <c r="AC686" s="282"/>
      <c r="AD686" s="125"/>
      <c r="AE686" s="241"/>
      <c r="AF686" s="284"/>
      <c r="AG686" s="282"/>
      <c r="AH686" s="292"/>
      <c r="AI686" s="292"/>
      <c r="AJ686" s="292"/>
      <c r="AK686" s="282"/>
      <c r="AL686" s="75"/>
      <c r="AM686" s="75"/>
      <c r="AN686" s="75"/>
      <c r="AO686" s="282"/>
      <c r="AP686" s="75"/>
      <c r="AQ686" s="75"/>
      <c r="AR686" s="75"/>
      <c r="AS686" s="75"/>
      <c r="AT686" s="75"/>
    </row>
    <row r="687">
      <c r="A687" s="282"/>
      <c r="B687" s="125"/>
      <c r="C687" s="113"/>
      <c r="D687" s="75"/>
      <c r="E687" s="282"/>
      <c r="F687" s="125"/>
      <c r="G687" s="113"/>
      <c r="H687" s="75"/>
      <c r="I687" s="282"/>
      <c r="J687" s="125"/>
      <c r="K687" s="113"/>
      <c r="L687" s="75"/>
      <c r="M687" s="282"/>
      <c r="N687" s="125"/>
      <c r="O687" s="113"/>
      <c r="P687" s="75"/>
      <c r="Q687" s="282"/>
      <c r="R687" s="125"/>
      <c r="S687" s="113"/>
      <c r="T687" s="75"/>
      <c r="U687" s="282"/>
      <c r="V687" s="125"/>
      <c r="W687" s="113"/>
      <c r="X687" s="75"/>
      <c r="Y687" s="282"/>
      <c r="Z687" s="290"/>
      <c r="AA687" s="291"/>
      <c r="AB687" s="73"/>
      <c r="AC687" s="282"/>
      <c r="AD687" s="125"/>
      <c r="AE687" s="241"/>
      <c r="AF687" s="284"/>
      <c r="AG687" s="282"/>
      <c r="AH687" s="292"/>
      <c r="AI687" s="292"/>
      <c r="AJ687" s="292"/>
      <c r="AK687" s="282"/>
      <c r="AL687" s="75"/>
      <c r="AM687" s="75"/>
      <c r="AN687" s="75"/>
      <c r="AO687" s="282"/>
      <c r="AP687" s="75"/>
      <c r="AQ687" s="75"/>
      <c r="AR687" s="75"/>
      <c r="AS687" s="75"/>
      <c r="AT687" s="75"/>
    </row>
    <row r="688">
      <c r="A688" s="282"/>
      <c r="B688" s="125"/>
      <c r="C688" s="113"/>
      <c r="D688" s="75"/>
      <c r="E688" s="282"/>
      <c r="F688" s="125"/>
      <c r="G688" s="113"/>
      <c r="H688" s="75"/>
      <c r="I688" s="282"/>
      <c r="J688" s="125"/>
      <c r="K688" s="113"/>
      <c r="L688" s="75"/>
      <c r="M688" s="282"/>
      <c r="N688" s="125"/>
      <c r="O688" s="113"/>
      <c r="P688" s="75"/>
      <c r="Q688" s="282"/>
      <c r="R688" s="125"/>
      <c r="S688" s="113"/>
      <c r="T688" s="75"/>
      <c r="U688" s="282"/>
      <c r="V688" s="125"/>
      <c r="W688" s="113"/>
      <c r="X688" s="75"/>
      <c r="Y688" s="282"/>
      <c r="Z688" s="290"/>
      <c r="AA688" s="291"/>
      <c r="AB688" s="73"/>
      <c r="AC688" s="282"/>
      <c r="AD688" s="125"/>
      <c r="AE688" s="241"/>
      <c r="AF688" s="284"/>
      <c r="AG688" s="282"/>
      <c r="AH688" s="292"/>
      <c r="AI688" s="292"/>
      <c r="AJ688" s="292"/>
      <c r="AK688" s="282"/>
      <c r="AL688" s="75"/>
      <c r="AM688" s="75"/>
      <c r="AN688" s="75"/>
      <c r="AO688" s="282"/>
      <c r="AP688" s="75"/>
      <c r="AQ688" s="75"/>
      <c r="AR688" s="75"/>
      <c r="AS688" s="75"/>
      <c r="AT688" s="75"/>
    </row>
    <row r="689">
      <c r="A689" s="282"/>
      <c r="B689" s="125"/>
      <c r="C689" s="113"/>
      <c r="D689" s="75"/>
      <c r="E689" s="282"/>
      <c r="F689" s="125"/>
      <c r="G689" s="113"/>
      <c r="H689" s="75"/>
      <c r="I689" s="282"/>
      <c r="J689" s="125"/>
      <c r="K689" s="113"/>
      <c r="L689" s="75"/>
      <c r="M689" s="282"/>
      <c r="N689" s="125"/>
      <c r="O689" s="113"/>
      <c r="P689" s="75"/>
      <c r="Q689" s="282"/>
      <c r="R689" s="125"/>
      <c r="S689" s="113"/>
      <c r="T689" s="75"/>
      <c r="U689" s="282"/>
      <c r="V689" s="125"/>
      <c r="W689" s="113"/>
      <c r="X689" s="75"/>
      <c r="Y689" s="282"/>
      <c r="Z689" s="290"/>
      <c r="AA689" s="291"/>
      <c r="AB689" s="73"/>
      <c r="AC689" s="282"/>
      <c r="AD689" s="125"/>
      <c r="AE689" s="241"/>
      <c r="AF689" s="284"/>
      <c r="AG689" s="282"/>
      <c r="AH689" s="292"/>
      <c r="AI689" s="292"/>
      <c r="AJ689" s="292"/>
      <c r="AK689" s="282"/>
      <c r="AL689" s="75"/>
      <c r="AM689" s="75"/>
      <c r="AN689" s="75"/>
      <c r="AO689" s="282"/>
      <c r="AP689" s="75"/>
      <c r="AQ689" s="75"/>
      <c r="AR689" s="75"/>
      <c r="AS689" s="75"/>
      <c r="AT689" s="75"/>
    </row>
    <row r="690">
      <c r="A690" s="282"/>
      <c r="B690" s="125"/>
      <c r="C690" s="113"/>
      <c r="D690" s="75"/>
      <c r="E690" s="282"/>
      <c r="F690" s="125"/>
      <c r="G690" s="113"/>
      <c r="H690" s="75"/>
      <c r="I690" s="282"/>
      <c r="J690" s="125"/>
      <c r="K690" s="113"/>
      <c r="L690" s="75"/>
      <c r="M690" s="282"/>
      <c r="N690" s="125"/>
      <c r="O690" s="113"/>
      <c r="P690" s="75"/>
      <c r="Q690" s="282"/>
      <c r="R690" s="125"/>
      <c r="S690" s="113"/>
      <c r="T690" s="75"/>
      <c r="U690" s="282"/>
      <c r="V690" s="125"/>
      <c r="W690" s="113"/>
      <c r="X690" s="75"/>
      <c r="Y690" s="282"/>
      <c r="Z690" s="290"/>
      <c r="AA690" s="291"/>
      <c r="AB690" s="73"/>
      <c r="AC690" s="282"/>
      <c r="AD690" s="125"/>
      <c r="AE690" s="241"/>
      <c r="AF690" s="284"/>
      <c r="AG690" s="282"/>
      <c r="AH690" s="292"/>
      <c r="AI690" s="292"/>
      <c r="AJ690" s="292"/>
      <c r="AK690" s="282"/>
      <c r="AL690" s="75"/>
      <c r="AM690" s="75"/>
      <c r="AN690" s="75"/>
      <c r="AO690" s="282"/>
      <c r="AP690" s="75"/>
      <c r="AQ690" s="75"/>
      <c r="AR690" s="75"/>
      <c r="AS690" s="75"/>
      <c r="AT690" s="75"/>
    </row>
    <row r="691">
      <c r="A691" s="282"/>
      <c r="B691" s="125"/>
      <c r="C691" s="113"/>
      <c r="D691" s="75"/>
      <c r="E691" s="282"/>
      <c r="F691" s="125"/>
      <c r="G691" s="113"/>
      <c r="H691" s="75"/>
      <c r="I691" s="282"/>
      <c r="J691" s="125"/>
      <c r="K691" s="113"/>
      <c r="L691" s="75"/>
      <c r="M691" s="282"/>
      <c r="N691" s="125"/>
      <c r="O691" s="113"/>
      <c r="P691" s="75"/>
      <c r="Q691" s="282"/>
      <c r="R691" s="125"/>
      <c r="S691" s="113"/>
      <c r="T691" s="75"/>
      <c r="U691" s="282"/>
      <c r="V691" s="125"/>
      <c r="W691" s="113"/>
      <c r="X691" s="75"/>
      <c r="Y691" s="282"/>
      <c r="Z691" s="290"/>
      <c r="AA691" s="291"/>
      <c r="AB691" s="73"/>
      <c r="AC691" s="282"/>
      <c r="AD691" s="125"/>
      <c r="AE691" s="241"/>
      <c r="AF691" s="284"/>
      <c r="AG691" s="282"/>
      <c r="AH691" s="292"/>
      <c r="AI691" s="292"/>
      <c r="AJ691" s="292"/>
      <c r="AK691" s="282"/>
      <c r="AL691" s="75"/>
      <c r="AM691" s="75"/>
      <c r="AN691" s="75"/>
      <c r="AO691" s="282"/>
      <c r="AP691" s="75"/>
      <c r="AQ691" s="75"/>
      <c r="AR691" s="75"/>
      <c r="AS691" s="75"/>
      <c r="AT691" s="75"/>
    </row>
    <row r="692">
      <c r="A692" s="282"/>
      <c r="B692" s="125"/>
      <c r="C692" s="113"/>
      <c r="D692" s="75"/>
      <c r="E692" s="282"/>
      <c r="F692" s="125"/>
      <c r="G692" s="113"/>
      <c r="H692" s="75"/>
      <c r="I692" s="282"/>
      <c r="J692" s="125"/>
      <c r="K692" s="113"/>
      <c r="L692" s="75"/>
      <c r="M692" s="282"/>
      <c r="N692" s="125"/>
      <c r="O692" s="113"/>
      <c r="P692" s="75"/>
      <c r="Q692" s="282"/>
      <c r="R692" s="125"/>
      <c r="S692" s="113"/>
      <c r="T692" s="75"/>
      <c r="U692" s="282"/>
      <c r="V692" s="125"/>
      <c r="W692" s="113"/>
      <c r="X692" s="75"/>
      <c r="Y692" s="282"/>
      <c r="Z692" s="290"/>
      <c r="AA692" s="291"/>
      <c r="AB692" s="73"/>
      <c r="AC692" s="282"/>
      <c r="AD692" s="125"/>
      <c r="AE692" s="241"/>
      <c r="AF692" s="284"/>
      <c r="AG692" s="282"/>
      <c r="AH692" s="292"/>
      <c r="AI692" s="292"/>
      <c r="AJ692" s="292"/>
      <c r="AK692" s="282"/>
      <c r="AL692" s="75"/>
      <c r="AM692" s="75"/>
      <c r="AN692" s="75"/>
      <c r="AO692" s="282"/>
      <c r="AP692" s="75"/>
      <c r="AQ692" s="75"/>
      <c r="AR692" s="75"/>
      <c r="AS692" s="75"/>
      <c r="AT692" s="75"/>
    </row>
    <row r="693">
      <c r="A693" s="282"/>
      <c r="B693" s="125"/>
      <c r="C693" s="113"/>
      <c r="D693" s="75"/>
      <c r="E693" s="282"/>
      <c r="F693" s="125"/>
      <c r="G693" s="113"/>
      <c r="H693" s="75"/>
      <c r="I693" s="282"/>
      <c r="J693" s="125"/>
      <c r="K693" s="113"/>
      <c r="L693" s="75"/>
      <c r="M693" s="282"/>
      <c r="N693" s="125"/>
      <c r="O693" s="113"/>
      <c r="P693" s="75"/>
      <c r="Q693" s="282"/>
      <c r="R693" s="125"/>
      <c r="S693" s="113"/>
      <c r="T693" s="75"/>
      <c r="U693" s="282"/>
      <c r="V693" s="125"/>
      <c r="W693" s="113"/>
      <c r="X693" s="75"/>
      <c r="Y693" s="282"/>
      <c r="Z693" s="290"/>
      <c r="AA693" s="291"/>
      <c r="AB693" s="73"/>
      <c r="AC693" s="282"/>
      <c r="AD693" s="125"/>
      <c r="AE693" s="241"/>
      <c r="AF693" s="284"/>
      <c r="AG693" s="282"/>
      <c r="AH693" s="292"/>
      <c r="AI693" s="292"/>
      <c r="AJ693" s="292"/>
      <c r="AK693" s="282"/>
      <c r="AL693" s="75"/>
      <c r="AM693" s="75"/>
      <c r="AN693" s="75"/>
      <c r="AO693" s="282"/>
      <c r="AP693" s="75"/>
      <c r="AQ693" s="75"/>
      <c r="AR693" s="75"/>
      <c r="AS693" s="75"/>
      <c r="AT693" s="75"/>
    </row>
    <row r="694">
      <c r="A694" s="282"/>
      <c r="B694" s="125"/>
      <c r="C694" s="113"/>
      <c r="D694" s="75"/>
      <c r="E694" s="282"/>
      <c r="F694" s="125"/>
      <c r="G694" s="113"/>
      <c r="H694" s="75"/>
      <c r="I694" s="282"/>
      <c r="J694" s="125"/>
      <c r="K694" s="113"/>
      <c r="L694" s="75"/>
      <c r="M694" s="282"/>
      <c r="N694" s="125"/>
      <c r="O694" s="113"/>
      <c r="P694" s="75"/>
      <c r="Q694" s="282"/>
      <c r="R694" s="125"/>
      <c r="S694" s="113"/>
      <c r="T694" s="75"/>
      <c r="U694" s="282"/>
      <c r="V694" s="125"/>
      <c r="W694" s="113"/>
      <c r="X694" s="75"/>
      <c r="Y694" s="282"/>
      <c r="Z694" s="290"/>
      <c r="AA694" s="291"/>
      <c r="AB694" s="73"/>
      <c r="AC694" s="282"/>
      <c r="AD694" s="125"/>
      <c r="AE694" s="241"/>
      <c r="AF694" s="284"/>
      <c r="AG694" s="282"/>
      <c r="AH694" s="292"/>
      <c r="AI694" s="292"/>
      <c r="AJ694" s="292"/>
      <c r="AK694" s="282"/>
      <c r="AL694" s="75"/>
      <c r="AM694" s="75"/>
      <c r="AN694" s="75"/>
      <c r="AO694" s="282"/>
      <c r="AP694" s="75"/>
      <c r="AQ694" s="75"/>
      <c r="AR694" s="75"/>
      <c r="AS694" s="75"/>
      <c r="AT694" s="75"/>
    </row>
    <row r="695">
      <c r="A695" s="282"/>
      <c r="B695" s="125"/>
      <c r="C695" s="113"/>
      <c r="D695" s="75"/>
      <c r="E695" s="282"/>
      <c r="F695" s="125"/>
      <c r="G695" s="113"/>
      <c r="H695" s="75"/>
      <c r="I695" s="282"/>
      <c r="J695" s="125"/>
      <c r="K695" s="113"/>
      <c r="L695" s="75"/>
      <c r="M695" s="282"/>
      <c r="N695" s="125"/>
      <c r="O695" s="113"/>
      <c r="P695" s="75"/>
      <c r="Q695" s="282"/>
      <c r="R695" s="125"/>
      <c r="S695" s="113"/>
      <c r="T695" s="75"/>
      <c r="U695" s="282"/>
      <c r="V695" s="125"/>
      <c r="W695" s="113"/>
      <c r="X695" s="75"/>
      <c r="Y695" s="282"/>
      <c r="Z695" s="290"/>
      <c r="AA695" s="291"/>
      <c r="AB695" s="73"/>
      <c r="AC695" s="282"/>
      <c r="AD695" s="125"/>
      <c r="AE695" s="241"/>
      <c r="AF695" s="284"/>
      <c r="AG695" s="282"/>
      <c r="AH695" s="292"/>
      <c r="AI695" s="292"/>
      <c r="AJ695" s="292"/>
      <c r="AK695" s="282"/>
      <c r="AL695" s="75"/>
      <c r="AM695" s="75"/>
      <c r="AN695" s="75"/>
      <c r="AO695" s="282"/>
      <c r="AP695" s="75"/>
      <c r="AQ695" s="75"/>
      <c r="AR695" s="75"/>
      <c r="AS695" s="75"/>
      <c r="AT695" s="75"/>
    </row>
    <row r="696">
      <c r="A696" s="282"/>
      <c r="B696" s="125"/>
      <c r="C696" s="113"/>
      <c r="D696" s="75"/>
      <c r="E696" s="282"/>
      <c r="F696" s="125"/>
      <c r="G696" s="113"/>
      <c r="H696" s="75"/>
      <c r="I696" s="282"/>
      <c r="J696" s="125"/>
      <c r="K696" s="113"/>
      <c r="L696" s="75"/>
      <c r="M696" s="282"/>
      <c r="N696" s="125"/>
      <c r="O696" s="113"/>
      <c r="P696" s="75"/>
      <c r="Q696" s="282"/>
      <c r="R696" s="125"/>
      <c r="S696" s="113"/>
      <c r="T696" s="75"/>
      <c r="U696" s="282"/>
      <c r="V696" s="125"/>
      <c r="W696" s="113"/>
      <c r="X696" s="75"/>
      <c r="Y696" s="282"/>
      <c r="Z696" s="290"/>
      <c r="AA696" s="291"/>
      <c r="AB696" s="73"/>
      <c r="AC696" s="282"/>
      <c r="AD696" s="125"/>
      <c r="AE696" s="241"/>
      <c r="AF696" s="284"/>
      <c r="AG696" s="282"/>
      <c r="AH696" s="292"/>
      <c r="AI696" s="292"/>
      <c r="AJ696" s="292"/>
      <c r="AK696" s="282"/>
      <c r="AL696" s="75"/>
      <c r="AM696" s="75"/>
      <c r="AN696" s="75"/>
      <c r="AO696" s="282"/>
      <c r="AP696" s="75"/>
      <c r="AQ696" s="75"/>
      <c r="AR696" s="75"/>
      <c r="AS696" s="75"/>
      <c r="AT696" s="75"/>
    </row>
    <row r="697">
      <c r="A697" s="282"/>
      <c r="B697" s="125"/>
      <c r="C697" s="113"/>
      <c r="D697" s="75"/>
      <c r="E697" s="282"/>
      <c r="F697" s="125"/>
      <c r="G697" s="113"/>
      <c r="H697" s="75"/>
      <c r="I697" s="282"/>
      <c r="J697" s="125"/>
      <c r="K697" s="113"/>
      <c r="L697" s="75"/>
      <c r="M697" s="282"/>
      <c r="N697" s="125"/>
      <c r="O697" s="113"/>
      <c r="P697" s="75"/>
      <c r="Q697" s="282"/>
      <c r="R697" s="125"/>
      <c r="S697" s="113"/>
      <c r="T697" s="75"/>
      <c r="U697" s="282"/>
      <c r="V697" s="125"/>
      <c r="W697" s="113"/>
      <c r="X697" s="75"/>
      <c r="Y697" s="282"/>
      <c r="Z697" s="290"/>
      <c r="AA697" s="291"/>
      <c r="AB697" s="73"/>
      <c r="AC697" s="282"/>
      <c r="AD697" s="125"/>
      <c r="AE697" s="241"/>
      <c r="AF697" s="284"/>
      <c r="AG697" s="282"/>
      <c r="AH697" s="292"/>
      <c r="AI697" s="292"/>
      <c r="AJ697" s="292"/>
      <c r="AK697" s="282"/>
      <c r="AL697" s="75"/>
      <c r="AM697" s="75"/>
      <c r="AN697" s="75"/>
      <c r="AO697" s="282"/>
      <c r="AP697" s="75"/>
      <c r="AQ697" s="75"/>
      <c r="AR697" s="75"/>
      <c r="AS697" s="75"/>
      <c r="AT697" s="75"/>
    </row>
    <row r="698">
      <c r="A698" s="282"/>
      <c r="B698" s="125"/>
      <c r="C698" s="113"/>
      <c r="D698" s="75"/>
      <c r="E698" s="282"/>
      <c r="F698" s="125"/>
      <c r="G698" s="113"/>
      <c r="H698" s="75"/>
      <c r="I698" s="282"/>
      <c r="J698" s="125"/>
      <c r="K698" s="113"/>
      <c r="L698" s="75"/>
      <c r="M698" s="282"/>
      <c r="N698" s="125"/>
      <c r="O698" s="113"/>
      <c r="P698" s="75"/>
      <c r="Q698" s="282"/>
      <c r="R698" s="125"/>
      <c r="S698" s="113"/>
      <c r="T698" s="75"/>
      <c r="U698" s="282"/>
      <c r="V698" s="125"/>
      <c r="W698" s="113"/>
      <c r="X698" s="75"/>
      <c r="Y698" s="282"/>
      <c r="Z698" s="290"/>
      <c r="AA698" s="291"/>
      <c r="AB698" s="73"/>
      <c r="AC698" s="282"/>
      <c r="AD698" s="125"/>
      <c r="AE698" s="241"/>
      <c r="AF698" s="284"/>
      <c r="AG698" s="282"/>
      <c r="AH698" s="292"/>
      <c r="AI698" s="292"/>
      <c r="AJ698" s="292"/>
      <c r="AK698" s="282"/>
      <c r="AL698" s="75"/>
      <c r="AM698" s="75"/>
      <c r="AN698" s="75"/>
      <c r="AO698" s="282"/>
      <c r="AP698" s="75"/>
      <c r="AQ698" s="75"/>
      <c r="AR698" s="75"/>
      <c r="AS698" s="75"/>
      <c r="AT698" s="75"/>
    </row>
    <row r="699">
      <c r="A699" s="282"/>
      <c r="B699" s="125"/>
      <c r="C699" s="113"/>
      <c r="D699" s="75"/>
      <c r="E699" s="282"/>
      <c r="F699" s="125"/>
      <c r="G699" s="113"/>
      <c r="H699" s="75"/>
      <c r="I699" s="282"/>
      <c r="J699" s="125"/>
      <c r="K699" s="113"/>
      <c r="L699" s="75"/>
      <c r="M699" s="282"/>
      <c r="N699" s="125"/>
      <c r="O699" s="113"/>
      <c r="P699" s="75"/>
      <c r="Q699" s="282"/>
      <c r="R699" s="125"/>
      <c r="S699" s="113"/>
      <c r="T699" s="75"/>
      <c r="U699" s="282"/>
      <c r="V699" s="125"/>
      <c r="W699" s="113"/>
      <c r="X699" s="75"/>
      <c r="Y699" s="282"/>
      <c r="Z699" s="290"/>
      <c r="AA699" s="291"/>
      <c r="AB699" s="73"/>
      <c r="AC699" s="282"/>
      <c r="AD699" s="125"/>
      <c r="AE699" s="241"/>
      <c r="AF699" s="284"/>
      <c r="AG699" s="282"/>
      <c r="AH699" s="292"/>
      <c r="AI699" s="292"/>
      <c r="AJ699" s="292"/>
      <c r="AK699" s="282"/>
      <c r="AL699" s="75"/>
      <c r="AM699" s="75"/>
      <c r="AN699" s="75"/>
      <c r="AO699" s="282"/>
      <c r="AP699" s="75"/>
      <c r="AQ699" s="75"/>
      <c r="AR699" s="75"/>
      <c r="AS699" s="75"/>
      <c r="AT699" s="75"/>
    </row>
    <row r="700">
      <c r="A700" s="282"/>
      <c r="B700" s="125"/>
      <c r="C700" s="113"/>
      <c r="D700" s="75"/>
      <c r="E700" s="282"/>
      <c r="F700" s="125"/>
      <c r="G700" s="113"/>
      <c r="H700" s="75"/>
      <c r="I700" s="282"/>
      <c r="J700" s="125"/>
      <c r="K700" s="113"/>
      <c r="L700" s="75"/>
      <c r="M700" s="282"/>
      <c r="N700" s="125"/>
      <c r="O700" s="113"/>
      <c r="P700" s="75"/>
      <c r="Q700" s="282"/>
      <c r="R700" s="125"/>
      <c r="S700" s="113"/>
      <c r="T700" s="75"/>
      <c r="U700" s="282"/>
      <c r="V700" s="125"/>
      <c r="W700" s="113"/>
      <c r="X700" s="75"/>
      <c r="Y700" s="282"/>
      <c r="Z700" s="290"/>
      <c r="AA700" s="291"/>
      <c r="AB700" s="73"/>
      <c r="AC700" s="282"/>
      <c r="AD700" s="125"/>
      <c r="AE700" s="241"/>
      <c r="AF700" s="284"/>
      <c r="AG700" s="282"/>
      <c r="AH700" s="292"/>
      <c r="AI700" s="292"/>
      <c r="AJ700" s="292"/>
      <c r="AK700" s="282"/>
      <c r="AL700" s="75"/>
      <c r="AM700" s="75"/>
      <c r="AN700" s="75"/>
      <c r="AO700" s="282"/>
      <c r="AP700" s="75"/>
      <c r="AQ700" s="75"/>
      <c r="AR700" s="75"/>
      <c r="AS700" s="75"/>
      <c r="AT700" s="75"/>
    </row>
    <row r="701">
      <c r="A701" s="282"/>
      <c r="B701" s="125"/>
      <c r="C701" s="113"/>
      <c r="D701" s="75"/>
      <c r="E701" s="282"/>
      <c r="F701" s="125"/>
      <c r="G701" s="113"/>
      <c r="H701" s="75"/>
      <c r="I701" s="282"/>
      <c r="J701" s="125"/>
      <c r="K701" s="113"/>
      <c r="L701" s="75"/>
      <c r="M701" s="282"/>
      <c r="N701" s="125"/>
      <c r="O701" s="113"/>
      <c r="P701" s="75"/>
      <c r="Q701" s="282"/>
      <c r="R701" s="125"/>
      <c r="S701" s="113"/>
      <c r="T701" s="75"/>
      <c r="U701" s="282"/>
      <c r="V701" s="125"/>
      <c r="W701" s="113"/>
      <c r="X701" s="75"/>
      <c r="Y701" s="282"/>
      <c r="Z701" s="290"/>
      <c r="AA701" s="291"/>
      <c r="AB701" s="73"/>
      <c r="AC701" s="282"/>
      <c r="AD701" s="125"/>
      <c r="AE701" s="241"/>
      <c r="AF701" s="284"/>
      <c r="AG701" s="282"/>
      <c r="AH701" s="292"/>
      <c r="AI701" s="292"/>
      <c r="AJ701" s="292"/>
      <c r="AK701" s="282"/>
      <c r="AL701" s="75"/>
      <c r="AM701" s="75"/>
      <c r="AN701" s="75"/>
      <c r="AO701" s="282"/>
      <c r="AP701" s="75"/>
      <c r="AQ701" s="75"/>
      <c r="AR701" s="75"/>
      <c r="AS701" s="75"/>
      <c r="AT701" s="75"/>
    </row>
    <row r="702">
      <c r="A702" s="282"/>
      <c r="B702" s="125"/>
      <c r="C702" s="113"/>
      <c r="D702" s="75"/>
      <c r="E702" s="282"/>
      <c r="F702" s="125"/>
      <c r="G702" s="113"/>
      <c r="H702" s="75"/>
      <c r="I702" s="282"/>
      <c r="J702" s="125"/>
      <c r="K702" s="113"/>
      <c r="L702" s="75"/>
      <c r="M702" s="282"/>
      <c r="N702" s="125"/>
      <c r="O702" s="113"/>
      <c r="P702" s="75"/>
      <c r="Q702" s="282"/>
      <c r="R702" s="125"/>
      <c r="S702" s="113"/>
      <c r="T702" s="75"/>
      <c r="U702" s="282"/>
      <c r="V702" s="125"/>
      <c r="W702" s="113"/>
      <c r="X702" s="75"/>
      <c r="Y702" s="282"/>
      <c r="Z702" s="290"/>
      <c r="AA702" s="291"/>
      <c r="AB702" s="73"/>
      <c r="AC702" s="282"/>
      <c r="AD702" s="125"/>
      <c r="AE702" s="241"/>
      <c r="AF702" s="284"/>
      <c r="AG702" s="282"/>
      <c r="AH702" s="292"/>
      <c r="AI702" s="292"/>
      <c r="AJ702" s="292"/>
      <c r="AK702" s="282"/>
      <c r="AL702" s="75"/>
      <c r="AM702" s="75"/>
      <c r="AN702" s="75"/>
      <c r="AO702" s="282"/>
      <c r="AP702" s="75"/>
      <c r="AQ702" s="75"/>
      <c r="AR702" s="75"/>
      <c r="AS702" s="75"/>
      <c r="AT702" s="75"/>
    </row>
    <row r="703">
      <c r="A703" s="282"/>
      <c r="B703" s="125"/>
      <c r="C703" s="113"/>
      <c r="D703" s="75"/>
      <c r="E703" s="282"/>
      <c r="F703" s="125"/>
      <c r="G703" s="113"/>
      <c r="H703" s="75"/>
      <c r="I703" s="282"/>
      <c r="J703" s="125"/>
      <c r="K703" s="113"/>
      <c r="L703" s="75"/>
      <c r="M703" s="282"/>
      <c r="N703" s="125"/>
      <c r="O703" s="113"/>
      <c r="P703" s="75"/>
      <c r="Q703" s="282"/>
      <c r="R703" s="125"/>
      <c r="S703" s="113"/>
      <c r="T703" s="75"/>
      <c r="U703" s="282"/>
      <c r="V703" s="125"/>
      <c r="W703" s="113"/>
      <c r="X703" s="75"/>
      <c r="Y703" s="282"/>
      <c r="Z703" s="290"/>
      <c r="AA703" s="291"/>
      <c r="AB703" s="73"/>
      <c r="AC703" s="282"/>
      <c r="AD703" s="125"/>
      <c r="AE703" s="241"/>
      <c r="AF703" s="284"/>
      <c r="AG703" s="282"/>
      <c r="AH703" s="292"/>
      <c r="AI703" s="292"/>
      <c r="AJ703" s="292"/>
      <c r="AK703" s="282"/>
      <c r="AL703" s="75"/>
      <c r="AM703" s="75"/>
      <c r="AN703" s="75"/>
      <c r="AO703" s="282"/>
      <c r="AP703" s="75"/>
      <c r="AQ703" s="75"/>
      <c r="AR703" s="75"/>
      <c r="AS703" s="75"/>
      <c r="AT703" s="75"/>
    </row>
    <row r="704">
      <c r="A704" s="282"/>
      <c r="B704" s="125"/>
      <c r="C704" s="113"/>
      <c r="D704" s="75"/>
      <c r="E704" s="282"/>
      <c r="F704" s="125"/>
      <c r="G704" s="113"/>
      <c r="H704" s="75"/>
      <c r="I704" s="282"/>
      <c r="J704" s="125"/>
      <c r="K704" s="113"/>
      <c r="L704" s="75"/>
      <c r="M704" s="282"/>
      <c r="N704" s="125"/>
      <c r="O704" s="113"/>
      <c r="P704" s="75"/>
      <c r="Q704" s="282"/>
      <c r="R704" s="125"/>
      <c r="S704" s="113"/>
      <c r="T704" s="75"/>
      <c r="U704" s="282"/>
      <c r="V704" s="125"/>
      <c r="W704" s="113"/>
      <c r="X704" s="75"/>
      <c r="Y704" s="282"/>
      <c r="Z704" s="290"/>
      <c r="AA704" s="291"/>
      <c r="AB704" s="73"/>
      <c r="AC704" s="282"/>
      <c r="AD704" s="125"/>
      <c r="AE704" s="241"/>
      <c r="AF704" s="284"/>
      <c r="AG704" s="282"/>
      <c r="AH704" s="292"/>
      <c r="AI704" s="292"/>
      <c r="AJ704" s="292"/>
      <c r="AK704" s="282"/>
      <c r="AL704" s="75"/>
      <c r="AM704" s="75"/>
      <c r="AN704" s="75"/>
      <c r="AO704" s="282"/>
      <c r="AP704" s="75"/>
      <c r="AQ704" s="75"/>
      <c r="AR704" s="75"/>
      <c r="AS704" s="75"/>
      <c r="AT704" s="75"/>
    </row>
    <row r="705">
      <c r="A705" s="282"/>
      <c r="B705" s="125"/>
      <c r="C705" s="113"/>
      <c r="D705" s="75"/>
      <c r="E705" s="282"/>
      <c r="F705" s="125"/>
      <c r="G705" s="113"/>
      <c r="H705" s="75"/>
      <c r="I705" s="282"/>
      <c r="J705" s="125"/>
      <c r="K705" s="113"/>
      <c r="L705" s="75"/>
      <c r="M705" s="282"/>
      <c r="N705" s="125"/>
      <c r="O705" s="113"/>
      <c r="P705" s="75"/>
      <c r="Q705" s="282"/>
      <c r="R705" s="125"/>
      <c r="S705" s="113"/>
      <c r="T705" s="75"/>
      <c r="U705" s="282"/>
      <c r="V705" s="125"/>
      <c r="W705" s="113"/>
      <c r="X705" s="75"/>
      <c r="Y705" s="282"/>
      <c r="Z705" s="290"/>
      <c r="AA705" s="291"/>
      <c r="AB705" s="73"/>
      <c r="AC705" s="282"/>
      <c r="AD705" s="125"/>
      <c r="AE705" s="241"/>
      <c r="AF705" s="284"/>
      <c r="AG705" s="282"/>
      <c r="AH705" s="292"/>
      <c r="AI705" s="292"/>
      <c r="AJ705" s="292"/>
      <c r="AK705" s="282"/>
      <c r="AL705" s="75"/>
      <c r="AM705" s="75"/>
      <c r="AN705" s="75"/>
      <c r="AO705" s="282"/>
      <c r="AP705" s="75"/>
      <c r="AQ705" s="75"/>
      <c r="AR705" s="75"/>
      <c r="AS705" s="75"/>
      <c r="AT705" s="75"/>
    </row>
    <row r="706">
      <c r="A706" s="282"/>
      <c r="B706" s="125"/>
      <c r="C706" s="113"/>
      <c r="D706" s="75"/>
      <c r="E706" s="282"/>
      <c r="F706" s="125"/>
      <c r="G706" s="113"/>
      <c r="H706" s="75"/>
      <c r="I706" s="282"/>
      <c r="J706" s="125"/>
      <c r="K706" s="113"/>
      <c r="L706" s="75"/>
      <c r="M706" s="282"/>
      <c r="N706" s="125"/>
      <c r="O706" s="113"/>
      <c r="P706" s="75"/>
      <c r="Q706" s="282"/>
      <c r="R706" s="125"/>
      <c r="S706" s="113"/>
      <c r="T706" s="75"/>
      <c r="U706" s="282"/>
      <c r="V706" s="125"/>
      <c r="W706" s="113"/>
      <c r="X706" s="75"/>
      <c r="Y706" s="282"/>
      <c r="Z706" s="290"/>
      <c r="AA706" s="291"/>
      <c r="AB706" s="73"/>
      <c r="AC706" s="282"/>
      <c r="AD706" s="125"/>
      <c r="AE706" s="241"/>
      <c r="AF706" s="284"/>
      <c r="AG706" s="282"/>
      <c r="AH706" s="292"/>
      <c r="AI706" s="292"/>
      <c r="AJ706" s="292"/>
      <c r="AK706" s="282"/>
      <c r="AL706" s="75"/>
      <c r="AM706" s="75"/>
      <c r="AN706" s="75"/>
      <c r="AO706" s="282"/>
      <c r="AP706" s="75"/>
      <c r="AQ706" s="75"/>
      <c r="AR706" s="75"/>
      <c r="AS706" s="75"/>
      <c r="AT706" s="75"/>
    </row>
    <row r="707">
      <c r="A707" s="282"/>
      <c r="B707" s="125"/>
      <c r="C707" s="113"/>
      <c r="D707" s="75"/>
      <c r="E707" s="282"/>
      <c r="F707" s="125"/>
      <c r="G707" s="113"/>
      <c r="H707" s="75"/>
      <c r="I707" s="282"/>
      <c r="J707" s="125"/>
      <c r="K707" s="113"/>
      <c r="L707" s="75"/>
      <c r="M707" s="282"/>
      <c r="N707" s="125"/>
      <c r="O707" s="113"/>
      <c r="P707" s="75"/>
      <c r="Q707" s="282"/>
      <c r="R707" s="125"/>
      <c r="S707" s="113"/>
      <c r="T707" s="75"/>
      <c r="U707" s="282"/>
      <c r="V707" s="125"/>
      <c r="W707" s="113"/>
      <c r="X707" s="75"/>
      <c r="Y707" s="282"/>
      <c r="Z707" s="290"/>
      <c r="AA707" s="291"/>
      <c r="AB707" s="73"/>
      <c r="AC707" s="282"/>
      <c r="AD707" s="125"/>
      <c r="AE707" s="241"/>
      <c r="AF707" s="284"/>
      <c r="AG707" s="282"/>
      <c r="AH707" s="292"/>
      <c r="AI707" s="292"/>
      <c r="AJ707" s="292"/>
      <c r="AK707" s="282"/>
      <c r="AL707" s="75"/>
      <c r="AM707" s="75"/>
      <c r="AN707" s="75"/>
      <c r="AO707" s="282"/>
      <c r="AP707" s="75"/>
      <c r="AQ707" s="75"/>
      <c r="AR707" s="75"/>
      <c r="AS707" s="75"/>
      <c r="AT707" s="75"/>
    </row>
    <row r="708">
      <c r="A708" s="282"/>
      <c r="B708" s="125"/>
      <c r="C708" s="113"/>
      <c r="D708" s="75"/>
      <c r="E708" s="282"/>
      <c r="F708" s="125"/>
      <c r="G708" s="113"/>
      <c r="H708" s="75"/>
      <c r="I708" s="282"/>
      <c r="J708" s="125"/>
      <c r="K708" s="113"/>
      <c r="L708" s="75"/>
      <c r="M708" s="282"/>
      <c r="N708" s="125"/>
      <c r="O708" s="113"/>
      <c r="P708" s="75"/>
      <c r="Q708" s="282"/>
      <c r="R708" s="125"/>
      <c r="S708" s="113"/>
      <c r="T708" s="75"/>
      <c r="U708" s="282"/>
      <c r="V708" s="125"/>
      <c r="W708" s="113"/>
      <c r="X708" s="75"/>
      <c r="Y708" s="282"/>
      <c r="Z708" s="290"/>
      <c r="AA708" s="291"/>
      <c r="AB708" s="73"/>
      <c r="AC708" s="282"/>
      <c r="AD708" s="125"/>
      <c r="AE708" s="241"/>
      <c r="AF708" s="284"/>
      <c r="AG708" s="282"/>
      <c r="AH708" s="292"/>
      <c r="AI708" s="292"/>
      <c r="AJ708" s="292"/>
      <c r="AK708" s="282"/>
      <c r="AL708" s="75"/>
      <c r="AM708" s="75"/>
      <c r="AN708" s="75"/>
      <c r="AO708" s="282"/>
      <c r="AP708" s="75"/>
      <c r="AQ708" s="75"/>
      <c r="AR708" s="75"/>
      <c r="AS708" s="75"/>
      <c r="AT708" s="75"/>
    </row>
    <row r="709">
      <c r="A709" s="282"/>
      <c r="B709" s="125"/>
      <c r="C709" s="113"/>
      <c r="D709" s="75"/>
      <c r="E709" s="282"/>
      <c r="F709" s="125"/>
      <c r="G709" s="113"/>
      <c r="H709" s="75"/>
      <c r="I709" s="282"/>
      <c r="J709" s="125"/>
      <c r="K709" s="113"/>
      <c r="L709" s="75"/>
      <c r="M709" s="282"/>
      <c r="N709" s="125"/>
      <c r="O709" s="113"/>
      <c r="P709" s="75"/>
      <c r="Q709" s="282"/>
      <c r="R709" s="125"/>
      <c r="S709" s="113"/>
      <c r="T709" s="75"/>
      <c r="U709" s="282"/>
      <c r="V709" s="125"/>
      <c r="W709" s="113"/>
      <c r="X709" s="75"/>
      <c r="Y709" s="282"/>
      <c r="Z709" s="290"/>
      <c r="AA709" s="291"/>
      <c r="AB709" s="73"/>
      <c r="AC709" s="282"/>
      <c r="AD709" s="125"/>
      <c r="AE709" s="241"/>
      <c r="AF709" s="284"/>
      <c r="AG709" s="282"/>
      <c r="AH709" s="292"/>
      <c r="AI709" s="292"/>
      <c r="AJ709" s="292"/>
      <c r="AK709" s="282"/>
      <c r="AL709" s="75"/>
      <c r="AM709" s="75"/>
      <c r="AN709" s="75"/>
      <c r="AO709" s="282"/>
      <c r="AP709" s="75"/>
      <c r="AQ709" s="75"/>
      <c r="AR709" s="75"/>
      <c r="AS709" s="75"/>
      <c r="AT709" s="75"/>
    </row>
    <row r="710">
      <c r="A710" s="282"/>
      <c r="B710" s="125"/>
      <c r="C710" s="113"/>
      <c r="D710" s="75"/>
      <c r="E710" s="282"/>
      <c r="F710" s="125"/>
      <c r="G710" s="113"/>
      <c r="H710" s="75"/>
      <c r="I710" s="282"/>
      <c r="J710" s="125"/>
      <c r="K710" s="113"/>
      <c r="L710" s="75"/>
      <c r="M710" s="282"/>
      <c r="N710" s="125"/>
      <c r="O710" s="113"/>
      <c r="P710" s="75"/>
      <c r="Q710" s="282"/>
      <c r="R710" s="125"/>
      <c r="S710" s="113"/>
      <c r="T710" s="75"/>
      <c r="U710" s="282"/>
      <c r="V710" s="125"/>
      <c r="W710" s="113"/>
      <c r="X710" s="75"/>
      <c r="Y710" s="282"/>
      <c r="Z710" s="290"/>
      <c r="AA710" s="291"/>
      <c r="AB710" s="73"/>
      <c r="AC710" s="282"/>
      <c r="AD710" s="125"/>
      <c r="AE710" s="241"/>
      <c r="AF710" s="284"/>
      <c r="AG710" s="282"/>
      <c r="AH710" s="292"/>
      <c r="AI710" s="292"/>
      <c r="AJ710" s="292"/>
      <c r="AK710" s="282"/>
      <c r="AL710" s="75"/>
      <c r="AM710" s="75"/>
      <c r="AN710" s="75"/>
      <c r="AO710" s="282"/>
      <c r="AP710" s="75"/>
      <c r="AQ710" s="75"/>
      <c r="AR710" s="75"/>
      <c r="AS710" s="75"/>
      <c r="AT710" s="75"/>
    </row>
    <row r="711">
      <c r="A711" s="282"/>
      <c r="B711" s="125"/>
      <c r="C711" s="113"/>
      <c r="D711" s="75"/>
      <c r="E711" s="282"/>
      <c r="F711" s="125"/>
      <c r="G711" s="113"/>
      <c r="H711" s="75"/>
      <c r="I711" s="282"/>
      <c r="J711" s="125"/>
      <c r="K711" s="113"/>
      <c r="L711" s="75"/>
      <c r="M711" s="282"/>
      <c r="N711" s="125"/>
      <c r="O711" s="113"/>
      <c r="P711" s="75"/>
      <c r="Q711" s="282"/>
      <c r="R711" s="125"/>
      <c r="S711" s="113"/>
      <c r="T711" s="75"/>
      <c r="U711" s="282"/>
      <c r="V711" s="125"/>
      <c r="W711" s="113"/>
      <c r="X711" s="75"/>
      <c r="Y711" s="282"/>
      <c r="Z711" s="290"/>
      <c r="AA711" s="291"/>
      <c r="AB711" s="73"/>
      <c r="AC711" s="282"/>
      <c r="AD711" s="125"/>
      <c r="AE711" s="241"/>
      <c r="AF711" s="284"/>
      <c r="AG711" s="282"/>
      <c r="AH711" s="292"/>
      <c r="AI711" s="292"/>
      <c r="AJ711" s="292"/>
      <c r="AK711" s="282"/>
      <c r="AL711" s="75"/>
      <c r="AM711" s="75"/>
      <c r="AN711" s="75"/>
      <c r="AO711" s="282"/>
      <c r="AP711" s="75"/>
      <c r="AQ711" s="75"/>
      <c r="AR711" s="75"/>
      <c r="AS711" s="75"/>
      <c r="AT711" s="75"/>
    </row>
    <row r="712">
      <c r="A712" s="282"/>
      <c r="B712" s="125"/>
      <c r="C712" s="113"/>
      <c r="D712" s="75"/>
      <c r="E712" s="282"/>
      <c r="F712" s="125"/>
      <c r="G712" s="113"/>
      <c r="H712" s="75"/>
      <c r="I712" s="282"/>
      <c r="J712" s="125"/>
      <c r="K712" s="113"/>
      <c r="L712" s="75"/>
      <c r="M712" s="282"/>
      <c r="N712" s="125"/>
      <c r="O712" s="113"/>
      <c r="P712" s="75"/>
      <c r="Q712" s="282"/>
      <c r="R712" s="125"/>
      <c r="S712" s="113"/>
      <c r="T712" s="75"/>
      <c r="U712" s="282"/>
      <c r="V712" s="125"/>
      <c r="W712" s="113"/>
      <c r="X712" s="75"/>
      <c r="Y712" s="282"/>
      <c r="Z712" s="290"/>
      <c r="AA712" s="291"/>
      <c r="AB712" s="73"/>
      <c r="AC712" s="282"/>
      <c r="AD712" s="125"/>
      <c r="AE712" s="241"/>
      <c r="AF712" s="284"/>
      <c r="AG712" s="282"/>
      <c r="AH712" s="292"/>
      <c r="AI712" s="292"/>
      <c r="AJ712" s="292"/>
      <c r="AK712" s="282"/>
      <c r="AL712" s="75"/>
      <c r="AM712" s="75"/>
      <c r="AN712" s="75"/>
      <c r="AO712" s="282"/>
      <c r="AP712" s="75"/>
      <c r="AQ712" s="75"/>
      <c r="AR712" s="75"/>
      <c r="AS712" s="75"/>
      <c r="AT712" s="75"/>
    </row>
    <row r="713">
      <c r="A713" s="282"/>
      <c r="B713" s="125"/>
      <c r="C713" s="113"/>
      <c r="D713" s="75"/>
      <c r="E713" s="282"/>
      <c r="F713" s="125"/>
      <c r="G713" s="113"/>
      <c r="H713" s="75"/>
      <c r="I713" s="282"/>
      <c r="J713" s="125"/>
      <c r="K713" s="113"/>
      <c r="L713" s="75"/>
      <c r="M713" s="282"/>
      <c r="N713" s="125"/>
      <c r="O713" s="113"/>
      <c r="P713" s="75"/>
      <c r="Q713" s="282"/>
      <c r="R713" s="125"/>
      <c r="S713" s="113"/>
      <c r="T713" s="75"/>
      <c r="U713" s="282"/>
      <c r="V713" s="125"/>
      <c r="W713" s="113"/>
      <c r="X713" s="75"/>
      <c r="Y713" s="282"/>
      <c r="Z713" s="290"/>
      <c r="AA713" s="291"/>
      <c r="AB713" s="73"/>
      <c r="AC713" s="282"/>
      <c r="AD713" s="125"/>
      <c r="AE713" s="241"/>
      <c r="AF713" s="284"/>
      <c r="AG713" s="282"/>
      <c r="AH713" s="292"/>
      <c r="AI713" s="292"/>
      <c r="AJ713" s="292"/>
      <c r="AK713" s="282"/>
      <c r="AL713" s="75"/>
      <c r="AM713" s="75"/>
      <c r="AN713" s="75"/>
      <c r="AO713" s="282"/>
      <c r="AP713" s="75"/>
      <c r="AQ713" s="75"/>
      <c r="AR713" s="75"/>
      <c r="AS713" s="75"/>
      <c r="AT713" s="75"/>
    </row>
    <row r="714">
      <c r="A714" s="282"/>
      <c r="B714" s="125"/>
      <c r="C714" s="113"/>
      <c r="D714" s="75"/>
      <c r="E714" s="282"/>
      <c r="F714" s="125"/>
      <c r="G714" s="113"/>
      <c r="H714" s="75"/>
      <c r="I714" s="282"/>
      <c r="J714" s="125"/>
      <c r="K714" s="113"/>
      <c r="L714" s="75"/>
      <c r="M714" s="282"/>
      <c r="N714" s="125"/>
      <c r="O714" s="113"/>
      <c r="P714" s="75"/>
      <c r="Q714" s="282"/>
      <c r="R714" s="125"/>
      <c r="S714" s="113"/>
      <c r="T714" s="75"/>
      <c r="U714" s="282"/>
      <c r="V714" s="125"/>
      <c r="W714" s="113"/>
      <c r="X714" s="75"/>
      <c r="Y714" s="282"/>
      <c r="Z714" s="290"/>
      <c r="AA714" s="291"/>
      <c r="AB714" s="73"/>
      <c r="AC714" s="282"/>
      <c r="AD714" s="125"/>
      <c r="AE714" s="241"/>
      <c r="AF714" s="284"/>
      <c r="AG714" s="282"/>
      <c r="AH714" s="292"/>
      <c r="AI714" s="292"/>
      <c r="AJ714" s="292"/>
      <c r="AK714" s="282"/>
      <c r="AL714" s="75"/>
      <c r="AM714" s="75"/>
      <c r="AN714" s="75"/>
      <c r="AO714" s="282"/>
      <c r="AP714" s="75"/>
      <c r="AQ714" s="75"/>
      <c r="AR714" s="75"/>
      <c r="AS714" s="75"/>
      <c r="AT714" s="75"/>
    </row>
    <row r="715">
      <c r="A715" s="282"/>
      <c r="B715" s="125"/>
      <c r="C715" s="113"/>
      <c r="D715" s="75"/>
      <c r="E715" s="282"/>
      <c r="F715" s="125"/>
      <c r="G715" s="113"/>
      <c r="H715" s="75"/>
      <c r="I715" s="282"/>
      <c r="J715" s="125"/>
      <c r="K715" s="113"/>
      <c r="L715" s="75"/>
      <c r="M715" s="282"/>
      <c r="N715" s="125"/>
      <c r="O715" s="113"/>
      <c r="P715" s="75"/>
      <c r="Q715" s="282"/>
      <c r="R715" s="125"/>
      <c r="S715" s="113"/>
      <c r="T715" s="75"/>
      <c r="U715" s="282"/>
      <c r="V715" s="125"/>
      <c r="W715" s="113"/>
      <c r="X715" s="75"/>
      <c r="Y715" s="282"/>
      <c r="Z715" s="290"/>
      <c r="AA715" s="291"/>
      <c r="AB715" s="73"/>
      <c r="AC715" s="282"/>
      <c r="AD715" s="125"/>
      <c r="AE715" s="241"/>
      <c r="AF715" s="284"/>
      <c r="AG715" s="282"/>
      <c r="AH715" s="292"/>
      <c r="AI715" s="292"/>
      <c r="AJ715" s="292"/>
      <c r="AK715" s="282"/>
      <c r="AL715" s="75"/>
      <c r="AM715" s="75"/>
      <c r="AN715" s="75"/>
      <c r="AO715" s="282"/>
      <c r="AP715" s="75"/>
      <c r="AQ715" s="75"/>
      <c r="AR715" s="75"/>
      <c r="AS715" s="75"/>
      <c r="AT715" s="75"/>
    </row>
    <row r="716">
      <c r="A716" s="282"/>
      <c r="B716" s="125"/>
      <c r="C716" s="113"/>
      <c r="D716" s="75"/>
      <c r="E716" s="282"/>
      <c r="F716" s="125"/>
      <c r="G716" s="113"/>
      <c r="H716" s="75"/>
      <c r="I716" s="282"/>
      <c r="J716" s="125"/>
      <c r="K716" s="113"/>
      <c r="L716" s="75"/>
      <c r="M716" s="282"/>
      <c r="N716" s="125"/>
      <c r="O716" s="113"/>
      <c r="P716" s="75"/>
      <c r="Q716" s="282"/>
      <c r="R716" s="125"/>
      <c r="S716" s="113"/>
      <c r="T716" s="75"/>
      <c r="U716" s="282"/>
      <c r="V716" s="125"/>
      <c r="W716" s="113"/>
      <c r="X716" s="75"/>
      <c r="Y716" s="282"/>
      <c r="Z716" s="290"/>
      <c r="AA716" s="291"/>
      <c r="AB716" s="73"/>
      <c r="AC716" s="282"/>
      <c r="AD716" s="125"/>
      <c r="AE716" s="241"/>
      <c r="AF716" s="284"/>
      <c r="AG716" s="282"/>
      <c r="AH716" s="292"/>
      <c r="AI716" s="292"/>
      <c r="AJ716" s="292"/>
      <c r="AK716" s="282"/>
      <c r="AL716" s="75"/>
      <c r="AM716" s="75"/>
      <c r="AN716" s="75"/>
      <c r="AO716" s="282"/>
      <c r="AP716" s="75"/>
      <c r="AQ716" s="75"/>
      <c r="AR716" s="75"/>
      <c r="AS716" s="75"/>
      <c r="AT716" s="75"/>
    </row>
    <row r="717">
      <c r="A717" s="282"/>
      <c r="B717" s="125"/>
      <c r="C717" s="113"/>
      <c r="D717" s="75"/>
      <c r="E717" s="282"/>
      <c r="F717" s="125"/>
      <c r="G717" s="113"/>
      <c r="H717" s="75"/>
      <c r="I717" s="282"/>
      <c r="J717" s="125"/>
      <c r="K717" s="113"/>
      <c r="L717" s="75"/>
      <c r="M717" s="282"/>
      <c r="N717" s="125"/>
      <c r="O717" s="113"/>
      <c r="P717" s="75"/>
      <c r="Q717" s="282"/>
      <c r="R717" s="125"/>
      <c r="S717" s="113"/>
      <c r="T717" s="75"/>
      <c r="U717" s="282"/>
      <c r="V717" s="125"/>
      <c r="W717" s="113"/>
      <c r="X717" s="75"/>
      <c r="Y717" s="282"/>
      <c r="Z717" s="290"/>
      <c r="AA717" s="291"/>
      <c r="AB717" s="73"/>
      <c r="AC717" s="282"/>
      <c r="AD717" s="125"/>
      <c r="AE717" s="241"/>
      <c r="AF717" s="284"/>
      <c r="AG717" s="282"/>
      <c r="AH717" s="292"/>
      <c r="AI717" s="292"/>
      <c r="AJ717" s="292"/>
      <c r="AK717" s="282"/>
      <c r="AL717" s="75"/>
      <c r="AM717" s="75"/>
      <c r="AN717" s="75"/>
      <c r="AO717" s="282"/>
      <c r="AP717" s="75"/>
      <c r="AQ717" s="75"/>
      <c r="AR717" s="75"/>
      <c r="AS717" s="75"/>
      <c r="AT717" s="75"/>
    </row>
    <row r="718">
      <c r="A718" s="282"/>
      <c r="B718" s="125"/>
      <c r="C718" s="113"/>
      <c r="D718" s="75"/>
      <c r="E718" s="282"/>
      <c r="F718" s="125"/>
      <c r="G718" s="113"/>
      <c r="H718" s="75"/>
      <c r="I718" s="282"/>
      <c r="J718" s="125"/>
      <c r="K718" s="113"/>
      <c r="L718" s="75"/>
      <c r="M718" s="282"/>
      <c r="N718" s="125"/>
      <c r="O718" s="113"/>
      <c r="P718" s="75"/>
      <c r="Q718" s="282"/>
      <c r="R718" s="125"/>
      <c r="S718" s="113"/>
      <c r="T718" s="75"/>
      <c r="U718" s="282"/>
      <c r="V718" s="125"/>
      <c r="W718" s="113"/>
      <c r="X718" s="75"/>
      <c r="Y718" s="282"/>
      <c r="Z718" s="290"/>
      <c r="AA718" s="291"/>
      <c r="AB718" s="73"/>
      <c r="AC718" s="282"/>
      <c r="AD718" s="125"/>
      <c r="AE718" s="241"/>
      <c r="AF718" s="284"/>
      <c r="AG718" s="282"/>
      <c r="AH718" s="292"/>
      <c r="AI718" s="292"/>
      <c r="AJ718" s="292"/>
      <c r="AK718" s="282"/>
      <c r="AL718" s="75"/>
      <c r="AM718" s="75"/>
      <c r="AN718" s="75"/>
      <c r="AO718" s="282"/>
      <c r="AP718" s="75"/>
      <c r="AQ718" s="75"/>
      <c r="AR718" s="75"/>
      <c r="AS718" s="75"/>
      <c r="AT718" s="75"/>
    </row>
    <row r="719">
      <c r="A719" s="282"/>
      <c r="B719" s="125"/>
      <c r="C719" s="113"/>
      <c r="D719" s="75"/>
      <c r="E719" s="282"/>
      <c r="F719" s="125"/>
      <c r="G719" s="113"/>
      <c r="H719" s="75"/>
      <c r="I719" s="282"/>
      <c r="J719" s="125"/>
      <c r="K719" s="113"/>
      <c r="L719" s="75"/>
      <c r="M719" s="282"/>
      <c r="N719" s="125"/>
      <c r="O719" s="113"/>
      <c r="P719" s="75"/>
      <c r="Q719" s="282"/>
      <c r="R719" s="125"/>
      <c r="S719" s="113"/>
      <c r="T719" s="75"/>
      <c r="U719" s="282"/>
      <c r="V719" s="125"/>
      <c r="W719" s="113"/>
      <c r="X719" s="75"/>
      <c r="Y719" s="282"/>
      <c r="Z719" s="290"/>
      <c r="AA719" s="291"/>
      <c r="AB719" s="73"/>
      <c r="AC719" s="282"/>
      <c r="AD719" s="125"/>
      <c r="AE719" s="241"/>
      <c r="AF719" s="284"/>
      <c r="AG719" s="282"/>
      <c r="AH719" s="292"/>
      <c r="AI719" s="292"/>
      <c r="AJ719" s="292"/>
      <c r="AK719" s="282"/>
      <c r="AL719" s="75"/>
      <c r="AM719" s="75"/>
      <c r="AN719" s="75"/>
      <c r="AO719" s="282"/>
      <c r="AP719" s="75"/>
      <c r="AQ719" s="75"/>
      <c r="AR719" s="75"/>
      <c r="AS719" s="75"/>
      <c r="AT719" s="75"/>
    </row>
    <row r="720">
      <c r="A720" s="282"/>
      <c r="B720" s="125"/>
      <c r="C720" s="113"/>
      <c r="D720" s="75"/>
      <c r="E720" s="282"/>
      <c r="F720" s="125"/>
      <c r="G720" s="113"/>
      <c r="H720" s="75"/>
      <c r="I720" s="282"/>
      <c r="J720" s="125"/>
      <c r="K720" s="113"/>
      <c r="L720" s="75"/>
      <c r="M720" s="282"/>
      <c r="N720" s="125"/>
      <c r="O720" s="113"/>
      <c r="P720" s="75"/>
      <c r="Q720" s="282"/>
      <c r="R720" s="125"/>
      <c r="S720" s="113"/>
      <c r="T720" s="75"/>
      <c r="U720" s="282"/>
      <c r="V720" s="125"/>
      <c r="W720" s="113"/>
      <c r="X720" s="75"/>
      <c r="Y720" s="282"/>
      <c r="Z720" s="290"/>
      <c r="AA720" s="291"/>
      <c r="AB720" s="73"/>
      <c r="AC720" s="282"/>
      <c r="AD720" s="125"/>
      <c r="AE720" s="241"/>
      <c r="AF720" s="284"/>
      <c r="AG720" s="282"/>
      <c r="AH720" s="292"/>
      <c r="AI720" s="292"/>
      <c r="AJ720" s="292"/>
      <c r="AK720" s="282"/>
      <c r="AL720" s="75"/>
      <c r="AM720" s="75"/>
      <c r="AN720" s="75"/>
      <c r="AO720" s="282"/>
      <c r="AP720" s="75"/>
      <c r="AQ720" s="75"/>
      <c r="AR720" s="75"/>
      <c r="AS720" s="75"/>
      <c r="AT720" s="75"/>
    </row>
    <row r="721">
      <c r="A721" s="282"/>
      <c r="B721" s="125"/>
      <c r="C721" s="113"/>
      <c r="D721" s="75"/>
      <c r="E721" s="282"/>
      <c r="F721" s="125"/>
      <c r="G721" s="113"/>
      <c r="H721" s="75"/>
      <c r="I721" s="282"/>
      <c r="J721" s="125"/>
      <c r="K721" s="113"/>
      <c r="L721" s="75"/>
      <c r="M721" s="282"/>
      <c r="N721" s="125"/>
      <c r="O721" s="113"/>
      <c r="P721" s="75"/>
      <c r="Q721" s="282"/>
      <c r="R721" s="125"/>
      <c r="S721" s="113"/>
      <c r="T721" s="75"/>
      <c r="U721" s="282"/>
      <c r="V721" s="125"/>
      <c r="W721" s="113"/>
      <c r="X721" s="75"/>
      <c r="Y721" s="282"/>
      <c r="Z721" s="290"/>
      <c r="AA721" s="291"/>
      <c r="AB721" s="73"/>
      <c r="AC721" s="282"/>
      <c r="AD721" s="125"/>
      <c r="AE721" s="241"/>
      <c r="AF721" s="284"/>
      <c r="AG721" s="282"/>
      <c r="AH721" s="292"/>
      <c r="AI721" s="292"/>
      <c r="AJ721" s="292"/>
      <c r="AK721" s="282"/>
      <c r="AL721" s="75"/>
      <c r="AM721" s="75"/>
      <c r="AN721" s="75"/>
      <c r="AO721" s="282"/>
      <c r="AP721" s="75"/>
      <c r="AQ721" s="75"/>
      <c r="AR721" s="75"/>
      <c r="AS721" s="75"/>
      <c r="AT721" s="75"/>
    </row>
    <row r="722">
      <c r="A722" s="282"/>
      <c r="B722" s="125"/>
      <c r="C722" s="113"/>
      <c r="D722" s="75"/>
      <c r="E722" s="282"/>
      <c r="F722" s="125"/>
      <c r="G722" s="113"/>
      <c r="H722" s="75"/>
      <c r="I722" s="282"/>
      <c r="J722" s="125"/>
      <c r="K722" s="113"/>
      <c r="L722" s="75"/>
      <c r="M722" s="282"/>
      <c r="N722" s="125"/>
      <c r="O722" s="113"/>
      <c r="P722" s="75"/>
      <c r="Q722" s="282"/>
      <c r="R722" s="125"/>
      <c r="S722" s="113"/>
      <c r="T722" s="75"/>
      <c r="U722" s="282"/>
      <c r="V722" s="125"/>
      <c r="W722" s="113"/>
      <c r="X722" s="75"/>
      <c r="Y722" s="282"/>
      <c r="Z722" s="290"/>
      <c r="AA722" s="291"/>
      <c r="AB722" s="73"/>
      <c r="AC722" s="282"/>
      <c r="AD722" s="125"/>
      <c r="AE722" s="241"/>
      <c r="AF722" s="284"/>
      <c r="AG722" s="282"/>
      <c r="AH722" s="292"/>
      <c r="AI722" s="292"/>
      <c r="AJ722" s="292"/>
      <c r="AK722" s="282"/>
      <c r="AL722" s="75"/>
      <c r="AM722" s="75"/>
      <c r="AN722" s="75"/>
      <c r="AO722" s="282"/>
      <c r="AP722" s="75"/>
      <c r="AQ722" s="75"/>
      <c r="AR722" s="75"/>
      <c r="AS722" s="75"/>
      <c r="AT722" s="75"/>
    </row>
    <row r="723">
      <c r="A723" s="282"/>
      <c r="B723" s="125"/>
      <c r="C723" s="113"/>
      <c r="D723" s="75"/>
      <c r="E723" s="282"/>
      <c r="F723" s="125"/>
      <c r="G723" s="113"/>
      <c r="H723" s="75"/>
      <c r="I723" s="282"/>
      <c r="J723" s="125"/>
      <c r="K723" s="113"/>
      <c r="L723" s="75"/>
      <c r="M723" s="282"/>
      <c r="N723" s="125"/>
      <c r="O723" s="113"/>
      <c r="P723" s="75"/>
      <c r="Q723" s="282"/>
      <c r="R723" s="125"/>
      <c r="S723" s="113"/>
      <c r="T723" s="75"/>
      <c r="U723" s="282"/>
      <c r="V723" s="125"/>
      <c r="W723" s="113"/>
      <c r="X723" s="75"/>
      <c r="Y723" s="282"/>
      <c r="Z723" s="290"/>
      <c r="AA723" s="291"/>
      <c r="AB723" s="73"/>
      <c r="AC723" s="282"/>
      <c r="AD723" s="125"/>
      <c r="AE723" s="241"/>
      <c r="AF723" s="284"/>
      <c r="AG723" s="282"/>
      <c r="AH723" s="292"/>
      <c r="AI723" s="292"/>
      <c r="AJ723" s="292"/>
      <c r="AK723" s="282"/>
      <c r="AL723" s="75"/>
      <c r="AM723" s="75"/>
      <c r="AN723" s="75"/>
      <c r="AO723" s="282"/>
      <c r="AP723" s="75"/>
      <c r="AQ723" s="75"/>
      <c r="AR723" s="75"/>
      <c r="AS723" s="75"/>
      <c r="AT723" s="75"/>
    </row>
    <row r="724">
      <c r="A724" s="282"/>
      <c r="B724" s="125"/>
      <c r="C724" s="113"/>
      <c r="D724" s="75"/>
      <c r="E724" s="282"/>
      <c r="F724" s="125"/>
      <c r="G724" s="113"/>
      <c r="H724" s="75"/>
      <c r="I724" s="282"/>
      <c r="J724" s="125"/>
      <c r="K724" s="113"/>
      <c r="L724" s="75"/>
      <c r="M724" s="282"/>
      <c r="N724" s="125"/>
      <c r="O724" s="113"/>
      <c r="P724" s="75"/>
      <c r="Q724" s="282"/>
      <c r="R724" s="125"/>
      <c r="S724" s="113"/>
      <c r="T724" s="75"/>
      <c r="U724" s="282"/>
      <c r="V724" s="125"/>
      <c r="W724" s="113"/>
      <c r="X724" s="75"/>
      <c r="Y724" s="282"/>
      <c r="Z724" s="290"/>
      <c r="AA724" s="291"/>
      <c r="AB724" s="73"/>
      <c r="AC724" s="282"/>
      <c r="AD724" s="125"/>
      <c r="AE724" s="241"/>
      <c r="AF724" s="284"/>
      <c r="AG724" s="282"/>
      <c r="AH724" s="292"/>
      <c r="AI724" s="292"/>
      <c r="AJ724" s="292"/>
      <c r="AK724" s="282"/>
      <c r="AL724" s="75"/>
      <c r="AM724" s="75"/>
      <c r="AN724" s="75"/>
      <c r="AO724" s="282"/>
      <c r="AP724" s="75"/>
      <c r="AQ724" s="75"/>
      <c r="AR724" s="75"/>
      <c r="AS724" s="75"/>
      <c r="AT724" s="75"/>
    </row>
    <row r="725">
      <c r="A725" s="282"/>
      <c r="B725" s="125"/>
      <c r="C725" s="113"/>
      <c r="D725" s="75"/>
      <c r="E725" s="282"/>
      <c r="F725" s="125"/>
      <c r="G725" s="113"/>
      <c r="H725" s="75"/>
      <c r="I725" s="282"/>
      <c r="J725" s="125"/>
      <c r="K725" s="113"/>
      <c r="L725" s="75"/>
      <c r="M725" s="282"/>
      <c r="N725" s="125"/>
      <c r="O725" s="113"/>
      <c r="P725" s="75"/>
      <c r="Q725" s="282"/>
      <c r="R725" s="125"/>
      <c r="S725" s="113"/>
      <c r="T725" s="75"/>
      <c r="U725" s="282"/>
      <c r="V725" s="125"/>
      <c r="W725" s="113"/>
      <c r="X725" s="75"/>
      <c r="Y725" s="282"/>
      <c r="Z725" s="290"/>
      <c r="AA725" s="291"/>
      <c r="AB725" s="73"/>
      <c r="AC725" s="282"/>
      <c r="AD725" s="125"/>
      <c r="AE725" s="241"/>
      <c r="AF725" s="284"/>
      <c r="AG725" s="282"/>
      <c r="AH725" s="292"/>
      <c r="AI725" s="292"/>
      <c r="AJ725" s="292"/>
      <c r="AK725" s="282"/>
      <c r="AL725" s="75"/>
      <c r="AM725" s="75"/>
      <c r="AN725" s="75"/>
      <c r="AO725" s="282"/>
      <c r="AP725" s="75"/>
      <c r="AQ725" s="75"/>
      <c r="AR725" s="75"/>
      <c r="AS725" s="75"/>
      <c r="AT725" s="75"/>
    </row>
    <row r="726">
      <c r="A726" s="282"/>
      <c r="B726" s="125"/>
      <c r="C726" s="113"/>
      <c r="D726" s="75"/>
      <c r="E726" s="282"/>
      <c r="F726" s="125"/>
      <c r="G726" s="113"/>
      <c r="H726" s="75"/>
      <c r="I726" s="282"/>
      <c r="J726" s="125"/>
      <c r="K726" s="113"/>
      <c r="L726" s="75"/>
      <c r="M726" s="282"/>
      <c r="N726" s="125"/>
      <c r="O726" s="113"/>
      <c r="P726" s="75"/>
      <c r="Q726" s="282"/>
      <c r="R726" s="125"/>
      <c r="S726" s="113"/>
      <c r="T726" s="75"/>
      <c r="U726" s="282"/>
      <c r="V726" s="125"/>
      <c r="W726" s="113"/>
      <c r="X726" s="75"/>
      <c r="Y726" s="282"/>
      <c r="Z726" s="290"/>
      <c r="AA726" s="291"/>
      <c r="AB726" s="73"/>
      <c r="AC726" s="282"/>
      <c r="AD726" s="125"/>
      <c r="AE726" s="241"/>
      <c r="AF726" s="284"/>
      <c r="AG726" s="282"/>
      <c r="AH726" s="292"/>
      <c r="AI726" s="292"/>
      <c r="AJ726" s="292"/>
      <c r="AK726" s="282"/>
      <c r="AL726" s="75"/>
      <c r="AM726" s="75"/>
      <c r="AN726" s="75"/>
      <c r="AO726" s="282"/>
      <c r="AP726" s="75"/>
      <c r="AQ726" s="75"/>
      <c r="AR726" s="75"/>
      <c r="AS726" s="75"/>
      <c r="AT726" s="75"/>
    </row>
    <row r="727">
      <c r="A727" s="282"/>
      <c r="B727" s="125"/>
      <c r="C727" s="113"/>
      <c r="D727" s="75"/>
      <c r="E727" s="282"/>
      <c r="F727" s="125"/>
      <c r="G727" s="113"/>
      <c r="H727" s="75"/>
      <c r="I727" s="282"/>
      <c r="J727" s="125"/>
      <c r="K727" s="113"/>
      <c r="L727" s="75"/>
      <c r="M727" s="282"/>
      <c r="N727" s="125"/>
      <c r="O727" s="113"/>
      <c r="P727" s="75"/>
      <c r="Q727" s="282"/>
      <c r="R727" s="125"/>
      <c r="S727" s="113"/>
      <c r="T727" s="75"/>
      <c r="U727" s="282"/>
      <c r="V727" s="125"/>
      <c r="W727" s="113"/>
      <c r="X727" s="75"/>
      <c r="Y727" s="282"/>
      <c r="Z727" s="290"/>
      <c r="AA727" s="291"/>
      <c r="AB727" s="73"/>
      <c r="AC727" s="282"/>
      <c r="AD727" s="125"/>
      <c r="AE727" s="241"/>
      <c r="AF727" s="284"/>
      <c r="AG727" s="282"/>
      <c r="AH727" s="292"/>
      <c r="AI727" s="292"/>
      <c r="AJ727" s="292"/>
      <c r="AK727" s="282"/>
      <c r="AL727" s="75"/>
      <c r="AM727" s="75"/>
      <c r="AN727" s="75"/>
      <c r="AO727" s="282"/>
      <c r="AP727" s="75"/>
      <c r="AQ727" s="75"/>
      <c r="AR727" s="75"/>
      <c r="AS727" s="75"/>
      <c r="AT727" s="75"/>
    </row>
    <row r="728">
      <c r="A728" s="282"/>
      <c r="B728" s="125"/>
      <c r="C728" s="113"/>
      <c r="D728" s="75"/>
      <c r="E728" s="282"/>
      <c r="F728" s="125"/>
      <c r="G728" s="113"/>
      <c r="H728" s="75"/>
      <c r="I728" s="282"/>
      <c r="J728" s="125"/>
      <c r="K728" s="113"/>
      <c r="L728" s="75"/>
      <c r="M728" s="282"/>
      <c r="N728" s="125"/>
      <c r="O728" s="113"/>
      <c r="P728" s="75"/>
      <c r="Q728" s="282"/>
      <c r="R728" s="125"/>
      <c r="S728" s="113"/>
      <c r="T728" s="75"/>
      <c r="U728" s="282"/>
      <c r="V728" s="125"/>
      <c r="W728" s="113"/>
      <c r="X728" s="75"/>
      <c r="Y728" s="282"/>
      <c r="Z728" s="290"/>
      <c r="AA728" s="291"/>
      <c r="AB728" s="73"/>
      <c r="AC728" s="282"/>
      <c r="AD728" s="125"/>
      <c r="AE728" s="241"/>
      <c r="AF728" s="284"/>
      <c r="AG728" s="282"/>
      <c r="AH728" s="292"/>
      <c r="AI728" s="292"/>
      <c r="AJ728" s="292"/>
      <c r="AK728" s="282"/>
      <c r="AL728" s="75"/>
      <c r="AM728" s="75"/>
      <c r="AN728" s="75"/>
      <c r="AO728" s="282"/>
      <c r="AP728" s="75"/>
      <c r="AQ728" s="75"/>
      <c r="AR728" s="75"/>
      <c r="AS728" s="75"/>
      <c r="AT728" s="75"/>
    </row>
    <row r="729">
      <c r="A729" s="282"/>
      <c r="B729" s="125"/>
      <c r="C729" s="113"/>
      <c r="D729" s="75"/>
      <c r="E729" s="282"/>
      <c r="F729" s="125"/>
      <c r="G729" s="113"/>
      <c r="H729" s="75"/>
      <c r="I729" s="282"/>
      <c r="J729" s="125"/>
      <c r="K729" s="113"/>
      <c r="L729" s="75"/>
      <c r="M729" s="282"/>
      <c r="N729" s="125"/>
      <c r="O729" s="113"/>
      <c r="P729" s="75"/>
      <c r="Q729" s="282"/>
      <c r="R729" s="125"/>
      <c r="S729" s="113"/>
      <c r="T729" s="75"/>
      <c r="U729" s="282"/>
      <c r="V729" s="125"/>
      <c r="W729" s="113"/>
      <c r="X729" s="75"/>
      <c r="Y729" s="282"/>
      <c r="Z729" s="290"/>
      <c r="AA729" s="291"/>
      <c r="AB729" s="73"/>
      <c r="AC729" s="282"/>
      <c r="AD729" s="125"/>
      <c r="AE729" s="241"/>
      <c r="AF729" s="284"/>
      <c r="AG729" s="282"/>
      <c r="AH729" s="292"/>
      <c r="AI729" s="292"/>
      <c r="AJ729" s="292"/>
      <c r="AK729" s="282"/>
      <c r="AL729" s="75"/>
      <c r="AM729" s="75"/>
      <c r="AN729" s="75"/>
      <c r="AO729" s="282"/>
      <c r="AP729" s="75"/>
      <c r="AQ729" s="75"/>
      <c r="AR729" s="75"/>
      <c r="AS729" s="75"/>
      <c r="AT729" s="75"/>
    </row>
    <row r="730">
      <c r="A730" s="282"/>
      <c r="B730" s="125"/>
      <c r="C730" s="113"/>
      <c r="D730" s="75"/>
      <c r="E730" s="282"/>
      <c r="F730" s="125"/>
      <c r="G730" s="113"/>
      <c r="H730" s="75"/>
      <c r="I730" s="282"/>
      <c r="J730" s="125"/>
      <c r="K730" s="113"/>
      <c r="L730" s="75"/>
      <c r="M730" s="282"/>
      <c r="N730" s="125"/>
      <c r="O730" s="113"/>
      <c r="P730" s="75"/>
      <c r="Q730" s="282"/>
      <c r="R730" s="125"/>
      <c r="S730" s="113"/>
      <c r="T730" s="75"/>
      <c r="U730" s="282"/>
      <c r="V730" s="125"/>
      <c r="W730" s="113"/>
      <c r="X730" s="75"/>
      <c r="Y730" s="282"/>
      <c r="Z730" s="290"/>
      <c r="AA730" s="291"/>
      <c r="AB730" s="73"/>
      <c r="AC730" s="282"/>
      <c r="AD730" s="125"/>
      <c r="AE730" s="241"/>
      <c r="AF730" s="284"/>
      <c r="AG730" s="282"/>
      <c r="AH730" s="292"/>
      <c r="AI730" s="292"/>
      <c r="AJ730" s="292"/>
      <c r="AK730" s="282"/>
      <c r="AL730" s="75"/>
      <c r="AM730" s="75"/>
      <c r="AN730" s="75"/>
      <c r="AO730" s="282"/>
      <c r="AP730" s="75"/>
      <c r="AQ730" s="75"/>
      <c r="AR730" s="75"/>
      <c r="AS730" s="75"/>
      <c r="AT730" s="75"/>
    </row>
    <row r="731">
      <c r="A731" s="282"/>
      <c r="B731" s="125"/>
      <c r="C731" s="113"/>
      <c r="D731" s="75"/>
      <c r="E731" s="282"/>
      <c r="F731" s="125"/>
      <c r="G731" s="113"/>
      <c r="H731" s="75"/>
      <c r="I731" s="282"/>
      <c r="J731" s="125"/>
      <c r="K731" s="113"/>
      <c r="L731" s="75"/>
      <c r="M731" s="282"/>
      <c r="N731" s="125"/>
      <c r="O731" s="113"/>
      <c r="P731" s="75"/>
      <c r="Q731" s="282"/>
      <c r="R731" s="125"/>
      <c r="S731" s="113"/>
      <c r="T731" s="75"/>
      <c r="U731" s="282"/>
      <c r="V731" s="125"/>
      <c r="W731" s="113"/>
      <c r="X731" s="75"/>
      <c r="Y731" s="282"/>
      <c r="Z731" s="290"/>
      <c r="AA731" s="291"/>
      <c r="AB731" s="73"/>
      <c r="AC731" s="282"/>
      <c r="AD731" s="125"/>
      <c r="AE731" s="241"/>
      <c r="AF731" s="284"/>
      <c r="AG731" s="282"/>
      <c r="AH731" s="292"/>
      <c r="AI731" s="292"/>
      <c r="AJ731" s="292"/>
      <c r="AK731" s="282"/>
      <c r="AL731" s="75"/>
      <c r="AM731" s="75"/>
      <c r="AN731" s="75"/>
      <c r="AO731" s="282"/>
      <c r="AP731" s="75"/>
      <c r="AQ731" s="75"/>
      <c r="AR731" s="75"/>
      <c r="AS731" s="75"/>
      <c r="AT731" s="75"/>
    </row>
    <row r="732">
      <c r="A732" s="282"/>
      <c r="B732" s="125"/>
      <c r="C732" s="113"/>
      <c r="D732" s="75"/>
      <c r="E732" s="282"/>
      <c r="F732" s="125"/>
      <c r="G732" s="113"/>
      <c r="H732" s="75"/>
      <c r="I732" s="282"/>
      <c r="J732" s="125"/>
      <c r="K732" s="113"/>
      <c r="L732" s="75"/>
      <c r="M732" s="282"/>
      <c r="N732" s="125"/>
      <c r="O732" s="113"/>
      <c r="P732" s="75"/>
      <c r="Q732" s="282"/>
      <c r="R732" s="125"/>
      <c r="S732" s="113"/>
      <c r="T732" s="75"/>
      <c r="U732" s="282"/>
      <c r="V732" s="125"/>
      <c r="W732" s="113"/>
      <c r="X732" s="75"/>
      <c r="Y732" s="282"/>
      <c r="Z732" s="290"/>
      <c r="AA732" s="291"/>
      <c r="AB732" s="73"/>
      <c r="AC732" s="282"/>
      <c r="AD732" s="125"/>
      <c r="AE732" s="241"/>
      <c r="AF732" s="284"/>
      <c r="AG732" s="282"/>
      <c r="AH732" s="292"/>
      <c r="AI732" s="292"/>
      <c r="AJ732" s="292"/>
      <c r="AK732" s="282"/>
      <c r="AL732" s="75"/>
      <c r="AM732" s="75"/>
      <c r="AN732" s="75"/>
      <c r="AO732" s="282"/>
      <c r="AP732" s="75"/>
      <c r="AQ732" s="75"/>
      <c r="AR732" s="75"/>
      <c r="AS732" s="75"/>
      <c r="AT732" s="75"/>
    </row>
    <row r="733">
      <c r="A733" s="282"/>
      <c r="B733" s="125"/>
      <c r="C733" s="113"/>
      <c r="D733" s="75"/>
      <c r="E733" s="282"/>
      <c r="F733" s="125"/>
      <c r="G733" s="113"/>
      <c r="H733" s="75"/>
      <c r="I733" s="282"/>
      <c r="J733" s="125"/>
      <c r="K733" s="113"/>
      <c r="L733" s="75"/>
      <c r="M733" s="282"/>
      <c r="N733" s="125"/>
      <c r="O733" s="113"/>
      <c r="P733" s="75"/>
      <c r="Q733" s="282"/>
      <c r="R733" s="125"/>
      <c r="S733" s="113"/>
      <c r="T733" s="75"/>
      <c r="U733" s="282"/>
      <c r="V733" s="125"/>
      <c r="W733" s="113"/>
      <c r="X733" s="75"/>
      <c r="Y733" s="282"/>
      <c r="Z733" s="290"/>
      <c r="AA733" s="291"/>
      <c r="AB733" s="73"/>
      <c r="AC733" s="282"/>
      <c r="AD733" s="125"/>
      <c r="AE733" s="241"/>
      <c r="AF733" s="284"/>
      <c r="AG733" s="282"/>
      <c r="AH733" s="292"/>
      <c r="AI733" s="292"/>
      <c r="AJ733" s="292"/>
      <c r="AK733" s="282"/>
      <c r="AL733" s="75"/>
      <c r="AM733" s="75"/>
      <c r="AN733" s="75"/>
      <c r="AO733" s="282"/>
      <c r="AP733" s="75"/>
      <c r="AQ733" s="75"/>
      <c r="AR733" s="75"/>
      <c r="AS733" s="75"/>
      <c r="AT733" s="75"/>
    </row>
    <row r="734">
      <c r="A734" s="282"/>
      <c r="B734" s="125"/>
      <c r="C734" s="113"/>
      <c r="D734" s="75"/>
      <c r="E734" s="282"/>
      <c r="F734" s="125"/>
      <c r="G734" s="113"/>
      <c r="H734" s="75"/>
      <c r="I734" s="282"/>
      <c r="J734" s="125"/>
      <c r="K734" s="113"/>
      <c r="L734" s="75"/>
      <c r="M734" s="282"/>
      <c r="N734" s="125"/>
      <c r="O734" s="113"/>
      <c r="P734" s="75"/>
      <c r="Q734" s="282"/>
      <c r="R734" s="125"/>
      <c r="S734" s="113"/>
      <c r="T734" s="75"/>
      <c r="U734" s="282"/>
      <c r="V734" s="125"/>
      <c r="W734" s="113"/>
      <c r="X734" s="75"/>
      <c r="Y734" s="282"/>
      <c r="Z734" s="290"/>
      <c r="AA734" s="291"/>
      <c r="AB734" s="73"/>
      <c r="AC734" s="282"/>
      <c r="AD734" s="125"/>
      <c r="AE734" s="241"/>
      <c r="AF734" s="284"/>
      <c r="AG734" s="282"/>
      <c r="AH734" s="292"/>
      <c r="AI734" s="292"/>
      <c r="AJ734" s="292"/>
      <c r="AK734" s="282"/>
      <c r="AL734" s="75"/>
      <c r="AM734" s="75"/>
      <c r="AN734" s="75"/>
      <c r="AO734" s="282"/>
      <c r="AP734" s="75"/>
      <c r="AQ734" s="75"/>
      <c r="AR734" s="75"/>
      <c r="AS734" s="75"/>
      <c r="AT734" s="75"/>
    </row>
    <row r="735">
      <c r="A735" s="282"/>
      <c r="B735" s="125"/>
      <c r="C735" s="113"/>
      <c r="D735" s="75"/>
      <c r="E735" s="282"/>
      <c r="F735" s="125"/>
      <c r="G735" s="113"/>
      <c r="H735" s="75"/>
      <c r="I735" s="282"/>
      <c r="J735" s="125"/>
      <c r="K735" s="113"/>
      <c r="L735" s="75"/>
      <c r="M735" s="282"/>
      <c r="N735" s="125"/>
      <c r="O735" s="113"/>
      <c r="P735" s="75"/>
      <c r="Q735" s="282"/>
      <c r="R735" s="125"/>
      <c r="S735" s="113"/>
      <c r="T735" s="75"/>
      <c r="U735" s="282"/>
      <c r="V735" s="125"/>
      <c r="W735" s="113"/>
      <c r="X735" s="75"/>
      <c r="Y735" s="282"/>
      <c r="Z735" s="290"/>
      <c r="AA735" s="291"/>
      <c r="AB735" s="73"/>
      <c r="AC735" s="282"/>
      <c r="AD735" s="125"/>
      <c r="AE735" s="241"/>
      <c r="AF735" s="284"/>
      <c r="AG735" s="282"/>
      <c r="AH735" s="292"/>
      <c r="AI735" s="292"/>
      <c r="AJ735" s="292"/>
      <c r="AK735" s="282"/>
      <c r="AL735" s="75"/>
      <c r="AM735" s="75"/>
      <c r="AN735" s="75"/>
      <c r="AO735" s="282"/>
      <c r="AP735" s="75"/>
      <c r="AQ735" s="75"/>
      <c r="AR735" s="75"/>
      <c r="AS735" s="75"/>
      <c r="AT735" s="75"/>
    </row>
    <row r="736">
      <c r="A736" s="282"/>
      <c r="B736" s="125"/>
      <c r="C736" s="113"/>
      <c r="D736" s="75"/>
      <c r="E736" s="282"/>
      <c r="F736" s="125"/>
      <c r="G736" s="113"/>
      <c r="H736" s="75"/>
      <c r="I736" s="282"/>
      <c r="J736" s="125"/>
      <c r="K736" s="113"/>
      <c r="L736" s="75"/>
      <c r="M736" s="282"/>
      <c r="N736" s="125"/>
      <c r="O736" s="113"/>
      <c r="P736" s="75"/>
      <c r="Q736" s="282"/>
      <c r="R736" s="125"/>
      <c r="S736" s="113"/>
      <c r="T736" s="75"/>
      <c r="U736" s="282"/>
      <c r="V736" s="125"/>
      <c r="W736" s="113"/>
      <c r="X736" s="75"/>
      <c r="Y736" s="282"/>
      <c r="Z736" s="290"/>
      <c r="AA736" s="291"/>
      <c r="AB736" s="73"/>
      <c r="AC736" s="282"/>
      <c r="AD736" s="125"/>
      <c r="AE736" s="241"/>
      <c r="AF736" s="284"/>
      <c r="AG736" s="282"/>
      <c r="AH736" s="292"/>
      <c r="AI736" s="292"/>
      <c r="AJ736" s="292"/>
      <c r="AK736" s="282"/>
      <c r="AL736" s="75"/>
      <c r="AM736" s="75"/>
      <c r="AN736" s="75"/>
      <c r="AO736" s="282"/>
      <c r="AP736" s="75"/>
      <c r="AQ736" s="75"/>
      <c r="AR736" s="75"/>
      <c r="AS736" s="75"/>
      <c r="AT736" s="75"/>
    </row>
    <row r="737">
      <c r="A737" s="282"/>
      <c r="B737" s="125"/>
      <c r="C737" s="113"/>
      <c r="D737" s="75"/>
      <c r="E737" s="282"/>
      <c r="F737" s="125"/>
      <c r="G737" s="113"/>
      <c r="H737" s="75"/>
      <c r="I737" s="282"/>
      <c r="J737" s="125"/>
      <c r="K737" s="113"/>
      <c r="L737" s="75"/>
      <c r="M737" s="282"/>
      <c r="N737" s="125"/>
      <c r="O737" s="113"/>
      <c r="P737" s="75"/>
      <c r="Q737" s="282"/>
      <c r="R737" s="125"/>
      <c r="S737" s="113"/>
      <c r="T737" s="75"/>
      <c r="U737" s="282"/>
      <c r="V737" s="125"/>
      <c r="W737" s="113"/>
      <c r="X737" s="75"/>
      <c r="Y737" s="282"/>
      <c r="Z737" s="290"/>
      <c r="AA737" s="291"/>
      <c r="AB737" s="73"/>
      <c r="AC737" s="282"/>
      <c r="AD737" s="125"/>
      <c r="AE737" s="241"/>
      <c r="AF737" s="284"/>
      <c r="AG737" s="282"/>
      <c r="AH737" s="292"/>
      <c r="AI737" s="292"/>
      <c r="AJ737" s="292"/>
      <c r="AK737" s="282"/>
      <c r="AL737" s="75"/>
      <c r="AM737" s="75"/>
      <c r="AN737" s="75"/>
      <c r="AO737" s="282"/>
      <c r="AP737" s="75"/>
      <c r="AQ737" s="75"/>
      <c r="AR737" s="75"/>
      <c r="AS737" s="75"/>
      <c r="AT737" s="75"/>
    </row>
    <row r="738">
      <c r="A738" s="282"/>
      <c r="B738" s="125"/>
      <c r="C738" s="113"/>
      <c r="D738" s="75"/>
      <c r="E738" s="282"/>
      <c r="F738" s="125"/>
      <c r="G738" s="113"/>
      <c r="H738" s="75"/>
      <c r="I738" s="282"/>
      <c r="J738" s="125"/>
      <c r="K738" s="113"/>
      <c r="L738" s="75"/>
      <c r="M738" s="282"/>
      <c r="N738" s="125"/>
      <c r="O738" s="113"/>
      <c r="P738" s="75"/>
      <c r="Q738" s="282"/>
      <c r="R738" s="125"/>
      <c r="S738" s="113"/>
      <c r="T738" s="75"/>
      <c r="U738" s="282"/>
      <c r="V738" s="125"/>
      <c r="W738" s="113"/>
      <c r="X738" s="75"/>
      <c r="Y738" s="282"/>
      <c r="Z738" s="290"/>
      <c r="AA738" s="291"/>
      <c r="AB738" s="73"/>
      <c r="AC738" s="282"/>
      <c r="AD738" s="125"/>
      <c r="AE738" s="241"/>
      <c r="AF738" s="284"/>
      <c r="AG738" s="282"/>
      <c r="AH738" s="292"/>
      <c r="AI738" s="292"/>
      <c r="AJ738" s="292"/>
      <c r="AK738" s="282"/>
      <c r="AL738" s="75"/>
      <c r="AM738" s="75"/>
      <c r="AN738" s="75"/>
      <c r="AO738" s="282"/>
      <c r="AP738" s="75"/>
      <c r="AQ738" s="75"/>
      <c r="AR738" s="75"/>
      <c r="AS738" s="75"/>
      <c r="AT738" s="75"/>
    </row>
    <row r="739">
      <c r="A739" s="282"/>
      <c r="B739" s="125"/>
      <c r="C739" s="113"/>
      <c r="D739" s="75"/>
      <c r="E739" s="282"/>
      <c r="F739" s="125"/>
      <c r="G739" s="113"/>
      <c r="H739" s="75"/>
      <c r="I739" s="282"/>
      <c r="J739" s="125"/>
      <c r="K739" s="113"/>
      <c r="L739" s="75"/>
      <c r="M739" s="282"/>
      <c r="N739" s="125"/>
      <c r="O739" s="113"/>
      <c r="P739" s="75"/>
      <c r="Q739" s="282"/>
      <c r="R739" s="125"/>
      <c r="S739" s="113"/>
      <c r="T739" s="75"/>
      <c r="U739" s="282"/>
      <c r="V739" s="125"/>
      <c r="W739" s="113"/>
      <c r="X739" s="75"/>
      <c r="Y739" s="282"/>
      <c r="Z739" s="290"/>
      <c r="AA739" s="291"/>
      <c r="AB739" s="73"/>
      <c r="AC739" s="282"/>
      <c r="AD739" s="125"/>
      <c r="AE739" s="241"/>
      <c r="AF739" s="284"/>
      <c r="AG739" s="282"/>
      <c r="AH739" s="292"/>
      <c r="AI739" s="292"/>
      <c r="AJ739" s="292"/>
      <c r="AK739" s="282"/>
      <c r="AL739" s="75"/>
      <c r="AM739" s="75"/>
      <c r="AN739" s="75"/>
      <c r="AO739" s="282"/>
      <c r="AP739" s="75"/>
      <c r="AQ739" s="75"/>
      <c r="AR739" s="75"/>
      <c r="AS739" s="75"/>
      <c r="AT739" s="75"/>
    </row>
    <row r="740">
      <c r="A740" s="282"/>
      <c r="B740" s="125"/>
      <c r="C740" s="113"/>
      <c r="D740" s="75"/>
      <c r="E740" s="282"/>
      <c r="F740" s="125"/>
      <c r="G740" s="113"/>
      <c r="H740" s="75"/>
      <c r="I740" s="282"/>
      <c r="J740" s="125"/>
      <c r="K740" s="113"/>
      <c r="L740" s="75"/>
      <c r="M740" s="282"/>
      <c r="N740" s="125"/>
      <c r="O740" s="113"/>
      <c r="P740" s="75"/>
      <c r="Q740" s="282"/>
      <c r="R740" s="125"/>
      <c r="S740" s="113"/>
      <c r="T740" s="75"/>
      <c r="U740" s="282"/>
      <c r="V740" s="125"/>
      <c r="W740" s="113"/>
      <c r="X740" s="75"/>
      <c r="Y740" s="282"/>
      <c r="Z740" s="290"/>
      <c r="AA740" s="291"/>
      <c r="AB740" s="73"/>
      <c r="AC740" s="282"/>
      <c r="AD740" s="125"/>
      <c r="AE740" s="241"/>
      <c r="AF740" s="284"/>
      <c r="AG740" s="282"/>
      <c r="AH740" s="292"/>
      <c r="AI740" s="292"/>
      <c r="AJ740" s="292"/>
      <c r="AK740" s="282"/>
      <c r="AL740" s="75"/>
      <c r="AM740" s="75"/>
      <c r="AN740" s="75"/>
      <c r="AO740" s="282"/>
      <c r="AP740" s="75"/>
      <c r="AQ740" s="75"/>
      <c r="AR740" s="75"/>
      <c r="AS740" s="75"/>
      <c r="AT740" s="75"/>
    </row>
    <row r="741">
      <c r="A741" s="282"/>
      <c r="B741" s="125"/>
      <c r="C741" s="113"/>
      <c r="D741" s="75"/>
      <c r="E741" s="282"/>
      <c r="F741" s="125"/>
      <c r="G741" s="113"/>
      <c r="H741" s="75"/>
      <c r="I741" s="282"/>
      <c r="J741" s="125"/>
      <c r="K741" s="113"/>
      <c r="L741" s="75"/>
      <c r="M741" s="282"/>
      <c r="N741" s="125"/>
      <c r="O741" s="113"/>
      <c r="P741" s="75"/>
      <c r="Q741" s="282"/>
      <c r="R741" s="125"/>
      <c r="S741" s="113"/>
      <c r="T741" s="75"/>
      <c r="U741" s="282"/>
      <c r="V741" s="125"/>
      <c r="W741" s="113"/>
      <c r="X741" s="75"/>
      <c r="Y741" s="282"/>
      <c r="Z741" s="290"/>
      <c r="AA741" s="291"/>
      <c r="AB741" s="73"/>
      <c r="AC741" s="282"/>
      <c r="AD741" s="125"/>
      <c r="AE741" s="241"/>
      <c r="AF741" s="284"/>
      <c r="AG741" s="282"/>
      <c r="AH741" s="292"/>
      <c r="AI741" s="292"/>
      <c r="AJ741" s="292"/>
      <c r="AK741" s="282"/>
      <c r="AL741" s="75"/>
      <c r="AM741" s="75"/>
      <c r="AN741" s="75"/>
      <c r="AO741" s="282"/>
      <c r="AP741" s="75"/>
      <c r="AQ741" s="75"/>
      <c r="AR741" s="75"/>
      <c r="AS741" s="75"/>
      <c r="AT741" s="75"/>
    </row>
    <row r="742">
      <c r="A742" s="282"/>
      <c r="B742" s="125"/>
      <c r="C742" s="113"/>
      <c r="D742" s="75"/>
      <c r="E742" s="282"/>
      <c r="F742" s="125"/>
      <c r="G742" s="113"/>
      <c r="H742" s="75"/>
      <c r="I742" s="282"/>
      <c r="J742" s="125"/>
      <c r="K742" s="113"/>
      <c r="L742" s="75"/>
      <c r="M742" s="282"/>
      <c r="N742" s="125"/>
      <c r="O742" s="113"/>
      <c r="P742" s="75"/>
      <c r="Q742" s="282"/>
      <c r="R742" s="125"/>
      <c r="S742" s="113"/>
      <c r="T742" s="75"/>
      <c r="U742" s="282"/>
      <c r="V742" s="125"/>
      <c r="W742" s="113"/>
      <c r="X742" s="75"/>
      <c r="Y742" s="282"/>
      <c r="Z742" s="290"/>
      <c r="AA742" s="291"/>
      <c r="AB742" s="73"/>
      <c r="AC742" s="282"/>
      <c r="AD742" s="125"/>
      <c r="AE742" s="241"/>
      <c r="AF742" s="284"/>
      <c r="AG742" s="282"/>
      <c r="AH742" s="292"/>
      <c r="AI742" s="292"/>
      <c r="AJ742" s="292"/>
      <c r="AK742" s="282"/>
      <c r="AL742" s="75"/>
      <c r="AM742" s="75"/>
      <c r="AN742" s="75"/>
      <c r="AO742" s="282"/>
      <c r="AP742" s="75"/>
      <c r="AQ742" s="75"/>
      <c r="AR742" s="75"/>
      <c r="AS742" s="75"/>
      <c r="AT742" s="75"/>
    </row>
    <row r="743">
      <c r="A743" s="282"/>
      <c r="B743" s="125"/>
      <c r="C743" s="113"/>
      <c r="D743" s="75"/>
      <c r="E743" s="282"/>
      <c r="F743" s="125"/>
      <c r="G743" s="113"/>
      <c r="H743" s="75"/>
      <c r="I743" s="282"/>
      <c r="J743" s="125"/>
      <c r="K743" s="113"/>
      <c r="L743" s="75"/>
      <c r="M743" s="282"/>
      <c r="N743" s="125"/>
      <c r="O743" s="113"/>
      <c r="P743" s="75"/>
      <c r="Q743" s="282"/>
      <c r="R743" s="125"/>
      <c r="S743" s="113"/>
      <c r="T743" s="75"/>
      <c r="U743" s="282"/>
      <c r="V743" s="125"/>
      <c r="W743" s="113"/>
      <c r="X743" s="75"/>
      <c r="Y743" s="282"/>
      <c r="Z743" s="290"/>
      <c r="AA743" s="291"/>
      <c r="AB743" s="73"/>
      <c r="AC743" s="282"/>
      <c r="AD743" s="125"/>
      <c r="AE743" s="241"/>
      <c r="AF743" s="284"/>
      <c r="AG743" s="282"/>
      <c r="AH743" s="292"/>
      <c r="AI743" s="292"/>
      <c r="AJ743" s="292"/>
      <c r="AK743" s="282"/>
      <c r="AL743" s="75"/>
      <c r="AM743" s="75"/>
      <c r="AN743" s="75"/>
      <c r="AO743" s="282"/>
      <c r="AP743" s="75"/>
      <c r="AQ743" s="75"/>
      <c r="AR743" s="75"/>
      <c r="AS743" s="75"/>
      <c r="AT743" s="75"/>
    </row>
    <row r="744">
      <c r="A744" s="282"/>
      <c r="B744" s="125"/>
      <c r="C744" s="113"/>
      <c r="D744" s="75"/>
      <c r="E744" s="282"/>
      <c r="F744" s="125"/>
      <c r="G744" s="113"/>
      <c r="H744" s="75"/>
      <c r="I744" s="282"/>
      <c r="J744" s="125"/>
      <c r="K744" s="113"/>
      <c r="L744" s="75"/>
      <c r="M744" s="282"/>
      <c r="N744" s="125"/>
      <c r="O744" s="113"/>
      <c r="P744" s="75"/>
      <c r="Q744" s="282"/>
      <c r="R744" s="125"/>
      <c r="S744" s="113"/>
      <c r="T744" s="75"/>
      <c r="U744" s="282"/>
      <c r="V744" s="125"/>
      <c r="W744" s="113"/>
      <c r="X744" s="75"/>
      <c r="Y744" s="282"/>
      <c r="Z744" s="290"/>
      <c r="AA744" s="291"/>
      <c r="AB744" s="73"/>
      <c r="AC744" s="282"/>
      <c r="AD744" s="125"/>
      <c r="AE744" s="241"/>
      <c r="AF744" s="284"/>
      <c r="AG744" s="282"/>
      <c r="AH744" s="292"/>
      <c r="AI744" s="292"/>
      <c r="AJ744" s="292"/>
      <c r="AK744" s="282"/>
      <c r="AL744" s="75"/>
      <c r="AM744" s="75"/>
      <c r="AN744" s="75"/>
      <c r="AO744" s="282"/>
      <c r="AP744" s="75"/>
      <c r="AQ744" s="75"/>
      <c r="AR744" s="75"/>
      <c r="AS744" s="75"/>
      <c r="AT744" s="75"/>
    </row>
    <row r="745">
      <c r="A745" s="282"/>
      <c r="B745" s="125"/>
      <c r="C745" s="113"/>
      <c r="D745" s="75"/>
      <c r="E745" s="282"/>
      <c r="F745" s="125"/>
      <c r="G745" s="113"/>
      <c r="H745" s="75"/>
      <c r="I745" s="282"/>
      <c r="J745" s="125"/>
      <c r="K745" s="113"/>
      <c r="L745" s="75"/>
      <c r="M745" s="282"/>
      <c r="N745" s="125"/>
      <c r="O745" s="113"/>
      <c r="P745" s="75"/>
      <c r="Q745" s="282"/>
      <c r="R745" s="125"/>
      <c r="S745" s="113"/>
      <c r="T745" s="75"/>
      <c r="U745" s="282"/>
      <c r="V745" s="125"/>
      <c r="W745" s="113"/>
      <c r="X745" s="75"/>
      <c r="Y745" s="282"/>
      <c r="Z745" s="290"/>
      <c r="AA745" s="291"/>
      <c r="AB745" s="73"/>
      <c r="AC745" s="282"/>
      <c r="AD745" s="125"/>
      <c r="AE745" s="241"/>
      <c r="AF745" s="284"/>
      <c r="AG745" s="282"/>
      <c r="AH745" s="292"/>
      <c r="AI745" s="292"/>
      <c r="AJ745" s="292"/>
      <c r="AK745" s="282"/>
      <c r="AL745" s="75"/>
      <c r="AM745" s="75"/>
      <c r="AN745" s="75"/>
      <c r="AO745" s="282"/>
      <c r="AP745" s="75"/>
      <c r="AQ745" s="75"/>
      <c r="AR745" s="75"/>
      <c r="AS745" s="75"/>
      <c r="AT745" s="75"/>
    </row>
    <row r="746">
      <c r="A746" s="282"/>
      <c r="B746" s="125"/>
      <c r="C746" s="113"/>
      <c r="D746" s="75"/>
      <c r="E746" s="282"/>
      <c r="F746" s="125"/>
      <c r="G746" s="113"/>
      <c r="H746" s="75"/>
      <c r="I746" s="282"/>
      <c r="J746" s="125"/>
      <c r="K746" s="113"/>
      <c r="L746" s="75"/>
      <c r="M746" s="282"/>
      <c r="N746" s="125"/>
      <c r="O746" s="113"/>
      <c r="P746" s="75"/>
      <c r="Q746" s="282"/>
      <c r="R746" s="125"/>
      <c r="S746" s="113"/>
      <c r="T746" s="75"/>
      <c r="U746" s="282"/>
      <c r="V746" s="125"/>
      <c r="W746" s="113"/>
      <c r="X746" s="75"/>
      <c r="Y746" s="282"/>
      <c r="Z746" s="290"/>
      <c r="AA746" s="291"/>
      <c r="AB746" s="73"/>
      <c r="AC746" s="282"/>
      <c r="AD746" s="125"/>
      <c r="AE746" s="241"/>
      <c r="AF746" s="284"/>
      <c r="AG746" s="282"/>
      <c r="AH746" s="292"/>
      <c r="AI746" s="292"/>
      <c r="AJ746" s="292"/>
      <c r="AK746" s="282"/>
      <c r="AL746" s="75"/>
      <c r="AM746" s="75"/>
      <c r="AN746" s="75"/>
      <c r="AO746" s="282"/>
      <c r="AP746" s="75"/>
      <c r="AQ746" s="75"/>
      <c r="AR746" s="75"/>
      <c r="AS746" s="75"/>
      <c r="AT746" s="75"/>
    </row>
    <row r="747">
      <c r="A747" s="282"/>
      <c r="B747" s="125"/>
      <c r="C747" s="113"/>
      <c r="D747" s="75"/>
      <c r="E747" s="282"/>
      <c r="F747" s="125"/>
      <c r="G747" s="113"/>
      <c r="H747" s="75"/>
      <c r="I747" s="282"/>
      <c r="J747" s="125"/>
      <c r="K747" s="113"/>
      <c r="L747" s="75"/>
      <c r="M747" s="282"/>
      <c r="N747" s="125"/>
      <c r="O747" s="113"/>
      <c r="P747" s="75"/>
      <c r="Q747" s="282"/>
      <c r="R747" s="125"/>
      <c r="S747" s="113"/>
      <c r="T747" s="75"/>
      <c r="U747" s="282"/>
      <c r="V747" s="125"/>
      <c r="W747" s="113"/>
      <c r="X747" s="75"/>
      <c r="Y747" s="282"/>
      <c r="Z747" s="290"/>
      <c r="AA747" s="291"/>
      <c r="AB747" s="73"/>
      <c r="AC747" s="282"/>
      <c r="AD747" s="125"/>
      <c r="AE747" s="241"/>
      <c r="AF747" s="284"/>
      <c r="AG747" s="282"/>
      <c r="AH747" s="292"/>
      <c r="AI747" s="292"/>
      <c r="AJ747" s="292"/>
      <c r="AK747" s="282"/>
      <c r="AL747" s="75"/>
      <c r="AM747" s="75"/>
      <c r="AN747" s="75"/>
      <c r="AO747" s="282"/>
      <c r="AP747" s="75"/>
      <c r="AQ747" s="75"/>
      <c r="AR747" s="75"/>
      <c r="AS747" s="75"/>
      <c r="AT747" s="75"/>
    </row>
    <row r="748">
      <c r="A748" s="282"/>
      <c r="B748" s="125"/>
      <c r="C748" s="113"/>
      <c r="D748" s="75"/>
      <c r="E748" s="282"/>
      <c r="F748" s="125"/>
      <c r="G748" s="113"/>
      <c r="H748" s="75"/>
      <c r="I748" s="282"/>
      <c r="J748" s="125"/>
      <c r="K748" s="113"/>
      <c r="L748" s="75"/>
      <c r="M748" s="282"/>
      <c r="N748" s="125"/>
      <c r="O748" s="113"/>
      <c r="P748" s="75"/>
      <c r="Q748" s="282"/>
      <c r="R748" s="125"/>
      <c r="S748" s="113"/>
      <c r="T748" s="75"/>
      <c r="U748" s="282"/>
      <c r="V748" s="125"/>
      <c r="W748" s="113"/>
      <c r="X748" s="75"/>
      <c r="Y748" s="282"/>
      <c r="Z748" s="290"/>
      <c r="AA748" s="291"/>
      <c r="AB748" s="73"/>
      <c r="AC748" s="282"/>
      <c r="AD748" s="125"/>
      <c r="AE748" s="241"/>
      <c r="AF748" s="284"/>
      <c r="AG748" s="282"/>
      <c r="AH748" s="292"/>
      <c r="AI748" s="292"/>
      <c r="AJ748" s="292"/>
      <c r="AK748" s="282"/>
      <c r="AL748" s="75"/>
      <c r="AM748" s="75"/>
      <c r="AN748" s="75"/>
      <c r="AO748" s="282"/>
      <c r="AP748" s="75"/>
      <c r="AQ748" s="75"/>
      <c r="AR748" s="75"/>
      <c r="AS748" s="75"/>
      <c r="AT748" s="75"/>
    </row>
    <row r="749">
      <c r="A749" s="282"/>
      <c r="B749" s="125"/>
      <c r="C749" s="113"/>
      <c r="D749" s="75"/>
      <c r="E749" s="282"/>
      <c r="F749" s="125"/>
      <c r="G749" s="113"/>
      <c r="H749" s="75"/>
      <c r="I749" s="282"/>
      <c r="J749" s="125"/>
      <c r="K749" s="113"/>
      <c r="L749" s="75"/>
      <c r="M749" s="282"/>
      <c r="N749" s="125"/>
      <c r="O749" s="113"/>
      <c r="P749" s="75"/>
      <c r="Q749" s="282"/>
      <c r="R749" s="125"/>
      <c r="S749" s="113"/>
      <c r="T749" s="75"/>
      <c r="U749" s="282"/>
      <c r="V749" s="125"/>
      <c r="W749" s="113"/>
      <c r="X749" s="75"/>
      <c r="Y749" s="282"/>
      <c r="Z749" s="290"/>
      <c r="AA749" s="291"/>
      <c r="AB749" s="73"/>
      <c r="AC749" s="282"/>
      <c r="AD749" s="125"/>
      <c r="AE749" s="241"/>
      <c r="AF749" s="284"/>
      <c r="AG749" s="282"/>
      <c r="AH749" s="292"/>
      <c r="AI749" s="292"/>
      <c r="AJ749" s="292"/>
      <c r="AK749" s="282"/>
      <c r="AL749" s="75"/>
      <c r="AM749" s="75"/>
      <c r="AN749" s="75"/>
      <c r="AO749" s="282"/>
      <c r="AP749" s="75"/>
      <c r="AQ749" s="75"/>
      <c r="AR749" s="75"/>
      <c r="AS749" s="75"/>
      <c r="AT749" s="75"/>
    </row>
    <row r="750">
      <c r="A750" s="282"/>
      <c r="B750" s="125"/>
      <c r="C750" s="113"/>
      <c r="D750" s="75"/>
      <c r="E750" s="282"/>
      <c r="F750" s="125"/>
      <c r="G750" s="113"/>
      <c r="H750" s="75"/>
      <c r="I750" s="282"/>
      <c r="J750" s="125"/>
      <c r="K750" s="113"/>
      <c r="L750" s="75"/>
      <c r="M750" s="282"/>
      <c r="N750" s="125"/>
      <c r="O750" s="113"/>
      <c r="P750" s="75"/>
      <c r="Q750" s="282"/>
      <c r="R750" s="125"/>
      <c r="S750" s="113"/>
      <c r="T750" s="75"/>
      <c r="U750" s="282"/>
      <c r="V750" s="125"/>
      <c r="W750" s="113"/>
      <c r="X750" s="75"/>
      <c r="Y750" s="282"/>
      <c r="Z750" s="290"/>
      <c r="AA750" s="291"/>
      <c r="AB750" s="73"/>
      <c r="AC750" s="282"/>
      <c r="AD750" s="125"/>
      <c r="AE750" s="241"/>
      <c r="AF750" s="284"/>
      <c r="AG750" s="282"/>
      <c r="AH750" s="292"/>
      <c r="AI750" s="292"/>
      <c r="AJ750" s="292"/>
      <c r="AK750" s="282"/>
      <c r="AL750" s="75"/>
      <c r="AM750" s="75"/>
      <c r="AN750" s="75"/>
      <c r="AO750" s="282"/>
      <c r="AP750" s="75"/>
      <c r="AQ750" s="75"/>
      <c r="AR750" s="75"/>
      <c r="AS750" s="75"/>
      <c r="AT750" s="75"/>
    </row>
    <row r="751">
      <c r="A751" s="282"/>
      <c r="B751" s="125"/>
      <c r="C751" s="113"/>
      <c r="D751" s="75"/>
      <c r="E751" s="282"/>
      <c r="F751" s="125"/>
      <c r="G751" s="113"/>
      <c r="H751" s="75"/>
      <c r="I751" s="282"/>
      <c r="J751" s="125"/>
      <c r="K751" s="113"/>
      <c r="L751" s="75"/>
      <c r="M751" s="282"/>
      <c r="N751" s="125"/>
      <c r="O751" s="113"/>
      <c r="P751" s="75"/>
      <c r="Q751" s="282"/>
      <c r="R751" s="125"/>
      <c r="S751" s="113"/>
      <c r="T751" s="75"/>
      <c r="U751" s="282"/>
      <c r="V751" s="125"/>
      <c r="W751" s="113"/>
      <c r="X751" s="75"/>
      <c r="Y751" s="282"/>
      <c r="Z751" s="290"/>
      <c r="AA751" s="291"/>
      <c r="AB751" s="73"/>
      <c r="AC751" s="282"/>
      <c r="AD751" s="125"/>
      <c r="AE751" s="241"/>
      <c r="AF751" s="284"/>
      <c r="AG751" s="282"/>
      <c r="AH751" s="292"/>
      <c r="AI751" s="292"/>
      <c r="AJ751" s="292"/>
      <c r="AK751" s="282"/>
      <c r="AL751" s="75"/>
      <c r="AM751" s="75"/>
      <c r="AN751" s="75"/>
      <c r="AO751" s="282"/>
      <c r="AP751" s="75"/>
      <c r="AQ751" s="75"/>
      <c r="AR751" s="75"/>
      <c r="AS751" s="75"/>
      <c r="AT751" s="75"/>
    </row>
    <row r="752">
      <c r="A752" s="282"/>
      <c r="B752" s="125"/>
      <c r="C752" s="113"/>
      <c r="D752" s="75"/>
      <c r="E752" s="282"/>
      <c r="F752" s="125"/>
      <c r="G752" s="113"/>
      <c r="H752" s="75"/>
      <c r="I752" s="282"/>
      <c r="J752" s="125"/>
      <c r="K752" s="113"/>
      <c r="L752" s="75"/>
      <c r="M752" s="282"/>
      <c r="N752" s="125"/>
      <c r="O752" s="113"/>
      <c r="P752" s="75"/>
      <c r="Q752" s="282"/>
      <c r="R752" s="125"/>
      <c r="S752" s="113"/>
      <c r="T752" s="75"/>
      <c r="U752" s="282"/>
      <c r="V752" s="125"/>
      <c r="W752" s="113"/>
      <c r="X752" s="75"/>
      <c r="Y752" s="282"/>
      <c r="Z752" s="290"/>
      <c r="AA752" s="291"/>
      <c r="AB752" s="73"/>
      <c r="AC752" s="282"/>
      <c r="AD752" s="125"/>
      <c r="AE752" s="241"/>
      <c r="AF752" s="284"/>
      <c r="AG752" s="282"/>
      <c r="AH752" s="292"/>
      <c r="AI752" s="292"/>
      <c r="AJ752" s="292"/>
      <c r="AK752" s="282"/>
      <c r="AL752" s="75"/>
      <c r="AM752" s="75"/>
      <c r="AN752" s="75"/>
      <c r="AO752" s="282"/>
      <c r="AP752" s="75"/>
      <c r="AQ752" s="75"/>
      <c r="AR752" s="75"/>
      <c r="AS752" s="75"/>
      <c r="AT752" s="75"/>
    </row>
    <row r="753">
      <c r="A753" s="282"/>
      <c r="B753" s="125"/>
      <c r="C753" s="113"/>
      <c r="D753" s="75"/>
      <c r="E753" s="282"/>
      <c r="F753" s="125"/>
      <c r="G753" s="113"/>
      <c r="H753" s="75"/>
      <c r="I753" s="282"/>
      <c r="J753" s="125"/>
      <c r="K753" s="113"/>
      <c r="L753" s="75"/>
      <c r="M753" s="282"/>
      <c r="N753" s="125"/>
      <c r="O753" s="113"/>
      <c r="P753" s="75"/>
      <c r="Q753" s="282"/>
      <c r="R753" s="125"/>
      <c r="S753" s="113"/>
      <c r="T753" s="75"/>
      <c r="U753" s="282"/>
      <c r="V753" s="125"/>
      <c r="W753" s="113"/>
      <c r="X753" s="75"/>
      <c r="Y753" s="282"/>
      <c r="Z753" s="290"/>
      <c r="AA753" s="291"/>
      <c r="AB753" s="73"/>
      <c r="AC753" s="282"/>
      <c r="AD753" s="125"/>
      <c r="AE753" s="241"/>
      <c r="AF753" s="284"/>
      <c r="AG753" s="282"/>
      <c r="AH753" s="292"/>
      <c r="AI753" s="292"/>
      <c r="AJ753" s="292"/>
      <c r="AK753" s="282"/>
      <c r="AL753" s="75"/>
      <c r="AM753" s="75"/>
      <c r="AN753" s="75"/>
      <c r="AO753" s="282"/>
      <c r="AP753" s="75"/>
      <c r="AQ753" s="75"/>
      <c r="AR753" s="75"/>
      <c r="AS753" s="75"/>
      <c r="AT753" s="75"/>
    </row>
    <row r="754">
      <c r="A754" s="282"/>
      <c r="B754" s="125"/>
      <c r="C754" s="113"/>
      <c r="D754" s="75"/>
      <c r="E754" s="282"/>
      <c r="F754" s="125"/>
      <c r="G754" s="113"/>
      <c r="H754" s="75"/>
      <c r="I754" s="282"/>
      <c r="J754" s="125"/>
      <c r="K754" s="113"/>
      <c r="L754" s="75"/>
      <c r="M754" s="282"/>
      <c r="N754" s="125"/>
      <c r="O754" s="113"/>
      <c r="P754" s="75"/>
      <c r="Q754" s="282"/>
      <c r="R754" s="125"/>
      <c r="S754" s="113"/>
      <c r="T754" s="75"/>
      <c r="U754" s="282"/>
      <c r="V754" s="125"/>
      <c r="W754" s="113"/>
      <c r="X754" s="75"/>
      <c r="Y754" s="282"/>
      <c r="Z754" s="290"/>
      <c r="AA754" s="291"/>
      <c r="AB754" s="73"/>
      <c r="AC754" s="282"/>
      <c r="AD754" s="125"/>
      <c r="AE754" s="241"/>
      <c r="AF754" s="284"/>
      <c r="AG754" s="282"/>
      <c r="AH754" s="292"/>
      <c r="AI754" s="292"/>
      <c r="AJ754" s="292"/>
      <c r="AK754" s="282"/>
      <c r="AL754" s="75"/>
      <c r="AM754" s="75"/>
      <c r="AN754" s="75"/>
      <c r="AO754" s="282"/>
      <c r="AP754" s="75"/>
      <c r="AQ754" s="75"/>
      <c r="AR754" s="75"/>
      <c r="AS754" s="75"/>
      <c r="AT754" s="75"/>
    </row>
    <row r="755">
      <c r="A755" s="282"/>
      <c r="B755" s="125"/>
      <c r="C755" s="113"/>
      <c r="D755" s="75"/>
      <c r="E755" s="282"/>
      <c r="F755" s="125"/>
      <c r="G755" s="113"/>
      <c r="H755" s="75"/>
      <c r="I755" s="282"/>
      <c r="J755" s="125"/>
      <c r="K755" s="113"/>
      <c r="L755" s="75"/>
      <c r="M755" s="282"/>
      <c r="N755" s="125"/>
      <c r="O755" s="113"/>
      <c r="P755" s="75"/>
      <c r="Q755" s="282"/>
      <c r="R755" s="125"/>
      <c r="S755" s="113"/>
      <c r="T755" s="75"/>
      <c r="U755" s="282"/>
      <c r="V755" s="125"/>
      <c r="W755" s="113"/>
      <c r="X755" s="75"/>
      <c r="Y755" s="282"/>
      <c r="Z755" s="290"/>
      <c r="AA755" s="291"/>
      <c r="AB755" s="73"/>
      <c r="AC755" s="282"/>
      <c r="AD755" s="125"/>
      <c r="AE755" s="241"/>
      <c r="AF755" s="284"/>
      <c r="AG755" s="282"/>
      <c r="AH755" s="292"/>
      <c r="AI755" s="292"/>
      <c r="AJ755" s="292"/>
      <c r="AK755" s="282"/>
      <c r="AL755" s="75"/>
      <c r="AM755" s="75"/>
      <c r="AN755" s="75"/>
      <c r="AO755" s="282"/>
      <c r="AP755" s="75"/>
      <c r="AQ755" s="75"/>
      <c r="AR755" s="75"/>
      <c r="AS755" s="75"/>
      <c r="AT755" s="75"/>
    </row>
    <row r="756">
      <c r="A756" s="282"/>
      <c r="B756" s="125"/>
      <c r="C756" s="113"/>
      <c r="D756" s="75"/>
      <c r="E756" s="282"/>
      <c r="F756" s="125"/>
      <c r="G756" s="113"/>
      <c r="H756" s="75"/>
      <c r="I756" s="282"/>
      <c r="J756" s="125"/>
      <c r="K756" s="113"/>
      <c r="L756" s="75"/>
      <c r="M756" s="282"/>
      <c r="N756" s="125"/>
      <c r="O756" s="113"/>
      <c r="P756" s="75"/>
      <c r="Q756" s="282"/>
      <c r="R756" s="125"/>
      <c r="S756" s="113"/>
      <c r="T756" s="75"/>
      <c r="U756" s="282"/>
      <c r="V756" s="125"/>
      <c r="W756" s="113"/>
      <c r="X756" s="75"/>
      <c r="Y756" s="282"/>
      <c r="Z756" s="290"/>
      <c r="AA756" s="291"/>
      <c r="AB756" s="73"/>
      <c r="AC756" s="282"/>
      <c r="AD756" s="125"/>
      <c r="AE756" s="241"/>
      <c r="AF756" s="284"/>
      <c r="AG756" s="282"/>
      <c r="AH756" s="292"/>
      <c r="AI756" s="292"/>
      <c r="AJ756" s="292"/>
      <c r="AK756" s="282"/>
      <c r="AL756" s="75"/>
      <c r="AM756" s="75"/>
      <c r="AN756" s="75"/>
      <c r="AO756" s="282"/>
      <c r="AP756" s="75"/>
      <c r="AQ756" s="75"/>
      <c r="AR756" s="75"/>
      <c r="AS756" s="75"/>
      <c r="AT756" s="75"/>
    </row>
    <row r="757">
      <c r="A757" s="282"/>
      <c r="B757" s="125"/>
      <c r="C757" s="113"/>
      <c r="D757" s="75"/>
      <c r="E757" s="282"/>
      <c r="F757" s="125"/>
      <c r="G757" s="113"/>
      <c r="H757" s="75"/>
      <c r="I757" s="282"/>
      <c r="J757" s="125"/>
      <c r="K757" s="113"/>
      <c r="L757" s="75"/>
      <c r="M757" s="282"/>
      <c r="N757" s="125"/>
      <c r="O757" s="113"/>
      <c r="P757" s="75"/>
      <c r="Q757" s="282"/>
      <c r="R757" s="125"/>
      <c r="S757" s="113"/>
      <c r="T757" s="75"/>
      <c r="U757" s="282"/>
      <c r="V757" s="125"/>
      <c r="W757" s="113"/>
      <c r="X757" s="75"/>
      <c r="Y757" s="282"/>
      <c r="Z757" s="290"/>
      <c r="AA757" s="291"/>
      <c r="AB757" s="73"/>
      <c r="AC757" s="282"/>
      <c r="AD757" s="125"/>
      <c r="AE757" s="241"/>
      <c r="AF757" s="284"/>
      <c r="AG757" s="282"/>
      <c r="AH757" s="292"/>
      <c r="AI757" s="292"/>
      <c r="AJ757" s="292"/>
      <c r="AK757" s="282"/>
      <c r="AL757" s="75"/>
      <c r="AM757" s="75"/>
      <c r="AN757" s="75"/>
      <c r="AO757" s="282"/>
      <c r="AP757" s="75"/>
      <c r="AQ757" s="75"/>
      <c r="AR757" s="75"/>
      <c r="AS757" s="75"/>
      <c r="AT757" s="75"/>
    </row>
    <row r="758">
      <c r="A758" s="282"/>
      <c r="B758" s="125"/>
      <c r="C758" s="113"/>
      <c r="D758" s="75"/>
      <c r="E758" s="282"/>
      <c r="F758" s="125"/>
      <c r="G758" s="113"/>
      <c r="H758" s="75"/>
      <c r="I758" s="282"/>
      <c r="J758" s="125"/>
      <c r="K758" s="113"/>
      <c r="L758" s="75"/>
      <c r="M758" s="282"/>
      <c r="N758" s="125"/>
      <c r="O758" s="113"/>
      <c r="P758" s="75"/>
      <c r="Q758" s="282"/>
      <c r="R758" s="125"/>
      <c r="S758" s="113"/>
      <c r="T758" s="75"/>
      <c r="U758" s="282"/>
      <c r="V758" s="125"/>
      <c r="W758" s="113"/>
      <c r="X758" s="75"/>
      <c r="Y758" s="282"/>
      <c r="Z758" s="290"/>
      <c r="AA758" s="291"/>
      <c r="AB758" s="73"/>
      <c r="AC758" s="282"/>
      <c r="AD758" s="125"/>
      <c r="AE758" s="241"/>
      <c r="AF758" s="284"/>
      <c r="AG758" s="282"/>
      <c r="AH758" s="292"/>
      <c r="AI758" s="292"/>
      <c r="AJ758" s="292"/>
      <c r="AK758" s="282"/>
      <c r="AL758" s="75"/>
      <c r="AM758" s="75"/>
      <c r="AN758" s="75"/>
      <c r="AO758" s="282"/>
      <c r="AP758" s="75"/>
      <c r="AQ758" s="75"/>
      <c r="AR758" s="75"/>
      <c r="AS758" s="75"/>
      <c r="AT758" s="75"/>
    </row>
    <row r="759">
      <c r="A759" s="282"/>
      <c r="B759" s="125"/>
      <c r="C759" s="113"/>
      <c r="D759" s="75"/>
      <c r="E759" s="282"/>
      <c r="F759" s="125"/>
      <c r="G759" s="113"/>
      <c r="H759" s="75"/>
      <c r="I759" s="282"/>
      <c r="J759" s="125"/>
      <c r="K759" s="113"/>
      <c r="L759" s="75"/>
      <c r="M759" s="282"/>
      <c r="N759" s="125"/>
      <c r="O759" s="113"/>
      <c r="P759" s="75"/>
      <c r="Q759" s="282"/>
      <c r="R759" s="125"/>
      <c r="S759" s="113"/>
      <c r="T759" s="75"/>
      <c r="U759" s="282"/>
      <c r="V759" s="125"/>
      <c r="W759" s="113"/>
      <c r="X759" s="75"/>
      <c r="Y759" s="282"/>
      <c r="Z759" s="290"/>
      <c r="AA759" s="291"/>
      <c r="AB759" s="73"/>
      <c r="AC759" s="282"/>
      <c r="AD759" s="125"/>
      <c r="AE759" s="241"/>
      <c r="AF759" s="284"/>
      <c r="AG759" s="282"/>
      <c r="AH759" s="292"/>
      <c r="AI759" s="292"/>
      <c r="AJ759" s="292"/>
      <c r="AK759" s="282"/>
      <c r="AL759" s="75"/>
      <c r="AM759" s="75"/>
      <c r="AN759" s="75"/>
      <c r="AO759" s="282"/>
      <c r="AP759" s="75"/>
      <c r="AQ759" s="75"/>
      <c r="AR759" s="75"/>
      <c r="AS759" s="75"/>
      <c r="AT759" s="75"/>
    </row>
    <row r="760">
      <c r="A760" s="282"/>
      <c r="B760" s="125"/>
      <c r="C760" s="113"/>
      <c r="D760" s="75"/>
      <c r="E760" s="282"/>
      <c r="F760" s="125"/>
      <c r="G760" s="113"/>
      <c r="H760" s="75"/>
      <c r="I760" s="282"/>
      <c r="J760" s="125"/>
      <c r="K760" s="113"/>
      <c r="L760" s="75"/>
      <c r="M760" s="282"/>
      <c r="N760" s="125"/>
      <c r="O760" s="113"/>
      <c r="P760" s="75"/>
      <c r="Q760" s="282"/>
      <c r="R760" s="125"/>
      <c r="S760" s="113"/>
      <c r="T760" s="75"/>
      <c r="U760" s="282"/>
      <c r="V760" s="125"/>
      <c r="W760" s="113"/>
      <c r="X760" s="75"/>
      <c r="Y760" s="282"/>
      <c r="Z760" s="290"/>
      <c r="AA760" s="291"/>
      <c r="AB760" s="73"/>
      <c r="AC760" s="282"/>
      <c r="AD760" s="125"/>
      <c r="AE760" s="241"/>
      <c r="AF760" s="284"/>
      <c r="AG760" s="282"/>
      <c r="AH760" s="292"/>
      <c r="AI760" s="292"/>
      <c r="AJ760" s="292"/>
      <c r="AK760" s="282"/>
      <c r="AL760" s="75"/>
      <c r="AM760" s="75"/>
      <c r="AN760" s="75"/>
      <c r="AO760" s="282"/>
      <c r="AP760" s="75"/>
      <c r="AQ760" s="75"/>
      <c r="AR760" s="75"/>
      <c r="AS760" s="75"/>
      <c r="AT760" s="75"/>
    </row>
    <row r="761">
      <c r="A761" s="282"/>
      <c r="B761" s="125"/>
      <c r="C761" s="113"/>
      <c r="D761" s="75"/>
      <c r="E761" s="282"/>
      <c r="F761" s="125"/>
      <c r="G761" s="113"/>
      <c r="H761" s="75"/>
      <c r="I761" s="282"/>
      <c r="J761" s="125"/>
      <c r="K761" s="113"/>
      <c r="L761" s="75"/>
      <c r="M761" s="282"/>
      <c r="N761" s="125"/>
      <c r="O761" s="113"/>
      <c r="P761" s="75"/>
      <c r="Q761" s="282"/>
      <c r="R761" s="125"/>
      <c r="S761" s="113"/>
      <c r="T761" s="75"/>
      <c r="U761" s="282"/>
      <c r="V761" s="125"/>
      <c r="W761" s="113"/>
      <c r="X761" s="75"/>
      <c r="Y761" s="282"/>
      <c r="Z761" s="290"/>
      <c r="AA761" s="291"/>
      <c r="AB761" s="73"/>
      <c r="AC761" s="282"/>
      <c r="AD761" s="125"/>
      <c r="AE761" s="241"/>
      <c r="AF761" s="284"/>
      <c r="AG761" s="282"/>
      <c r="AH761" s="292"/>
      <c r="AI761" s="292"/>
      <c r="AJ761" s="292"/>
      <c r="AK761" s="282"/>
      <c r="AL761" s="75"/>
      <c r="AM761" s="75"/>
      <c r="AN761" s="75"/>
      <c r="AO761" s="282"/>
      <c r="AP761" s="75"/>
      <c r="AQ761" s="75"/>
      <c r="AR761" s="75"/>
      <c r="AS761" s="75"/>
      <c r="AT761" s="75"/>
    </row>
    <row r="762">
      <c r="A762" s="282"/>
      <c r="B762" s="125"/>
      <c r="C762" s="113"/>
      <c r="D762" s="75"/>
      <c r="E762" s="282"/>
      <c r="F762" s="125"/>
      <c r="G762" s="113"/>
      <c r="H762" s="75"/>
      <c r="I762" s="282"/>
      <c r="J762" s="125"/>
      <c r="K762" s="113"/>
      <c r="L762" s="75"/>
      <c r="M762" s="282"/>
      <c r="N762" s="125"/>
      <c r="O762" s="113"/>
      <c r="P762" s="75"/>
      <c r="Q762" s="282"/>
      <c r="R762" s="125"/>
      <c r="S762" s="113"/>
      <c r="T762" s="75"/>
      <c r="U762" s="282"/>
      <c r="V762" s="125"/>
      <c r="W762" s="113"/>
      <c r="X762" s="75"/>
      <c r="Y762" s="282"/>
      <c r="Z762" s="290"/>
      <c r="AA762" s="291"/>
      <c r="AB762" s="73"/>
      <c r="AC762" s="282"/>
      <c r="AD762" s="125"/>
      <c r="AE762" s="241"/>
      <c r="AF762" s="284"/>
      <c r="AG762" s="282"/>
      <c r="AH762" s="292"/>
      <c r="AI762" s="292"/>
      <c r="AJ762" s="292"/>
      <c r="AK762" s="282"/>
      <c r="AL762" s="75"/>
      <c r="AM762" s="75"/>
      <c r="AN762" s="75"/>
      <c r="AO762" s="282"/>
      <c r="AP762" s="75"/>
      <c r="AQ762" s="75"/>
      <c r="AR762" s="75"/>
      <c r="AS762" s="75"/>
      <c r="AT762" s="75"/>
    </row>
    <row r="763">
      <c r="A763" s="282"/>
      <c r="B763" s="125"/>
      <c r="C763" s="113"/>
      <c r="D763" s="75"/>
      <c r="E763" s="282"/>
      <c r="F763" s="125"/>
      <c r="G763" s="113"/>
      <c r="H763" s="75"/>
      <c r="I763" s="282"/>
      <c r="J763" s="125"/>
      <c r="K763" s="113"/>
      <c r="L763" s="75"/>
      <c r="M763" s="282"/>
      <c r="N763" s="125"/>
      <c r="O763" s="113"/>
      <c r="P763" s="75"/>
      <c r="Q763" s="282"/>
      <c r="R763" s="125"/>
      <c r="S763" s="113"/>
      <c r="T763" s="75"/>
      <c r="U763" s="282"/>
      <c r="V763" s="125"/>
      <c r="W763" s="113"/>
      <c r="X763" s="75"/>
      <c r="Y763" s="282"/>
      <c r="Z763" s="290"/>
      <c r="AA763" s="291"/>
      <c r="AB763" s="73"/>
      <c r="AC763" s="282"/>
      <c r="AD763" s="125"/>
      <c r="AE763" s="241"/>
      <c r="AF763" s="284"/>
      <c r="AG763" s="282"/>
      <c r="AH763" s="292"/>
      <c r="AI763" s="292"/>
      <c r="AJ763" s="292"/>
      <c r="AK763" s="282"/>
      <c r="AL763" s="75"/>
      <c r="AM763" s="75"/>
      <c r="AN763" s="75"/>
      <c r="AO763" s="282"/>
      <c r="AP763" s="75"/>
      <c r="AQ763" s="75"/>
      <c r="AR763" s="75"/>
      <c r="AS763" s="75"/>
      <c r="AT763" s="75"/>
    </row>
    <row r="764">
      <c r="A764" s="282"/>
      <c r="B764" s="125"/>
      <c r="C764" s="113"/>
      <c r="D764" s="75"/>
      <c r="E764" s="282"/>
      <c r="F764" s="125"/>
      <c r="G764" s="113"/>
      <c r="H764" s="75"/>
      <c r="I764" s="282"/>
      <c r="J764" s="125"/>
      <c r="K764" s="113"/>
      <c r="L764" s="75"/>
      <c r="M764" s="282"/>
      <c r="N764" s="125"/>
      <c r="O764" s="113"/>
      <c r="P764" s="75"/>
      <c r="Q764" s="282"/>
      <c r="R764" s="125"/>
      <c r="S764" s="113"/>
      <c r="T764" s="75"/>
      <c r="U764" s="282"/>
      <c r="V764" s="125"/>
      <c r="W764" s="113"/>
      <c r="X764" s="75"/>
      <c r="Y764" s="282"/>
      <c r="Z764" s="290"/>
      <c r="AA764" s="291"/>
      <c r="AB764" s="73"/>
      <c r="AC764" s="282"/>
      <c r="AD764" s="125"/>
      <c r="AE764" s="241"/>
      <c r="AF764" s="284"/>
      <c r="AG764" s="282"/>
      <c r="AH764" s="292"/>
      <c r="AI764" s="292"/>
      <c r="AJ764" s="292"/>
      <c r="AK764" s="282"/>
      <c r="AL764" s="75"/>
      <c r="AM764" s="75"/>
      <c r="AN764" s="75"/>
      <c r="AO764" s="282"/>
      <c r="AP764" s="75"/>
      <c r="AQ764" s="75"/>
      <c r="AR764" s="75"/>
      <c r="AS764" s="75"/>
      <c r="AT764" s="75"/>
    </row>
    <row r="765">
      <c r="A765" s="282"/>
      <c r="B765" s="125"/>
      <c r="C765" s="113"/>
      <c r="D765" s="75"/>
      <c r="E765" s="282"/>
      <c r="F765" s="125"/>
      <c r="G765" s="113"/>
      <c r="H765" s="75"/>
      <c r="I765" s="282"/>
      <c r="J765" s="125"/>
      <c r="K765" s="113"/>
      <c r="L765" s="75"/>
      <c r="M765" s="282"/>
      <c r="N765" s="125"/>
      <c r="O765" s="113"/>
      <c r="P765" s="75"/>
      <c r="Q765" s="282"/>
      <c r="R765" s="125"/>
      <c r="S765" s="113"/>
      <c r="T765" s="75"/>
      <c r="U765" s="282"/>
      <c r="V765" s="125"/>
      <c r="W765" s="113"/>
      <c r="X765" s="75"/>
      <c r="Y765" s="282"/>
      <c r="Z765" s="290"/>
      <c r="AA765" s="291"/>
      <c r="AB765" s="73"/>
      <c r="AC765" s="282"/>
      <c r="AD765" s="125"/>
      <c r="AE765" s="241"/>
      <c r="AF765" s="284"/>
      <c r="AG765" s="282"/>
      <c r="AH765" s="292"/>
      <c r="AI765" s="292"/>
      <c r="AJ765" s="292"/>
      <c r="AK765" s="282"/>
      <c r="AL765" s="75"/>
      <c r="AM765" s="75"/>
      <c r="AN765" s="75"/>
      <c r="AO765" s="282"/>
      <c r="AP765" s="75"/>
      <c r="AQ765" s="75"/>
      <c r="AR765" s="75"/>
      <c r="AS765" s="75"/>
      <c r="AT765" s="75"/>
    </row>
    <row r="766">
      <c r="A766" s="282"/>
      <c r="B766" s="125"/>
      <c r="C766" s="113"/>
      <c r="D766" s="75"/>
      <c r="E766" s="282"/>
      <c r="F766" s="125"/>
      <c r="G766" s="113"/>
      <c r="H766" s="75"/>
      <c r="I766" s="282"/>
      <c r="J766" s="125"/>
      <c r="K766" s="113"/>
      <c r="L766" s="75"/>
      <c r="M766" s="282"/>
      <c r="N766" s="125"/>
      <c r="O766" s="113"/>
      <c r="P766" s="75"/>
      <c r="Q766" s="282"/>
      <c r="R766" s="125"/>
      <c r="S766" s="113"/>
      <c r="T766" s="75"/>
      <c r="U766" s="282"/>
      <c r="V766" s="125"/>
      <c r="W766" s="113"/>
      <c r="X766" s="75"/>
      <c r="Y766" s="282"/>
      <c r="Z766" s="290"/>
      <c r="AA766" s="291"/>
      <c r="AB766" s="73"/>
      <c r="AC766" s="282"/>
      <c r="AD766" s="125"/>
      <c r="AE766" s="241"/>
      <c r="AF766" s="284"/>
      <c r="AG766" s="282"/>
      <c r="AH766" s="292"/>
      <c r="AI766" s="292"/>
      <c r="AJ766" s="292"/>
      <c r="AK766" s="282"/>
      <c r="AL766" s="75"/>
      <c r="AM766" s="75"/>
      <c r="AN766" s="75"/>
      <c r="AO766" s="282"/>
      <c r="AP766" s="75"/>
      <c r="AQ766" s="75"/>
      <c r="AR766" s="75"/>
      <c r="AS766" s="75"/>
      <c r="AT766" s="75"/>
    </row>
    <row r="767">
      <c r="A767" s="282"/>
      <c r="B767" s="125"/>
      <c r="C767" s="113"/>
      <c r="D767" s="75"/>
      <c r="E767" s="282"/>
      <c r="F767" s="125"/>
      <c r="G767" s="113"/>
      <c r="H767" s="75"/>
      <c r="I767" s="282"/>
      <c r="J767" s="125"/>
      <c r="K767" s="113"/>
      <c r="L767" s="75"/>
      <c r="M767" s="282"/>
      <c r="N767" s="125"/>
      <c r="O767" s="113"/>
      <c r="P767" s="75"/>
      <c r="Q767" s="282"/>
      <c r="R767" s="125"/>
      <c r="S767" s="113"/>
      <c r="T767" s="75"/>
      <c r="U767" s="282"/>
      <c r="V767" s="125"/>
      <c r="W767" s="113"/>
      <c r="X767" s="75"/>
      <c r="Y767" s="282"/>
      <c r="Z767" s="290"/>
      <c r="AA767" s="291"/>
      <c r="AB767" s="73"/>
      <c r="AC767" s="282"/>
      <c r="AD767" s="125"/>
      <c r="AE767" s="241"/>
      <c r="AF767" s="284"/>
      <c r="AG767" s="282"/>
      <c r="AH767" s="292"/>
      <c r="AI767" s="292"/>
      <c r="AJ767" s="292"/>
      <c r="AK767" s="282"/>
      <c r="AL767" s="75"/>
      <c r="AM767" s="75"/>
      <c r="AN767" s="75"/>
      <c r="AO767" s="282"/>
      <c r="AP767" s="75"/>
      <c r="AQ767" s="75"/>
      <c r="AR767" s="75"/>
      <c r="AS767" s="75"/>
      <c r="AT767" s="75"/>
    </row>
    <row r="768">
      <c r="A768" s="282"/>
      <c r="B768" s="125"/>
      <c r="C768" s="113"/>
      <c r="D768" s="75"/>
      <c r="E768" s="282"/>
      <c r="F768" s="125"/>
      <c r="G768" s="113"/>
      <c r="H768" s="75"/>
      <c r="I768" s="282"/>
      <c r="J768" s="125"/>
      <c r="K768" s="113"/>
      <c r="L768" s="75"/>
      <c r="M768" s="282"/>
      <c r="N768" s="125"/>
      <c r="O768" s="113"/>
      <c r="P768" s="75"/>
      <c r="Q768" s="282"/>
      <c r="R768" s="125"/>
      <c r="S768" s="113"/>
      <c r="T768" s="75"/>
      <c r="U768" s="282"/>
      <c r="V768" s="125"/>
      <c r="W768" s="113"/>
      <c r="X768" s="75"/>
      <c r="Y768" s="282"/>
      <c r="Z768" s="290"/>
      <c r="AA768" s="291"/>
      <c r="AB768" s="73"/>
      <c r="AC768" s="282"/>
      <c r="AD768" s="125"/>
      <c r="AE768" s="241"/>
      <c r="AF768" s="284"/>
      <c r="AG768" s="282"/>
      <c r="AH768" s="292"/>
      <c r="AI768" s="292"/>
      <c r="AJ768" s="292"/>
      <c r="AK768" s="282"/>
      <c r="AL768" s="75"/>
      <c r="AM768" s="75"/>
      <c r="AN768" s="75"/>
      <c r="AO768" s="282"/>
      <c r="AP768" s="75"/>
      <c r="AQ768" s="75"/>
      <c r="AR768" s="75"/>
      <c r="AS768" s="75"/>
      <c r="AT768" s="75"/>
    </row>
    <row r="769">
      <c r="A769" s="282"/>
      <c r="B769" s="125"/>
      <c r="C769" s="113"/>
      <c r="D769" s="75"/>
      <c r="E769" s="282"/>
      <c r="F769" s="125"/>
      <c r="G769" s="113"/>
      <c r="H769" s="75"/>
      <c r="I769" s="282"/>
      <c r="J769" s="125"/>
      <c r="K769" s="113"/>
      <c r="L769" s="75"/>
      <c r="M769" s="282"/>
      <c r="N769" s="125"/>
      <c r="O769" s="113"/>
      <c r="P769" s="75"/>
      <c r="Q769" s="282"/>
      <c r="R769" s="125"/>
      <c r="S769" s="113"/>
      <c r="T769" s="75"/>
      <c r="U769" s="282"/>
      <c r="V769" s="125"/>
      <c r="W769" s="113"/>
      <c r="X769" s="75"/>
      <c r="Y769" s="282"/>
      <c r="Z769" s="290"/>
      <c r="AA769" s="291"/>
      <c r="AB769" s="73"/>
      <c r="AC769" s="282"/>
      <c r="AD769" s="125"/>
      <c r="AE769" s="241"/>
      <c r="AF769" s="284"/>
      <c r="AG769" s="282"/>
      <c r="AH769" s="292"/>
      <c r="AI769" s="292"/>
      <c r="AJ769" s="292"/>
      <c r="AK769" s="282"/>
      <c r="AL769" s="75"/>
      <c r="AM769" s="75"/>
      <c r="AN769" s="75"/>
      <c r="AO769" s="282"/>
      <c r="AP769" s="75"/>
      <c r="AQ769" s="75"/>
      <c r="AR769" s="75"/>
      <c r="AS769" s="75"/>
      <c r="AT769" s="75"/>
    </row>
    <row r="770">
      <c r="A770" s="282"/>
      <c r="B770" s="125"/>
      <c r="C770" s="113"/>
      <c r="D770" s="75"/>
      <c r="E770" s="282"/>
      <c r="F770" s="125"/>
      <c r="G770" s="113"/>
      <c r="H770" s="75"/>
      <c r="I770" s="282"/>
      <c r="J770" s="125"/>
      <c r="K770" s="113"/>
      <c r="L770" s="75"/>
      <c r="M770" s="282"/>
      <c r="N770" s="125"/>
      <c r="O770" s="113"/>
      <c r="P770" s="75"/>
      <c r="Q770" s="282"/>
      <c r="R770" s="125"/>
      <c r="S770" s="113"/>
      <c r="T770" s="75"/>
      <c r="U770" s="282"/>
      <c r="V770" s="125"/>
      <c r="W770" s="113"/>
      <c r="X770" s="75"/>
      <c r="Y770" s="282"/>
      <c r="Z770" s="290"/>
      <c r="AA770" s="291"/>
      <c r="AB770" s="73"/>
      <c r="AC770" s="282"/>
      <c r="AD770" s="125"/>
      <c r="AE770" s="241"/>
      <c r="AF770" s="284"/>
      <c r="AG770" s="282"/>
      <c r="AH770" s="292"/>
      <c r="AI770" s="292"/>
      <c r="AJ770" s="292"/>
      <c r="AK770" s="282"/>
      <c r="AL770" s="75"/>
      <c r="AM770" s="75"/>
      <c r="AN770" s="75"/>
      <c r="AO770" s="282"/>
      <c r="AP770" s="75"/>
      <c r="AQ770" s="75"/>
      <c r="AR770" s="75"/>
      <c r="AS770" s="75"/>
      <c r="AT770" s="75"/>
    </row>
    <row r="771">
      <c r="A771" s="282"/>
      <c r="B771" s="125"/>
      <c r="C771" s="113"/>
      <c r="D771" s="75"/>
      <c r="E771" s="282"/>
      <c r="F771" s="125"/>
      <c r="G771" s="113"/>
      <c r="H771" s="75"/>
      <c r="I771" s="282"/>
      <c r="J771" s="125"/>
      <c r="K771" s="113"/>
      <c r="L771" s="75"/>
      <c r="M771" s="282"/>
      <c r="N771" s="125"/>
      <c r="O771" s="113"/>
      <c r="P771" s="75"/>
      <c r="Q771" s="282"/>
      <c r="R771" s="125"/>
      <c r="S771" s="113"/>
      <c r="T771" s="75"/>
      <c r="U771" s="282"/>
      <c r="V771" s="125"/>
      <c r="W771" s="113"/>
      <c r="X771" s="75"/>
      <c r="Y771" s="282"/>
      <c r="Z771" s="290"/>
      <c r="AA771" s="291"/>
      <c r="AB771" s="73"/>
      <c r="AC771" s="282"/>
      <c r="AD771" s="125"/>
      <c r="AE771" s="241"/>
      <c r="AF771" s="284"/>
      <c r="AG771" s="282"/>
      <c r="AH771" s="292"/>
      <c r="AI771" s="292"/>
      <c r="AJ771" s="292"/>
      <c r="AK771" s="282"/>
      <c r="AL771" s="75"/>
      <c r="AM771" s="75"/>
      <c r="AN771" s="75"/>
      <c r="AO771" s="282"/>
      <c r="AP771" s="75"/>
      <c r="AQ771" s="75"/>
      <c r="AR771" s="75"/>
      <c r="AS771" s="75"/>
      <c r="AT771" s="75"/>
    </row>
    <row r="772">
      <c r="A772" s="282"/>
      <c r="B772" s="125"/>
      <c r="C772" s="113"/>
      <c r="D772" s="75"/>
      <c r="E772" s="282"/>
      <c r="F772" s="125"/>
      <c r="G772" s="113"/>
      <c r="H772" s="75"/>
      <c r="I772" s="282"/>
      <c r="J772" s="125"/>
      <c r="K772" s="113"/>
      <c r="L772" s="75"/>
      <c r="M772" s="282"/>
      <c r="N772" s="125"/>
      <c r="O772" s="113"/>
      <c r="P772" s="75"/>
      <c r="Q772" s="282"/>
      <c r="R772" s="125"/>
      <c r="S772" s="113"/>
      <c r="T772" s="75"/>
      <c r="U772" s="282"/>
      <c r="V772" s="125"/>
      <c r="W772" s="113"/>
      <c r="X772" s="75"/>
      <c r="Y772" s="282"/>
      <c r="Z772" s="290"/>
      <c r="AA772" s="291"/>
      <c r="AB772" s="73"/>
      <c r="AC772" s="282"/>
      <c r="AD772" s="125"/>
      <c r="AE772" s="241"/>
      <c r="AF772" s="284"/>
      <c r="AG772" s="282"/>
      <c r="AH772" s="292"/>
      <c r="AI772" s="292"/>
      <c r="AJ772" s="292"/>
      <c r="AK772" s="282"/>
      <c r="AL772" s="75"/>
      <c r="AM772" s="75"/>
      <c r="AN772" s="75"/>
      <c r="AO772" s="282"/>
      <c r="AP772" s="75"/>
      <c r="AQ772" s="75"/>
      <c r="AR772" s="75"/>
      <c r="AS772" s="75"/>
      <c r="AT772" s="75"/>
    </row>
    <row r="773">
      <c r="A773" s="282"/>
      <c r="B773" s="125"/>
      <c r="C773" s="113"/>
      <c r="D773" s="75"/>
      <c r="E773" s="282"/>
      <c r="F773" s="125"/>
      <c r="G773" s="113"/>
      <c r="H773" s="75"/>
      <c r="I773" s="282"/>
      <c r="J773" s="125"/>
      <c r="K773" s="113"/>
      <c r="L773" s="75"/>
      <c r="M773" s="282"/>
      <c r="N773" s="125"/>
      <c r="O773" s="113"/>
      <c r="P773" s="75"/>
      <c r="Q773" s="282"/>
      <c r="R773" s="125"/>
      <c r="S773" s="113"/>
      <c r="T773" s="75"/>
      <c r="U773" s="282"/>
      <c r="V773" s="125"/>
      <c r="W773" s="113"/>
      <c r="X773" s="75"/>
      <c r="Y773" s="282"/>
      <c r="Z773" s="290"/>
      <c r="AA773" s="291"/>
      <c r="AB773" s="73"/>
      <c r="AC773" s="282"/>
      <c r="AD773" s="125"/>
      <c r="AE773" s="241"/>
      <c r="AF773" s="284"/>
      <c r="AG773" s="282"/>
      <c r="AH773" s="292"/>
      <c r="AI773" s="292"/>
      <c r="AJ773" s="292"/>
      <c r="AK773" s="282"/>
      <c r="AL773" s="75"/>
      <c r="AM773" s="75"/>
      <c r="AN773" s="75"/>
      <c r="AO773" s="282"/>
      <c r="AP773" s="75"/>
      <c r="AQ773" s="75"/>
      <c r="AR773" s="75"/>
      <c r="AS773" s="75"/>
      <c r="AT773" s="75"/>
    </row>
    <row r="774">
      <c r="A774" s="282"/>
      <c r="B774" s="125"/>
      <c r="C774" s="113"/>
      <c r="D774" s="75"/>
      <c r="E774" s="282"/>
      <c r="F774" s="125"/>
      <c r="G774" s="113"/>
      <c r="H774" s="75"/>
      <c r="I774" s="282"/>
      <c r="J774" s="125"/>
      <c r="K774" s="113"/>
      <c r="L774" s="75"/>
      <c r="M774" s="282"/>
      <c r="N774" s="125"/>
      <c r="O774" s="113"/>
      <c r="P774" s="75"/>
      <c r="Q774" s="282"/>
      <c r="R774" s="125"/>
      <c r="S774" s="113"/>
      <c r="T774" s="75"/>
      <c r="U774" s="282"/>
      <c r="V774" s="125"/>
      <c r="W774" s="113"/>
      <c r="X774" s="75"/>
      <c r="Y774" s="282"/>
      <c r="Z774" s="290"/>
      <c r="AA774" s="291"/>
      <c r="AB774" s="73"/>
      <c r="AC774" s="282"/>
      <c r="AD774" s="125"/>
      <c r="AE774" s="241"/>
      <c r="AF774" s="284"/>
      <c r="AG774" s="282"/>
      <c r="AH774" s="292"/>
      <c r="AI774" s="292"/>
      <c r="AJ774" s="292"/>
      <c r="AK774" s="282"/>
      <c r="AL774" s="75"/>
      <c r="AM774" s="75"/>
      <c r="AN774" s="75"/>
      <c r="AO774" s="282"/>
      <c r="AP774" s="75"/>
      <c r="AQ774" s="75"/>
      <c r="AR774" s="75"/>
      <c r="AS774" s="75"/>
      <c r="AT774" s="75"/>
    </row>
    <row r="775">
      <c r="A775" s="282"/>
      <c r="B775" s="125"/>
      <c r="C775" s="113"/>
      <c r="D775" s="75"/>
      <c r="E775" s="282"/>
      <c r="F775" s="125"/>
      <c r="G775" s="113"/>
      <c r="H775" s="75"/>
      <c r="I775" s="282"/>
      <c r="J775" s="125"/>
      <c r="K775" s="113"/>
      <c r="L775" s="75"/>
      <c r="M775" s="282"/>
      <c r="N775" s="125"/>
      <c r="O775" s="113"/>
      <c r="P775" s="75"/>
      <c r="Q775" s="282"/>
      <c r="R775" s="125"/>
      <c r="S775" s="113"/>
      <c r="T775" s="75"/>
      <c r="U775" s="282"/>
      <c r="V775" s="125"/>
      <c r="W775" s="113"/>
      <c r="X775" s="75"/>
      <c r="Y775" s="282"/>
      <c r="Z775" s="290"/>
      <c r="AA775" s="291"/>
      <c r="AB775" s="73"/>
      <c r="AC775" s="282"/>
      <c r="AD775" s="125"/>
      <c r="AE775" s="241"/>
      <c r="AF775" s="284"/>
      <c r="AG775" s="282"/>
      <c r="AH775" s="292"/>
      <c r="AI775" s="292"/>
      <c r="AJ775" s="292"/>
      <c r="AK775" s="282"/>
      <c r="AL775" s="75"/>
      <c r="AM775" s="75"/>
      <c r="AN775" s="75"/>
      <c r="AO775" s="282"/>
      <c r="AP775" s="75"/>
      <c r="AQ775" s="75"/>
      <c r="AR775" s="75"/>
      <c r="AS775" s="75"/>
      <c r="AT775" s="75"/>
    </row>
    <row r="776">
      <c r="A776" s="282"/>
      <c r="B776" s="125"/>
      <c r="C776" s="113"/>
      <c r="D776" s="75"/>
      <c r="E776" s="282"/>
      <c r="F776" s="125"/>
      <c r="G776" s="113"/>
      <c r="H776" s="75"/>
      <c r="I776" s="282"/>
      <c r="J776" s="125"/>
      <c r="K776" s="113"/>
      <c r="L776" s="75"/>
      <c r="M776" s="282"/>
      <c r="N776" s="125"/>
      <c r="O776" s="113"/>
      <c r="P776" s="75"/>
      <c r="Q776" s="282"/>
      <c r="R776" s="125"/>
      <c r="S776" s="113"/>
      <c r="T776" s="75"/>
      <c r="U776" s="282"/>
      <c r="V776" s="125"/>
      <c r="W776" s="113"/>
      <c r="X776" s="75"/>
      <c r="Y776" s="282"/>
      <c r="Z776" s="290"/>
      <c r="AA776" s="291"/>
      <c r="AB776" s="73"/>
      <c r="AC776" s="282"/>
      <c r="AD776" s="125"/>
      <c r="AE776" s="241"/>
      <c r="AF776" s="284"/>
      <c r="AG776" s="282"/>
      <c r="AH776" s="292"/>
      <c r="AI776" s="292"/>
      <c r="AJ776" s="292"/>
      <c r="AK776" s="282"/>
      <c r="AL776" s="75"/>
      <c r="AM776" s="75"/>
      <c r="AN776" s="75"/>
      <c r="AO776" s="282"/>
      <c r="AP776" s="75"/>
      <c r="AQ776" s="75"/>
      <c r="AR776" s="75"/>
      <c r="AS776" s="75"/>
      <c r="AT776" s="75"/>
    </row>
    <row r="777">
      <c r="A777" s="282"/>
      <c r="B777" s="125"/>
      <c r="C777" s="113"/>
      <c r="D777" s="75"/>
      <c r="E777" s="282"/>
      <c r="F777" s="125"/>
      <c r="G777" s="113"/>
      <c r="H777" s="75"/>
      <c r="I777" s="282"/>
      <c r="J777" s="125"/>
      <c r="K777" s="113"/>
      <c r="L777" s="75"/>
      <c r="M777" s="282"/>
      <c r="N777" s="125"/>
      <c r="O777" s="113"/>
      <c r="P777" s="75"/>
      <c r="Q777" s="282"/>
      <c r="R777" s="125"/>
      <c r="S777" s="113"/>
      <c r="T777" s="75"/>
      <c r="U777" s="282"/>
      <c r="V777" s="125"/>
      <c r="W777" s="113"/>
      <c r="X777" s="75"/>
      <c r="Y777" s="282"/>
      <c r="Z777" s="290"/>
      <c r="AA777" s="291"/>
      <c r="AB777" s="73"/>
      <c r="AC777" s="282"/>
      <c r="AD777" s="125"/>
      <c r="AE777" s="241"/>
      <c r="AF777" s="284"/>
      <c r="AG777" s="282"/>
      <c r="AH777" s="292"/>
      <c r="AI777" s="292"/>
      <c r="AJ777" s="292"/>
      <c r="AK777" s="282"/>
      <c r="AL777" s="75"/>
      <c r="AM777" s="75"/>
      <c r="AN777" s="75"/>
      <c r="AO777" s="282"/>
      <c r="AP777" s="75"/>
      <c r="AQ777" s="75"/>
      <c r="AR777" s="75"/>
      <c r="AS777" s="75"/>
      <c r="AT777" s="75"/>
    </row>
    <row r="778">
      <c r="A778" s="282"/>
      <c r="B778" s="125"/>
      <c r="C778" s="113"/>
      <c r="D778" s="75"/>
      <c r="E778" s="282"/>
      <c r="F778" s="125"/>
      <c r="G778" s="113"/>
      <c r="H778" s="75"/>
      <c r="I778" s="282"/>
      <c r="J778" s="125"/>
      <c r="K778" s="113"/>
      <c r="L778" s="75"/>
      <c r="M778" s="282"/>
      <c r="N778" s="125"/>
      <c r="O778" s="113"/>
      <c r="P778" s="75"/>
      <c r="Q778" s="282"/>
      <c r="R778" s="125"/>
      <c r="S778" s="113"/>
      <c r="T778" s="75"/>
      <c r="U778" s="282"/>
      <c r="V778" s="125"/>
      <c r="W778" s="113"/>
      <c r="X778" s="75"/>
      <c r="Y778" s="282"/>
      <c r="Z778" s="290"/>
      <c r="AA778" s="291"/>
      <c r="AB778" s="73"/>
      <c r="AC778" s="282"/>
      <c r="AD778" s="125"/>
      <c r="AE778" s="241"/>
      <c r="AF778" s="284"/>
      <c r="AG778" s="282"/>
      <c r="AH778" s="292"/>
      <c r="AI778" s="292"/>
      <c r="AJ778" s="292"/>
      <c r="AK778" s="282"/>
      <c r="AL778" s="75"/>
      <c r="AM778" s="75"/>
      <c r="AN778" s="75"/>
      <c r="AO778" s="282"/>
      <c r="AP778" s="75"/>
      <c r="AQ778" s="75"/>
      <c r="AR778" s="75"/>
      <c r="AS778" s="75"/>
      <c r="AT778" s="75"/>
    </row>
    <row r="779">
      <c r="A779" s="282"/>
      <c r="B779" s="125"/>
      <c r="C779" s="113"/>
      <c r="D779" s="75"/>
      <c r="E779" s="282"/>
      <c r="F779" s="125"/>
      <c r="G779" s="113"/>
      <c r="H779" s="75"/>
      <c r="I779" s="282"/>
      <c r="J779" s="125"/>
      <c r="K779" s="113"/>
      <c r="L779" s="75"/>
      <c r="M779" s="282"/>
      <c r="N779" s="125"/>
      <c r="O779" s="113"/>
      <c r="P779" s="75"/>
      <c r="Q779" s="282"/>
      <c r="R779" s="125"/>
      <c r="S779" s="113"/>
      <c r="T779" s="75"/>
      <c r="U779" s="282"/>
      <c r="V779" s="125"/>
      <c r="W779" s="113"/>
      <c r="X779" s="75"/>
      <c r="Y779" s="282"/>
      <c r="Z779" s="290"/>
      <c r="AA779" s="291"/>
      <c r="AB779" s="73"/>
      <c r="AC779" s="282"/>
      <c r="AD779" s="125"/>
      <c r="AE779" s="241"/>
      <c r="AF779" s="284"/>
      <c r="AG779" s="282"/>
      <c r="AH779" s="292"/>
      <c r="AI779" s="292"/>
      <c r="AJ779" s="292"/>
      <c r="AK779" s="282"/>
      <c r="AL779" s="75"/>
      <c r="AM779" s="75"/>
      <c r="AN779" s="75"/>
      <c r="AO779" s="282"/>
      <c r="AP779" s="75"/>
      <c r="AQ779" s="75"/>
      <c r="AR779" s="75"/>
      <c r="AS779" s="75"/>
      <c r="AT779" s="75"/>
    </row>
    <row r="780">
      <c r="A780" s="282"/>
      <c r="B780" s="125"/>
      <c r="C780" s="113"/>
      <c r="D780" s="75"/>
      <c r="E780" s="282"/>
      <c r="F780" s="125"/>
      <c r="G780" s="113"/>
      <c r="H780" s="75"/>
      <c r="I780" s="282"/>
      <c r="J780" s="125"/>
      <c r="K780" s="113"/>
      <c r="L780" s="75"/>
      <c r="M780" s="282"/>
      <c r="N780" s="125"/>
      <c r="O780" s="113"/>
      <c r="P780" s="75"/>
      <c r="Q780" s="282"/>
      <c r="R780" s="125"/>
      <c r="S780" s="113"/>
      <c r="T780" s="75"/>
      <c r="U780" s="282"/>
      <c r="V780" s="125"/>
      <c r="W780" s="113"/>
      <c r="X780" s="75"/>
      <c r="Y780" s="282"/>
      <c r="Z780" s="290"/>
      <c r="AA780" s="291"/>
      <c r="AB780" s="73"/>
      <c r="AC780" s="282"/>
      <c r="AD780" s="125"/>
      <c r="AE780" s="241"/>
      <c r="AF780" s="284"/>
      <c r="AG780" s="282"/>
      <c r="AH780" s="292"/>
      <c r="AI780" s="292"/>
      <c r="AJ780" s="292"/>
      <c r="AK780" s="282"/>
      <c r="AL780" s="75"/>
      <c r="AM780" s="75"/>
      <c r="AN780" s="75"/>
      <c r="AO780" s="282"/>
      <c r="AP780" s="75"/>
      <c r="AQ780" s="75"/>
      <c r="AR780" s="75"/>
      <c r="AS780" s="75"/>
      <c r="AT780" s="75"/>
    </row>
    <row r="781">
      <c r="A781" s="282"/>
      <c r="B781" s="125"/>
      <c r="C781" s="113"/>
      <c r="D781" s="75"/>
      <c r="E781" s="282"/>
      <c r="F781" s="125"/>
      <c r="G781" s="113"/>
      <c r="H781" s="75"/>
      <c r="I781" s="282"/>
      <c r="J781" s="125"/>
      <c r="K781" s="113"/>
      <c r="L781" s="75"/>
      <c r="M781" s="282"/>
      <c r="N781" s="125"/>
      <c r="O781" s="113"/>
      <c r="P781" s="75"/>
      <c r="Q781" s="282"/>
      <c r="R781" s="125"/>
      <c r="S781" s="113"/>
      <c r="T781" s="75"/>
      <c r="U781" s="282"/>
      <c r="V781" s="125"/>
      <c r="W781" s="113"/>
      <c r="X781" s="75"/>
      <c r="Y781" s="282"/>
      <c r="Z781" s="290"/>
      <c r="AA781" s="291"/>
      <c r="AB781" s="73"/>
      <c r="AC781" s="282"/>
      <c r="AD781" s="125"/>
      <c r="AE781" s="241"/>
      <c r="AF781" s="284"/>
      <c r="AG781" s="282"/>
      <c r="AH781" s="292"/>
      <c r="AI781" s="292"/>
      <c r="AJ781" s="292"/>
      <c r="AK781" s="282"/>
      <c r="AL781" s="75"/>
      <c r="AM781" s="75"/>
      <c r="AN781" s="75"/>
      <c r="AO781" s="282"/>
      <c r="AP781" s="75"/>
      <c r="AQ781" s="75"/>
      <c r="AR781" s="75"/>
      <c r="AS781" s="75"/>
      <c r="AT781" s="75"/>
    </row>
    <row r="782">
      <c r="A782" s="282"/>
      <c r="B782" s="125"/>
      <c r="C782" s="113"/>
      <c r="D782" s="75"/>
      <c r="E782" s="282"/>
      <c r="F782" s="125"/>
      <c r="G782" s="113"/>
      <c r="H782" s="75"/>
      <c r="I782" s="282"/>
      <c r="J782" s="125"/>
      <c r="K782" s="113"/>
      <c r="L782" s="75"/>
      <c r="M782" s="282"/>
      <c r="N782" s="125"/>
      <c r="O782" s="113"/>
      <c r="P782" s="75"/>
      <c r="Q782" s="282"/>
      <c r="R782" s="125"/>
      <c r="S782" s="113"/>
      <c r="T782" s="75"/>
      <c r="U782" s="282"/>
      <c r="V782" s="125"/>
      <c r="W782" s="113"/>
      <c r="X782" s="75"/>
      <c r="Y782" s="282"/>
      <c r="Z782" s="290"/>
      <c r="AA782" s="291"/>
      <c r="AB782" s="73"/>
      <c r="AC782" s="282"/>
      <c r="AD782" s="125"/>
      <c r="AE782" s="241"/>
      <c r="AF782" s="284"/>
      <c r="AG782" s="282"/>
      <c r="AH782" s="292"/>
      <c r="AI782" s="292"/>
      <c r="AJ782" s="292"/>
      <c r="AK782" s="282"/>
      <c r="AL782" s="75"/>
      <c r="AM782" s="75"/>
      <c r="AN782" s="75"/>
      <c r="AO782" s="282"/>
      <c r="AP782" s="75"/>
      <c r="AQ782" s="75"/>
      <c r="AR782" s="75"/>
      <c r="AS782" s="75"/>
      <c r="AT782" s="75"/>
    </row>
    <row r="783">
      <c r="A783" s="282"/>
      <c r="B783" s="125"/>
      <c r="C783" s="113"/>
      <c r="D783" s="75"/>
      <c r="E783" s="282"/>
      <c r="F783" s="125"/>
      <c r="G783" s="113"/>
      <c r="H783" s="75"/>
      <c r="I783" s="282"/>
      <c r="J783" s="125"/>
      <c r="K783" s="113"/>
      <c r="L783" s="75"/>
      <c r="M783" s="282"/>
      <c r="N783" s="125"/>
      <c r="O783" s="113"/>
      <c r="P783" s="75"/>
      <c r="Q783" s="282"/>
      <c r="R783" s="125"/>
      <c r="S783" s="113"/>
      <c r="T783" s="75"/>
      <c r="U783" s="282"/>
      <c r="V783" s="125"/>
      <c r="W783" s="113"/>
      <c r="X783" s="75"/>
      <c r="Y783" s="282"/>
      <c r="Z783" s="290"/>
      <c r="AA783" s="291"/>
      <c r="AB783" s="73"/>
      <c r="AC783" s="282"/>
      <c r="AD783" s="125"/>
      <c r="AE783" s="241"/>
      <c r="AF783" s="284"/>
      <c r="AG783" s="282"/>
      <c r="AH783" s="292"/>
      <c r="AI783" s="292"/>
      <c r="AJ783" s="292"/>
      <c r="AK783" s="282"/>
      <c r="AL783" s="75"/>
      <c r="AM783" s="75"/>
      <c r="AN783" s="75"/>
      <c r="AO783" s="282"/>
      <c r="AP783" s="75"/>
      <c r="AQ783" s="75"/>
      <c r="AR783" s="75"/>
      <c r="AS783" s="75"/>
      <c r="AT783" s="75"/>
    </row>
    <row r="784">
      <c r="A784" s="282"/>
      <c r="B784" s="125"/>
      <c r="C784" s="113"/>
      <c r="D784" s="75"/>
      <c r="E784" s="282"/>
      <c r="F784" s="125"/>
      <c r="G784" s="113"/>
      <c r="H784" s="75"/>
      <c r="I784" s="282"/>
      <c r="J784" s="125"/>
      <c r="K784" s="113"/>
      <c r="L784" s="75"/>
      <c r="M784" s="282"/>
      <c r="N784" s="125"/>
      <c r="O784" s="113"/>
      <c r="P784" s="75"/>
      <c r="Q784" s="282"/>
      <c r="R784" s="125"/>
      <c r="S784" s="113"/>
      <c r="T784" s="75"/>
      <c r="U784" s="282"/>
      <c r="V784" s="125"/>
      <c r="W784" s="113"/>
      <c r="X784" s="75"/>
      <c r="Y784" s="282"/>
      <c r="Z784" s="290"/>
      <c r="AA784" s="291"/>
      <c r="AB784" s="73"/>
      <c r="AC784" s="282"/>
      <c r="AD784" s="125"/>
      <c r="AE784" s="241"/>
      <c r="AF784" s="284"/>
      <c r="AG784" s="282"/>
      <c r="AH784" s="292"/>
      <c r="AI784" s="292"/>
      <c r="AJ784" s="292"/>
      <c r="AK784" s="282"/>
      <c r="AL784" s="75"/>
      <c r="AM784" s="75"/>
      <c r="AN784" s="75"/>
      <c r="AO784" s="282"/>
      <c r="AP784" s="75"/>
      <c r="AQ784" s="75"/>
      <c r="AR784" s="75"/>
      <c r="AS784" s="75"/>
      <c r="AT784" s="75"/>
    </row>
    <row r="785">
      <c r="A785" s="282"/>
      <c r="B785" s="125"/>
      <c r="C785" s="113"/>
      <c r="D785" s="75"/>
      <c r="E785" s="282"/>
      <c r="F785" s="125"/>
      <c r="G785" s="113"/>
      <c r="H785" s="75"/>
      <c r="I785" s="282"/>
      <c r="J785" s="125"/>
      <c r="K785" s="113"/>
      <c r="L785" s="75"/>
      <c r="M785" s="282"/>
      <c r="N785" s="125"/>
      <c r="O785" s="113"/>
      <c r="P785" s="75"/>
      <c r="Q785" s="282"/>
      <c r="R785" s="125"/>
      <c r="S785" s="113"/>
      <c r="T785" s="75"/>
      <c r="U785" s="282"/>
      <c r="V785" s="125"/>
      <c r="W785" s="113"/>
      <c r="X785" s="75"/>
      <c r="Y785" s="282"/>
      <c r="Z785" s="290"/>
      <c r="AA785" s="291"/>
      <c r="AB785" s="73"/>
      <c r="AC785" s="282"/>
      <c r="AD785" s="125"/>
      <c r="AE785" s="241"/>
      <c r="AF785" s="284"/>
      <c r="AG785" s="282"/>
      <c r="AH785" s="292"/>
      <c r="AI785" s="292"/>
      <c r="AJ785" s="292"/>
      <c r="AK785" s="282"/>
      <c r="AL785" s="75"/>
      <c r="AM785" s="75"/>
      <c r="AN785" s="75"/>
      <c r="AO785" s="282"/>
      <c r="AP785" s="75"/>
      <c r="AQ785" s="75"/>
      <c r="AR785" s="75"/>
      <c r="AS785" s="75"/>
      <c r="AT785" s="75"/>
    </row>
    <row r="786">
      <c r="A786" s="282"/>
      <c r="B786" s="125"/>
      <c r="C786" s="113"/>
      <c r="D786" s="75"/>
      <c r="E786" s="282"/>
      <c r="F786" s="125"/>
      <c r="G786" s="113"/>
      <c r="H786" s="75"/>
      <c r="I786" s="282"/>
      <c r="J786" s="125"/>
      <c r="K786" s="113"/>
      <c r="L786" s="75"/>
      <c r="M786" s="282"/>
      <c r="N786" s="125"/>
      <c r="O786" s="113"/>
      <c r="P786" s="75"/>
      <c r="Q786" s="282"/>
      <c r="R786" s="125"/>
      <c r="S786" s="113"/>
      <c r="T786" s="75"/>
      <c r="U786" s="282"/>
      <c r="V786" s="125"/>
      <c r="W786" s="113"/>
      <c r="X786" s="75"/>
      <c r="Y786" s="282"/>
      <c r="Z786" s="290"/>
      <c r="AA786" s="291"/>
      <c r="AB786" s="73"/>
      <c r="AC786" s="282"/>
      <c r="AD786" s="125"/>
      <c r="AE786" s="241"/>
      <c r="AF786" s="284"/>
      <c r="AG786" s="282"/>
      <c r="AH786" s="292"/>
      <c r="AI786" s="292"/>
      <c r="AJ786" s="292"/>
      <c r="AK786" s="282"/>
      <c r="AL786" s="75"/>
      <c r="AM786" s="75"/>
      <c r="AN786" s="75"/>
      <c r="AO786" s="282"/>
      <c r="AP786" s="75"/>
      <c r="AQ786" s="75"/>
      <c r="AR786" s="75"/>
      <c r="AS786" s="75"/>
      <c r="AT786" s="75"/>
    </row>
    <row r="787">
      <c r="A787" s="282"/>
      <c r="B787" s="125"/>
      <c r="C787" s="113"/>
      <c r="D787" s="75"/>
      <c r="E787" s="282"/>
      <c r="F787" s="125"/>
      <c r="G787" s="113"/>
      <c r="H787" s="75"/>
      <c r="I787" s="282"/>
      <c r="J787" s="125"/>
      <c r="K787" s="113"/>
      <c r="L787" s="75"/>
      <c r="M787" s="282"/>
      <c r="N787" s="125"/>
      <c r="O787" s="113"/>
      <c r="P787" s="75"/>
      <c r="Q787" s="282"/>
      <c r="R787" s="125"/>
      <c r="S787" s="113"/>
      <c r="T787" s="75"/>
      <c r="U787" s="282"/>
      <c r="V787" s="125"/>
      <c r="W787" s="113"/>
      <c r="X787" s="75"/>
      <c r="Y787" s="282"/>
      <c r="Z787" s="290"/>
      <c r="AA787" s="291"/>
      <c r="AB787" s="73"/>
      <c r="AC787" s="282"/>
      <c r="AD787" s="125"/>
      <c r="AE787" s="241"/>
      <c r="AF787" s="284"/>
      <c r="AG787" s="282"/>
      <c r="AH787" s="292"/>
      <c r="AI787" s="292"/>
      <c r="AJ787" s="292"/>
      <c r="AK787" s="282"/>
      <c r="AL787" s="75"/>
      <c r="AM787" s="75"/>
      <c r="AN787" s="75"/>
      <c r="AO787" s="282"/>
      <c r="AP787" s="75"/>
      <c r="AQ787" s="75"/>
      <c r="AR787" s="75"/>
      <c r="AS787" s="75"/>
      <c r="AT787" s="75"/>
    </row>
    <row r="788">
      <c r="A788" s="282"/>
      <c r="B788" s="125"/>
      <c r="C788" s="113"/>
      <c r="D788" s="75"/>
      <c r="E788" s="282"/>
      <c r="F788" s="125"/>
      <c r="G788" s="113"/>
      <c r="H788" s="75"/>
      <c r="I788" s="282"/>
      <c r="J788" s="125"/>
      <c r="K788" s="113"/>
      <c r="L788" s="75"/>
      <c r="M788" s="282"/>
      <c r="N788" s="125"/>
      <c r="O788" s="113"/>
      <c r="P788" s="75"/>
      <c r="Q788" s="282"/>
      <c r="R788" s="125"/>
      <c r="S788" s="113"/>
      <c r="T788" s="75"/>
      <c r="U788" s="282"/>
      <c r="V788" s="125"/>
      <c r="W788" s="113"/>
      <c r="X788" s="75"/>
      <c r="Y788" s="282"/>
      <c r="Z788" s="290"/>
      <c r="AA788" s="291"/>
      <c r="AB788" s="73"/>
      <c r="AC788" s="282"/>
      <c r="AD788" s="125"/>
      <c r="AE788" s="241"/>
      <c r="AF788" s="284"/>
      <c r="AG788" s="282"/>
      <c r="AH788" s="292"/>
      <c r="AI788" s="292"/>
      <c r="AJ788" s="292"/>
      <c r="AK788" s="282"/>
      <c r="AL788" s="75"/>
      <c r="AM788" s="75"/>
      <c r="AN788" s="75"/>
      <c r="AO788" s="282"/>
      <c r="AP788" s="75"/>
      <c r="AQ788" s="75"/>
      <c r="AR788" s="75"/>
      <c r="AS788" s="75"/>
      <c r="AT788" s="75"/>
    </row>
    <row r="789">
      <c r="A789" s="282"/>
      <c r="B789" s="125"/>
      <c r="C789" s="113"/>
      <c r="D789" s="75"/>
      <c r="E789" s="282"/>
      <c r="F789" s="125"/>
      <c r="G789" s="113"/>
      <c r="H789" s="75"/>
      <c r="I789" s="282"/>
      <c r="J789" s="125"/>
      <c r="K789" s="113"/>
      <c r="L789" s="75"/>
      <c r="M789" s="282"/>
      <c r="N789" s="125"/>
      <c r="O789" s="113"/>
      <c r="P789" s="75"/>
      <c r="Q789" s="282"/>
      <c r="R789" s="125"/>
      <c r="S789" s="113"/>
      <c r="T789" s="75"/>
      <c r="U789" s="282"/>
      <c r="V789" s="125"/>
      <c r="W789" s="113"/>
      <c r="X789" s="75"/>
      <c r="Y789" s="282"/>
      <c r="Z789" s="290"/>
      <c r="AA789" s="291"/>
      <c r="AB789" s="73"/>
      <c r="AC789" s="282"/>
      <c r="AD789" s="125"/>
      <c r="AE789" s="241"/>
      <c r="AF789" s="284"/>
      <c r="AG789" s="282"/>
      <c r="AH789" s="292"/>
      <c r="AI789" s="292"/>
      <c r="AJ789" s="292"/>
      <c r="AK789" s="282"/>
      <c r="AL789" s="75"/>
      <c r="AM789" s="75"/>
      <c r="AN789" s="75"/>
      <c r="AO789" s="282"/>
      <c r="AP789" s="75"/>
      <c r="AQ789" s="75"/>
      <c r="AR789" s="75"/>
      <c r="AS789" s="75"/>
      <c r="AT789" s="75"/>
    </row>
    <row r="790">
      <c r="A790" s="282"/>
      <c r="B790" s="125"/>
      <c r="C790" s="113"/>
      <c r="D790" s="75"/>
      <c r="E790" s="282"/>
      <c r="F790" s="125"/>
      <c r="G790" s="113"/>
      <c r="H790" s="75"/>
      <c r="I790" s="282"/>
      <c r="J790" s="125"/>
      <c r="K790" s="113"/>
      <c r="L790" s="75"/>
      <c r="M790" s="282"/>
      <c r="N790" s="125"/>
      <c r="O790" s="113"/>
      <c r="P790" s="75"/>
      <c r="Q790" s="282"/>
      <c r="R790" s="125"/>
      <c r="S790" s="113"/>
      <c r="T790" s="75"/>
      <c r="U790" s="282"/>
      <c r="V790" s="125"/>
      <c r="W790" s="113"/>
      <c r="X790" s="75"/>
      <c r="Y790" s="282"/>
      <c r="Z790" s="290"/>
      <c r="AA790" s="291"/>
      <c r="AB790" s="73"/>
      <c r="AC790" s="282"/>
      <c r="AD790" s="125"/>
      <c r="AE790" s="241"/>
      <c r="AF790" s="284"/>
      <c r="AG790" s="282"/>
      <c r="AH790" s="292"/>
      <c r="AI790" s="292"/>
      <c r="AJ790" s="292"/>
      <c r="AK790" s="282"/>
      <c r="AL790" s="75"/>
      <c r="AM790" s="75"/>
      <c r="AN790" s="75"/>
      <c r="AO790" s="282"/>
      <c r="AP790" s="75"/>
      <c r="AQ790" s="75"/>
      <c r="AR790" s="75"/>
      <c r="AS790" s="75"/>
      <c r="AT790" s="75"/>
    </row>
    <row r="791">
      <c r="A791" s="282"/>
      <c r="B791" s="125"/>
      <c r="C791" s="113"/>
      <c r="D791" s="75"/>
      <c r="E791" s="282"/>
      <c r="F791" s="125"/>
      <c r="G791" s="113"/>
      <c r="H791" s="75"/>
      <c r="I791" s="282"/>
      <c r="J791" s="125"/>
      <c r="K791" s="113"/>
      <c r="L791" s="75"/>
      <c r="M791" s="282"/>
      <c r="N791" s="125"/>
      <c r="O791" s="113"/>
      <c r="P791" s="75"/>
      <c r="Q791" s="282"/>
      <c r="R791" s="125"/>
      <c r="S791" s="113"/>
      <c r="T791" s="75"/>
      <c r="U791" s="282"/>
      <c r="V791" s="125"/>
      <c r="W791" s="113"/>
      <c r="X791" s="75"/>
      <c r="Y791" s="282"/>
      <c r="Z791" s="290"/>
      <c r="AA791" s="291"/>
      <c r="AB791" s="73"/>
      <c r="AC791" s="282"/>
      <c r="AD791" s="125"/>
      <c r="AE791" s="241"/>
      <c r="AF791" s="284"/>
      <c r="AG791" s="282"/>
      <c r="AH791" s="292"/>
      <c r="AI791" s="292"/>
      <c r="AJ791" s="292"/>
      <c r="AK791" s="282"/>
      <c r="AL791" s="75"/>
      <c r="AM791" s="75"/>
      <c r="AN791" s="75"/>
      <c r="AO791" s="282"/>
      <c r="AP791" s="75"/>
      <c r="AQ791" s="75"/>
      <c r="AR791" s="75"/>
      <c r="AS791" s="75"/>
      <c r="AT791" s="75"/>
    </row>
    <row r="792">
      <c r="A792" s="282"/>
      <c r="B792" s="125"/>
      <c r="C792" s="113"/>
      <c r="D792" s="75"/>
      <c r="E792" s="282"/>
      <c r="F792" s="125"/>
      <c r="G792" s="113"/>
      <c r="H792" s="75"/>
      <c r="I792" s="282"/>
      <c r="J792" s="125"/>
      <c r="K792" s="113"/>
      <c r="L792" s="75"/>
      <c r="M792" s="282"/>
      <c r="N792" s="125"/>
      <c r="O792" s="113"/>
      <c r="P792" s="75"/>
      <c r="Q792" s="282"/>
      <c r="R792" s="125"/>
      <c r="S792" s="113"/>
      <c r="T792" s="75"/>
      <c r="U792" s="282"/>
      <c r="V792" s="125"/>
      <c r="W792" s="113"/>
      <c r="X792" s="75"/>
      <c r="Y792" s="282"/>
      <c r="Z792" s="290"/>
      <c r="AA792" s="291"/>
      <c r="AB792" s="73"/>
      <c r="AC792" s="282"/>
      <c r="AD792" s="125"/>
      <c r="AE792" s="241"/>
      <c r="AF792" s="284"/>
      <c r="AG792" s="282"/>
      <c r="AH792" s="292"/>
      <c r="AI792" s="292"/>
      <c r="AJ792" s="292"/>
      <c r="AK792" s="282"/>
      <c r="AL792" s="75"/>
      <c r="AM792" s="75"/>
      <c r="AN792" s="75"/>
      <c r="AO792" s="282"/>
      <c r="AP792" s="75"/>
      <c r="AQ792" s="75"/>
      <c r="AR792" s="75"/>
      <c r="AS792" s="75"/>
      <c r="AT792" s="75"/>
    </row>
    <row r="793">
      <c r="A793" s="282"/>
      <c r="B793" s="125"/>
      <c r="C793" s="113"/>
      <c r="D793" s="75"/>
      <c r="E793" s="282"/>
      <c r="F793" s="125"/>
      <c r="G793" s="113"/>
      <c r="H793" s="75"/>
      <c r="I793" s="282"/>
      <c r="J793" s="125"/>
      <c r="K793" s="113"/>
      <c r="L793" s="75"/>
      <c r="M793" s="282"/>
      <c r="N793" s="125"/>
      <c r="O793" s="113"/>
      <c r="P793" s="75"/>
      <c r="Q793" s="282"/>
      <c r="R793" s="125"/>
      <c r="S793" s="113"/>
      <c r="T793" s="75"/>
      <c r="U793" s="282"/>
      <c r="V793" s="125"/>
      <c r="W793" s="113"/>
      <c r="X793" s="75"/>
      <c r="Y793" s="282"/>
      <c r="Z793" s="290"/>
      <c r="AA793" s="291"/>
      <c r="AB793" s="73"/>
      <c r="AC793" s="282"/>
      <c r="AD793" s="125"/>
      <c r="AE793" s="241"/>
      <c r="AF793" s="284"/>
      <c r="AG793" s="282"/>
      <c r="AH793" s="292"/>
      <c r="AI793" s="292"/>
      <c r="AJ793" s="292"/>
      <c r="AK793" s="282"/>
      <c r="AL793" s="75"/>
      <c r="AM793" s="75"/>
      <c r="AN793" s="75"/>
      <c r="AO793" s="282"/>
      <c r="AP793" s="75"/>
      <c r="AQ793" s="75"/>
      <c r="AR793" s="75"/>
      <c r="AS793" s="75"/>
      <c r="AT793" s="75"/>
    </row>
    <row r="794">
      <c r="A794" s="282"/>
      <c r="B794" s="125"/>
      <c r="C794" s="113"/>
      <c r="D794" s="75"/>
      <c r="E794" s="282"/>
      <c r="F794" s="125"/>
      <c r="G794" s="113"/>
      <c r="H794" s="75"/>
      <c r="I794" s="282"/>
      <c r="J794" s="125"/>
      <c r="K794" s="113"/>
      <c r="L794" s="75"/>
      <c r="M794" s="282"/>
      <c r="N794" s="125"/>
      <c r="O794" s="113"/>
      <c r="P794" s="75"/>
      <c r="Q794" s="282"/>
      <c r="R794" s="125"/>
      <c r="S794" s="113"/>
      <c r="T794" s="75"/>
      <c r="U794" s="282"/>
      <c r="V794" s="125"/>
      <c r="W794" s="113"/>
      <c r="X794" s="75"/>
      <c r="Y794" s="282"/>
      <c r="Z794" s="290"/>
      <c r="AA794" s="291"/>
      <c r="AB794" s="73"/>
      <c r="AC794" s="282"/>
      <c r="AD794" s="125"/>
      <c r="AE794" s="241"/>
      <c r="AF794" s="284"/>
      <c r="AG794" s="282"/>
      <c r="AH794" s="292"/>
      <c r="AI794" s="292"/>
      <c r="AJ794" s="292"/>
      <c r="AK794" s="282"/>
      <c r="AL794" s="75"/>
      <c r="AM794" s="75"/>
      <c r="AN794" s="75"/>
      <c r="AO794" s="282"/>
      <c r="AP794" s="75"/>
      <c r="AQ794" s="75"/>
      <c r="AR794" s="75"/>
      <c r="AS794" s="75"/>
      <c r="AT794" s="75"/>
    </row>
    <row r="795">
      <c r="A795" s="282"/>
      <c r="B795" s="125"/>
      <c r="C795" s="113"/>
      <c r="D795" s="75"/>
      <c r="E795" s="282"/>
      <c r="F795" s="125"/>
      <c r="G795" s="113"/>
      <c r="H795" s="75"/>
      <c r="I795" s="282"/>
      <c r="J795" s="125"/>
      <c r="K795" s="113"/>
      <c r="L795" s="75"/>
      <c r="M795" s="282"/>
      <c r="N795" s="125"/>
      <c r="O795" s="113"/>
      <c r="P795" s="75"/>
      <c r="Q795" s="282"/>
      <c r="R795" s="125"/>
      <c r="S795" s="113"/>
      <c r="T795" s="75"/>
      <c r="U795" s="282"/>
      <c r="V795" s="125"/>
      <c r="W795" s="113"/>
      <c r="X795" s="75"/>
      <c r="Y795" s="282"/>
      <c r="Z795" s="290"/>
      <c r="AA795" s="291"/>
      <c r="AB795" s="73"/>
      <c r="AC795" s="282"/>
      <c r="AD795" s="125"/>
      <c r="AE795" s="241"/>
      <c r="AF795" s="284"/>
      <c r="AG795" s="282"/>
      <c r="AH795" s="292"/>
      <c r="AI795" s="292"/>
      <c r="AJ795" s="292"/>
      <c r="AK795" s="282"/>
      <c r="AL795" s="75"/>
      <c r="AM795" s="75"/>
      <c r="AN795" s="75"/>
      <c r="AO795" s="282"/>
      <c r="AP795" s="75"/>
      <c r="AQ795" s="75"/>
      <c r="AR795" s="75"/>
      <c r="AS795" s="75"/>
      <c r="AT795" s="75"/>
    </row>
    <row r="796">
      <c r="A796" s="282"/>
      <c r="B796" s="125"/>
      <c r="C796" s="113"/>
      <c r="D796" s="75"/>
      <c r="E796" s="282"/>
      <c r="F796" s="125"/>
      <c r="G796" s="113"/>
      <c r="H796" s="75"/>
      <c r="I796" s="282"/>
      <c r="J796" s="125"/>
      <c r="K796" s="113"/>
      <c r="L796" s="75"/>
      <c r="M796" s="282"/>
      <c r="N796" s="125"/>
      <c r="O796" s="113"/>
      <c r="P796" s="75"/>
      <c r="Q796" s="282"/>
      <c r="R796" s="125"/>
      <c r="S796" s="113"/>
      <c r="T796" s="75"/>
      <c r="U796" s="282"/>
      <c r="V796" s="125"/>
      <c r="W796" s="113"/>
      <c r="X796" s="75"/>
      <c r="Y796" s="282"/>
      <c r="Z796" s="290"/>
      <c r="AA796" s="291"/>
      <c r="AB796" s="73"/>
      <c r="AC796" s="282"/>
      <c r="AD796" s="125"/>
      <c r="AE796" s="241"/>
      <c r="AF796" s="284"/>
      <c r="AG796" s="282"/>
      <c r="AH796" s="292"/>
      <c r="AI796" s="292"/>
      <c r="AJ796" s="292"/>
      <c r="AK796" s="282"/>
      <c r="AL796" s="75"/>
      <c r="AM796" s="75"/>
      <c r="AN796" s="75"/>
      <c r="AO796" s="282"/>
      <c r="AP796" s="75"/>
      <c r="AQ796" s="75"/>
      <c r="AR796" s="75"/>
      <c r="AS796" s="75"/>
      <c r="AT796" s="75"/>
    </row>
    <row r="797">
      <c r="A797" s="282"/>
      <c r="B797" s="125"/>
      <c r="C797" s="113"/>
      <c r="D797" s="75"/>
      <c r="E797" s="282"/>
      <c r="F797" s="125"/>
      <c r="G797" s="113"/>
      <c r="H797" s="75"/>
      <c r="I797" s="282"/>
      <c r="J797" s="125"/>
      <c r="K797" s="113"/>
      <c r="L797" s="75"/>
      <c r="M797" s="282"/>
      <c r="N797" s="125"/>
      <c r="O797" s="113"/>
      <c r="P797" s="75"/>
      <c r="Q797" s="282"/>
      <c r="R797" s="125"/>
      <c r="S797" s="113"/>
      <c r="T797" s="75"/>
      <c r="U797" s="282"/>
      <c r="V797" s="125"/>
      <c r="W797" s="113"/>
      <c r="X797" s="75"/>
      <c r="Y797" s="282"/>
      <c r="Z797" s="290"/>
      <c r="AA797" s="291"/>
      <c r="AB797" s="73"/>
      <c r="AC797" s="282"/>
      <c r="AD797" s="125"/>
      <c r="AE797" s="241"/>
      <c r="AF797" s="284"/>
      <c r="AG797" s="282"/>
      <c r="AH797" s="292"/>
      <c r="AI797" s="292"/>
      <c r="AJ797" s="292"/>
      <c r="AK797" s="282"/>
      <c r="AL797" s="75"/>
      <c r="AM797" s="75"/>
      <c r="AN797" s="75"/>
      <c r="AO797" s="282"/>
      <c r="AP797" s="75"/>
      <c r="AQ797" s="75"/>
      <c r="AR797" s="75"/>
      <c r="AS797" s="75"/>
      <c r="AT797" s="75"/>
    </row>
    <row r="798">
      <c r="A798" s="282"/>
      <c r="B798" s="125"/>
      <c r="C798" s="113"/>
      <c r="D798" s="75"/>
      <c r="E798" s="282"/>
      <c r="F798" s="125"/>
      <c r="G798" s="113"/>
      <c r="H798" s="75"/>
      <c r="I798" s="282"/>
      <c r="J798" s="125"/>
      <c r="K798" s="113"/>
      <c r="L798" s="75"/>
      <c r="M798" s="282"/>
      <c r="N798" s="125"/>
      <c r="O798" s="113"/>
      <c r="P798" s="75"/>
      <c r="Q798" s="282"/>
      <c r="R798" s="125"/>
      <c r="S798" s="113"/>
      <c r="T798" s="75"/>
      <c r="U798" s="282"/>
      <c r="V798" s="125"/>
      <c r="W798" s="113"/>
      <c r="X798" s="75"/>
      <c r="Y798" s="282"/>
      <c r="Z798" s="290"/>
      <c r="AA798" s="291"/>
      <c r="AB798" s="73"/>
      <c r="AC798" s="282"/>
      <c r="AD798" s="125"/>
      <c r="AE798" s="241"/>
      <c r="AF798" s="284"/>
      <c r="AG798" s="282"/>
      <c r="AH798" s="292"/>
      <c r="AI798" s="292"/>
      <c r="AJ798" s="292"/>
      <c r="AK798" s="282"/>
      <c r="AL798" s="75"/>
      <c r="AM798" s="75"/>
      <c r="AN798" s="75"/>
      <c r="AO798" s="282"/>
      <c r="AP798" s="75"/>
      <c r="AQ798" s="75"/>
      <c r="AR798" s="75"/>
      <c r="AS798" s="75"/>
      <c r="AT798" s="75"/>
    </row>
    <row r="799">
      <c r="A799" s="282"/>
      <c r="B799" s="125"/>
      <c r="C799" s="113"/>
      <c r="D799" s="75"/>
      <c r="E799" s="282"/>
      <c r="F799" s="125"/>
      <c r="G799" s="113"/>
      <c r="H799" s="75"/>
      <c r="I799" s="282"/>
      <c r="J799" s="125"/>
      <c r="K799" s="113"/>
      <c r="L799" s="75"/>
      <c r="M799" s="282"/>
      <c r="N799" s="125"/>
      <c r="O799" s="113"/>
      <c r="P799" s="75"/>
      <c r="Q799" s="282"/>
      <c r="R799" s="125"/>
      <c r="S799" s="113"/>
      <c r="T799" s="75"/>
      <c r="U799" s="282"/>
      <c r="V799" s="125"/>
      <c r="W799" s="113"/>
      <c r="X799" s="75"/>
      <c r="Y799" s="282"/>
      <c r="Z799" s="290"/>
      <c r="AA799" s="291"/>
      <c r="AB799" s="73"/>
      <c r="AC799" s="282"/>
      <c r="AD799" s="125"/>
      <c r="AE799" s="241"/>
      <c r="AF799" s="284"/>
      <c r="AG799" s="282"/>
      <c r="AH799" s="292"/>
      <c r="AI799" s="292"/>
      <c r="AJ799" s="292"/>
      <c r="AK799" s="282"/>
      <c r="AL799" s="75"/>
      <c r="AM799" s="75"/>
      <c r="AN799" s="75"/>
      <c r="AO799" s="282"/>
      <c r="AP799" s="75"/>
      <c r="AQ799" s="75"/>
      <c r="AR799" s="75"/>
      <c r="AS799" s="75"/>
      <c r="AT799" s="75"/>
    </row>
    <row r="800">
      <c r="A800" s="282"/>
      <c r="B800" s="125"/>
      <c r="C800" s="113"/>
      <c r="D800" s="75"/>
      <c r="E800" s="282"/>
      <c r="F800" s="125"/>
      <c r="G800" s="113"/>
      <c r="H800" s="75"/>
      <c r="I800" s="282"/>
      <c r="J800" s="125"/>
      <c r="K800" s="113"/>
      <c r="L800" s="75"/>
      <c r="M800" s="282"/>
      <c r="N800" s="125"/>
      <c r="O800" s="113"/>
      <c r="P800" s="75"/>
      <c r="Q800" s="282"/>
      <c r="R800" s="125"/>
      <c r="S800" s="113"/>
      <c r="T800" s="75"/>
      <c r="U800" s="282"/>
      <c r="V800" s="125"/>
      <c r="W800" s="113"/>
      <c r="X800" s="75"/>
      <c r="Y800" s="282"/>
      <c r="Z800" s="290"/>
      <c r="AA800" s="291"/>
      <c r="AB800" s="73"/>
      <c r="AC800" s="282"/>
      <c r="AD800" s="125"/>
      <c r="AE800" s="241"/>
      <c r="AF800" s="284"/>
      <c r="AG800" s="282"/>
      <c r="AH800" s="292"/>
      <c r="AI800" s="292"/>
      <c r="AJ800" s="292"/>
      <c r="AK800" s="282"/>
      <c r="AL800" s="75"/>
      <c r="AM800" s="75"/>
      <c r="AN800" s="75"/>
      <c r="AO800" s="282"/>
      <c r="AP800" s="75"/>
      <c r="AQ800" s="75"/>
      <c r="AR800" s="75"/>
      <c r="AS800" s="75"/>
      <c r="AT800" s="75"/>
    </row>
    <row r="801">
      <c r="A801" s="282"/>
      <c r="B801" s="125"/>
      <c r="C801" s="113"/>
      <c r="D801" s="75"/>
      <c r="E801" s="282"/>
      <c r="F801" s="125"/>
      <c r="G801" s="113"/>
      <c r="H801" s="75"/>
      <c r="I801" s="282"/>
      <c r="J801" s="125"/>
      <c r="K801" s="113"/>
      <c r="L801" s="75"/>
      <c r="M801" s="282"/>
      <c r="N801" s="125"/>
      <c r="O801" s="113"/>
      <c r="P801" s="75"/>
      <c r="Q801" s="282"/>
      <c r="R801" s="125"/>
      <c r="S801" s="113"/>
      <c r="T801" s="75"/>
      <c r="U801" s="282"/>
      <c r="V801" s="125"/>
      <c r="W801" s="113"/>
      <c r="X801" s="75"/>
      <c r="Y801" s="282"/>
      <c r="Z801" s="290"/>
      <c r="AA801" s="291"/>
      <c r="AB801" s="73"/>
      <c r="AC801" s="282"/>
      <c r="AD801" s="125"/>
      <c r="AE801" s="241"/>
      <c r="AF801" s="284"/>
      <c r="AG801" s="282"/>
      <c r="AH801" s="292"/>
      <c r="AI801" s="292"/>
      <c r="AJ801" s="292"/>
      <c r="AK801" s="282"/>
      <c r="AL801" s="75"/>
      <c r="AM801" s="75"/>
      <c r="AN801" s="75"/>
      <c r="AO801" s="282"/>
      <c r="AP801" s="75"/>
      <c r="AQ801" s="75"/>
      <c r="AR801" s="75"/>
      <c r="AS801" s="75"/>
      <c r="AT801" s="75"/>
    </row>
    <row r="802">
      <c r="A802" s="282"/>
      <c r="B802" s="125"/>
      <c r="C802" s="113"/>
      <c r="D802" s="75"/>
      <c r="E802" s="282"/>
      <c r="F802" s="125"/>
      <c r="G802" s="113"/>
      <c r="H802" s="75"/>
      <c r="I802" s="282"/>
      <c r="J802" s="125"/>
      <c r="K802" s="113"/>
      <c r="L802" s="75"/>
      <c r="M802" s="282"/>
      <c r="N802" s="125"/>
      <c r="O802" s="113"/>
      <c r="P802" s="75"/>
      <c r="Q802" s="282"/>
      <c r="R802" s="125"/>
      <c r="S802" s="113"/>
      <c r="T802" s="75"/>
      <c r="U802" s="282"/>
      <c r="V802" s="125"/>
      <c r="W802" s="113"/>
      <c r="X802" s="75"/>
      <c r="Y802" s="282"/>
      <c r="Z802" s="290"/>
      <c r="AA802" s="291"/>
      <c r="AB802" s="73"/>
      <c r="AC802" s="282"/>
      <c r="AD802" s="125"/>
      <c r="AE802" s="241"/>
      <c r="AF802" s="284"/>
      <c r="AG802" s="282"/>
      <c r="AH802" s="292"/>
      <c r="AI802" s="292"/>
      <c r="AJ802" s="292"/>
      <c r="AK802" s="282"/>
      <c r="AL802" s="75"/>
      <c r="AM802" s="75"/>
      <c r="AN802" s="75"/>
      <c r="AO802" s="282"/>
      <c r="AP802" s="75"/>
      <c r="AQ802" s="75"/>
      <c r="AR802" s="75"/>
      <c r="AS802" s="75"/>
      <c r="AT802" s="75"/>
    </row>
    <row r="803">
      <c r="A803" s="282"/>
      <c r="B803" s="125"/>
      <c r="C803" s="113"/>
      <c r="D803" s="75"/>
      <c r="E803" s="282"/>
      <c r="F803" s="125"/>
      <c r="G803" s="113"/>
      <c r="H803" s="75"/>
      <c r="I803" s="282"/>
      <c r="J803" s="125"/>
      <c r="K803" s="113"/>
      <c r="L803" s="75"/>
      <c r="M803" s="282"/>
      <c r="N803" s="125"/>
      <c r="O803" s="113"/>
      <c r="P803" s="75"/>
      <c r="Q803" s="282"/>
      <c r="R803" s="125"/>
      <c r="S803" s="113"/>
      <c r="T803" s="75"/>
      <c r="U803" s="282"/>
      <c r="V803" s="125"/>
      <c r="W803" s="113"/>
      <c r="X803" s="75"/>
      <c r="Y803" s="282"/>
      <c r="Z803" s="290"/>
      <c r="AA803" s="291"/>
      <c r="AB803" s="73"/>
      <c r="AC803" s="282"/>
      <c r="AD803" s="125"/>
      <c r="AE803" s="241"/>
      <c r="AF803" s="284"/>
      <c r="AG803" s="282"/>
      <c r="AH803" s="292"/>
      <c r="AI803" s="292"/>
      <c r="AJ803" s="292"/>
      <c r="AK803" s="282"/>
      <c r="AL803" s="75"/>
      <c r="AM803" s="75"/>
      <c r="AN803" s="75"/>
      <c r="AO803" s="282"/>
      <c r="AP803" s="75"/>
      <c r="AQ803" s="75"/>
      <c r="AR803" s="75"/>
      <c r="AS803" s="75"/>
      <c r="AT803" s="75"/>
    </row>
    <row r="804">
      <c r="A804" s="282"/>
      <c r="B804" s="125"/>
      <c r="C804" s="113"/>
      <c r="D804" s="75"/>
      <c r="E804" s="282"/>
      <c r="F804" s="125"/>
      <c r="G804" s="113"/>
      <c r="H804" s="75"/>
      <c r="I804" s="282"/>
      <c r="J804" s="125"/>
      <c r="K804" s="113"/>
      <c r="L804" s="75"/>
      <c r="M804" s="282"/>
      <c r="N804" s="125"/>
      <c r="O804" s="113"/>
      <c r="P804" s="75"/>
      <c r="Q804" s="282"/>
      <c r="R804" s="125"/>
      <c r="S804" s="113"/>
      <c r="T804" s="75"/>
      <c r="U804" s="282"/>
      <c r="V804" s="125"/>
      <c r="W804" s="113"/>
      <c r="X804" s="75"/>
      <c r="Y804" s="282"/>
      <c r="Z804" s="290"/>
      <c r="AA804" s="291"/>
      <c r="AB804" s="73"/>
      <c r="AC804" s="282"/>
      <c r="AD804" s="125"/>
      <c r="AE804" s="241"/>
      <c r="AF804" s="284"/>
      <c r="AG804" s="282"/>
      <c r="AH804" s="292"/>
      <c r="AI804" s="292"/>
      <c r="AJ804" s="292"/>
      <c r="AK804" s="282"/>
      <c r="AL804" s="75"/>
      <c r="AM804" s="75"/>
      <c r="AN804" s="75"/>
      <c r="AO804" s="282"/>
      <c r="AP804" s="75"/>
      <c r="AQ804" s="75"/>
      <c r="AR804" s="75"/>
      <c r="AS804" s="75"/>
      <c r="AT804" s="75"/>
    </row>
    <row r="805">
      <c r="A805" s="282"/>
      <c r="B805" s="125"/>
      <c r="C805" s="113"/>
      <c r="D805" s="75"/>
      <c r="E805" s="282"/>
      <c r="F805" s="125"/>
      <c r="G805" s="113"/>
      <c r="H805" s="75"/>
      <c r="I805" s="282"/>
      <c r="J805" s="125"/>
      <c r="K805" s="113"/>
      <c r="L805" s="75"/>
      <c r="M805" s="282"/>
      <c r="N805" s="125"/>
      <c r="O805" s="113"/>
      <c r="P805" s="75"/>
      <c r="Q805" s="282"/>
      <c r="R805" s="125"/>
      <c r="S805" s="113"/>
      <c r="T805" s="75"/>
      <c r="U805" s="282"/>
      <c r="V805" s="125"/>
      <c r="W805" s="113"/>
      <c r="X805" s="75"/>
      <c r="Y805" s="282"/>
      <c r="Z805" s="290"/>
      <c r="AA805" s="291"/>
      <c r="AB805" s="73"/>
      <c r="AC805" s="282"/>
      <c r="AD805" s="125"/>
      <c r="AE805" s="241"/>
      <c r="AF805" s="284"/>
      <c r="AG805" s="282"/>
      <c r="AH805" s="292"/>
      <c r="AI805" s="292"/>
      <c r="AJ805" s="292"/>
      <c r="AK805" s="282"/>
      <c r="AL805" s="75"/>
      <c r="AM805" s="75"/>
      <c r="AN805" s="75"/>
      <c r="AO805" s="282"/>
      <c r="AP805" s="75"/>
      <c r="AQ805" s="75"/>
      <c r="AR805" s="75"/>
      <c r="AS805" s="75"/>
      <c r="AT805" s="75"/>
    </row>
    <row r="806">
      <c r="A806" s="282"/>
      <c r="B806" s="125"/>
      <c r="C806" s="113"/>
      <c r="D806" s="75"/>
      <c r="E806" s="282"/>
      <c r="F806" s="125"/>
      <c r="G806" s="113"/>
      <c r="H806" s="75"/>
      <c r="I806" s="282"/>
      <c r="J806" s="125"/>
      <c r="K806" s="113"/>
      <c r="L806" s="75"/>
      <c r="M806" s="282"/>
      <c r="N806" s="125"/>
      <c r="O806" s="113"/>
      <c r="P806" s="75"/>
      <c r="Q806" s="282"/>
      <c r="R806" s="125"/>
      <c r="S806" s="113"/>
      <c r="T806" s="75"/>
      <c r="U806" s="282"/>
      <c r="V806" s="125"/>
      <c r="W806" s="113"/>
      <c r="X806" s="75"/>
      <c r="Y806" s="282"/>
      <c r="Z806" s="290"/>
      <c r="AA806" s="291"/>
      <c r="AB806" s="73"/>
      <c r="AC806" s="282"/>
      <c r="AD806" s="125"/>
      <c r="AE806" s="241"/>
      <c r="AF806" s="284"/>
      <c r="AG806" s="282"/>
      <c r="AH806" s="292"/>
      <c r="AI806" s="292"/>
      <c r="AJ806" s="292"/>
      <c r="AK806" s="282"/>
      <c r="AL806" s="75"/>
      <c r="AM806" s="75"/>
      <c r="AN806" s="75"/>
      <c r="AO806" s="282"/>
      <c r="AP806" s="75"/>
      <c r="AQ806" s="75"/>
      <c r="AR806" s="75"/>
      <c r="AS806" s="75"/>
      <c r="AT806" s="75"/>
    </row>
    <row r="807">
      <c r="A807" s="282"/>
      <c r="B807" s="125"/>
      <c r="C807" s="113"/>
      <c r="D807" s="75"/>
      <c r="E807" s="282"/>
      <c r="F807" s="125"/>
      <c r="G807" s="113"/>
      <c r="H807" s="75"/>
      <c r="I807" s="282"/>
      <c r="J807" s="125"/>
      <c r="K807" s="113"/>
      <c r="L807" s="75"/>
      <c r="M807" s="282"/>
      <c r="N807" s="125"/>
      <c r="O807" s="113"/>
      <c r="P807" s="75"/>
      <c r="Q807" s="282"/>
      <c r="R807" s="125"/>
      <c r="S807" s="113"/>
      <c r="T807" s="75"/>
      <c r="U807" s="282"/>
      <c r="V807" s="125"/>
      <c r="W807" s="113"/>
      <c r="X807" s="75"/>
      <c r="Y807" s="282"/>
      <c r="Z807" s="290"/>
      <c r="AA807" s="291"/>
      <c r="AB807" s="73"/>
      <c r="AC807" s="282"/>
      <c r="AD807" s="125"/>
      <c r="AE807" s="241"/>
      <c r="AF807" s="284"/>
      <c r="AG807" s="282"/>
      <c r="AH807" s="292"/>
      <c r="AI807" s="292"/>
      <c r="AJ807" s="292"/>
      <c r="AK807" s="282"/>
      <c r="AL807" s="75"/>
      <c r="AM807" s="75"/>
      <c r="AN807" s="75"/>
      <c r="AO807" s="282"/>
      <c r="AP807" s="75"/>
      <c r="AQ807" s="75"/>
      <c r="AR807" s="75"/>
      <c r="AS807" s="75"/>
      <c r="AT807" s="75"/>
    </row>
    <row r="808">
      <c r="A808" s="282"/>
      <c r="B808" s="125"/>
      <c r="C808" s="113"/>
      <c r="D808" s="75"/>
      <c r="E808" s="282"/>
      <c r="F808" s="125"/>
      <c r="G808" s="113"/>
      <c r="H808" s="75"/>
      <c r="I808" s="282"/>
      <c r="J808" s="125"/>
      <c r="K808" s="113"/>
      <c r="L808" s="75"/>
      <c r="M808" s="282"/>
      <c r="N808" s="125"/>
      <c r="O808" s="113"/>
      <c r="P808" s="75"/>
      <c r="Q808" s="282"/>
      <c r="R808" s="125"/>
      <c r="S808" s="113"/>
      <c r="T808" s="75"/>
      <c r="U808" s="282"/>
      <c r="V808" s="125"/>
      <c r="W808" s="113"/>
      <c r="X808" s="75"/>
      <c r="Y808" s="282"/>
      <c r="Z808" s="290"/>
      <c r="AA808" s="291"/>
      <c r="AB808" s="73"/>
      <c r="AC808" s="282"/>
      <c r="AD808" s="125"/>
      <c r="AE808" s="241"/>
      <c r="AF808" s="284"/>
      <c r="AG808" s="282"/>
      <c r="AH808" s="292"/>
      <c r="AI808" s="292"/>
      <c r="AJ808" s="292"/>
      <c r="AK808" s="282"/>
      <c r="AL808" s="75"/>
      <c r="AM808" s="75"/>
      <c r="AN808" s="75"/>
      <c r="AO808" s="282"/>
      <c r="AP808" s="75"/>
      <c r="AQ808" s="75"/>
      <c r="AR808" s="75"/>
      <c r="AS808" s="75"/>
      <c r="AT808" s="75"/>
    </row>
    <row r="809">
      <c r="A809" s="282"/>
      <c r="B809" s="125"/>
      <c r="C809" s="113"/>
      <c r="D809" s="75"/>
      <c r="E809" s="282"/>
      <c r="F809" s="125"/>
      <c r="G809" s="113"/>
      <c r="H809" s="75"/>
      <c r="I809" s="282"/>
      <c r="J809" s="125"/>
      <c r="K809" s="113"/>
      <c r="L809" s="75"/>
      <c r="M809" s="282"/>
      <c r="N809" s="125"/>
      <c r="O809" s="113"/>
      <c r="P809" s="75"/>
      <c r="Q809" s="282"/>
      <c r="R809" s="125"/>
      <c r="S809" s="113"/>
      <c r="T809" s="75"/>
      <c r="U809" s="282"/>
      <c r="V809" s="125"/>
      <c r="W809" s="113"/>
      <c r="X809" s="75"/>
      <c r="Y809" s="282"/>
      <c r="Z809" s="290"/>
      <c r="AA809" s="291"/>
      <c r="AB809" s="73"/>
      <c r="AC809" s="282"/>
      <c r="AD809" s="125"/>
      <c r="AE809" s="241"/>
      <c r="AF809" s="284"/>
      <c r="AG809" s="282"/>
      <c r="AH809" s="292"/>
      <c r="AI809" s="292"/>
      <c r="AJ809" s="292"/>
      <c r="AK809" s="282"/>
      <c r="AL809" s="75"/>
      <c r="AM809" s="75"/>
      <c r="AN809" s="75"/>
      <c r="AO809" s="282"/>
      <c r="AP809" s="75"/>
      <c r="AQ809" s="75"/>
      <c r="AR809" s="75"/>
      <c r="AS809" s="75"/>
      <c r="AT809" s="75"/>
    </row>
    <row r="810">
      <c r="A810" s="282"/>
      <c r="B810" s="125"/>
      <c r="C810" s="113"/>
      <c r="D810" s="75"/>
      <c r="E810" s="282"/>
      <c r="F810" s="125"/>
      <c r="G810" s="113"/>
      <c r="H810" s="75"/>
      <c r="I810" s="282"/>
      <c r="J810" s="125"/>
      <c r="K810" s="113"/>
      <c r="L810" s="75"/>
      <c r="M810" s="282"/>
      <c r="N810" s="125"/>
      <c r="O810" s="113"/>
      <c r="P810" s="75"/>
      <c r="Q810" s="282"/>
      <c r="R810" s="125"/>
      <c r="S810" s="113"/>
      <c r="T810" s="75"/>
      <c r="U810" s="282"/>
      <c r="V810" s="125"/>
      <c r="W810" s="113"/>
      <c r="X810" s="75"/>
      <c r="Y810" s="282"/>
      <c r="Z810" s="290"/>
      <c r="AA810" s="291"/>
      <c r="AB810" s="73"/>
      <c r="AC810" s="282"/>
      <c r="AD810" s="125"/>
      <c r="AE810" s="241"/>
      <c r="AF810" s="284"/>
      <c r="AG810" s="282"/>
      <c r="AH810" s="292"/>
      <c r="AI810" s="292"/>
      <c r="AJ810" s="292"/>
      <c r="AK810" s="282"/>
      <c r="AL810" s="75"/>
      <c r="AM810" s="75"/>
      <c r="AN810" s="75"/>
      <c r="AO810" s="282"/>
      <c r="AP810" s="75"/>
      <c r="AQ810" s="75"/>
      <c r="AR810" s="75"/>
      <c r="AS810" s="75"/>
      <c r="AT810" s="75"/>
    </row>
    <row r="811">
      <c r="A811" s="282"/>
      <c r="B811" s="125"/>
      <c r="C811" s="113"/>
      <c r="D811" s="75"/>
      <c r="E811" s="282"/>
      <c r="F811" s="125"/>
      <c r="G811" s="113"/>
      <c r="H811" s="75"/>
      <c r="I811" s="282"/>
      <c r="J811" s="125"/>
      <c r="K811" s="113"/>
      <c r="L811" s="75"/>
      <c r="M811" s="282"/>
      <c r="N811" s="125"/>
      <c r="O811" s="113"/>
      <c r="P811" s="75"/>
      <c r="Q811" s="282"/>
      <c r="R811" s="125"/>
      <c r="S811" s="113"/>
      <c r="T811" s="75"/>
      <c r="U811" s="282"/>
      <c r="V811" s="125"/>
      <c r="W811" s="113"/>
      <c r="X811" s="75"/>
      <c r="Y811" s="282"/>
      <c r="Z811" s="290"/>
      <c r="AA811" s="291"/>
      <c r="AB811" s="73"/>
      <c r="AC811" s="282"/>
      <c r="AD811" s="125"/>
      <c r="AE811" s="241"/>
      <c r="AF811" s="284"/>
      <c r="AG811" s="282"/>
      <c r="AH811" s="292"/>
      <c r="AI811" s="292"/>
      <c r="AJ811" s="292"/>
      <c r="AK811" s="282"/>
      <c r="AL811" s="75"/>
      <c r="AM811" s="75"/>
      <c r="AN811" s="75"/>
      <c r="AO811" s="282"/>
      <c r="AP811" s="75"/>
      <c r="AQ811" s="75"/>
      <c r="AR811" s="75"/>
      <c r="AS811" s="75"/>
      <c r="AT811" s="75"/>
    </row>
    <row r="812">
      <c r="A812" s="282"/>
      <c r="B812" s="125"/>
      <c r="C812" s="113"/>
      <c r="D812" s="75"/>
      <c r="E812" s="282"/>
      <c r="F812" s="125"/>
      <c r="G812" s="113"/>
      <c r="H812" s="75"/>
      <c r="I812" s="282"/>
      <c r="J812" s="125"/>
      <c r="K812" s="113"/>
      <c r="L812" s="75"/>
      <c r="M812" s="282"/>
      <c r="N812" s="125"/>
      <c r="O812" s="113"/>
      <c r="P812" s="75"/>
      <c r="Q812" s="282"/>
      <c r="R812" s="125"/>
      <c r="S812" s="113"/>
      <c r="T812" s="75"/>
      <c r="U812" s="282"/>
      <c r="V812" s="125"/>
      <c r="W812" s="113"/>
      <c r="X812" s="75"/>
      <c r="Y812" s="282"/>
      <c r="Z812" s="290"/>
      <c r="AA812" s="291"/>
      <c r="AB812" s="73"/>
      <c r="AC812" s="282"/>
      <c r="AD812" s="125"/>
      <c r="AE812" s="241"/>
      <c r="AF812" s="284"/>
      <c r="AG812" s="282"/>
      <c r="AH812" s="292"/>
      <c r="AI812" s="292"/>
      <c r="AJ812" s="292"/>
      <c r="AK812" s="282"/>
      <c r="AL812" s="75"/>
      <c r="AM812" s="75"/>
      <c r="AN812" s="75"/>
      <c r="AO812" s="282"/>
      <c r="AP812" s="75"/>
      <c r="AQ812" s="75"/>
      <c r="AR812" s="75"/>
      <c r="AS812" s="75"/>
      <c r="AT812" s="75"/>
    </row>
    <row r="813">
      <c r="A813" s="282"/>
      <c r="B813" s="125"/>
      <c r="C813" s="113"/>
      <c r="D813" s="75"/>
      <c r="E813" s="282"/>
      <c r="F813" s="125"/>
      <c r="G813" s="113"/>
      <c r="H813" s="75"/>
      <c r="I813" s="282"/>
      <c r="J813" s="125"/>
      <c r="K813" s="113"/>
      <c r="L813" s="75"/>
      <c r="M813" s="282"/>
      <c r="N813" s="125"/>
      <c r="O813" s="113"/>
      <c r="P813" s="75"/>
      <c r="Q813" s="282"/>
      <c r="R813" s="125"/>
      <c r="S813" s="113"/>
      <c r="T813" s="75"/>
      <c r="U813" s="282"/>
      <c r="V813" s="125"/>
      <c r="W813" s="113"/>
      <c r="X813" s="75"/>
      <c r="Y813" s="282"/>
      <c r="Z813" s="290"/>
      <c r="AA813" s="291"/>
      <c r="AB813" s="73"/>
      <c r="AC813" s="282"/>
      <c r="AD813" s="125"/>
      <c r="AE813" s="241"/>
      <c r="AF813" s="284"/>
      <c r="AG813" s="282"/>
      <c r="AH813" s="292"/>
      <c r="AI813" s="292"/>
      <c r="AJ813" s="292"/>
      <c r="AK813" s="282"/>
      <c r="AL813" s="75"/>
      <c r="AM813" s="75"/>
      <c r="AN813" s="75"/>
      <c r="AO813" s="282"/>
      <c r="AP813" s="75"/>
      <c r="AQ813" s="75"/>
      <c r="AR813" s="75"/>
      <c r="AS813" s="75"/>
      <c r="AT813" s="75"/>
    </row>
    <row r="814">
      <c r="A814" s="282"/>
      <c r="B814" s="125"/>
      <c r="C814" s="113"/>
      <c r="D814" s="75"/>
      <c r="E814" s="282"/>
      <c r="F814" s="125"/>
      <c r="G814" s="113"/>
      <c r="H814" s="75"/>
      <c r="I814" s="282"/>
      <c r="J814" s="125"/>
      <c r="K814" s="113"/>
      <c r="L814" s="75"/>
      <c r="M814" s="282"/>
      <c r="N814" s="125"/>
      <c r="O814" s="113"/>
      <c r="P814" s="75"/>
      <c r="Q814" s="282"/>
      <c r="R814" s="125"/>
      <c r="S814" s="113"/>
      <c r="T814" s="75"/>
      <c r="U814" s="282"/>
      <c r="V814" s="125"/>
      <c r="W814" s="113"/>
      <c r="X814" s="75"/>
      <c r="Y814" s="282"/>
      <c r="Z814" s="290"/>
      <c r="AA814" s="291"/>
      <c r="AB814" s="73"/>
      <c r="AC814" s="282"/>
      <c r="AD814" s="125"/>
      <c r="AE814" s="241"/>
      <c r="AF814" s="284"/>
      <c r="AG814" s="282"/>
      <c r="AH814" s="292"/>
      <c r="AI814" s="292"/>
      <c r="AJ814" s="292"/>
      <c r="AK814" s="282"/>
      <c r="AL814" s="75"/>
      <c r="AM814" s="75"/>
      <c r="AN814" s="75"/>
      <c r="AO814" s="282"/>
      <c r="AP814" s="75"/>
      <c r="AQ814" s="75"/>
      <c r="AR814" s="75"/>
      <c r="AS814" s="75"/>
      <c r="AT814" s="75"/>
    </row>
    <row r="815">
      <c r="A815" s="282"/>
      <c r="B815" s="125"/>
      <c r="C815" s="113"/>
      <c r="D815" s="75"/>
      <c r="E815" s="282"/>
      <c r="F815" s="125"/>
      <c r="G815" s="113"/>
      <c r="H815" s="75"/>
      <c r="I815" s="282"/>
      <c r="J815" s="125"/>
      <c r="K815" s="113"/>
      <c r="L815" s="75"/>
      <c r="M815" s="282"/>
      <c r="N815" s="125"/>
      <c r="O815" s="113"/>
      <c r="P815" s="75"/>
      <c r="Q815" s="282"/>
      <c r="R815" s="125"/>
      <c r="S815" s="113"/>
      <c r="T815" s="75"/>
      <c r="U815" s="282"/>
      <c r="V815" s="125"/>
      <c r="W815" s="113"/>
      <c r="X815" s="75"/>
      <c r="Y815" s="282"/>
      <c r="Z815" s="290"/>
      <c r="AA815" s="291"/>
      <c r="AB815" s="73"/>
      <c r="AC815" s="282"/>
      <c r="AD815" s="125"/>
      <c r="AE815" s="241"/>
      <c r="AF815" s="284"/>
      <c r="AG815" s="282"/>
      <c r="AH815" s="292"/>
      <c r="AI815" s="292"/>
      <c r="AJ815" s="292"/>
      <c r="AK815" s="282"/>
      <c r="AL815" s="75"/>
      <c r="AM815" s="75"/>
      <c r="AN815" s="75"/>
      <c r="AO815" s="282"/>
      <c r="AP815" s="75"/>
      <c r="AQ815" s="75"/>
      <c r="AR815" s="75"/>
      <c r="AS815" s="75"/>
      <c r="AT815" s="75"/>
    </row>
    <row r="816">
      <c r="A816" s="282"/>
      <c r="B816" s="125"/>
      <c r="C816" s="113"/>
      <c r="D816" s="75"/>
      <c r="E816" s="282"/>
      <c r="F816" s="125"/>
      <c r="G816" s="113"/>
      <c r="H816" s="75"/>
      <c r="I816" s="282"/>
      <c r="J816" s="125"/>
      <c r="K816" s="113"/>
      <c r="L816" s="75"/>
      <c r="M816" s="282"/>
      <c r="N816" s="125"/>
      <c r="O816" s="113"/>
      <c r="P816" s="75"/>
      <c r="Q816" s="282"/>
      <c r="R816" s="125"/>
      <c r="S816" s="113"/>
      <c r="T816" s="75"/>
      <c r="U816" s="282"/>
      <c r="V816" s="125"/>
      <c r="W816" s="113"/>
      <c r="X816" s="75"/>
      <c r="Y816" s="282"/>
      <c r="Z816" s="290"/>
      <c r="AA816" s="291"/>
      <c r="AB816" s="73"/>
      <c r="AC816" s="282"/>
      <c r="AD816" s="125"/>
      <c r="AE816" s="241"/>
      <c r="AF816" s="284"/>
      <c r="AG816" s="282"/>
      <c r="AH816" s="292"/>
      <c r="AI816" s="292"/>
      <c r="AJ816" s="292"/>
      <c r="AK816" s="282"/>
      <c r="AL816" s="75"/>
      <c r="AM816" s="75"/>
      <c r="AN816" s="75"/>
      <c r="AO816" s="282"/>
      <c r="AP816" s="75"/>
      <c r="AQ816" s="75"/>
      <c r="AR816" s="75"/>
      <c r="AS816" s="75"/>
      <c r="AT816" s="75"/>
    </row>
    <row r="817">
      <c r="A817" s="282"/>
      <c r="B817" s="125"/>
      <c r="C817" s="113"/>
      <c r="D817" s="75"/>
      <c r="E817" s="282"/>
      <c r="F817" s="125"/>
      <c r="G817" s="113"/>
      <c r="H817" s="75"/>
      <c r="I817" s="282"/>
      <c r="J817" s="125"/>
      <c r="K817" s="113"/>
      <c r="L817" s="75"/>
      <c r="M817" s="282"/>
      <c r="N817" s="125"/>
      <c r="O817" s="113"/>
      <c r="P817" s="75"/>
      <c r="Q817" s="282"/>
      <c r="R817" s="125"/>
      <c r="S817" s="113"/>
      <c r="T817" s="75"/>
      <c r="U817" s="282"/>
      <c r="V817" s="125"/>
      <c r="W817" s="113"/>
      <c r="X817" s="75"/>
      <c r="Y817" s="282"/>
      <c r="Z817" s="290"/>
      <c r="AA817" s="291"/>
      <c r="AB817" s="73"/>
      <c r="AC817" s="282"/>
      <c r="AD817" s="125"/>
      <c r="AE817" s="241"/>
      <c r="AF817" s="284"/>
      <c r="AG817" s="282"/>
      <c r="AH817" s="292"/>
      <c r="AI817" s="292"/>
      <c r="AJ817" s="292"/>
      <c r="AK817" s="282"/>
      <c r="AL817" s="75"/>
      <c r="AM817" s="75"/>
      <c r="AN817" s="75"/>
      <c r="AO817" s="282"/>
      <c r="AP817" s="75"/>
      <c r="AQ817" s="75"/>
      <c r="AR817" s="75"/>
      <c r="AS817" s="75"/>
      <c r="AT817" s="75"/>
    </row>
    <row r="818">
      <c r="A818" s="282"/>
      <c r="B818" s="125"/>
      <c r="C818" s="113"/>
      <c r="D818" s="75"/>
      <c r="E818" s="282"/>
      <c r="F818" s="125"/>
      <c r="G818" s="113"/>
      <c r="H818" s="75"/>
      <c r="I818" s="282"/>
      <c r="J818" s="125"/>
      <c r="K818" s="113"/>
      <c r="L818" s="75"/>
      <c r="M818" s="282"/>
      <c r="N818" s="125"/>
      <c r="O818" s="113"/>
      <c r="P818" s="75"/>
      <c r="Q818" s="282"/>
      <c r="R818" s="125"/>
      <c r="S818" s="113"/>
      <c r="T818" s="75"/>
      <c r="U818" s="282"/>
      <c r="V818" s="125"/>
      <c r="W818" s="113"/>
      <c r="X818" s="75"/>
      <c r="Y818" s="282"/>
      <c r="Z818" s="290"/>
      <c r="AA818" s="291"/>
      <c r="AB818" s="73"/>
      <c r="AC818" s="282"/>
      <c r="AD818" s="125"/>
      <c r="AE818" s="241"/>
      <c r="AF818" s="284"/>
      <c r="AG818" s="282"/>
      <c r="AH818" s="292"/>
      <c r="AI818" s="292"/>
      <c r="AJ818" s="292"/>
      <c r="AK818" s="282"/>
      <c r="AL818" s="75"/>
      <c r="AM818" s="75"/>
      <c r="AN818" s="75"/>
      <c r="AO818" s="282"/>
      <c r="AP818" s="75"/>
      <c r="AQ818" s="75"/>
      <c r="AR818" s="75"/>
      <c r="AS818" s="75"/>
      <c r="AT818" s="75"/>
    </row>
    <row r="819">
      <c r="A819" s="282"/>
      <c r="B819" s="125"/>
      <c r="C819" s="113"/>
      <c r="D819" s="75"/>
      <c r="E819" s="282"/>
      <c r="F819" s="125"/>
      <c r="G819" s="113"/>
      <c r="H819" s="75"/>
      <c r="I819" s="282"/>
      <c r="J819" s="125"/>
      <c r="K819" s="113"/>
      <c r="L819" s="75"/>
      <c r="M819" s="282"/>
      <c r="N819" s="125"/>
      <c r="O819" s="113"/>
      <c r="P819" s="75"/>
      <c r="Q819" s="282"/>
      <c r="R819" s="125"/>
      <c r="S819" s="113"/>
      <c r="T819" s="75"/>
      <c r="U819" s="282"/>
      <c r="V819" s="125"/>
      <c r="W819" s="113"/>
      <c r="X819" s="75"/>
      <c r="Y819" s="282"/>
      <c r="Z819" s="290"/>
      <c r="AA819" s="291"/>
      <c r="AB819" s="73"/>
      <c r="AC819" s="282"/>
      <c r="AD819" s="125"/>
      <c r="AE819" s="241"/>
      <c r="AF819" s="284"/>
      <c r="AG819" s="282"/>
      <c r="AH819" s="292"/>
      <c r="AI819" s="292"/>
      <c r="AJ819" s="292"/>
      <c r="AK819" s="282"/>
      <c r="AL819" s="75"/>
      <c r="AM819" s="75"/>
      <c r="AN819" s="75"/>
      <c r="AO819" s="282"/>
      <c r="AP819" s="75"/>
      <c r="AQ819" s="75"/>
      <c r="AR819" s="75"/>
      <c r="AS819" s="75"/>
      <c r="AT819" s="75"/>
    </row>
    <row r="820">
      <c r="A820" s="282"/>
      <c r="B820" s="125"/>
      <c r="C820" s="113"/>
      <c r="D820" s="75"/>
      <c r="E820" s="282"/>
      <c r="F820" s="125"/>
      <c r="G820" s="113"/>
      <c r="H820" s="75"/>
      <c r="I820" s="282"/>
      <c r="J820" s="125"/>
      <c r="K820" s="113"/>
      <c r="L820" s="75"/>
      <c r="M820" s="282"/>
      <c r="N820" s="125"/>
      <c r="O820" s="113"/>
      <c r="P820" s="75"/>
      <c r="Q820" s="282"/>
      <c r="R820" s="125"/>
      <c r="S820" s="113"/>
      <c r="T820" s="75"/>
      <c r="U820" s="282"/>
      <c r="V820" s="125"/>
      <c r="W820" s="113"/>
      <c r="X820" s="75"/>
      <c r="Y820" s="282"/>
      <c r="Z820" s="290"/>
      <c r="AA820" s="291"/>
      <c r="AB820" s="73"/>
      <c r="AC820" s="282"/>
      <c r="AD820" s="125"/>
      <c r="AE820" s="241"/>
      <c r="AF820" s="284"/>
      <c r="AG820" s="282"/>
      <c r="AH820" s="292"/>
      <c r="AI820" s="292"/>
      <c r="AJ820" s="292"/>
      <c r="AK820" s="282"/>
      <c r="AL820" s="75"/>
      <c r="AM820" s="75"/>
      <c r="AN820" s="75"/>
      <c r="AO820" s="282"/>
      <c r="AP820" s="75"/>
      <c r="AQ820" s="75"/>
      <c r="AR820" s="75"/>
      <c r="AS820" s="75"/>
      <c r="AT820" s="75"/>
    </row>
    <row r="821">
      <c r="A821" s="282"/>
      <c r="B821" s="125"/>
      <c r="C821" s="113"/>
      <c r="D821" s="75"/>
      <c r="E821" s="282"/>
      <c r="F821" s="125"/>
      <c r="G821" s="113"/>
      <c r="H821" s="75"/>
      <c r="I821" s="282"/>
      <c r="J821" s="125"/>
      <c r="K821" s="113"/>
      <c r="L821" s="75"/>
      <c r="M821" s="282"/>
      <c r="N821" s="125"/>
      <c r="O821" s="113"/>
      <c r="P821" s="75"/>
      <c r="Q821" s="282"/>
      <c r="R821" s="125"/>
      <c r="S821" s="113"/>
      <c r="T821" s="75"/>
      <c r="U821" s="282"/>
      <c r="V821" s="125"/>
      <c r="W821" s="113"/>
      <c r="X821" s="75"/>
      <c r="Y821" s="282"/>
      <c r="Z821" s="290"/>
      <c r="AA821" s="291"/>
      <c r="AB821" s="73"/>
      <c r="AC821" s="282"/>
      <c r="AD821" s="125"/>
      <c r="AE821" s="241"/>
      <c r="AF821" s="284"/>
      <c r="AG821" s="282"/>
      <c r="AH821" s="292"/>
      <c r="AI821" s="292"/>
      <c r="AJ821" s="292"/>
      <c r="AK821" s="282"/>
      <c r="AL821" s="75"/>
      <c r="AM821" s="75"/>
      <c r="AN821" s="75"/>
      <c r="AO821" s="282"/>
      <c r="AP821" s="75"/>
      <c r="AQ821" s="75"/>
      <c r="AR821" s="75"/>
      <c r="AS821" s="75"/>
      <c r="AT821" s="75"/>
    </row>
    <row r="822">
      <c r="A822" s="282"/>
      <c r="B822" s="125"/>
      <c r="C822" s="113"/>
      <c r="D822" s="75"/>
      <c r="E822" s="282"/>
      <c r="F822" s="125"/>
      <c r="G822" s="113"/>
      <c r="H822" s="75"/>
      <c r="I822" s="282"/>
      <c r="J822" s="125"/>
      <c r="K822" s="113"/>
      <c r="L822" s="75"/>
      <c r="M822" s="282"/>
      <c r="N822" s="125"/>
      <c r="O822" s="113"/>
      <c r="P822" s="75"/>
      <c r="Q822" s="282"/>
      <c r="R822" s="125"/>
      <c r="S822" s="113"/>
      <c r="T822" s="75"/>
      <c r="U822" s="282"/>
      <c r="V822" s="125"/>
      <c r="W822" s="113"/>
      <c r="X822" s="75"/>
      <c r="Y822" s="282"/>
      <c r="Z822" s="290"/>
      <c r="AA822" s="291"/>
      <c r="AB822" s="73"/>
      <c r="AC822" s="282"/>
      <c r="AD822" s="125"/>
      <c r="AE822" s="241"/>
      <c r="AF822" s="284"/>
      <c r="AG822" s="282"/>
      <c r="AH822" s="292"/>
      <c r="AI822" s="292"/>
      <c r="AJ822" s="292"/>
      <c r="AK822" s="282"/>
      <c r="AL822" s="75"/>
      <c r="AM822" s="75"/>
      <c r="AN822" s="75"/>
      <c r="AO822" s="282"/>
      <c r="AP822" s="75"/>
      <c r="AQ822" s="75"/>
      <c r="AR822" s="75"/>
      <c r="AS822" s="75"/>
      <c r="AT822" s="75"/>
    </row>
    <row r="823">
      <c r="A823" s="282"/>
      <c r="B823" s="125"/>
      <c r="C823" s="113"/>
      <c r="D823" s="75"/>
      <c r="E823" s="282"/>
      <c r="F823" s="125"/>
      <c r="G823" s="113"/>
      <c r="H823" s="75"/>
      <c r="I823" s="282"/>
      <c r="J823" s="125"/>
      <c r="K823" s="113"/>
      <c r="L823" s="75"/>
      <c r="M823" s="282"/>
      <c r="N823" s="125"/>
      <c r="O823" s="113"/>
      <c r="P823" s="75"/>
      <c r="Q823" s="282"/>
      <c r="R823" s="125"/>
      <c r="S823" s="113"/>
      <c r="T823" s="75"/>
      <c r="U823" s="282"/>
      <c r="V823" s="125"/>
      <c r="W823" s="113"/>
      <c r="X823" s="75"/>
      <c r="Y823" s="282"/>
      <c r="Z823" s="290"/>
      <c r="AA823" s="291"/>
      <c r="AB823" s="73"/>
      <c r="AC823" s="282"/>
      <c r="AD823" s="125"/>
      <c r="AE823" s="241"/>
      <c r="AF823" s="284"/>
      <c r="AG823" s="282"/>
      <c r="AH823" s="292"/>
      <c r="AI823" s="292"/>
      <c r="AJ823" s="292"/>
      <c r="AK823" s="282"/>
      <c r="AL823" s="75"/>
      <c r="AM823" s="75"/>
      <c r="AN823" s="75"/>
      <c r="AO823" s="282"/>
      <c r="AP823" s="75"/>
      <c r="AQ823" s="75"/>
      <c r="AR823" s="75"/>
      <c r="AS823" s="75"/>
      <c r="AT823" s="75"/>
    </row>
    <row r="824">
      <c r="A824" s="282"/>
      <c r="B824" s="125"/>
      <c r="C824" s="113"/>
      <c r="D824" s="75"/>
      <c r="E824" s="282"/>
      <c r="F824" s="125"/>
      <c r="G824" s="113"/>
      <c r="H824" s="75"/>
      <c r="I824" s="282"/>
      <c r="J824" s="125"/>
      <c r="K824" s="113"/>
      <c r="L824" s="75"/>
      <c r="M824" s="282"/>
      <c r="N824" s="125"/>
      <c r="O824" s="113"/>
      <c r="P824" s="75"/>
      <c r="Q824" s="282"/>
      <c r="R824" s="125"/>
      <c r="S824" s="113"/>
      <c r="T824" s="75"/>
      <c r="U824" s="282"/>
      <c r="V824" s="125"/>
      <c r="W824" s="113"/>
      <c r="X824" s="75"/>
      <c r="Y824" s="282"/>
      <c r="Z824" s="290"/>
      <c r="AA824" s="291"/>
      <c r="AB824" s="73"/>
      <c r="AC824" s="282"/>
      <c r="AD824" s="125"/>
      <c r="AE824" s="241"/>
      <c r="AF824" s="284"/>
      <c r="AG824" s="282"/>
      <c r="AH824" s="292"/>
      <c r="AI824" s="292"/>
      <c r="AJ824" s="292"/>
      <c r="AK824" s="282"/>
      <c r="AL824" s="75"/>
      <c r="AM824" s="75"/>
      <c r="AN824" s="75"/>
      <c r="AO824" s="282"/>
      <c r="AP824" s="75"/>
      <c r="AQ824" s="75"/>
      <c r="AR824" s="75"/>
      <c r="AS824" s="75"/>
      <c r="AT824" s="75"/>
    </row>
    <row r="825">
      <c r="A825" s="282"/>
      <c r="B825" s="125"/>
      <c r="C825" s="113"/>
      <c r="D825" s="75"/>
      <c r="E825" s="282"/>
      <c r="F825" s="125"/>
      <c r="G825" s="113"/>
      <c r="H825" s="75"/>
      <c r="I825" s="282"/>
      <c r="J825" s="125"/>
      <c r="K825" s="113"/>
      <c r="L825" s="75"/>
      <c r="M825" s="282"/>
      <c r="N825" s="125"/>
      <c r="O825" s="113"/>
      <c r="P825" s="75"/>
      <c r="Q825" s="282"/>
      <c r="R825" s="125"/>
      <c r="S825" s="113"/>
      <c r="T825" s="75"/>
      <c r="U825" s="282"/>
      <c r="V825" s="125"/>
      <c r="W825" s="113"/>
      <c r="X825" s="75"/>
      <c r="Y825" s="282"/>
      <c r="Z825" s="290"/>
      <c r="AA825" s="291"/>
      <c r="AB825" s="73"/>
      <c r="AC825" s="282"/>
      <c r="AD825" s="125"/>
      <c r="AE825" s="241"/>
      <c r="AF825" s="284"/>
      <c r="AG825" s="282"/>
      <c r="AH825" s="292"/>
      <c r="AI825" s="292"/>
      <c r="AJ825" s="292"/>
      <c r="AK825" s="282"/>
      <c r="AL825" s="75"/>
      <c r="AM825" s="75"/>
      <c r="AN825" s="75"/>
      <c r="AO825" s="282"/>
      <c r="AP825" s="75"/>
      <c r="AQ825" s="75"/>
      <c r="AR825" s="75"/>
      <c r="AS825" s="75"/>
      <c r="AT825" s="75"/>
    </row>
    <row r="826">
      <c r="A826" s="282"/>
      <c r="B826" s="125"/>
      <c r="C826" s="113"/>
      <c r="D826" s="75"/>
      <c r="E826" s="282"/>
      <c r="F826" s="125"/>
      <c r="G826" s="113"/>
      <c r="H826" s="75"/>
      <c r="I826" s="282"/>
      <c r="J826" s="125"/>
      <c r="K826" s="113"/>
      <c r="L826" s="75"/>
      <c r="M826" s="282"/>
      <c r="N826" s="125"/>
      <c r="O826" s="113"/>
      <c r="P826" s="75"/>
      <c r="Q826" s="282"/>
      <c r="R826" s="125"/>
      <c r="S826" s="113"/>
      <c r="T826" s="75"/>
      <c r="U826" s="282"/>
      <c r="V826" s="125"/>
      <c r="W826" s="113"/>
      <c r="X826" s="75"/>
      <c r="Y826" s="282"/>
      <c r="Z826" s="290"/>
      <c r="AA826" s="291"/>
      <c r="AB826" s="73"/>
      <c r="AC826" s="282"/>
      <c r="AD826" s="125"/>
      <c r="AE826" s="241"/>
      <c r="AF826" s="284"/>
      <c r="AG826" s="282"/>
      <c r="AH826" s="292"/>
      <c r="AI826" s="292"/>
      <c r="AJ826" s="292"/>
      <c r="AK826" s="282"/>
      <c r="AL826" s="75"/>
      <c r="AM826" s="75"/>
      <c r="AN826" s="75"/>
      <c r="AO826" s="282"/>
      <c r="AP826" s="75"/>
      <c r="AQ826" s="75"/>
      <c r="AR826" s="75"/>
      <c r="AS826" s="75"/>
      <c r="AT826" s="75"/>
    </row>
    <row r="827">
      <c r="A827" s="282"/>
      <c r="B827" s="125"/>
      <c r="C827" s="113"/>
      <c r="D827" s="75"/>
      <c r="E827" s="282"/>
      <c r="F827" s="125"/>
      <c r="G827" s="113"/>
      <c r="H827" s="75"/>
      <c r="I827" s="282"/>
      <c r="J827" s="125"/>
      <c r="K827" s="113"/>
      <c r="L827" s="75"/>
      <c r="M827" s="282"/>
      <c r="N827" s="125"/>
      <c r="O827" s="113"/>
      <c r="P827" s="75"/>
      <c r="Q827" s="282"/>
      <c r="R827" s="125"/>
      <c r="S827" s="113"/>
      <c r="T827" s="75"/>
      <c r="U827" s="282"/>
      <c r="V827" s="125"/>
      <c r="W827" s="113"/>
      <c r="X827" s="75"/>
      <c r="Y827" s="282"/>
      <c r="Z827" s="290"/>
      <c r="AA827" s="291"/>
      <c r="AB827" s="73"/>
      <c r="AC827" s="282"/>
      <c r="AD827" s="125"/>
      <c r="AE827" s="241"/>
      <c r="AF827" s="284"/>
      <c r="AG827" s="282"/>
      <c r="AH827" s="292"/>
      <c r="AI827" s="292"/>
      <c r="AJ827" s="292"/>
      <c r="AK827" s="282"/>
      <c r="AL827" s="75"/>
      <c r="AM827" s="75"/>
      <c r="AN827" s="75"/>
      <c r="AO827" s="282"/>
      <c r="AP827" s="75"/>
      <c r="AQ827" s="75"/>
      <c r="AR827" s="75"/>
      <c r="AS827" s="75"/>
      <c r="AT827" s="75"/>
    </row>
    <row r="828">
      <c r="A828" s="282"/>
      <c r="B828" s="125"/>
      <c r="C828" s="113"/>
      <c r="D828" s="75"/>
      <c r="E828" s="282"/>
      <c r="F828" s="125"/>
      <c r="G828" s="113"/>
      <c r="H828" s="75"/>
      <c r="I828" s="282"/>
      <c r="J828" s="125"/>
      <c r="K828" s="113"/>
      <c r="L828" s="75"/>
      <c r="M828" s="282"/>
      <c r="N828" s="125"/>
      <c r="O828" s="113"/>
      <c r="P828" s="75"/>
      <c r="Q828" s="282"/>
      <c r="R828" s="125"/>
      <c r="S828" s="113"/>
      <c r="T828" s="75"/>
      <c r="U828" s="282"/>
      <c r="V828" s="125"/>
      <c r="W828" s="113"/>
      <c r="X828" s="75"/>
      <c r="Y828" s="282"/>
      <c r="Z828" s="290"/>
      <c r="AA828" s="291"/>
      <c r="AB828" s="73"/>
      <c r="AC828" s="282"/>
      <c r="AD828" s="125"/>
      <c r="AE828" s="241"/>
      <c r="AF828" s="284"/>
      <c r="AG828" s="282"/>
      <c r="AH828" s="292"/>
      <c r="AI828" s="292"/>
      <c r="AJ828" s="292"/>
      <c r="AK828" s="282"/>
      <c r="AL828" s="75"/>
      <c r="AM828" s="75"/>
      <c r="AN828" s="75"/>
      <c r="AO828" s="282"/>
      <c r="AP828" s="75"/>
      <c r="AQ828" s="75"/>
      <c r="AR828" s="75"/>
      <c r="AS828" s="75"/>
      <c r="AT828" s="75"/>
    </row>
    <row r="829">
      <c r="A829" s="282"/>
      <c r="B829" s="125"/>
      <c r="C829" s="113"/>
      <c r="D829" s="75"/>
      <c r="E829" s="282"/>
      <c r="F829" s="125"/>
      <c r="G829" s="113"/>
      <c r="H829" s="75"/>
      <c r="I829" s="282"/>
      <c r="J829" s="125"/>
      <c r="K829" s="113"/>
      <c r="L829" s="75"/>
      <c r="M829" s="282"/>
      <c r="N829" s="125"/>
      <c r="O829" s="113"/>
      <c r="P829" s="75"/>
      <c r="Q829" s="282"/>
      <c r="R829" s="125"/>
      <c r="S829" s="113"/>
      <c r="T829" s="75"/>
      <c r="U829" s="282"/>
      <c r="V829" s="125"/>
      <c r="W829" s="113"/>
      <c r="X829" s="75"/>
      <c r="Y829" s="282"/>
      <c r="Z829" s="290"/>
      <c r="AA829" s="291"/>
      <c r="AB829" s="73"/>
      <c r="AC829" s="282"/>
      <c r="AD829" s="125"/>
      <c r="AE829" s="241"/>
      <c r="AF829" s="284"/>
      <c r="AG829" s="282"/>
      <c r="AH829" s="292"/>
      <c r="AI829" s="292"/>
      <c r="AJ829" s="292"/>
      <c r="AK829" s="282"/>
      <c r="AL829" s="75"/>
      <c r="AM829" s="75"/>
      <c r="AN829" s="75"/>
      <c r="AO829" s="282"/>
      <c r="AP829" s="75"/>
      <c r="AQ829" s="75"/>
      <c r="AR829" s="75"/>
      <c r="AS829" s="75"/>
      <c r="AT829" s="75"/>
    </row>
    <row r="830">
      <c r="A830" s="282"/>
      <c r="B830" s="125"/>
      <c r="C830" s="113"/>
      <c r="D830" s="75"/>
      <c r="E830" s="282"/>
      <c r="F830" s="125"/>
      <c r="G830" s="113"/>
      <c r="H830" s="75"/>
      <c r="I830" s="282"/>
      <c r="J830" s="125"/>
      <c r="K830" s="113"/>
      <c r="L830" s="75"/>
      <c r="M830" s="282"/>
      <c r="N830" s="125"/>
      <c r="O830" s="113"/>
      <c r="P830" s="75"/>
      <c r="Q830" s="282"/>
      <c r="R830" s="125"/>
      <c r="S830" s="113"/>
      <c r="T830" s="75"/>
      <c r="U830" s="282"/>
      <c r="V830" s="125"/>
      <c r="W830" s="113"/>
      <c r="X830" s="75"/>
      <c r="Y830" s="282"/>
      <c r="Z830" s="290"/>
      <c r="AA830" s="291"/>
      <c r="AB830" s="73"/>
      <c r="AC830" s="282"/>
      <c r="AD830" s="125"/>
      <c r="AE830" s="241"/>
      <c r="AF830" s="284"/>
      <c r="AG830" s="282"/>
      <c r="AH830" s="292"/>
      <c r="AI830" s="292"/>
      <c r="AJ830" s="292"/>
      <c r="AK830" s="282"/>
      <c r="AL830" s="75"/>
      <c r="AM830" s="75"/>
      <c r="AN830" s="75"/>
      <c r="AO830" s="282"/>
      <c r="AP830" s="75"/>
      <c r="AQ830" s="75"/>
      <c r="AR830" s="75"/>
      <c r="AS830" s="75"/>
      <c r="AT830" s="75"/>
    </row>
    <row r="831">
      <c r="A831" s="282"/>
      <c r="B831" s="125"/>
      <c r="C831" s="113"/>
      <c r="D831" s="75"/>
      <c r="E831" s="282"/>
      <c r="F831" s="125"/>
      <c r="G831" s="113"/>
      <c r="H831" s="75"/>
      <c r="I831" s="282"/>
      <c r="J831" s="125"/>
      <c r="K831" s="113"/>
      <c r="L831" s="75"/>
      <c r="M831" s="282"/>
      <c r="N831" s="125"/>
      <c r="O831" s="113"/>
      <c r="P831" s="75"/>
      <c r="Q831" s="282"/>
      <c r="R831" s="125"/>
      <c r="S831" s="113"/>
      <c r="T831" s="75"/>
      <c r="U831" s="282"/>
      <c r="V831" s="125"/>
      <c r="W831" s="113"/>
      <c r="X831" s="75"/>
      <c r="Y831" s="282"/>
      <c r="Z831" s="290"/>
      <c r="AA831" s="291"/>
      <c r="AB831" s="73"/>
      <c r="AC831" s="282"/>
      <c r="AD831" s="125"/>
      <c r="AE831" s="241"/>
      <c r="AF831" s="284"/>
      <c r="AG831" s="282"/>
      <c r="AH831" s="292"/>
      <c r="AI831" s="292"/>
      <c r="AJ831" s="292"/>
      <c r="AK831" s="282"/>
      <c r="AL831" s="75"/>
      <c r="AM831" s="75"/>
      <c r="AN831" s="75"/>
      <c r="AO831" s="282"/>
      <c r="AP831" s="75"/>
      <c r="AQ831" s="75"/>
      <c r="AR831" s="75"/>
      <c r="AS831" s="75"/>
      <c r="AT831" s="75"/>
    </row>
    <row r="832">
      <c r="A832" s="282"/>
      <c r="B832" s="125"/>
      <c r="C832" s="113"/>
      <c r="D832" s="75"/>
      <c r="E832" s="282"/>
      <c r="F832" s="125"/>
      <c r="G832" s="113"/>
      <c r="H832" s="75"/>
      <c r="I832" s="282"/>
      <c r="J832" s="125"/>
      <c r="K832" s="113"/>
      <c r="L832" s="75"/>
      <c r="M832" s="282"/>
      <c r="N832" s="125"/>
      <c r="O832" s="113"/>
      <c r="P832" s="75"/>
      <c r="Q832" s="282"/>
      <c r="R832" s="125"/>
      <c r="S832" s="113"/>
      <c r="T832" s="75"/>
      <c r="U832" s="282"/>
      <c r="V832" s="125"/>
      <c r="W832" s="113"/>
      <c r="X832" s="75"/>
      <c r="Y832" s="282"/>
      <c r="Z832" s="290"/>
      <c r="AA832" s="291"/>
      <c r="AB832" s="73"/>
      <c r="AC832" s="282"/>
      <c r="AD832" s="125"/>
      <c r="AE832" s="241"/>
      <c r="AF832" s="284"/>
      <c r="AG832" s="282"/>
      <c r="AH832" s="292"/>
      <c r="AI832" s="292"/>
      <c r="AJ832" s="292"/>
      <c r="AK832" s="282"/>
      <c r="AL832" s="75"/>
      <c r="AM832" s="75"/>
      <c r="AN832" s="75"/>
      <c r="AO832" s="282"/>
      <c r="AP832" s="75"/>
      <c r="AQ832" s="75"/>
      <c r="AR832" s="75"/>
      <c r="AS832" s="75"/>
      <c r="AT832" s="75"/>
    </row>
    <row r="833">
      <c r="A833" s="282"/>
      <c r="B833" s="125"/>
      <c r="C833" s="113"/>
      <c r="D833" s="75"/>
      <c r="E833" s="282"/>
      <c r="F833" s="125"/>
      <c r="G833" s="113"/>
      <c r="H833" s="75"/>
      <c r="I833" s="282"/>
      <c r="J833" s="125"/>
      <c r="K833" s="113"/>
      <c r="L833" s="75"/>
      <c r="M833" s="282"/>
      <c r="N833" s="125"/>
      <c r="O833" s="113"/>
      <c r="P833" s="75"/>
      <c r="Q833" s="282"/>
      <c r="R833" s="125"/>
      <c r="S833" s="113"/>
      <c r="T833" s="75"/>
      <c r="U833" s="282"/>
      <c r="V833" s="125"/>
      <c r="W833" s="113"/>
      <c r="X833" s="75"/>
      <c r="Y833" s="282"/>
      <c r="Z833" s="290"/>
      <c r="AA833" s="291"/>
      <c r="AB833" s="73"/>
      <c r="AC833" s="282"/>
      <c r="AD833" s="125"/>
      <c r="AE833" s="241"/>
      <c r="AF833" s="284"/>
      <c r="AG833" s="282"/>
      <c r="AH833" s="292"/>
      <c r="AI833" s="292"/>
      <c r="AJ833" s="292"/>
      <c r="AK833" s="282"/>
      <c r="AL833" s="75"/>
      <c r="AM833" s="75"/>
      <c r="AN833" s="75"/>
      <c r="AO833" s="282"/>
      <c r="AP833" s="75"/>
      <c r="AQ833" s="75"/>
      <c r="AR833" s="75"/>
      <c r="AS833" s="75"/>
      <c r="AT833" s="75"/>
    </row>
    <row r="834">
      <c r="A834" s="282"/>
      <c r="B834" s="125"/>
      <c r="C834" s="113"/>
      <c r="D834" s="75"/>
      <c r="E834" s="282"/>
      <c r="F834" s="125"/>
      <c r="G834" s="113"/>
      <c r="H834" s="75"/>
      <c r="I834" s="282"/>
      <c r="J834" s="125"/>
      <c r="K834" s="113"/>
      <c r="L834" s="75"/>
      <c r="M834" s="282"/>
      <c r="N834" s="125"/>
      <c r="O834" s="113"/>
      <c r="P834" s="75"/>
      <c r="Q834" s="282"/>
      <c r="R834" s="125"/>
      <c r="S834" s="113"/>
      <c r="T834" s="75"/>
      <c r="U834" s="282"/>
      <c r="V834" s="125"/>
      <c r="W834" s="113"/>
      <c r="X834" s="75"/>
      <c r="Y834" s="282"/>
      <c r="Z834" s="290"/>
      <c r="AA834" s="291"/>
      <c r="AB834" s="73"/>
      <c r="AC834" s="282"/>
      <c r="AD834" s="125"/>
      <c r="AE834" s="241"/>
      <c r="AF834" s="284"/>
      <c r="AG834" s="282"/>
      <c r="AH834" s="292"/>
      <c r="AI834" s="292"/>
      <c r="AJ834" s="292"/>
      <c r="AK834" s="282"/>
      <c r="AL834" s="75"/>
      <c r="AM834" s="75"/>
      <c r="AN834" s="75"/>
      <c r="AO834" s="282"/>
      <c r="AP834" s="75"/>
      <c r="AQ834" s="75"/>
      <c r="AR834" s="75"/>
      <c r="AS834" s="75"/>
      <c r="AT834" s="75"/>
    </row>
    <row r="835">
      <c r="A835" s="282"/>
      <c r="B835" s="125"/>
      <c r="C835" s="113"/>
      <c r="D835" s="75"/>
      <c r="E835" s="282"/>
      <c r="F835" s="125"/>
      <c r="G835" s="113"/>
      <c r="H835" s="75"/>
      <c r="I835" s="282"/>
      <c r="J835" s="125"/>
      <c r="K835" s="113"/>
      <c r="L835" s="75"/>
      <c r="M835" s="282"/>
      <c r="N835" s="125"/>
      <c r="O835" s="113"/>
      <c r="P835" s="75"/>
      <c r="Q835" s="282"/>
      <c r="R835" s="125"/>
      <c r="S835" s="113"/>
      <c r="T835" s="75"/>
      <c r="U835" s="282"/>
      <c r="V835" s="125"/>
      <c r="W835" s="113"/>
      <c r="X835" s="75"/>
      <c r="Y835" s="282"/>
      <c r="Z835" s="290"/>
      <c r="AA835" s="291"/>
      <c r="AB835" s="73"/>
      <c r="AC835" s="282"/>
      <c r="AD835" s="125"/>
      <c r="AE835" s="241"/>
      <c r="AF835" s="284"/>
      <c r="AG835" s="282"/>
      <c r="AH835" s="292"/>
      <c r="AI835" s="292"/>
      <c r="AJ835" s="292"/>
      <c r="AK835" s="282"/>
      <c r="AL835" s="75"/>
      <c r="AM835" s="75"/>
      <c r="AN835" s="75"/>
      <c r="AO835" s="282"/>
      <c r="AP835" s="75"/>
      <c r="AQ835" s="75"/>
      <c r="AR835" s="75"/>
      <c r="AS835" s="75"/>
      <c r="AT835" s="75"/>
    </row>
    <row r="836">
      <c r="A836" s="282"/>
      <c r="B836" s="125"/>
      <c r="C836" s="113"/>
      <c r="D836" s="75"/>
      <c r="E836" s="282"/>
      <c r="F836" s="125"/>
      <c r="G836" s="113"/>
      <c r="H836" s="75"/>
      <c r="I836" s="282"/>
      <c r="J836" s="125"/>
      <c r="K836" s="113"/>
      <c r="L836" s="75"/>
      <c r="M836" s="282"/>
      <c r="N836" s="125"/>
      <c r="O836" s="113"/>
      <c r="P836" s="75"/>
      <c r="Q836" s="282"/>
      <c r="R836" s="125"/>
      <c r="S836" s="113"/>
      <c r="T836" s="75"/>
      <c r="U836" s="282"/>
      <c r="V836" s="125"/>
      <c r="W836" s="113"/>
      <c r="X836" s="75"/>
      <c r="Y836" s="282"/>
      <c r="Z836" s="290"/>
      <c r="AA836" s="291"/>
      <c r="AB836" s="73"/>
      <c r="AC836" s="282"/>
      <c r="AD836" s="125"/>
      <c r="AE836" s="241"/>
      <c r="AF836" s="284"/>
      <c r="AG836" s="282"/>
      <c r="AH836" s="292"/>
      <c r="AI836" s="292"/>
      <c r="AJ836" s="292"/>
      <c r="AK836" s="282"/>
      <c r="AL836" s="75"/>
      <c r="AM836" s="75"/>
      <c r="AN836" s="75"/>
      <c r="AO836" s="282"/>
      <c r="AP836" s="75"/>
      <c r="AQ836" s="75"/>
      <c r="AR836" s="75"/>
      <c r="AS836" s="75"/>
      <c r="AT836" s="75"/>
    </row>
    <row r="837">
      <c r="A837" s="282"/>
      <c r="B837" s="125"/>
      <c r="C837" s="113"/>
      <c r="D837" s="75"/>
      <c r="E837" s="282"/>
      <c r="F837" s="125"/>
      <c r="G837" s="113"/>
      <c r="H837" s="75"/>
      <c r="I837" s="282"/>
      <c r="J837" s="125"/>
      <c r="K837" s="113"/>
      <c r="L837" s="75"/>
      <c r="M837" s="282"/>
      <c r="N837" s="125"/>
      <c r="O837" s="113"/>
      <c r="P837" s="75"/>
      <c r="Q837" s="282"/>
      <c r="R837" s="125"/>
      <c r="S837" s="113"/>
      <c r="T837" s="75"/>
      <c r="U837" s="282"/>
      <c r="V837" s="125"/>
      <c r="W837" s="113"/>
      <c r="X837" s="75"/>
      <c r="Y837" s="282"/>
      <c r="Z837" s="290"/>
      <c r="AA837" s="291"/>
      <c r="AB837" s="73"/>
      <c r="AC837" s="282"/>
      <c r="AD837" s="125"/>
      <c r="AE837" s="241"/>
      <c r="AF837" s="284"/>
      <c r="AG837" s="282"/>
      <c r="AH837" s="292"/>
      <c r="AI837" s="292"/>
      <c r="AJ837" s="292"/>
      <c r="AK837" s="282"/>
      <c r="AL837" s="75"/>
      <c r="AM837" s="75"/>
      <c r="AN837" s="75"/>
      <c r="AO837" s="282"/>
      <c r="AP837" s="75"/>
      <c r="AQ837" s="75"/>
      <c r="AR837" s="75"/>
      <c r="AS837" s="75"/>
      <c r="AT837" s="75"/>
    </row>
    <row r="838">
      <c r="A838" s="282"/>
      <c r="B838" s="125"/>
      <c r="C838" s="113"/>
      <c r="D838" s="75"/>
      <c r="E838" s="282"/>
      <c r="F838" s="125"/>
      <c r="G838" s="113"/>
      <c r="H838" s="75"/>
      <c r="I838" s="282"/>
      <c r="J838" s="125"/>
      <c r="K838" s="113"/>
      <c r="L838" s="75"/>
      <c r="M838" s="282"/>
      <c r="N838" s="125"/>
      <c r="O838" s="113"/>
      <c r="P838" s="75"/>
      <c r="Q838" s="282"/>
      <c r="R838" s="125"/>
      <c r="S838" s="113"/>
      <c r="T838" s="75"/>
      <c r="U838" s="282"/>
      <c r="V838" s="125"/>
      <c r="W838" s="113"/>
      <c r="X838" s="75"/>
      <c r="Y838" s="282"/>
      <c r="Z838" s="290"/>
      <c r="AA838" s="291"/>
      <c r="AB838" s="73"/>
      <c r="AC838" s="282"/>
      <c r="AD838" s="125"/>
      <c r="AE838" s="241"/>
      <c r="AF838" s="284"/>
      <c r="AG838" s="282"/>
      <c r="AH838" s="292"/>
      <c r="AI838" s="292"/>
      <c r="AJ838" s="292"/>
      <c r="AK838" s="282"/>
      <c r="AL838" s="75"/>
      <c r="AM838" s="75"/>
      <c r="AN838" s="75"/>
      <c r="AO838" s="282"/>
      <c r="AP838" s="75"/>
      <c r="AQ838" s="75"/>
      <c r="AR838" s="75"/>
      <c r="AS838" s="75"/>
      <c r="AT838" s="75"/>
    </row>
    <row r="839">
      <c r="A839" s="282"/>
      <c r="B839" s="125"/>
      <c r="C839" s="113"/>
      <c r="D839" s="75"/>
      <c r="E839" s="282"/>
      <c r="F839" s="125"/>
      <c r="G839" s="113"/>
      <c r="H839" s="75"/>
      <c r="I839" s="282"/>
      <c r="J839" s="125"/>
      <c r="K839" s="113"/>
      <c r="L839" s="75"/>
      <c r="M839" s="282"/>
      <c r="N839" s="125"/>
      <c r="O839" s="113"/>
      <c r="P839" s="75"/>
      <c r="Q839" s="282"/>
      <c r="R839" s="125"/>
      <c r="S839" s="113"/>
      <c r="T839" s="75"/>
      <c r="U839" s="282"/>
      <c r="V839" s="125"/>
      <c r="W839" s="113"/>
      <c r="X839" s="75"/>
      <c r="Y839" s="282"/>
      <c r="Z839" s="290"/>
      <c r="AA839" s="291"/>
      <c r="AB839" s="73"/>
      <c r="AC839" s="282"/>
      <c r="AD839" s="125"/>
      <c r="AE839" s="241"/>
      <c r="AF839" s="284"/>
      <c r="AG839" s="282"/>
      <c r="AH839" s="292"/>
      <c r="AI839" s="292"/>
      <c r="AJ839" s="292"/>
      <c r="AK839" s="282"/>
      <c r="AL839" s="75"/>
      <c r="AM839" s="75"/>
      <c r="AN839" s="75"/>
      <c r="AO839" s="282"/>
      <c r="AP839" s="75"/>
      <c r="AQ839" s="75"/>
      <c r="AR839" s="75"/>
      <c r="AS839" s="75"/>
      <c r="AT839" s="75"/>
    </row>
    <row r="840">
      <c r="A840" s="282"/>
      <c r="B840" s="125"/>
      <c r="C840" s="113"/>
      <c r="D840" s="75"/>
      <c r="E840" s="282"/>
      <c r="F840" s="125"/>
      <c r="G840" s="113"/>
      <c r="H840" s="75"/>
      <c r="I840" s="282"/>
      <c r="J840" s="125"/>
      <c r="K840" s="113"/>
      <c r="L840" s="75"/>
      <c r="M840" s="282"/>
      <c r="N840" s="125"/>
      <c r="O840" s="113"/>
      <c r="P840" s="75"/>
      <c r="Q840" s="282"/>
      <c r="R840" s="125"/>
      <c r="S840" s="113"/>
      <c r="T840" s="75"/>
      <c r="U840" s="282"/>
      <c r="V840" s="125"/>
      <c r="W840" s="113"/>
      <c r="X840" s="75"/>
      <c r="Y840" s="282"/>
      <c r="Z840" s="290"/>
      <c r="AA840" s="291"/>
      <c r="AB840" s="73"/>
      <c r="AC840" s="282"/>
      <c r="AD840" s="125"/>
      <c r="AE840" s="241"/>
      <c r="AF840" s="284"/>
      <c r="AG840" s="282"/>
      <c r="AH840" s="292"/>
      <c r="AI840" s="292"/>
      <c r="AJ840" s="292"/>
      <c r="AK840" s="282"/>
      <c r="AL840" s="75"/>
      <c r="AM840" s="75"/>
      <c r="AN840" s="75"/>
      <c r="AO840" s="282"/>
      <c r="AP840" s="75"/>
      <c r="AQ840" s="75"/>
      <c r="AR840" s="75"/>
      <c r="AS840" s="75"/>
      <c r="AT840" s="75"/>
    </row>
    <row r="841">
      <c r="A841" s="282"/>
      <c r="B841" s="125"/>
      <c r="C841" s="113"/>
      <c r="D841" s="75"/>
      <c r="E841" s="282"/>
      <c r="F841" s="125"/>
      <c r="G841" s="113"/>
      <c r="H841" s="75"/>
      <c r="I841" s="282"/>
      <c r="J841" s="125"/>
      <c r="K841" s="113"/>
      <c r="L841" s="75"/>
      <c r="M841" s="282"/>
      <c r="N841" s="125"/>
      <c r="O841" s="113"/>
      <c r="P841" s="75"/>
      <c r="Q841" s="282"/>
      <c r="R841" s="125"/>
      <c r="S841" s="113"/>
      <c r="T841" s="75"/>
      <c r="U841" s="282"/>
      <c r="V841" s="125"/>
      <c r="W841" s="113"/>
      <c r="X841" s="75"/>
      <c r="Y841" s="282"/>
      <c r="Z841" s="290"/>
      <c r="AA841" s="291"/>
      <c r="AB841" s="73"/>
      <c r="AC841" s="282"/>
      <c r="AD841" s="125"/>
      <c r="AE841" s="241"/>
      <c r="AF841" s="284"/>
      <c r="AG841" s="282"/>
      <c r="AH841" s="292"/>
      <c r="AI841" s="292"/>
      <c r="AJ841" s="292"/>
      <c r="AK841" s="282"/>
      <c r="AL841" s="75"/>
      <c r="AM841" s="75"/>
      <c r="AN841" s="75"/>
      <c r="AO841" s="282"/>
      <c r="AP841" s="75"/>
      <c r="AQ841" s="75"/>
      <c r="AR841" s="75"/>
      <c r="AS841" s="75"/>
      <c r="AT841" s="75"/>
    </row>
    <row r="842">
      <c r="A842" s="282"/>
      <c r="B842" s="125"/>
      <c r="C842" s="113"/>
      <c r="D842" s="75"/>
      <c r="E842" s="282"/>
      <c r="F842" s="125"/>
      <c r="G842" s="113"/>
      <c r="H842" s="75"/>
      <c r="I842" s="282"/>
      <c r="J842" s="125"/>
      <c r="K842" s="113"/>
      <c r="L842" s="75"/>
      <c r="M842" s="282"/>
      <c r="N842" s="125"/>
      <c r="O842" s="113"/>
      <c r="P842" s="75"/>
      <c r="Q842" s="282"/>
      <c r="R842" s="125"/>
      <c r="S842" s="113"/>
      <c r="T842" s="75"/>
      <c r="U842" s="282"/>
      <c r="V842" s="125"/>
      <c r="W842" s="113"/>
      <c r="X842" s="75"/>
      <c r="Y842" s="282"/>
      <c r="Z842" s="290"/>
      <c r="AA842" s="291"/>
      <c r="AB842" s="73"/>
      <c r="AC842" s="282"/>
      <c r="AD842" s="125"/>
      <c r="AE842" s="241"/>
      <c r="AF842" s="284"/>
      <c r="AG842" s="282"/>
      <c r="AH842" s="292"/>
      <c r="AI842" s="292"/>
      <c r="AJ842" s="292"/>
      <c r="AK842" s="282"/>
      <c r="AL842" s="75"/>
      <c r="AM842" s="75"/>
      <c r="AN842" s="75"/>
      <c r="AO842" s="282"/>
      <c r="AP842" s="75"/>
      <c r="AQ842" s="75"/>
      <c r="AR842" s="75"/>
      <c r="AS842" s="75"/>
      <c r="AT842" s="75"/>
    </row>
    <row r="843">
      <c r="A843" s="282"/>
      <c r="B843" s="125"/>
      <c r="C843" s="113"/>
      <c r="D843" s="75"/>
      <c r="E843" s="282"/>
      <c r="F843" s="125"/>
      <c r="G843" s="113"/>
      <c r="H843" s="75"/>
      <c r="I843" s="282"/>
      <c r="J843" s="125"/>
      <c r="K843" s="113"/>
      <c r="L843" s="75"/>
      <c r="M843" s="282"/>
      <c r="N843" s="125"/>
      <c r="O843" s="113"/>
      <c r="P843" s="75"/>
      <c r="Q843" s="282"/>
      <c r="R843" s="125"/>
      <c r="S843" s="113"/>
      <c r="T843" s="75"/>
      <c r="U843" s="282"/>
      <c r="V843" s="125"/>
      <c r="W843" s="113"/>
      <c r="X843" s="75"/>
      <c r="Y843" s="282"/>
      <c r="Z843" s="290"/>
      <c r="AA843" s="291"/>
      <c r="AB843" s="73"/>
      <c r="AC843" s="282"/>
      <c r="AD843" s="125"/>
      <c r="AE843" s="241"/>
      <c r="AF843" s="284"/>
      <c r="AG843" s="282"/>
      <c r="AH843" s="292"/>
      <c r="AI843" s="292"/>
      <c r="AJ843" s="292"/>
      <c r="AK843" s="282"/>
      <c r="AL843" s="75"/>
      <c r="AM843" s="75"/>
      <c r="AN843" s="75"/>
      <c r="AO843" s="282"/>
      <c r="AP843" s="75"/>
      <c r="AQ843" s="75"/>
      <c r="AR843" s="75"/>
      <c r="AS843" s="75"/>
      <c r="AT843" s="75"/>
    </row>
    <row r="844">
      <c r="A844" s="282"/>
      <c r="B844" s="125"/>
      <c r="C844" s="113"/>
      <c r="D844" s="75"/>
      <c r="E844" s="282"/>
      <c r="F844" s="125"/>
      <c r="G844" s="113"/>
      <c r="H844" s="75"/>
      <c r="I844" s="282"/>
      <c r="J844" s="125"/>
      <c r="K844" s="113"/>
      <c r="L844" s="75"/>
      <c r="M844" s="282"/>
      <c r="N844" s="125"/>
      <c r="O844" s="113"/>
      <c r="P844" s="75"/>
      <c r="Q844" s="282"/>
      <c r="R844" s="125"/>
      <c r="S844" s="113"/>
      <c r="T844" s="75"/>
      <c r="U844" s="282"/>
      <c r="V844" s="125"/>
      <c r="W844" s="113"/>
      <c r="X844" s="75"/>
      <c r="Y844" s="282"/>
      <c r="Z844" s="290"/>
      <c r="AA844" s="291"/>
      <c r="AB844" s="73"/>
      <c r="AC844" s="282"/>
      <c r="AD844" s="125"/>
      <c r="AE844" s="241"/>
      <c r="AF844" s="284"/>
      <c r="AG844" s="282"/>
      <c r="AH844" s="292"/>
      <c r="AI844" s="292"/>
      <c r="AJ844" s="292"/>
      <c r="AK844" s="282"/>
      <c r="AL844" s="75"/>
      <c r="AM844" s="75"/>
      <c r="AN844" s="75"/>
      <c r="AO844" s="282"/>
      <c r="AP844" s="75"/>
      <c r="AQ844" s="75"/>
      <c r="AR844" s="75"/>
      <c r="AS844" s="75"/>
      <c r="AT844" s="75"/>
    </row>
    <row r="845">
      <c r="A845" s="282"/>
      <c r="B845" s="125"/>
      <c r="C845" s="113"/>
      <c r="D845" s="75"/>
      <c r="E845" s="282"/>
      <c r="F845" s="125"/>
      <c r="G845" s="113"/>
      <c r="H845" s="75"/>
      <c r="I845" s="282"/>
      <c r="J845" s="125"/>
      <c r="K845" s="113"/>
      <c r="L845" s="75"/>
      <c r="M845" s="282"/>
      <c r="N845" s="125"/>
      <c r="O845" s="113"/>
      <c r="P845" s="75"/>
      <c r="Q845" s="282"/>
      <c r="R845" s="125"/>
      <c r="S845" s="113"/>
      <c r="T845" s="75"/>
      <c r="U845" s="282"/>
      <c r="V845" s="125"/>
      <c r="W845" s="113"/>
      <c r="X845" s="75"/>
      <c r="Y845" s="282"/>
      <c r="Z845" s="290"/>
      <c r="AA845" s="291"/>
      <c r="AB845" s="73"/>
      <c r="AC845" s="282"/>
      <c r="AD845" s="125"/>
      <c r="AE845" s="241"/>
      <c r="AF845" s="284"/>
      <c r="AG845" s="282"/>
      <c r="AH845" s="292"/>
      <c r="AI845" s="292"/>
      <c r="AJ845" s="292"/>
      <c r="AK845" s="282"/>
      <c r="AL845" s="75"/>
      <c r="AM845" s="75"/>
      <c r="AN845" s="75"/>
      <c r="AO845" s="282"/>
      <c r="AP845" s="75"/>
      <c r="AQ845" s="75"/>
      <c r="AR845" s="75"/>
      <c r="AS845" s="75"/>
      <c r="AT845" s="75"/>
    </row>
    <row r="846">
      <c r="A846" s="282"/>
      <c r="B846" s="125"/>
      <c r="C846" s="113"/>
      <c r="D846" s="75"/>
      <c r="E846" s="282"/>
      <c r="F846" s="125"/>
      <c r="G846" s="113"/>
      <c r="H846" s="75"/>
      <c r="I846" s="282"/>
      <c r="J846" s="125"/>
      <c r="K846" s="113"/>
      <c r="L846" s="75"/>
      <c r="M846" s="282"/>
      <c r="N846" s="125"/>
      <c r="O846" s="113"/>
      <c r="P846" s="75"/>
      <c r="Q846" s="282"/>
      <c r="R846" s="125"/>
      <c r="S846" s="113"/>
      <c r="T846" s="75"/>
      <c r="U846" s="282"/>
      <c r="V846" s="125"/>
      <c r="W846" s="113"/>
      <c r="X846" s="75"/>
      <c r="Y846" s="282"/>
      <c r="Z846" s="290"/>
      <c r="AA846" s="291"/>
      <c r="AB846" s="73"/>
      <c r="AC846" s="282"/>
      <c r="AD846" s="125"/>
      <c r="AE846" s="241"/>
      <c r="AF846" s="284"/>
      <c r="AG846" s="282"/>
      <c r="AH846" s="292"/>
      <c r="AI846" s="292"/>
      <c r="AJ846" s="292"/>
      <c r="AK846" s="282"/>
      <c r="AL846" s="75"/>
      <c r="AM846" s="75"/>
      <c r="AN846" s="75"/>
      <c r="AO846" s="282"/>
      <c r="AP846" s="75"/>
      <c r="AQ846" s="75"/>
      <c r="AR846" s="75"/>
      <c r="AS846" s="75"/>
      <c r="AT846" s="75"/>
    </row>
    <row r="847">
      <c r="A847" s="282"/>
      <c r="B847" s="125"/>
      <c r="C847" s="113"/>
      <c r="D847" s="75"/>
      <c r="E847" s="282"/>
      <c r="F847" s="125"/>
      <c r="G847" s="113"/>
      <c r="H847" s="75"/>
      <c r="I847" s="282"/>
      <c r="J847" s="125"/>
      <c r="K847" s="113"/>
      <c r="L847" s="75"/>
      <c r="M847" s="282"/>
      <c r="N847" s="125"/>
      <c r="O847" s="113"/>
      <c r="P847" s="75"/>
      <c r="Q847" s="282"/>
      <c r="R847" s="125"/>
      <c r="S847" s="113"/>
      <c r="T847" s="75"/>
      <c r="U847" s="282"/>
      <c r="V847" s="125"/>
      <c r="W847" s="113"/>
      <c r="X847" s="75"/>
      <c r="Y847" s="282"/>
      <c r="Z847" s="290"/>
      <c r="AA847" s="291"/>
      <c r="AB847" s="73"/>
      <c r="AC847" s="282"/>
      <c r="AD847" s="125"/>
      <c r="AE847" s="241"/>
      <c r="AF847" s="284"/>
      <c r="AG847" s="282"/>
      <c r="AH847" s="292"/>
      <c r="AI847" s="292"/>
      <c r="AJ847" s="292"/>
      <c r="AK847" s="282"/>
      <c r="AL847" s="75"/>
      <c r="AM847" s="75"/>
      <c r="AN847" s="75"/>
      <c r="AO847" s="282"/>
      <c r="AP847" s="75"/>
      <c r="AQ847" s="75"/>
      <c r="AR847" s="75"/>
      <c r="AS847" s="75"/>
      <c r="AT847" s="75"/>
    </row>
    <row r="848">
      <c r="A848" s="282"/>
      <c r="B848" s="125"/>
      <c r="C848" s="113"/>
      <c r="D848" s="75"/>
      <c r="E848" s="282"/>
      <c r="F848" s="125"/>
      <c r="G848" s="113"/>
      <c r="H848" s="75"/>
      <c r="I848" s="282"/>
      <c r="J848" s="125"/>
      <c r="K848" s="113"/>
      <c r="L848" s="75"/>
      <c r="M848" s="282"/>
      <c r="N848" s="125"/>
      <c r="O848" s="113"/>
      <c r="P848" s="75"/>
      <c r="Q848" s="282"/>
      <c r="R848" s="125"/>
      <c r="S848" s="113"/>
      <c r="T848" s="75"/>
      <c r="U848" s="282"/>
      <c r="V848" s="125"/>
      <c r="W848" s="113"/>
      <c r="X848" s="75"/>
      <c r="Y848" s="282"/>
      <c r="Z848" s="290"/>
      <c r="AA848" s="291"/>
      <c r="AB848" s="73"/>
      <c r="AC848" s="282"/>
      <c r="AD848" s="125"/>
      <c r="AE848" s="241"/>
      <c r="AF848" s="284"/>
      <c r="AG848" s="282"/>
      <c r="AH848" s="292"/>
      <c r="AI848" s="292"/>
      <c r="AJ848" s="292"/>
      <c r="AK848" s="282"/>
      <c r="AL848" s="75"/>
      <c r="AM848" s="75"/>
      <c r="AN848" s="75"/>
      <c r="AO848" s="282"/>
      <c r="AP848" s="75"/>
      <c r="AQ848" s="75"/>
      <c r="AR848" s="75"/>
      <c r="AS848" s="75"/>
      <c r="AT848" s="75"/>
    </row>
    <row r="849">
      <c r="A849" s="282"/>
      <c r="B849" s="125"/>
      <c r="C849" s="113"/>
      <c r="D849" s="75"/>
      <c r="E849" s="282"/>
      <c r="F849" s="125"/>
      <c r="G849" s="113"/>
      <c r="H849" s="75"/>
      <c r="I849" s="282"/>
      <c r="J849" s="125"/>
      <c r="K849" s="113"/>
      <c r="L849" s="75"/>
      <c r="M849" s="282"/>
      <c r="N849" s="125"/>
      <c r="O849" s="113"/>
      <c r="P849" s="75"/>
      <c r="Q849" s="282"/>
      <c r="R849" s="125"/>
      <c r="S849" s="113"/>
      <c r="T849" s="75"/>
      <c r="U849" s="282"/>
      <c r="V849" s="125"/>
      <c r="W849" s="113"/>
      <c r="X849" s="75"/>
      <c r="Y849" s="282"/>
      <c r="Z849" s="290"/>
      <c r="AA849" s="291"/>
      <c r="AB849" s="73"/>
      <c r="AC849" s="282"/>
      <c r="AD849" s="125"/>
      <c r="AE849" s="241"/>
      <c r="AF849" s="284"/>
      <c r="AG849" s="282"/>
      <c r="AH849" s="292"/>
      <c r="AI849" s="292"/>
      <c r="AJ849" s="292"/>
      <c r="AK849" s="282"/>
      <c r="AL849" s="75"/>
      <c r="AM849" s="75"/>
      <c r="AN849" s="75"/>
      <c r="AO849" s="282"/>
      <c r="AP849" s="75"/>
      <c r="AQ849" s="75"/>
      <c r="AR849" s="75"/>
      <c r="AS849" s="75"/>
      <c r="AT849" s="75"/>
    </row>
    <row r="850">
      <c r="A850" s="282"/>
      <c r="B850" s="125"/>
      <c r="C850" s="113"/>
      <c r="D850" s="75"/>
      <c r="E850" s="282"/>
      <c r="F850" s="125"/>
      <c r="G850" s="113"/>
      <c r="H850" s="75"/>
      <c r="I850" s="282"/>
      <c r="J850" s="125"/>
      <c r="K850" s="113"/>
      <c r="L850" s="75"/>
      <c r="M850" s="282"/>
      <c r="N850" s="125"/>
      <c r="O850" s="113"/>
      <c r="P850" s="75"/>
      <c r="Q850" s="282"/>
      <c r="R850" s="125"/>
      <c r="S850" s="113"/>
      <c r="T850" s="75"/>
      <c r="U850" s="282"/>
      <c r="V850" s="125"/>
      <c r="W850" s="113"/>
      <c r="X850" s="75"/>
      <c r="Y850" s="282"/>
      <c r="Z850" s="290"/>
      <c r="AA850" s="291"/>
      <c r="AB850" s="73"/>
      <c r="AC850" s="282"/>
      <c r="AD850" s="125"/>
      <c r="AE850" s="241"/>
      <c r="AF850" s="284"/>
      <c r="AG850" s="282"/>
      <c r="AH850" s="292"/>
      <c r="AI850" s="292"/>
      <c r="AJ850" s="292"/>
      <c r="AK850" s="282"/>
      <c r="AL850" s="75"/>
      <c r="AM850" s="75"/>
      <c r="AN850" s="75"/>
      <c r="AO850" s="282"/>
      <c r="AP850" s="75"/>
      <c r="AQ850" s="75"/>
      <c r="AR850" s="75"/>
      <c r="AS850" s="75"/>
      <c r="AT850" s="75"/>
    </row>
    <row r="851">
      <c r="A851" s="282"/>
      <c r="B851" s="125"/>
      <c r="C851" s="113"/>
      <c r="D851" s="75"/>
      <c r="E851" s="282"/>
      <c r="F851" s="125"/>
      <c r="G851" s="113"/>
      <c r="H851" s="75"/>
      <c r="I851" s="282"/>
      <c r="J851" s="125"/>
      <c r="K851" s="113"/>
      <c r="L851" s="75"/>
      <c r="M851" s="282"/>
      <c r="N851" s="125"/>
      <c r="O851" s="113"/>
      <c r="P851" s="75"/>
      <c r="Q851" s="282"/>
      <c r="R851" s="125"/>
      <c r="S851" s="113"/>
      <c r="T851" s="75"/>
      <c r="U851" s="282"/>
      <c r="V851" s="125"/>
      <c r="W851" s="113"/>
      <c r="X851" s="75"/>
      <c r="Y851" s="282"/>
      <c r="Z851" s="290"/>
      <c r="AA851" s="291"/>
      <c r="AB851" s="73"/>
      <c r="AC851" s="282"/>
      <c r="AD851" s="125"/>
      <c r="AE851" s="241"/>
      <c r="AF851" s="284"/>
      <c r="AG851" s="282"/>
      <c r="AH851" s="292"/>
      <c r="AI851" s="292"/>
      <c r="AJ851" s="292"/>
      <c r="AK851" s="282"/>
      <c r="AL851" s="75"/>
      <c r="AM851" s="75"/>
      <c r="AN851" s="75"/>
      <c r="AO851" s="282"/>
      <c r="AP851" s="75"/>
      <c r="AQ851" s="75"/>
      <c r="AR851" s="75"/>
      <c r="AS851" s="75"/>
      <c r="AT851" s="75"/>
    </row>
    <row r="852">
      <c r="A852" s="282"/>
      <c r="B852" s="125"/>
      <c r="C852" s="113"/>
      <c r="D852" s="75"/>
      <c r="E852" s="282"/>
      <c r="F852" s="125"/>
      <c r="G852" s="113"/>
      <c r="H852" s="75"/>
      <c r="I852" s="282"/>
      <c r="J852" s="125"/>
      <c r="K852" s="113"/>
      <c r="L852" s="75"/>
      <c r="M852" s="282"/>
      <c r="N852" s="125"/>
      <c r="O852" s="113"/>
      <c r="P852" s="75"/>
      <c r="Q852" s="282"/>
      <c r="R852" s="125"/>
      <c r="S852" s="113"/>
      <c r="T852" s="75"/>
      <c r="U852" s="282"/>
      <c r="V852" s="125"/>
      <c r="W852" s="113"/>
      <c r="X852" s="75"/>
      <c r="Y852" s="282"/>
      <c r="Z852" s="290"/>
      <c r="AA852" s="291"/>
      <c r="AB852" s="73"/>
      <c r="AC852" s="282"/>
      <c r="AD852" s="125"/>
      <c r="AE852" s="241"/>
      <c r="AF852" s="284"/>
      <c r="AG852" s="282"/>
      <c r="AH852" s="292"/>
      <c r="AI852" s="292"/>
      <c r="AJ852" s="292"/>
      <c r="AK852" s="282"/>
      <c r="AL852" s="75"/>
      <c r="AM852" s="75"/>
      <c r="AN852" s="75"/>
      <c r="AO852" s="282"/>
      <c r="AP852" s="75"/>
      <c r="AQ852" s="75"/>
      <c r="AR852" s="75"/>
      <c r="AS852" s="75"/>
      <c r="AT852" s="75"/>
    </row>
    <row r="853">
      <c r="A853" s="282"/>
      <c r="B853" s="125"/>
      <c r="C853" s="113"/>
      <c r="D853" s="75"/>
      <c r="E853" s="282"/>
      <c r="F853" s="125"/>
      <c r="G853" s="113"/>
      <c r="H853" s="75"/>
      <c r="I853" s="282"/>
      <c r="J853" s="125"/>
      <c r="K853" s="113"/>
      <c r="L853" s="75"/>
      <c r="M853" s="282"/>
      <c r="N853" s="125"/>
      <c r="O853" s="113"/>
      <c r="P853" s="75"/>
      <c r="Q853" s="282"/>
      <c r="R853" s="125"/>
      <c r="S853" s="113"/>
      <c r="T853" s="75"/>
      <c r="U853" s="282"/>
      <c r="V853" s="125"/>
      <c r="W853" s="113"/>
      <c r="X853" s="75"/>
      <c r="Y853" s="282"/>
      <c r="Z853" s="290"/>
      <c r="AA853" s="291"/>
      <c r="AB853" s="73"/>
      <c r="AC853" s="282"/>
      <c r="AD853" s="125"/>
      <c r="AE853" s="241"/>
      <c r="AF853" s="284"/>
      <c r="AG853" s="282"/>
      <c r="AH853" s="292"/>
      <c r="AI853" s="292"/>
      <c r="AJ853" s="292"/>
      <c r="AK853" s="282"/>
      <c r="AL853" s="75"/>
      <c r="AM853" s="75"/>
      <c r="AN853" s="75"/>
      <c r="AO853" s="282"/>
      <c r="AP853" s="75"/>
      <c r="AQ853" s="75"/>
      <c r="AR853" s="75"/>
      <c r="AS853" s="75"/>
      <c r="AT853" s="75"/>
    </row>
    <row r="854">
      <c r="A854" s="282"/>
      <c r="B854" s="125"/>
      <c r="C854" s="113"/>
      <c r="D854" s="75"/>
      <c r="E854" s="282"/>
      <c r="F854" s="125"/>
      <c r="G854" s="113"/>
      <c r="H854" s="75"/>
      <c r="I854" s="282"/>
      <c r="J854" s="125"/>
      <c r="K854" s="113"/>
      <c r="L854" s="75"/>
      <c r="M854" s="282"/>
      <c r="N854" s="125"/>
      <c r="O854" s="113"/>
      <c r="P854" s="75"/>
      <c r="Q854" s="282"/>
      <c r="R854" s="125"/>
      <c r="S854" s="113"/>
      <c r="T854" s="75"/>
      <c r="U854" s="282"/>
      <c r="V854" s="125"/>
      <c r="W854" s="113"/>
      <c r="X854" s="75"/>
      <c r="Y854" s="282"/>
      <c r="Z854" s="290"/>
      <c r="AA854" s="291"/>
      <c r="AB854" s="73"/>
      <c r="AC854" s="282"/>
      <c r="AD854" s="125"/>
      <c r="AE854" s="241"/>
      <c r="AF854" s="284"/>
      <c r="AG854" s="282"/>
      <c r="AH854" s="292"/>
      <c r="AI854" s="292"/>
      <c r="AJ854" s="292"/>
      <c r="AK854" s="282"/>
      <c r="AL854" s="75"/>
      <c r="AM854" s="75"/>
      <c r="AN854" s="75"/>
      <c r="AO854" s="282"/>
      <c r="AP854" s="75"/>
      <c r="AQ854" s="75"/>
      <c r="AR854" s="75"/>
      <c r="AS854" s="75"/>
      <c r="AT854" s="75"/>
    </row>
    <row r="855">
      <c r="A855" s="282"/>
      <c r="B855" s="125"/>
      <c r="C855" s="113"/>
      <c r="D855" s="75"/>
      <c r="E855" s="282"/>
      <c r="F855" s="125"/>
      <c r="G855" s="113"/>
      <c r="H855" s="75"/>
      <c r="I855" s="282"/>
      <c r="J855" s="125"/>
      <c r="K855" s="113"/>
      <c r="L855" s="75"/>
      <c r="M855" s="282"/>
      <c r="N855" s="125"/>
      <c r="O855" s="113"/>
      <c r="P855" s="75"/>
      <c r="Q855" s="282"/>
      <c r="R855" s="125"/>
      <c r="S855" s="113"/>
      <c r="T855" s="75"/>
      <c r="U855" s="282"/>
      <c r="V855" s="125"/>
      <c r="W855" s="113"/>
      <c r="X855" s="75"/>
      <c r="Y855" s="282"/>
      <c r="Z855" s="290"/>
      <c r="AA855" s="291"/>
      <c r="AB855" s="73"/>
      <c r="AC855" s="282"/>
      <c r="AD855" s="125"/>
      <c r="AE855" s="241"/>
      <c r="AF855" s="284"/>
      <c r="AG855" s="282"/>
      <c r="AH855" s="292"/>
      <c r="AI855" s="292"/>
      <c r="AJ855" s="292"/>
      <c r="AK855" s="282"/>
      <c r="AL855" s="75"/>
      <c r="AM855" s="75"/>
      <c r="AN855" s="75"/>
      <c r="AO855" s="282"/>
      <c r="AP855" s="75"/>
      <c r="AQ855" s="75"/>
      <c r="AR855" s="75"/>
      <c r="AS855" s="75"/>
      <c r="AT855" s="75"/>
    </row>
    <row r="856">
      <c r="A856" s="282"/>
      <c r="B856" s="125"/>
      <c r="C856" s="113"/>
      <c r="D856" s="75"/>
      <c r="E856" s="282"/>
      <c r="F856" s="125"/>
      <c r="G856" s="113"/>
      <c r="H856" s="75"/>
      <c r="I856" s="282"/>
      <c r="J856" s="125"/>
      <c r="K856" s="113"/>
      <c r="L856" s="75"/>
      <c r="M856" s="282"/>
      <c r="N856" s="125"/>
      <c r="O856" s="113"/>
      <c r="P856" s="75"/>
      <c r="Q856" s="282"/>
      <c r="R856" s="125"/>
      <c r="S856" s="113"/>
      <c r="T856" s="75"/>
      <c r="U856" s="282"/>
      <c r="V856" s="125"/>
      <c r="W856" s="113"/>
      <c r="X856" s="75"/>
      <c r="Y856" s="282"/>
      <c r="Z856" s="290"/>
      <c r="AA856" s="291"/>
      <c r="AB856" s="73"/>
      <c r="AC856" s="282"/>
      <c r="AD856" s="125"/>
      <c r="AE856" s="241"/>
      <c r="AF856" s="284"/>
      <c r="AG856" s="282"/>
      <c r="AH856" s="292"/>
      <c r="AI856" s="292"/>
      <c r="AJ856" s="292"/>
      <c r="AK856" s="282"/>
      <c r="AL856" s="75"/>
      <c r="AM856" s="75"/>
      <c r="AN856" s="75"/>
      <c r="AO856" s="282"/>
      <c r="AP856" s="75"/>
      <c r="AQ856" s="75"/>
      <c r="AR856" s="75"/>
      <c r="AS856" s="75"/>
      <c r="AT856" s="75"/>
    </row>
    <row r="857">
      <c r="A857" s="282"/>
      <c r="B857" s="125"/>
      <c r="C857" s="113"/>
      <c r="D857" s="75"/>
      <c r="E857" s="282"/>
      <c r="F857" s="125"/>
      <c r="G857" s="113"/>
      <c r="H857" s="75"/>
      <c r="I857" s="282"/>
      <c r="J857" s="125"/>
      <c r="K857" s="113"/>
      <c r="L857" s="75"/>
      <c r="M857" s="282"/>
      <c r="N857" s="125"/>
      <c r="O857" s="113"/>
      <c r="P857" s="75"/>
      <c r="Q857" s="282"/>
      <c r="R857" s="125"/>
      <c r="S857" s="113"/>
      <c r="T857" s="75"/>
      <c r="U857" s="282"/>
      <c r="V857" s="125"/>
      <c r="W857" s="113"/>
      <c r="X857" s="75"/>
      <c r="Y857" s="282"/>
      <c r="Z857" s="290"/>
      <c r="AA857" s="291"/>
      <c r="AB857" s="73"/>
      <c r="AC857" s="282"/>
      <c r="AD857" s="125"/>
      <c r="AE857" s="241"/>
      <c r="AF857" s="284"/>
      <c r="AG857" s="282"/>
      <c r="AH857" s="292"/>
      <c r="AI857" s="292"/>
      <c r="AJ857" s="292"/>
      <c r="AK857" s="282"/>
      <c r="AL857" s="75"/>
      <c r="AM857" s="75"/>
      <c r="AN857" s="75"/>
      <c r="AO857" s="282"/>
      <c r="AP857" s="75"/>
      <c r="AQ857" s="75"/>
      <c r="AR857" s="75"/>
      <c r="AS857" s="75"/>
      <c r="AT857" s="75"/>
    </row>
    <row r="858">
      <c r="A858" s="282"/>
      <c r="B858" s="125"/>
      <c r="C858" s="113"/>
      <c r="D858" s="75"/>
      <c r="E858" s="282"/>
      <c r="F858" s="125"/>
      <c r="G858" s="113"/>
      <c r="H858" s="75"/>
      <c r="I858" s="282"/>
      <c r="J858" s="125"/>
      <c r="K858" s="113"/>
      <c r="L858" s="75"/>
      <c r="M858" s="282"/>
      <c r="N858" s="125"/>
      <c r="O858" s="113"/>
      <c r="P858" s="75"/>
      <c r="Q858" s="282"/>
      <c r="R858" s="125"/>
      <c r="S858" s="113"/>
      <c r="T858" s="75"/>
      <c r="U858" s="282"/>
      <c r="V858" s="125"/>
      <c r="W858" s="113"/>
      <c r="X858" s="75"/>
      <c r="Y858" s="282"/>
      <c r="Z858" s="290"/>
      <c r="AA858" s="291"/>
      <c r="AB858" s="73"/>
      <c r="AC858" s="282"/>
      <c r="AD858" s="125"/>
      <c r="AE858" s="241"/>
      <c r="AF858" s="284"/>
      <c r="AG858" s="282"/>
      <c r="AH858" s="292"/>
      <c r="AI858" s="292"/>
      <c r="AJ858" s="292"/>
      <c r="AK858" s="282"/>
      <c r="AL858" s="75"/>
      <c r="AM858" s="75"/>
      <c r="AN858" s="75"/>
      <c r="AO858" s="282"/>
      <c r="AP858" s="75"/>
      <c r="AQ858" s="75"/>
      <c r="AR858" s="75"/>
      <c r="AS858" s="75"/>
      <c r="AT858" s="75"/>
    </row>
    <row r="859">
      <c r="A859" s="282"/>
      <c r="B859" s="125"/>
      <c r="C859" s="113"/>
      <c r="D859" s="75"/>
      <c r="E859" s="282"/>
      <c r="F859" s="125"/>
      <c r="G859" s="113"/>
      <c r="H859" s="75"/>
      <c r="I859" s="282"/>
      <c r="J859" s="125"/>
      <c r="K859" s="113"/>
      <c r="L859" s="75"/>
      <c r="M859" s="282"/>
      <c r="N859" s="125"/>
      <c r="O859" s="113"/>
      <c r="P859" s="75"/>
      <c r="Q859" s="282"/>
      <c r="R859" s="125"/>
      <c r="S859" s="113"/>
      <c r="T859" s="75"/>
      <c r="U859" s="282"/>
      <c r="V859" s="125"/>
      <c r="W859" s="113"/>
      <c r="X859" s="75"/>
      <c r="Y859" s="282"/>
      <c r="Z859" s="290"/>
      <c r="AA859" s="291"/>
      <c r="AB859" s="73"/>
      <c r="AC859" s="282"/>
      <c r="AD859" s="125"/>
      <c r="AE859" s="241"/>
      <c r="AF859" s="284"/>
      <c r="AG859" s="282"/>
      <c r="AH859" s="292"/>
      <c r="AI859" s="292"/>
      <c r="AJ859" s="292"/>
      <c r="AK859" s="282"/>
      <c r="AL859" s="75"/>
      <c r="AM859" s="75"/>
      <c r="AN859" s="75"/>
      <c r="AO859" s="282"/>
      <c r="AP859" s="75"/>
      <c r="AQ859" s="75"/>
      <c r="AR859" s="75"/>
      <c r="AS859" s="75"/>
      <c r="AT859" s="75"/>
    </row>
    <row r="860">
      <c r="A860" s="282"/>
      <c r="B860" s="125"/>
      <c r="C860" s="113"/>
      <c r="D860" s="75"/>
      <c r="E860" s="282"/>
      <c r="F860" s="125"/>
      <c r="G860" s="113"/>
      <c r="H860" s="75"/>
      <c r="I860" s="282"/>
      <c r="J860" s="125"/>
      <c r="K860" s="113"/>
      <c r="L860" s="75"/>
      <c r="M860" s="282"/>
      <c r="N860" s="125"/>
      <c r="O860" s="113"/>
      <c r="P860" s="75"/>
      <c r="Q860" s="282"/>
      <c r="R860" s="125"/>
      <c r="S860" s="113"/>
      <c r="T860" s="75"/>
      <c r="U860" s="282"/>
      <c r="V860" s="125"/>
      <c r="W860" s="113"/>
      <c r="X860" s="75"/>
      <c r="Y860" s="282"/>
      <c r="Z860" s="290"/>
      <c r="AA860" s="291"/>
      <c r="AB860" s="73"/>
      <c r="AC860" s="282"/>
      <c r="AD860" s="125"/>
      <c r="AE860" s="241"/>
      <c r="AF860" s="284"/>
      <c r="AG860" s="282"/>
      <c r="AH860" s="292"/>
      <c r="AI860" s="292"/>
      <c r="AJ860" s="292"/>
      <c r="AK860" s="282"/>
      <c r="AL860" s="75"/>
      <c r="AM860" s="75"/>
      <c r="AN860" s="75"/>
      <c r="AO860" s="282"/>
      <c r="AP860" s="75"/>
      <c r="AQ860" s="75"/>
      <c r="AR860" s="75"/>
      <c r="AS860" s="75"/>
      <c r="AT860" s="75"/>
    </row>
    <row r="861">
      <c r="A861" s="282"/>
      <c r="B861" s="125"/>
      <c r="C861" s="113"/>
      <c r="D861" s="75"/>
      <c r="E861" s="282"/>
      <c r="F861" s="125"/>
      <c r="G861" s="113"/>
      <c r="H861" s="75"/>
      <c r="I861" s="282"/>
      <c r="J861" s="125"/>
      <c r="K861" s="113"/>
      <c r="L861" s="75"/>
      <c r="M861" s="282"/>
      <c r="N861" s="125"/>
      <c r="O861" s="113"/>
      <c r="P861" s="75"/>
      <c r="Q861" s="282"/>
      <c r="R861" s="125"/>
      <c r="S861" s="113"/>
      <c r="T861" s="75"/>
      <c r="U861" s="282"/>
      <c r="V861" s="125"/>
      <c r="W861" s="113"/>
      <c r="X861" s="75"/>
      <c r="Y861" s="282"/>
      <c r="Z861" s="290"/>
      <c r="AA861" s="291"/>
      <c r="AB861" s="73"/>
      <c r="AC861" s="282"/>
      <c r="AD861" s="125"/>
      <c r="AE861" s="241"/>
      <c r="AF861" s="284"/>
      <c r="AG861" s="282"/>
      <c r="AH861" s="292"/>
      <c r="AI861" s="292"/>
      <c r="AJ861" s="292"/>
      <c r="AK861" s="282"/>
      <c r="AL861" s="75"/>
      <c r="AM861" s="75"/>
      <c r="AN861" s="75"/>
      <c r="AO861" s="282"/>
      <c r="AP861" s="75"/>
      <c r="AQ861" s="75"/>
      <c r="AR861" s="75"/>
      <c r="AS861" s="75"/>
      <c r="AT861" s="75"/>
    </row>
    <row r="862">
      <c r="A862" s="282"/>
      <c r="B862" s="125"/>
      <c r="C862" s="113"/>
      <c r="D862" s="75"/>
      <c r="E862" s="282"/>
      <c r="F862" s="125"/>
      <c r="G862" s="113"/>
      <c r="H862" s="75"/>
      <c r="I862" s="282"/>
      <c r="J862" s="125"/>
      <c r="K862" s="113"/>
      <c r="L862" s="75"/>
      <c r="M862" s="282"/>
      <c r="N862" s="125"/>
      <c r="O862" s="113"/>
      <c r="P862" s="75"/>
      <c r="Q862" s="282"/>
      <c r="R862" s="125"/>
      <c r="S862" s="113"/>
      <c r="T862" s="75"/>
      <c r="U862" s="282"/>
      <c r="V862" s="125"/>
      <c r="W862" s="113"/>
      <c r="X862" s="75"/>
      <c r="Y862" s="282"/>
      <c r="Z862" s="290"/>
      <c r="AA862" s="291"/>
      <c r="AB862" s="73"/>
      <c r="AC862" s="282"/>
      <c r="AD862" s="125"/>
      <c r="AE862" s="241"/>
      <c r="AF862" s="284"/>
      <c r="AG862" s="282"/>
      <c r="AH862" s="292"/>
      <c r="AI862" s="292"/>
      <c r="AJ862" s="292"/>
      <c r="AK862" s="282"/>
      <c r="AL862" s="75"/>
      <c r="AM862" s="75"/>
      <c r="AN862" s="75"/>
      <c r="AO862" s="282"/>
      <c r="AP862" s="75"/>
      <c r="AQ862" s="75"/>
      <c r="AR862" s="75"/>
      <c r="AS862" s="75"/>
      <c r="AT862" s="75"/>
    </row>
    <row r="863">
      <c r="A863" s="282"/>
      <c r="B863" s="125"/>
      <c r="C863" s="113"/>
      <c r="D863" s="75"/>
      <c r="E863" s="282"/>
      <c r="F863" s="125"/>
      <c r="G863" s="113"/>
      <c r="H863" s="75"/>
      <c r="I863" s="282"/>
      <c r="J863" s="125"/>
      <c r="K863" s="113"/>
      <c r="L863" s="75"/>
      <c r="M863" s="282"/>
      <c r="N863" s="125"/>
      <c r="O863" s="113"/>
      <c r="P863" s="75"/>
      <c r="Q863" s="282"/>
      <c r="R863" s="125"/>
      <c r="S863" s="113"/>
      <c r="T863" s="75"/>
      <c r="U863" s="282"/>
      <c r="V863" s="125"/>
      <c r="W863" s="113"/>
      <c r="X863" s="75"/>
      <c r="Y863" s="282"/>
      <c r="Z863" s="290"/>
      <c r="AA863" s="291"/>
      <c r="AB863" s="73"/>
      <c r="AC863" s="282"/>
      <c r="AD863" s="125"/>
      <c r="AE863" s="241"/>
      <c r="AF863" s="284"/>
      <c r="AG863" s="282"/>
      <c r="AH863" s="292"/>
      <c r="AI863" s="292"/>
      <c r="AJ863" s="292"/>
      <c r="AK863" s="282"/>
      <c r="AL863" s="75"/>
      <c r="AM863" s="75"/>
      <c r="AN863" s="75"/>
      <c r="AO863" s="282"/>
      <c r="AP863" s="75"/>
      <c r="AQ863" s="75"/>
      <c r="AR863" s="75"/>
      <c r="AS863" s="75"/>
      <c r="AT863" s="75"/>
    </row>
    <row r="864">
      <c r="A864" s="282"/>
      <c r="B864" s="125"/>
      <c r="C864" s="113"/>
      <c r="D864" s="75"/>
      <c r="E864" s="282"/>
      <c r="F864" s="125"/>
      <c r="G864" s="113"/>
      <c r="H864" s="75"/>
      <c r="I864" s="282"/>
      <c r="J864" s="125"/>
      <c r="K864" s="113"/>
      <c r="L864" s="75"/>
      <c r="M864" s="282"/>
      <c r="N864" s="125"/>
      <c r="O864" s="113"/>
      <c r="P864" s="75"/>
      <c r="Q864" s="282"/>
      <c r="R864" s="125"/>
      <c r="S864" s="113"/>
      <c r="T864" s="75"/>
      <c r="U864" s="282"/>
      <c r="V864" s="125"/>
      <c r="W864" s="113"/>
      <c r="X864" s="75"/>
      <c r="Y864" s="282"/>
      <c r="Z864" s="290"/>
      <c r="AA864" s="291"/>
      <c r="AB864" s="73"/>
      <c r="AC864" s="282"/>
      <c r="AD864" s="125"/>
      <c r="AE864" s="241"/>
      <c r="AF864" s="284"/>
      <c r="AG864" s="282"/>
      <c r="AH864" s="292"/>
      <c r="AI864" s="292"/>
      <c r="AJ864" s="292"/>
      <c r="AK864" s="282"/>
      <c r="AL864" s="75"/>
      <c r="AM864" s="75"/>
      <c r="AN864" s="75"/>
      <c r="AO864" s="282"/>
      <c r="AP864" s="75"/>
      <c r="AQ864" s="75"/>
      <c r="AR864" s="75"/>
      <c r="AS864" s="75"/>
      <c r="AT864" s="75"/>
    </row>
    <row r="865">
      <c r="A865" s="282"/>
      <c r="B865" s="125"/>
      <c r="C865" s="113"/>
      <c r="D865" s="75"/>
      <c r="E865" s="282"/>
      <c r="F865" s="125"/>
      <c r="G865" s="113"/>
      <c r="H865" s="75"/>
      <c r="I865" s="282"/>
      <c r="J865" s="125"/>
      <c r="K865" s="113"/>
      <c r="L865" s="75"/>
      <c r="M865" s="282"/>
      <c r="N865" s="125"/>
      <c r="O865" s="113"/>
      <c r="P865" s="75"/>
      <c r="Q865" s="282"/>
      <c r="R865" s="125"/>
      <c r="S865" s="113"/>
      <c r="T865" s="75"/>
      <c r="U865" s="282"/>
      <c r="V865" s="125"/>
      <c r="W865" s="113"/>
      <c r="X865" s="75"/>
      <c r="Y865" s="282"/>
      <c r="Z865" s="290"/>
      <c r="AA865" s="291"/>
      <c r="AB865" s="73"/>
      <c r="AC865" s="282"/>
      <c r="AD865" s="125"/>
      <c r="AE865" s="241"/>
      <c r="AF865" s="284"/>
      <c r="AG865" s="282"/>
      <c r="AH865" s="292"/>
      <c r="AI865" s="292"/>
      <c r="AJ865" s="292"/>
      <c r="AK865" s="282"/>
      <c r="AL865" s="75"/>
      <c r="AM865" s="75"/>
      <c r="AN865" s="75"/>
      <c r="AO865" s="282"/>
      <c r="AP865" s="75"/>
      <c r="AQ865" s="75"/>
      <c r="AR865" s="75"/>
      <c r="AS865" s="75"/>
      <c r="AT865" s="75"/>
    </row>
    <row r="866">
      <c r="A866" s="282"/>
      <c r="B866" s="125"/>
      <c r="C866" s="113"/>
      <c r="D866" s="75"/>
      <c r="E866" s="282"/>
      <c r="F866" s="125"/>
      <c r="G866" s="113"/>
      <c r="H866" s="75"/>
      <c r="I866" s="282"/>
      <c r="J866" s="125"/>
      <c r="K866" s="113"/>
      <c r="L866" s="75"/>
      <c r="M866" s="282"/>
      <c r="N866" s="125"/>
      <c r="O866" s="113"/>
      <c r="P866" s="75"/>
      <c r="Q866" s="282"/>
      <c r="R866" s="125"/>
      <c r="S866" s="113"/>
      <c r="T866" s="75"/>
      <c r="U866" s="282"/>
      <c r="V866" s="125"/>
      <c r="W866" s="113"/>
      <c r="X866" s="75"/>
      <c r="Y866" s="282"/>
      <c r="Z866" s="290"/>
      <c r="AA866" s="291"/>
      <c r="AB866" s="73"/>
      <c r="AC866" s="282"/>
      <c r="AD866" s="125"/>
      <c r="AE866" s="241"/>
      <c r="AF866" s="284"/>
      <c r="AG866" s="282"/>
      <c r="AH866" s="292"/>
      <c r="AI866" s="292"/>
      <c r="AJ866" s="292"/>
      <c r="AK866" s="282"/>
      <c r="AL866" s="75"/>
      <c r="AM866" s="75"/>
      <c r="AN866" s="75"/>
      <c r="AO866" s="282"/>
      <c r="AP866" s="75"/>
      <c r="AQ866" s="75"/>
      <c r="AR866" s="75"/>
      <c r="AS866" s="75"/>
      <c r="AT866" s="75"/>
    </row>
    <row r="867">
      <c r="A867" s="282"/>
      <c r="B867" s="125"/>
      <c r="C867" s="113"/>
      <c r="D867" s="75"/>
      <c r="E867" s="282"/>
      <c r="F867" s="125"/>
      <c r="G867" s="113"/>
      <c r="H867" s="75"/>
      <c r="I867" s="282"/>
      <c r="J867" s="125"/>
      <c r="K867" s="113"/>
      <c r="L867" s="75"/>
      <c r="M867" s="282"/>
      <c r="N867" s="125"/>
      <c r="O867" s="113"/>
      <c r="P867" s="75"/>
      <c r="Q867" s="282"/>
      <c r="R867" s="125"/>
      <c r="S867" s="113"/>
      <c r="T867" s="75"/>
      <c r="U867" s="282"/>
      <c r="V867" s="125"/>
      <c r="W867" s="113"/>
      <c r="X867" s="75"/>
      <c r="Y867" s="282"/>
      <c r="Z867" s="290"/>
      <c r="AA867" s="291"/>
      <c r="AB867" s="73"/>
      <c r="AC867" s="282"/>
      <c r="AD867" s="125"/>
      <c r="AE867" s="241"/>
      <c r="AF867" s="284"/>
      <c r="AG867" s="282"/>
      <c r="AH867" s="292"/>
      <c r="AI867" s="292"/>
      <c r="AJ867" s="292"/>
      <c r="AK867" s="282"/>
      <c r="AL867" s="75"/>
      <c r="AM867" s="75"/>
      <c r="AN867" s="75"/>
      <c r="AO867" s="282"/>
      <c r="AP867" s="75"/>
      <c r="AQ867" s="75"/>
      <c r="AR867" s="75"/>
      <c r="AS867" s="75"/>
      <c r="AT867" s="75"/>
    </row>
    <row r="868">
      <c r="A868" s="282"/>
      <c r="B868" s="125"/>
      <c r="C868" s="113"/>
      <c r="D868" s="75"/>
      <c r="E868" s="282"/>
      <c r="F868" s="125"/>
      <c r="G868" s="113"/>
      <c r="H868" s="75"/>
      <c r="I868" s="282"/>
      <c r="J868" s="125"/>
      <c r="K868" s="113"/>
      <c r="L868" s="75"/>
      <c r="M868" s="282"/>
      <c r="N868" s="125"/>
      <c r="O868" s="113"/>
      <c r="P868" s="75"/>
      <c r="Q868" s="282"/>
      <c r="R868" s="125"/>
      <c r="S868" s="113"/>
      <c r="T868" s="75"/>
      <c r="U868" s="282"/>
      <c r="V868" s="125"/>
      <c r="W868" s="113"/>
      <c r="X868" s="75"/>
      <c r="Y868" s="282"/>
      <c r="Z868" s="290"/>
      <c r="AA868" s="291"/>
      <c r="AB868" s="73"/>
      <c r="AC868" s="282"/>
      <c r="AD868" s="125"/>
      <c r="AE868" s="241"/>
      <c r="AF868" s="284"/>
      <c r="AG868" s="282"/>
      <c r="AH868" s="292"/>
      <c r="AI868" s="292"/>
      <c r="AJ868" s="292"/>
      <c r="AK868" s="282"/>
      <c r="AL868" s="75"/>
      <c r="AM868" s="75"/>
      <c r="AN868" s="75"/>
      <c r="AO868" s="282"/>
      <c r="AP868" s="75"/>
      <c r="AQ868" s="75"/>
      <c r="AR868" s="75"/>
      <c r="AS868" s="75"/>
      <c r="AT868" s="75"/>
    </row>
    <row r="869">
      <c r="A869" s="282"/>
      <c r="B869" s="125"/>
      <c r="C869" s="113"/>
      <c r="D869" s="75"/>
      <c r="E869" s="282"/>
      <c r="F869" s="125"/>
      <c r="G869" s="113"/>
      <c r="H869" s="75"/>
      <c r="I869" s="282"/>
      <c r="J869" s="125"/>
      <c r="K869" s="113"/>
      <c r="L869" s="75"/>
      <c r="M869" s="282"/>
      <c r="N869" s="125"/>
      <c r="O869" s="113"/>
      <c r="P869" s="75"/>
      <c r="Q869" s="282"/>
      <c r="R869" s="125"/>
      <c r="S869" s="113"/>
      <c r="T869" s="75"/>
      <c r="U869" s="282"/>
      <c r="V869" s="125"/>
      <c r="W869" s="113"/>
      <c r="X869" s="75"/>
      <c r="Y869" s="282"/>
      <c r="Z869" s="290"/>
      <c r="AA869" s="291"/>
      <c r="AB869" s="73"/>
      <c r="AC869" s="282"/>
      <c r="AD869" s="125"/>
      <c r="AE869" s="241"/>
      <c r="AF869" s="284"/>
      <c r="AG869" s="282"/>
      <c r="AH869" s="292"/>
      <c r="AI869" s="292"/>
      <c r="AJ869" s="292"/>
      <c r="AK869" s="282"/>
      <c r="AL869" s="75"/>
      <c r="AM869" s="75"/>
      <c r="AN869" s="75"/>
      <c r="AO869" s="282"/>
      <c r="AP869" s="75"/>
      <c r="AQ869" s="75"/>
      <c r="AR869" s="75"/>
      <c r="AS869" s="75"/>
      <c r="AT869" s="75"/>
    </row>
    <row r="870">
      <c r="A870" s="282"/>
      <c r="B870" s="125"/>
      <c r="C870" s="113"/>
      <c r="D870" s="75"/>
      <c r="E870" s="282"/>
      <c r="F870" s="125"/>
      <c r="G870" s="113"/>
      <c r="H870" s="75"/>
      <c r="I870" s="282"/>
      <c r="J870" s="125"/>
      <c r="K870" s="113"/>
      <c r="L870" s="75"/>
      <c r="M870" s="282"/>
      <c r="N870" s="125"/>
      <c r="O870" s="113"/>
      <c r="P870" s="75"/>
      <c r="Q870" s="282"/>
      <c r="R870" s="125"/>
      <c r="S870" s="113"/>
      <c r="T870" s="75"/>
      <c r="U870" s="282"/>
      <c r="V870" s="125"/>
      <c r="W870" s="113"/>
      <c r="X870" s="75"/>
      <c r="Y870" s="282"/>
      <c r="Z870" s="290"/>
      <c r="AA870" s="291"/>
      <c r="AB870" s="73"/>
      <c r="AC870" s="282"/>
      <c r="AD870" s="125"/>
      <c r="AE870" s="241"/>
      <c r="AF870" s="284"/>
      <c r="AG870" s="282"/>
      <c r="AH870" s="292"/>
      <c r="AI870" s="292"/>
      <c r="AJ870" s="292"/>
      <c r="AK870" s="282"/>
      <c r="AL870" s="75"/>
      <c r="AM870" s="75"/>
      <c r="AN870" s="75"/>
      <c r="AO870" s="282"/>
      <c r="AP870" s="75"/>
      <c r="AQ870" s="75"/>
      <c r="AR870" s="75"/>
      <c r="AS870" s="75"/>
      <c r="AT870" s="75"/>
    </row>
    <row r="871">
      <c r="A871" s="282"/>
      <c r="B871" s="125"/>
      <c r="C871" s="113"/>
      <c r="D871" s="75"/>
      <c r="E871" s="282"/>
      <c r="F871" s="125"/>
      <c r="G871" s="113"/>
      <c r="H871" s="75"/>
      <c r="I871" s="282"/>
      <c r="J871" s="125"/>
      <c r="K871" s="113"/>
      <c r="L871" s="75"/>
      <c r="M871" s="282"/>
      <c r="N871" s="125"/>
      <c r="O871" s="113"/>
      <c r="P871" s="75"/>
      <c r="Q871" s="282"/>
      <c r="R871" s="125"/>
      <c r="S871" s="113"/>
      <c r="T871" s="75"/>
      <c r="U871" s="282"/>
      <c r="V871" s="125"/>
      <c r="W871" s="113"/>
      <c r="X871" s="75"/>
      <c r="Y871" s="282"/>
      <c r="Z871" s="290"/>
      <c r="AA871" s="291"/>
      <c r="AB871" s="73"/>
      <c r="AC871" s="282"/>
      <c r="AD871" s="125"/>
      <c r="AE871" s="241"/>
      <c r="AF871" s="284"/>
      <c r="AG871" s="282"/>
      <c r="AH871" s="292"/>
      <c r="AI871" s="292"/>
      <c r="AJ871" s="292"/>
      <c r="AK871" s="282"/>
      <c r="AL871" s="75"/>
      <c r="AM871" s="75"/>
      <c r="AN871" s="75"/>
      <c r="AO871" s="282"/>
      <c r="AP871" s="75"/>
      <c r="AQ871" s="75"/>
      <c r="AR871" s="75"/>
      <c r="AS871" s="75"/>
      <c r="AT871" s="75"/>
    </row>
    <row r="872">
      <c r="A872" s="282"/>
      <c r="B872" s="125"/>
      <c r="C872" s="113"/>
      <c r="D872" s="75"/>
      <c r="E872" s="282"/>
      <c r="F872" s="125"/>
      <c r="G872" s="113"/>
      <c r="H872" s="75"/>
      <c r="I872" s="282"/>
      <c r="J872" s="125"/>
      <c r="K872" s="113"/>
      <c r="L872" s="75"/>
      <c r="M872" s="282"/>
      <c r="N872" s="125"/>
      <c r="O872" s="113"/>
      <c r="P872" s="75"/>
      <c r="Q872" s="282"/>
      <c r="R872" s="125"/>
      <c r="S872" s="113"/>
      <c r="T872" s="75"/>
      <c r="U872" s="282"/>
      <c r="V872" s="125"/>
      <c r="W872" s="113"/>
      <c r="X872" s="75"/>
      <c r="Y872" s="282"/>
      <c r="Z872" s="290"/>
      <c r="AA872" s="291"/>
      <c r="AB872" s="73"/>
      <c r="AC872" s="282"/>
      <c r="AD872" s="125"/>
      <c r="AE872" s="241"/>
      <c r="AF872" s="284"/>
      <c r="AG872" s="282"/>
      <c r="AH872" s="292"/>
      <c r="AI872" s="292"/>
      <c r="AJ872" s="292"/>
      <c r="AK872" s="282"/>
      <c r="AL872" s="75"/>
      <c r="AM872" s="75"/>
      <c r="AN872" s="75"/>
      <c r="AO872" s="282"/>
      <c r="AP872" s="75"/>
      <c r="AQ872" s="75"/>
      <c r="AR872" s="75"/>
      <c r="AS872" s="75"/>
      <c r="AT872" s="75"/>
    </row>
    <row r="873">
      <c r="A873" s="282"/>
      <c r="B873" s="125"/>
      <c r="C873" s="113"/>
      <c r="D873" s="75"/>
      <c r="E873" s="282"/>
      <c r="F873" s="125"/>
      <c r="G873" s="113"/>
      <c r="H873" s="75"/>
      <c r="I873" s="282"/>
      <c r="J873" s="125"/>
      <c r="K873" s="113"/>
      <c r="L873" s="75"/>
      <c r="M873" s="282"/>
      <c r="N873" s="125"/>
      <c r="O873" s="113"/>
      <c r="P873" s="75"/>
      <c r="Q873" s="282"/>
      <c r="R873" s="125"/>
      <c r="S873" s="113"/>
      <c r="T873" s="75"/>
      <c r="U873" s="282"/>
      <c r="V873" s="125"/>
      <c r="W873" s="113"/>
      <c r="X873" s="75"/>
      <c r="Y873" s="282"/>
      <c r="Z873" s="290"/>
      <c r="AA873" s="291"/>
      <c r="AB873" s="73"/>
      <c r="AC873" s="282"/>
      <c r="AD873" s="125"/>
      <c r="AE873" s="241"/>
      <c r="AF873" s="284"/>
      <c r="AG873" s="282"/>
      <c r="AH873" s="292"/>
      <c r="AI873" s="292"/>
      <c r="AJ873" s="292"/>
      <c r="AK873" s="282"/>
      <c r="AL873" s="75"/>
      <c r="AM873" s="75"/>
      <c r="AN873" s="75"/>
      <c r="AO873" s="282"/>
      <c r="AP873" s="75"/>
      <c r="AQ873" s="75"/>
      <c r="AR873" s="75"/>
      <c r="AS873" s="75"/>
      <c r="AT873" s="75"/>
    </row>
    <row r="874">
      <c r="A874" s="282"/>
      <c r="B874" s="125"/>
      <c r="C874" s="113"/>
      <c r="D874" s="75"/>
      <c r="E874" s="282"/>
      <c r="F874" s="125"/>
      <c r="G874" s="113"/>
      <c r="H874" s="75"/>
      <c r="I874" s="282"/>
      <c r="J874" s="125"/>
      <c r="K874" s="113"/>
      <c r="L874" s="75"/>
      <c r="M874" s="282"/>
      <c r="N874" s="125"/>
      <c r="O874" s="113"/>
      <c r="P874" s="75"/>
      <c r="Q874" s="282"/>
      <c r="R874" s="125"/>
      <c r="S874" s="113"/>
      <c r="T874" s="75"/>
      <c r="U874" s="282"/>
      <c r="V874" s="125"/>
      <c r="W874" s="113"/>
      <c r="X874" s="75"/>
      <c r="Y874" s="282"/>
      <c r="Z874" s="290"/>
      <c r="AA874" s="291"/>
      <c r="AB874" s="73"/>
      <c r="AC874" s="282"/>
      <c r="AD874" s="125"/>
      <c r="AE874" s="241"/>
      <c r="AF874" s="284"/>
      <c r="AG874" s="282"/>
      <c r="AH874" s="292"/>
      <c r="AI874" s="292"/>
      <c r="AJ874" s="292"/>
      <c r="AK874" s="282"/>
      <c r="AL874" s="75"/>
      <c r="AM874" s="75"/>
      <c r="AN874" s="75"/>
      <c r="AO874" s="282"/>
      <c r="AP874" s="75"/>
      <c r="AQ874" s="75"/>
      <c r="AR874" s="75"/>
      <c r="AS874" s="75"/>
      <c r="AT874" s="75"/>
    </row>
    <row r="875">
      <c r="A875" s="282"/>
      <c r="B875" s="125"/>
      <c r="C875" s="113"/>
      <c r="D875" s="75"/>
      <c r="E875" s="282"/>
      <c r="F875" s="125"/>
      <c r="G875" s="113"/>
      <c r="H875" s="75"/>
      <c r="I875" s="282"/>
      <c r="J875" s="125"/>
      <c r="K875" s="113"/>
      <c r="L875" s="75"/>
      <c r="M875" s="282"/>
      <c r="N875" s="125"/>
      <c r="O875" s="113"/>
      <c r="P875" s="75"/>
      <c r="Q875" s="282"/>
      <c r="R875" s="125"/>
      <c r="S875" s="113"/>
      <c r="T875" s="75"/>
      <c r="U875" s="282"/>
      <c r="V875" s="125"/>
      <c r="W875" s="113"/>
      <c r="X875" s="75"/>
      <c r="Y875" s="282"/>
      <c r="Z875" s="290"/>
      <c r="AA875" s="291"/>
      <c r="AB875" s="73"/>
      <c r="AC875" s="282"/>
      <c r="AD875" s="125"/>
      <c r="AE875" s="241"/>
      <c r="AF875" s="284"/>
      <c r="AG875" s="282"/>
      <c r="AH875" s="292"/>
      <c r="AI875" s="292"/>
      <c r="AJ875" s="292"/>
      <c r="AK875" s="282"/>
      <c r="AL875" s="75"/>
      <c r="AM875" s="75"/>
      <c r="AN875" s="75"/>
      <c r="AO875" s="282"/>
      <c r="AP875" s="75"/>
      <c r="AQ875" s="75"/>
      <c r="AR875" s="75"/>
      <c r="AS875" s="75"/>
      <c r="AT875" s="75"/>
    </row>
    <row r="876">
      <c r="A876" s="282"/>
      <c r="B876" s="125"/>
      <c r="C876" s="113"/>
      <c r="D876" s="75"/>
      <c r="E876" s="282"/>
      <c r="F876" s="125"/>
      <c r="G876" s="113"/>
      <c r="H876" s="75"/>
      <c r="I876" s="282"/>
      <c r="J876" s="125"/>
      <c r="K876" s="113"/>
      <c r="L876" s="75"/>
      <c r="M876" s="282"/>
      <c r="N876" s="125"/>
      <c r="O876" s="113"/>
      <c r="P876" s="75"/>
      <c r="Q876" s="282"/>
      <c r="R876" s="125"/>
      <c r="S876" s="113"/>
      <c r="T876" s="75"/>
      <c r="U876" s="282"/>
      <c r="V876" s="125"/>
      <c r="W876" s="113"/>
      <c r="X876" s="75"/>
      <c r="Y876" s="282"/>
      <c r="Z876" s="290"/>
      <c r="AA876" s="291"/>
      <c r="AB876" s="73"/>
      <c r="AC876" s="282"/>
      <c r="AD876" s="125"/>
      <c r="AE876" s="241"/>
      <c r="AF876" s="284"/>
      <c r="AG876" s="282"/>
      <c r="AH876" s="292"/>
      <c r="AI876" s="292"/>
      <c r="AJ876" s="292"/>
      <c r="AK876" s="282"/>
      <c r="AL876" s="75"/>
      <c r="AM876" s="75"/>
      <c r="AN876" s="75"/>
      <c r="AO876" s="282"/>
      <c r="AP876" s="75"/>
      <c r="AQ876" s="75"/>
      <c r="AR876" s="75"/>
      <c r="AS876" s="75"/>
      <c r="AT876" s="75"/>
    </row>
    <row r="877">
      <c r="A877" s="282"/>
      <c r="B877" s="125"/>
      <c r="C877" s="113"/>
      <c r="D877" s="75"/>
      <c r="E877" s="282"/>
      <c r="F877" s="125"/>
      <c r="G877" s="113"/>
      <c r="H877" s="75"/>
      <c r="I877" s="282"/>
      <c r="J877" s="125"/>
      <c r="K877" s="113"/>
      <c r="L877" s="75"/>
      <c r="M877" s="282"/>
      <c r="N877" s="125"/>
      <c r="O877" s="113"/>
      <c r="P877" s="75"/>
      <c r="Q877" s="282"/>
      <c r="R877" s="125"/>
      <c r="S877" s="113"/>
      <c r="T877" s="75"/>
      <c r="U877" s="282"/>
      <c r="V877" s="125"/>
      <c r="W877" s="113"/>
      <c r="X877" s="75"/>
      <c r="Y877" s="282"/>
      <c r="Z877" s="290"/>
      <c r="AA877" s="291"/>
      <c r="AB877" s="73"/>
      <c r="AC877" s="282"/>
      <c r="AD877" s="125"/>
      <c r="AE877" s="241"/>
      <c r="AF877" s="284"/>
      <c r="AG877" s="282"/>
      <c r="AH877" s="292"/>
      <c r="AI877" s="292"/>
      <c r="AJ877" s="292"/>
      <c r="AK877" s="282"/>
      <c r="AL877" s="75"/>
      <c r="AM877" s="75"/>
      <c r="AN877" s="75"/>
      <c r="AO877" s="282"/>
      <c r="AP877" s="75"/>
      <c r="AQ877" s="75"/>
      <c r="AR877" s="75"/>
      <c r="AS877" s="75"/>
      <c r="AT877" s="75"/>
    </row>
    <row r="878">
      <c r="A878" s="282"/>
      <c r="B878" s="125"/>
      <c r="C878" s="113"/>
      <c r="D878" s="75"/>
      <c r="E878" s="282"/>
      <c r="F878" s="125"/>
      <c r="G878" s="113"/>
      <c r="H878" s="75"/>
      <c r="I878" s="282"/>
      <c r="J878" s="125"/>
      <c r="K878" s="113"/>
      <c r="L878" s="75"/>
      <c r="M878" s="282"/>
      <c r="N878" s="125"/>
      <c r="O878" s="113"/>
      <c r="P878" s="75"/>
      <c r="Q878" s="282"/>
      <c r="R878" s="125"/>
      <c r="S878" s="113"/>
      <c r="T878" s="75"/>
      <c r="U878" s="282"/>
      <c r="V878" s="125"/>
      <c r="W878" s="113"/>
      <c r="X878" s="75"/>
      <c r="Y878" s="282"/>
      <c r="Z878" s="290"/>
      <c r="AA878" s="291"/>
      <c r="AB878" s="73"/>
      <c r="AC878" s="282"/>
      <c r="AD878" s="125"/>
      <c r="AE878" s="241"/>
      <c r="AF878" s="284"/>
      <c r="AG878" s="282"/>
      <c r="AH878" s="292"/>
      <c r="AI878" s="292"/>
      <c r="AJ878" s="292"/>
      <c r="AK878" s="282"/>
      <c r="AL878" s="75"/>
      <c r="AM878" s="75"/>
      <c r="AN878" s="75"/>
      <c r="AO878" s="282"/>
      <c r="AP878" s="75"/>
      <c r="AQ878" s="75"/>
      <c r="AR878" s="75"/>
      <c r="AS878" s="75"/>
      <c r="AT878" s="75"/>
    </row>
    <row r="879">
      <c r="A879" s="282"/>
      <c r="B879" s="125"/>
      <c r="C879" s="113"/>
      <c r="D879" s="75"/>
      <c r="E879" s="282"/>
      <c r="F879" s="125"/>
      <c r="G879" s="113"/>
      <c r="H879" s="75"/>
      <c r="I879" s="282"/>
      <c r="J879" s="125"/>
      <c r="K879" s="113"/>
      <c r="L879" s="75"/>
      <c r="M879" s="282"/>
      <c r="N879" s="125"/>
      <c r="O879" s="113"/>
      <c r="P879" s="75"/>
      <c r="Q879" s="282"/>
      <c r="R879" s="125"/>
      <c r="S879" s="113"/>
      <c r="T879" s="75"/>
      <c r="U879" s="282"/>
      <c r="V879" s="125"/>
      <c r="W879" s="113"/>
      <c r="X879" s="75"/>
      <c r="Y879" s="282"/>
      <c r="Z879" s="290"/>
      <c r="AA879" s="291"/>
      <c r="AB879" s="73"/>
      <c r="AC879" s="282"/>
      <c r="AD879" s="125"/>
      <c r="AE879" s="241"/>
      <c r="AF879" s="284"/>
      <c r="AG879" s="282"/>
      <c r="AH879" s="292"/>
      <c r="AI879" s="292"/>
      <c r="AJ879" s="292"/>
      <c r="AK879" s="282"/>
      <c r="AL879" s="75"/>
      <c r="AM879" s="75"/>
      <c r="AN879" s="75"/>
      <c r="AO879" s="282"/>
      <c r="AP879" s="75"/>
      <c r="AQ879" s="75"/>
      <c r="AR879" s="75"/>
      <c r="AS879" s="75"/>
      <c r="AT879" s="75"/>
    </row>
    <row r="880">
      <c r="A880" s="282"/>
      <c r="B880" s="125"/>
      <c r="C880" s="113"/>
      <c r="D880" s="75"/>
      <c r="E880" s="282"/>
      <c r="F880" s="125"/>
      <c r="G880" s="113"/>
      <c r="H880" s="75"/>
      <c r="I880" s="282"/>
      <c r="J880" s="125"/>
      <c r="K880" s="113"/>
      <c r="L880" s="75"/>
      <c r="M880" s="282"/>
      <c r="N880" s="125"/>
      <c r="O880" s="113"/>
      <c r="P880" s="75"/>
      <c r="Q880" s="282"/>
      <c r="R880" s="125"/>
      <c r="S880" s="113"/>
      <c r="T880" s="75"/>
      <c r="U880" s="282"/>
      <c r="V880" s="125"/>
      <c r="W880" s="113"/>
      <c r="X880" s="75"/>
      <c r="Y880" s="282"/>
      <c r="Z880" s="290"/>
      <c r="AA880" s="291"/>
      <c r="AB880" s="73"/>
      <c r="AC880" s="282"/>
      <c r="AD880" s="125"/>
      <c r="AE880" s="241"/>
      <c r="AF880" s="284"/>
      <c r="AG880" s="282"/>
      <c r="AH880" s="292"/>
      <c r="AI880" s="292"/>
      <c r="AJ880" s="292"/>
      <c r="AK880" s="282"/>
      <c r="AL880" s="75"/>
      <c r="AM880" s="75"/>
      <c r="AN880" s="75"/>
      <c r="AO880" s="282"/>
      <c r="AP880" s="75"/>
      <c r="AQ880" s="75"/>
      <c r="AR880" s="75"/>
      <c r="AS880" s="75"/>
      <c r="AT880" s="75"/>
    </row>
    <row r="881">
      <c r="A881" s="282"/>
      <c r="B881" s="125"/>
      <c r="C881" s="113"/>
      <c r="D881" s="75"/>
      <c r="E881" s="282"/>
      <c r="F881" s="125"/>
      <c r="G881" s="113"/>
      <c r="H881" s="75"/>
      <c r="I881" s="282"/>
      <c r="J881" s="125"/>
      <c r="K881" s="113"/>
      <c r="L881" s="75"/>
      <c r="M881" s="282"/>
      <c r="N881" s="125"/>
      <c r="O881" s="113"/>
      <c r="P881" s="75"/>
      <c r="Q881" s="282"/>
      <c r="R881" s="125"/>
      <c r="S881" s="113"/>
      <c r="T881" s="75"/>
      <c r="U881" s="282"/>
      <c r="V881" s="125"/>
      <c r="W881" s="113"/>
      <c r="X881" s="75"/>
      <c r="Y881" s="282"/>
      <c r="Z881" s="290"/>
      <c r="AA881" s="291"/>
      <c r="AB881" s="73"/>
      <c r="AC881" s="282"/>
      <c r="AD881" s="125"/>
      <c r="AE881" s="241"/>
      <c r="AF881" s="284"/>
      <c r="AG881" s="282"/>
      <c r="AH881" s="292"/>
      <c r="AI881" s="292"/>
      <c r="AJ881" s="292"/>
      <c r="AK881" s="282"/>
      <c r="AL881" s="75"/>
      <c r="AM881" s="75"/>
      <c r="AN881" s="75"/>
      <c r="AO881" s="282"/>
      <c r="AP881" s="75"/>
      <c r="AQ881" s="75"/>
      <c r="AR881" s="75"/>
      <c r="AS881" s="75"/>
      <c r="AT881" s="75"/>
    </row>
    <row r="882">
      <c r="A882" s="282"/>
      <c r="B882" s="125"/>
      <c r="C882" s="113"/>
      <c r="D882" s="75"/>
      <c r="E882" s="282"/>
      <c r="F882" s="125"/>
      <c r="G882" s="113"/>
      <c r="H882" s="75"/>
      <c r="I882" s="282"/>
      <c r="J882" s="125"/>
      <c r="K882" s="113"/>
      <c r="L882" s="75"/>
      <c r="M882" s="282"/>
      <c r="N882" s="125"/>
      <c r="O882" s="113"/>
      <c r="P882" s="75"/>
      <c r="Q882" s="282"/>
      <c r="R882" s="125"/>
      <c r="S882" s="113"/>
      <c r="T882" s="75"/>
      <c r="U882" s="282"/>
      <c r="V882" s="125"/>
      <c r="W882" s="113"/>
      <c r="X882" s="75"/>
      <c r="Y882" s="282"/>
      <c r="Z882" s="290"/>
      <c r="AA882" s="291"/>
      <c r="AB882" s="73"/>
      <c r="AC882" s="282"/>
      <c r="AD882" s="125"/>
      <c r="AE882" s="241"/>
      <c r="AF882" s="284"/>
      <c r="AG882" s="282"/>
      <c r="AH882" s="292"/>
      <c r="AI882" s="292"/>
      <c r="AJ882" s="292"/>
      <c r="AK882" s="282"/>
      <c r="AL882" s="75"/>
      <c r="AM882" s="75"/>
      <c r="AN882" s="75"/>
      <c r="AO882" s="282"/>
      <c r="AP882" s="75"/>
      <c r="AQ882" s="75"/>
      <c r="AR882" s="75"/>
      <c r="AS882" s="75"/>
      <c r="AT882" s="75"/>
    </row>
    <row r="883">
      <c r="A883" s="282"/>
      <c r="B883" s="125"/>
      <c r="C883" s="113"/>
      <c r="D883" s="75"/>
      <c r="E883" s="282"/>
      <c r="F883" s="125"/>
      <c r="G883" s="113"/>
      <c r="H883" s="75"/>
      <c r="I883" s="282"/>
      <c r="J883" s="125"/>
      <c r="K883" s="113"/>
      <c r="L883" s="75"/>
      <c r="M883" s="282"/>
      <c r="N883" s="125"/>
      <c r="O883" s="113"/>
      <c r="P883" s="75"/>
      <c r="Q883" s="282"/>
      <c r="R883" s="125"/>
      <c r="S883" s="113"/>
      <c r="T883" s="75"/>
      <c r="U883" s="282"/>
      <c r="V883" s="125"/>
      <c r="W883" s="113"/>
      <c r="X883" s="75"/>
      <c r="Y883" s="282"/>
      <c r="Z883" s="290"/>
      <c r="AA883" s="291"/>
      <c r="AB883" s="73"/>
      <c r="AC883" s="282"/>
      <c r="AD883" s="125"/>
      <c r="AE883" s="241"/>
      <c r="AF883" s="284"/>
      <c r="AG883" s="282"/>
      <c r="AH883" s="292"/>
      <c r="AI883" s="292"/>
      <c r="AJ883" s="292"/>
      <c r="AK883" s="282"/>
      <c r="AL883" s="75"/>
      <c r="AM883" s="75"/>
      <c r="AN883" s="75"/>
      <c r="AO883" s="282"/>
      <c r="AP883" s="75"/>
      <c r="AQ883" s="75"/>
      <c r="AR883" s="75"/>
      <c r="AS883" s="75"/>
      <c r="AT883" s="75"/>
    </row>
    <row r="884">
      <c r="A884" s="282"/>
      <c r="B884" s="125"/>
      <c r="C884" s="113"/>
      <c r="D884" s="75"/>
      <c r="E884" s="282"/>
      <c r="F884" s="125"/>
      <c r="G884" s="113"/>
      <c r="H884" s="75"/>
      <c r="I884" s="282"/>
      <c r="J884" s="125"/>
      <c r="K884" s="113"/>
      <c r="L884" s="75"/>
      <c r="M884" s="282"/>
      <c r="N884" s="125"/>
      <c r="O884" s="113"/>
      <c r="P884" s="75"/>
      <c r="Q884" s="282"/>
      <c r="R884" s="125"/>
      <c r="S884" s="113"/>
      <c r="T884" s="75"/>
      <c r="U884" s="282"/>
      <c r="V884" s="125"/>
      <c r="W884" s="113"/>
      <c r="X884" s="75"/>
      <c r="Y884" s="282"/>
      <c r="Z884" s="290"/>
      <c r="AA884" s="291"/>
      <c r="AB884" s="73"/>
      <c r="AC884" s="282"/>
      <c r="AD884" s="125"/>
      <c r="AE884" s="241"/>
      <c r="AF884" s="284"/>
      <c r="AG884" s="282"/>
      <c r="AH884" s="292"/>
      <c r="AI884" s="292"/>
      <c r="AJ884" s="292"/>
      <c r="AK884" s="282"/>
      <c r="AL884" s="75"/>
      <c r="AM884" s="75"/>
      <c r="AN884" s="75"/>
      <c r="AO884" s="282"/>
      <c r="AP884" s="75"/>
      <c r="AQ884" s="75"/>
      <c r="AR884" s="75"/>
      <c r="AS884" s="75"/>
      <c r="AT884" s="75"/>
    </row>
    <row r="885">
      <c r="A885" s="282"/>
      <c r="B885" s="125"/>
      <c r="C885" s="113"/>
      <c r="D885" s="75"/>
      <c r="E885" s="282"/>
      <c r="F885" s="125"/>
      <c r="G885" s="113"/>
      <c r="H885" s="75"/>
      <c r="I885" s="282"/>
      <c r="J885" s="125"/>
      <c r="K885" s="113"/>
      <c r="L885" s="75"/>
      <c r="M885" s="282"/>
      <c r="N885" s="125"/>
      <c r="O885" s="113"/>
      <c r="P885" s="75"/>
      <c r="Q885" s="282"/>
      <c r="R885" s="125"/>
      <c r="S885" s="113"/>
      <c r="T885" s="75"/>
      <c r="U885" s="282"/>
      <c r="V885" s="125"/>
      <c r="W885" s="113"/>
      <c r="X885" s="75"/>
      <c r="Y885" s="282"/>
      <c r="Z885" s="290"/>
      <c r="AA885" s="291"/>
      <c r="AB885" s="73"/>
      <c r="AC885" s="282"/>
      <c r="AD885" s="125"/>
      <c r="AE885" s="241"/>
      <c r="AF885" s="284"/>
      <c r="AG885" s="282"/>
      <c r="AH885" s="292"/>
      <c r="AI885" s="292"/>
      <c r="AJ885" s="292"/>
      <c r="AK885" s="282"/>
      <c r="AL885" s="75"/>
      <c r="AM885" s="75"/>
      <c r="AN885" s="75"/>
      <c r="AO885" s="282"/>
      <c r="AP885" s="75"/>
      <c r="AQ885" s="75"/>
      <c r="AR885" s="75"/>
      <c r="AS885" s="75"/>
      <c r="AT885" s="75"/>
    </row>
    <row r="886">
      <c r="A886" s="282"/>
      <c r="B886" s="125"/>
      <c r="C886" s="113"/>
      <c r="D886" s="75"/>
      <c r="E886" s="282"/>
      <c r="F886" s="125"/>
      <c r="G886" s="113"/>
      <c r="H886" s="75"/>
      <c r="I886" s="282"/>
      <c r="J886" s="125"/>
      <c r="K886" s="113"/>
      <c r="L886" s="75"/>
      <c r="M886" s="282"/>
      <c r="N886" s="125"/>
      <c r="O886" s="113"/>
      <c r="P886" s="75"/>
      <c r="Q886" s="282"/>
      <c r="R886" s="125"/>
      <c r="S886" s="113"/>
      <c r="T886" s="75"/>
      <c r="U886" s="282"/>
      <c r="V886" s="125"/>
      <c r="W886" s="113"/>
      <c r="X886" s="75"/>
      <c r="Y886" s="282"/>
      <c r="Z886" s="290"/>
      <c r="AA886" s="291"/>
      <c r="AB886" s="73"/>
      <c r="AC886" s="282"/>
      <c r="AD886" s="125"/>
      <c r="AE886" s="241"/>
      <c r="AF886" s="284"/>
      <c r="AG886" s="282"/>
      <c r="AH886" s="292"/>
      <c r="AI886" s="292"/>
      <c r="AJ886" s="292"/>
      <c r="AK886" s="282"/>
      <c r="AL886" s="75"/>
      <c r="AM886" s="75"/>
      <c r="AN886" s="75"/>
      <c r="AO886" s="282"/>
      <c r="AP886" s="75"/>
      <c r="AQ886" s="75"/>
      <c r="AR886" s="75"/>
      <c r="AS886" s="75"/>
      <c r="AT886" s="75"/>
    </row>
    <row r="887">
      <c r="A887" s="282"/>
      <c r="B887" s="125"/>
      <c r="C887" s="113"/>
      <c r="D887" s="75"/>
      <c r="E887" s="282"/>
      <c r="F887" s="125"/>
      <c r="G887" s="113"/>
      <c r="H887" s="75"/>
      <c r="I887" s="282"/>
      <c r="J887" s="125"/>
      <c r="K887" s="113"/>
      <c r="L887" s="75"/>
      <c r="M887" s="282"/>
      <c r="N887" s="125"/>
      <c r="O887" s="113"/>
      <c r="P887" s="75"/>
      <c r="Q887" s="282"/>
      <c r="R887" s="125"/>
      <c r="S887" s="113"/>
      <c r="T887" s="75"/>
      <c r="U887" s="282"/>
      <c r="V887" s="125"/>
      <c r="W887" s="113"/>
      <c r="X887" s="75"/>
      <c r="Y887" s="282"/>
      <c r="Z887" s="290"/>
      <c r="AA887" s="291"/>
      <c r="AB887" s="73"/>
      <c r="AC887" s="282"/>
      <c r="AD887" s="125"/>
      <c r="AE887" s="241"/>
      <c r="AF887" s="284"/>
      <c r="AG887" s="282"/>
      <c r="AH887" s="292"/>
      <c r="AI887" s="292"/>
      <c r="AJ887" s="292"/>
      <c r="AK887" s="282"/>
      <c r="AL887" s="75"/>
      <c r="AM887" s="75"/>
      <c r="AN887" s="75"/>
      <c r="AO887" s="282"/>
      <c r="AP887" s="75"/>
      <c r="AQ887" s="75"/>
      <c r="AR887" s="75"/>
      <c r="AS887" s="75"/>
      <c r="AT887" s="75"/>
    </row>
    <row r="888">
      <c r="A888" s="282"/>
      <c r="B888" s="125"/>
      <c r="C888" s="113"/>
      <c r="D888" s="75"/>
      <c r="E888" s="282"/>
      <c r="F888" s="125"/>
      <c r="G888" s="113"/>
      <c r="H888" s="75"/>
      <c r="I888" s="282"/>
      <c r="J888" s="125"/>
      <c r="K888" s="113"/>
      <c r="L888" s="75"/>
      <c r="M888" s="282"/>
      <c r="N888" s="125"/>
      <c r="O888" s="113"/>
      <c r="P888" s="75"/>
      <c r="Q888" s="282"/>
      <c r="R888" s="125"/>
      <c r="S888" s="113"/>
      <c r="T888" s="75"/>
      <c r="U888" s="282"/>
      <c r="V888" s="125"/>
      <c r="W888" s="113"/>
      <c r="X888" s="75"/>
      <c r="Y888" s="282"/>
      <c r="Z888" s="290"/>
      <c r="AA888" s="291"/>
      <c r="AB888" s="73"/>
      <c r="AC888" s="282"/>
      <c r="AD888" s="125"/>
      <c r="AE888" s="241"/>
      <c r="AF888" s="284"/>
      <c r="AG888" s="282"/>
      <c r="AH888" s="292"/>
      <c r="AI888" s="292"/>
      <c r="AJ888" s="292"/>
      <c r="AK888" s="282"/>
      <c r="AL888" s="75"/>
      <c r="AM888" s="75"/>
      <c r="AN888" s="75"/>
      <c r="AO888" s="282"/>
      <c r="AP888" s="75"/>
      <c r="AQ888" s="75"/>
      <c r="AR888" s="75"/>
      <c r="AS888" s="75"/>
      <c r="AT888" s="75"/>
    </row>
    <row r="889">
      <c r="A889" s="282"/>
      <c r="B889" s="125"/>
      <c r="C889" s="113"/>
      <c r="D889" s="75"/>
      <c r="E889" s="282"/>
      <c r="F889" s="125"/>
      <c r="G889" s="113"/>
      <c r="H889" s="75"/>
      <c r="I889" s="282"/>
      <c r="J889" s="125"/>
      <c r="K889" s="113"/>
      <c r="L889" s="75"/>
      <c r="M889" s="282"/>
      <c r="N889" s="125"/>
      <c r="O889" s="113"/>
      <c r="P889" s="75"/>
      <c r="Q889" s="282"/>
      <c r="R889" s="125"/>
      <c r="S889" s="113"/>
      <c r="T889" s="75"/>
      <c r="U889" s="282"/>
      <c r="V889" s="125"/>
      <c r="W889" s="113"/>
      <c r="X889" s="75"/>
      <c r="Y889" s="282"/>
      <c r="Z889" s="290"/>
      <c r="AA889" s="291"/>
      <c r="AB889" s="73"/>
      <c r="AC889" s="282"/>
      <c r="AD889" s="125"/>
      <c r="AE889" s="241"/>
      <c r="AF889" s="284"/>
      <c r="AG889" s="282"/>
      <c r="AH889" s="292"/>
      <c r="AI889" s="292"/>
      <c r="AJ889" s="292"/>
      <c r="AK889" s="282"/>
      <c r="AL889" s="75"/>
      <c r="AM889" s="75"/>
      <c r="AN889" s="75"/>
      <c r="AO889" s="282"/>
      <c r="AP889" s="75"/>
      <c r="AQ889" s="75"/>
      <c r="AR889" s="75"/>
      <c r="AS889" s="75"/>
      <c r="AT889" s="75"/>
    </row>
    <row r="890">
      <c r="A890" s="282"/>
      <c r="B890" s="125"/>
      <c r="C890" s="113"/>
      <c r="D890" s="75"/>
      <c r="E890" s="282"/>
      <c r="F890" s="125"/>
      <c r="G890" s="113"/>
      <c r="H890" s="75"/>
      <c r="I890" s="282"/>
      <c r="J890" s="125"/>
      <c r="K890" s="113"/>
      <c r="L890" s="75"/>
      <c r="M890" s="282"/>
      <c r="N890" s="125"/>
      <c r="O890" s="113"/>
      <c r="P890" s="75"/>
      <c r="Q890" s="282"/>
      <c r="R890" s="125"/>
      <c r="S890" s="113"/>
      <c r="T890" s="75"/>
      <c r="U890" s="282"/>
      <c r="V890" s="125"/>
      <c r="W890" s="113"/>
      <c r="X890" s="75"/>
      <c r="Y890" s="282"/>
      <c r="Z890" s="290"/>
      <c r="AA890" s="291"/>
      <c r="AB890" s="73"/>
      <c r="AC890" s="282"/>
      <c r="AD890" s="125"/>
      <c r="AE890" s="241"/>
      <c r="AF890" s="284"/>
      <c r="AG890" s="282"/>
      <c r="AH890" s="292"/>
      <c r="AI890" s="292"/>
      <c r="AJ890" s="292"/>
      <c r="AK890" s="282"/>
      <c r="AL890" s="75"/>
      <c r="AM890" s="75"/>
      <c r="AN890" s="75"/>
      <c r="AO890" s="282"/>
      <c r="AP890" s="75"/>
      <c r="AQ890" s="75"/>
      <c r="AR890" s="75"/>
      <c r="AS890" s="75"/>
      <c r="AT890" s="75"/>
    </row>
    <row r="891">
      <c r="A891" s="282"/>
      <c r="B891" s="125"/>
      <c r="C891" s="113"/>
      <c r="D891" s="75"/>
      <c r="E891" s="282"/>
      <c r="F891" s="125"/>
      <c r="G891" s="113"/>
      <c r="H891" s="75"/>
      <c r="I891" s="282"/>
      <c r="J891" s="125"/>
      <c r="K891" s="113"/>
      <c r="L891" s="75"/>
      <c r="M891" s="282"/>
      <c r="N891" s="125"/>
      <c r="O891" s="113"/>
      <c r="P891" s="75"/>
      <c r="Q891" s="282"/>
      <c r="R891" s="125"/>
      <c r="S891" s="113"/>
      <c r="T891" s="75"/>
      <c r="U891" s="282"/>
      <c r="V891" s="125"/>
      <c r="W891" s="113"/>
      <c r="X891" s="75"/>
      <c r="Y891" s="282"/>
      <c r="Z891" s="290"/>
      <c r="AA891" s="291"/>
      <c r="AB891" s="73"/>
      <c r="AC891" s="282"/>
      <c r="AD891" s="125"/>
      <c r="AE891" s="241"/>
      <c r="AF891" s="284"/>
      <c r="AG891" s="282"/>
      <c r="AH891" s="292"/>
      <c r="AI891" s="292"/>
      <c r="AJ891" s="292"/>
      <c r="AK891" s="282"/>
      <c r="AL891" s="75"/>
      <c r="AM891" s="75"/>
      <c r="AN891" s="75"/>
      <c r="AO891" s="282"/>
      <c r="AP891" s="75"/>
      <c r="AQ891" s="75"/>
      <c r="AR891" s="75"/>
      <c r="AS891" s="75"/>
      <c r="AT891" s="75"/>
    </row>
    <row r="892">
      <c r="A892" s="282"/>
      <c r="B892" s="125"/>
      <c r="C892" s="113"/>
      <c r="D892" s="75"/>
      <c r="E892" s="282"/>
      <c r="F892" s="125"/>
      <c r="G892" s="113"/>
      <c r="H892" s="75"/>
      <c r="I892" s="282"/>
      <c r="J892" s="125"/>
      <c r="K892" s="113"/>
      <c r="L892" s="75"/>
      <c r="M892" s="282"/>
      <c r="N892" s="125"/>
      <c r="O892" s="113"/>
      <c r="P892" s="75"/>
      <c r="Q892" s="282"/>
      <c r="R892" s="125"/>
      <c r="S892" s="113"/>
      <c r="T892" s="75"/>
      <c r="U892" s="282"/>
      <c r="V892" s="125"/>
      <c r="W892" s="113"/>
      <c r="X892" s="75"/>
      <c r="Y892" s="282"/>
      <c r="Z892" s="290"/>
      <c r="AA892" s="291"/>
      <c r="AB892" s="73"/>
      <c r="AC892" s="282"/>
      <c r="AD892" s="125"/>
      <c r="AE892" s="241"/>
      <c r="AF892" s="284"/>
      <c r="AG892" s="282"/>
      <c r="AH892" s="292"/>
      <c r="AI892" s="292"/>
      <c r="AJ892" s="292"/>
      <c r="AK892" s="282"/>
      <c r="AL892" s="75"/>
      <c r="AM892" s="75"/>
      <c r="AN892" s="75"/>
      <c r="AO892" s="282"/>
      <c r="AP892" s="75"/>
      <c r="AQ892" s="75"/>
      <c r="AR892" s="75"/>
      <c r="AS892" s="75"/>
      <c r="AT892" s="75"/>
    </row>
    <row r="893">
      <c r="A893" s="282"/>
      <c r="B893" s="125"/>
      <c r="C893" s="113"/>
      <c r="D893" s="75"/>
      <c r="E893" s="282"/>
      <c r="F893" s="125"/>
      <c r="G893" s="113"/>
      <c r="H893" s="75"/>
      <c r="I893" s="282"/>
      <c r="J893" s="125"/>
      <c r="K893" s="113"/>
      <c r="L893" s="75"/>
      <c r="M893" s="282"/>
      <c r="N893" s="125"/>
      <c r="O893" s="113"/>
      <c r="P893" s="75"/>
      <c r="Q893" s="282"/>
      <c r="R893" s="125"/>
      <c r="S893" s="113"/>
      <c r="T893" s="75"/>
      <c r="U893" s="282"/>
      <c r="V893" s="125"/>
      <c r="W893" s="113"/>
      <c r="X893" s="75"/>
      <c r="Y893" s="282"/>
      <c r="Z893" s="290"/>
      <c r="AA893" s="291"/>
      <c r="AB893" s="73"/>
      <c r="AC893" s="282"/>
      <c r="AD893" s="125"/>
      <c r="AE893" s="241"/>
      <c r="AF893" s="284"/>
      <c r="AG893" s="282"/>
      <c r="AH893" s="292"/>
      <c r="AI893" s="292"/>
      <c r="AJ893" s="292"/>
      <c r="AK893" s="282"/>
      <c r="AL893" s="75"/>
      <c r="AM893" s="75"/>
      <c r="AN893" s="75"/>
      <c r="AO893" s="282"/>
      <c r="AP893" s="75"/>
      <c r="AQ893" s="75"/>
      <c r="AR893" s="75"/>
      <c r="AS893" s="75"/>
      <c r="AT893" s="75"/>
    </row>
    <row r="894">
      <c r="A894" s="282"/>
      <c r="B894" s="125"/>
      <c r="C894" s="113"/>
      <c r="D894" s="75"/>
      <c r="E894" s="282"/>
      <c r="F894" s="125"/>
      <c r="G894" s="113"/>
      <c r="H894" s="75"/>
      <c r="I894" s="282"/>
      <c r="J894" s="125"/>
      <c r="K894" s="113"/>
      <c r="L894" s="75"/>
      <c r="M894" s="282"/>
      <c r="N894" s="125"/>
      <c r="O894" s="113"/>
      <c r="P894" s="75"/>
      <c r="Q894" s="282"/>
      <c r="R894" s="125"/>
      <c r="S894" s="113"/>
      <c r="T894" s="75"/>
      <c r="U894" s="282"/>
      <c r="V894" s="125"/>
      <c r="W894" s="113"/>
      <c r="X894" s="75"/>
      <c r="Y894" s="282"/>
      <c r="Z894" s="290"/>
      <c r="AA894" s="291"/>
      <c r="AB894" s="73"/>
      <c r="AC894" s="282"/>
      <c r="AD894" s="125"/>
      <c r="AE894" s="241"/>
      <c r="AF894" s="284"/>
      <c r="AG894" s="282"/>
      <c r="AH894" s="292"/>
      <c r="AI894" s="292"/>
      <c r="AJ894" s="292"/>
      <c r="AK894" s="282"/>
      <c r="AL894" s="75"/>
      <c r="AM894" s="75"/>
      <c r="AN894" s="75"/>
      <c r="AO894" s="282"/>
      <c r="AP894" s="75"/>
      <c r="AQ894" s="75"/>
      <c r="AR894" s="75"/>
      <c r="AS894" s="75"/>
      <c r="AT894" s="75"/>
    </row>
    <row r="895">
      <c r="A895" s="282"/>
      <c r="B895" s="125"/>
      <c r="C895" s="113"/>
      <c r="D895" s="75"/>
      <c r="E895" s="282"/>
      <c r="F895" s="125"/>
      <c r="G895" s="113"/>
      <c r="H895" s="75"/>
      <c r="I895" s="282"/>
      <c r="J895" s="125"/>
      <c r="K895" s="113"/>
      <c r="L895" s="75"/>
      <c r="M895" s="282"/>
      <c r="N895" s="125"/>
      <c r="O895" s="113"/>
      <c r="P895" s="75"/>
      <c r="Q895" s="282"/>
      <c r="R895" s="125"/>
      <c r="S895" s="113"/>
      <c r="T895" s="75"/>
      <c r="U895" s="282"/>
      <c r="V895" s="125"/>
      <c r="W895" s="113"/>
      <c r="X895" s="75"/>
      <c r="Y895" s="282"/>
      <c r="Z895" s="290"/>
      <c r="AA895" s="291"/>
      <c r="AB895" s="73"/>
      <c r="AC895" s="282"/>
      <c r="AD895" s="125"/>
      <c r="AE895" s="241"/>
      <c r="AF895" s="284"/>
      <c r="AG895" s="282"/>
      <c r="AH895" s="292"/>
      <c r="AI895" s="292"/>
      <c r="AJ895" s="292"/>
      <c r="AK895" s="282"/>
      <c r="AL895" s="75"/>
      <c r="AM895" s="75"/>
      <c r="AN895" s="75"/>
      <c r="AO895" s="282"/>
      <c r="AP895" s="75"/>
      <c r="AQ895" s="75"/>
      <c r="AR895" s="75"/>
      <c r="AS895" s="75"/>
      <c r="AT895" s="75"/>
    </row>
    <row r="896">
      <c r="A896" s="282"/>
      <c r="B896" s="125"/>
      <c r="C896" s="113"/>
      <c r="D896" s="75"/>
      <c r="E896" s="282"/>
      <c r="F896" s="125"/>
      <c r="G896" s="113"/>
      <c r="H896" s="75"/>
      <c r="I896" s="282"/>
      <c r="J896" s="125"/>
      <c r="K896" s="113"/>
      <c r="L896" s="75"/>
      <c r="M896" s="282"/>
      <c r="N896" s="125"/>
      <c r="O896" s="113"/>
      <c r="P896" s="75"/>
      <c r="Q896" s="282"/>
      <c r="R896" s="125"/>
      <c r="S896" s="113"/>
      <c r="T896" s="75"/>
      <c r="U896" s="282"/>
      <c r="V896" s="125"/>
      <c r="W896" s="113"/>
      <c r="X896" s="75"/>
      <c r="Y896" s="282"/>
      <c r="Z896" s="290"/>
      <c r="AA896" s="291"/>
      <c r="AB896" s="73"/>
      <c r="AC896" s="282"/>
      <c r="AD896" s="125"/>
      <c r="AE896" s="241"/>
      <c r="AF896" s="284"/>
      <c r="AG896" s="282"/>
      <c r="AH896" s="292"/>
      <c r="AI896" s="292"/>
      <c r="AJ896" s="292"/>
      <c r="AK896" s="282"/>
      <c r="AL896" s="75"/>
      <c r="AM896" s="75"/>
      <c r="AN896" s="75"/>
      <c r="AO896" s="282"/>
      <c r="AP896" s="75"/>
      <c r="AQ896" s="75"/>
      <c r="AR896" s="75"/>
      <c r="AS896" s="75"/>
      <c r="AT896" s="75"/>
    </row>
    <row r="897">
      <c r="A897" s="282"/>
      <c r="B897" s="125"/>
      <c r="C897" s="113"/>
      <c r="D897" s="75"/>
      <c r="E897" s="282"/>
      <c r="F897" s="125"/>
      <c r="G897" s="113"/>
      <c r="H897" s="75"/>
      <c r="I897" s="282"/>
      <c r="J897" s="125"/>
      <c r="K897" s="113"/>
      <c r="L897" s="75"/>
      <c r="M897" s="282"/>
      <c r="N897" s="125"/>
      <c r="O897" s="113"/>
      <c r="P897" s="75"/>
      <c r="Q897" s="282"/>
      <c r="R897" s="125"/>
      <c r="S897" s="113"/>
      <c r="T897" s="75"/>
      <c r="U897" s="282"/>
      <c r="V897" s="125"/>
      <c r="W897" s="113"/>
      <c r="X897" s="75"/>
      <c r="Y897" s="282"/>
      <c r="Z897" s="290"/>
      <c r="AA897" s="291"/>
      <c r="AB897" s="73"/>
      <c r="AC897" s="282"/>
      <c r="AD897" s="125"/>
      <c r="AE897" s="241"/>
      <c r="AF897" s="284"/>
      <c r="AG897" s="282"/>
      <c r="AH897" s="292"/>
      <c r="AI897" s="292"/>
      <c r="AJ897" s="292"/>
      <c r="AK897" s="282"/>
      <c r="AL897" s="75"/>
      <c r="AM897" s="75"/>
      <c r="AN897" s="75"/>
      <c r="AO897" s="282"/>
      <c r="AP897" s="75"/>
      <c r="AQ897" s="75"/>
      <c r="AR897" s="75"/>
      <c r="AS897" s="75"/>
      <c r="AT897" s="75"/>
    </row>
    <row r="898">
      <c r="A898" s="282"/>
      <c r="B898" s="125"/>
      <c r="C898" s="113"/>
      <c r="D898" s="75"/>
      <c r="E898" s="282"/>
      <c r="F898" s="125"/>
      <c r="G898" s="113"/>
      <c r="H898" s="75"/>
      <c r="I898" s="282"/>
      <c r="J898" s="125"/>
      <c r="K898" s="113"/>
      <c r="L898" s="75"/>
      <c r="M898" s="282"/>
      <c r="N898" s="125"/>
      <c r="O898" s="113"/>
      <c r="P898" s="75"/>
      <c r="Q898" s="282"/>
      <c r="R898" s="125"/>
      <c r="S898" s="113"/>
      <c r="T898" s="75"/>
      <c r="U898" s="282"/>
      <c r="V898" s="125"/>
      <c r="W898" s="113"/>
      <c r="X898" s="75"/>
      <c r="Y898" s="282"/>
      <c r="Z898" s="290"/>
      <c r="AA898" s="291"/>
      <c r="AB898" s="73"/>
      <c r="AC898" s="282"/>
      <c r="AD898" s="125"/>
      <c r="AE898" s="241"/>
      <c r="AF898" s="284"/>
      <c r="AG898" s="282"/>
      <c r="AH898" s="292"/>
      <c r="AI898" s="292"/>
      <c r="AJ898" s="292"/>
      <c r="AK898" s="282"/>
      <c r="AL898" s="75"/>
      <c r="AM898" s="75"/>
      <c r="AN898" s="75"/>
      <c r="AO898" s="282"/>
      <c r="AP898" s="75"/>
      <c r="AQ898" s="75"/>
      <c r="AR898" s="75"/>
      <c r="AS898" s="75"/>
      <c r="AT898" s="75"/>
    </row>
    <row r="899">
      <c r="A899" s="282"/>
      <c r="B899" s="125"/>
      <c r="C899" s="113"/>
      <c r="D899" s="75"/>
      <c r="E899" s="282"/>
      <c r="F899" s="125"/>
      <c r="G899" s="113"/>
      <c r="H899" s="75"/>
      <c r="I899" s="282"/>
      <c r="J899" s="125"/>
      <c r="K899" s="113"/>
      <c r="L899" s="75"/>
      <c r="M899" s="282"/>
      <c r="N899" s="125"/>
      <c r="O899" s="113"/>
      <c r="P899" s="75"/>
      <c r="Q899" s="282"/>
      <c r="R899" s="125"/>
      <c r="S899" s="113"/>
      <c r="T899" s="75"/>
      <c r="U899" s="282"/>
      <c r="V899" s="125"/>
      <c r="W899" s="113"/>
      <c r="X899" s="75"/>
      <c r="Y899" s="282"/>
      <c r="Z899" s="290"/>
      <c r="AA899" s="291"/>
      <c r="AB899" s="73"/>
      <c r="AC899" s="282"/>
      <c r="AD899" s="125"/>
      <c r="AE899" s="241"/>
      <c r="AF899" s="284"/>
      <c r="AG899" s="282"/>
      <c r="AH899" s="292"/>
      <c r="AI899" s="292"/>
      <c r="AJ899" s="292"/>
      <c r="AK899" s="282"/>
      <c r="AL899" s="75"/>
      <c r="AM899" s="75"/>
      <c r="AN899" s="75"/>
      <c r="AO899" s="282"/>
      <c r="AP899" s="75"/>
      <c r="AQ899" s="75"/>
      <c r="AR899" s="75"/>
      <c r="AS899" s="75"/>
      <c r="AT899" s="75"/>
    </row>
    <row r="900">
      <c r="A900" s="282"/>
      <c r="B900" s="125"/>
      <c r="C900" s="113"/>
      <c r="D900" s="75"/>
      <c r="E900" s="282"/>
      <c r="F900" s="125"/>
      <c r="G900" s="113"/>
      <c r="H900" s="75"/>
      <c r="I900" s="282"/>
      <c r="J900" s="125"/>
      <c r="K900" s="113"/>
      <c r="L900" s="75"/>
      <c r="M900" s="282"/>
      <c r="N900" s="125"/>
      <c r="O900" s="113"/>
      <c r="P900" s="75"/>
      <c r="Q900" s="282"/>
      <c r="R900" s="125"/>
      <c r="S900" s="113"/>
      <c r="T900" s="75"/>
      <c r="U900" s="282"/>
      <c r="V900" s="125"/>
      <c r="W900" s="113"/>
      <c r="X900" s="75"/>
      <c r="Y900" s="282"/>
      <c r="Z900" s="290"/>
      <c r="AA900" s="291"/>
      <c r="AB900" s="73"/>
      <c r="AC900" s="282"/>
      <c r="AD900" s="125"/>
      <c r="AE900" s="241"/>
      <c r="AF900" s="284"/>
      <c r="AG900" s="282"/>
      <c r="AH900" s="292"/>
      <c r="AI900" s="292"/>
      <c r="AJ900" s="292"/>
      <c r="AK900" s="282"/>
      <c r="AL900" s="75"/>
      <c r="AM900" s="75"/>
      <c r="AN900" s="75"/>
      <c r="AO900" s="282"/>
      <c r="AP900" s="75"/>
      <c r="AQ900" s="75"/>
      <c r="AR900" s="75"/>
      <c r="AS900" s="75"/>
      <c r="AT900" s="75"/>
    </row>
    <row r="901">
      <c r="A901" s="282"/>
      <c r="B901" s="125"/>
      <c r="C901" s="113"/>
      <c r="D901" s="75"/>
      <c r="E901" s="282"/>
      <c r="F901" s="125"/>
      <c r="G901" s="113"/>
      <c r="H901" s="75"/>
      <c r="I901" s="282"/>
      <c r="J901" s="125"/>
      <c r="K901" s="113"/>
      <c r="L901" s="75"/>
      <c r="M901" s="282"/>
      <c r="N901" s="125"/>
      <c r="O901" s="113"/>
      <c r="P901" s="75"/>
      <c r="Q901" s="282"/>
      <c r="R901" s="125"/>
      <c r="S901" s="113"/>
      <c r="T901" s="75"/>
      <c r="U901" s="282"/>
      <c r="V901" s="125"/>
      <c r="W901" s="113"/>
      <c r="X901" s="75"/>
      <c r="Y901" s="282"/>
      <c r="Z901" s="290"/>
      <c r="AA901" s="291"/>
      <c r="AB901" s="73"/>
      <c r="AC901" s="282"/>
      <c r="AD901" s="125"/>
      <c r="AE901" s="241"/>
      <c r="AF901" s="284"/>
      <c r="AG901" s="282"/>
      <c r="AH901" s="292"/>
      <c r="AI901" s="292"/>
      <c r="AJ901" s="292"/>
      <c r="AK901" s="282"/>
      <c r="AL901" s="75"/>
      <c r="AM901" s="75"/>
      <c r="AN901" s="75"/>
      <c r="AO901" s="282"/>
      <c r="AP901" s="75"/>
      <c r="AQ901" s="75"/>
      <c r="AR901" s="75"/>
      <c r="AS901" s="75"/>
      <c r="AT901" s="75"/>
    </row>
    <row r="902">
      <c r="A902" s="282"/>
      <c r="B902" s="125"/>
      <c r="C902" s="113"/>
      <c r="D902" s="75"/>
      <c r="E902" s="282"/>
      <c r="F902" s="125"/>
      <c r="G902" s="113"/>
      <c r="H902" s="75"/>
      <c r="I902" s="282"/>
      <c r="J902" s="125"/>
      <c r="K902" s="113"/>
      <c r="L902" s="75"/>
      <c r="M902" s="282"/>
      <c r="N902" s="125"/>
      <c r="O902" s="113"/>
      <c r="P902" s="75"/>
      <c r="Q902" s="282"/>
      <c r="R902" s="125"/>
      <c r="S902" s="113"/>
      <c r="T902" s="75"/>
      <c r="U902" s="282"/>
      <c r="V902" s="125"/>
      <c r="W902" s="113"/>
      <c r="X902" s="75"/>
      <c r="Y902" s="282"/>
      <c r="Z902" s="290"/>
      <c r="AA902" s="291"/>
      <c r="AB902" s="73"/>
      <c r="AC902" s="282"/>
      <c r="AD902" s="125"/>
      <c r="AE902" s="241"/>
      <c r="AF902" s="284"/>
      <c r="AG902" s="282"/>
      <c r="AH902" s="292"/>
      <c r="AI902" s="292"/>
      <c r="AJ902" s="292"/>
      <c r="AK902" s="282"/>
      <c r="AL902" s="75"/>
      <c r="AM902" s="75"/>
      <c r="AN902" s="75"/>
      <c r="AO902" s="282"/>
      <c r="AP902" s="75"/>
      <c r="AQ902" s="75"/>
      <c r="AR902" s="75"/>
      <c r="AS902" s="75"/>
      <c r="AT902" s="75"/>
    </row>
    <row r="903">
      <c r="A903" s="282"/>
      <c r="B903" s="125"/>
      <c r="C903" s="113"/>
      <c r="D903" s="75"/>
      <c r="E903" s="282"/>
      <c r="F903" s="125"/>
      <c r="G903" s="113"/>
      <c r="H903" s="75"/>
      <c r="I903" s="282"/>
      <c r="J903" s="125"/>
      <c r="K903" s="113"/>
      <c r="L903" s="75"/>
      <c r="M903" s="282"/>
      <c r="N903" s="125"/>
      <c r="O903" s="113"/>
      <c r="P903" s="75"/>
      <c r="Q903" s="282"/>
      <c r="R903" s="125"/>
      <c r="S903" s="113"/>
      <c r="T903" s="75"/>
      <c r="U903" s="282"/>
      <c r="V903" s="125"/>
      <c r="W903" s="113"/>
      <c r="X903" s="75"/>
      <c r="Y903" s="282"/>
      <c r="Z903" s="290"/>
      <c r="AA903" s="291"/>
      <c r="AB903" s="73"/>
      <c r="AC903" s="282"/>
      <c r="AD903" s="125"/>
      <c r="AE903" s="241"/>
      <c r="AF903" s="284"/>
      <c r="AG903" s="282"/>
      <c r="AH903" s="292"/>
      <c r="AI903" s="292"/>
      <c r="AJ903" s="292"/>
      <c r="AK903" s="282"/>
      <c r="AL903" s="75"/>
      <c r="AM903" s="75"/>
      <c r="AN903" s="75"/>
      <c r="AO903" s="282"/>
      <c r="AP903" s="75"/>
      <c r="AQ903" s="75"/>
      <c r="AR903" s="75"/>
      <c r="AS903" s="75"/>
      <c r="AT903" s="75"/>
    </row>
    <row r="904">
      <c r="A904" s="282"/>
      <c r="B904" s="125"/>
      <c r="C904" s="113"/>
      <c r="D904" s="75"/>
      <c r="E904" s="282"/>
      <c r="F904" s="125"/>
      <c r="G904" s="113"/>
      <c r="H904" s="75"/>
      <c r="I904" s="282"/>
      <c r="J904" s="125"/>
      <c r="K904" s="113"/>
      <c r="L904" s="75"/>
      <c r="M904" s="282"/>
      <c r="N904" s="125"/>
      <c r="O904" s="113"/>
      <c r="P904" s="75"/>
      <c r="Q904" s="282"/>
      <c r="R904" s="125"/>
      <c r="S904" s="113"/>
      <c r="T904" s="75"/>
      <c r="U904" s="282"/>
      <c r="V904" s="125"/>
      <c r="W904" s="113"/>
      <c r="X904" s="75"/>
      <c r="Y904" s="282"/>
      <c r="Z904" s="290"/>
      <c r="AA904" s="291"/>
      <c r="AB904" s="73"/>
      <c r="AC904" s="282"/>
      <c r="AD904" s="125"/>
      <c r="AE904" s="241"/>
      <c r="AF904" s="284"/>
      <c r="AG904" s="282"/>
      <c r="AH904" s="292"/>
      <c r="AI904" s="292"/>
      <c r="AJ904" s="292"/>
      <c r="AK904" s="282"/>
      <c r="AL904" s="75"/>
      <c r="AM904" s="75"/>
      <c r="AN904" s="75"/>
      <c r="AO904" s="282"/>
      <c r="AP904" s="75"/>
      <c r="AQ904" s="75"/>
      <c r="AR904" s="75"/>
      <c r="AS904" s="75"/>
      <c r="AT904" s="75"/>
    </row>
    <row r="905">
      <c r="A905" s="282"/>
      <c r="B905" s="125"/>
      <c r="C905" s="113"/>
      <c r="D905" s="75"/>
      <c r="E905" s="282"/>
      <c r="F905" s="125"/>
      <c r="G905" s="113"/>
      <c r="H905" s="75"/>
      <c r="I905" s="282"/>
      <c r="J905" s="125"/>
      <c r="K905" s="113"/>
      <c r="L905" s="75"/>
      <c r="M905" s="282"/>
      <c r="N905" s="125"/>
      <c r="O905" s="113"/>
      <c r="P905" s="75"/>
      <c r="Q905" s="282"/>
      <c r="R905" s="125"/>
      <c r="S905" s="113"/>
      <c r="T905" s="75"/>
      <c r="U905" s="282"/>
      <c r="V905" s="125"/>
      <c r="W905" s="113"/>
      <c r="X905" s="75"/>
      <c r="Y905" s="282"/>
      <c r="Z905" s="290"/>
      <c r="AA905" s="291"/>
      <c r="AB905" s="73"/>
      <c r="AC905" s="282"/>
      <c r="AD905" s="125"/>
      <c r="AE905" s="241"/>
      <c r="AF905" s="284"/>
      <c r="AG905" s="282"/>
      <c r="AH905" s="292"/>
      <c r="AI905" s="292"/>
      <c r="AJ905" s="292"/>
      <c r="AK905" s="282"/>
      <c r="AL905" s="75"/>
      <c r="AM905" s="75"/>
      <c r="AN905" s="75"/>
      <c r="AO905" s="282"/>
      <c r="AP905" s="75"/>
      <c r="AQ905" s="75"/>
      <c r="AR905" s="75"/>
      <c r="AS905" s="75"/>
      <c r="AT905" s="75"/>
    </row>
    <row r="906">
      <c r="A906" s="282"/>
      <c r="B906" s="125"/>
      <c r="C906" s="113"/>
      <c r="D906" s="75"/>
      <c r="E906" s="282"/>
      <c r="F906" s="125"/>
      <c r="G906" s="113"/>
      <c r="H906" s="75"/>
      <c r="I906" s="282"/>
      <c r="J906" s="125"/>
      <c r="K906" s="113"/>
      <c r="L906" s="75"/>
      <c r="M906" s="282"/>
      <c r="N906" s="125"/>
      <c r="O906" s="113"/>
      <c r="P906" s="75"/>
      <c r="Q906" s="282"/>
      <c r="R906" s="125"/>
      <c r="S906" s="113"/>
      <c r="T906" s="75"/>
      <c r="U906" s="282"/>
      <c r="V906" s="125"/>
      <c r="W906" s="113"/>
      <c r="X906" s="75"/>
      <c r="Y906" s="282"/>
      <c r="Z906" s="290"/>
      <c r="AA906" s="291"/>
      <c r="AB906" s="73"/>
      <c r="AC906" s="282"/>
      <c r="AD906" s="125"/>
      <c r="AE906" s="241"/>
      <c r="AF906" s="284"/>
      <c r="AG906" s="282"/>
      <c r="AH906" s="292"/>
      <c r="AI906" s="292"/>
      <c r="AJ906" s="292"/>
      <c r="AK906" s="282"/>
      <c r="AL906" s="75"/>
      <c r="AM906" s="75"/>
      <c r="AN906" s="75"/>
      <c r="AO906" s="282"/>
      <c r="AP906" s="75"/>
      <c r="AQ906" s="75"/>
      <c r="AR906" s="75"/>
      <c r="AS906" s="75"/>
      <c r="AT906" s="75"/>
    </row>
    <row r="907">
      <c r="A907" s="282"/>
      <c r="B907" s="125"/>
      <c r="C907" s="113"/>
      <c r="D907" s="75"/>
      <c r="E907" s="282"/>
      <c r="F907" s="125"/>
      <c r="G907" s="113"/>
      <c r="H907" s="75"/>
      <c r="I907" s="282"/>
      <c r="J907" s="125"/>
      <c r="K907" s="113"/>
      <c r="L907" s="75"/>
      <c r="M907" s="282"/>
      <c r="N907" s="125"/>
      <c r="O907" s="113"/>
      <c r="P907" s="75"/>
      <c r="Q907" s="282"/>
      <c r="R907" s="125"/>
      <c r="S907" s="113"/>
      <c r="T907" s="75"/>
      <c r="U907" s="282"/>
      <c r="V907" s="125"/>
      <c r="W907" s="113"/>
      <c r="X907" s="75"/>
      <c r="Y907" s="282"/>
      <c r="Z907" s="290"/>
      <c r="AA907" s="291"/>
      <c r="AB907" s="73"/>
      <c r="AC907" s="282"/>
      <c r="AD907" s="125"/>
      <c r="AE907" s="241"/>
      <c r="AF907" s="284"/>
      <c r="AG907" s="282"/>
      <c r="AH907" s="292"/>
      <c r="AI907" s="292"/>
      <c r="AJ907" s="292"/>
      <c r="AK907" s="282"/>
      <c r="AL907" s="75"/>
      <c r="AM907" s="75"/>
      <c r="AN907" s="75"/>
      <c r="AO907" s="282"/>
      <c r="AP907" s="75"/>
      <c r="AQ907" s="75"/>
      <c r="AR907" s="75"/>
      <c r="AS907" s="75"/>
      <c r="AT907" s="75"/>
    </row>
    <row r="908">
      <c r="A908" s="282"/>
      <c r="B908" s="125"/>
      <c r="C908" s="113"/>
      <c r="D908" s="75"/>
      <c r="E908" s="282"/>
      <c r="F908" s="125"/>
      <c r="G908" s="113"/>
      <c r="H908" s="75"/>
      <c r="I908" s="282"/>
      <c r="J908" s="125"/>
      <c r="K908" s="113"/>
      <c r="L908" s="75"/>
      <c r="M908" s="282"/>
      <c r="N908" s="125"/>
      <c r="O908" s="113"/>
      <c r="P908" s="75"/>
      <c r="Q908" s="282"/>
      <c r="R908" s="125"/>
      <c r="S908" s="113"/>
      <c r="T908" s="75"/>
      <c r="U908" s="282"/>
      <c r="V908" s="125"/>
      <c r="W908" s="113"/>
      <c r="X908" s="75"/>
      <c r="Y908" s="282"/>
      <c r="Z908" s="290"/>
      <c r="AA908" s="291"/>
      <c r="AB908" s="73"/>
      <c r="AC908" s="282"/>
      <c r="AD908" s="125"/>
      <c r="AE908" s="241"/>
      <c r="AF908" s="284"/>
      <c r="AG908" s="282"/>
      <c r="AH908" s="292"/>
      <c r="AI908" s="292"/>
      <c r="AJ908" s="292"/>
      <c r="AK908" s="282"/>
      <c r="AL908" s="75"/>
      <c r="AM908" s="75"/>
      <c r="AN908" s="75"/>
      <c r="AO908" s="282"/>
      <c r="AP908" s="75"/>
      <c r="AQ908" s="75"/>
      <c r="AR908" s="75"/>
      <c r="AS908" s="75"/>
      <c r="AT908" s="75"/>
    </row>
    <row r="909">
      <c r="A909" s="282"/>
      <c r="B909" s="125"/>
      <c r="C909" s="113"/>
      <c r="D909" s="75"/>
      <c r="E909" s="282"/>
      <c r="F909" s="125"/>
      <c r="G909" s="113"/>
      <c r="H909" s="75"/>
      <c r="I909" s="282"/>
      <c r="J909" s="125"/>
      <c r="K909" s="113"/>
      <c r="L909" s="75"/>
      <c r="M909" s="282"/>
      <c r="N909" s="125"/>
      <c r="O909" s="113"/>
      <c r="P909" s="75"/>
      <c r="Q909" s="282"/>
      <c r="R909" s="125"/>
      <c r="S909" s="113"/>
      <c r="T909" s="75"/>
      <c r="U909" s="282"/>
      <c r="V909" s="125"/>
      <c r="W909" s="113"/>
      <c r="X909" s="75"/>
      <c r="Y909" s="282"/>
      <c r="Z909" s="290"/>
      <c r="AA909" s="291"/>
      <c r="AB909" s="73"/>
      <c r="AC909" s="282"/>
      <c r="AD909" s="125"/>
      <c r="AE909" s="241"/>
      <c r="AF909" s="284"/>
      <c r="AG909" s="282"/>
      <c r="AH909" s="292"/>
      <c r="AI909" s="292"/>
      <c r="AJ909" s="292"/>
      <c r="AK909" s="282"/>
      <c r="AL909" s="75"/>
      <c r="AM909" s="75"/>
      <c r="AN909" s="75"/>
      <c r="AO909" s="282"/>
      <c r="AP909" s="75"/>
      <c r="AQ909" s="75"/>
      <c r="AR909" s="75"/>
      <c r="AS909" s="75"/>
      <c r="AT909" s="75"/>
    </row>
    <row r="910">
      <c r="A910" s="282"/>
      <c r="B910" s="125"/>
      <c r="C910" s="113"/>
      <c r="D910" s="75"/>
      <c r="E910" s="282"/>
      <c r="F910" s="125"/>
      <c r="G910" s="113"/>
      <c r="H910" s="75"/>
      <c r="I910" s="282"/>
      <c r="J910" s="125"/>
      <c r="K910" s="113"/>
      <c r="L910" s="75"/>
      <c r="M910" s="282"/>
      <c r="N910" s="125"/>
      <c r="O910" s="113"/>
      <c r="P910" s="75"/>
      <c r="Q910" s="282"/>
      <c r="R910" s="125"/>
      <c r="S910" s="113"/>
      <c r="T910" s="75"/>
      <c r="U910" s="282"/>
      <c r="V910" s="125"/>
      <c r="W910" s="113"/>
      <c r="X910" s="75"/>
      <c r="Y910" s="282"/>
      <c r="Z910" s="290"/>
      <c r="AA910" s="291"/>
      <c r="AB910" s="73"/>
      <c r="AC910" s="282"/>
      <c r="AD910" s="125"/>
      <c r="AE910" s="241"/>
      <c r="AF910" s="284"/>
      <c r="AG910" s="282"/>
      <c r="AH910" s="292"/>
      <c r="AI910" s="292"/>
      <c r="AJ910" s="292"/>
      <c r="AK910" s="282"/>
      <c r="AL910" s="75"/>
      <c r="AM910" s="75"/>
      <c r="AN910" s="75"/>
      <c r="AO910" s="282"/>
      <c r="AP910" s="75"/>
      <c r="AQ910" s="75"/>
      <c r="AR910" s="75"/>
      <c r="AS910" s="75"/>
      <c r="AT910" s="75"/>
    </row>
    <row r="911">
      <c r="A911" s="282"/>
      <c r="B911" s="125"/>
      <c r="C911" s="113"/>
      <c r="D911" s="75"/>
      <c r="E911" s="282"/>
      <c r="F911" s="125"/>
      <c r="G911" s="113"/>
      <c r="H911" s="75"/>
      <c r="I911" s="282"/>
      <c r="J911" s="125"/>
      <c r="K911" s="113"/>
      <c r="L911" s="75"/>
      <c r="M911" s="282"/>
      <c r="N911" s="125"/>
      <c r="O911" s="113"/>
      <c r="P911" s="75"/>
      <c r="Q911" s="282"/>
      <c r="R911" s="125"/>
      <c r="S911" s="113"/>
      <c r="T911" s="75"/>
      <c r="U911" s="282"/>
      <c r="V911" s="125"/>
      <c r="W911" s="113"/>
      <c r="X911" s="75"/>
      <c r="Y911" s="282"/>
      <c r="Z911" s="290"/>
      <c r="AA911" s="291"/>
      <c r="AB911" s="73"/>
      <c r="AC911" s="282"/>
      <c r="AD911" s="125"/>
      <c r="AE911" s="241"/>
      <c r="AF911" s="284"/>
      <c r="AG911" s="282"/>
      <c r="AH911" s="292"/>
      <c r="AI911" s="292"/>
      <c r="AJ911" s="292"/>
      <c r="AK911" s="282"/>
      <c r="AL911" s="75"/>
      <c r="AM911" s="75"/>
      <c r="AN911" s="75"/>
      <c r="AO911" s="282"/>
      <c r="AP911" s="75"/>
      <c r="AQ911" s="75"/>
      <c r="AR911" s="75"/>
      <c r="AS911" s="75"/>
      <c r="AT911" s="75"/>
    </row>
    <row r="912">
      <c r="A912" s="282"/>
      <c r="B912" s="125"/>
      <c r="C912" s="113"/>
      <c r="D912" s="75"/>
      <c r="E912" s="282"/>
      <c r="F912" s="125"/>
      <c r="G912" s="113"/>
      <c r="H912" s="75"/>
      <c r="I912" s="282"/>
      <c r="J912" s="125"/>
      <c r="K912" s="113"/>
      <c r="L912" s="75"/>
      <c r="M912" s="282"/>
      <c r="N912" s="125"/>
      <c r="O912" s="113"/>
      <c r="P912" s="75"/>
      <c r="Q912" s="282"/>
      <c r="R912" s="125"/>
      <c r="S912" s="113"/>
      <c r="T912" s="75"/>
      <c r="U912" s="282"/>
      <c r="V912" s="125"/>
      <c r="W912" s="113"/>
      <c r="X912" s="75"/>
      <c r="Y912" s="282"/>
      <c r="Z912" s="290"/>
      <c r="AA912" s="291"/>
      <c r="AB912" s="73"/>
      <c r="AC912" s="282"/>
      <c r="AD912" s="125"/>
      <c r="AE912" s="241"/>
      <c r="AF912" s="284"/>
      <c r="AG912" s="282"/>
      <c r="AH912" s="292"/>
      <c r="AI912" s="292"/>
      <c r="AJ912" s="292"/>
      <c r="AK912" s="282"/>
      <c r="AL912" s="75"/>
      <c r="AM912" s="75"/>
      <c r="AN912" s="75"/>
      <c r="AO912" s="282"/>
      <c r="AP912" s="75"/>
      <c r="AQ912" s="75"/>
      <c r="AR912" s="75"/>
      <c r="AS912" s="75"/>
      <c r="AT912" s="75"/>
    </row>
    <row r="913">
      <c r="A913" s="282"/>
      <c r="B913" s="125"/>
      <c r="C913" s="113"/>
      <c r="D913" s="75"/>
      <c r="E913" s="282"/>
      <c r="F913" s="125"/>
      <c r="G913" s="113"/>
      <c r="H913" s="75"/>
      <c r="I913" s="282"/>
      <c r="J913" s="125"/>
      <c r="K913" s="113"/>
      <c r="L913" s="75"/>
      <c r="M913" s="282"/>
      <c r="N913" s="125"/>
      <c r="O913" s="113"/>
      <c r="P913" s="75"/>
      <c r="Q913" s="282"/>
      <c r="R913" s="125"/>
      <c r="S913" s="113"/>
      <c r="T913" s="75"/>
      <c r="U913" s="282"/>
      <c r="V913" s="125"/>
      <c r="W913" s="113"/>
      <c r="X913" s="75"/>
      <c r="Y913" s="282"/>
      <c r="Z913" s="290"/>
      <c r="AA913" s="291"/>
      <c r="AB913" s="73"/>
      <c r="AC913" s="282"/>
      <c r="AD913" s="125"/>
      <c r="AE913" s="241"/>
      <c r="AF913" s="284"/>
      <c r="AG913" s="282"/>
      <c r="AH913" s="292"/>
      <c r="AI913" s="292"/>
      <c r="AJ913" s="292"/>
      <c r="AK913" s="282"/>
      <c r="AL913" s="75"/>
      <c r="AM913" s="75"/>
      <c r="AN913" s="75"/>
      <c r="AO913" s="282"/>
      <c r="AP913" s="75"/>
      <c r="AQ913" s="75"/>
      <c r="AR913" s="75"/>
      <c r="AS913" s="75"/>
      <c r="AT913" s="75"/>
    </row>
    <row r="914">
      <c r="A914" s="282"/>
      <c r="B914" s="125"/>
      <c r="C914" s="113"/>
      <c r="D914" s="75"/>
      <c r="E914" s="282"/>
      <c r="F914" s="125"/>
      <c r="G914" s="113"/>
      <c r="H914" s="75"/>
      <c r="I914" s="282"/>
      <c r="J914" s="125"/>
      <c r="K914" s="113"/>
      <c r="L914" s="75"/>
      <c r="M914" s="282"/>
      <c r="N914" s="125"/>
      <c r="O914" s="113"/>
      <c r="P914" s="75"/>
      <c r="Q914" s="282"/>
      <c r="R914" s="125"/>
      <c r="S914" s="113"/>
      <c r="T914" s="75"/>
      <c r="U914" s="282"/>
      <c r="V914" s="125"/>
      <c r="W914" s="113"/>
      <c r="X914" s="75"/>
      <c r="Y914" s="282"/>
      <c r="Z914" s="290"/>
      <c r="AA914" s="291"/>
      <c r="AB914" s="73"/>
      <c r="AC914" s="282"/>
      <c r="AD914" s="125"/>
      <c r="AE914" s="241"/>
      <c r="AF914" s="284"/>
      <c r="AG914" s="282"/>
      <c r="AH914" s="292"/>
      <c r="AI914" s="292"/>
      <c r="AJ914" s="292"/>
      <c r="AK914" s="282"/>
      <c r="AL914" s="75"/>
      <c r="AM914" s="75"/>
      <c r="AN914" s="75"/>
      <c r="AO914" s="282"/>
      <c r="AP914" s="75"/>
      <c r="AQ914" s="75"/>
      <c r="AR914" s="75"/>
      <c r="AS914" s="75"/>
      <c r="AT914" s="75"/>
    </row>
    <row r="915">
      <c r="A915" s="282"/>
      <c r="B915" s="125"/>
      <c r="C915" s="113"/>
      <c r="D915" s="75"/>
      <c r="E915" s="282"/>
      <c r="F915" s="125"/>
      <c r="G915" s="113"/>
      <c r="H915" s="75"/>
      <c r="I915" s="282"/>
      <c r="J915" s="125"/>
      <c r="K915" s="113"/>
      <c r="L915" s="75"/>
      <c r="M915" s="282"/>
      <c r="N915" s="125"/>
      <c r="O915" s="113"/>
      <c r="P915" s="75"/>
      <c r="Q915" s="282"/>
      <c r="R915" s="125"/>
      <c r="S915" s="113"/>
      <c r="T915" s="75"/>
      <c r="U915" s="282"/>
      <c r="V915" s="125"/>
      <c r="W915" s="113"/>
      <c r="X915" s="75"/>
      <c r="Y915" s="282"/>
      <c r="Z915" s="290"/>
      <c r="AA915" s="291"/>
      <c r="AB915" s="73"/>
      <c r="AC915" s="282"/>
      <c r="AD915" s="125"/>
      <c r="AE915" s="241"/>
      <c r="AF915" s="284"/>
      <c r="AG915" s="282"/>
      <c r="AH915" s="292"/>
      <c r="AI915" s="292"/>
      <c r="AJ915" s="292"/>
      <c r="AK915" s="282"/>
      <c r="AL915" s="75"/>
      <c r="AM915" s="75"/>
      <c r="AN915" s="75"/>
      <c r="AO915" s="282"/>
      <c r="AP915" s="75"/>
      <c r="AQ915" s="75"/>
      <c r="AR915" s="75"/>
      <c r="AS915" s="75"/>
      <c r="AT915" s="75"/>
    </row>
    <row r="916">
      <c r="A916" s="282"/>
      <c r="B916" s="125"/>
      <c r="C916" s="113"/>
      <c r="D916" s="75"/>
      <c r="E916" s="282"/>
      <c r="F916" s="125"/>
      <c r="G916" s="113"/>
      <c r="H916" s="75"/>
      <c r="I916" s="282"/>
      <c r="J916" s="125"/>
      <c r="K916" s="113"/>
      <c r="L916" s="75"/>
      <c r="M916" s="282"/>
      <c r="N916" s="125"/>
      <c r="O916" s="113"/>
      <c r="P916" s="75"/>
      <c r="Q916" s="282"/>
      <c r="R916" s="125"/>
      <c r="S916" s="113"/>
      <c r="T916" s="75"/>
      <c r="U916" s="282"/>
      <c r="V916" s="125"/>
      <c r="W916" s="113"/>
      <c r="X916" s="75"/>
      <c r="Y916" s="282"/>
      <c r="Z916" s="290"/>
      <c r="AA916" s="291"/>
      <c r="AB916" s="73"/>
      <c r="AC916" s="282"/>
      <c r="AD916" s="125"/>
      <c r="AE916" s="241"/>
      <c r="AF916" s="284"/>
      <c r="AG916" s="282"/>
      <c r="AH916" s="292"/>
      <c r="AI916" s="292"/>
      <c r="AJ916" s="292"/>
      <c r="AK916" s="282"/>
      <c r="AL916" s="75"/>
      <c r="AM916" s="75"/>
      <c r="AN916" s="75"/>
      <c r="AO916" s="282"/>
      <c r="AP916" s="75"/>
      <c r="AQ916" s="75"/>
      <c r="AR916" s="75"/>
      <c r="AS916" s="75"/>
      <c r="AT916" s="75"/>
    </row>
    <row r="917">
      <c r="A917" s="282"/>
      <c r="B917" s="125"/>
      <c r="C917" s="113"/>
      <c r="D917" s="75"/>
      <c r="E917" s="282"/>
      <c r="F917" s="125"/>
      <c r="G917" s="113"/>
      <c r="H917" s="75"/>
      <c r="I917" s="282"/>
      <c r="J917" s="125"/>
      <c r="K917" s="113"/>
      <c r="L917" s="75"/>
      <c r="M917" s="282"/>
      <c r="N917" s="125"/>
      <c r="O917" s="113"/>
      <c r="P917" s="75"/>
      <c r="Q917" s="282"/>
      <c r="R917" s="125"/>
      <c r="S917" s="113"/>
      <c r="T917" s="75"/>
      <c r="U917" s="282"/>
      <c r="V917" s="125"/>
      <c r="W917" s="113"/>
      <c r="X917" s="75"/>
      <c r="Y917" s="282"/>
      <c r="Z917" s="290"/>
      <c r="AA917" s="291"/>
      <c r="AB917" s="73"/>
      <c r="AC917" s="282"/>
      <c r="AD917" s="125"/>
      <c r="AE917" s="241"/>
      <c r="AF917" s="284"/>
      <c r="AG917" s="282"/>
      <c r="AH917" s="292"/>
      <c r="AI917" s="292"/>
      <c r="AJ917" s="292"/>
      <c r="AK917" s="282"/>
      <c r="AL917" s="75"/>
      <c r="AM917" s="75"/>
      <c r="AN917" s="75"/>
      <c r="AO917" s="282"/>
      <c r="AP917" s="75"/>
      <c r="AQ917" s="75"/>
      <c r="AR917" s="75"/>
      <c r="AS917" s="75"/>
      <c r="AT917" s="75"/>
    </row>
    <row r="918">
      <c r="A918" s="282"/>
      <c r="B918" s="125"/>
      <c r="C918" s="113"/>
      <c r="D918" s="75"/>
      <c r="E918" s="282"/>
      <c r="F918" s="125"/>
      <c r="G918" s="113"/>
      <c r="H918" s="75"/>
      <c r="I918" s="282"/>
      <c r="J918" s="125"/>
      <c r="K918" s="113"/>
      <c r="L918" s="75"/>
      <c r="M918" s="282"/>
      <c r="N918" s="125"/>
      <c r="O918" s="113"/>
      <c r="P918" s="75"/>
      <c r="Q918" s="282"/>
      <c r="R918" s="125"/>
      <c r="S918" s="113"/>
      <c r="T918" s="75"/>
      <c r="U918" s="282"/>
      <c r="V918" s="125"/>
      <c r="W918" s="113"/>
      <c r="X918" s="75"/>
      <c r="Y918" s="282"/>
      <c r="Z918" s="290"/>
      <c r="AA918" s="291"/>
      <c r="AB918" s="73"/>
      <c r="AC918" s="282"/>
      <c r="AD918" s="125"/>
      <c r="AE918" s="241"/>
      <c r="AF918" s="284"/>
      <c r="AG918" s="282"/>
      <c r="AH918" s="292"/>
      <c r="AI918" s="292"/>
      <c r="AJ918" s="292"/>
      <c r="AK918" s="282"/>
      <c r="AL918" s="75"/>
      <c r="AM918" s="75"/>
      <c r="AN918" s="75"/>
      <c r="AO918" s="282"/>
      <c r="AP918" s="75"/>
      <c r="AQ918" s="75"/>
      <c r="AR918" s="75"/>
      <c r="AS918" s="75"/>
      <c r="AT918" s="75"/>
    </row>
    <row r="919">
      <c r="A919" s="282"/>
      <c r="B919" s="125"/>
      <c r="C919" s="113"/>
      <c r="D919" s="75"/>
      <c r="E919" s="282"/>
      <c r="F919" s="125"/>
      <c r="G919" s="113"/>
      <c r="H919" s="75"/>
      <c r="I919" s="282"/>
      <c r="J919" s="125"/>
      <c r="K919" s="113"/>
      <c r="L919" s="75"/>
      <c r="M919" s="282"/>
      <c r="N919" s="125"/>
      <c r="O919" s="113"/>
      <c r="P919" s="75"/>
      <c r="Q919" s="282"/>
      <c r="R919" s="125"/>
      <c r="S919" s="113"/>
      <c r="T919" s="75"/>
      <c r="U919" s="282"/>
      <c r="V919" s="125"/>
      <c r="W919" s="113"/>
      <c r="X919" s="75"/>
      <c r="Y919" s="282"/>
      <c r="Z919" s="290"/>
      <c r="AA919" s="291"/>
      <c r="AB919" s="73"/>
      <c r="AC919" s="282"/>
      <c r="AD919" s="125"/>
      <c r="AE919" s="241"/>
      <c r="AF919" s="284"/>
      <c r="AG919" s="282"/>
      <c r="AH919" s="292"/>
      <c r="AI919" s="292"/>
      <c r="AJ919" s="292"/>
      <c r="AK919" s="282"/>
      <c r="AL919" s="75"/>
      <c r="AM919" s="75"/>
      <c r="AN919" s="75"/>
      <c r="AO919" s="282"/>
      <c r="AP919" s="75"/>
      <c r="AQ919" s="75"/>
      <c r="AR919" s="75"/>
      <c r="AS919" s="75"/>
      <c r="AT919" s="75"/>
    </row>
    <row r="920">
      <c r="A920" s="282"/>
      <c r="B920" s="125"/>
      <c r="C920" s="113"/>
      <c r="D920" s="75"/>
      <c r="E920" s="282"/>
      <c r="F920" s="125"/>
      <c r="G920" s="113"/>
      <c r="H920" s="75"/>
      <c r="I920" s="282"/>
      <c r="J920" s="125"/>
      <c r="K920" s="113"/>
      <c r="L920" s="75"/>
      <c r="M920" s="282"/>
      <c r="N920" s="125"/>
      <c r="O920" s="113"/>
      <c r="P920" s="75"/>
      <c r="Q920" s="282"/>
      <c r="R920" s="125"/>
      <c r="S920" s="113"/>
      <c r="T920" s="75"/>
      <c r="U920" s="282"/>
      <c r="V920" s="125"/>
      <c r="W920" s="113"/>
      <c r="X920" s="75"/>
      <c r="Y920" s="282"/>
      <c r="Z920" s="290"/>
      <c r="AA920" s="291"/>
      <c r="AB920" s="73"/>
      <c r="AC920" s="282"/>
      <c r="AD920" s="125"/>
      <c r="AE920" s="241"/>
      <c r="AF920" s="284"/>
      <c r="AG920" s="282"/>
      <c r="AH920" s="292"/>
      <c r="AI920" s="292"/>
      <c r="AJ920" s="292"/>
      <c r="AK920" s="282"/>
      <c r="AL920" s="75"/>
      <c r="AM920" s="75"/>
      <c r="AN920" s="75"/>
      <c r="AO920" s="282"/>
      <c r="AP920" s="75"/>
      <c r="AQ920" s="75"/>
      <c r="AR920" s="75"/>
      <c r="AS920" s="75"/>
      <c r="AT920" s="75"/>
    </row>
    <row r="921">
      <c r="A921" s="282"/>
      <c r="B921" s="125"/>
      <c r="C921" s="113"/>
      <c r="D921" s="75"/>
      <c r="E921" s="282"/>
      <c r="F921" s="125"/>
      <c r="G921" s="113"/>
      <c r="H921" s="75"/>
      <c r="I921" s="282"/>
      <c r="J921" s="125"/>
      <c r="K921" s="113"/>
      <c r="L921" s="75"/>
      <c r="M921" s="282"/>
      <c r="N921" s="125"/>
      <c r="O921" s="113"/>
      <c r="P921" s="75"/>
      <c r="Q921" s="282"/>
      <c r="R921" s="125"/>
      <c r="S921" s="113"/>
      <c r="T921" s="75"/>
      <c r="U921" s="282"/>
      <c r="V921" s="125"/>
      <c r="W921" s="113"/>
      <c r="X921" s="75"/>
      <c r="Y921" s="282"/>
      <c r="Z921" s="290"/>
      <c r="AA921" s="291"/>
      <c r="AB921" s="73"/>
      <c r="AC921" s="282"/>
      <c r="AD921" s="125"/>
      <c r="AE921" s="241"/>
      <c r="AF921" s="284"/>
      <c r="AG921" s="282"/>
      <c r="AH921" s="292"/>
      <c r="AI921" s="292"/>
      <c r="AJ921" s="292"/>
      <c r="AK921" s="282"/>
      <c r="AL921" s="75"/>
      <c r="AM921" s="75"/>
      <c r="AN921" s="75"/>
      <c r="AO921" s="282"/>
      <c r="AP921" s="75"/>
      <c r="AQ921" s="75"/>
      <c r="AR921" s="75"/>
      <c r="AS921" s="75"/>
      <c r="AT921" s="75"/>
    </row>
    <row r="922">
      <c r="A922" s="282"/>
      <c r="B922" s="125"/>
      <c r="C922" s="113"/>
      <c r="D922" s="75"/>
      <c r="E922" s="282"/>
      <c r="F922" s="125"/>
      <c r="G922" s="113"/>
      <c r="H922" s="75"/>
      <c r="I922" s="282"/>
      <c r="J922" s="125"/>
      <c r="K922" s="113"/>
      <c r="L922" s="75"/>
      <c r="M922" s="282"/>
      <c r="N922" s="125"/>
      <c r="O922" s="113"/>
      <c r="P922" s="75"/>
      <c r="Q922" s="282"/>
      <c r="R922" s="125"/>
      <c r="S922" s="113"/>
      <c r="T922" s="75"/>
      <c r="U922" s="282"/>
      <c r="V922" s="125"/>
      <c r="W922" s="113"/>
      <c r="X922" s="75"/>
      <c r="Y922" s="282"/>
      <c r="Z922" s="290"/>
      <c r="AA922" s="291"/>
      <c r="AB922" s="73"/>
      <c r="AC922" s="282"/>
      <c r="AD922" s="125"/>
      <c r="AE922" s="241"/>
      <c r="AF922" s="284"/>
      <c r="AG922" s="282"/>
      <c r="AH922" s="292"/>
      <c r="AI922" s="292"/>
      <c r="AJ922" s="292"/>
      <c r="AK922" s="282"/>
      <c r="AL922" s="75"/>
      <c r="AM922" s="75"/>
      <c r="AN922" s="75"/>
      <c r="AO922" s="282"/>
      <c r="AP922" s="75"/>
      <c r="AQ922" s="75"/>
      <c r="AR922" s="75"/>
      <c r="AS922" s="75"/>
      <c r="AT922" s="75"/>
    </row>
    <row r="923">
      <c r="A923" s="282"/>
      <c r="B923" s="125"/>
      <c r="C923" s="113"/>
      <c r="D923" s="75"/>
      <c r="E923" s="282"/>
      <c r="F923" s="125"/>
      <c r="G923" s="113"/>
      <c r="H923" s="75"/>
      <c r="I923" s="282"/>
      <c r="J923" s="125"/>
      <c r="K923" s="113"/>
      <c r="L923" s="75"/>
      <c r="M923" s="282"/>
      <c r="N923" s="125"/>
      <c r="O923" s="113"/>
      <c r="P923" s="75"/>
      <c r="Q923" s="282"/>
      <c r="R923" s="125"/>
      <c r="S923" s="113"/>
      <c r="T923" s="75"/>
      <c r="U923" s="282"/>
      <c r="V923" s="125"/>
      <c r="W923" s="113"/>
      <c r="X923" s="75"/>
      <c r="Y923" s="282"/>
      <c r="Z923" s="290"/>
      <c r="AA923" s="291"/>
      <c r="AB923" s="73"/>
      <c r="AC923" s="282"/>
      <c r="AD923" s="125"/>
      <c r="AE923" s="241"/>
      <c r="AF923" s="284"/>
      <c r="AG923" s="282"/>
      <c r="AH923" s="292"/>
      <c r="AI923" s="292"/>
      <c r="AJ923" s="292"/>
      <c r="AK923" s="282"/>
      <c r="AL923" s="75"/>
      <c r="AM923" s="75"/>
      <c r="AN923" s="75"/>
      <c r="AO923" s="282"/>
      <c r="AP923" s="75"/>
      <c r="AQ923" s="75"/>
      <c r="AR923" s="75"/>
      <c r="AS923" s="75"/>
      <c r="AT923" s="75"/>
    </row>
    <row r="924">
      <c r="A924" s="282"/>
      <c r="B924" s="125"/>
      <c r="C924" s="113"/>
      <c r="D924" s="75"/>
      <c r="E924" s="282"/>
      <c r="F924" s="125"/>
      <c r="G924" s="113"/>
      <c r="H924" s="75"/>
      <c r="I924" s="282"/>
      <c r="J924" s="125"/>
      <c r="K924" s="113"/>
      <c r="L924" s="75"/>
      <c r="M924" s="282"/>
      <c r="N924" s="125"/>
      <c r="O924" s="113"/>
      <c r="P924" s="75"/>
      <c r="Q924" s="282"/>
      <c r="R924" s="125"/>
      <c r="S924" s="113"/>
      <c r="T924" s="75"/>
      <c r="U924" s="282"/>
      <c r="V924" s="125"/>
      <c r="W924" s="113"/>
      <c r="X924" s="75"/>
      <c r="Y924" s="282"/>
      <c r="Z924" s="290"/>
      <c r="AA924" s="291"/>
      <c r="AB924" s="73"/>
      <c r="AC924" s="282"/>
      <c r="AD924" s="125"/>
      <c r="AE924" s="241"/>
      <c r="AF924" s="284"/>
      <c r="AG924" s="282"/>
      <c r="AH924" s="292"/>
      <c r="AI924" s="292"/>
      <c r="AJ924" s="292"/>
      <c r="AK924" s="282"/>
      <c r="AL924" s="75"/>
      <c r="AM924" s="75"/>
      <c r="AN924" s="75"/>
      <c r="AO924" s="282"/>
      <c r="AP924" s="75"/>
      <c r="AQ924" s="75"/>
      <c r="AR924" s="75"/>
      <c r="AS924" s="75"/>
      <c r="AT924" s="75"/>
    </row>
    <row r="925">
      <c r="A925" s="282"/>
      <c r="B925" s="125"/>
      <c r="C925" s="113"/>
      <c r="D925" s="75"/>
      <c r="E925" s="282"/>
      <c r="F925" s="125"/>
      <c r="G925" s="113"/>
      <c r="H925" s="75"/>
      <c r="I925" s="282"/>
      <c r="J925" s="125"/>
      <c r="K925" s="113"/>
      <c r="L925" s="75"/>
      <c r="M925" s="282"/>
      <c r="N925" s="125"/>
      <c r="O925" s="113"/>
      <c r="P925" s="75"/>
      <c r="Q925" s="282"/>
      <c r="R925" s="125"/>
      <c r="S925" s="113"/>
      <c r="T925" s="75"/>
      <c r="U925" s="282"/>
      <c r="V925" s="125"/>
      <c r="W925" s="113"/>
      <c r="X925" s="75"/>
      <c r="Y925" s="282"/>
      <c r="Z925" s="290"/>
      <c r="AA925" s="291"/>
      <c r="AB925" s="73"/>
      <c r="AC925" s="282"/>
      <c r="AD925" s="125"/>
      <c r="AE925" s="241"/>
      <c r="AF925" s="284"/>
      <c r="AG925" s="282"/>
      <c r="AH925" s="292"/>
      <c r="AI925" s="292"/>
      <c r="AJ925" s="292"/>
      <c r="AK925" s="282"/>
      <c r="AL925" s="75"/>
      <c r="AM925" s="75"/>
      <c r="AN925" s="75"/>
      <c r="AO925" s="282"/>
      <c r="AP925" s="75"/>
      <c r="AQ925" s="75"/>
      <c r="AR925" s="75"/>
      <c r="AS925" s="75"/>
      <c r="AT925" s="75"/>
    </row>
    <row r="926">
      <c r="A926" s="282"/>
      <c r="B926" s="125"/>
      <c r="C926" s="113"/>
      <c r="D926" s="75"/>
      <c r="E926" s="282"/>
      <c r="F926" s="125"/>
      <c r="G926" s="113"/>
      <c r="H926" s="75"/>
      <c r="I926" s="282"/>
      <c r="J926" s="125"/>
      <c r="K926" s="113"/>
      <c r="L926" s="75"/>
      <c r="M926" s="282"/>
      <c r="N926" s="125"/>
      <c r="O926" s="113"/>
      <c r="P926" s="75"/>
      <c r="Q926" s="282"/>
      <c r="R926" s="125"/>
      <c r="S926" s="113"/>
      <c r="T926" s="75"/>
      <c r="U926" s="282"/>
      <c r="V926" s="125"/>
      <c r="W926" s="113"/>
      <c r="X926" s="75"/>
      <c r="Y926" s="282"/>
      <c r="Z926" s="290"/>
      <c r="AA926" s="291"/>
      <c r="AB926" s="73"/>
      <c r="AC926" s="282"/>
      <c r="AD926" s="125"/>
      <c r="AE926" s="241"/>
      <c r="AF926" s="284"/>
      <c r="AG926" s="282"/>
      <c r="AH926" s="292"/>
      <c r="AI926" s="292"/>
      <c r="AJ926" s="292"/>
      <c r="AK926" s="282"/>
      <c r="AL926" s="75"/>
      <c r="AM926" s="75"/>
      <c r="AN926" s="75"/>
      <c r="AO926" s="282"/>
      <c r="AP926" s="75"/>
      <c r="AQ926" s="75"/>
      <c r="AR926" s="75"/>
      <c r="AS926" s="75"/>
      <c r="AT926" s="75"/>
    </row>
    <row r="927">
      <c r="A927" s="282"/>
      <c r="B927" s="125"/>
      <c r="C927" s="113"/>
      <c r="D927" s="75"/>
      <c r="E927" s="282"/>
      <c r="F927" s="125"/>
      <c r="G927" s="113"/>
      <c r="H927" s="75"/>
      <c r="I927" s="282"/>
      <c r="J927" s="125"/>
      <c r="K927" s="113"/>
      <c r="L927" s="75"/>
      <c r="M927" s="282"/>
      <c r="N927" s="125"/>
      <c r="O927" s="113"/>
      <c r="P927" s="75"/>
      <c r="Q927" s="282"/>
      <c r="R927" s="125"/>
      <c r="S927" s="113"/>
      <c r="T927" s="75"/>
      <c r="U927" s="282"/>
      <c r="V927" s="125"/>
      <c r="W927" s="113"/>
      <c r="X927" s="75"/>
      <c r="Y927" s="282"/>
      <c r="Z927" s="290"/>
      <c r="AA927" s="291"/>
      <c r="AB927" s="73"/>
      <c r="AC927" s="282"/>
      <c r="AD927" s="125"/>
      <c r="AE927" s="241"/>
      <c r="AF927" s="284"/>
      <c r="AG927" s="282"/>
      <c r="AH927" s="292"/>
      <c r="AI927" s="292"/>
      <c r="AJ927" s="292"/>
      <c r="AK927" s="282"/>
      <c r="AL927" s="75"/>
      <c r="AM927" s="75"/>
      <c r="AN927" s="75"/>
      <c r="AO927" s="282"/>
      <c r="AP927" s="75"/>
      <c r="AQ927" s="75"/>
      <c r="AR927" s="75"/>
      <c r="AS927" s="75"/>
      <c r="AT927" s="75"/>
    </row>
    <row r="928">
      <c r="A928" s="282"/>
      <c r="B928" s="125"/>
      <c r="C928" s="113"/>
      <c r="D928" s="75"/>
      <c r="E928" s="282"/>
      <c r="F928" s="125"/>
      <c r="G928" s="113"/>
      <c r="H928" s="75"/>
      <c r="I928" s="282"/>
      <c r="J928" s="125"/>
      <c r="K928" s="113"/>
      <c r="L928" s="75"/>
      <c r="M928" s="282"/>
      <c r="N928" s="125"/>
      <c r="O928" s="113"/>
      <c r="P928" s="75"/>
      <c r="Q928" s="282"/>
      <c r="R928" s="125"/>
      <c r="S928" s="113"/>
      <c r="T928" s="75"/>
      <c r="U928" s="282"/>
      <c r="V928" s="125"/>
      <c r="W928" s="113"/>
      <c r="X928" s="75"/>
      <c r="Y928" s="282"/>
      <c r="Z928" s="290"/>
      <c r="AA928" s="291"/>
      <c r="AB928" s="73"/>
      <c r="AC928" s="282"/>
      <c r="AD928" s="125"/>
      <c r="AE928" s="241"/>
      <c r="AF928" s="284"/>
      <c r="AG928" s="282"/>
      <c r="AH928" s="292"/>
      <c r="AI928" s="292"/>
      <c r="AJ928" s="292"/>
      <c r="AK928" s="282"/>
      <c r="AL928" s="75"/>
      <c r="AM928" s="75"/>
      <c r="AN928" s="75"/>
      <c r="AO928" s="282"/>
      <c r="AP928" s="75"/>
      <c r="AQ928" s="75"/>
      <c r="AR928" s="75"/>
      <c r="AS928" s="75"/>
      <c r="AT928" s="75"/>
    </row>
    <row r="929">
      <c r="A929" s="282"/>
      <c r="B929" s="125"/>
      <c r="C929" s="113"/>
      <c r="D929" s="75"/>
      <c r="E929" s="282"/>
      <c r="F929" s="125"/>
      <c r="G929" s="113"/>
      <c r="H929" s="75"/>
      <c r="I929" s="282"/>
      <c r="J929" s="125"/>
      <c r="K929" s="113"/>
      <c r="L929" s="75"/>
      <c r="M929" s="282"/>
      <c r="N929" s="125"/>
      <c r="O929" s="113"/>
      <c r="P929" s="75"/>
      <c r="Q929" s="282"/>
      <c r="R929" s="125"/>
      <c r="S929" s="113"/>
      <c r="T929" s="75"/>
      <c r="U929" s="282"/>
      <c r="V929" s="125"/>
      <c r="W929" s="113"/>
      <c r="X929" s="75"/>
      <c r="Y929" s="282"/>
      <c r="Z929" s="290"/>
      <c r="AA929" s="291"/>
      <c r="AB929" s="73"/>
      <c r="AC929" s="282"/>
      <c r="AD929" s="125"/>
      <c r="AE929" s="241"/>
      <c r="AF929" s="284"/>
      <c r="AG929" s="282"/>
      <c r="AH929" s="292"/>
      <c r="AI929" s="292"/>
      <c r="AJ929" s="292"/>
      <c r="AK929" s="282"/>
      <c r="AL929" s="75"/>
      <c r="AM929" s="75"/>
      <c r="AN929" s="75"/>
      <c r="AO929" s="282"/>
      <c r="AP929" s="75"/>
      <c r="AQ929" s="75"/>
      <c r="AR929" s="75"/>
      <c r="AS929" s="75"/>
      <c r="AT929" s="75"/>
    </row>
    <row r="930">
      <c r="A930" s="282"/>
      <c r="B930" s="125"/>
      <c r="C930" s="113"/>
      <c r="D930" s="75"/>
      <c r="E930" s="282"/>
      <c r="F930" s="125"/>
      <c r="G930" s="113"/>
      <c r="H930" s="75"/>
      <c r="I930" s="282"/>
      <c r="J930" s="125"/>
      <c r="K930" s="113"/>
      <c r="L930" s="75"/>
      <c r="M930" s="282"/>
      <c r="N930" s="125"/>
      <c r="O930" s="113"/>
      <c r="P930" s="75"/>
      <c r="Q930" s="282"/>
      <c r="R930" s="125"/>
      <c r="S930" s="113"/>
      <c r="T930" s="75"/>
      <c r="U930" s="282"/>
      <c r="V930" s="125"/>
      <c r="W930" s="113"/>
      <c r="X930" s="75"/>
      <c r="Y930" s="282"/>
      <c r="Z930" s="290"/>
      <c r="AA930" s="291"/>
      <c r="AB930" s="73"/>
      <c r="AC930" s="282"/>
      <c r="AD930" s="125"/>
      <c r="AE930" s="241"/>
      <c r="AF930" s="284"/>
      <c r="AG930" s="282"/>
      <c r="AH930" s="292"/>
      <c r="AI930" s="292"/>
      <c r="AJ930" s="292"/>
      <c r="AK930" s="282"/>
      <c r="AL930" s="75"/>
      <c r="AM930" s="75"/>
      <c r="AN930" s="75"/>
      <c r="AO930" s="282"/>
      <c r="AP930" s="75"/>
      <c r="AQ930" s="75"/>
      <c r="AR930" s="75"/>
      <c r="AS930" s="75"/>
      <c r="AT930" s="75"/>
    </row>
    <row r="931">
      <c r="A931" s="282"/>
      <c r="B931" s="125"/>
      <c r="C931" s="113"/>
      <c r="D931" s="75"/>
      <c r="E931" s="282"/>
      <c r="F931" s="125"/>
      <c r="G931" s="113"/>
      <c r="H931" s="75"/>
      <c r="I931" s="282"/>
      <c r="J931" s="125"/>
      <c r="K931" s="113"/>
      <c r="L931" s="75"/>
      <c r="M931" s="282"/>
      <c r="N931" s="125"/>
      <c r="O931" s="113"/>
      <c r="P931" s="75"/>
      <c r="Q931" s="282"/>
      <c r="R931" s="125"/>
      <c r="S931" s="113"/>
      <c r="T931" s="75"/>
      <c r="U931" s="282"/>
      <c r="V931" s="125"/>
      <c r="W931" s="113"/>
      <c r="X931" s="75"/>
      <c r="Y931" s="282"/>
      <c r="Z931" s="290"/>
      <c r="AA931" s="291"/>
      <c r="AB931" s="73"/>
      <c r="AC931" s="282"/>
      <c r="AD931" s="125"/>
      <c r="AE931" s="241"/>
      <c r="AF931" s="284"/>
      <c r="AG931" s="282"/>
      <c r="AH931" s="292"/>
      <c r="AI931" s="292"/>
      <c r="AJ931" s="292"/>
      <c r="AK931" s="282"/>
      <c r="AL931" s="75"/>
      <c r="AM931" s="75"/>
      <c r="AN931" s="75"/>
      <c r="AO931" s="282"/>
      <c r="AP931" s="75"/>
      <c r="AQ931" s="75"/>
      <c r="AR931" s="75"/>
      <c r="AS931" s="75"/>
      <c r="AT931" s="75"/>
    </row>
    <row r="932">
      <c r="A932" s="282"/>
      <c r="B932" s="125"/>
      <c r="C932" s="113"/>
      <c r="D932" s="75"/>
      <c r="E932" s="282"/>
      <c r="F932" s="125"/>
      <c r="G932" s="113"/>
      <c r="H932" s="75"/>
      <c r="I932" s="282"/>
      <c r="J932" s="125"/>
      <c r="K932" s="113"/>
      <c r="L932" s="75"/>
      <c r="M932" s="282"/>
      <c r="N932" s="125"/>
      <c r="O932" s="113"/>
      <c r="P932" s="75"/>
      <c r="Q932" s="282"/>
      <c r="R932" s="125"/>
      <c r="S932" s="113"/>
      <c r="T932" s="75"/>
      <c r="U932" s="282"/>
      <c r="V932" s="125"/>
      <c r="W932" s="113"/>
      <c r="X932" s="75"/>
      <c r="Y932" s="282"/>
      <c r="Z932" s="290"/>
      <c r="AA932" s="291"/>
      <c r="AB932" s="73"/>
      <c r="AC932" s="282"/>
      <c r="AD932" s="125"/>
      <c r="AE932" s="241"/>
      <c r="AF932" s="284"/>
      <c r="AG932" s="282"/>
      <c r="AH932" s="292"/>
      <c r="AI932" s="292"/>
      <c r="AJ932" s="292"/>
      <c r="AK932" s="282"/>
      <c r="AL932" s="75"/>
      <c r="AM932" s="75"/>
      <c r="AN932" s="75"/>
      <c r="AO932" s="282"/>
      <c r="AP932" s="75"/>
      <c r="AQ932" s="75"/>
      <c r="AR932" s="75"/>
      <c r="AS932" s="75"/>
      <c r="AT932" s="75"/>
    </row>
    <row r="933">
      <c r="A933" s="282"/>
      <c r="B933" s="125"/>
      <c r="C933" s="113"/>
      <c r="D933" s="75"/>
      <c r="E933" s="282"/>
      <c r="F933" s="125"/>
      <c r="G933" s="113"/>
      <c r="H933" s="75"/>
      <c r="I933" s="282"/>
      <c r="J933" s="125"/>
      <c r="K933" s="113"/>
      <c r="L933" s="75"/>
      <c r="M933" s="282"/>
      <c r="N933" s="125"/>
      <c r="O933" s="113"/>
      <c r="P933" s="75"/>
      <c r="Q933" s="282"/>
      <c r="R933" s="125"/>
      <c r="S933" s="113"/>
      <c r="T933" s="75"/>
      <c r="U933" s="282"/>
      <c r="V933" s="125"/>
      <c r="W933" s="113"/>
      <c r="X933" s="75"/>
      <c r="Y933" s="282"/>
      <c r="Z933" s="290"/>
      <c r="AA933" s="291"/>
      <c r="AB933" s="73"/>
      <c r="AC933" s="282"/>
      <c r="AD933" s="125"/>
      <c r="AE933" s="241"/>
      <c r="AF933" s="284"/>
      <c r="AG933" s="282"/>
      <c r="AH933" s="292"/>
      <c r="AI933" s="292"/>
      <c r="AJ933" s="292"/>
      <c r="AK933" s="282"/>
      <c r="AL933" s="75"/>
      <c r="AM933" s="75"/>
      <c r="AN933" s="75"/>
      <c r="AO933" s="282"/>
      <c r="AP933" s="75"/>
      <c r="AQ933" s="75"/>
      <c r="AR933" s="75"/>
      <c r="AS933" s="75"/>
      <c r="AT933" s="75"/>
    </row>
    <row r="934">
      <c r="A934" s="282"/>
      <c r="B934" s="125"/>
      <c r="C934" s="113"/>
      <c r="D934" s="75"/>
      <c r="E934" s="282"/>
      <c r="F934" s="125"/>
      <c r="G934" s="113"/>
      <c r="H934" s="75"/>
      <c r="I934" s="282"/>
      <c r="J934" s="125"/>
      <c r="K934" s="113"/>
      <c r="L934" s="75"/>
      <c r="M934" s="282"/>
      <c r="N934" s="125"/>
      <c r="O934" s="113"/>
      <c r="P934" s="75"/>
      <c r="Q934" s="282"/>
      <c r="R934" s="125"/>
      <c r="S934" s="113"/>
      <c r="T934" s="75"/>
      <c r="U934" s="282"/>
      <c r="V934" s="125"/>
      <c r="W934" s="113"/>
      <c r="X934" s="75"/>
      <c r="Y934" s="282"/>
      <c r="Z934" s="290"/>
      <c r="AA934" s="291"/>
      <c r="AB934" s="73"/>
      <c r="AC934" s="282"/>
      <c r="AD934" s="125"/>
      <c r="AE934" s="241"/>
      <c r="AF934" s="284"/>
      <c r="AG934" s="282"/>
      <c r="AH934" s="292"/>
      <c r="AI934" s="292"/>
      <c r="AJ934" s="292"/>
      <c r="AK934" s="282"/>
      <c r="AL934" s="75"/>
      <c r="AM934" s="75"/>
      <c r="AN934" s="75"/>
      <c r="AO934" s="282"/>
      <c r="AP934" s="75"/>
      <c r="AQ934" s="75"/>
      <c r="AR934" s="75"/>
      <c r="AS934" s="75"/>
      <c r="AT934" s="75"/>
    </row>
    <row r="935">
      <c r="A935" s="282"/>
      <c r="B935" s="125"/>
      <c r="C935" s="113"/>
      <c r="D935" s="75"/>
      <c r="E935" s="282"/>
      <c r="F935" s="125"/>
      <c r="G935" s="113"/>
      <c r="H935" s="75"/>
      <c r="I935" s="282"/>
      <c r="J935" s="125"/>
      <c r="K935" s="113"/>
      <c r="L935" s="75"/>
      <c r="M935" s="282"/>
      <c r="N935" s="125"/>
      <c r="O935" s="113"/>
      <c r="P935" s="75"/>
      <c r="Q935" s="282"/>
      <c r="R935" s="125"/>
      <c r="S935" s="113"/>
      <c r="T935" s="75"/>
      <c r="U935" s="282"/>
      <c r="V935" s="125"/>
      <c r="W935" s="113"/>
      <c r="X935" s="75"/>
      <c r="Y935" s="282"/>
      <c r="Z935" s="290"/>
      <c r="AA935" s="291"/>
      <c r="AB935" s="73"/>
      <c r="AC935" s="282"/>
      <c r="AD935" s="125"/>
      <c r="AE935" s="241"/>
      <c r="AF935" s="284"/>
      <c r="AG935" s="282"/>
      <c r="AH935" s="292"/>
      <c r="AI935" s="292"/>
      <c r="AJ935" s="292"/>
      <c r="AK935" s="282"/>
      <c r="AL935" s="75"/>
      <c r="AM935" s="75"/>
      <c r="AN935" s="75"/>
      <c r="AO935" s="282"/>
      <c r="AP935" s="75"/>
      <c r="AQ935" s="75"/>
      <c r="AR935" s="75"/>
      <c r="AS935" s="75"/>
      <c r="AT935" s="75"/>
    </row>
    <row r="936">
      <c r="A936" s="282"/>
      <c r="B936" s="125"/>
      <c r="C936" s="113"/>
      <c r="D936" s="75"/>
      <c r="E936" s="282"/>
      <c r="F936" s="125"/>
      <c r="G936" s="113"/>
      <c r="H936" s="75"/>
      <c r="I936" s="282"/>
      <c r="J936" s="125"/>
      <c r="K936" s="113"/>
      <c r="L936" s="75"/>
      <c r="M936" s="282"/>
      <c r="N936" s="125"/>
      <c r="O936" s="113"/>
      <c r="P936" s="75"/>
      <c r="Q936" s="282"/>
      <c r="R936" s="125"/>
      <c r="S936" s="113"/>
      <c r="T936" s="75"/>
      <c r="U936" s="282"/>
      <c r="V936" s="125"/>
      <c r="W936" s="113"/>
      <c r="X936" s="75"/>
      <c r="Y936" s="282"/>
      <c r="Z936" s="290"/>
      <c r="AA936" s="291"/>
      <c r="AB936" s="73"/>
      <c r="AC936" s="282"/>
      <c r="AD936" s="125"/>
      <c r="AE936" s="241"/>
      <c r="AF936" s="284"/>
      <c r="AG936" s="282"/>
      <c r="AH936" s="292"/>
      <c r="AI936" s="292"/>
      <c r="AJ936" s="292"/>
      <c r="AK936" s="282"/>
      <c r="AL936" s="75"/>
      <c r="AM936" s="75"/>
      <c r="AN936" s="75"/>
      <c r="AO936" s="282"/>
      <c r="AP936" s="75"/>
      <c r="AQ936" s="75"/>
      <c r="AR936" s="75"/>
      <c r="AS936" s="75"/>
      <c r="AT936" s="75"/>
    </row>
    <row r="937">
      <c r="A937" s="282"/>
      <c r="B937" s="125"/>
      <c r="C937" s="113"/>
      <c r="D937" s="75"/>
      <c r="E937" s="282"/>
      <c r="F937" s="125"/>
      <c r="G937" s="113"/>
      <c r="H937" s="75"/>
      <c r="I937" s="282"/>
      <c r="J937" s="125"/>
      <c r="K937" s="113"/>
      <c r="L937" s="75"/>
      <c r="M937" s="282"/>
      <c r="N937" s="125"/>
      <c r="O937" s="113"/>
      <c r="P937" s="75"/>
      <c r="Q937" s="282"/>
      <c r="R937" s="125"/>
      <c r="S937" s="113"/>
      <c r="T937" s="75"/>
      <c r="U937" s="282"/>
      <c r="V937" s="125"/>
      <c r="W937" s="113"/>
      <c r="X937" s="75"/>
      <c r="Y937" s="282"/>
      <c r="Z937" s="290"/>
      <c r="AA937" s="291"/>
      <c r="AB937" s="73"/>
      <c r="AC937" s="282"/>
      <c r="AD937" s="125"/>
      <c r="AE937" s="241"/>
      <c r="AF937" s="284"/>
      <c r="AG937" s="282"/>
      <c r="AH937" s="292"/>
      <c r="AI937" s="292"/>
      <c r="AJ937" s="292"/>
      <c r="AK937" s="282"/>
      <c r="AL937" s="75"/>
      <c r="AM937" s="75"/>
      <c r="AN937" s="75"/>
      <c r="AO937" s="282"/>
      <c r="AP937" s="75"/>
      <c r="AQ937" s="75"/>
      <c r="AR937" s="75"/>
      <c r="AS937" s="75"/>
      <c r="AT937" s="75"/>
    </row>
    <row r="938">
      <c r="A938" s="282"/>
      <c r="B938" s="125"/>
      <c r="C938" s="113"/>
      <c r="D938" s="75"/>
      <c r="E938" s="282"/>
      <c r="F938" s="125"/>
      <c r="G938" s="113"/>
      <c r="H938" s="75"/>
      <c r="I938" s="282"/>
      <c r="J938" s="125"/>
      <c r="K938" s="113"/>
      <c r="L938" s="75"/>
      <c r="M938" s="282"/>
      <c r="N938" s="125"/>
      <c r="O938" s="113"/>
      <c r="P938" s="75"/>
      <c r="Q938" s="282"/>
      <c r="R938" s="125"/>
      <c r="S938" s="113"/>
      <c r="T938" s="75"/>
      <c r="U938" s="282"/>
      <c r="V938" s="125"/>
      <c r="W938" s="113"/>
      <c r="X938" s="75"/>
      <c r="Y938" s="282"/>
      <c r="Z938" s="290"/>
      <c r="AA938" s="291"/>
      <c r="AB938" s="73"/>
      <c r="AC938" s="282"/>
      <c r="AD938" s="125"/>
      <c r="AE938" s="241"/>
      <c r="AF938" s="284"/>
      <c r="AG938" s="282"/>
      <c r="AH938" s="292"/>
      <c r="AI938" s="292"/>
      <c r="AJ938" s="292"/>
      <c r="AK938" s="282"/>
      <c r="AL938" s="75"/>
      <c r="AM938" s="75"/>
      <c r="AN938" s="75"/>
      <c r="AO938" s="282"/>
      <c r="AP938" s="75"/>
      <c r="AQ938" s="75"/>
      <c r="AR938" s="75"/>
      <c r="AS938" s="75"/>
      <c r="AT938" s="75"/>
    </row>
    <row r="939">
      <c r="A939" s="282"/>
      <c r="B939" s="125"/>
      <c r="C939" s="113"/>
      <c r="D939" s="75"/>
      <c r="E939" s="282"/>
      <c r="F939" s="125"/>
      <c r="G939" s="113"/>
      <c r="H939" s="75"/>
      <c r="I939" s="282"/>
      <c r="J939" s="125"/>
      <c r="K939" s="113"/>
      <c r="L939" s="75"/>
      <c r="M939" s="282"/>
      <c r="N939" s="125"/>
      <c r="O939" s="113"/>
      <c r="P939" s="75"/>
      <c r="Q939" s="282"/>
      <c r="R939" s="125"/>
      <c r="S939" s="113"/>
      <c r="T939" s="75"/>
      <c r="U939" s="282"/>
      <c r="V939" s="125"/>
      <c r="W939" s="113"/>
      <c r="X939" s="75"/>
      <c r="Y939" s="282"/>
      <c r="Z939" s="290"/>
      <c r="AA939" s="291"/>
      <c r="AB939" s="73"/>
      <c r="AC939" s="282"/>
      <c r="AD939" s="125"/>
      <c r="AE939" s="241"/>
      <c r="AF939" s="284"/>
      <c r="AG939" s="282"/>
      <c r="AH939" s="292"/>
      <c r="AI939" s="292"/>
      <c r="AJ939" s="292"/>
      <c r="AK939" s="282"/>
      <c r="AL939" s="75"/>
      <c r="AM939" s="75"/>
      <c r="AN939" s="75"/>
      <c r="AO939" s="282"/>
      <c r="AP939" s="75"/>
      <c r="AQ939" s="75"/>
      <c r="AR939" s="75"/>
      <c r="AS939" s="75"/>
      <c r="AT939" s="75"/>
    </row>
    <row r="940">
      <c r="A940" s="282"/>
      <c r="B940" s="125"/>
      <c r="C940" s="113"/>
      <c r="D940" s="75"/>
      <c r="E940" s="282"/>
      <c r="F940" s="125"/>
      <c r="G940" s="113"/>
      <c r="H940" s="75"/>
      <c r="I940" s="282"/>
      <c r="J940" s="125"/>
      <c r="K940" s="113"/>
      <c r="L940" s="75"/>
      <c r="M940" s="282"/>
      <c r="N940" s="125"/>
      <c r="O940" s="113"/>
      <c r="P940" s="75"/>
      <c r="Q940" s="282"/>
      <c r="R940" s="125"/>
      <c r="S940" s="113"/>
      <c r="T940" s="75"/>
      <c r="U940" s="282"/>
      <c r="V940" s="125"/>
      <c r="W940" s="113"/>
      <c r="X940" s="75"/>
      <c r="Y940" s="282"/>
      <c r="Z940" s="290"/>
      <c r="AA940" s="291"/>
      <c r="AB940" s="73"/>
      <c r="AC940" s="282"/>
      <c r="AD940" s="125"/>
      <c r="AE940" s="241"/>
      <c r="AF940" s="284"/>
      <c r="AG940" s="282"/>
      <c r="AH940" s="292"/>
      <c r="AI940" s="292"/>
      <c r="AJ940" s="292"/>
      <c r="AK940" s="282"/>
      <c r="AL940" s="75"/>
      <c r="AM940" s="75"/>
      <c r="AN940" s="75"/>
      <c r="AO940" s="282"/>
      <c r="AP940" s="75"/>
      <c r="AQ940" s="75"/>
      <c r="AR940" s="75"/>
      <c r="AS940" s="75"/>
      <c r="AT940" s="75"/>
    </row>
    <row r="941">
      <c r="A941" s="282"/>
      <c r="B941" s="125"/>
      <c r="C941" s="113"/>
      <c r="D941" s="75"/>
      <c r="E941" s="282"/>
      <c r="F941" s="125"/>
      <c r="G941" s="113"/>
      <c r="H941" s="75"/>
      <c r="I941" s="282"/>
      <c r="J941" s="125"/>
      <c r="K941" s="113"/>
      <c r="L941" s="75"/>
      <c r="M941" s="282"/>
      <c r="N941" s="125"/>
      <c r="O941" s="113"/>
      <c r="P941" s="75"/>
      <c r="Q941" s="282"/>
      <c r="R941" s="125"/>
      <c r="S941" s="113"/>
      <c r="T941" s="75"/>
      <c r="U941" s="282"/>
      <c r="V941" s="125"/>
      <c r="W941" s="113"/>
      <c r="X941" s="75"/>
      <c r="Y941" s="282"/>
      <c r="Z941" s="290"/>
      <c r="AA941" s="291"/>
      <c r="AB941" s="73"/>
      <c r="AC941" s="282"/>
      <c r="AD941" s="125"/>
      <c r="AE941" s="241"/>
      <c r="AF941" s="284"/>
      <c r="AG941" s="282"/>
      <c r="AH941" s="292"/>
      <c r="AI941" s="292"/>
      <c r="AJ941" s="292"/>
      <c r="AK941" s="282"/>
      <c r="AL941" s="75"/>
      <c r="AM941" s="75"/>
      <c r="AN941" s="75"/>
      <c r="AO941" s="282"/>
      <c r="AP941" s="75"/>
      <c r="AQ941" s="75"/>
      <c r="AR941" s="75"/>
      <c r="AS941" s="75"/>
      <c r="AT941" s="75"/>
    </row>
    <row r="942">
      <c r="A942" s="282"/>
      <c r="B942" s="125"/>
      <c r="C942" s="113"/>
      <c r="D942" s="75"/>
      <c r="E942" s="282"/>
      <c r="F942" s="125"/>
      <c r="G942" s="113"/>
      <c r="H942" s="75"/>
      <c r="I942" s="282"/>
      <c r="J942" s="125"/>
      <c r="K942" s="113"/>
      <c r="L942" s="75"/>
      <c r="M942" s="282"/>
      <c r="N942" s="125"/>
      <c r="O942" s="113"/>
      <c r="P942" s="75"/>
      <c r="Q942" s="282"/>
      <c r="R942" s="125"/>
      <c r="S942" s="113"/>
      <c r="T942" s="75"/>
      <c r="U942" s="282"/>
      <c r="V942" s="125"/>
      <c r="W942" s="113"/>
      <c r="X942" s="75"/>
      <c r="Y942" s="282"/>
      <c r="Z942" s="290"/>
      <c r="AA942" s="291"/>
      <c r="AB942" s="73"/>
      <c r="AC942" s="282"/>
      <c r="AD942" s="125"/>
      <c r="AE942" s="241"/>
      <c r="AF942" s="284"/>
      <c r="AG942" s="282"/>
      <c r="AH942" s="292"/>
      <c r="AI942" s="292"/>
      <c r="AJ942" s="292"/>
      <c r="AK942" s="282"/>
      <c r="AL942" s="75"/>
      <c r="AM942" s="75"/>
      <c r="AN942" s="75"/>
      <c r="AO942" s="282"/>
      <c r="AP942" s="75"/>
      <c r="AQ942" s="75"/>
      <c r="AR942" s="75"/>
      <c r="AS942" s="75"/>
      <c r="AT942" s="75"/>
    </row>
    <row r="943">
      <c r="A943" s="282"/>
      <c r="B943" s="125"/>
      <c r="C943" s="113"/>
      <c r="D943" s="75"/>
      <c r="E943" s="282"/>
      <c r="F943" s="125"/>
      <c r="G943" s="113"/>
      <c r="H943" s="75"/>
      <c r="I943" s="282"/>
      <c r="J943" s="125"/>
      <c r="K943" s="113"/>
      <c r="L943" s="75"/>
      <c r="M943" s="282"/>
      <c r="N943" s="125"/>
      <c r="O943" s="113"/>
      <c r="P943" s="75"/>
      <c r="Q943" s="282"/>
      <c r="R943" s="125"/>
      <c r="S943" s="113"/>
      <c r="T943" s="75"/>
      <c r="U943" s="282"/>
      <c r="V943" s="125"/>
      <c r="W943" s="113"/>
      <c r="X943" s="75"/>
      <c r="Y943" s="282"/>
      <c r="Z943" s="290"/>
      <c r="AA943" s="291"/>
      <c r="AB943" s="73"/>
      <c r="AC943" s="282"/>
      <c r="AD943" s="125"/>
      <c r="AE943" s="241"/>
      <c r="AF943" s="284"/>
      <c r="AG943" s="282"/>
      <c r="AH943" s="292"/>
      <c r="AI943" s="292"/>
      <c r="AJ943" s="292"/>
      <c r="AK943" s="282"/>
      <c r="AL943" s="75"/>
      <c r="AM943" s="75"/>
      <c r="AN943" s="75"/>
      <c r="AO943" s="282"/>
      <c r="AP943" s="75"/>
      <c r="AQ943" s="75"/>
      <c r="AR943" s="75"/>
      <c r="AS943" s="75"/>
      <c r="AT943" s="75"/>
    </row>
    <row r="944">
      <c r="A944" s="282"/>
      <c r="B944" s="125"/>
      <c r="C944" s="113"/>
      <c r="D944" s="75"/>
      <c r="E944" s="282"/>
      <c r="F944" s="125"/>
      <c r="G944" s="113"/>
      <c r="H944" s="75"/>
      <c r="I944" s="282"/>
      <c r="J944" s="125"/>
      <c r="K944" s="113"/>
      <c r="L944" s="75"/>
      <c r="M944" s="282"/>
      <c r="N944" s="125"/>
      <c r="O944" s="113"/>
      <c r="P944" s="75"/>
      <c r="Q944" s="282"/>
      <c r="R944" s="125"/>
      <c r="S944" s="113"/>
      <c r="T944" s="75"/>
      <c r="U944" s="282"/>
      <c r="V944" s="125"/>
      <c r="W944" s="113"/>
      <c r="X944" s="75"/>
      <c r="Y944" s="282"/>
      <c r="Z944" s="290"/>
      <c r="AA944" s="291"/>
      <c r="AB944" s="73"/>
      <c r="AC944" s="282"/>
      <c r="AD944" s="125"/>
      <c r="AE944" s="241"/>
      <c r="AF944" s="284"/>
      <c r="AG944" s="282"/>
      <c r="AH944" s="292"/>
      <c r="AI944" s="292"/>
      <c r="AJ944" s="292"/>
      <c r="AK944" s="282"/>
      <c r="AL944" s="75"/>
      <c r="AM944" s="75"/>
      <c r="AN944" s="75"/>
      <c r="AO944" s="282"/>
      <c r="AP944" s="75"/>
      <c r="AQ944" s="75"/>
      <c r="AR944" s="75"/>
      <c r="AS944" s="75"/>
      <c r="AT944" s="75"/>
    </row>
    <row r="945">
      <c r="A945" s="282"/>
      <c r="B945" s="125"/>
      <c r="C945" s="113"/>
      <c r="D945" s="75"/>
      <c r="E945" s="282"/>
      <c r="F945" s="125"/>
      <c r="G945" s="113"/>
      <c r="H945" s="75"/>
      <c r="I945" s="282"/>
      <c r="J945" s="125"/>
      <c r="K945" s="113"/>
      <c r="L945" s="75"/>
      <c r="M945" s="282"/>
      <c r="N945" s="125"/>
      <c r="O945" s="113"/>
      <c r="P945" s="75"/>
      <c r="Q945" s="282"/>
      <c r="R945" s="125"/>
      <c r="S945" s="113"/>
      <c r="T945" s="75"/>
      <c r="U945" s="282"/>
      <c r="V945" s="125"/>
      <c r="W945" s="113"/>
      <c r="X945" s="75"/>
      <c r="Y945" s="282"/>
      <c r="Z945" s="290"/>
      <c r="AA945" s="291"/>
      <c r="AB945" s="73"/>
      <c r="AC945" s="282"/>
      <c r="AD945" s="125"/>
      <c r="AE945" s="241"/>
      <c r="AF945" s="284"/>
      <c r="AG945" s="282"/>
      <c r="AH945" s="292"/>
      <c r="AI945" s="292"/>
      <c r="AJ945" s="292"/>
      <c r="AK945" s="282"/>
      <c r="AL945" s="75"/>
      <c r="AM945" s="75"/>
      <c r="AN945" s="75"/>
      <c r="AO945" s="282"/>
      <c r="AP945" s="75"/>
      <c r="AQ945" s="75"/>
      <c r="AR945" s="75"/>
      <c r="AS945" s="75"/>
      <c r="AT945" s="75"/>
    </row>
    <row r="946">
      <c r="A946" s="282"/>
      <c r="B946" s="125"/>
      <c r="C946" s="113"/>
      <c r="D946" s="75"/>
      <c r="E946" s="282"/>
      <c r="F946" s="125"/>
      <c r="G946" s="113"/>
      <c r="H946" s="75"/>
      <c r="I946" s="282"/>
      <c r="J946" s="125"/>
      <c r="K946" s="113"/>
      <c r="L946" s="75"/>
      <c r="M946" s="282"/>
      <c r="N946" s="125"/>
      <c r="O946" s="113"/>
      <c r="P946" s="75"/>
      <c r="Q946" s="282"/>
      <c r="R946" s="125"/>
      <c r="S946" s="113"/>
      <c r="T946" s="75"/>
      <c r="U946" s="282"/>
      <c r="V946" s="125"/>
      <c r="W946" s="113"/>
      <c r="X946" s="75"/>
      <c r="Y946" s="282"/>
      <c r="Z946" s="290"/>
      <c r="AA946" s="291"/>
      <c r="AB946" s="73"/>
      <c r="AC946" s="282"/>
      <c r="AD946" s="125"/>
      <c r="AE946" s="241"/>
      <c r="AF946" s="284"/>
      <c r="AG946" s="282"/>
      <c r="AH946" s="292"/>
      <c r="AI946" s="292"/>
      <c r="AJ946" s="292"/>
      <c r="AK946" s="282"/>
      <c r="AL946" s="75"/>
      <c r="AM946" s="75"/>
      <c r="AN946" s="75"/>
      <c r="AO946" s="282"/>
      <c r="AP946" s="75"/>
      <c r="AQ946" s="75"/>
      <c r="AR946" s="75"/>
      <c r="AS946" s="75"/>
      <c r="AT946" s="75"/>
    </row>
    <row r="947">
      <c r="A947" s="282"/>
      <c r="B947" s="125"/>
      <c r="C947" s="113"/>
      <c r="D947" s="75"/>
      <c r="E947" s="282"/>
      <c r="F947" s="125"/>
      <c r="G947" s="113"/>
      <c r="H947" s="75"/>
      <c r="I947" s="282"/>
      <c r="J947" s="125"/>
      <c r="K947" s="113"/>
      <c r="L947" s="75"/>
      <c r="M947" s="282"/>
      <c r="N947" s="125"/>
      <c r="O947" s="113"/>
      <c r="P947" s="75"/>
      <c r="Q947" s="282"/>
      <c r="R947" s="125"/>
      <c r="S947" s="113"/>
      <c r="T947" s="75"/>
      <c r="U947" s="282"/>
      <c r="V947" s="125"/>
      <c r="W947" s="113"/>
      <c r="X947" s="75"/>
      <c r="Y947" s="282"/>
      <c r="Z947" s="290"/>
      <c r="AA947" s="291"/>
      <c r="AB947" s="73"/>
      <c r="AC947" s="282"/>
      <c r="AD947" s="125"/>
      <c r="AE947" s="241"/>
      <c r="AF947" s="284"/>
      <c r="AG947" s="282"/>
      <c r="AH947" s="292"/>
      <c r="AI947" s="292"/>
      <c r="AJ947" s="292"/>
      <c r="AK947" s="282"/>
      <c r="AL947" s="75"/>
      <c r="AM947" s="75"/>
      <c r="AN947" s="75"/>
      <c r="AO947" s="282"/>
      <c r="AP947" s="75"/>
      <c r="AQ947" s="75"/>
      <c r="AR947" s="75"/>
      <c r="AS947" s="75"/>
      <c r="AT947" s="75"/>
    </row>
    <row r="948">
      <c r="A948" s="282"/>
      <c r="B948" s="125"/>
      <c r="C948" s="113"/>
      <c r="D948" s="75"/>
      <c r="E948" s="282"/>
      <c r="F948" s="125"/>
      <c r="G948" s="113"/>
      <c r="H948" s="75"/>
      <c r="I948" s="282"/>
      <c r="J948" s="125"/>
      <c r="K948" s="113"/>
      <c r="L948" s="75"/>
      <c r="M948" s="282"/>
      <c r="N948" s="125"/>
      <c r="O948" s="113"/>
      <c r="P948" s="75"/>
      <c r="Q948" s="282"/>
      <c r="R948" s="125"/>
      <c r="S948" s="113"/>
      <c r="T948" s="75"/>
      <c r="U948" s="282"/>
      <c r="V948" s="125"/>
      <c r="W948" s="113"/>
      <c r="X948" s="75"/>
      <c r="Y948" s="282"/>
      <c r="Z948" s="290"/>
      <c r="AA948" s="291"/>
      <c r="AB948" s="73"/>
      <c r="AC948" s="282"/>
      <c r="AD948" s="125"/>
      <c r="AE948" s="241"/>
      <c r="AF948" s="284"/>
      <c r="AG948" s="282"/>
      <c r="AH948" s="292"/>
      <c r="AI948" s="292"/>
      <c r="AJ948" s="292"/>
      <c r="AK948" s="282"/>
      <c r="AL948" s="75"/>
      <c r="AM948" s="75"/>
      <c r="AN948" s="75"/>
      <c r="AO948" s="282"/>
      <c r="AP948" s="75"/>
      <c r="AQ948" s="75"/>
      <c r="AR948" s="75"/>
      <c r="AS948" s="75"/>
      <c r="AT948" s="75"/>
    </row>
    <row r="949">
      <c r="A949" s="282"/>
      <c r="B949" s="125"/>
      <c r="C949" s="113"/>
      <c r="D949" s="75"/>
      <c r="E949" s="282"/>
      <c r="F949" s="125"/>
      <c r="G949" s="113"/>
      <c r="H949" s="75"/>
      <c r="I949" s="282"/>
      <c r="J949" s="125"/>
      <c r="K949" s="113"/>
      <c r="L949" s="75"/>
      <c r="M949" s="282"/>
      <c r="N949" s="125"/>
      <c r="O949" s="113"/>
      <c r="P949" s="75"/>
      <c r="Q949" s="282"/>
      <c r="R949" s="125"/>
      <c r="S949" s="113"/>
      <c r="T949" s="75"/>
      <c r="U949" s="282"/>
      <c r="V949" s="125"/>
      <c r="W949" s="113"/>
      <c r="X949" s="75"/>
      <c r="Y949" s="282"/>
      <c r="Z949" s="290"/>
      <c r="AA949" s="291"/>
      <c r="AB949" s="73"/>
      <c r="AC949" s="282"/>
      <c r="AD949" s="125"/>
      <c r="AE949" s="241"/>
      <c r="AF949" s="284"/>
      <c r="AG949" s="282"/>
      <c r="AH949" s="292"/>
      <c r="AI949" s="292"/>
      <c r="AJ949" s="292"/>
      <c r="AK949" s="282"/>
      <c r="AL949" s="75"/>
      <c r="AM949" s="75"/>
      <c r="AN949" s="75"/>
      <c r="AO949" s="282"/>
      <c r="AP949" s="75"/>
      <c r="AQ949" s="75"/>
      <c r="AR949" s="75"/>
      <c r="AS949" s="75"/>
      <c r="AT949" s="75"/>
    </row>
    <row r="950">
      <c r="A950" s="282"/>
      <c r="B950" s="125"/>
      <c r="C950" s="113"/>
      <c r="D950" s="75"/>
      <c r="E950" s="282"/>
      <c r="F950" s="125"/>
      <c r="G950" s="113"/>
      <c r="H950" s="75"/>
      <c r="I950" s="282"/>
      <c r="J950" s="125"/>
      <c r="K950" s="113"/>
      <c r="L950" s="75"/>
      <c r="M950" s="282"/>
      <c r="N950" s="125"/>
      <c r="O950" s="113"/>
      <c r="P950" s="75"/>
      <c r="Q950" s="282"/>
      <c r="R950" s="125"/>
      <c r="S950" s="113"/>
      <c r="T950" s="75"/>
      <c r="U950" s="282"/>
      <c r="V950" s="125"/>
      <c r="W950" s="113"/>
      <c r="X950" s="75"/>
      <c r="Y950" s="282"/>
      <c r="Z950" s="290"/>
      <c r="AA950" s="291"/>
      <c r="AB950" s="73"/>
      <c r="AC950" s="282"/>
      <c r="AD950" s="125"/>
      <c r="AE950" s="241"/>
      <c r="AF950" s="284"/>
      <c r="AG950" s="282"/>
      <c r="AH950" s="292"/>
      <c r="AI950" s="292"/>
      <c r="AJ950" s="292"/>
      <c r="AK950" s="282"/>
      <c r="AL950" s="75"/>
      <c r="AM950" s="75"/>
      <c r="AN950" s="75"/>
      <c r="AO950" s="282"/>
      <c r="AP950" s="75"/>
      <c r="AQ950" s="75"/>
      <c r="AR950" s="75"/>
      <c r="AS950" s="75"/>
      <c r="AT950" s="75"/>
    </row>
    <row r="951">
      <c r="A951" s="282"/>
      <c r="B951" s="125"/>
      <c r="C951" s="113"/>
      <c r="D951" s="75"/>
      <c r="E951" s="282"/>
      <c r="F951" s="125"/>
      <c r="G951" s="113"/>
      <c r="H951" s="75"/>
      <c r="I951" s="282"/>
      <c r="J951" s="125"/>
      <c r="K951" s="113"/>
      <c r="L951" s="75"/>
      <c r="M951" s="282"/>
      <c r="N951" s="125"/>
      <c r="O951" s="113"/>
      <c r="P951" s="75"/>
      <c r="Q951" s="282"/>
      <c r="R951" s="125"/>
      <c r="S951" s="113"/>
      <c r="T951" s="75"/>
      <c r="U951" s="282"/>
      <c r="V951" s="125"/>
      <c r="W951" s="113"/>
      <c r="X951" s="75"/>
      <c r="Y951" s="282"/>
      <c r="Z951" s="290"/>
      <c r="AA951" s="291"/>
      <c r="AB951" s="73"/>
      <c r="AC951" s="282"/>
      <c r="AD951" s="125"/>
      <c r="AE951" s="241"/>
      <c r="AF951" s="284"/>
      <c r="AG951" s="282"/>
      <c r="AH951" s="292"/>
      <c r="AI951" s="292"/>
      <c r="AJ951" s="292"/>
      <c r="AK951" s="282"/>
      <c r="AL951" s="75"/>
      <c r="AM951" s="75"/>
      <c r="AN951" s="75"/>
      <c r="AO951" s="282"/>
      <c r="AP951" s="75"/>
      <c r="AQ951" s="75"/>
      <c r="AR951" s="75"/>
      <c r="AS951" s="75"/>
      <c r="AT951" s="75"/>
    </row>
    <row r="952">
      <c r="A952" s="282"/>
      <c r="B952" s="125"/>
      <c r="C952" s="113"/>
      <c r="D952" s="75"/>
      <c r="E952" s="282"/>
      <c r="F952" s="125"/>
      <c r="G952" s="113"/>
      <c r="H952" s="75"/>
      <c r="I952" s="282"/>
      <c r="J952" s="125"/>
      <c r="K952" s="113"/>
      <c r="L952" s="75"/>
      <c r="M952" s="282"/>
      <c r="N952" s="125"/>
      <c r="O952" s="113"/>
      <c r="P952" s="75"/>
      <c r="Q952" s="282"/>
      <c r="R952" s="125"/>
      <c r="S952" s="113"/>
      <c r="T952" s="75"/>
      <c r="U952" s="282"/>
      <c r="V952" s="125"/>
      <c r="W952" s="113"/>
      <c r="X952" s="75"/>
      <c r="Y952" s="282"/>
      <c r="Z952" s="290"/>
      <c r="AA952" s="291"/>
      <c r="AB952" s="73"/>
      <c r="AC952" s="282"/>
      <c r="AD952" s="125"/>
      <c r="AE952" s="241"/>
      <c r="AF952" s="284"/>
      <c r="AG952" s="282"/>
      <c r="AH952" s="292"/>
      <c r="AI952" s="292"/>
      <c r="AJ952" s="292"/>
      <c r="AK952" s="282"/>
      <c r="AL952" s="75"/>
      <c r="AM952" s="75"/>
      <c r="AN952" s="75"/>
      <c r="AO952" s="282"/>
      <c r="AP952" s="75"/>
      <c r="AQ952" s="75"/>
      <c r="AR952" s="75"/>
      <c r="AS952" s="75"/>
      <c r="AT952" s="75"/>
    </row>
    <row r="953">
      <c r="A953" s="282"/>
      <c r="B953" s="125"/>
      <c r="C953" s="113"/>
      <c r="D953" s="75"/>
      <c r="E953" s="282"/>
      <c r="F953" s="125"/>
      <c r="G953" s="113"/>
      <c r="H953" s="75"/>
      <c r="I953" s="282"/>
      <c r="J953" s="125"/>
      <c r="K953" s="113"/>
      <c r="L953" s="75"/>
      <c r="M953" s="282"/>
      <c r="N953" s="125"/>
      <c r="O953" s="113"/>
      <c r="P953" s="75"/>
      <c r="Q953" s="282"/>
      <c r="R953" s="125"/>
      <c r="S953" s="113"/>
      <c r="T953" s="75"/>
      <c r="U953" s="282"/>
      <c r="V953" s="125"/>
      <c r="W953" s="113"/>
      <c r="X953" s="75"/>
      <c r="Y953" s="282"/>
      <c r="Z953" s="290"/>
      <c r="AA953" s="291"/>
      <c r="AB953" s="73"/>
      <c r="AC953" s="282"/>
      <c r="AD953" s="125"/>
      <c r="AE953" s="241"/>
      <c r="AF953" s="284"/>
      <c r="AG953" s="282"/>
      <c r="AH953" s="292"/>
      <c r="AI953" s="292"/>
      <c r="AJ953" s="292"/>
      <c r="AK953" s="282"/>
      <c r="AL953" s="75"/>
      <c r="AM953" s="75"/>
      <c r="AN953" s="75"/>
      <c r="AO953" s="282"/>
      <c r="AP953" s="75"/>
      <c r="AQ953" s="75"/>
      <c r="AR953" s="75"/>
      <c r="AS953" s="75"/>
      <c r="AT953" s="75"/>
    </row>
    <row r="954">
      <c r="A954" s="282"/>
      <c r="B954" s="125"/>
      <c r="C954" s="113"/>
      <c r="D954" s="75"/>
      <c r="E954" s="282"/>
      <c r="F954" s="125"/>
      <c r="G954" s="113"/>
      <c r="H954" s="75"/>
      <c r="I954" s="282"/>
      <c r="J954" s="125"/>
      <c r="K954" s="113"/>
      <c r="L954" s="75"/>
      <c r="M954" s="282"/>
      <c r="N954" s="125"/>
      <c r="O954" s="113"/>
      <c r="P954" s="75"/>
      <c r="Q954" s="282"/>
      <c r="R954" s="125"/>
      <c r="S954" s="113"/>
      <c r="T954" s="75"/>
      <c r="U954" s="282"/>
      <c r="V954" s="125"/>
      <c r="W954" s="113"/>
      <c r="X954" s="75"/>
      <c r="Y954" s="282"/>
      <c r="Z954" s="290"/>
      <c r="AA954" s="291"/>
      <c r="AB954" s="73"/>
      <c r="AC954" s="282"/>
      <c r="AD954" s="125"/>
      <c r="AE954" s="241"/>
      <c r="AF954" s="284"/>
      <c r="AG954" s="282"/>
      <c r="AH954" s="292"/>
      <c r="AI954" s="292"/>
      <c r="AJ954" s="292"/>
      <c r="AK954" s="282"/>
      <c r="AL954" s="75"/>
      <c r="AM954" s="75"/>
      <c r="AN954" s="75"/>
      <c r="AO954" s="282"/>
      <c r="AP954" s="75"/>
      <c r="AQ954" s="75"/>
      <c r="AR954" s="75"/>
      <c r="AS954" s="75"/>
      <c r="AT954" s="75"/>
    </row>
    <row r="955">
      <c r="A955" s="282"/>
      <c r="B955" s="125"/>
      <c r="C955" s="113"/>
      <c r="D955" s="75"/>
      <c r="E955" s="282"/>
      <c r="F955" s="125"/>
      <c r="G955" s="113"/>
      <c r="H955" s="75"/>
      <c r="I955" s="282"/>
      <c r="J955" s="125"/>
      <c r="K955" s="113"/>
      <c r="L955" s="75"/>
      <c r="M955" s="282"/>
      <c r="N955" s="125"/>
      <c r="O955" s="113"/>
      <c r="P955" s="75"/>
      <c r="Q955" s="282"/>
      <c r="R955" s="125"/>
      <c r="S955" s="113"/>
      <c r="T955" s="75"/>
      <c r="U955" s="282"/>
      <c r="V955" s="125"/>
      <c r="W955" s="113"/>
      <c r="X955" s="75"/>
      <c r="Y955" s="282"/>
      <c r="Z955" s="290"/>
      <c r="AA955" s="291"/>
      <c r="AB955" s="73"/>
      <c r="AC955" s="282"/>
      <c r="AD955" s="125"/>
      <c r="AE955" s="241"/>
      <c r="AF955" s="284"/>
      <c r="AG955" s="282"/>
      <c r="AH955" s="292"/>
      <c r="AI955" s="292"/>
      <c r="AJ955" s="292"/>
      <c r="AK955" s="282"/>
      <c r="AL955" s="75"/>
      <c r="AM955" s="75"/>
      <c r="AN955" s="75"/>
      <c r="AO955" s="282"/>
      <c r="AP955" s="75"/>
      <c r="AQ955" s="75"/>
      <c r="AR955" s="75"/>
      <c r="AS955" s="75"/>
      <c r="AT955" s="75"/>
    </row>
    <row r="956">
      <c r="A956" s="282"/>
      <c r="B956" s="125"/>
      <c r="C956" s="113"/>
      <c r="D956" s="75"/>
      <c r="E956" s="282"/>
      <c r="F956" s="125"/>
      <c r="G956" s="113"/>
      <c r="H956" s="75"/>
      <c r="I956" s="282"/>
      <c r="J956" s="125"/>
      <c r="K956" s="113"/>
      <c r="L956" s="75"/>
      <c r="M956" s="282"/>
      <c r="N956" s="125"/>
      <c r="O956" s="113"/>
      <c r="P956" s="75"/>
      <c r="Q956" s="282"/>
      <c r="R956" s="125"/>
      <c r="S956" s="113"/>
      <c r="T956" s="75"/>
      <c r="U956" s="282"/>
      <c r="V956" s="125"/>
      <c r="W956" s="113"/>
      <c r="X956" s="75"/>
      <c r="Y956" s="282"/>
      <c r="Z956" s="290"/>
      <c r="AA956" s="291"/>
      <c r="AB956" s="73"/>
      <c r="AC956" s="282"/>
      <c r="AD956" s="125"/>
      <c r="AE956" s="241"/>
      <c r="AF956" s="284"/>
      <c r="AG956" s="282"/>
      <c r="AH956" s="292"/>
      <c r="AI956" s="292"/>
      <c r="AJ956" s="292"/>
      <c r="AK956" s="282"/>
      <c r="AL956" s="75"/>
      <c r="AM956" s="75"/>
      <c r="AN956" s="75"/>
      <c r="AO956" s="282"/>
      <c r="AP956" s="75"/>
      <c r="AQ956" s="75"/>
      <c r="AR956" s="75"/>
      <c r="AS956" s="75"/>
      <c r="AT956" s="75"/>
    </row>
    <row r="957">
      <c r="A957" s="282"/>
      <c r="B957" s="125"/>
      <c r="C957" s="113"/>
      <c r="D957" s="75"/>
      <c r="E957" s="282"/>
      <c r="F957" s="125"/>
      <c r="G957" s="113"/>
      <c r="H957" s="75"/>
      <c r="I957" s="282"/>
      <c r="J957" s="125"/>
      <c r="K957" s="113"/>
      <c r="L957" s="75"/>
      <c r="M957" s="282"/>
      <c r="N957" s="125"/>
      <c r="O957" s="113"/>
      <c r="P957" s="75"/>
      <c r="Q957" s="282"/>
      <c r="R957" s="125"/>
      <c r="S957" s="113"/>
      <c r="T957" s="75"/>
      <c r="U957" s="282"/>
      <c r="V957" s="125"/>
      <c r="W957" s="113"/>
      <c r="X957" s="75"/>
      <c r="Y957" s="282"/>
      <c r="Z957" s="290"/>
      <c r="AA957" s="291"/>
      <c r="AB957" s="73"/>
      <c r="AC957" s="282"/>
      <c r="AD957" s="125"/>
      <c r="AE957" s="241"/>
      <c r="AF957" s="284"/>
      <c r="AG957" s="282"/>
      <c r="AH957" s="292"/>
      <c r="AI957" s="292"/>
      <c r="AJ957" s="292"/>
      <c r="AK957" s="282"/>
      <c r="AL957" s="75"/>
      <c r="AM957" s="75"/>
      <c r="AN957" s="75"/>
      <c r="AO957" s="282"/>
      <c r="AP957" s="75"/>
      <c r="AQ957" s="75"/>
      <c r="AR957" s="75"/>
      <c r="AS957" s="75"/>
      <c r="AT957" s="75"/>
    </row>
    <row r="958">
      <c r="A958" s="282"/>
      <c r="B958" s="125"/>
      <c r="C958" s="113"/>
      <c r="D958" s="75"/>
      <c r="E958" s="282"/>
      <c r="F958" s="125"/>
      <c r="G958" s="113"/>
      <c r="H958" s="75"/>
      <c r="I958" s="282"/>
      <c r="J958" s="125"/>
      <c r="K958" s="113"/>
      <c r="L958" s="75"/>
      <c r="M958" s="282"/>
      <c r="N958" s="125"/>
      <c r="O958" s="113"/>
      <c r="P958" s="75"/>
      <c r="Q958" s="282"/>
      <c r="R958" s="125"/>
      <c r="S958" s="113"/>
      <c r="T958" s="75"/>
      <c r="U958" s="282"/>
      <c r="V958" s="125"/>
      <c r="W958" s="113"/>
      <c r="X958" s="75"/>
      <c r="Y958" s="282"/>
      <c r="Z958" s="290"/>
      <c r="AA958" s="291"/>
      <c r="AB958" s="73"/>
      <c r="AC958" s="282"/>
      <c r="AD958" s="125"/>
      <c r="AE958" s="241"/>
      <c r="AF958" s="284"/>
      <c r="AG958" s="282"/>
      <c r="AH958" s="292"/>
      <c r="AI958" s="292"/>
      <c r="AJ958" s="292"/>
      <c r="AK958" s="282"/>
      <c r="AL958" s="75"/>
      <c r="AM958" s="75"/>
      <c r="AN958" s="75"/>
      <c r="AO958" s="282"/>
      <c r="AP958" s="75"/>
      <c r="AQ958" s="75"/>
      <c r="AR958" s="75"/>
      <c r="AS958" s="75"/>
      <c r="AT958" s="75"/>
    </row>
    <row r="959">
      <c r="A959" s="282"/>
      <c r="B959" s="125"/>
      <c r="C959" s="113"/>
      <c r="D959" s="75"/>
      <c r="E959" s="282"/>
      <c r="F959" s="125"/>
      <c r="G959" s="113"/>
      <c r="H959" s="75"/>
      <c r="I959" s="282"/>
      <c r="J959" s="125"/>
      <c r="K959" s="113"/>
      <c r="L959" s="75"/>
      <c r="M959" s="282"/>
      <c r="N959" s="125"/>
      <c r="O959" s="113"/>
      <c r="P959" s="75"/>
      <c r="Q959" s="282"/>
      <c r="R959" s="125"/>
      <c r="S959" s="113"/>
      <c r="T959" s="75"/>
      <c r="U959" s="282"/>
      <c r="V959" s="125"/>
      <c r="W959" s="113"/>
      <c r="X959" s="75"/>
      <c r="Y959" s="282"/>
      <c r="Z959" s="290"/>
      <c r="AA959" s="291"/>
      <c r="AB959" s="73"/>
      <c r="AC959" s="282"/>
      <c r="AD959" s="125"/>
      <c r="AE959" s="241"/>
      <c r="AF959" s="284"/>
      <c r="AG959" s="282"/>
      <c r="AH959" s="292"/>
      <c r="AI959" s="292"/>
      <c r="AJ959" s="292"/>
      <c r="AK959" s="282"/>
      <c r="AL959" s="75"/>
      <c r="AM959" s="75"/>
      <c r="AN959" s="75"/>
      <c r="AO959" s="282"/>
      <c r="AP959" s="75"/>
      <c r="AQ959" s="75"/>
      <c r="AR959" s="75"/>
      <c r="AS959" s="75"/>
      <c r="AT959" s="75"/>
    </row>
    <row r="960">
      <c r="A960" s="282"/>
      <c r="B960" s="125"/>
      <c r="C960" s="113"/>
      <c r="D960" s="75"/>
      <c r="E960" s="282"/>
      <c r="F960" s="125"/>
      <c r="G960" s="113"/>
      <c r="H960" s="75"/>
      <c r="I960" s="282"/>
      <c r="J960" s="125"/>
      <c r="K960" s="113"/>
      <c r="L960" s="75"/>
      <c r="M960" s="282"/>
      <c r="N960" s="125"/>
      <c r="O960" s="113"/>
      <c r="P960" s="75"/>
      <c r="Q960" s="282"/>
      <c r="R960" s="125"/>
      <c r="S960" s="113"/>
      <c r="T960" s="75"/>
      <c r="U960" s="282"/>
      <c r="V960" s="125"/>
      <c r="W960" s="113"/>
      <c r="X960" s="75"/>
      <c r="Y960" s="282"/>
      <c r="Z960" s="290"/>
      <c r="AA960" s="291"/>
      <c r="AB960" s="73"/>
      <c r="AC960" s="282"/>
      <c r="AD960" s="125"/>
      <c r="AE960" s="241"/>
      <c r="AF960" s="284"/>
      <c r="AG960" s="282"/>
      <c r="AH960" s="292"/>
      <c r="AI960" s="292"/>
      <c r="AJ960" s="292"/>
      <c r="AK960" s="282"/>
      <c r="AL960" s="75"/>
      <c r="AM960" s="75"/>
      <c r="AN960" s="75"/>
      <c r="AO960" s="282"/>
      <c r="AP960" s="75"/>
      <c r="AQ960" s="75"/>
      <c r="AR960" s="75"/>
      <c r="AS960" s="75"/>
      <c r="AT960" s="75"/>
    </row>
    <row r="961">
      <c r="A961" s="282"/>
      <c r="B961" s="125"/>
      <c r="C961" s="113"/>
      <c r="D961" s="75"/>
      <c r="E961" s="282"/>
      <c r="F961" s="125"/>
      <c r="G961" s="113"/>
      <c r="H961" s="75"/>
      <c r="I961" s="282"/>
      <c r="J961" s="125"/>
      <c r="K961" s="113"/>
      <c r="L961" s="75"/>
      <c r="M961" s="282"/>
      <c r="N961" s="125"/>
      <c r="O961" s="113"/>
      <c r="P961" s="75"/>
      <c r="Q961" s="282"/>
      <c r="R961" s="125"/>
      <c r="S961" s="113"/>
      <c r="T961" s="75"/>
      <c r="U961" s="282"/>
      <c r="V961" s="125"/>
      <c r="W961" s="113"/>
      <c r="X961" s="75"/>
      <c r="Y961" s="282"/>
      <c r="Z961" s="290"/>
      <c r="AA961" s="291"/>
      <c r="AB961" s="73"/>
      <c r="AC961" s="282"/>
      <c r="AD961" s="125"/>
      <c r="AE961" s="241"/>
      <c r="AF961" s="284"/>
      <c r="AG961" s="282"/>
      <c r="AH961" s="292"/>
      <c r="AI961" s="292"/>
      <c r="AJ961" s="292"/>
      <c r="AK961" s="282"/>
      <c r="AL961" s="75"/>
      <c r="AM961" s="75"/>
      <c r="AN961" s="75"/>
      <c r="AO961" s="282"/>
      <c r="AP961" s="75"/>
      <c r="AQ961" s="75"/>
      <c r="AR961" s="75"/>
      <c r="AS961" s="75"/>
      <c r="AT961" s="75"/>
    </row>
    <row r="962">
      <c r="A962" s="282"/>
      <c r="B962" s="125"/>
      <c r="C962" s="113"/>
      <c r="D962" s="75"/>
      <c r="E962" s="282"/>
      <c r="F962" s="125"/>
      <c r="G962" s="113"/>
      <c r="H962" s="75"/>
      <c r="I962" s="282"/>
      <c r="J962" s="125"/>
      <c r="K962" s="113"/>
      <c r="L962" s="75"/>
      <c r="M962" s="282"/>
      <c r="N962" s="125"/>
      <c r="O962" s="113"/>
      <c r="P962" s="75"/>
      <c r="Q962" s="282"/>
      <c r="R962" s="125"/>
      <c r="S962" s="113"/>
      <c r="T962" s="75"/>
      <c r="U962" s="282"/>
      <c r="V962" s="125"/>
      <c r="W962" s="113"/>
      <c r="X962" s="75"/>
      <c r="Y962" s="282"/>
      <c r="Z962" s="290"/>
      <c r="AA962" s="291"/>
      <c r="AB962" s="73"/>
      <c r="AC962" s="282"/>
      <c r="AD962" s="125"/>
      <c r="AE962" s="241"/>
      <c r="AF962" s="284"/>
      <c r="AG962" s="282"/>
      <c r="AH962" s="292"/>
      <c r="AI962" s="292"/>
      <c r="AJ962" s="292"/>
      <c r="AK962" s="282"/>
      <c r="AL962" s="75"/>
      <c r="AM962" s="75"/>
      <c r="AN962" s="75"/>
      <c r="AO962" s="282"/>
      <c r="AP962" s="75"/>
      <c r="AQ962" s="75"/>
      <c r="AR962" s="75"/>
      <c r="AS962" s="75"/>
      <c r="AT962" s="75"/>
    </row>
    <row r="963">
      <c r="A963" s="282"/>
      <c r="B963" s="125"/>
      <c r="C963" s="113"/>
      <c r="D963" s="75"/>
      <c r="E963" s="282"/>
      <c r="F963" s="125"/>
      <c r="G963" s="113"/>
      <c r="H963" s="75"/>
      <c r="I963" s="282"/>
      <c r="J963" s="125"/>
      <c r="K963" s="113"/>
      <c r="L963" s="75"/>
      <c r="M963" s="282"/>
      <c r="N963" s="125"/>
      <c r="O963" s="113"/>
      <c r="P963" s="75"/>
      <c r="Q963" s="282"/>
      <c r="R963" s="125"/>
      <c r="S963" s="113"/>
      <c r="T963" s="75"/>
      <c r="U963" s="282"/>
      <c r="V963" s="125"/>
      <c r="W963" s="113"/>
      <c r="X963" s="75"/>
      <c r="Y963" s="282"/>
      <c r="Z963" s="290"/>
      <c r="AA963" s="291"/>
      <c r="AB963" s="73"/>
      <c r="AC963" s="282"/>
      <c r="AD963" s="125"/>
      <c r="AE963" s="241"/>
      <c r="AF963" s="284"/>
      <c r="AG963" s="282"/>
      <c r="AH963" s="292"/>
      <c r="AI963" s="292"/>
      <c r="AJ963" s="292"/>
      <c r="AK963" s="282"/>
      <c r="AL963" s="75"/>
      <c r="AM963" s="75"/>
      <c r="AN963" s="75"/>
      <c r="AO963" s="282"/>
      <c r="AP963" s="75"/>
      <c r="AQ963" s="75"/>
      <c r="AR963" s="75"/>
      <c r="AS963" s="75"/>
      <c r="AT963" s="75"/>
    </row>
    <row r="964">
      <c r="A964" s="282"/>
      <c r="B964" s="125"/>
      <c r="C964" s="113"/>
      <c r="D964" s="75"/>
      <c r="E964" s="282"/>
      <c r="F964" s="125"/>
      <c r="G964" s="113"/>
      <c r="H964" s="75"/>
      <c r="I964" s="282"/>
      <c r="J964" s="125"/>
      <c r="K964" s="113"/>
      <c r="L964" s="75"/>
      <c r="M964" s="282"/>
      <c r="N964" s="125"/>
      <c r="O964" s="113"/>
      <c r="P964" s="75"/>
      <c r="Q964" s="282"/>
      <c r="R964" s="125"/>
      <c r="S964" s="113"/>
      <c r="T964" s="75"/>
      <c r="U964" s="282"/>
      <c r="V964" s="125"/>
      <c r="W964" s="113"/>
      <c r="X964" s="75"/>
      <c r="Y964" s="282"/>
      <c r="Z964" s="290"/>
      <c r="AA964" s="291"/>
      <c r="AB964" s="73"/>
      <c r="AC964" s="282"/>
      <c r="AD964" s="125"/>
      <c r="AE964" s="241"/>
      <c r="AF964" s="284"/>
      <c r="AG964" s="282"/>
      <c r="AH964" s="292"/>
      <c r="AI964" s="292"/>
      <c r="AJ964" s="292"/>
      <c r="AK964" s="282"/>
      <c r="AL964" s="75"/>
      <c r="AM964" s="75"/>
      <c r="AN964" s="75"/>
      <c r="AO964" s="282"/>
      <c r="AP964" s="75"/>
      <c r="AQ964" s="75"/>
      <c r="AR964" s="75"/>
      <c r="AS964" s="75"/>
      <c r="AT964" s="75"/>
    </row>
    <row r="965">
      <c r="A965" s="282"/>
      <c r="B965" s="125"/>
      <c r="C965" s="113"/>
      <c r="D965" s="75"/>
      <c r="E965" s="282"/>
      <c r="F965" s="125"/>
      <c r="G965" s="113"/>
      <c r="H965" s="75"/>
      <c r="I965" s="282"/>
      <c r="J965" s="125"/>
      <c r="K965" s="113"/>
      <c r="L965" s="75"/>
      <c r="M965" s="282"/>
      <c r="N965" s="125"/>
      <c r="O965" s="113"/>
      <c r="P965" s="75"/>
      <c r="Q965" s="282"/>
      <c r="R965" s="125"/>
      <c r="S965" s="113"/>
      <c r="T965" s="75"/>
      <c r="U965" s="282"/>
      <c r="V965" s="125"/>
      <c r="W965" s="113"/>
      <c r="X965" s="75"/>
      <c r="Y965" s="282"/>
      <c r="Z965" s="290"/>
      <c r="AA965" s="291"/>
      <c r="AB965" s="73"/>
      <c r="AC965" s="282"/>
      <c r="AD965" s="125"/>
      <c r="AE965" s="241"/>
      <c r="AF965" s="284"/>
      <c r="AG965" s="282"/>
      <c r="AH965" s="292"/>
      <c r="AI965" s="292"/>
      <c r="AJ965" s="292"/>
      <c r="AK965" s="282"/>
      <c r="AL965" s="75"/>
      <c r="AM965" s="75"/>
      <c r="AN965" s="75"/>
      <c r="AO965" s="282"/>
      <c r="AP965" s="75"/>
      <c r="AQ965" s="75"/>
      <c r="AR965" s="75"/>
      <c r="AS965" s="75"/>
      <c r="AT965" s="75"/>
    </row>
    <row r="966">
      <c r="A966" s="282"/>
      <c r="B966" s="125"/>
      <c r="C966" s="113"/>
      <c r="D966" s="75"/>
      <c r="E966" s="282"/>
      <c r="F966" s="125"/>
      <c r="G966" s="113"/>
      <c r="H966" s="75"/>
      <c r="I966" s="282"/>
      <c r="J966" s="125"/>
      <c r="K966" s="113"/>
      <c r="L966" s="75"/>
      <c r="M966" s="282"/>
      <c r="N966" s="125"/>
      <c r="O966" s="113"/>
      <c r="P966" s="75"/>
      <c r="Q966" s="282"/>
      <c r="R966" s="125"/>
      <c r="S966" s="113"/>
      <c r="T966" s="75"/>
      <c r="U966" s="282"/>
      <c r="V966" s="125"/>
      <c r="W966" s="113"/>
      <c r="X966" s="75"/>
      <c r="Y966" s="282"/>
      <c r="Z966" s="290"/>
      <c r="AA966" s="291"/>
      <c r="AB966" s="73"/>
      <c r="AC966" s="282"/>
      <c r="AD966" s="125"/>
      <c r="AE966" s="241"/>
      <c r="AF966" s="284"/>
      <c r="AG966" s="282"/>
      <c r="AH966" s="292"/>
      <c r="AI966" s="292"/>
      <c r="AJ966" s="292"/>
      <c r="AK966" s="282"/>
      <c r="AL966" s="75"/>
      <c r="AM966" s="75"/>
      <c r="AN966" s="75"/>
      <c r="AO966" s="282"/>
      <c r="AP966" s="75"/>
      <c r="AQ966" s="75"/>
      <c r="AR966" s="75"/>
      <c r="AS966" s="75"/>
      <c r="AT966" s="75"/>
    </row>
    <row r="967">
      <c r="A967" s="282"/>
      <c r="B967" s="125"/>
      <c r="C967" s="113"/>
      <c r="D967" s="75"/>
      <c r="E967" s="282"/>
      <c r="F967" s="125"/>
      <c r="G967" s="113"/>
      <c r="H967" s="75"/>
      <c r="I967" s="282"/>
      <c r="J967" s="125"/>
      <c r="K967" s="113"/>
      <c r="L967" s="75"/>
      <c r="M967" s="282"/>
      <c r="N967" s="125"/>
      <c r="O967" s="113"/>
      <c r="P967" s="75"/>
      <c r="Q967" s="282"/>
      <c r="R967" s="125"/>
      <c r="S967" s="113"/>
      <c r="T967" s="75"/>
      <c r="U967" s="282"/>
      <c r="V967" s="125"/>
      <c r="W967" s="113"/>
      <c r="X967" s="75"/>
      <c r="Y967" s="282"/>
      <c r="Z967" s="290"/>
      <c r="AA967" s="291"/>
      <c r="AB967" s="73"/>
      <c r="AC967" s="282"/>
      <c r="AD967" s="125"/>
      <c r="AE967" s="241"/>
      <c r="AF967" s="284"/>
      <c r="AG967" s="282"/>
      <c r="AH967" s="292"/>
      <c r="AI967" s="292"/>
      <c r="AJ967" s="292"/>
      <c r="AK967" s="282"/>
      <c r="AL967" s="75"/>
      <c r="AM967" s="75"/>
      <c r="AN967" s="75"/>
      <c r="AO967" s="282"/>
      <c r="AP967" s="75"/>
      <c r="AQ967" s="75"/>
      <c r="AR967" s="75"/>
      <c r="AS967" s="75"/>
      <c r="AT967" s="75"/>
    </row>
    <row r="968">
      <c r="A968" s="282"/>
      <c r="B968" s="125"/>
      <c r="C968" s="113"/>
      <c r="D968" s="75"/>
      <c r="E968" s="282"/>
      <c r="F968" s="125"/>
      <c r="G968" s="113"/>
      <c r="H968" s="75"/>
      <c r="I968" s="282"/>
      <c r="J968" s="125"/>
      <c r="K968" s="113"/>
      <c r="L968" s="75"/>
      <c r="M968" s="282"/>
      <c r="N968" s="125"/>
      <c r="O968" s="113"/>
      <c r="P968" s="75"/>
      <c r="Q968" s="282"/>
      <c r="R968" s="125"/>
      <c r="S968" s="113"/>
      <c r="T968" s="75"/>
      <c r="U968" s="282"/>
      <c r="V968" s="125"/>
      <c r="W968" s="113"/>
      <c r="X968" s="75"/>
      <c r="Y968" s="282"/>
      <c r="Z968" s="290"/>
      <c r="AA968" s="291"/>
      <c r="AB968" s="73"/>
      <c r="AC968" s="282"/>
      <c r="AD968" s="125"/>
      <c r="AE968" s="241"/>
      <c r="AF968" s="284"/>
      <c r="AG968" s="282"/>
      <c r="AH968" s="292"/>
      <c r="AI968" s="292"/>
      <c r="AJ968" s="292"/>
      <c r="AK968" s="282"/>
      <c r="AL968" s="75"/>
      <c r="AM968" s="75"/>
      <c r="AN968" s="75"/>
      <c r="AO968" s="282"/>
      <c r="AP968" s="75"/>
      <c r="AQ968" s="75"/>
      <c r="AR968" s="75"/>
      <c r="AS968" s="75"/>
      <c r="AT968" s="75"/>
    </row>
    <row r="969">
      <c r="A969" s="282"/>
      <c r="B969" s="125"/>
      <c r="C969" s="113"/>
      <c r="D969" s="75"/>
      <c r="E969" s="282"/>
      <c r="F969" s="125"/>
      <c r="G969" s="113"/>
      <c r="H969" s="75"/>
      <c r="I969" s="282"/>
      <c r="J969" s="125"/>
      <c r="K969" s="113"/>
      <c r="L969" s="75"/>
      <c r="M969" s="282"/>
      <c r="N969" s="125"/>
      <c r="O969" s="113"/>
      <c r="P969" s="75"/>
      <c r="Q969" s="282"/>
      <c r="R969" s="125"/>
      <c r="S969" s="113"/>
      <c r="T969" s="75"/>
      <c r="U969" s="282"/>
      <c r="V969" s="125"/>
      <c r="W969" s="113"/>
      <c r="X969" s="75"/>
      <c r="Y969" s="282"/>
      <c r="Z969" s="290"/>
      <c r="AA969" s="291"/>
      <c r="AB969" s="73"/>
      <c r="AC969" s="282"/>
      <c r="AD969" s="125"/>
      <c r="AE969" s="241"/>
      <c r="AF969" s="284"/>
      <c r="AG969" s="282"/>
      <c r="AH969" s="292"/>
      <c r="AI969" s="292"/>
      <c r="AJ969" s="292"/>
      <c r="AK969" s="282"/>
      <c r="AL969" s="75"/>
      <c r="AM969" s="75"/>
      <c r="AN969" s="75"/>
      <c r="AO969" s="282"/>
      <c r="AP969" s="75"/>
      <c r="AQ969" s="75"/>
      <c r="AR969" s="75"/>
      <c r="AS969" s="75"/>
      <c r="AT969" s="75"/>
    </row>
    <row r="970">
      <c r="A970" s="282"/>
      <c r="B970" s="125"/>
      <c r="C970" s="113"/>
      <c r="D970" s="75"/>
      <c r="E970" s="282"/>
      <c r="F970" s="125"/>
      <c r="G970" s="113"/>
      <c r="H970" s="75"/>
      <c r="I970" s="282"/>
      <c r="J970" s="125"/>
      <c r="K970" s="113"/>
      <c r="L970" s="75"/>
      <c r="M970" s="282"/>
      <c r="N970" s="125"/>
      <c r="O970" s="113"/>
      <c r="P970" s="75"/>
      <c r="Q970" s="282"/>
      <c r="R970" s="125"/>
      <c r="S970" s="113"/>
      <c r="T970" s="75"/>
      <c r="U970" s="282"/>
      <c r="V970" s="125"/>
      <c r="W970" s="113"/>
      <c r="X970" s="75"/>
      <c r="Y970" s="282"/>
      <c r="Z970" s="290"/>
      <c r="AA970" s="291"/>
      <c r="AB970" s="73"/>
      <c r="AC970" s="282"/>
      <c r="AD970" s="125"/>
      <c r="AE970" s="241"/>
      <c r="AF970" s="284"/>
      <c r="AG970" s="282"/>
      <c r="AH970" s="292"/>
      <c r="AI970" s="292"/>
      <c r="AJ970" s="292"/>
      <c r="AK970" s="282"/>
      <c r="AL970" s="75"/>
      <c r="AM970" s="75"/>
      <c r="AN970" s="75"/>
      <c r="AO970" s="282"/>
      <c r="AP970" s="75"/>
      <c r="AQ970" s="75"/>
      <c r="AR970" s="75"/>
      <c r="AS970" s="75"/>
      <c r="AT970" s="75"/>
    </row>
    <row r="971">
      <c r="A971" s="282"/>
      <c r="B971" s="125"/>
      <c r="C971" s="113"/>
      <c r="D971" s="75"/>
      <c r="E971" s="282"/>
      <c r="F971" s="125"/>
      <c r="G971" s="113"/>
      <c r="H971" s="75"/>
      <c r="I971" s="282"/>
      <c r="J971" s="125"/>
      <c r="K971" s="113"/>
      <c r="L971" s="75"/>
      <c r="M971" s="282"/>
      <c r="N971" s="125"/>
      <c r="O971" s="113"/>
      <c r="P971" s="75"/>
      <c r="Q971" s="282"/>
      <c r="R971" s="125"/>
      <c r="S971" s="113"/>
      <c r="T971" s="75"/>
      <c r="U971" s="282"/>
      <c r="V971" s="125"/>
      <c r="W971" s="113"/>
      <c r="X971" s="75"/>
      <c r="Y971" s="282"/>
      <c r="Z971" s="290"/>
      <c r="AA971" s="291"/>
      <c r="AB971" s="73"/>
      <c r="AC971" s="282"/>
      <c r="AD971" s="125"/>
      <c r="AE971" s="241"/>
      <c r="AF971" s="284"/>
      <c r="AG971" s="282"/>
      <c r="AH971" s="292"/>
      <c r="AI971" s="292"/>
      <c r="AJ971" s="292"/>
      <c r="AK971" s="282"/>
      <c r="AL971" s="75"/>
      <c r="AM971" s="75"/>
      <c r="AN971" s="75"/>
      <c r="AO971" s="282"/>
      <c r="AP971" s="75"/>
      <c r="AQ971" s="75"/>
      <c r="AR971" s="75"/>
      <c r="AS971" s="75"/>
      <c r="AT971" s="75"/>
    </row>
    <row r="972">
      <c r="A972" s="282"/>
      <c r="B972" s="125"/>
      <c r="C972" s="113"/>
      <c r="D972" s="75"/>
      <c r="E972" s="282"/>
      <c r="F972" s="125"/>
      <c r="G972" s="113"/>
      <c r="H972" s="75"/>
      <c r="I972" s="282"/>
      <c r="J972" s="125"/>
      <c r="K972" s="113"/>
      <c r="L972" s="75"/>
      <c r="M972" s="282"/>
      <c r="N972" s="125"/>
      <c r="O972" s="113"/>
      <c r="P972" s="75"/>
      <c r="Q972" s="282"/>
      <c r="R972" s="125"/>
      <c r="S972" s="113"/>
      <c r="T972" s="75"/>
      <c r="U972" s="282"/>
      <c r="V972" s="125"/>
      <c r="W972" s="113"/>
      <c r="X972" s="75"/>
      <c r="Y972" s="282"/>
      <c r="Z972" s="290"/>
      <c r="AA972" s="291"/>
      <c r="AB972" s="73"/>
      <c r="AC972" s="282"/>
      <c r="AD972" s="125"/>
      <c r="AE972" s="241"/>
      <c r="AF972" s="284"/>
      <c r="AG972" s="282"/>
      <c r="AH972" s="292"/>
      <c r="AI972" s="292"/>
      <c r="AJ972" s="292"/>
      <c r="AK972" s="282"/>
      <c r="AL972" s="75"/>
      <c r="AM972" s="75"/>
      <c r="AN972" s="75"/>
      <c r="AO972" s="282"/>
      <c r="AP972" s="75"/>
      <c r="AQ972" s="75"/>
      <c r="AR972" s="75"/>
      <c r="AS972" s="75"/>
      <c r="AT972" s="75"/>
    </row>
    <row r="973">
      <c r="A973" s="282"/>
      <c r="B973" s="125"/>
      <c r="C973" s="113"/>
      <c r="D973" s="75"/>
      <c r="E973" s="282"/>
      <c r="F973" s="125"/>
      <c r="G973" s="113"/>
      <c r="H973" s="75"/>
      <c r="I973" s="282"/>
      <c r="J973" s="125"/>
      <c r="K973" s="113"/>
      <c r="L973" s="75"/>
      <c r="M973" s="282"/>
      <c r="N973" s="125"/>
      <c r="O973" s="113"/>
      <c r="P973" s="75"/>
      <c r="Q973" s="282"/>
      <c r="R973" s="125"/>
      <c r="S973" s="113"/>
      <c r="T973" s="75"/>
      <c r="U973" s="282"/>
      <c r="V973" s="125"/>
      <c r="W973" s="113"/>
      <c r="X973" s="75"/>
      <c r="Y973" s="282"/>
      <c r="Z973" s="290"/>
      <c r="AA973" s="291"/>
      <c r="AB973" s="73"/>
      <c r="AC973" s="282"/>
      <c r="AD973" s="125"/>
      <c r="AE973" s="241"/>
      <c r="AF973" s="284"/>
      <c r="AG973" s="282"/>
      <c r="AH973" s="292"/>
      <c r="AI973" s="292"/>
      <c r="AJ973" s="292"/>
      <c r="AK973" s="282"/>
      <c r="AL973" s="75"/>
      <c r="AM973" s="75"/>
      <c r="AN973" s="75"/>
      <c r="AO973" s="282"/>
      <c r="AP973" s="75"/>
      <c r="AQ973" s="75"/>
      <c r="AR973" s="75"/>
      <c r="AS973" s="75"/>
      <c r="AT973" s="75"/>
    </row>
    <row r="974">
      <c r="A974" s="282"/>
      <c r="B974" s="125"/>
      <c r="C974" s="113"/>
      <c r="D974" s="75"/>
      <c r="E974" s="282"/>
      <c r="F974" s="125"/>
      <c r="G974" s="113"/>
      <c r="H974" s="75"/>
      <c r="I974" s="282"/>
      <c r="J974" s="125"/>
      <c r="K974" s="113"/>
      <c r="L974" s="75"/>
      <c r="M974" s="282"/>
      <c r="N974" s="125"/>
      <c r="O974" s="113"/>
      <c r="P974" s="75"/>
      <c r="Q974" s="282"/>
      <c r="R974" s="125"/>
      <c r="S974" s="113"/>
      <c r="T974" s="75"/>
      <c r="U974" s="282"/>
      <c r="V974" s="125"/>
      <c r="W974" s="113"/>
      <c r="X974" s="75"/>
      <c r="Y974" s="282"/>
      <c r="Z974" s="290"/>
      <c r="AA974" s="291"/>
      <c r="AB974" s="73"/>
      <c r="AC974" s="282"/>
      <c r="AD974" s="125"/>
      <c r="AE974" s="241"/>
      <c r="AF974" s="284"/>
      <c r="AG974" s="282"/>
      <c r="AH974" s="292"/>
      <c r="AI974" s="292"/>
      <c r="AJ974" s="292"/>
      <c r="AK974" s="282"/>
      <c r="AL974" s="75"/>
      <c r="AM974" s="75"/>
      <c r="AN974" s="75"/>
      <c r="AO974" s="282"/>
      <c r="AP974" s="75"/>
      <c r="AQ974" s="75"/>
      <c r="AR974" s="75"/>
      <c r="AS974" s="75"/>
      <c r="AT974" s="75"/>
    </row>
    <row r="975">
      <c r="A975" s="282"/>
      <c r="B975" s="125"/>
      <c r="C975" s="113"/>
      <c r="D975" s="75"/>
      <c r="E975" s="282"/>
      <c r="F975" s="125"/>
      <c r="G975" s="113"/>
      <c r="H975" s="75"/>
      <c r="I975" s="282"/>
      <c r="J975" s="125"/>
      <c r="K975" s="113"/>
      <c r="L975" s="75"/>
      <c r="M975" s="282"/>
      <c r="N975" s="125"/>
      <c r="O975" s="113"/>
      <c r="P975" s="75"/>
      <c r="Q975" s="282"/>
      <c r="R975" s="125"/>
      <c r="S975" s="113"/>
      <c r="T975" s="75"/>
      <c r="U975" s="282"/>
      <c r="V975" s="125"/>
      <c r="W975" s="113"/>
      <c r="X975" s="75"/>
      <c r="Y975" s="282"/>
      <c r="Z975" s="290"/>
      <c r="AA975" s="291"/>
      <c r="AB975" s="73"/>
      <c r="AC975" s="282"/>
      <c r="AD975" s="125"/>
      <c r="AE975" s="241"/>
      <c r="AF975" s="284"/>
      <c r="AG975" s="282"/>
      <c r="AH975" s="292"/>
      <c r="AI975" s="292"/>
      <c r="AJ975" s="292"/>
      <c r="AK975" s="282"/>
      <c r="AL975" s="75"/>
      <c r="AM975" s="75"/>
      <c r="AN975" s="75"/>
      <c r="AO975" s="282"/>
      <c r="AP975" s="75"/>
      <c r="AQ975" s="75"/>
      <c r="AR975" s="75"/>
      <c r="AS975" s="75"/>
      <c r="AT975" s="75"/>
    </row>
    <row r="976">
      <c r="A976" s="282"/>
      <c r="B976" s="125"/>
      <c r="C976" s="113"/>
      <c r="D976" s="75"/>
      <c r="E976" s="282"/>
      <c r="F976" s="125"/>
      <c r="G976" s="113"/>
      <c r="H976" s="75"/>
      <c r="I976" s="282"/>
      <c r="J976" s="125"/>
      <c r="K976" s="113"/>
      <c r="L976" s="75"/>
      <c r="M976" s="282"/>
      <c r="N976" s="125"/>
      <c r="O976" s="113"/>
      <c r="P976" s="75"/>
      <c r="Q976" s="282"/>
      <c r="R976" s="125"/>
      <c r="S976" s="113"/>
      <c r="T976" s="75"/>
      <c r="U976" s="282"/>
      <c r="V976" s="125"/>
      <c r="W976" s="113"/>
      <c r="X976" s="75"/>
      <c r="Y976" s="282"/>
      <c r="Z976" s="290"/>
      <c r="AA976" s="291"/>
      <c r="AB976" s="73"/>
      <c r="AC976" s="282"/>
      <c r="AD976" s="125"/>
      <c r="AE976" s="241"/>
      <c r="AF976" s="284"/>
      <c r="AG976" s="282"/>
      <c r="AH976" s="292"/>
      <c r="AI976" s="292"/>
      <c r="AJ976" s="292"/>
      <c r="AK976" s="282"/>
      <c r="AL976" s="75"/>
      <c r="AM976" s="75"/>
      <c r="AN976" s="75"/>
      <c r="AO976" s="282"/>
      <c r="AP976" s="75"/>
      <c r="AQ976" s="75"/>
      <c r="AR976" s="75"/>
      <c r="AS976" s="75"/>
      <c r="AT976" s="75"/>
    </row>
    <row r="977">
      <c r="A977" s="282"/>
      <c r="B977" s="125"/>
      <c r="C977" s="113"/>
      <c r="D977" s="75"/>
      <c r="E977" s="282"/>
      <c r="F977" s="125"/>
      <c r="G977" s="113"/>
      <c r="H977" s="75"/>
      <c r="I977" s="282"/>
      <c r="J977" s="125"/>
      <c r="K977" s="113"/>
      <c r="L977" s="75"/>
      <c r="M977" s="282"/>
      <c r="N977" s="125"/>
      <c r="O977" s="113"/>
      <c r="P977" s="75"/>
      <c r="Q977" s="282"/>
      <c r="R977" s="125"/>
      <c r="S977" s="113"/>
      <c r="T977" s="75"/>
      <c r="U977" s="282"/>
      <c r="V977" s="125"/>
      <c r="W977" s="113"/>
      <c r="X977" s="75"/>
      <c r="Y977" s="282"/>
      <c r="Z977" s="290"/>
      <c r="AA977" s="291"/>
      <c r="AB977" s="73"/>
      <c r="AC977" s="282"/>
      <c r="AD977" s="125"/>
      <c r="AE977" s="241"/>
      <c r="AF977" s="284"/>
      <c r="AG977" s="282"/>
      <c r="AH977" s="292"/>
      <c r="AI977" s="292"/>
      <c r="AJ977" s="292"/>
      <c r="AK977" s="282"/>
      <c r="AL977" s="75"/>
      <c r="AM977" s="75"/>
      <c r="AN977" s="75"/>
      <c r="AO977" s="282"/>
      <c r="AP977" s="75"/>
      <c r="AQ977" s="75"/>
      <c r="AR977" s="75"/>
      <c r="AS977" s="75"/>
      <c r="AT977" s="75"/>
    </row>
    <row r="978">
      <c r="A978" s="282"/>
      <c r="B978" s="125"/>
      <c r="C978" s="113"/>
      <c r="D978" s="75"/>
      <c r="E978" s="282"/>
      <c r="F978" s="125"/>
      <c r="G978" s="113"/>
      <c r="H978" s="75"/>
      <c r="I978" s="282"/>
      <c r="J978" s="125"/>
      <c r="K978" s="113"/>
      <c r="L978" s="75"/>
      <c r="M978" s="282"/>
      <c r="N978" s="125"/>
      <c r="O978" s="113"/>
      <c r="P978" s="75"/>
      <c r="Q978" s="282"/>
      <c r="R978" s="125"/>
      <c r="S978" s="113"/>
      <c r="T978" s="75"/>
      <c r="U978" s="282"/>
      <c r="V978" s="125"/>
      <c r="W978" s="113"/>
      <c r="X978" s="75"/>
      <c r="Y978" s="282"/>
      <c r="Z978" s="290"/>
      <c r="AA978" s="291"/>
      <c r="AB978" s="73"/>
      <c r="AC978" s="282"/>
      <c r="AD978" s="125"/>
      <c r="AE978" s="241"/>
      <c r="AF978" s="284"/>
      <c r="AG978" s="282"/>
      <c r="AH978" s="292"/>
      <c r="AI978" s="292"/>
      <c r="AJ978" s="292"/>
      <c r="AK978" s="282"/>
      <c r="AL978" s="75"/>
      <c r="AM978" s="75"/>
      <c r="AN978" s="75"/>
      <c r="AO978" s="282"/>
      <c r="AP978" s="75"/>
      <c r="AQ978" s="75"/>
      <c r="AR978" s="75"/>
      <c r="AS978" s="75"/>
      <c r="AT978" s="75"/>
    </row>
    <row r="979">
      <c r="A979" s="282"/>
      <c r="B979" s="125"/>
      <c r="C979" s="113"/>
      <c r="D979" s="75"/>
      <c r="E979" s="282"/>
      <c r="F979" s="125"/>
      <c r="G979" s="113"/>
      <c r="H979" s="75"/>
      <c r="I979" s="282"/>
      <c r="J979" s="125"/>
      <c r="K979" s="113"/>
      <c r="L979" s="75"/>
      <c r="M979" s="282"/>
      <c r="N979" s="125"/>
      <c r="O979" s="113"/>
      <c r="P979" s="75"/>
      <c r="Q979" s="282"/>
      <c r="R979" s="125"/>
      <c r="S979" s="113"/>
      <c r="T979" s="75"/>
      <c r="U979" s="282"/>
      <c r="V979" s="125"/>
      <c r="W979" s="113"/>
      <c r="X979" s="75"/>
      <c r="Y979" s="282"/>
      <c r="Z979" s="293"/>
      <c r="AA979" s="16"/>
      <c r="AB979" s="16"/>
      <c r="AC979" s="282"/>
      <c r="AD979" s="66"/>
      <c r="AE979" s="223"/>
      <c r="AF979" s="223"/>
      <c r="AG979" s="282"/>
      <c r="AH979" s="292"/>
      <c r="AI979" s="292"/>
      <c r="AJ979" s="292"/>
      <c r="AK979" s="282"/>
      <c r="AL979" s="66"/>
      <c r="AM979" s="66"/>
      <c r="AN979" s="66"/>
      <c r="AO979" s="282"/>
      <c r="AP979" s="66"/>
      <c r="AQ979" s="66"/>
      <c r="AR979" s="66"/>
      <c r="AS979" s="66"/>
      <c r="AT979" s="66"/>
    </row>
    <row r="980">
      <c r="A980" s="282"/>
      <c r="B980" s="125"/>
      <c r="C980" s="113"/>
      <c r="D980" s="75"/>
      <c r="E980" s="282"/>
      <c r="F980" s="125"/>
      <c r="G980" s="113"/>
      <c r="H980" s="75"/>
      <c r="I980" s="282"/>
      <c r="J980" s="125"/>
      <c r="K980" s="113"/>
      <c r="L980" s="75"/>
      <c r="M980" s="282"/>
      <c r="N980" s="125"/>
      <c r="O980" s="113"/>
      <c r="P980" s="75"/>
      <c r="Q980" s="282"/>
      <c r="R980" s="125"/>
      <c r="S980" s="113"/>
      <c r="T980" s="75"/>
      <c r="U980" s="282"/>
      <c r="V980" s="125"/>
      <c r="W980" s="113"/>
      <c r="X980" s="75"/>
      <c r="Y980" s="282"/>
      <c r="Z980" s="293"/>
      <c r="AA980" s="16"/>
      <c r="AB980" s="16"/>
      <c r="AC980" s="282"/>
      <c r="AD980" s="66"/>
      <c r="AE980" s="223"/>
      <c r="AF980" s="223"/>
      <c r="AG980" s="282"/>
      <c r="AH980" s="292"/>
      <c r="AI980" s="292"/>
      <c r="AJ980" s="292"/>
      <c r="AK980" s="282"/>
      <c r="AL980" s="66"/>
      <c r="AM980" s="66"/>
      <c r="AN980" s="66"/>
      <c r="AO980" s="282"/>
      <c r="AP980" s="66"/>
      <c r="AQ980" s="66"/>
      <c r="AR980" s="66"/>
      <c r="AS980" s="66"/>
      <c r="AT980" s="66"/>
    </row>
    <row r="981">
      <c r="A981" s="282"/>
      <c r="B981" s="125"/>
      <c r="C981" s="113"/>
      <c r="D981" s="75"/>
      <c r="E981" s="282"/>
      <c r="F981" s="125"/>
      <c r="G981" s="113"/>
      <c r="H981" s="75"/>
      <c r="I981" s="282"/>
      <c r="J981" s="125"/>
      <c r="K981" s="113"/>
      <c r="L981" s="75"/>
      <c r="M981" s="282"/>
      <c r="N981" s="125"/>
      <c r="O981" s="113"/>
      <c r="P981" s="75"/>
      <c r="Q981" s="282"/>
      <c r="R981" s="125"/>
      <c r="S981" s="113"/>
      <c r="T981" s="75"/>
      <c r="U981" s="282"/>
      <c r="V981" s="125"/>
      <c r="W981" s="113"/>
      <c r="X981" s="75"/>
      <c r="Y981" s="282"/>
      <c r="Z981" s="293"/>
      <c r="AA981" s="16"/>
      <c r="AB981" s="16"/>
      <c r="AC981" s="282"/>
      <c r="AD981" s="66"/>
      <c r="AE981" s="223"/>
      <c r="AF981" s="223"/>
      <c r="AG981" s="282"/>
      <c r="AH981" s="292"/>
      <c r="AI981" s="292"/>
      <c r="AJ981" s="292"/>
      <c r="AK981" s="282"/>
      <c r="AL981" s="66"/>
      <c r="AM981" s="66"/>
      <c r="AN981" s="66"/>
      <c r="AO981" s="282"/>
      <c r="AP981" s="66"/>
      <c r="AQ981" s="66"/>
      <c r="AR981" s="66"/>
      <c r="AS981" s="66"/>
      <c r="AT981" s="66"/>
    </row>
    <row r="982">
      <c r="A982" s="282"/>
      <c r="B982" s="125"/>
      <c r="C982" s="113"/>
      <c r="D982" s="75"/>
      <c r="E982" s="282"/>
      <c r="F982" s="125"/>
      <c r="G982" s="113"/>
      <c r="H982" s="75"/>
      <c r="I982" s="282"/>
      <c r="J982" s="125"/>
      <c r="K982" s="113"/>
      <c r="L982" s="75"/>
      <c r="M982" s="282"/>
      <c r="N982" s="125"/>
      <c r="O982" s="113"/>
      <c r="P982" s="75"/>
      <c r="Q982" s="282"/>
      <c r="R982" s="125"/>
      <c r="S982" s="113"/>
      <c r="T982" s="75"/>
      <c r="U982" s="282"/>
      <c r="V982" s="125"/>
      <c r="W982" s="113"/>
      <c r="X982" s="75"/>
      <c r="Y982" s="282"/>
      <c r="Z982" s="293"/>
      <c r="AA982" s="16"/>
      <c r="AB982" s="16"/>
      <c r="AC982" s="282"/>
      <c r="AD982" s="66"/>
      <c r="AE982" s="223"/>
      <c r="AF982" s="223"/>
      <c r="AG982" s="282"/>
      <c r="AH982" s="292"/>
      <c r="AI982" s="292"/>
      <c r="AJ982" s="292"/>
      <c r="AK982" s="282"/>
      <c r="AL982" s="66"/>
      <c r="AM982" s="66"/>
      <c r="AN982" s="66"/>
      <c r="AO982" s="282"/>
      <c r="AP982" s="66"/>
      <c r="AQ982" s="66"/>
      <c r="AR982" s="66"/>
      <c r="AS982" s="66"/>
      <c r="AT982" s="66"/>
    </row>
    <row r="983">
      <c r="A983" s="282"/>
      <c r="B983" s="125"/>
      <c r="C983" s="113"/>
      <c r="D983" s="75"/>
      <c r="E983" s="282"/>
      <c r="F983" s="125"/>
      <c r="G983" s="113"/>
      <c r="H983" s="75"/>
      <c r="I983" s="282"/>
      <c r="J983" s="125"/>
      <c r="K983" s="113"/>
      <c r="L983" s="75"/>
      <c r="M983" s="282"/>
      <c r="N983" s="125"/>
      <c r="O983" s="113"/>
      <c r="P983" s="75"/>
      <c r="Q983" s="282"/>
      <c r="R983" s="125"/>
      <c r="S983" s="113"/>
      <c r="T983" s="75"/>
      <c r="U983" s="282"/>
      <c r="V983" s="125"/>
      <c r="W983" s="113"/>
      <c r="X983" s="75"/>
      <c r="Y983" s="282"/>
      <c r="Z983" s="66"/>
      <c r="AA983" s="294"/>
      <c r="AB983" s="294"/>
      <c r="AC983" s="282"/>
      <c r="AD983" s="66"/>
      <c r="AE983" s="223"/>
      <c r="AF983" s="223"/>
      <c r="AG983" s="282"/>
      <c r="AH983" s="292"/>
      <c r="AI983" s="292"/>
      <c r="AJ983" s="292"/>
      <c r="AK983" s="282"/>
      <c r="AL983" s="66"/>
      <c r="AM983" s="66"/>
      <c r="AN983" s="66"/>
      <c r="AO983" s="282"/>
      <c r="AP983" s="66"/>
      <c r="AQ983" s="66"/>
      <c r="AR983" s="66"/>
      <c r="AS983" s="66"/>
      <c r="AT983" s="66"/>
    </row>
    <row r="984">
      <c r="A984" s="282"/>
      <c r="B984" s="125"/>
      <c r="C984" s="113"/>
      <c r="D984" s="75"/>
      <c r="E984" s="282"/>
      <c r="F984" s="125"/>
      <c r="G984" s="113"/>
      <c r="H984" s="75"/>
      <c r="I984" s="282"/>
      <c r="J984" s="125"/>
      <c r="K984" s="113"/>
      <c r="L984" s="75"/>
      <c r="M984" s="282"/>
      <c r="N984" s="125"/>
      <c r="O984" s="113"/>
      <c r="P984" s="75"/>
      <c r="Q984" s="282"/>
      <c r="R984" s="125"/>
      <c r="S984" s="113"/>
      <c r="T984" s="75"/>
      <c r="U984" s="282"/>
      <c r="V984" s="125"/>
      <c r="W984" s="113"/>
      <c r="X984" s="75"/>
      <c r="Y984" s="282"/>
      <c r="Z984" s="66"/>
      <c r="AA984" s="294"/>
      <c r="AB984" s="294"/>
      <c r="AC984" s="282"/>
      <c r="AD984" s="66"/>
      <c r="AE984" s="223"/>
      <c r="AF984" s="223"/>
      <c r="AG984" s="282"/>
      <c r="AH984" s="292"/>
      <c r="AI984" s="292"/>
      <c r="AJ984" s="292"/>
      <c r="AK984" s="282"/>
      <c r="AL984" s="66"/>
      <c r="AM984" s="66"/>
      <c r="AN984" s="66"/>
      <c r="AO984" s="282"/>
      <c r="AP984" s="66"/>
      <c r="AQ984" s="66"/>
      <c r="AR984" s="66"/>
      <c r="AS984" s="66"/>
      <c r="AT984" s="66"/>
    </row>
    <row r="985">
      <c r="A985" s="282"/>
      <c r="B985" s="125"/>
      <c r="C985" s="113"/>
      <c r="D985" s="75"/>
      <c r="E985" s="282"/>
      <c r="F985" s="125"/>
      <c r="G985" s="113"/>
      <c r="H985" s="75"/>
      <c r="I985" s="282"/>
      <c r="J985" s="125"/>
      <c r="K985" s="113"/>
      <c r="L985" s="75"/>
      <c r="M985" s="282"/>
      <c r="N985" s="125"/>
      <c r="O985" s="113"/>
      <c r="P985" s="75"/>
      <c r="Q985" s="282"/>
      <c r="R985" s="125"/>
      <c r="S985" s="113"/>
      <c r="T985" s="75"/>
      <c r="U985" s="282"/>
      <c r="V985" s="125"/>
      <c r="W985" s="113"/>
      <c r="X985" s="75"/>
      <c r="Y985" s="282"/>
      <c r="Z985" s="66"/>
      <c r="AA985" s="294"/>
      <c r="AB985" s="294"/>
      <c r="AC985" s="282"/>
      <c r="AD985" s="66"/>
      <c r="AE985" s="223"/>
      <c r="AF985" s="223"/>
      <c r="AG985" s="282"/>
      <c r="AH985" s="292"/>
      <c r="AI985" s="292"/>
      <c r="AJ985" s="292"/>
      <c r="AK985" s="282"/>
      <c r="AL985" s="66"/>
      <c r="AM985" s="66"/>
      <c r="AN985" s="66"/>
      <c r="AO985" s="282"/>
      <c r="AP985" s="66"/>
      <c r="AQ985" s="66"/>
      <c r="AR985" s="66"/>
      <c r="AS985" s="66"/>
      <c r="AT985" s="66"/>
    </row>
    <row r="986">
      <c r="A986" s="282"/>
      <c r="B986" s="125"/>
      <c r="C986" s="113"/>
      <c r="D986" s="75"/>
      <c r="E986" s="282"/>
      <c r="F986" s="125"/>
      <c r="G986" s="113"/>
      <c r="H986" s="75"/>
      <c r="I986" s="282"/>
      <c r="J986" s="125"/>
      <c r="K986" s="113"/>
      <c r="L986" s="75"/>
      <c r="M986" s="282"/>
      <c r="N986" s="125"/>
      <c r="O986" s="113"/>
      <c r="P986" s="75"/>
      <c r="Q986" s="282"/>
      <c r="R986" s="125"/>
      <c r="S986" s="113"/>
      <c r="T986" s="75"/>
      <c r="U986" s="282"/>
      <c r="V986" s="125"/>
      <c r="W986" s="113"/>
      <c r="X986" s="75"/>
      <c r="Y986" s="282"/>
      <c r="Z986" s="66"/>
      <c r="AA986" s="294"/>
      <c r="AB986" s="294"/>
      <c r="AC986" s="282"/>
      <c r="AD986" s="66"/>
      <c r="AE986" s="223"/>
      <c r="AF986" s="223"/>
      <c r="AG986" s="282"/>
      <c r="AH986" s="292"/>
      <c r="AI986" s="292"/>
      <c r="AJ986" s="292"/>
      <c r="AK986" s="282"/>
      <c r="AL986" s="66"/>
      <c r="AM986" s="66"/>
      <c r="AN986" s="66"/>
      <c r="AO986" s="282"/>
      <c r="AP986" s="66"/>
      <c r="AQ986" s="66"/>
      <c r="AR986" s="66"/>
      <c r="AS986" s="66"/>
      <c r="AT986" s="66"/>
    </row>
    <row r="987">
      <c r="A987" s="282"/>
      <c r="B987" s="125"/>
      <c r="C987" s="113"/>
      <c r="D987" s="75"/>
      <c r="E987" s="282"/>
      <c r="F987" s="125"/>
      <c r="G987" s="113"/>
      <c r="H987" s="75"/>
      <c r="I987" s="282"/>
      <c r="J987" s="125"/>
      <c r="K987" s="113"/>
      <c r="L987" s="75"/>
      <c r="M987" s="282"/>
      <c r="N987" s="125"/>
      <c r="O987" s="113"/>
      <c r="P987" s="75"/>
      <c r="Q987" s="282"/>
      <c r="R987" s="125"/>
      <c r="S987" s="113"/>
      <c r="T987" s="75"/>
      <c r="U987" s="282"/>
      <c r="V987" s="125"/>
      <c r="W987" s="113"/>
      <c r="X987" s="75"/>
      <c r="Y987" s="282"/>
      <c r="Z987" s="66"/>
      <c r="AA987" s="294"/>
      <c r="AB987" s="294"/>
      <c r="AC987" s="282"/>
      <c r="AD987" s="66"/>
      <c r="AE987" s="223"/>
      <c r="AF987" s="223"/>
      <c r="AG987" s="282"/>
      <c r="AH987" s="292"/>
      <c r="AI987" s="292"/>
      <c r="AJ987" s="292"/>
      <c r="AK987" s="282"/>
      <c r="AL987" s="66"/>
      <c r="AM987" s="66"/>
      <c r="AN987" s="66"/>
      <c r="AO987" s="282"/>
      <c r="AP987" s="66"/>
      <c r="AQ987" s="66"/>
      <c r="AR987" s="66"/>
      <c r="AS987" s="66"/>
      <c r="AT987" s="66"/>
    </row>
    <row r="988">
      <c r="A988" s="282"/>
      <c r="B988" s="125"/>
      <c r="C988" s="113"/>
      <c r="D988" s="75"/>
      <c r="E988" s="282"/>
      <c r="F988" s="125"/>
      <c r="G988" s="113"/>
      <c r="H988" s="75"/>
      <c r="I988" s="282"/>
      <c r="J988" s="125"/>
      <c r="K988" s="113"/>
      <c r="L988" s="75"/>
      <c r="M988" s="282"/>
      <c r="N988" s="125"/>
      <c r="O988" s="113"/>
      <c r="P988" s="75"/>
      <c r="Q988" s="282"/>
      <c r="R988" s="125"/>
      <c r="S988" s="113"/>
      <c r="T988" s="75"/>
      <c r="U988" s="282"/>
      <c r="V988" s="125"/>
      <c r="W988" s="113"/>
      <c r="X988" s="75"/>
      <c r="Y988" s="282"/>
      <c r="Z988" s="66"/>
      <c r="AA988" s="294"/>
      <c r="AB988" s="294"/>
      <c r="AC988" s="282"/>
      <c r="AD988" s="66"/>
      <c r="AE988" s="223"/>
      <c r="AF988" s="223"/>
      <c r="AG988" s="282"/>
      <c r="AH988" s="292"/>
      <c r="AI988" s="292"/>
      <c r="AJ988" s="292"/>
      <c r="AK988" s="282"/>
      <c r="AL988" s="66"/>
      <c r="AM988" s="66"/>
      <c r="AN988" s="66"/>
      <c r="AO988" s="282"/>
      <c r="AP988" s="66"/>
      <c r="AQ988" s="66"/>
      <c r="AR988" s="66"/>
      <c r="AS988" s="66"/>
      <c r="AT988" s="66"/>
    </row>
    <row r="989">
      <c r="A989" s="282"/>
      <c r="B989" s="125"/>
      <c r="C989" s="113"/>
      <c r="D989" s="75"/>
      <c r="E989" s="282"/>
      <c r="F989" s="125"/>
      <c r="G989" s="113"/>
      <c r="H989" s="75"/>
      <c r="I989" s="282"/>
      <c r="J989" s="125"/>
      <c r="K989" s="113"/>
      <c r="L989" s="75"/>
      <c r="M989" s="282"/>
      <c r="N989" s="125"/>
      <c r="O989" s="113"/>
      <c r="P989" s="75"/>
      <c r="Q989" s="282"/>
      <c r="R989" s="125"/>
      <c r="S989" s="113"/>
      <c r="T989" s="75"/>
      <c r="U989" s="282"/>
      <c r="V989" s="125"/>
      <c r="W989" s="113"/>
      <c r="X989" s="75"/>
      <c r="Y989" s="282"/>
      <c r="Z989" s="66"/>
      <c r="AA989" s="294"/>
      <c r="AB989" s="294"/>
      <c r="AC989" s="282"/>
      <c r="AD989" s="66"/>
      <c r="AE989" s="223"/>
      <c r="AF989" s="223"/>
      <c r="AG989" s="282"/>
      <c r="AH989" s="292"/>
      <c r="AI989" s="292"/>
      <c r="AJ989" s="292"/>
      <c r="AK989" s="282"/>
      <c r="AL989" s="66"/>
      <c r="AM989" s="66"/>
      <c r="AN989" s="66"/>
      <c r="AO989" s="282"/>
      <c r="AP989" s="66"/>
      <c r="AQ989" s="66"/>
      <c r="AR989" s="66"/>
      <c r="AS989" s="66"/>
      <c r="AT989" s="66"/>
    </row>
    <row r="990">
      <c r="A990" s="282"/>
      <c r="B990" s="125"/>
      <c r="C990" s="113"/>
      <c r="D990" s="75"/>
      <c r="E990" s="282"/>
      <c r="F990" s="125"/>
      <c r="G990" s="113"/>
      <c r="H990" s="75"/>
      <c r="I990" s="282"/>
      <c r="J990" s="125"/>
      <c r="K990" s="113"/>
      <c r="L990" s="75"/>
      <c r="M990" s="282"/>
      <c r="N990" s="125"/>
      <c r="O990" s="113"/>
      <c r="P990" s="75"/>
      <c r="Q990" s="282"/>
      <c r="R990" s="125"/>
      <c r="S990" s="113"/>
      <c r="T990" s="75"/>
      <c r="U990" s="282"/>
      <c r="V990" s="125"/>
      <c r="W990" s="113"/>
      <c r="X990" s="75"/>
      <c r="Y990" s="282"/>
      <c r="Z990" s="66"/>
      <c r="AA990" s="294"/>
      <c r="AB990" s="294"/>
      <c r="AC990" s="282"/>
      <c r="AD990" s="66"/>
      <c r="AE990" s="223"/>
      <c r="AF990" s="223"/>
      <c r="AG990" s="282"/>
      <c r="AH990" s="292"/>
      <c r="AI990" s="292"/>
      <c r="AJ990" s="292"/>
      <c r="AK990" s="282"/>
      <c r="AL990" s="66"/>
      <c r="AM990" s="66"/>
      <c r="AN990" s="66"/>
      <c r="AO990" s="282"/>
      <c r="AP990" s="66"/>
      <c r="AQ990" s="66"/>
      <c r="AR990" s="66"/>
      <c r="AS990" s="66"/>
      <c r="AT990" s="66"/>
    </row>
    <row r="991">
      <c r="A991" s="282"/>
      <c r="B991" s="125"/>
      <c r="C991" s="113"/>
      <c r="D991" s="75"/>
      <c r="E991" s="282"/>
      <c r="F991" s="125"/>
      <c r="G991" s="113"/>
      <c r="H991" s="75"/>
      <c r="I991" s="282"/>
      <c r="J991" s="125"/>
      <c r="K991" s="113"/>
      <c r="L991" s="75"/>
      <c r="M991" s="282"/>
      <c r="N991" s="125"/>
      <c r="O991" s="113"/>
      <c r="P991" s="75"/>
      <c r="Q991" s="282"/>
      <c r="R991" s="125"/>
      <c r="S991" s="113"/>
      <c r="T991" s="75"/>
      <c r="U991" s="282"/>
      <c r="V991" s="125"/>
      <c r="W991" s="113"/>
      <c r="X991" s="75"/>
      <c r="Y991" s="282"/>
      <c r="Z991" s="66"/>
      <c r="AA991" s="294"/>
      <c r="AB991" s="294"/>
      <c r="AC991" s="282"/>
      <c r="AD991" s="66"/>
      <c r="AE991" s="223"/>
      <c r="AF991" s="223"/>
      <c r="AG991" s="282"/>
      <c r="AH991" s="292"/>
      <c r="AI991" s="292"/>
      <c r="AJ991" s="292"/>
      <c r="AK991" s="282"/>
      <c r="AL991" s="66"/>
      <c r="AM991" s="66"/>
      <c r="AN991" s="66"/>
      <c r="AO991" s="282"/>
      <c r="AP991" s="66"/>
      <c r="AQ991" s="66"/>
      <c r="AR991" s="66"/>
      <c r="AS991" s="66"/>
      <c r="AT991" s="66"/>
    </row>
    <row r="992">
      <c r="A992" s="282"/>
      <c r="B992" s="125"/>
      <c r="C992" s="113"/>
      <c r="D992" s="75"/>
      <c r="E992" s="282"/>
      <c r="F992" s="125"/>
      <c r="G992" s="113"/>
      <c r="H992" s="75"/>
      <c r="I992" s="282"/>
      <c r="J992" s="125"/>
      <c r="K992" s="113"/>
      <c r="L992" s="75"/>
      <c r="M992" s="282"/>
      <c r="N992" s="125"/>
      <c r="O992" s="113"/>
      <c r="P992" s="75"/>
      <c r="Q992" s="282"/>
      <c r="R992" s="125"/>
      <c r="S992" s="113"/>
      <c r="T992" s="75"/>
      <c r="U992" s="282"/>
      <c r="V992" s="125"/>
      <c r="W992" s="113"/>
      <c r="X992" s="75"/>
      <c r="Y992" s="282"/>
      <c r="Z992" s="66"/>
      <c r="AA992" s="294"/>
      <c r="AB992" s="294"/>
      <c r="AC992" s="282"/>
      <c r="AD992" s="66"/>
      <c r="AE992" s="223"/>
      <c r="AF992" s="223"/>
      <c r="AG992" s="282"/>
      <c r="AH992" s="292"/>
      <c r="AI992" s="292"/>
      <c r="AJ992" s="292"/>
      <c r="AK992" s="282"/>
      <c r="AL992" s="66"/>
      <c r="AM992" s="66"/>
      <c r="AN992" s="66"/>
      <c r="AO992" s="282"/>
      <c r="AP992" s="66"/>
      <c r="AQ992" s="66"/>
      <c r="AR992" s="66"/>
      <c r="AS992" s="66"/>
      <c r="AT992" s="66"/>
    </row>
    <row r="993">
      <c r="A993" s="282"/>
      <c r="B993" s="125"/>
      <c r="C993" s="113"/>
      <c r="D993" s="75"/>
      <c r="E993" s="282"/>
      <c r="F993" s="125"/>
      <c r="G993" s="113"/>
      <c r="H993" s="75"/>
      <c r="I993" s="282"/>
      <c r="J993" s="125"/>
      <c r="K993" s="113"/>
      <c r="L993" s="75"/>
      <c r="M993" s="282"/>
      <c r="N993" s="125"/>
      <c r="O993" s="113"/>
      <c r="P993" s="75"/>
      <c r="Q993" s="282"/>
      <c r="R993" s="125"/>
      <c r="S993" s="113"/>
      <c r="T993" s="75"/>
      <c r="U993" s="282"/>
      <c r="V993" s="125"/>
      <c r="W993" s="113"/>
      <c r="X993" s="75"/>
      <c r="Y993" s="282"/>
      <c r="Z993" s="66"/>
      <c r="AA993" s="294"/>
      <c r="AB993" s="294"/>
      <c r="AC993" s="282"/>
      <c r="AD993" s="66"/>
      <c r="AE993" s="223"/>
      <c r="AF993" s="223"/>
      <c r="AG993" s="282"/>
      <c r="AH993" s="292"/>
      <c r="AI993" s="292"/>
      <c r="AJ993" s="292"/>
      <c r="AK993" s="282"/>
      <c r="AL993" s="66"/>
      <c r="AM993" s="66"/>
      <c r="AN993" s="66"/>
      <c r="AO993" s="282"/>
      <c r="AP993" s="66"/>
      <c r="AQ993" s="66"/>
      <c r="AR993" s="66"/>
      <c r="AS993" s="66"/>
      <c r="AT993" s="66"/>
    </row>
    <row r="994">
      <c r="A994" s="282"/>
      <c r="B994" s="125"/>
      <c r="C994" s="113"/>
      <c r="D994" s="75"/>
      <c r="E994" s="282"/>
      <c r="F994" s="125"/>
      <c r="G994" s="113"/>
      <c r="H994" s="75"/>
      <c r="I994" s="282"/>
      <c r="J994" s="125"/>
      <c r="K994" s="113"/>
      <c r="L994" s="75"/>
      <c r="M994" s="282"/>
      <c r="N994" s="125"/>
      <c r="O994" s="113"/>
      <c r="P994" s="75"/>
      <c r="Q994" s="282"/>
      <c r="R994" s="125"/>
      <c r="S994" s="113"/>
      <c r="T994" s="75"/>
      <c r="U994" s="282"/>
      <c r="V994" s="125"/>
      <c r="W994" s="113"/>
      <c r="X994" s="75"/>
      <c r="Y994" s="282"/>
      <c r="Z994" s="66"/>
      <c r="AA994" s="294"/>
      <c r="AB994" s="294"/>
      <c r="AC994" s="282"/>
      <c r="AD994" s="66"/>
      <c r="AE994" s="223"/>
      <c r="AF994" s="223"/>
      <c r="AG994" s="282"/>
      <c r="AH994" s="292"/>
      <c r="AI994" s="292"/>
      <c r="AJ994" s="292"/>
      <c r="AK994" s="282"/>
      <c r="AL994" s="66"/>
      <c r="AM994" s="66"/>
      <c r="AN994" s="66"/>
      <c r="AO994" s="282"/>
      <c r="AP994" s="66"/>
      <c r="AQ994" s="66"/>
      <c r="AR994" s="66"/>
      <c r="AS994" s="66"/>
      <c r="AT994" s="66"/>
    </row>
    <row r="995">
      <c r="A995" s="282"/>
      <c r="B995" s="125"/>
      <c r="C995" s="113"/>
      <c r="D995" s="75"/>
      <c r="E995" s="282"/>
      <c r="F995" s="125"/>
      <c r="G995" s="113"/>
      <c r="H995" s="75"/>
      <c r="I995" s="282"/>
      <c r="J995" s="125"/>
      <c r="K995" s="113"/>
      <c r="L995" s="75"/>
      <c r="M995" s="282"/>
      <c r="N995" s="125"/>
      <c r="O995" s="113"/>
      <c r="P995" s="75"/>
      <c r="Q995" s="282"/>
      <c r="R995" s="125"/>
      <c r="S995" s="113"/>
      <c r="T995" s="75"/>
      <c r="U995" s="282"/>
      <c r="V995" s="125"/>
      <c r="W995" s="113"/>
      <c r="X995" s="75"/>
      <c r="Y995" s="282"/>
      <c r="Z995" s="66"/>
      <c r="AA995" s="294"/>
      <c r="AB995" s="294"/>
      <c r="AC995" s="282"/>
      <c r="AD995" s="66"/>
      <c r="AE995" s="223"/>
      <c r="AF995" s="223"/>
      <c r="AG995" s="282"/>
      <c r="AH995" s="292"/>
      <c r="AI995" s="292"/>
      <c r="AJ995" s="292"/>
      <c r="AK995" s="282"/>
      <c r="AL995" s="66"/>
      <c r="AM995" s="66"/>
      <c r="AN995" s="66"/>
      <c r="AO995" s="282"/>
      <c r="AP995" s="66"/>
      <c r="AQ995" s="66"/>
      <c r="AR995" s="66"/>
      <c r="AS995" s="66"/>
      <c r="AT995" s="66"/>
    </row>
    <row r="996">
      <c r="A996" s="282"/>
      <c r="B996" s="125"/>
      <c r="C996" s="113"/>
      <c r="D996" s="75"/>
      <c r="E996" s="282"/>
      <c r="F996" s="125"/>
      <c r="G996" s="113"/>
      <c r="H996" s="75"/>
      <c r="I996" s="282"/>
      <c r="J996" s="125"/>
      <c r="K996" s="113"/>
      <c r="L996" s="75"/>
      <c r="M996" s="282"/>
      <c r="N996" s="125"/>
      <c r="O996" s="113"/>
      <c r="P996" s="75"/>
      <c r="Q996" s="282"/>
      <c r="R996" s="125"/>
      <c r="S996" s="113"/>
      <c r="T996" s="75"/>
      <c r="U996" s="282"/>
      <c r="V996" s="125"/>
      <c r="W996" s="113"/>
      <c r="X996" s="75"/>
      <c r="Y996" s="282"/>
      <c r="Z996" s="66"/>
      <c r="AA996" s="294"/>
      <c r="AB996" s="294"/>
      <c r="AC996" s="282"/>
      <c r="AD996" s="66"/>
      <c r="AE996" s="223"/>
      <c r="AF996" s="223"/>
      <c r="AG996" s="282"/>
      <c r="AH996" s="292"/>
      <c r="AI996" s="292"/>
      <c r="AJ996" s="292"/>
      <c r="AK996" s="282"/>
      <c r="AL996" s="66"/>
      <c r="AM996" s="66"/>
      <c r="AN996" s="66"/>
      <c r="AO996" s="282"/>
      <c r="AP996" s="66"/>
      <c r="AQ996" s="66"/>
      <c r="AR996" s="66"/>
      <c r="AS996" s="66"/>
      <c r="AT996" s="66"/>
    </row>
    <row r="997">
      <c r="A997" s="282"/>
      <c r="B997" s="125"/>
      <c r="C997" s="113"/>
      <c r="D997" s="75"/>
      <c r="E997" s="282"/>
      <c r="F997" s="125"/>
      <c r="G997" s="113"/>
      <c r="H997" s="75"/>
      <c r="I997" s="282"/>
      <c r="J997" s="125"/>
      <c r="K997" s="113"/>
      <c r="L997" s="75"/>
      <c r="M997" s="282"/>
      <c r="N997" s="125"/>
      <c r="O997" s="113"/>
      <c r="P997" s="75"/>
      <c r="Q997" s="282"/>
      <c r="R997" s="125"/>
      <c r="S997" s="113"/>
      <c r="T997" s="75"/>
      <c r="U997" s="282"/>
      <c r="V997" s="125"/>
      <c r="W997" s="113"/>
      <c r="X997" s="75"/>
      <c r="Y997" s="282"/>
      <c r="Z997" s="66"/>
      <c r="AA997" s="294"/>
      <c r="AB997" s="294"/>
      <c r="AC997" s="282"/>
      <c r="AD997" s="66"/>
      <c r="AE997" s="223"/>
      <c r="AF997" s="223"/>
      <c r="AG997" s="282"/>
      <c r="AH997" s="292"/>
      <c r="AI997" s="292"/>
      <c r="AJ997" s="292"/>
      <c r="AK997" s="282"/>
      <c r="AL997" s="66"/>
      <c r="AM997" s="66"/>
      <c r="AN997" s="66"/>
      <c r="AO997" s="282"/>
      <c r="AP997" s="66"/>
      <c r="AQ997" s="66"/>
      <c r="AR997" s="66"/>
      <c r="AS997" s="66"/>
      <c r="AT997" s="66"/>
    </row>
    <row r="998">
      <c r="A998" s="282"/>
      <c r="B998" s="125"/>
      <c r="C998" s="113"/>
      <c r="D998" s="75"/>
      <c r="E998" s="282"/>
      <c r="F998" s="125"/>
      <c r="G998" s="113"/>
      <c r="H998" s="75"/>
      <c r="I998" s="282"/>
      <c r="J998" s="125"/>
      <c r="K998" s="113"/>
      <c r="L998" s="75"/>
      <c r="M998" s="282"/>
      <c r="N998" s="125"/>
      <c r="O998" s="113"/>
      <c r="P998" s="75"/>
      <c r="Q998" s="282"/>
      <c r="R998" s="125"/>
      <c r="S998" s="113"/>
      <c r="T998" s="75"/>
      <c r="U998" s="282"/>
      <c r="V998" s="125"/>
      <c r="W998" s="113"/>
      <c r="X998" s="75"/>
      <c r="Y998" s="282"/>
      <c r="Z998" s="66"/>
      <c r="AA998" s="294"/>
      <c r="AB998" s="294"/>
      <c r="AC998" s="282"/>
      <c r="AD998" s="66"/>
      <c r="AE998" s="223"/>
      <c r="AF998" s="223"/>
      <c r="AG998" s="282"/>
      <c r="AH998" s="292"/>
      <c r="AI998" s="292"/>
      <c r="AJ998" s="292"/>
      <c r="AK998" s="282"/>
      <c r="AL998" s="66"/>
      <c r="AM998" s="66"/>
      <c r="AN998" s="66"/>
      <c r="AO998" s="282"/>
      <c r="AP998" s="66"/>
      <c r="AQ998" s="66"/>
      <c r="AR998" s="66"/>
      <c r="AS998" s="66"/>
      <c r="AT998" s="66"/>
    </row>
    <row r="999">
      <c r="A999" s="282"/>
      <c r="B999" s="125"/>
      <c r="C999" s="113"/>
      <c r="D999" s="75"/>
      <c r="E999" s="282"/>
      <c r="F999" s="125"/>
      <c r="G999" s="113"/>
      <c r="H999" s="75"/>
      <c r="I999" s="282"/>
      <c r="J999" s="125"/>
      <c r="K999" s="113"/>
      <c r="L999" s="75"/>
      <c r="M999" s="282"/>
      <c r="N999" s="125"/>
      <c r="O999" s="113"/>
      <c r="P999" s="75"/>
      <c r="Q999" s="282"/>
      <c r="R999" s="125"/>
      <c r="S999" s="113"/>
      <c r="T999" s="75"/>
      <c r="U999" s="282"/>
      <c r="V999" s="125"/>
      <c r="W999" s="113"/>
      <c r="X999" s="75"/>
      <c r="Y999" s="282"/>
      <c r="Z999" s="66"/>
      <c r="AA999" s="294"/>
      <c r="AB999" s="294"/>
      <c r="AC999" s="282"/>
      <c r="AD999" s="66"/>
      <c r="AE999" s="223"/>
      <c r="AF999" s="223"/>
      <c r="AG999" s="282"/>
      <c r="AH999" s="292"/>
      <c r="AI999" s="292"/>
      <c r="AJ999" s="292"/>
      <c r="AK999" s="282"/>
      <c r="AL999" s="66"/>
      <c r="AM999" s="66"/>
      <c r="AN999" s="66"/>
      <c r="AO999" s="282"/>
      <c r="AP999" s="66"/>
      <c r="AQ999" s="66"/>
      <c r="AR999" s="66"/>
      <c r="AS999" s="66"/>
      <c r="AT999" s="66"/>
    </row>
    <row r="1000">
      <c r="A1000" s="282"/>
      <c r="B1000" s="125"/>
      <c r="C1000" s="113"/>
      <c r="D1000" s="75"/>
      <c r="E1000" s="282"/>
      <c r="F1000" s="125"/>
      <c r="G1000" s="113"/>
      <c r="H1000" s="75"/>
      <c r="I1000" s="282"/>
      <c r="J1000" s="125"/>
      <c r="K1000" s="113"/>
      <c r="L1000" s="75"/>
      <c r="M1000" s="282"/>
      <c r="N1000" s="125"/>
      <c r="O1000" s="113"/>
      <c r="P1000" s="75"/>
      <c r="Q1000" s="282"/>
      <c r="R1000" s="125"/>
      <c r="S1000" s="113"/>
      <c r="T1000" s="75"/>
      <c r="U1000" s="282"/>
      <c r="V1000" s="125"/>
      <c r="W1000" s="113"/>
      <c r="X1000" s="75"/>
      <c r="Y1000" s="282"/>
      <c r="Z1000" s="66"/>
      <c r="AA1000" s="294"/>
      <c r="AB1000" s="294"/>
      <c r="AC1000" s="282"/>
      <c r="AD1000" s="66"/>
      <c r="AE1000" s="223"/>
      <c r="AF1000" s="223"/>
      <c r="AG1000" s="282"/>
      <c r="AH1000" s="292"/>
      <c r="AI1000" s="292"/>
      <c r="AJ1000" s="292"/>
      <c r="AK1000" s="282"/>
      <c r="AL1000" s="66"/>
      <c r="AM1000" s="66"/>
      <c r="AN1000" s="66"/>
      <c r="AO1000" s="282"/>
      <c r="AP1000" s="66"/>
      <c r="AQ1000" s="66"/>
      <c r="AR1000" s="66"/>
      <c r="AS1000" s="66"/>
      <c r="AT1000" s="66"/>
    </row>
    <row r="1001">
      <c r="A1001" s="282"/>
      <c r="B1001" s="125"/>
      <c r="C1001" s="113"/>
      <c r="D1001" s="75"/>
      <c r="E1001" s="282"/>
      <c r="F1001" s="125"/>
      <c r="G1001" s="113"/>
      <c r="H1001" s="75"/>
      <c r="I1001" s="282"/>
      <c r="J1001" s="125"/>
      <c r="K1001" s="113"/>
      <c r="L1001" s="75"/>
      <c r="M1001" s="282"/>
      <c r="N1001" s="125"/>
      <c r="O1001" s="113"/>
      <c r="P1001" s="75"/>
      <c r="Q1001" s="282"/>
      <c r="R1001" s="125"/>
      <c r="S1001" s="113"/>
      <c r="T1001" s="75"/>
      <c r="U1001" s="282"/>
      <c r="V1001" s="125"/>
      <c r="W1001" s="113"/>
      <c r="X1001" s="75"/>
      <c r="Y1001" s="282"/>
      <c r="Z1001" s="66"/>
      <c r="AA1001" s="294"/>
      <c r="AB1001" s="294"/>
      <c r="AC1001" s="282"/>
      <c r="AD1001" s="66"/>
      <c r="AE1001" s="223"/>
      <c r="AF1001" s="223"/>
      <c r="AG1001" s="282"/>
      <c r="AH1001" s="292"/>
      <c r="AI1001" s="292"/>
      <c r="AJ1001" s="292"/>
      <c r="AK1001" s="282"/>
      <c r="AL1001" s="66"/>
      <c r="AM1001" s="66"/>
      <c r="AN1001" s="66"/>
      <c r="AO1001" s="282"/>
      <c r="AP1001" s="66"/>
      <c r="AQ1001" s="66"/>
      <c r="AR1001" s="66"/>
      <c r="AS1001" s="66"/>
      <c r="AT1001" s="66"/>
    </row>
    <row r="1002">
      <c r="A1002" s="282"/>
      <c r="B1002" s="125"/>
      <c r="C1002" s="113"/>
      <c r="D1002" s="75"/>
      <c r="E1002" s="282"/>
      <c r="F1002" s="125"/>
      <c r="G1002" s="113"/>
      <c r="H1002" s="75"/>
      <c r="I1002" s="282"/>
      <c r="J1002" s="125"/>
      <c r="K1002" s="113"/>
      <c r="L1002" s="75"/>
      <c r="M1002" s="282"/>
      <c r="N1002" s="125"/>
      <c r="O1002" s="113"/>
      <c r="P1002" s="75"/>
      <c r="Q1002" s="282"/>
      <c r="R1002" s="125"/>
      <c r="S1002" s="113"/>
      <c r="T1002" s="75"/>
      <c r="U1002" s="282"/>
      <c r="V1002" s="125"/>
      <c r="W1002" s="113"/>
      <c r="X1002" s="75"/>
      <c r="Y1002" s="282"/>
      <c r="Z1002" s="66"/>
      <c r="AA1002" s="294"/>
      <c r="AB1002" s="294"/>
      <c r="AC1002" s="282"/>
      <c r="AD1002" s="66"/>
      <c r="AE1002" s="223"/>
      <c r="AF1002" s="223"/>
      <c r="AG1002" s="282"/>
      <c r="AH1002" s="292"/>
      <c r="AI1002" s="292"/>
      <c r="AJ1002" s="292"/>
      <c r="AK1002" s="282"/>
      <c r="AL1002" s="66"/>
      <c r="AM1002" s="66"/>
      <c r="AN1002" s="66"/>
      <c r="AO1002" s="282"/>
      <c r="AP1002" s="66"/>
      <c r="AQ1002" s="66"/>
      <c r="AR1002" s="66"/>
      <c r="AS1002" s="66"/>
      <c r="AT1002" s="66"/>
    </row>
    <row r="1003">
      <c r="A1003" s="282"/>
      <c r="B1003" s="125"/>
      <c r="C1003" s="113"/>
      <c r="D1003" s="75"/>
      <c r="E1003" s="282"/>
      <c r="F1003" s="125"/>
      <c r="G1003" s="113"/>
      <c r="H1003" s="75"/>
      <c r="I1003" s="282"/>
      <c r="J1003" s="125"/>
      <c r="K1003" s="113"/>
      <c r="L1003" s="75"/>
      <c r="M1003" s="282"/>
      <c r="N1003" s="125"/>
      <c r="O1003" s="113"/>
      <c r="P1003" s="75"/>
      <c r="Q1003" s="282"/>
      <c r="R1003" s="125"/>
      <c r="S1003" s="113"/>
      <c r="T1003" s="75"/>
      <c r="U1003" s="282"/>
      <c r="V1003" s="125"/>
      <c r="W1003" s="113"/>
      <c r="X1003" s="75"/>
      <c r="Y1003" s="282"/>
      <c r="Z1003" s="66"/>
      <c r="AA1003" s="294"/>
      <c r="AB1003" s="294"/>
      <c r="AC1003" s="282"/>
      <c r="AD1003" s="66"/>
      <c r="AE1003" s="223"/>
      <c r="AF1003" s="223"/>
      <c r="AG1003" s="282"/>
      <c r="AH1003" s="292"/>
      <c r="AI1003" s="292"/>
      <c r="AJ1003" s="292"/>
      <c r="AK1003" s="282"/>
      <c r="AL1003" s="66"/>
      <c r="AM1003" s="66"/>
      <c r="AN1003" s="66"/>
      <c r="AO1003" s="282"/>
      <c r="AP1003" s="66"/>
      <c r="AQ1003" s="66"/>
      <c r="AR1003" s="66"/>
      <c r="AS1003" s="66"/>
      <c r="AT1003" s="66"/>
    </row>
    <row r="1004">
      <c r="A1004" s="282"/>
      <c r="B1004" s="125"/>
      <c r="C1004" s="113"/>
      <c r="D1004" s="75"/>
      <c r="E1004" s="282"/>
      <c r="F1004" s="125"/>
      <c r="G1004" s="113"/>
      <c r="H1004" s="75"/>
      <c r="I1004" s="282"/>
      <c r="J1004" s="125"/>
      <c r="K1004" s="113"/>
      <c r="L1004" s="75"/>
      <c r="M1004" s="282"/>
      <c r="N1004" s="125"/>
      <c r="O1004" s="113"/>
      <c r="P1004" s="75"/>
      <c r="Q1004" s="282"/>
      <c r="R1004" s="125"/>
      <c r="S1004" s="113"/>
      <c r="T1004" s="75"/>
      <c r="U1004" s="282"/>
      <c r="V1004" s="125"/>
      <c r="W1004" s="113"/>
      <c r="X1004" s="75"/>
      <c r="Y1004" s="282"/>
      <c r="Z1004" s="66"/>
      <c r="AA1004" s="294"/>
      <c r="AB1004" s="294"/>
      <c r="AC1004" s="282"/>
      <c r="AD1004" s="66"/>
      <c r="AE1004" s="223"/>
      <c r="AF1004" s="223"/>
      <c r="AG1004" s="282"/>
      <c r="AH1004" s="292"/>
      <c r="AI1004" s="292"/>
      <c r="AJ1004" s="292"/>
      <c r="AK1004" s="282"/>
      <c r="AL1004" s="66"/>
      <c r="AM1004" s="66"/>
      <c r="AN1004" s="66"/>
      <c r="AO1004" s="282"/>
      <c r="AP1004" s="66"/>
      <c r="AQ1004" s="66"/>
      <c r="AR1004" s="66"/>
      <c r="AS1004" s="66"/>
      <c r="AT1004" s="66"/>
    </row>
    <row r="1005">
      <c r="A1005" s="282"/>
      <c r="B1005" s="125"/>
      <c r="C1005" s="113"/>
      <c r="D1005" s="75"/>
      <c r="E1005" s="282"/>
      <c r="F1005" s="125"/>
      <c r="G1005" s="113"/>
      <c r="H1005" s="75"/>
      <c r="I1005" s="282"/>
      <c r="J1005" s="125"/>
      <c r="K1005" s="113"/>
      <c r="L1005" s="75"/>
      <c r="M1005" s="282"/>
      <c r="N1005" s="125"/>
      <c r="O1005" s="113"/>
      <c r="P1005" s="75"/>
      <c r="Q1005" s="282"/>
      <c r="R1005" s="125"/>
      <c r="S1005" s="113"/>
      <c r="T1005" s="75"/>
      <c r="U1005" s="282"/>
      <c r="V1005" s="125"/>
      <c r="W1005" s="113"/>
      <c r="X1005" s="75"/>
      <c r="Y1005" s="282"/>
      <c r="Z1005" s="66"/>
      <c r="AA1005" s="294"/>
      <c r="AB1005" s="294"/>
      <c r="AC1005" s="282"/>
      <c r="AD1005" s="66"/>
      <c r="AE1005" s="223"/>
      <c r="AF1005" s="223"/>
      <c r="AG1005" s="282"/>
      <c r="AH1005" s="292"/>
      <c r="AI1005" s="292"/>
      <c r="AJ1005" s="292"/>
      <c r="AK1005" s="282"/>
      <c r="AL1005" s="66"/>
      <c r="AM1005" s="66"/>
      <c r="AN1005" s="66"/>
      <c r="AO1005" s="282"/>
      <c r="AP1005" s="66"/>
      <c r="AQ1005" s="66"/>
      <c r="AR1005" s="66"/>
      <c r="AS1005" s="66"/>
      <c r="AT1005" s="66"/>
    </row>
    <row r="1006">
      <c r="A1006" s="282"/>
      <c r="B1006" s="125"/>
      <c r="C1006" s="113"/>
      <c r="D1006" s="75"/>
      <c r="E1006" s="282"/>
      <c r="F1006" s="125"/>
      <c r="G1006" s="113"/>
      <c r="H1006" s="75"/>
      <c r="I1006" s="282"/>
      <c r="J1006" s="125"/>
      <c r="K1006" s="113"/>
      <c r="L1006" s="75"/>
      <c r="M1006" s="282"/>
      <c r="N1006" s="125"/>
      <c r="O1006" s="113"/>
      <c r="P1006" s="75"/>
      <c r="Q1006" s="282"/>
      <c r="R1006" s="125"/>
      <c r="S1006" s="113"/>
      <c r="T1006" s="75"/>
      <c r="U1006" s="282"/>
      <c r="V1006" s="125"/>
      <c r="W1006" s="113"/>
      <c r="X1006" s="75"/>
      <c r="Y1006" s="282"/>
      <c r="Z1006" s="66"/>
      <c r="AA1006" s="294"/>
      <c r="AB1006" s="294"/>
      <c r="AC1006" s="282"/>
      <c r="AD1006" s="66"/>
      <c r="AE1006" s="223"/>
      <c r="AF1006" s="223"/>
      <c r="AG1006" s="282"/>
      <c r="AH1006" s="292"/>
      <c r="AI1006" s="292"/>
      <c r="AJ1006" s="292"/>
      <c r="AK1006" s="282"/>
      <c r="AL1006" s="66"/>
      <c r="AM1006" s="66"/>
      <c r="AN1006" s="66"/>
      <c r="AO1006" s="282"/>
      <c r="AP1006" s="66"/>
      <c r="AQ1006" s="66"/>
      <c r="AR1006" s="66"/>
      <c r="AS1006" s="66"/>
      <c r="AT1006" s="66"/>
    </row>
    <row r="1007">
      <c r="A1007" s="282"/>
      <c r="B1007" s="125"/>
      <c r="C1007" s="113"/>
      <c r="D1007" s="75"/>
      <c r="E1007" s="282"/>
      <c r="F1007" s="125"/>
      <c r="G1007" s="113"/>
      <c r="H1007" s="75"/>
      <c r="I1007" s="282"/>
      <c r="J1007" s="125"/>
      <c r="K1007" s="113"/>
      <c r="L1007" s="75"/>
      <c r="M1007" s="282"/>
      <c r="N1007" s="125"/>
      <c r="O1007" s="113"/>
      <c r="P1007" s="75"/>
      <c r="Q1007" s="282"/>
      <c r="R1007" s="125"/>
      <c r="S1007" s="113"/>
      <c r="T1007" s="75"/>
      <c r="U1007" s="282"/>
      <c r="V1007" s="125"/>
      <c r="W1007" s="113"/>
      <c r="X1007" s="75"/>
      <c r="Y1007" s="282"/>
      <c r="Z1007" s="66"/>
      <c r="AA1007" s="294"/>
      <c r="AB1007" s="294"/>
      <c r="AC1007" s="282"/>
      <c r="AD1007" s="66"/>
      <c r="AE1007" s="223"/>
      <c r="AF1007" s="223"/>
      <c r="AG1007" s="282"/>
      <c r="AH1007" s="292"/>
      <c r="AI1007" s="292"/>
      <c r="AJ1007" s="292"/>
      <c r="AK1007" s="282"/>
      <c r="AL1007" s="66"/>
      <c r="AM1007" s="66"/>
      <c r="AN1007" s="66"/>
      <c r="AO1007" s="282"/>
      <c r="AP1007" s="66"/>
      <c r="AQ1007" s="66"/>
      <c r="AR1007" s="66"/>
      <c r="AS1007" s="66"/>
      <c r="AT1007" s="66"/>
    </row>
    <row r="1008">
      <c r="A1008" s="282"/>
      <c r="B1008" s="125"/>
      <c r="C1008" s="113"/>
      <c r="D1008" s="75"/>
      <c r="E1008" s="282"/>
      <c r="F1008" s="125"/>
      <c r="G1008" s="113"/>
      <c r="H1008" s="75"/>
      <c r="I1008" s="282"/>
      <c r="J1008" s="125"/>
      <c r="K1008" s="113"/>
      <c r="L1008" s="75"/>
      <c r="M1008" s="282"/>
      <c r="N1008" s="125"/>
      <c r="O1008" s="113"/>
      <c r="P1008" s="75"/>
      <c r="Q1008" s="282"/>
      <c r="R1008" s="125"/>
      <c r="S1008" s="113"/>
      <c r="T1008" s="75"/>
      <c r="U1008" s="282"/>
      <c r="V1008" s="125"/>
      <c r="W1008" s="113"/>
      <c r="X1008" s="75"/>
      <c r="Y1008" s="282"/>
      <c r="Z1008" s="66"/>
      <c r="AA1008" s="294"/>
      <c r="AB1008" s="294"/>
      <c r="AC1008" s="282"/>
      <c r="AD1008" s="66"/>
      <c r="AE1008" s="223"/>
      <c r="AF1008" s="223"/>
      <c r="AG1008" s="282"/>
      <c r="AH1008" s="292"/>
      <c r="AI1008" s="292"/>
      <c r="AJ1008" s="292"/>
      <c r="AK1008" s="282"/>
      <c r="AL1008" s="66"/>
      <c r="AM1008" s="66"/>
      <c r="AN1008" s="66"/>
      <c r="AO1008" s="282"/>
      <c r="AP1008" s="66"/>
      <c r="AQ1008" s="66"/>
      <c r="AR1008" s="66"/>
      <c r="AS1008" s="66"/>
      <c r="AT1008" s="66"/>
    </row>
    <row r="1009">
      <c r="A1009" s="282"/>
      <c r="B1009" s="125"/>
      <c r="C1009" s="113"/>
      <c r="D1009" s="75"/>
      <c r="E1009" s="282"/>
      <c r="F1009" s="125"/>
      <c r="G1009" s="113"/>
      <c r="H1009" s="75"/>
      <c r="I1009" s="282"/>
      <c r="J1009" s="125"/>
      <c r="K1009" s="113"/>
      <c r="L1009" s="75"/>
      <c r="M1009" s="282"/>
      <c r="N1009" s="125"/>
      <c r="O1009" s="113"/>
      <c r="P1009" s="75"/>
      <c r="Q1009" s="282"/>
      <c r="R1009" s="125"/>
      <c r="S1009" s="113"/>
      <c r="T1009" s="75"/>
      <c r="U1009" s="282"/>
      <c r="V1009" s="125"/>
      <c r="W1009" s="113"/>
      <c r="X1009" s="75"/>
      <c r="Y1009" s="282"/>
      <c r="Z1009" s="66"/>
      <c r="AA1009" s="294"/>
      <c r="AB1009" s="294"/>
      <c r="AC1009" s="282"/>
      <c r="AD1009" s="66"/>
      <c r="AE1009" s="223"/>
      <c r="AF1009" s="223"/>
      <c r="AG1009" s="282"/>
      <c r="AH1009" s="292"/>
      <c r="AI1009" s="292"/>
      <c r="AJ1009" s="292"/>
      <c r="AK1009" s="282"/>
      <c r="AL1009" s="66"/>
      <c r="AM1009" s="66"/>
      <c r="AN1009" s="66"/>
      <c r="AO1009" s="282"/>
      <c r="AP1009" s="66"/>
      <c r="AQ1009" s="66"/>
      <c r="AR1009" s="66"/>
      <c r="AS1009" s="66"/>
      <c r="AT1009" s="66"/>
    </row>
    <row r="1010">
      <c r="A1010" s="282"/>
      <c r="B1010" s="125"/>
      <c r="C1010" s="113"/>
      <c r="D1010" s="75"/>
      <c r="E1010" s="282"/>
      <c r="F1010" s="125"/>
      <c r="G1010" s="113"/>
      <c r="H1010" s="75"/>
      <c r="I1010" s="282"/>
      <c r="J1010" s="125"/>
      <c r="K1010" s="113"/>
      <c r="L1010" s="75"/>
      <c r="M1010" s="282"/>
      <c r="N1010" s="125"/>
      <c r="O1010" s="113"/>
      <c r="P1010" s="75"/>
      <c r="Q1010" s="282"/>
      <c r="R1010" s="125"/>
      <c r="S1010" s="113"/>
      <c r="T1010" s="75"/>
      <c r="U1010" s="282"/>
      <c r="V1010" s="125"/>
      <c r="W1010" s="113"/>
      <c r="X1010" s="75"/>
      <c r="Y1010" s="282"/>
      <c r="Z1010" s="66"/>
      <c r="AA1010" s="294"/>
      <c r="AB1010" s="294"/>
      <c r="AC1010" s="282"/>
      <c r="AD1010" s="66"/>
      <c r="AE1010" s="223"/>
      <c r="AF1010" s="223"/>
      <c r="AG1010" s="282"/>
      <c r="AH1010" s="292"/>
      <c r="AI1010" s="292"/>
      <c r="AJ1010" s="292"/>
      <c r="AK1010" s="282"/>
      <c r="AL1010" s="66"/>
      <c r="AM1010" s="66"/>
      <c r="AN1010" s="66"/>
      <c r="AO1010" s="282"/>
      <c r="AP1010" s="66"/>
      <c r="AQ1010" s="66"/>
      <c r="AR1010" s="66"/>
      <c r="AS1010" s="66"/>
      <c r="AT1010" s="66"/>
    </row>
    <row r="1011">
      <c r="A1011" s="282"/>
      <c r="B1011" s="125"/>
      <c r="C1011" s="113"/>
      <c r="D1011" s="75"/>
      <c r="E1011" s="282"/>
      <c r="F1011" s="125"/>
      <c r="G1011" s="113"/>
      <c r="H1011" s="75"/>
      <c r="I1011" s="282"/>
      <c r="J1011" s="125"/>
      <c r="K1011" s="113"/>
      <c r="L1011" s="75"/>
      <c r="M1011" s="282"/>
      <c r="N1011" s="125"/>
      <c r="O1011" s="113"/>
      <c r="P1011" s="75"/>
      <c r="Q1011" s="282"/>
      <c r="R1011" s="125"/>
      <c r="S1011" s="113"/>
      <c r="T1011" s="75"/>
      <c r="U1011" s="282"/>
      <c r="V1011" s="125"/>
      <c r="W1011" s="113"/>
      <c r="X1011" s="75"/>
      <c r="Y1011" s="282"/>
      <c r="Z1011" s="66"/>
      <c r="AA1011" s="294"/>
      <c r="AB1011" s="294"/>
      <c r="AC1011" s="282"/>
      <c r="AD1011" s="66"/>
      <c r="AE1011" s="223"/>
      <c r="AF1011" s="223"/>
      <c r="AG1011" s="282"/>
      <c r="AH1011" s="292"/>
      <c r="AI1011" s="292"/>
      <c r="AJ1011" s="292"/>
      <c r="AK1011" s="282"/>
      <c r="AL1011" s="66"/>
      <c r="AM1011" s="66"/>
      <c r="AN1011" s="66"/>
      <c r="AO1011" s="282"/>
      <c r="AP1011" s="66"/>
      <c r="AQ1011" s="66"/>
      <c r="AR1011" s="66"/>
      <c r="AS1011" s="66"/>
      <c r="AT1011" s="66"/>
    </row>
    <row r="1012">
      <c r="A1012" s="282"/>
      <c r="B1012" s="125"/>
      <c r="C1012" s="113"/>
      <c r="D1012" s="75"/>
      <c r="E1012" s="282"/>
      <c r="F1012" s="125"/>
      <c r="G1012" s="113"/>
      <c r="H1012" s="75"/>
      <c r="I1012" s="282"/>
      <c r="J1012" s="125"/>
      <c r="K1012" s="113"/>
      <c r="L1012" s="75"/>
      <c r="M1012" s="282"/>
      <c r="N1012" s="125"/>
      <c r="O1012" s="113"/>
      <c r="P1012" s="75"/>
      <c r="Q1012" s="282"/>
      <c r="R1012" s="125"/>
      <c r="S1012" s="113"/>
      <c r="T1012" s="75"/>
      <c r="U1012" s="282"/>
      <c r="V1012" s="125"/>
      <c r="W1012" s="113"/>
      <c r="X1012" s="75"/>
      <c r="Y1012" s="282"/>
      <c r="Z1012" s="66"/>
      <c r="AA1012" s="294"/>
      <c r="AB1012" s="294"/>
      <c r="AC1012" s="282"/>
      <c r="AD1012" s="66"/>
      <c r="AE1012" s="223"/>
      <c r="AF1012" s="223"/>
      <c r="AG1012" s="282"/>
      <c r="AH1012" s="292"/>
      <c r="AI1012" s="292"/>
      <c r="AJ1012" s="292"/>
      <c r="AK1012" s="282"/>
      <c r="AL1012" s="66"/>
      <c r="AM1012" s="66"/>
      <c r="AN1012" s="66"/>
      <c r="AO1012" s="282"/>
      <c r="AP1012" s="66"/>
      <c r="AQ1012" s="66"/>
      <c r="AR1012" s="66"/>
      <c r="AS1012" s="66"/>
      <c r="AT1012" s="66"/>
    </row>
    <row r="1013">
      <c r="A1013" s="282"/>
      <c r="B1013" s="125"/>
      <c r="C1013" s="113"/>
      <c r="D1013" s="75"/>
      <c r="E1013" s="282"/>
      <c r="F1013" s="125"/>
      <c r="G1013" s="113"/>
      <c r="H1013" s="75"/>
      <c r="I1013" s="282"/>
      <c r="J1013" s="125"/>
      <c r="K1013" s="113"/>
      <c r="L1013" s="75"/>
      <c r="M1013" s="282"/>
      <c r="N1013" s="125"/>
      <c r="O1013" s="113"/>
      <c r="P1013" s="75"/>
      <c r="Q1013" s="282"/>
      <c r="R1013" s="125"/>
      <c r="S1013" s="113"/>
      <c r="T1013" s="75"/>
      <c r="U1013" s="282"/>
      <c r="V1013" s="125"/>
      <c r="W1013" s="113"/>
      <c r="X1013" s="75"/>
      <c r="Y1013" s="282"/>
      <c r="Z1013" s="66"/>
      <c r="AA1013" s="294"/>
      <c r="AB1013" s="294"/>
      <c r="AC1013" s="282"/>
      <c r="AD1013" s="66"/>
      <c r="AE1013" s="223"/>
      <c r="AF1013" s="223"/>
      <c r="AG1013" s="282"/>
      <c r="AH1013" s="292"/>
      <c r="AI1013" s="292"/>
      <c r="AJ1013" s="292"/>
      <c r="AK1013" s="282"/>
      <c r="AL1013" s="66"/>
      <c r="AM1013" s="66"/>
      <c r="AN1013" s="66"/>
      <c r="AO1013" s="282"/>
      <c r="AP1013" s="66"/>
      <c r="AQ1013" s="66"/>
      <c r="AR1013" s="66"/>
      <c r="AS1013" s="66"/>
      <c r="AT1013" s="66"/>
    </row>
    <row r="1014">
      <c r="A1014" s="282"/>
      <c r="B1014" s="125"/>
      <c r="C1014" s="113"/>
      <c r="D1014" s="75"/>
      <c r="E1014" s="282"/>
      <c r="F1014" s="125"/>
      <c r="G1014" s="113"/>
      <c r="H1014" s="75"/>
      <c r="I1014" s="282"/>
      <c r="J1014" s="125"/>
      <c r="K1014" s="113"/>
      <c r="L1014" s="75"/>
      <c r="M1014" s="282"/>
      <c r="N1014" s="125"/>
      <c r="O1014" s="113"/>
      <c r="P1014" s="75"/>
      <c r="Q1014" s="282"/>
      <c r="R1014" s="125"/>
      <c r="S1014" s="113"/>
      <c r="T1014" s="75"/>
      <c r="U1014" s="282"/>
      <c r="V1014" s="125"/>
      <c r="W1014" s="113"/>
      <c r="X1014" s="75"/>
      <c r="Y1014" s="282"/>
      <c r="Z1014" s="66"/>
      <c r="AA1014" s="294"/>
      <c r="AB1014" s="294"/>
      <c r="AC1014" s="282"/>
      <c r="AD1014" s="66"/>
      <c r="AE1014" s="223"/>
      <c r="AF1014" s="223"/>
      <c r="AG1014" s="282"/>
      <c r="AH1014" s="292"/>
      <c r="AI1014" s="292"/>
      <c r="AJ1014" s="292"/>
      <c r="AK1014" s="282"/>
      <c r="AL1014" s="66"/>
      <c r="AM1014" s="66"/>
      <c r="AN1014" s="66"/>
      <c r="AO1014" s="282"/>
      <c r="AP1014" s="66"/>
      <c r="AQ1014" s="66"/>
      <c r="AR1014" s="66"/>
      <c r="AS1014" s="66"/>
      <c r="AT1014" s="66"/>
    </row>
    <row r="1015">
      <c r="A1015" s="282"/>
      <c r="B1015" s="125"/>
      <c r="C1015" s="113"/>
      <c r="D1015" s="75"/>
      <c r="E1015" s="282"/>
      <c r="F1015" s="125"/>
      <c r="G1015" s="113"/>
      <c r="H1015" s="75"/>
      <c r="I1015" s="282"/>
      <c r="J1015" s="125"/>
      <c r="K1015" s="113"/>
      <c r="L1015" s="75"/>
      <c r="M1015" s="282"/>
      <c r="N1015" s="125"/>
      <c r="O1015" s="113"/>
      <c r="P1015" s="75"/>
      <c r="Q1015" s="282"/>
      <c r="R1015" s="125"/>
      <c r="S1015" s="113"/>
      <c r="T1015" s="75"/>
      <c r="U1015" s="282"/>
      <c r="V1015" s="125"/>
      <c r="W1015" s="113"/>
      <c r="X1015" s="75"/>
      <c r="Y1015" s="282"/>
      <c r="Z1015" s="66"/>
      <c r="AA1015" s="294"/>
      <c r="AB1015" s="294"/>
      <c r="AC1015" s="282"/>
      <c r="AD1015" s="66"/>
      <c r="AE1015" s="223"/>
      <c r="AF1015" s="223"/>
      <c r="AG1015" s="282"/>
      <c r="AH1015" s="292"/>
      <c r="AI1015" s="292"/>
      <c r="AJ1015" s="292"/>
      <c r="AK1015" s="282"/>
      <c r="AL1015" s="66"/>
      <c r="AM1015" s="66"/>
      <c r="AN1015" s="66"/>
      <c r="AO1015" s="282"/>
      <c r="AP1015" s="66"/>
      <c r="AQ1015" s="66"/>
      <c r="AR1015" s="66"/>
      <c r="AS1015" s="66"/>
      <c r="AT1015" s="66"/>
    </row>
    <row r="1016">
      <c r="A1016" s="282"/>
      <c r="B1016" s="125"/>
      <c r="C1016" s="113"/>
      <c r="D1016" s="75"/>
      <c r="E1016" s="282"/>
      <c r="F1016" s="125"/>
      <c r="G1016" s="113"/>
      <c r="H1016" s="75"/>
      <c r="I1016" s="282"/>
      <c r="J1016" s="125"/>
      <c r="K1016" s="113"/>
      <c r="L1016" s="75"/>
      <c r="M1016" s="282"/>
      <c r="N1016" s="125"/>
      <c r="O1016" s="113"/>
      <c r="P1016" s="75"/>
      <c r="Q1016" s="282"/>
      <c r="R1016" s="66"/>
      <c r="S1016" s="66"/>
      <c r="T1016" s="66"/>
      <c r="U1016" s="282"/>
      <c r="V1016" s="66"/>
      <c r="W1016" s="66"/>
      <c r="X1016" s="66"/>
      <c r="Y1016" s="282"/>
      <c r="Z1016" s="66"/>
      <c r="AA1016" s="294"/>
      <c r="AB1016" s="294"/>
      <c r="AC1016" s="282"/>
      <c r="AD1016" s="66"/>
      <c r="AE1016" s="223"/>
      <c r="AF1016" s="223"/>
      <c r="AG1016" s="282"/>
      <c r="AH1016" s="292"/>
      <c r="AI1016" s="292"/>
      <c r="AJ1016" s="292"/>
      <c r="AK1016" s="282"/>
      <c r="AL1016" s="66"/>
      <c r="AM1016" s="66"/>
      <c r="AN1016" s="66"/>
      <c r="AO1016" s="282"/>
      <c r="AP1016" s="66"/>
      <c r="AQ1016" s="66"/>
      <c r="AR1016" s="66"/>
      <c r="AS1016" s="66"/>
      <c r="AT1016" s="66"/>
    </row>
    <row r="1017">
      <c r="A1017" s="282"/>
      <c r="B1017" s="125"/>
      <c r="C1017" s="113"/>
      <c r="D1017" s="75"/>
      <c r="E1017" s="282"/>
      <c r="F1017" s="125"/>
      <c r="G1017" s="113"/>
      <c r="H1017" s="75"/>
      <c r="I1017" s="282"/>
      <c r="J1017" s="125"/>
      <c r="K1017" s="113"/>
      <c r="L1017" s="75"/>
      <c r="M1017" s="282"/>
      <c r="N1017" s="125"/>
      <c r="O1017" s="113"/>
      <c r="P1017" s="75"/>
      <c r="Q1017" s="282"/>
      <c r="R1017" s="66"/>
      <c r="S1017" s="66"/>
      <c r="T1017" s="66"/>
      <c r="U1017" s="282"/>
      <c r="V1017" s="66"/>
      <c r="W1017" s="66"/>
      <c r="X1017" s="66"/>
      <c r="Y1017" s="282"/>
      <c r="Z1017" s="66"/>
      <c r="AA1017" s="294"/>
      <c r="AB1017" s="294"/>
      <c r="AC1017" s="282"/>
      <c r="AD1017" s="66"/>
      <c r="AE1017" s="223"/>
      <c r="AF1017" s="223"/>
      <c r="AG1017" s="282"/>
      <c r="AH1017" s="292"/>
      <c r="AI1017" s="292"/>
      <c r="AJ1017" s="292"/>
      <c r="AK1017" s="282"/>
      <c r="AL1017" s="66"/>
      <c r="AM1017" s="66"/>
      <c r="AN1017" s="66"/>
      <c r="AO1017" s="282"/>
      <c r="AP1017" s="66"/>
      <c r="AQ1017" s="66"/>
      <c r="AR1017" s="66"/>
      <c r="AS1017" s="66"/>
      <c r="AT1017" s="66"/>
    </row>
    <row r="1018">
      <c r="A1018" s="282"/>
      <c r="B1018" s="125"/>
      <c r="C1018" s="113"/>
      <c r="D1018" s="75"/>
      <c r="E1018" s="282"/>
      <c r="F1018" s="125"/>
      <c r="G1018" s="113"/>
      <c r="H1018" s="75"/>
      <c r="I1018" s="282"/>
      <c r="J1018" s="125"/>
      <c r="K1018" s="113"/>
      <c r="L1018" s="75"/>
      <c r="M1018" s="282"/>
      <c r="N1018" s="125"/>
      <c r="O1018" s="113"/>
      <c r="P1018" s="75"/>
      <c r="Q1018" s="282"/>
      <c r="R1018" s="66"/>
      <c r="S1018" s="66"/>
      <c r="T1018" s="66"/>
      <c r="U1018" s="282"/>
      <c r="V1018" s="66"/>
      <c r="W1018" s="66"/>
      <c r="X1018" s="66"/>
      <c r="Y1018" s="282"/>
      <c r="Z1018" s="66"/>
      <c r="AA1018" s="294"/>
      <c r="AB1018" s="294"/>
      <c r="AC1018" s="282"/>
      <c r="AD1018" s="66"/>
      <c r="AE1018" s="223"/>
      <c r="AF1018" s="223"/>
      <c r="AG1018" s="282"/>
      <c r="AH1018" s="292"/>
      <c r="AI1018" s="292"/>
      <c r="AJ1018" s="292"/>
      <c r="AK1018" s="282"/>
      <c r="AL1018" s="66"/>
      <c r="AM1018" s="66"/>
      <c r="AN1018" s="66"/>
      <c r="AO1018" s="282"/>
      <c r="AP1018" s="66"/>
      <c r="AQ1018" s="66"/>
      <c r="AR1018" s="66"/>
      <c r="AS1018" s="66"/>
      <c r="AT1018" s="66"/>
    </row>
    <row r="1019">
      <c r="A1019" s="282"/>
      <c r="B1019" s="125"/>
      <c r="C1019" s="113"/>
      <c r="D1019" s="75"/>
      <c r="E1019" s="282"/>
      <c r="F1019" s="125"/>
      <c r="G1019" s="113"/>
      <c r="H1019" s="75"/>
      <c r="I1019" s="282"/>
      <c r="J1019" s="125"/>
      <c r="K1019" s="113"/>
      <c r="L1019" s="75"/>
      <c r="M1019" s="282"/>
      <c r="N1019" s="125"/>
      <c r="O1019" s="113"/>
      <c r="P1019" s="75"/>
      <c r="Q1019" s="282"/>
      <c r="R1019" s="66"/>
      <c r="S1019" s="66"/>
      <c r="T1019" s="66"/>
      <c r="U1019" s="282"/>
      <c r="V1019" s="66"/>
      <c r="W1019" s="66"/>
      <c r="X1019" s="66"/>
      <c r="Y1019" s="282"/>
      <c r="Z1019" s="66"/>
      <c r="AA1019" s="294"/>
      <c r="AB1019" s="294"/>
      <c r="AC1019" s="282"/>
      <c r="AD1019" s="66"/>
      <c r="AE1019" s="223"/>
      <c r="AF1019" s="223"/>
      <c r="AG1019" s="282"/>
      <c r="AH1019" s="248"/>
      <c r="AI1019" s="152"/>
      <c r="AJ1019" s="188"/>
      <c r="AK1019" s="282"/>
      <c r="AL1019" s="66"/>
      <c r="AM1019" s="66"/>
      <c r="AN1019" s="66"/>
      <c r="AO1019" s="282"/>
      <c r="AP1019" s="66"/>
      <c r="AQ1019" s="66"/>
      <c r="AR1019" s="66"/>
      <c r="AS1019" s="66"/>
      <c r="AT1019" s="66"/>
    </row>
  </sheetData>
  <mergeCells count="187">
    <mergeCell ref="AD61:AF61"/>
    <mergeCell ref="AH61:AJ61"/>
    <mergeCell ref="AL61:AN61"/>
    <mergeCell ref="AP61:AR61"/>
    <mergeCell ref="B61:D61"/>
    <mergeCell ref="F61:H61"/>
    <mergeCell ref="J61:L61"/>
    <mergeCell ref="N61:P61"/>
    <mergeCell ref="R61:T61"/>
    <mergeCell ref="V61:X61"/>
    <mergeCell ref="Z61:AB61"/>
    <mergeCell ref="AD63:AF63"/>
    <mergeCell ref="AH63:AJ63"/>
    <mergeCell ref="AL63:AN63"/>
    <mergeCell ref="AP63:AR63"/>
    <mergeCell ref="B63:D63"/>
    <mergeCell ref="F63:H63"/>
    <mergeCell ref="J63:L63"/>
    <mergeCell ref="N63:P63"/>
    <mergeCell ref="R63:T63"/>
    <mergeCell ref="V63:X63"/>
    <mergeCell ref="Z63:AB63"/>
    <mergeCell ref="AD69:AF69"/>
    <mergeCell ref="AH69:AJ69"/>
    <mergeCell ref="AL69:AN69"/>
    <mergeCell ref="AP69:AR69"/>
    <mergeCell ref="B69:D69"/>
    <mergeCell ref="F69:H69"/>
    <mergeCell ref="J69:L69"/>
    <mergeCell ref="N69:P69"/>
    <mergeCell ref="R69:T69"/>
    <mergeCell ref="V69:X69"/>
    <mergeCell ref="Z69:AB69"/>
    <mergeCell ref="AD71:AF71"/>
    <mergeCell ref="AH71:AJ71"/>
    <mergeCell ref="AL71:AN71"/>
    <mergeCell ref="AP71:AR71"/>
    <mergeCell ref="B71:D71"/>
    <mergeCell ref="F71:H71"/>
    <mergeCell ref="J71:L71"/>
    <mergeCell ref="N71:P71"/>
    <mergeCell ref="R71:T71"/>
    <mergeCell ref="V71:X71"/>
    <mergeCell ref="Z71:AB71"/>
    <mergeCell ref="AD76:AF76"/>
    <mergeCell ref="AH76:AJ76"/>
    <mergeCell ref="AL76:AN76"/>
    <mergeCell ref="AP76:AR76"/>
    <mergeCell ref="B76:D76"/>
    <mergeCell ref="F76:H76"/>
    <mergeCell ref="J76:L76"/>
    <mergeCell ref="N76:P76"/>
    <mergeCell ref="R76:T76"/>
    <mergeCell ref="V76:X76"/>
    <mergeCell ref="Z76:AB76"/>
    <mergeCell ref="AD80:AF80"/>
    <mergeCell ref="AH80:AJ80"/>
    <mergeCell ref="AL80:AN80"/>
    <mergeCell ref="AP80:AR80"/>
    <mergeCell ref="B80:D80"/>
    <mergeCell ref="F80:H80"/>
    <mergeCell ref="J80:L80"/>
    <mergeCell ref="N80:P80"/>
    <mergeCell ref="R80:T80"/>
    <mergeCell ref="V80:X80"/>
    <mergeCell ref="Z80:AB80"/>
    <mergeCell ref="AD2:AF2"/>
    <mergeCell ref="AH2:AJ2"/>
    <mergeCell ref="AL2:AN2"/>
    <mergeCell ref="AP2:AR2"/>
    <mergeCell ref="B2:D2"/>
    <mergeCell ref="F2:H2"/>
    <mergeCell ref="J2:L2"/>
    <mergeCell ref="N2:P2"/>
    <mergeCell ref="R2:T2"/>
    <mergeCell ref="V2:X2"/>
    <mergeCell ref="Z2:AB2"/>
    <mergeCell ref="AD14:AF14"/>
    <mergeCell ref="AH14:AJ14"/>
    <mergeCell ref="AL14:AN14"/>
    <mergeCell ref="AP14:AR14"/>
    <mergeCell ref="B14:D14"/>
    <mergeCell ref="F14:H14"/>
    <mergeCell ref="J14:L14"/>
    <mergeCell ref="N14:P14"/>
    <mergeCell ref="R14:T14"/>
    <mergeCell ref="V14:X14"/>
    <mergeCell ref="Z14:AB14"/>
    <mergeCell ref="AD21:AF21"/>
    <mergeCell ref="AH21:AJ21"/>
    <mergeCell ref="AL21:AN21"/>
    <mergeCell ref="AP21:AR21"/>
    <mergeCell ref="B21:D21"/>
    <mergeCell ref="F21:H21"/>
    <mergeCell ref="J21:L21"/>
    <mergeCell ref="N21:P21"/>
    <mergeCell ref="R21:T21"/>
    <mergeCell ref="V21:X21"/>
    <mergeCell ref="Z21:AB21"/>
    <mergeCell ref="AD83:AF83"/>
    <mergeCell ref="AH83:AJ83"/>
    <mergeCell ref="AL83:AN83"/>
    <mergeCell ref="AP83:AR83"/>
    <mergeCell ref="B83:D83"/>
    <mergeCell ref="F83:H83"/>
    <mergeCell ref="J83:L83"/>
    <mergeCell ref="N83:P83"/>
    <mergeCell ref="R83:T83"/>
    <mergeCell ref="V83:X83"/>
    <mergeCell ref="Z83:AB83"/>
    <mergeCell ref="AD24:AF24"/>
    <mergeCell ref="AH24:AJ24"/>
    <mergeCell ref="AL24:AN24"/>
    <mergeCell ref="AP24:AR24"/>
    <mergeCell ref="B24:D24"/>
    <mergeCell ref="F24:H24"/>
    <mergeCell ref="J24:L24"/>
    <mergeCell ref="N24:P24"/>
    <mergeCell ref="R24:T24"/>
    <mergeCell ref="V24:X24"/>
    <mergeCell ref="Z24:AB24"/>
    <mergeCell ref="AD26:AF26"/>
    <mergeCell ref="AH26:AJ26"/>
    <mergeCell ref="AL26:AN26"/>
    <mergeCell ref="AP26:AR26"/>
    <mergeCell ref="B26:D26"/>
    <mergeCell ref="F26:H26"/>
    <mergeCell ref="J26:L26"/>
    <mergeCell ref="N26:P26"/>
    <mergeCell ref="R26:T26"/>
    <mergeCell ref="V26:X26"/>
    <mergeCell ref="Z26:AB26"/>
    <mergeCell ref="AD29:AF29"/>
    <mergeCell ref="AH29:AJ29"/>
    <mergeCell ref="AL29:AN29"/>
    <mergeCell ref="AP29:AR29"/>
    <mergeCell ref="B29:D29"/>
    <mergeCell ref="F29:H29"/>
    <mergeCell ref="J29:L29"/>
    <mergeCell ref="N29:P29"/>
    <mergeCell ref="R29:T29"/>
    <mergeCell ref="V29:X29"/>
    <mergeCell ref="Z29:AB29"/>
    <mergeCell ref="AD32:AF32"/>
    <mergeCell ref="AH32:AJ32"/>
    <mergeCell ref="AL32:AN32"/>
    <mergeCell ref="AP32:AR32"/>
    <mergeCell ref="B32:D32"/>
    <mergeCell ref="F32:H32"/>
    <mergeCell ref="J32:L32"/>
    <mergeCell ref="N32:P32"/>
    <mergeCell ref="R32:T32"/>
    <mergeCell ref="V32:X32"/>
    <mergeCell ref="Z32:AB32"/>
    <mergeCell ref="AD38:AF38"/>
    <mergeCell ref="AH38:AJ38"/>
    <mergeCell ref="AL38:AN38"/>
    <mergeCell ref="AP38:AR38"/>
    <mergeCell ref="B38:D38"/>
    <mergeCell ref="F38:H38"/>
    <mergeCell ref="J38:L38"/>
    <mergeCell ref="N38:P38"/>
    <mergeCell ref="R38:T38"/>
    <mergeCell ref="V38:X38"/>
    <mergeCell ref="Z38:AB38"/>
    <mergeCell ref="AD43:AF43"/>
    <mergeCell ref="AH43:AJ43"/>
    <mergeCell ref="AL43:AN43"/>
    <mergeCell ref="AP43:AR43"/>
    <mergeCell ref="B43:D43"/>
    <mergeCell ref="F43:H43"/>
    <mergeCell ref="J43:L43"/>
    <mergeCell ref="N43:P43"/>
    <mergeCell ref="R43:T43"/>
    <mergeCell ref="V43:X43"/>
    <mergeCell ref="Z43:AB43"/>
    <mergeCell ref="AD45:AF45"/>
    <mergeCell ref="AH45:AJ45"/>
    <mergeCell ref="AL45:AN45"/>
    <mergeCell ref="AP45:AR45"/>
    <mergeCell ref="B45:D45"/>
    <mergeCell ref="F45:H45"/>
    <mergeCell ref="J45:L45"/>
    <mergeCell ref="N45:P45"/>
    <mergeCell ref="R45:T45"/>
    <mergeCell ref="V45:X45"/>
    <mergeCell ref="Z45:AB4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95" t="s">
        <v>34</v>
      </c>
      <c r="E1" s="296"/>
      <c r="F1" s="295" t="s">
        <v>5798</v>
      </c>
      <c r="I1" s="296"/>
      <c r="J1" s="295" t="s">
        <v>5799</v>
      </c>
      <c r="M1" s="296"/>
      <c r="N1" s="295" t="s">
        <v>5800</v>
      </c>
      <c r="R1" s="296"/>
      <c r="S1" s="297"/>
      <c r="T1" s="298"/>
      <c r="U1" s="298"/>
      <c r="V1" s="299"/>
      <c r="W1" s="27"/>
      <c r="X1" s="27"/>
      <c r="Y1" s="27"/>
      <c r="Z1" s="27"/>
      <c r="AA1" s="27"/>
      <c r="AB1" s="27"/>
    </row>
    <row r="2" ht="26.25" customHeight="1">
      <c r="A2" s="300"/>
      <c r="B2" s="300"/>
      <c r="C2" s="300"/>
      <c r="D2" s="300"/>
      <c r="E2" s="301"/>
      <c r="F2" s="300"/>
      <c r="G2" s="300"/>
      <c r="H2" s="300"/>
      <c r="I2" s="301"/>
      <c r="J2" s="300"/>
      <c r="K2" s="300"/>
      <c r="L2" s="300"/>
      <c r="M2" s="301"/>
      <c r="N2" s="300"/>
      <c r="O2" s="300"/>
      <c r="P2" s="300"/>
      <c r="Q2" s="300"/>
      <c r="R2" s="301"/>
      <c r="S2" s="302"/>
      <c r="T2" s="300"/>
      <c r="U2" s="300"/>
      <c r="V2" s="301"/>
      <c r="W2" s="27"/>
      <c r="X2" s="27"/>
      <c r="Y2" s="27"/>
      <c r="Z2" s="27"/>
      <c r="AA2" s="27"/>
      <c r="AB2" s="27"/>
    </row>
    <row r="3" ht="22.5" customHeight="1">
      <c r="A3" s="303" t="s">
        <v>5801</v>
      </c>
      <c r="B3" s="298"/>
      <c r="C3" s="298"/>
      <c r="D3" s="298"/>
      <c r="E3" s="299"/>
      <c r="F3" s="303"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298"/>
      <c r="H3" s="298"/>
      <c r="I3" s="299"/>
      <c r="J3" s="303" t="s">
        <v>5802</v>
      </c>
      <c r="K3" s="298"/>
      <c r="L3" s="298"/>
      <c r="M3" s="299"/>
      <c r="N3" s="303" t="s">
        <v>5803</v>
      </c>
      <c r="O3" s="298"/>
      <c r="P3" s="298"/>
      <c r="Q3" s="298"/>
      <c r="R3" s="299"/>
      <c r="S3" s="304"/>
      <c r="T3" s="298"/>
      <c r="U3" s="298"/>
      <c r="V3" s="299"/>
      <c r="W3" s="305"/>
      <c r="X3" s="305"/>
      <c r="Y3" s="305"/>
      <c r="Z3" s="305"/>
      <c r="AA3" s="305"/>
      <c r="AB3" s="305"/>
    </row>
    <row r="4" ht="22.5" customHeight="1">
      <c r="A4" s="302"/>
      <c r="B4" s="300"/>
      <c r="C4" s="300"/>
      <c r="D4" s="300"/>
      <c r="E4" s="301"/>
      <c r="F4" s="302"/>
      <c r="G4" s="300"/>
      <c r="H4" s="300"/>
      <c r="I4" s="301"/>
      <c r="J4" s="302"/>
      <c r="K4" s="300"/>
      <c r="L4" s="300"/>
      <c r="M4" s="301"/>
      <c r="N4" s="302"/>
      <c r="O4" s="300"/>
      <c r="P4" s="300"/>
      <c r="Q4" s="300"/>
      <c r="R4" s="301"/>
      <c r="S4" s="302"/>
      <c r="T4" s="300"/>
      <c r="U4" s="300"/>
      <c r="V4" s="301"/>
      <c r="W4" s="305"/>
      <c r="X4" s="305"/>
      <c r="Y4" s="305"/>
      <c r="Z4" s="305"/>
      <c r="AA4" s="305"/>
      <c r="AB4" s="305"/>
    </row>
    <row r="5">
      <c r="A5" s="306" t="s">
        <v>5804</v>
      </c>
      <c r="B5" s="307"/>
      <c r="C5" s="307"/>
      <c r="D5" s="307"/>
      <c r="E5" s="308"/>
      <c r="F5" s="306" t="str">
        <f>IFERROR(__xludf.DUMMYFUNCTION("GOOGLETRANSLATE(A5,""zh-tw"",""ja"")"),"原生地域")</f>
        <v>原生地域</v>
      </c>
      <c r="G5" s="307"/>
      <c r="H5" s="307"/>
      <c r="I5" s="308"/>
      <c r="J5" s="306" t="s">
        <v>5805</v>
      </c>
      <c r="K5" s="307"/>
      <c r="L5" s="307"/>
      <c r="M5" s="308"/>
      <c r="N5" s="309" t="s">
        <v>5806</v>
      </c>
      <c r="O5" s="307"/>
      <c r="P5" s="307"/>
      <c r="Q5" s="307"/>
      <c r="R5" s="308"/>
      <c r="S5" s="310"/>
      <c r="T5" s="307"/>
      <c r="U5" s="307"/>
      <c r="V5" s="308"/>
      <c r="W5" s="311"/>
      <c r="X5" s="311"/>
      <c r="Y5" s="311"/>
      <c r="Z5" s="311"/>
      <c r="AA5" s="311"/>
      <c r="AB5" s="311"/>
    </row>
    <row r="6" ht="53.25" customHeight="1">
      <c r="A6" s="312" t="s">
        <v>1243</v>
      </c>
      <c r="B6" s="312" t="s">
        <v>1243</v>
      </c>
      <c r="C6" s="312" t="s">
        <v>1243</v>
      </c>
      <c r="D6" s="312" t="s">
        <v>1243</v>
      </c>
      <c r="E6" s="312" t="s">
        <v>5807</v>
      </c>
      <c r="F6" s="313" t="s">
        <v>1243</v>
      </c>
      <c r="G6" s="313" t="s">
        <v>1243</v>
      </c>
      <c r="H6" s="313" t="s">
        <v>5808</v>
      </c>
      <c r="I6" s="313" t="s">
        <v>1243</v>
      </c>
      <c r="J6" s="314" t="s">
        <v>1243</v>
      </c>
      <c r="K6" s="314" t="s">
        <v>1243</v>
      </c>
      <c r="L6" s="314" t="s">
        <v>1243</v>
      </c>
      <c r="M6" s="314" t="s">
        <v>5809</v>
      </c>
      <c r="N6" s="315" t="s">
        <v>1243</v>
      </c>
      <c r="O6" s="315" t="s">
        <v>1243</v>
      </c>
      <c r="P6" s="315" t="s">
        <v>1243</v>
      </c>
      <c r="Q6" s="315" t="s">
        <v>1243</v>
      </c>
      <c r="R6" s="315" t="s">
        <v>5810</v>
      </c>
      <c r="S6" s="316"/>
      <c r="T6" s="317"/>
      <c r="U6" s="317"/>
      <c r="V6" s="318"/>
      <c r="W6" s="319"/>
      <c r="X6" s="319"/>
      <c r="Y6" s="319"/>
      <c r="Z6" s="319"/>
      <c r="AA6" s="319"/>
      <c r="AB6" s="320"/>
    </row>
    <row r="7" ht="75.0" customHeight="1">
      <c r="A7" s="312" t="s">
        <v>1243</v>
      </c>
      <c r="B7" s="312" t="s">
        <v>1243</v>
      </c>
      <c r="C7" s="312" t="s">
        <v>5811</v>
      </c>
      <c r="D7" s="312" t="s">
        <v>5812</v>
      </c>
      <c r="E7" s="321" t="s">
        <v>5813</v>
      </c>
      <c r="F7" s="313" t="str">
        <f>IFERROR(__xludf.DUMMYFUNCTION("GOOGLETRANSLATE(B7,""zh-tw"",""ja"")"),"-")</f>
        <v>-</v>
      </c>
      <c r="G7" s="313" t="s">
        <v>5814</v>
      </c>
      <c r="H7" s="322" t="s">
        <v>5815</v>
      </c>
      <c r="I7" s="313" t="str">
        <f>IFERROR(__xludf.DUMMYFUNCTION("GOOGLETRANSLATE(#REF!,""zh-tw"",""ja"")"),"#REF!")</f>
        <v>#REF!</v>
      </c>
      <c r="J7" s="314" t="str">
        <f>IFERROR(__xludf.DUMMYFUNCTION("GOOGLETRANSLATE(B7,""zh-tw"",""en"")"),"-")</f>
        <v>-</v>
      </c>
      <c r="K7" s="314" t="s">
        <v>5816</v>
      </c>
      <c r="L7" s="314" t="s">
        <v>5817</v>
      </c>
      <c r="M7" s="323" t="s">
        <v>5818</v>
      </c>
      <c r="N7" s="315" t="s">
        <v>1243</v>
      </c>
      <c r="O7" s="315" t="str">
        <f>IFERROR(__xludf.DUMMYFUNCTION("GOOGLETRANSLATE(B7,""zh-tw"",""zh"")"),"-")</f>
        <v>-</v>
      </c>
      <c r="P7" s="315" t="s">
        <v>5819</v>
      </c>
      <c r="Q7" s="324" t="s">
        <v>1243</v>
      </c>
      <c r="R7" s="324" t="s">
        <v>5820</v>
      </c>
      <c r="S7" s="316"/>
      <c r="T7" s="317"/>
      <c r="U7" s="317"/>
      <c r="V7" s="325"/>
      <c r="W7" s="319"/>
      <c r="X7" s="319"/>
      <c r="Y7" s="319"/>
      <c r="Z7" s="319"/>
      <c r="AA7" s="319"/>
      <c r="AB7" s="320"/>
    </row>
    <row r="8">
      <c r="A8" s="312" t="s">
        <v>1243</v>
      </c>
      <c r="B8" s="312" t="s">
        <v>5821</v>
      </c>
      <c r="C8" s="312" t="s">
        <v>5822</v>
      </c>
      <c r="D8" s="312" t="s">
        <v>5823</v>
      </c>
      <c r="E8" s="312" t="s">
        <v>5824</v>
      </c>
      <c r="F8" s="313" t="s">
        <v>5825</v>
      </c>
      <c r="G8" s="313" t="s">
        <v>5826</v>
      </c>
      <c r="H8" s="313" t="s">
        <v>5827</v>
      </c>
      <c r="I8" s="313" t="str">
        <f>IFERROR(__xludf.DUMMYFUNCTION("GOOGLETRANSLATE(#REF!,""zh-tw"",""ja"")"),"#REF!")</f>
        <v>#REF!</v>
      </c>
      <c r="J8" s="314" t="s">
        <v>5828</v>
      </c>
      <c r="K8" s="314" t="s">
        <v>5829</v>
      </c>
      <c r="L8" s="314" t="s">
        <v>5830</v>
      </c>
      <c r="M8" s="314" t="s">
        <v>5830</v>
      </c>
      <c r="N8" s="315" t="s">
        <v>1243</v>
      </c>
      <c r="O8" s="315" t="s">
        <v>5831</v>
      </c>
      <c r="P8" s="315" t="s">
        <v>5832</v>
      </c>
      <c r="Q8" s="315" t="s">
        <v>5833</v>
      </c>
      <c r="R8" s="315" t="s">
        <v>5834</v>
      </c>
      <c r="S8" s="326"/>
      <c r="T8" s="317"/>
      <c r="U8" s="317"/>
      <c r="V8" s="317"/>
      <c r="W8" s="319"/>
      <c r="X8" s="319"/>
      <c r="Y8" s="319"/>
      <c r="Z8" s="319"/>
      <c r="AA8" s="319"/>
      <c r="AB8" s="320"/>
    </row>
    <row r="9">
      <c r="A9" s="312" t="s">
        <v>1243</v>
      </c>
      <c r="B9" s="312" t="s">
        <v>5835</v>
      </c>
      <c r="C9" s="312" t="s">
        <v>5836</v>
      </c>
      <c r="D9" s="312" t="s">
        <v>1243</v>
      </c>
      <c r="E9" s="327" t="s">
        <v>5837</v>
      </c>
      <c r="F9" s="313" t="s">
        <v>5838</v>
      </c>
      <c r="G9" s="313" t="s">
        <v>5839</v>
      </c>
      <c r="H9" s="313" t="s">
        <v>5840</v>
      </c>
      <c r="I9" s="313" t="s">
        <v>1243</v>
      </c>
      <c r="J9" s="314" t="s">
        <v>5841</v>
      </c>
      <c r="K9" s="314" t="s">
        <v>5842</v>
      </c>
      <c r="L9" s="314" t="s">
        <v>1243</v>
      </c>
      <c r="M9" s="314" t="s">
        <v>5843</v>
      </c>
      <c r="N9" s="315" t="s">
        <v>1243</v>
      </c>
      <c r="O9" s="315" t="s">
        <v>5844</v>
      </c>
      <c r="P9" s="315" t="s">
        <v>5845</v>
      </c>
      <c r="Q9" s="315" t="s">
        <v>1243</v>
      </c>
      <c r="R9" s="315" t="s">
        <v>5846</v>
      </c>
      <c r="S9" s="316"/>
      <c r="T9" s="317"/>
      <c r="U9" s="317"/>
      <c r="V9" s="317"/>
      <c r="W9" s="319"/>
      <c r="X9" s="319"/>
      <c r="Y9" s="319"/>
      <c r="Z9" s="319"/>
      <c r="AA9" s="319"/>
      <c r="AB9" s="320"/>
    </row>
    <row r="10" ht="60.0" customHeight="1">
      <c r="A10" s="312" t="s">
        <v>1243</v>
      </c>
      <c r="B10" s="312" t="s">
        <v>5847</v>
      </c>
      <c r="C10" s="328" t="s">
        <v>5848</v>
      </c>
      <c r="D10" s="312" t="s">
        <v>5849</v>
      </c>
      <c r="E10" s="312" t="s">
        <v>5850</v>
      </c>
      <c r="F10" s="313" t="s">
        <v>5851</v>
      </c>
      <c r="G10" s="329" t="s">
        <v>5852</v>
      </c>
      <c r="H10" s="313" t="s">
        <v>5853</v>
      </c>
      <c r="I10" s="313" t="s">
        <v>1243</v>
      </c>
      <c r="J10" s="314" t="s">
        <v>5854</v>
      </c>
      <c r="K10" s="330" t="s">
        <v>5855</v>
      </c>
      <c r="L10" s="314" t="s">
        <v>5856</v>
      </c>
      <c r="M10" s="314" t="s">
        <v>5857</v>
      </c>
      <c r="N10" s="315" t="s">
        <v>1243</v>
      </c>
      <c r="O10" s="315" t="s">
        <v>5858</v>
      </c>
      <c r="P10" s="331" t="s">
        <v>5859</v>
      </c>
      <c r="Q10" s="315" t="s">
        <v>5860</v>
      </c>
      <c r="R10" s="332" t="s">
        <v>5861</v>
      </c>
      <c r="S10" s="316"/>
      <c r="T10" s="317"/>
      <c r="U10" s="317"/>
      <c r="V10" s="317"/>
      <c r="W10" s="333"/>
      <c r="X10" s="333"/>
      <c r="Y10" s="333"/>
      <c r="Z10" s="333"/>
      <c r="AA10" s="333"/>
      <c r="AB10" s="320"/>
    </row>
    <row r="11" ht="65.25" customHeight="1">
      <c r="A11" s="312" t="s">
        <v>1243</v>
      </c>
      <c r="B11" s="312" t="s">
        <v>5862</v>
      </c>
      <c r="C11" s="334"/>
      <c r="D11" s="321" t="s">
        <v>5863</v>
      </c>
      <c r="E11" s="321" t="s">
        <v>5864</v>
      </c>
      <c r="F11" s="313" t="s">
        <v>5865</v>
      </c>
      <c r="G11" s="334"/>
      <c r="H11" s="313" t="s">
        <v>5866</v>
      </c>
      <c r="I11" s="313" t="s">
        <v>5867</v>
      </c>
      <c r="J11" s="314" t="s">
        <v>5868</v>
      </c>
      <c r="K11" s="334"/>
      <c r="L11" s="314" t="s">
        <v>5869</v>
      </c>
      <c r="M11" s="314" t="s">
        <v>5870</v>
      </c>
      <c r="N11" s="315" t="s">
        <v>1243</v>
      </c>
      <c r="O11" s="315" t="s">
        <v>5871</v>
      </c>
      <c r="P11" s="334"/>
      <c r="Q11" s="315" t="s">
        <v>5872</v>
      </c>
      <c r="R11" s="315" t="s">
        <v>5873</v>
      </c>
      <c r="S11" s="316"/>
      <c r="T11" s="317"/>
      <c r="U11" s="317"/>
      <c r="V11" s="317"/>
      <c r="W11" s="335"/>
      <c r="X11" s="335"/>
      <c r="Y11" s="335"/>
      <c r="Z11" s="335"/>
      <c r="AA11" s="335"/>
      <c r="AB11" s="320"/>
    </row>
    <row r="12">
      <c r="A12" s="312" t="s">
        <v>1243</v>
      </c>
      <c r="B12" s="312" t="s">
        <v>5874</v>
      </c>
      <c r="C12" s="312" t="s">
        <v>5875</v>
      </c>
      <c r="D12" s="312" t="s">
        <v>5876</v>
      </c>
      <c r="E12" s="321" t="s">
        <v>5877</v>
      </c>
      <c r="F12" s="313" t="s">
        <v>5878</v>
      </c>
      <c r="G12" s="313" t="s">
        <v>5879</v>
      </c>
      <c r="H12" s="313" t="str">
        <f>IFERROR(__xludf.DUMMYFUNCTION("GOOGLETRANSLATE(D12,""zh-tw"",""ja"")"),"▲ ハンターズロッジ R69
▼")</f>
        <v>▲ ハンターズロッジ R69
▼</v>
      </c>
      <c r="I12" s="313" t="str">
        <f>IFERROR(__xludf.DUMMYFUNCTION("GOOGLETRANSLATE(E12,""zh-tw"",""ja"")"),"▲冒険者の道：記念碑
R9.R14")</f>
        <v>▲冒険者の道：記念碑
R9.R14</v>
      </c>
      <c r="J12" s="314" t="s">
        <v>5880</v>
      </c>
      <c r="K12" s="314" t="s">
        <v>5881</v>
      </c>
      <c r="L12" s="314" t="s">
        <v>5882</v>
      </c>
      <c r="M12" s="314" t="s">
        <v>5883</v>
      </c>
      <c r="N12" s="315" t="s">
        <v>1243</v>
      </c>
      <c r="O12" s="315" t="s">
        <v>5884</v>
      </c>
      <c r="P12" s="315" t="str">
        <f>IFERROR(__xludf.DUMMYFUNCTION("GOOGLETRANSLATE(C12,""zh-tw"",""zh"")"),"提前回家
R1")</f>
        <v>提前回家
R1</v>
      </c>
      <c r="Q12" s="315" t="s">
        <v>5885</v>
      </c>
      <c r="R12" s="315" t="s">
        <v>5886</v>
      </c>
      <c r="S12" s="316"/>
      <c r="T12" s="317"/>
      <c r="U12" s="317"/>
      <c r="V12" s="317"/>
      <c r="W12" s="319"/>
      <c r="X12" s="319"/>
      <c r="Y12" s="319"/>
      <c r="Z12" s="319"/>
      <c r="AA12" s="319"/>
      <c r="AB12" s="320"/>
    </row>
    <row r="13">
      <c r="A13" s="312" t="s">
        <v>1243</v>
      </c>
      <c r="B13" s="312" t="s">
        <v>5887</v>
      </c>
      <c r="C13" s="312" t="s">
        <v>5888</v>
      </c>
      <c r="D13" s="312" t="s">
        <v>5889</v>
      </c>
      <c r="E13" s="312" t="s">
        <v>1243</v>
      </c>
      <c r="F13" s="313"/>
      <c r="G13" s="313"/>
      <c r="H13" s="313"/>
      <c r="I13" s="313"/>
      <c r="J13" s="314" t="s">
        <v>5890</v>
      </c>
      <c r="K13" s="314" t="s">
        <v>5891</v>
      </c>
      <c r="L13" s="314" t="s">
        <v>5892</v>
      </c>
      <c r="M13" s="314"/>
      <c r="N13" s="315" t="s">
        <v>1243</v>
      </c>
      <c r="O13" s="315" t="s">
        <v>5893</v>
      </c>
      <c r="P13" s="315" t="s">
        <v>3897</v>
      </c>
      <c r="Q13" s="315" t="s">
        <v>5894</v>
      </c>
      <c r="R13" s="315" t="s">
        <v>1243</v>
      </c>
      <c r="S13" s="316"/>
      <c r="T13" s="317"/>
      <c r="U13" s="317"/>
      <c r="V13" s="336"/>
      <c r="W13" s="319"/>
      <c r="X13" s="319"/>
      <c r="Y13" s="319"/>
      <c r="Z13" s="319"/>
      <c r="AA13" s="319"/>
      <c r="AB13" s="320"/>
    </row>
    <row r="14">
      <c r="A14" s="312" t="s">
        <v>1243</v>
      </c>
      <c r="B14" s="312" t="s">
        <v>5895</v>
      </c>
      <c r="C14" s="312" t="s">
        <v>4785</v>
      </c>
      <c r="D14" s="312" t="s">
        <v>1243</v>
      </c>
      <c r="E14" s="312" t="s">
        <v>1243</v>
      </c>
      <c r="F14" s="313"/>
      <c r="G14" s="313"/>
      <c r="H14" s="313"/>
      <c r="I14" s="313"/>
      <c r="J14" s="314" t="s">
        <v>5896</v>
      </c>
      <c r="K14" s="314" t="s">
        <v>4791</v>
      </c>
      <c r="L14" s="314"/>
      <c r="M14" s="314"/>
      <c r="N14" s="315" t="s">
        <v>1243</v>
      </c>
      <c r="O14" s="315" t="s">
        <v>5897</v>
      </c>
      <c r="P14" s="315" t="s">
        <v>5898</v>
      </c>
      <c r="Q14" s="315" t="s">
        <v>1243</v>
      </c>
      <c r="R14" s="315" t="s">
        <v>1243</v>
      </c>
      <c r="S14" s="337"/>
      <c r="T14" s="317"/>
      <c r="U14" s="336"/>
      <c r="V14" s="336"/>
      <c r="W14" s="319"/>
      <c r="X14" s="319"/>
      <c r="Y14" s="319"/>
      <c r="Z14" s="319"/>
      <c r="AA14" s="319"/>
      <c r="AB14" s="320"/>
    </row>
    <row r="15">
      <c r="A15" s="312" t="s">
        <v>5899</v>
      </c>
      <c r="B15" s="312" t="s">
        <v>5900</v>
      </c>
      <c r="C15" s="312" t="s">
        <v>5901</v>
      </c>
      <c r="D15" s="312" t="s">
        <v>1243</v>
      </c>
      <c r="E15" s="312" t="s">
        <v>1243</v>
      </c>
      <c r="F15" s="313"/>
      <c r="G15" s="313"/>
      <c r="H15" s="313"/>
      <c r="I15" s="313"/>
      <c r="J15" s="314" t="s">
        <v>5902</v>
      </c>
      <c r="K15" s="314" t="s">
        <v>5903</v>
      </c>
      <c r="L15" s="314"/>
      <c r="M15" s="314"/>
      <c r="N15" s="315" t="s">
        <v>5904</v>
      </c>
      <c r="O15" s="315" t="s">
        <v>5905</v>
      </c>
      <c r="P15" s="315" t="s">
        <v>5904</v>
      </c>
      <c r="Q15" s="315" t="s">
        <v>1243</v>
      </c>
      <c r="R15" s="315" t="s">
        <v>1243</v>
      </c>
      <c r="S15" s="316"/>
      <c r="T15" s="317"/>
      <c r="U15" s="336"/>
      <c r="V15" s="336"/>
      <c r="W15" s="319"/>
      <c r="X15" s="319"/>
      <c r="Y15" s="319"/>
      <c r="Z15" s="319"/>
      <c r="AA15" s="319"/>
      <c r="AB15" s="320"/>
    </row>
    <row r="16">
      <c r="A16" s="338" t="s">
        <v>5811</v>
      </c>
      <c r="B16" s="307"/>
      <c r="C16" s="307"/>
      <c r="D16" s="307"/>
      <c r="E16" s="308"/>
      <c r="F16" s="338" t="str">
        <f>IFERROR(__xludf.DUMMYFUNCTION("GOOGLETRANSLATE(A16,""zh-tw"",""ja"")"),"遺跡エリア")</f>
        <v>遺跡エリア</v>
      </c>
      <c r="G16" s="307"/>
      <c r="H16" s="307"/>
      <c r="I16" s="308"/>
      <c r="J16" s="338" t="s">
        <v>5906</v>
      </c>
      <c r="K16" s="307"/>
      <c r="L16" s="307"/>
      <c r="M16" s="308"/>
      <c r="N16" s="338" t="s">
        <v>5819</v>
      </c>
      <c r="O16" s="307"/>
      <c r="P16" s="307"/>
      <c r="Q16" s="307"/>
      <c r="R16" s="308"/>
      <c r="S16" s="339"/>
      <c r="T16" s="300"/>
      <c r="U16" s="300"/>
      <c r="V16" s="301"/>
      <c r="W16" s="340"/>
      <c r="X16" s="340"/>
      <c r="Y16" s="340"/>
      <c r="Z16" s="340"/>
      <c r="AA16" s="340"/>
      <c r="AB16" s="340"/>
    </row>
    <row r="17">
      <c r="A17" s="312" t="s">
        <v>1243</v>
      </c>
      <c r="B17" s="312" t="s">
        <v>1243</v>
      </c>
      <c r="C17" s="312" t="s">
        <v>5907</v>
      </c>
      <c r="D17" s="312" t="s">
        <v>1243</v>
      </c>
      <c r="E17" s="312" t="s">
        <v>1243</v>
      </c>
      <c r="F17" s="313"/>
      <c r="G17" s="341" t="s">
        <v>5908</v>
      </c>
      <c r="H17" s="342"/>
      <c r="I17" s="342"/>
      <c r="J17" s="343"/>
      <c r="K17" s="344" t="s">
        <v>5909</v>
      </c>
      <c r="L17" s="343"/>
      <c r="M17" s="343"/>
      <c r="N17" s="345" t="s">
        <v>1243</v>
      </c>
      <c r="O17" s="345" t="s">
        <v>1243</v>
      </c>
      <c r="P17" s="346" t="s">
        <v>5910</v>
      </c>
      <c r="Q17" s="345" t="s">
        <v>1243</v>
      </c>
      <c r="R17" s="345" t="s">
        <v>1243</v>
      </c>
      <c r="S17" s="347"/>
      <c r="T17" s="348"/>
      <c r="U17" s="336"/>
      <c r="V17" s="336"/>
      <c r="W17" s="349"/>
      <c r="X17" s="349"/>
      <c r="Y17" s="349"/>
      <c r="Z17" s="349"/>
      <c r="AA17" s="349"/>
      <c r="AB17" s="349"/>
    </row>
    <row r="18">
      <c r="A18" s="312" t="s">
        <v>1243</v>
      </c>
      <c r="B18" s="312" t="s">
        <v>5911</v>
      </c>
      <c r="C18" s="312" t="s">
        <v>5912</v>
      </c>
      <c r="D18" s="312" t="s">
        <v>1243</v>
      </c>
      <c r="E18" s="312" t="s">
        <v>1243</v>
      </c>
      <c r="F18" s="313" t="s">
        <v>5913</v>
      </c>
      <c r="G18" s="313" t="s">
        <v>5914</v>
      </c>
      <c r="H18" s="342"/>
      <c r="I18" s="342"/>
      <c r="J18" s="343" t="s">
        <v>5915</v>
      </c>
      <c r="K18" s="350" t="s">
        <v>5916</v>
      </c>
      <c r="L18" s="343"/>
      <c r="M18" s="343"/>
      <c r="N18" s="345" t="s">
        <v>1243</v>
      </c>
      <c r="O18" s="345" t="s">
        <v>5917</v>
      </c>
      <c r="P18" s="345" t="s">
        <v>5918</v>
      </c>
      <c r="Q18" s="345" t="s">
        <v>1243</v>
      </c>
      <c r="R18" s="345" t="s">
        <v>1243</v>
      </c>
      <c r="S18" s="326"/>
      <c r="T18" s="317"/>
      <c r="U18" s="336"/>
      <c r="V18" s="336"/>
      <c r="W18" s="349"/>
      <c r="X18" s="349"/>
      <c r="Y18" s="349"/>
      <c r="Z18" s="349"/>
      <c r="AA18" s="349"/>
      <c r="AB18" s="349"/>
    </row>
    <row r="19">
      <c r="A19" s="312" t="s">
        <v>1243</v>
      </c>
      <c r="B19" s="312" t="s">
        <v>1243</v>
      </c>
      <c r="C19" s="312" t="s">
        <v>5919</v>
      </c>
      <c r="D19" s="312" t="s">
        <v>5920</v>
      </c>
      <c r="E19" s="312" t="s">
        <v>1243</v>
      </c>
      <c r="F19" s="313"/>
      <c r="G19" s="313" t="s">
        <v>5921</v>
      </c>
      <c r="H19" s="342"/>
      <c r="I19" s="342"/>
      <c r="J19" s="343"/>
      <c r="K19" s="351" t="s">
        <v>5922</v>
      </c>
      <c r="L19" s="343"/>
      <c r="M19" s="343"/>
      <c r="N19" s="345" t="s">
        <v>1243</v>
      </c>
      <c r="O19" s="345" t="s">
        <v>1243</v>
      </c>
      <c r="P19" s="352" t="s">
        <v>5923</v>
      </c>
      <c r="Q19" s="345" t="s">
        <v>4451</v>
      </c>
      <c r="R19" s="345" t="s">
        <v>1243</v>
      </c>
      <c r="S19" s="347"/>
      <c r="T19" s="325"/>
      <c r="U19" s="336"/>
      <c r="V19" s="336"/>
      <c r="W19" s="349"/>
      <c r="X19" s="349"/>
      <c r="Y19" s="349"/>
      <c r="Z19" s="349"/>
      <c r="AA19" s="349"/>
      <c r="AB19" s="349"/>
    </row>
    <row r="20">
      <c r="A20" s="312" t="s">
        <v>1243</v>
      </c>
      <c r="B20" s="312" t="s">
        <v>1243</v>
      </c>
      <c r="C20" s="312" t="s">
        <v>5924</v>
      </c>
      <c r="D20" s="312" t="s">
        <v>5925</v>
      </c>
      <c r="E20" s="312" t="s">
        <v>1243</v>
      </c>
      <c r="F20" s="313"/>
      <c r="G20" s="313" t="s">
        <v>5926</v>
      </c>
      <c r="H20" s="313" t="s">
        <v>5927</v>
      </c>
      <c r="I20" s="342"/>
      <c r="J20" s="343"/>
      <c r="K20" s="350" t="s">
        <v>5928</v>
      </c>
      <c r="L20" s="314" t="s">
        <v>5929</v>
      </c>
      <c r="M20" s="343"/>
      <c r="N20" s="345" t="s">
        <v>1243</v>
      </c>
      <c r="O20" s="345" t="s">
        <v>1243</v>
      </c>
      <c r="P20" s="345" t="s">
        <v>5930</v>
      </c>
      <c r="Q20" s="345" t="s">
        <v>5931</v>
      </c>
      <c r="R20" s="345" t="s">
        <v>1243</v>
      </c>
      <c r="S20" s="347"/>
      <c r="T20" s="317"/>
      <c r="U20" s="318"/>
      <c r="V20" s="336"/>
      <c r="W20" s="349"/>
      <c r="X20" s="349"/>
      <c r="Y20" s="349"/>
      <c r="Z20" s="349"/>
      <c r="AA20" s="349"/>
      <c r="AB20" s="349"/>
    </row>
    <row r="21">
      <c r="A21" s="353" t="s">
        <v>1243</v>
      </c>
      <c r="B21" s="353" t="s">
        <v>1243</v>
      </c>
      <c r="C21" s="312" t="s">
        <v>5932</v>
      </c>
      <c r="D21" s="312" t="s">
        <v>1243</v>
      </c>
      <c r="E21" s="312" t="s">
        <v>1243</v>
      </c>
      <c r="F21" s="313"/>
      <c r="G21" s="313" t="s">
        <v>5933</v>
      </c>
      <c r="H21" s="342"/>
      <c r="I21" s="342"/>
      <c r="J21" s="343"/>
      <c r="K21" s="350" t="s">
        <v>5934</v>
      </c>
      <c r="L21" s="343"/>
      <c r="M21" s="343"/>
      <c r="N21" s="345" t="s">
        <v>1243</v>
      </c>
      <c r="O21" s="345" t="s">
        <v>1243</v>
      </c>
      <c r="P21" s="345" t="s">
        <v>5935</v>
      </c>
      <c r="Q21" s="345" t="s">
        <v>1243</v>
      </c>
      <c r="R21" s="345" t="s">
        <v>1243</v>
      </c>
      <c r="S21" s="347"/>
      <c r="T21" s="318"/>
      <c r="U21" s="336"/>
      <c r="V21" s="336"/>
      <c r="W21" s="349"/>
      <c r="X21" s="349"/>
      <c r="Y21" s="349"/>
      <c r="Z21" s="349"/>
      <c r="AA21" s="349"/>
      <c r="AB21" s="349"/>
    </row>
    <row r="22">
      <c r="A22" s="354"/>
      <c r="B22" s="354"/>
      <c r="C22" s="354"/>
      <c r="D22" s="354"/>
      <c r="E22" s="354"/>
      <c r="F22" s="354"/>
      <c r="G22" s="354"/>
      <c r="H22" s="8"/>
      <c r="I22" s="8"/>
      <c r="J22" s="8"/>
      <c r="K22" s="354"/>
      <c r="L22" s="354"/>
      <c r="M22" s="354"/>
      <c r="N22" s="8"/>
      <c r="O22" s="8"/>
      <c r="P22" s="354"/>
      <c r="Q22" s="354"/>
      <c r="R22" s="354"/>
      <c r="S22" s="355"/>
      <c r="T22" s="355"/>
      <c r="U22" s="355"/>
      <c r="V22" s="355"/>
      <c r="W22" s="354"/>
      <c r="X22" s="354"/>
      <c r="Y22" s="354"/>
      <c r="Z22" s="354"/>
      <c r="AA22" s="354"/>
      <c r="AB22" s="354"/>
    </row>
    <row r="23">
      <c r="A23" s="354"/>
      <c r="B23" s="354"/>
      <c r="C23" s="354"/>
      <c r="D23" s="356"/>
      <c r="E23" s="356"/>
      <c r="F23" s="354"/>
      <c r="G23" s="354"/>
      <c r="H23" s="8"/>
      <c r="I23" s="8"/>
      <c r="J23" s="8"/>
      <c r="K23" s="354"/>
      <c r="L23" s="354"/>
      <c r="M23" s="354"/>
      <c r="N23" s="8"/>
      <c r="O23" s="8"/>
      <c r="P23" s="354"/>
      <c r="Q23" s="354"/>
      <c r="R23" s="354"/>
      <c r="S23" s="355"/>
      <c r="T23" s="355"/>
      <c r="U23" s="355"/>
      <c r="V23" s="355"/>
      <c r="W23" s="354"/>
      <c r="X23" s="354"/>
      <c r="Y23" s="354"/>
      <c r="Z23" s="354"/>
      <c r="AA23" s="354"/>
      <c r="AB23" s="354"/>
    </row>
    <row r="24">
      <c r="A24" s="354"/>
      <c r="B24" s="354"/>
      <c r="C24" s="354"/>
      <c r="D24" s="354"/>
      <c r="E24" s="354"/>
      <c r="F24" s="354"/>
      <c r="G24" s="354"/>
      <c r="H24" s="8"/>
      <c r="I24" s="8"/>
      <c r="J24" s="8"/>
      <c r="K24" s="354"/>
      <c r="L24" s="354"/>
      <c r="M24" s="354"/>
      <c r="N24" s="8"/>
      <c r="O24" s="8"/>
      <c r="P24" s="354"/>
      <c r="Q24" s="354"/>
      <c r="R24" s="354"/>
      <c r="S24" s="355"/>
      <c r="T24" s="355"/>
      <c r="U24" s="355"/>
      <c r="V24" s="355"/>
      <c r="W24" s="354"/>
      <c r="X24" s="354"/>
      <c r="Y24" s="354"/>
      <c r="Z24" s="354"/>
      <c r="AA24" s="354"/>
      <c r="AB24" s="354"/>
    </row>
    <row r="25">
      <c r="A25" s="354"/>
      <c r="B25" s="354"/>
      <c r="C25" s="354"/>
      <c r="D25" s="8"/>
      <c r="E25" s="354"/>
      <c r="F25" s="354"/>
      <c r="G25" s="354"/>
      <c r="H25" s="8"/>
      <c r="I25" s="8"/>
      <c r="J25" s="8"/>
      <c r="K25" s="354"/>
      <c r="L25" s="354"/>
      <c r="M25" s="354"/>
      <c r="N25" s="8"/>
      <c r="O25" s="8"/>
      <c r="P25" s="354"/>
      <c r="Q25" s="354"/>
      <c r="R25" s="354"/>
      <c r="S25" s="355"/>
      <c r="T25" s="355"/>
      <c r="U25" s="355"/>
      <c r="V25" s="355"/>
      <c r="W25" s="354"/>
      <c r="X25" s="354"/>
      <c r="Y25" s="354"/>
      <c r="Z25" s="354"/>
      <c r="AA25" s="354"/>
      <c r="AB25" s="354"/>
    </row>
    <row r="26">
      <c r="A26" s="354"/>
      <c r="B26" s="354"/>
      <c r="C26" s="8"/>
      <c r="D26" s="8"/>
      <c r="E26" s="354"/>
      <c r="F26" s="354"/>
      <c r="G26" s="354"/>
      <c r="H26" s="8"/>
      <c r="I26" s="8"/>
      <c r="J26" s="8"/>
      <c r="K26" s="354"/>
      <c r="L26" s="354"/>
      <c r="M26" s="354"/>
      <c r="N26" s="8"/>
      <c r="O26" s="8"/>
      <c r="P26" s="354"/>
      <c r="Q26" s="354"/>
      <c r="R26" s="354"/>
      <c r="S26" s="355"/>
      <c r="T26" s="355"/>
      <c r="U26" s="355"/>
      <c r="V26" s="355"/>
      <c r="W26" s="354"/>
      <c r="X26" s="354"/>
      <c r="Y26" s="354"/>
      <c r="Z26" s="354"/>
      <c r="AA26" s="354"/>
      <c r="AB26" s="354"/>
    </row>
    <row r="27">
      <c r="A27" s="354"/>
      <c r="B27" s="354"/>
      <c r="C27" s="8"/>
      <c r="D27" s="8"/>
      <c r="E27" s="354"/>
      <c r="F27" s="354"/>
      <c r="G27" s="354"/>
      <c r="H27" s="8"/>
      <c r="I27" s="8"/>
      <c r="J27" s="8"/>
      <c r="K27" s="354"/>
      <c r="L27" s="354"/>
      <c r="M27" s="354"/>
      <c r="N27" s="8"/>
      <c r="O27" s="8"/>
      <c r="P27" s="354"/>
      <c r="Q27" s="354"/>
      <c r="R27" s="354"/>
      <c r="S27" s="355"/>
      <c r="T27" s="355"/>
      <c r="U27" s="355"/>
      <c r="V27" s="355"/>
      <c r="W27" s="354"/>
      <c r="X27" s="354"/>
      <c r="Y27" s="354"/>
      <c r="Z27" s="354"/>
      <c r="AA27" s="354"/>
      <c r="AB27" s="354"/>
    </row>
    <row r="28">
      <c r="A28" s="354"/>
      <c r="B28" s="354"/>
      <c r="C28" s="8"/>
      <c r="D28" s="8"/>
      <c r="E28" s="354"/>
      <c r="F28" s="354"/>
      <c r="G28" s="354"/>
      <c r="H28" s="8"/>
      <c r="I28" s="8"/>
      <c r="J28" s="8"/>
      <c r="K28" s="354"/>
      <c r="L28" s="354"/>
      <c r="M28" s="354"/>
      <c r="N28" s="8"/>
      <c r="O28" s="8"/>
      <c r="P28" s="354"/>
      <c r="Q28" s="354"/>
      <c r="R28" s="354"/>
      <c r="S28" s="355"/>
      <c r="T28" s="355"/>
      <c r="U28" s="355"/>
      <c r="V28" s="355"/>
      <c r="W28" s="354"/>
      <c r="X28" s="354"/>
      <c r="Y28" s="354"/>
      <c r="Z28" s="354"/>
      <c r="AA28" s="354"/>
      <c r="AB28" s="354"/>
    </row>
    <row r="29">
      <c r="A29" s="354"/>
      <c r="B29" s="354"/>
      <c r="C29" s="8"/>
      <c r="D29" s="8"/>
      <c r="E29" s="354"/>
      <c r="F29" s="354"/>
      <c r="G29" s="354"/>
      <c r="H29" s="8"/>
      <c r="I29" s="8"/>
      <c r="J29" s="8"/>
      <c r="K29" s="354"/>
      <c r="L29" s="354"/>
      <c r="M29" s="354"/>
      <c r="N29" s="8"/>
      <c r="O29" s="8"/>
      <c r="P29" s="354"/>
      <c r="Q29" s="354"/>
      <c r="R29" s="354"/>
      <c r="S29" s="355"/>
      <c r="T29" s="355"/>
      <c r="U29" s="355"/>
      <c r="V29" s="355"/>
      <c r="W29" s="354"/>
      <c r="X29" s="354"/>
      <c r="Y29" s="354"/>
      <c r="Z29" s="354"/>
      <c r="AA29" s="354"/>
      <c r="AB29" s="354"/>
    </row>
    <row r="30">
      <c r="A30" s="354"/>
      <c r="B30" s="354"/>
      <c r="C30" s="8"/>
      <c r="D30" s="8"/>
      <c r="E30" s="354"/>
      <c r="F30" s="354"/>
      <c r="G30" s="354"/>
      <c r="H30" s="8"/>
      <c r="I30" s="8"/>
      <c r="J30" s="8"/>
      <c r="K30" s="354"/>
      <c r="L30" s="354"/>
      <c r="M30" s="354"/>
      <c r="N30" s="8"/>
      <c r="O30" s="8"/>
      <c r="P30" s="354"/>
      <c r="Q30" s="354"/>
      <c r="R30" s="354"/>
      <c r="S30" s="355"/>
      <c r="T30" s="355"/>
      <c r="U30" s="355"/>
      <c r="V30" s="355"/>
      <c r="W30" s="354"/>
      <c r="X30" s="354"/>
      <c r="Y30" s="354"/>
      <c r="Z30" s="354"/>
      <c r="AA30" s="354"/>
      <c r="AB30" s="354"/>
    </row>
    <row r="31">
      <c r="A31" s="8"/>
      <c r="B31" s="8"/>
      <c r="C31" s="8"/>
      <c r="D31" s="8"/>
      <c r="E31" s="8"/>
      <c r="F31" s="356"/>
      <c r="G31" s="8"/>
      <c r="H31" s="8"/>
      <c r="I31" s="8"/>
      <c r="J31" s="8"/>
      <c r="K31" s="8"/>
      <c r="L31" s="8"/>
      <c r="M31" s="8"/>
      <c r="N31" s="8"/>
      <c r="O31" s="8"/>
      <c r="P31" s="8"/>
      <c r="Q31" s="8"/>
      <c r="R31" s="8"/>
      <c r="S31" s="357"/>
      <c r="T31" s="357"/>
      <c r="U31" s="357"/>
      <c r="V31" s="357"/>
      <c r="W31" s="8"/>
      <c r="X31" s="8"/>
      <c r="Y31" s="8"/>
      <c r="Z31" s="8"/>
      <c r="AA31" s="8"/>
      <c r="AB31" s="8"/>
    </row>
    <row r="32">
      <c r="A32" s="8"/>
      <c r="B32" s="8"/>
      <c r="C32" s="8"/>
      <c r="D32" s="8"/>
      <c r="E32" s="8"/>
      <c r="F32" s="356"/>
      <c r="G32" s="8"/>
      <c r="H32" s="8"/>
      <c r="I32" s="8"/>
      <c r="J32" s="8"/>
      <c r="K32" s="8"/>
      <c r="L32" s="8"/>
      <c r="M32" s="8"/>
      <c r="N32" s="8"/>
      <c r="O32" s="8"/>
      <c r="P32" s="8"/>
      <c r="Q32" s="8"/>
      <c r="R32" s="8"/>
      <c r="S32" s="357"/>
      <c r="T32" s="357"/>
      <c r="U32" s="357"/>
      <c r="V32" s="357"/>
      <c r="W32" s="8"/>
      <c r="X32" s="8"/>
      <c r="Y32" s="8"/>
      <c r="Z32" s="8"/>
      <c r="AA32" s="8"/>
      <c r="AB32" s="8"/>
    </row>
    <row r="33">
      <c r="A33" s="8"/>
      <c r="B33" s="8"/>
      <c r="C33" s="8"/>
      <c r="D33" s="8"/>
      <c r="E33" s="8"/>
      <c r="F33" s="356"/>
      <c r="G33" s="8"/>
      <c r="H33" s="8"/>
      <c r="I33" s="8"/>
      <c r="J33" s="8"/>
      <c r="K33" s="8"/>
      <c r="L33" s="8"/>
      <c r="M33" s="8"/>
      <c r="N33" s="8"/>
      <c r="O33" s="8"/>
      <c r="P33" s="8"/>
      <c r="Q33" s="8"/>
      <c r="R33" s="8"/>
      <c r="S33" s="357"/>
      <c r="T33" s="357"/>
      <c r="U33" s="357"/>
      <c r="V33" s="357"/>
      <c r="W33" s="8"/>
      <c r="X33" s="8"/>
      <c r="Y33" s="8"/>
      <c r="Z33" s="8"/>
      <c r="AA33" s="8"/>
      <c r="AB33" s="8"/>
    </row>
    <row r="34">
      <c r="A34" s="8"/>
      <c r="B34" s="8"/>
      <c r="C34" s="8"/>
      <c r="D34" s="8"/>
      <c r="E34" s="8"/>
      <c r="F34" s="356"/>
      <c r="G34" s="8"/>
      <c r="H34" s="8"/>
      <c r="I34" s="8"/>
      <c r="J34" s="8"/>
      <c r="K34" s="8"/>
      <c r="L34" s="8"/>
      <c r="M34" s="8"/>
      <c r="N34" s="8"/>
      <c r="O34" s="8"/>
      <c r="P34" s="8"/>
      <c r="Q34" s="8"/>
      <c r="R34" s="8"/>
      <c r="S34" s="357"/>
      <c r="T34" s="357"/>
      <c r="U34" s="357"/>
      <c r="V34" s="357"/>
      <c r="W34" s="8"/>
      <c r="X34" s="8"/>
      <c r="Y34" s="8"/>
      <c r="Z34" s="8"/>
      <c r="AA34" s="8"/>
      <c r="AB34" s="8"/>
    </row>
    <row r="35">
      <c r="A35" s="8"/>
      <c r="B35" s="8"/>
      <c r="C35" s="8"/>
      <c r="D35" s="8"/>
      <c r="E35" s="8"/>
      <c r="F35" s="356"/>
      <c r="G35" s="8"/>
      <c r="H35" s="8"/>
      <c r="I35" s="8"/>
      <c r="J35" s="8"/>
      <c r="K35" s="8"/>
      <c r="L35" s="8"/>
      <c r="M35" s="8"/>
      <c r="N35" s="8"/>
      <c r="O35" s="8"/>
      <c r="P35" s="8"/>
      <c r="Q35" s="8"/>
      <c r="R35" s="8"/>
      <c r="S35" s="357"/>
      <c r="T35" s="357"/>
      <c r="U35" s="357"/>
      <c r="V35" s="357"/>
      <c r="W35" s="8"/>
      <c r="X35" s="8"/>
      <c r="Y35" s="8"/>
      <c r="Z35" s="8"/>
      <c r="AA35" s="8"/>
      <c r="AB35" s="8"/>
    </row>
    <row r="36">
      <c r="A36" s="8"/>
      <c r="B36" s="8"/>
      <c r="C36" s="8"/>
      <c r="D36" s="8"/>
      <c r="E36" s="8"/>
      <c r="F36" s="356"/>
      <c r="G36" s="8"/>
      <c r="H36" s="8"/>
      <c r="I36" s="8"/>
      <c r="J36" s="8"/>
      <c r="K36" s="8"/>
      <c r="L36" s="8"/>
      <c r="M36" s="8"/>
      <c r="N36" s="8"/>
      <c r="O36" s="8"/>
      <c r="P36" s="8"/>
      <c r="Q36" s="8"/>
      <c r="R36" s="8"/>
      <c r="S36" s="357"/>
      <c r="T36" s="357"/>
      <c r="U36" s="357"/>
      <c r="V36" s="357"/>
      <c r="W36" s="8"/>
      <c r="X36" s="8"/>
      <c r="Y36" s="8"/>
      <c r="Z36" s="8"/>
      <c r="AA36" s="8"/>
      <c r="AB36" s="8"/>
    </row>
    <row r="37">
      <c r="A37" s="8"/>
      <c r="B37" s="8"/>
      <c r="C37" s="8"/>
      <c r="D37" s="8"/>
      <c r="E37" s="8"/>
      <c r="F37" s="356"/>
      <c r="G37" s="8"/>
      <c r="H37" s="8"/>
      <c r="I37" s="8"/>
      <c r="J37" s="8"/>
      <c r="K37" s="8"/>
      <c r="L37" s="8"/>
      <c r="M37" s="8"/>
      <c r="N37" s="8"/>
      <c r="O37" s="8"/>
      <c r="P37" s="8"/>
      <c r="Q37" s="8"/>
      <c r="R37" s="8"/>
      <c r="S37" s="357"/>
      <c r="T37" s="357"/>
      <c r="U37" s="357"/>
      <c r="V37" s="357"/>
      <c r="W37" s="8"/>
      <c r="X37" s="8"/>
      <c r="Y37" s="8"/>
      <c r="Z37" s="8"/>
      <c r="AA37" s="8"/>
      <c r="AB37" s="8"/>
    </row>
    <row r="38">
      <c r="A38" s="8"/>
      <c r="B38" s="8"/>
      <c r="C38" s="8"/>
      <c r="D38" s="8"/>
      <c r="E38" s="8"/>
      <c r="F38" s="356"/>
      <c r="G38" s="8"/>
      <c r="H38" s="8"/>
      <c r="I38" s="8"/>
      <c r="J38" s="8"/>
      <c r="K38" s="8"/>
      <c r="L38" s="8"/>
      <c r="M38" s="8"/>
      <c r="N38" s="8"/>
      <c r="O38" s="8"/>
      <c r="P38" s="8"/>
      <c r="Q38" s="8"/>
      <c r="R38" s="8"/>
      <c r="S38" s="357"/>
      <c r="T38" s="357"/>
      <c r="U38" s="357"/>
      <c r="V38" s="357"/>
      <c r="W38" s="8"/>
      <c r="X38" s="8"/>
      <c r="Y38" s="8"/>
      <c r="Z38" s="8"/>
      <c r="AA38" s="8"/>
      <c r="AB38" s="8"/>
    </row>
    <row r="39">
      <c r="A39" s="8"/>
      <c r="B39" s="8"/>
      <c r="C39" s="8"/>
      <c r="D39" s="8"/>
      <c r="E39" s="8"/>
      <c r="F39" s="356"/>
      <c r="G39" s="8"/>
      <c r="H39" s="8"/>
      <c r="I39" s="8"/>
      <c r="J39" s="8"/>
      <c r="K39" s="8"/>
      <c r="L39" s="8"/>
      <c r="M39" s="8"/>
      <c r="N39" s="8"/>
      <c r="O39" s="8"/>
      <c r="P39" s="8"/>
      <c r="Q39" s="8"/>
      <c r="R39" s="8"/>
      <c r="S39" s="357"/>
      <c r="T39" s="357"/>
      <c r="U39" s="357"/>
      <c r="V39" s="357"/>
      <c r="W39" s="8"/>
      <c r="X39" s="8"/>
      <c r="Y39" s="8"/>
      <c r="Z39" s="8"/>
      <c r="AA39" s="8"/>
      <c r="AB39" s="8"/>
    </row>
    <row r="40">
      <c r="A40" s="8"/>
      <c r="B40" s="8"/>
      <c r="C40" s="8"/>
      <c r="D40" s="8"/>
      <c r="E40" s="8"/>
      <c r="F40" s="356"/>
      <c r="G40" s="8"/>
      <c r="H40" s="8"/>
      <c r="I40" s="8"/>
      <c r="J40" s="8"/>
      <c r="K40" s="8"/>
      <c r="L40" s="8"/>
      <c r="M40" s="8"/>
      <c r="N40" s="8"/>
      <c r="O40" s="8"/>
      <c r="P40" s="8"/>
      <c r="Q40" s="8"/>
      <c r="R40" s="8"/>
      <c r="S40" s="357"/>
      <c r="T40" s="357"/>
      <c r="U40" s="357"/>
      <c r="V40" s="357"/>
      <c r="W40" s="8"/>
      <c r="X40" s="8"/>
      <c r="Y40" s="8"/>
      <c r="Z40" s="8"/>
      <c r="AA40" s="8"/>
      <c r="AB40" s="8"/>
    </row>
    <row r="41">
      <c r="A41" s="8"/>
      <c r="B41" s="8"/>
      <c r="C41" s="8"/>
      <c r="D41" s="8"/>
      <c r="E41" s="8"/>
      <c r="F41" s="356"/>
      <c r="G41" s="8"/>
      <c r="H41" s="8"/>
      <c r="I41" s="8"/>
      <c r="J41" s="8"/>
      <c r="K41" s="8"/>
      <c r="L41" s="8"/>
      <c r="M41" s="8"/>
      <c r="N41" s="8"/>
      <c r="O41" s="8"/>
      <c r="P41" s="8"/>
      <c r="Q41" s="8"/>
      <c r="R41" s="8"/>
      <c r="S41" s="357"/>
      <c r="T41" s="357"/>
      <c r="U41" s="357"/>
      <c r="V41" s="357"/>
      <c r="W41" s="8"/>
      <c r="X41" s="8"/>
      <c r="Y41" s="8"/>
      <c r="Z41" s="8"/>
      <c r="AA41" s="8"/>
      <c r="AB41" s="8"/>
    </row>
    <row r="42">
      <c r="A42" s="8"/>
      <c r="B42" s="8"/>
      <c r="C42" s="8"/>
      <c r="D42" s="8"/>
      <c r="E42" s="8"/>
      <c r="F42" s="356"/>
      <c r="G42" s="8"/>
      <c r="H42" s="8"/>
      <c r="I42" s="8"/>
      <c r="J42" s="8"/>
      <c r="K42" s="8"/>
      <c r="L42" s="8"/>
      <c r="M42" s="8"/>
      <c r="N42" s="8"/>
      <c r="O42" s="8"/>
      <c r="P42" s="8"/>
      <c r="Q42" s="8"/>
      <c r="R42" s="8"/>
      <c r="S42" s="357"/>
      <c r="T42" s="357"/>
      <c r="U42" s="357"/>
      <c r="V42" s="357"/>
      <c r="W42" s="8"/>
      <c r="X42" s="8"/>
      <c r="Y42" s="8"/>
      <c r="Z42" s="8"/>
      <c r="AA42" s="8"/>
      <c r="AB42" s="8"/>
    </row>
    <row r="43">
      <c r="A43" s="8"/>
      <c r="B43" s="8"/>
      <c r="C43" s="8"/>
      <c r="D43" s="8"/>
      <c r="E43" s="8"/>
      <c r="F43" s="356"/>
      <c r="G43" s="8"/>
      <c r="H43" s="8"/>
      <c r="I43" s="8"/>
      <c r="J43" s="8"/>
      <c r="K43" s="8"/>
      <c r="L43" s="8"/>
      <c r="M43" s="8"/>
      <c r="N43" s="8"/>
      <c r="O43" s="8"/>
      <c r="P43" s="8"/>
      <c r="Q43" s="8"/>
      <c r="R43" s="8"/>
      <c r="S43" s="357"/>
      <c r="T43" s="357"/>
      <c r="U43" s="357"/>
      <c r="V43" s="357"/>
      <c r="W43" s="8"/>
      <c r="X43" s="8"/>
      <c r="Y43" s="8"/>
      <c r="Z43" s="8"/>
      <c r="AA43" s="8"/>
      <c r="AB43" s="8"/>
    </row>
    <row r="44">
      <c r="A44" s="8"/>
      <c r="B44" s="8"/>
      <c r="C44" s="8"/>
      <c r="D44" s="8"/>
      <c r="E44" s="8"/>
      <c r="F44" s="356"/>
      <c r="G44" s="8"/>
      <c r="H44" s="8"/>
      <c r="I44" s="8"/>
      <c r="J44" s="8"/>
      <c r="K44" s="8"/>
      <c r="L44" s="8"/>
      <c r="M44" s="8"/>
      <c r="N44" s="8"/>
      <c r="O44" s="8"/>
      <c r="P44" s="8"/>
      <c r="Q44" s="8"/>
      <c r="R44" s="8"/>
      <c r="S44" s="357"/>
      <c r="T44" s="357"/>
      <c r="U44" s="357"/>
      <c r="V44" s="357"/>
      <c r="W44" s="8"/>
      <c r="X44" s="8"/>
      <c r="Y44" s="8"/>
      <c r="Z44" s="8"/>
      <c r="AA44" s="8"/>
      <c r="AB44" s="8"/>
    </row>
    <row r="45">
      <c r="A45" s="8"/>
      <c r="B45" s="8"/>
      <c r="C45" s="8"/>
      <c r="D45" s="8"/>
      <c r="E45" s="8"/>
      <c r="F45" s="356"/>
      <c r="G45" s="8"/>
      <c r="H45" s="8"/>
      <c r="I45" s="8"/>
      <c r="J45" s="8"/>
      <c r="K45" s="8"/>
      <c r="L45" s="8"/>
      <c r="M45" s="8"/>
      <c r="N45" s="8"/>
      <c r="O45" s="8"/>
      <c r="P45" s="8"/>
      <c r="Q45" s="8"/>
      <c r="R45" s="8"/>
      <c r="S45" s="357"/>
      <c r="T45" s="357"/>
      <c r="U45" s="357"/>
      <c r="V45" s="357"/>
      <c r="W45" s="8"/>
      <c r="X45" s="8"/>
      <c r="Y45" s="8"/>
      <c r="Z45" s="8"/>
      <c r="AA45" s="8"/>
      <c r="AB45" s="8"/>
    </row>
    <row r="46">
      <c r="A46" s="8"/>
      <c r="B46" s="8"/>
      <c r="C46" s="8"/>
      <c r="D46" s="8"/>
      <c r="E46" s="8"/>
      <c r="F46" s="356"/>
      <c r="G46" s="8"/>
      <c r="H46" s="8"/>
      <c r="I46" s="8"/>
      <c r="J46" s="8"/>
      <c r="K46" s="8"/>
      <c r="L46" s="8"/>
      <c r="M46" s="8"/>
      <c r="N46" s="8"/>
      <c r="O46" s="8"/>
      <c r="P46" s="8"/>
      <c r="Q46" s="8"/>
      <c r="R46" s="8"/>
      <c r="S46" s="357"/>
      <c r="T46" s="357"/>
      <c r="U46" s="357"/>
      <c r="V46" s="357"/>
      <c r="W46" s="8"/>
      <c r="X46" s="8"/>
      <c r="Y46" s="8"/>
      <c r="Z46" s="8"/>
      <c r="AA46" s="8"/>
      <c r="AB46" s="8"/>
    </row>
    <row r="47">
      <c r="A47" s="8"/>
      <c r="B47" s="8"/>
      <c r="C47" s="8"/>
      <c r="D47" s="8"/>
      <c r="E47" s="8"/>
      <c r="F47" s="356"/>
      <c r="G47" s="8"/>
      <c r="H47" s="8"/>
      <c r="I47" s="8"/>
      <c r="J47" s="8"/>
      <c r="K47" s="8"/>
      <c r="L47" s="8"/>
      <c r="M47" s="8"/>
      <c r="N47" s="8"/>
      <c r="O47" s="8"/>
      <c r="P47" s="8"/>
      <c r="Q47" s="8"/>
      <c r="R47" s="8"/>
      <c r="S47" s="357"/>
      <c r="T47" s="357"/>
      <c r="U47" s="357"/>
      <c r="V47" s="357"/>
      <c r="W47" s="8"/>
      <c r="X47" s="8"/>
      <c r="Y47" s="8"/>
      <c r="Z47" s="8"/>
      <c r="AA47" s="8"/>
      <c r="AB47" s="8"/>
    </row>
    <row r="48">
      <c r="A48" s="8"/>
      <c r="B48" s="8"/>
      <c r="C48" s="8"/>
      <c r="D48" s="8"/>
      <c r="E48" s="8"/>
      <c r="F48" s="356"/>
      <c r="G48" s="8"/>
      <c r="H48" s="8"/>
      <c r="I48" s="8"/>
      <c r="J48" s="8"/>
      <c r="K48" s="8"/>
      <c r="L48" s="8"/>
      <c r="M48" s="8"/>
      <c r="N48" s="8"/>
      <c r="O48" s="8"/>
      <c r="P48" s="8"/>
      <c r="Q48" s="8"/>
      <c r="R48" s="8"/>
      <c r="S48" s="357"/>
      <c r="T48" s="357"/>
      <c r="U48" s="357"/>
      <c r="V48" s="357"/>
      <c r="W48" s="8"/>
      <c r="X48" s="8"/>
      <c r="Y48" s="8"/>
      <c r="Z48" s="8"/>
      <c r="AA48" s="8"/>
      <c r="AB48" s="8"/>
    </row>
    <row r="49">
      <c r="A49" s="8"/>
      <c r="B49" s="8"/>
      <c r="C49" s="8"/>
      <c r="D49" s="8"/>
      <c r="E49" s="8"/>
      <c r="F49" s="356"/>
      <c r="G49" s="8"/>
      <c r="H49" s="8"/>
      <c r="I49" s="8"/>
      <c r="J49" s="8"/>
      <c r="K49" s="8"/>
      <c r="L49" s="8"/>
      <c r="M49" s="8"/>
      <c r="N49" s="8"/>
      <c r="O49" s="8"/>
      <c r="P49" s="8"/>
      <c r="Q49" s="8"/>
      <c r="R49" s="8"/>
      <c r="S49" s="357"/>
      <c r="T49" s="357"/>
      <c r="U49" s="357"/>
      <c r="V49" s="357"/>
      <c r="W49" s="8"/>
      <c r="X49" s="8"/>
      <c r="Y49" s="8"/>
      <c r="Z49" s="8"/>
      <c r="AA49" s="8"/>
      <c r="AB49" s="8"/>
    </row>
    <row r="50">
      <c r="A50" s="8"/>
      <c r="B50" s="8"/>
      <c r="C50" s="8"/>
      <c r="D50" s="8"/>
      <c r="E50" s="8"/>
      <c r="F50" s="356"/>
      <c r="G50" s="8"/>
      <c r="H50" s="8"/>
      <c r="I50" s="8"/>
      <c r="J50" s="8"/>
      <c r="K50" s="8"/>
      <c r="L50" s="8"/>
      <c r="M50" s="8"/>
      <c r="N50" s="8"/>
      <c r="O50" s="8"/>
      <c r="P50" s="8"/>
      <c r="Q50" s="8"/>
      <c r="R50" s="8"/>
      <c r="S50" s="357"/>
      <c r="T50" s="357"/>
      <c r="U50" s="357"/>
      <c r="V50" s="357"/>
      <c r="W50" s="8"/>
      <c r="X50" s="8"/>
      <c r="Y50" s="8"/>
      <c r="Z50" s="8"/>
      <c r="AA50" s="8"/>
      <c r="AB50" s="8"/>
    </row>
    <row r="51">
      <c r="A51" s="8"/>
      <c r="B51" s="8"/>
      <c r="C51" s="8"/>
      <c r="D51" s="8"/>
      <c r="E51" s="8"/>
      <c r="F51" s="356"/>
      <c r="G51" s="8"/>
      <c r="H51" s="8"/>
      <c r="I51" s="8"/>
      <c r="J51" s="8"/>
      <c r="K51" s="8"/>
      <c r="L51" s="8"/>
      <c r="M51" s="8"/>
      <c r="N51" s="8"/>
      <c r="O51" s="8"/>
      <c r="P51" s="8"/>
      <c r="Q51" s="8"/>
      <c r="R51" s="8"/>
      <c r="S51" s="357"/>
      <c r="T51" s="357"/>
      <c r="U51" s="357"/>
      <c r="V51" s="357"/>
      <c r="W51" s="8"/>
      <c r="X51" s="8"/>
      <c r="Y51" s="8"/>
      <c r="Z51" s="8"/>
      <c r="AA51" s="8"/>
      <c r="AB51" s="8"/>
    </row>
    <row r="52">
      <c r="A52" s="8"/>
      <c r="B52" s="8"/>
      <c r="C52" s="8"/>
      <c r="D52" s="8"/>
      <c r="E52" s="8"/>
      <c r="F52" s="356"/>
      <c r="G52" s="8"/>
      <c r="H52" s="8"/>
      <c r="I52" s="8"/>
      <c r="J52" s="8"/>
      <c r="K52" s="8"/>
      <c r="L52" s="8"/>
      <c r="M52" s="8"/>
      <c r="N52" s="8"/>
      <c r="O52" s="8"/>
      <c r="P52" s="8"/>
      <c r="Q52" s="8"/>
      <c r="R52" s="8"/>
      <c r="S52" s="357"/>
      <c r="T52" s="357"/>
      <c r="U52" s="357"/>
      <c r="V52" s="357"/>
      <c r="W52" s="8"/>
      <c r="X52" s="8"/>
      <c r="Y52" s="8"/>
      <c r="Z52" s="8"/>
      <c r="AA52" s="8"/>
      <c r="AB52" s="8"/>
    </row>
    <row r="53">
      <c r="A53" s="8"/>
      <c r="B53" s="8"/>
      <c r="C53" s="8"/>
      <c r="D53" s="8"/>
      <c r="E53" s="8"/>
      <c r="F53" s="356"/>
      <c r="G53" s="8"/>
      <c r="H53" s="8"/>
      <c r="I53" s="8"/>
      <c r="J53" s="8"/>
      <c r="K53" s="8"/>
      <c r="L53" s="8"/>
      <c r="M53" s="8"/>
      <c r="N53" s="8"/>
      <c r="O53" s="8"/>
      <c r="P53" s="8"/>
      <c r="Q53" s="8"/>
      <c r="R53" s="8"/>
      <c r="S53" s="357"/>
      <c r="T53" s="357"/>
      <c r="U53" s="357"/>
      <c r="V53" s="357"/>
      <c r="W53" s="8"/>
      <c r="X53" s="8"/>
      <c r="Y53" s="8"/>
      <c r="Z53" s="8"/>
      <c r="AA53" s="8"/>
      <c r="AB53" s="8"/>
    </row>
    <row r="54">
      <c r="A54" s="8"/>
      <c r="B54" s="8"/>
      <c r="C54" s="8"/>
      <c r="D54" s="8"/>
      <c r="E54" s="8"/>
      <c r="F54" s="356"/>
      <c r="G54" s="8"/>
      <c r="H54" s="8"/>
      <c r="I54" s="8"/>
      <c r="J54" s="8"/>
      <c r="K54" s="8"/>
      <c r="L54" s="8"/>
      <c r="M54" s="8"/>
      <c r="N54" s="8"/>
      <c r="O54" s="8"/>
      <c r="P54" s="8"/>
      <c r="Q54" s="8"/>
      <c r="R54" s="8"/>
      <c r="S54" s="357"/>
      <c r="T54" s="357"/>
      <c r="U54" s="357"/>
      <c r="V54" s="357"/>
      <c r="W54" s="8"/>
      <c r="X54" s="8"/>
      <c r="Y54" s="8"/>
      <c r="Z54" s="8"/>
      <c r="AA54" s="8"/>
      <c r="AB54" s="8"/>
    </row>
    <row r="55">
      <c r="A55" s="8"/>
      <c r="B55" s="8"/>
      <c r="C55" s="8"/>
      <c r="D55" s="8"/>
      <c r="E55" s="8"/>
      <c r="F55" s="356"/>
      <c r="G55" s="8"/>
      <c r="H55" s="8"/>
      <c r="I55" s="8"/>
      <c r="J55" s="8"/>
      <c r="K55" s="8"/>
      <c r="L55" s="8"/>
      <c r="M55" s="8"/>
      <c r="N55" s="8"/>
      <c r="O55" s="8"/>
      <c r="P55" s="8"/>
      <c r="Q55" s="8"/>
      <c r="R55" s="8"/>
      <c r="S55" s="357"/>
      <c r="T55" s="357"/>
      <c r="U55" s="357"/>
      <c r="V55" s="357"/>
      <c r="W55" s="8"/>
      <c r="X55" s="8"/>
      <c r="Y55" s="8"/>
      <c r="Z55" s="8"/>
      <c r="AA55" s="8"/>
      <c r="AB55" s="8"/>
    </row>
    <row r="56">
      <c r="A56" s="8"/>
      <c r="B56" s="8"/>
      <c r="C56" s="8"/>
      <c r="D56" s="8"/>
      <c r="E56" s="8"/>
      <c r="F56" s="356"/>
      <c r="G56" s="8"/>
      <c r="H56" s="8"/>
      <c r="I56" s="8"/>
      <c r="J56" s="8"/>
      <c r="K56" s="8"/>
      <c r="L56" s="8"/>
      <c r="M56" s="8"/>
      <c r="N56" s="8"/>
      <c r="O56" s="8"/>
      <c r="P56" s="8"/>
      <c r="Q56" s="8"/>
      <c r="R56" s="8"/>
      <c r="S56" s="357"/>
      <c r="T56" s="357"/>
      <c r="U56" s="357"/>
      <c r="V56" s="357"/>
      <c r="W56" s="8"/>
      <c r="X56" s="8"/>
      <c r="Y56" s="8"/>
      <c r="Z56" s="8"/>
      <c r="AA56" s="8"/>
      <c r="AB56" s="8"/>
    </row>
    <row r="57">
      <c r="A57" s="8"/>
      <c r="B57" s="8"/>
      <c r="C57" s="8"/>
      <c r="D57" s="8"/>
      <c r="E57" s="8"/>
      <c r="F57" s="356"/>
      <c r="G57" s="8"/>
      <c r="H57" s="8"/>
      <c r="I57" s="8"/>
      <c r="J57" s="8"/>
      <c r="K57" s="8"/>
      <c r="L57" s="8"/>
      <c r="M57" s="8"/>
      <c r="N57" s="8"/>
      <c r="O57" s="8"/>
      <c r="P57" s="8"/>
      <c r="Q57" s="8"/>
      <c r="R57" s="8"/>
      <c r="S57" s="357"/>
      <c r="T57" s="357"/>
      <c r="U57" s="357"/>
      <c r="V57" s="357"/>
      <c r="W57" s="8"/>
      <c r="X57" s="8"/>
      <c r="Y57" s="8"/>
      <c r="Z57" s="8"/>
      <c r="AA57" s="8"/>
      <c r="AB57" s="8"/>
    </row>
    <row r="58">
      <c r="A58" s="8"/>
      <c r="B58" s="8"/>
      <c r="C58" s="8"/>
      <c r="D58" s="8"/>
      <c r="E58" s="8"/>
      <c r="F58" s="356"/>
      <c r="G58" s="8"/>
      <c r="H58" s="8"/>
      <c r="I58" s="8"/>
      <c r="J58" s="8"/>
      <c r="K58" s="8"/>
      <c r="L58" s="8"/>
      <c r="M58" s="8"/>
      <c r="N58" s="8"/>
      <c r="O58" s="8"/>
      <c r="P58" s="8"/>
      <c r="Q58" s="8"/>
      <c r="R58" s="8"/>
      <c r="S58" s="357"/>
      <c r="T58" s="357"/>
      <c r="U58" s="357"/>
      <c r="V58" s="357"/>
      <c r="W58" s="8"/>
      <c r="X58" s="8"/>
      <c r="Y58" s="8"/>
      <c r="Z58" s="8"/>
      <c r="AA58" s="8"/>
      <c r="AB58" s="8"/>
    </row>
    <row r="59">
      <c r="A59" s="8"/>
      <c r="B59" s="8"/>
      <c r="C59" s="8"/>
      <c r="D59" s="8"/>
      <c r="E59" s="8"/>
      <c r="F59" s="356"/>
      <c r="G59" s="8"/>
      <c r="H59" s="8"/>
      <c r="I59" s="8"/>
      <c r="J59" s="8"/>
      <c r="K59" s="8"/>
      <c r="L59" s="8"/>
      <c r="M59" s="8"/>
      <c r="N59" s="8"/>
      <c r="O59" s="8"/>
      <c r="P59" s="8"/>
      <c r="Q59" s="8"/>
      <c r="R59" s="8"/>
      <c r="S59" s="357"/>
      <c r="T59" s="357"/>
      <c r="U59" s="357"/>
      <c r="V59" s="357"/>
      <c r="W59" s="8"/>
      <c r="X59" s="8"/>
      <c r="Y59" s="8"/>
      <c r="Z59" s="8"/>
      <c r="AA59" s="8"/>
      <c r="AB59" s="8"/>
    </row>
    <row r="60">
      <c r="A60" s="8"/>
      <c r="B60" s="8"/>
      <c r="C60" s="8"/>
      <c r="D60" s="8"/>
      <c r="E60" s="8"/>
      <c r="F60" s="356"/>
      <c r="G60" s="8"/>
      <c r="H60" s="8"/>
      <c r="I60" s="8"/>
      <c r="J60" s="8"/>
      <c r="K60" s="8"/>
      <c r="L60" s="8"/>
      <c r="M60" s="8"/>
      <c r="N60" s="8"/>
      <c r="O60" s="8"/>
      <c r="P60" s="8"/>
      <c r="Q60" s="8"/>
      <c r="R60" s="8"/>
      <c r="S60" s="357"/>
      <c r="T60" s="357"/>
      <c r="U60" s="357"/>
      <c r="V60" s="357"/>
      <c r="W60" s="8"/>
      <c r="X60" s="8"/>
      <c r="Y60" s="8"/>
      <c r="Z60" s="8"/>
      <c r="AA60" s="8"/>
      <c r="AB60" s="8"/>
    </row>
    <row r="61">
      <c r="A61" s="8"/>
      <c r="B61" s="8"/>
      <c r="C61" s="8"/>
      <c r="D61" s="8"/>
      <c r="E61" s="8"/>
      <c r="F61" s="356"/>
      <c r="G61" s="8"/>
      <c r="H61" s="8"/>
      <c r="I61" s="8"/>
      <c r="J61" s="8"/>
      <c r="K61" s="8"/>
      <c r="L61" s="8"/>
      <c r="M61" s="8"/>
      <c r="N61" s="8"/>
      <c r="O61" s="8"/>
      <c r="P61" s="8"/>
      <c r="Q61" s="8"/>
      <c r="R61" s="8"/>
      <c r="S61" s="357"/>
      <c r="T61" s="357"/>
      <c r="U61" s="357"/>
      <c r="V61" s="357"/>
      <c r="W61" s="8"/>
      <c r="X61" s="8"/>
      <c r="Y61" s="8"/>
      <c r="Z61" s="8"/>
      <c r="AA61" s="8"/>
      <c r="AB61" s="8"/>
    </row>
    <row r="62">
      <c r="A62" s="8"/>
      <c r="B62" s="8"/>
      <c r="C62" s="8"/>
      <c r="D62" s="8"/>
      <c r="E62" s="8"/>
      <c r="F62" s="356"/>
      <c r="G62" s="8"/>
      <c r="H62" s="8"/>
      <c r="I62" s="8"/>
      <c r="J62" s="8"/>
      <c r="K62" s="8"/>
      <c r="L62" s="8"/>
      <c r="M62" s="8"/>
      <c r="N62" s="8"/>
      <c r="O62" s="8"/>
      <c r="P62" s="8"/>
      <c r="Q62" s="8"/>
      <c r="R62" s="8"/>
      <c r="S62" s="357"/>
      <c r="T62" s="357"/>
      <c r="U62" s="357"/>
      <c r="V62" s="357"/>
      <c r="W62" s="8"/>
      <c r="X62" s="8"/>
      <c r="Y62" s="8"/>
      <c r="Z62" s="8"/>
      <c r="AA62" s="8"/>
      <c r="AB62" s="8"/>
    </row>
    <row r="63">
      <c r="A63" s="8"/>
      <c r="B63" s="8"/>
      <c r="C63" s="8"/>
      <c r="D63" s="8"/>
      <c r="E63" s="8"/>
      <c r="F63" s="356"/>
      <c r="G63" s="8"/>
      <c r="H63" s="8"/>
      <c r="I63" s="8"/>
      <c r="J63" s="8"/>
      <c r="K63" s="8"/>
      <c r="L63" s="8"/>
      <c r="M63" s="8"/>
      <c r="N63" s="8"/>
      <c r="O63" s="8"/>
      <c r="P63" s="8"/>
      <c r="Q63" s="8"/>
      <c r="R63" s="8"/>
      <c r="S63" s="357"/>
      <c r="T63" s="357"/>
      <c r="U63" s="357"/>
      <c r="V63" s="357"/>
      <c r="W63" s="8"/>
      <c r="X63" s="8"/>
      <c r="Y63" s="8"/>
      <c r="Z63" s="8"/>
      <c r="AA63" s="8"/>
      <c r="AB63" s="8"/>
    </row>
    <row r="64">
      <c r="A64" s="8"/>
      <c r="B64" s="8"/>
      <c r="C64" s="8"/>
      <c r="D64" s="8"/>
      <c r="E64" s="8"/>
      <c r="F64" s="356"/>
      <c r="G64" s="8"/>
      <c r="H64" s="8"/>
      <c r="I64" s="8"/>
      <c r="J64" s="8"/>
      <c r="K64" s="8"/>
      <c r="L64" s="8"/>
      <c r="M64" s="8"/>
      <c r="N64" s="8"/>
      <c r="O64" s="8"/>
      <c r="P64" s="8"/>
      <c r="Q64" s="8"/>
      <c r="R64" s="8"/>
      <c r="S64" s="357"/>
      <c r="T64" s="357"/>
      <c r="U64" s="357"/>
      <c r="V64" s="357"/>
      <c r="W64" s="8"/>
      <c r="X64" s="8"/>
      <c r="Y64" s="8"/>
      <c r="Z64" s="8"/>
      <c r="AA64" s="8"/>
      <c r="AB64" s="8"/>
    </row>
    <row r="65">
      <c r="A65" s="8"/>
      <c r="B65" s="8"/>
      <c r="C65" s="8"/>
      <c r="D65" s="8"/>
      <c r="E65" s="8"/>
      <c r="F65" s="356"/>
      <c r="G65" s="8"/>
      <c r="H65" s="8"/>
      <c r="I65" s="8"/>
      <c r="J65" s="8"/>
      <c r="K65" s="8"/>
      <c r="L65" s="8"/>
      <c r="M65" s="8"/>
      <c r="N65" s="8"/>
      <c r="O65" s="8"/>
      <c r="P65" s="8"/>
      <c r="Q65" s="8"/>
      <c r="R65" s="8"/>
      <c r="S65" s="357"/>
      <c r="T65" s="357"/>
      <c r="U65" s="357"/>
      <c r="V65" s="357"/>
      <c r="W65" s="8"/>
      <c r="X65" s="8"/>
      <c r="Y65" s="8"/>
      <c r="Z65" s="8"/>
      <c r="AA65" s="8"/>
      <c r="AB65" s="8"/>
    </row>
    <row r="66">
      <c r="A66" s="8"/>
      <c r="B66" s="8"/>
      <c r="C66" s="8"/>
      <c r="D66" s="8"/>
      <c r="E66" s="8"/>
      <c r="F66" s="356"/>
      <c r="G66" s="8"/>
      <c r="H66" s="8"/>
      <c r="I66" s="8"/>
      <c r="J66" s="8"/>
      <c r="K66" s="8"/>
      <c r="L66" s="8"/>
      <c r="M66" s="8"/>
      <c r="N66" s="8"/>
      <c r="O66" s="8"/>
      <c r="P66" s="8"/>
      <c r="Q66" s="8"/>
      <c r="R66" s="8"/>
      <c r="S66" s="357"/>
      <c r="T66" s="357"/>
      <c r="U66" s="357"/>
      <c r="V66" s="357"/>
      <c r="W66" s="8"/>
      <c r="X66" s="8"/>
      <c r="Y66" s="8"/>
      <c r="Z66" s="8"/>
      <c r="AA66" s="8"/>
      <c r="AB66" s="8"/>
    </row>
    <row r="67">
      <c r="A67" s="8"/>
      <c r="B67" s="8"/>
      <c r="C67" s="8"/>
      <c r="D67" s="8"/>
      <c r="E67" s="8"/>
      <c r="F67" s="356"/>
      <c r="G67" s="8"/>
      <c r="H67" s="8"/>
      <c r="I67" s="8"/>
      <c r="J67" s="8"/>
      <c r="K67" s="8"/>
      <c r="L67" s="8"/>
      <c r="M67" s="8"/>
      <c r="N67" s="8"/>
      <c r="O67" s="8"/>
      <c r="P67" s="8"/>
      <c r="Q67" s="8"/>
      <c r="R67" s="8"/>
      <c r="S67" s="357"/>
      <c r="T67" s="357"/>
      <c r="U67" s="357"/>
      <c r="V67" s="357"/>
      <c r="W67" s="8"/>
      <c r="X67" s="8"/>
      <c r="Y67" s="8"/>
      <c r="Z67" s="8"/>
      <c r="AA67" s="8"/>
      <c r="AB67" s="8"/>
    </row>
    <row r="68">
      <c r="A68" s="8"/>
      <c r="B68" s="8"/>
      <c r="C68" s="8"/>
      <c r="D68" s="8"/>
      <c r="E68" s="8"/>
      <c r="F68" s="356"/>
      <c r="G68" s="8"/>
      <c r="H68" s="8"/>
      <c r="I68" s="8"/>
      <c r="J68" s="8"/>
      <c r="K68" s="8"/>
      <c r="L68" s="8"/>
      <c r="M68" s="8"/>
      <c r="N68" s="8"/>
      <c r="O68" s="8"/>
      <c r="P68" s="8"/>
      <c r="Q68" s="8"/>
      <c r="R68" s="8"/>
      <c r="S68" s="357"/>
      <c r="T68" s="357"/>
      <c r="U68" s="357"/>
      <c r="V68" s="357"/>
      <c r="W68" s="8"/>
      <c r="X68" s="8"/>
      <c r="Y68" s="8"/>
      <c r="Z68" s="8"/>
      <c r="AA68" s="8"/>
      <c r="AB68" s="8"/>
    </row>
    <row r="69">
      <c r="A69" s="8"/>
      <c r="B69" s="8"/>
      <c r="C69" s="8"/>
      <c r="D69" s="8"/>
      <c r="E69" s="8"/>
      <c r="F69" s="356"/>
      <c r="G69" s="8"/>
      <c r="H69" s="8"/>
      <c r="I69" s="8"/>
      <c r="J69" s="8"/>
      <c r="K69" s="8"/>
      <c r="L69" s="8"/>
      <c r="M69" s="8"/>
      <c r="N69" s="8"/>
      <c r="O69" s="8"/>
      <c r="P69" s="8"/>
      <c r="Q69" s="8"/>
      <c r="R69" s="8"/>
      <c r="S69" s="357"/>
      <c r="T69" s="357"/>
      <c r="U69" s="357"/>
      <c r="V69" s="357"/>
      <c r="W69" s="8"/>
      <c r="X69" s="8"/>
      <c r="Y69" s="8"/>
      <c r="Z69" s="8"/>
      <c r="AA69" s="8"/>
      <c r="AB69" s="8"/>
    </row>
    <row r="70">
      <c r="A70" s="8"/>
      <c r="B70" s="8"/>
      <c r="C70" s="8"/>
      <c r="D70" s="8"/>
      <c r="E70" s="8"/>
      <c r="F70" s="356"/>
      <c r="G70" s="8"/>
      <c r="H70" s="8"/>
      <c r="I70" s="8"/>
      <c r="J70" s="8"/>
      <c r="K70" s="8"/>
      <c r="L70" s="8"/>
      <c r="M70" s="8"/>
      <c r="N70" s="8"/>
      <c r="O70" s="8"/>
      <c r="P70" s="8"/>
      <c r="Q70" s="8"/>
      <c r="R70" s="8"/>
      <c r="S70" s="357"/>
      <c r="T70" s="357"/>
      <c r="U70" s="357"/>
      <c r="V70" s="357"/>
      <c r="W70" s="8"/>
      <c r="X70" s="8"/>
      <c r="Y70" s="8"/>
      <c r="Z70" s="8"/>
      <c r="AA70" s="8"/>
      <c r="AB70" s="8"/>
    </row>
    <row r="71">
      <c r="A71" s="8"/>
      <c r="B71" s="8"/>
      <c r="C71" s="8"/>
      <c r="D71" s="8"/>
      <c r="E71" s="8"/>
      <c r="F71" s="356"/>
      <c r="G71" s="8"/>
      <c r="H71" s="8"/>
      <c r="I71" s="8"/>
      <c r="J71" s="8"/>
      <c r="K71" s="8"/>
      <c r="L71" s="8"/>
      <c r="M71" s="8"/>
      <c r="N71" s="8"/>
      <c r="O71" s="8"/>
      <c r="P71" s="8"/>
      <c r="Q71" s="8"/>
      <c r="R71" s="8"/>
      <c r="S71" s="357"/>
      <c r="T71" s="357"/>
      <c r="U71" s="357"/>
      <c r="V71" s="357"/>
      <c r="W71" s="8"/>
      <c r="X71" s="8"/>
      <c r="Y71" s="8"/>
      <c r="Z71" s="8"/>
      <c r="AA71" s="8"/>
      <c r="AB71" s="8"/>
    </row>
    <row r="72">
      <c r="A72" s="8"/>
      <c r="B72" s="8"/>
      <c r="C72" s="8"/>
      <c r="D72" s="8"/>
      <c r="E72" s="8"/>
      <c r="F72" s="356"/>
      <c r="G72" s="8"/>
      <c r="H72" s="8"/>
      <c r="I72" s="8"/>
      <c r="J72" s="8"/>
      <c r="K72" s="8"/>
      <c r="L72" s="8"/>
      <c r="M72" s="8"/>
      <c r="N72" s="8"/>
      <c r="O72" s="8"/>
      <c r="P72" s="8"/>
      <c r="Q72" s="8"/>
      <c r="R72" s="8"/>
      <c r="S72" s="357"/>
      <c r="T72" s="357"/>
      <c r="U72" s="357"/>
      <c r="V72" s="357"/>
      <c r="W72" s="8"/>
      <c r="X72" s="8"/>
      <c r="Y72" s="8"/>
      <c r="Z72" s="8"/>
      <c r="AA72" s="8"/>
      <c r="AB72" s="8"/>
    </row>
    <row r="73">
      <c r="A73" s="8"/>
      <c r="B73" s="8"/>
      <c r="C73" s="8"/>
      <c r="D73" s="8"/>
      <c r="E73" s="8"/>
      <c r="F73" s="356"/>
      <c r="G73" s="8"/>
      <c r="H73" s="8"/>
      <c r="I73" s="8"/>
      <c r="J73" s="8"/>
      <c r="K73" s="8"/>
      <c r="L73" s="8"/>
      <c r="M73" s="8"/>
      <c r="N73" s="8"/>
      <c r="O73" s="8"/>
      <c r="P73" s="8"/>
      <c r="Q73" s="8"/>
      <c r="R73" s="8"/>
      <c r="S73" s="357"/>
      <c r="T73" s="357"/>
      <c r="U73" s="357"/>
      <c r="V73" s="357"/>
      <c r="W73" s="8"/>
      <c r="X73" s="8"/>
      <c r="Y73" s="8"/>
      <c r="Z73" s="8"/>
      <c r="AA73" s="8"/>
      <c r="AB73" s="8"/>
    </row>
    <row r="74">
      <c r="A74" s="8"/>
      <c r="B74" s="8"/>
      <c r="C74" s="8"/>
      <c r="D74" s="8"/>
      <c r="E74" s="8"/>
      <c r="F74" s="356"/>
      <c r="G74" s="8"/>
      <c r="H74" s="8"/>
      <c r="I74" s="8"/>
      <c r="J74" s="8"/>
      <c r="K74" s="8"/>
      <c r="L74" s="8"/>
      <c r="M74" s="8"/>
      <c r="N74" s="8"/>
      <c r="O74" s="8"/>
      <c r="P74" s="8"/>
      <c r="Q74" s="8"/>
      <c r="R74" s="8"/>
      <c r="S74" s="357"/>
      <c r="T74" s="357"/>
      <c r="U74" s="357"/>
      <c r="V74" s="357"/>
      <c r="W74" s="8"/>
      <c r="X74" s="8"/>
      <c r="Y74" s="8"/>
      <c r="Z74" s="8"/>
      <c r="AA74" s="8"/>
      <c r="AB74" s="8"/>
    </row>
    <row r="75">
      <c r="A75" s="8"/>
      <c r="B75" s="8"/>
      <c r="C75" s="8"/>
      <c r="D75" s="8"/>
      <c r="E75" s="8"/>
      <c r="F75" s="356"/>
      <c r="G75" s="8"/>
      <c r="H75" s="8"/>
      <c r="I75" s="8"/>
      <c r="J75" s="8"/>
      <c r="K75" s="8"/>
      <c r="L75" s="8"/>
      <c r="M75" s="8"/>
      <c r="N75" s="8"/>
      <c r="O75" s="8"/>
      <c r="P75" s="8"/>
      <c r="Q75" s="8"/>
      <c r="R75" s="8"/>
      <c r="S75" s="357"/>
      <c r="T75" s="357"/>
      <c r="U75" s="357"/>
      <c r="V75" s="357"/>
      <c r="W75" s="8"/>
      <c r="X75" s="8"/>
      <c r="Y75" s="8"/>
      <c r="Z75" s="8"/>
      <c r="AA75" s="8"/>
      <c r="AB75" s="8"/>
    </row>
    <row r="76">
      <c r="A76" s="8"/>
      <c r="B76" s="8"/>
      <c r="C76" s="8"/>
      <c r="D76" s="8"/>
      <c r="E76" s="8"/>
      <c r="F76" s="356"/>
      <c r="G76" s="8"/>
      <c r="H76" s="8"/>
      <c r="I76" s="8"/>
      <c r="J76" s="8"/>
      <c r="K76" s="8"/>
      <c r="L76" s="8"/>
      <c r="M76" s="8"/>
      <c r="N76" s="8"/>
      <c r="O76" s="8"/>
      <c r="P76" s="8"/>
      <c r="Q76" s="8"/>
      <c r="R76" s="8"/>
      <c r="S76" s="357"/>
      <c r="T76" s="357"/>
      <c r="U76" s="357"/>
      <c r="V76" s="357"/>
      <c r="W76" s="8"/>
      <c r="X76" s="8"/>
      <c r="Y76" s="8"/>
      <c r="Z76" s="8"/>
      <c r="AA76" s="8"/>
      <c r="AB76" s="8"/>
    </row>
    <row r="77">
      <c r="A77" s="8"/>
      <c r="B77" s="8"/>
      <c r="C77" s="8"/>
      <c r="D77" s="8"/>
      <c r="E77" s="8"/>
      <c r="F77" s="356"/>
      <c r="G77" s="8"/>
      <c r="H77" s="8"/>
      <c r="I77" s="8"/>
      <c r="J77" s="8"/>
      <c r="K77" s="8"/>
      <c r="L77" s="8"/>
      <c r="M77" s="8"/>
      <c r="N77" s="8"/>
      <c r="O77" s="8"/>
      <c r="P77" s="8"/>
      <c r="Q77" s="8"/>
      <c r="R77" s="8"/>
      <c r="S77" s="357"/>
      <c r="T77" s="357"/>
      <c r="U77" s="357"/>
      <c r="V77" s="357"/>
      <c r="W77" s="8"/>
      <c r="X77" s="8"/>
      <c r="Y77" s="8"/>
      <c r="Z77" s="8"/>
      <c r="AA77" s="8"/>
      <c r="AB77" s="8"/>
    </row>
    <row r="78">
      <c r="A78" s="8"/>
      <c r="B78" s="8"/>
      <c r="C78" s="8"/>
      <c r="D78" s="8"/>
      <c r="E78" s="8"/>
      <c r="F78" s="356"/>
      <c r="G78" s="8"/>
      <c r="H78" s="8"/>
      <c r="I78" s="8"/>
      <c r="J78" s="8"/>
      <c r="K78" s="8"/>
      <c r="L78" s="8"/>
      <c r="M78" s="8"/>
      <c r="N78" s="8"/>
      <c r="O78" s="8"/>
      <c r="P78" s="8"/>
      <c r="Q78" s="8"/>
      <c r="R78" s="8"/>
      <c r="S78" s="357"/>
      <c r="T78" s="357"/>
      <c r="U78" s="357"/>
      <c r="V78" s="357"/>
      <c r="W78" s="8"/>
      <c r="X78" s="8"/>
      <c r="Y78" s="8"/>
      <c r="Z78" s="8"/>
      <c r="AA78" s="8"/>
      <c r="AB78" s="8"/>
    </row>
    <row r="79">
      <c r="A79" s="8"/>
      <c r="B79" s="8"/>
      <c r="C79" s="8"/>
      <c r="D79" s="8"/>
      <c r="E79" s="8"/>
      <c r="F79" s="356"/>
      <c r="G79" s="8"/>
      <c r="H79" s="8"/>
      <c r="I79" s="8"/>
      <c r="J79" s="8"/>
      <c r="K79" s="8"/>
      <c r="L79" s="8"/>
      <c r="M79" s="8"/>
      <c r="N79" s="8"/>
      <c r="O79" s="8"/>
      <c r="P79" s="8"/>
      <c r="Q79" s="8"/>
      <c r="R79" s="8"/>
      <c r="S79" s="357"/>
      <c r="T79" s="357"/>
      <c r="U79" s="357"/>
      <c r="V79" s="357"/>
      <c r="W79" s="8"/>
      <c r="X79" s="8"/>
      <c r="Y79" s="8"/>
      <c r="Z79" s="8"/>
      <c r="AA79" s="8"/>
      <c r="AB79" s="8"/>
    </row>
    <row r="80">
      <c r="A80" s="8"/>
      <c r="B80" s="8"/>
      <c r="C80" s="8"/>
      <c r="D80" s="8"/>
      <c r="E80" s="8"/>
      <c r="F80" s="356"/>
      <c r="G80" s="8"/>
      <c r="H80" s="8"/>
      <c r="I80" s="8"/>
      <c r="J80" s="8"/>
      <c r="K80" s="8"/>
      <c r="L80" s="8"/>
      <c r="M80" s="8"/>
      <c r="N80" s="8"/>
      <c r="O80" s="8"/>
      <c r="P80" s="8"/>
      <c r="Q80" s="8"/>
      <c r="R80" s="8"/>
      <c r="S80" s="357"/>
      <c r="T80" s="357"/>
      <c r="U80" s="357"/>
      <c r="V80" s="357"/>
      <c r="W80" s="8"/>
      <c r="X80" s="8"/>
      <c r="Y80" s="8"/>
      <c r="Z80" s="8"/>
      <c r="AA80" s="8"/>
      <c r="AB80" s="8"/>
    </row>
    <row r="81">
      <c r="A81" s="8"/>
      <c r="B81" s="8"/>
      <c r="C81" s="8"/>
      <c r="D81" s="8"/>
      <c r="E81" s="8"/>
      <c r="F81" s="356"/>
      <c r="G81" s="8"/>
      <c r="H81" s="8"/>
      <c r="I81" s="8"/>
      <c r="J81" s="8"/>
      <c r="K81" s="8"/>
      <c r="L81" s="8"/>
      <c r="M81" s="8"/>
      <c r="N81" s="8"/>
      <c r="O81" s="8"/>
      <c r="P81" s="8"/>
      <c r="Q81" s="8"/>
      <c r="R81" s="8"/>
      <c r="S81" s="357"/>
      <c r="T81" s="357"/>
      <c r="U81" s="357"/>
      <c r="V81" s="357"/>
      <c r="W81" s="8"/>
      <c r="X81" s="8"/>
      <c r="Y81" s="8"/>
      <c r="Z81" s="8"/>
      <c r="AA81" s="8"/>
      <c r="AB81" s="8"/>
    </row>
    <row r="82">
      <c r="A82" s="8"/>
      <c r="B82" s="8"/>
      <c r="C82" s="8"/>
      <c r="D82" s="8"/>
      <c r="E82" s="8"/>
      <c r="F82" s="356"/>
      <c r="G82" s="8"/>
      <c r="H82" s="8"/>
      <c r="I82" s="8"/>
      <c r="J82" s="8"/>
      <c r="K82" s="8"/>
      <c r="L82" s="8"/>
      <c r="M82" s="8"/>
      <c r="N82" s="8"/>
      <c r="O82" s="8"/>
      <c r="P82" s="8"/>
      <c r="Q82" s="8"/>
      <c r="R82" s="8"/>
      <c r="S82" s="357"/>
      <c r="T82" s="357"/>
      <c r="U82" s="357"/>
      <c r="V82" s="357"/>
      <c r="W82" s="8"/>
      <c r="X82" s="8"/>
      <c r="Y82" s="8"/>
      <c r="Z82" s="8"/>
      <c r="AA82" s="8"/>
      <c r="AB82" s="8"/>
    </row>
    <row r="83">
      <c r="A83" s="8"/>
      <c r="B83" s="8"/>
      <c r="C83" s="8"/>
      <c r="D83" s="8"/>
      <c r="E83" s="8"/>
      <c r="F83" s="356"/>
      <c r="G83" s="8"/>
      <c r="H83" s="8"/>
      <c r="I83" s="8"/>
      <c r="J83" s="8"/>
      <c r="K83" s="8"/>
      <c r="L83" s="8"/>
      <c r="M83" s="8"/>
      <c r="N83" s="8"/>
      <c r="O83" s="8"/>
      <c r="P83" s="8"/>
      <c r="Q83" s="8"/>
      <c r="R83" s="8"/>
      <c r="S83" s="357"/>
      <c r="T83" s="357"/>
      <c r="U83" s="357"/>
      <c r="V83" s="357"/>
      <c r="W83" s="8"/>
      <c r="X83" s="8"/>
      <c r="Y83" s="8"/>
      <c r="Z83" s="8"/>
      <c r="AA83" s="8"/>
      <c r="AB83" s="8"/>
    </row>
    <row r="84">
      <c r="A84" s="8"/>
      <c r="B84" s="8"/>
      <c r="C84" s="8"/>
      <c r="D84" s="8"/>
      <c r="E84" s="8"/>
      <c r="F84" s="356"/>
      <c r="G84" s="8"/>
      <c r="H84" s="8"/>
      <c r="I84" s="8"/>
      <c r="J84" s="8"/>
      <c r="K84" s="8"/>
      <c r="L84" s="8"/>
      <c r="M84" s="8"/>
      <c r="N84" s="8"/>
      <c r="O84" s="8"/>
      <c r="P84" s="8"/>
      <c r="Q84" s="8"/>
      <c r="R84" s="8"/>
      <c r="S84" s="357"/>
      <c r="T84" s="357"/>
      <c r="U84" s="357"/>
      <c r="V84" s="357"/>
      <c r="W84" s="8"/>
      <c r="X84" s="8"/>
      <c r="Y84" s="8"/>
      <c r="Z84" s="8"/>
      <c r="AA84" s="8"/>
      <c r="AB84" s="8"/>
    </row>
    <row r="85">
      <c r="A85" s="8"/>
      <c r="B85" s="8"/>
      <c r="C85" s="8"/>
      <c r="D85" s="8"/>
      <c r="E85" s="8"/>
      <c r="F85" s="356"/>
      <c r="G85" s="8"/>
      <c r="H85" s="8"/>
      <c r="I85" s="8"/>
      <c r="J85" s="8"/>
      <c r="K85" s="8"/>
      <c r="L85" s="8"/>
      <c r="M85" s="8"/>
      <c r="N85" s="8"/>
      <c r="O85" s="8"/>
      <c r="P85" s="8"/>
      <c r="Q85" s="8"/>
      <c r="R85" s="8"/>
      <c r="S85" s="357"/>
      <c r="T85" s="357"/>
      <c r="U85" s="357"/>
      <c r="V85" s="357"/>
      <c r="W85" s="8"/>
      <c r="X85" s="8"/>
      <c r="Y85" s="8"/>
      <c r="Z85" s="8"/>
      <c r="AA85" s="8"/>
      <c r="AB85" s="8"/>
    </row>
    <row r="86">
      <c r="A86" s="8"/>
      <c r="B86" s="8"/>
      <c r="C86" s="8"/>
      <c r="D86" s="8"/>
      <c r="E86" s="8"/>
      <c r="F86" s="356"/>
      <c r="G86" s="8"/>
      <c r="H86" s="8"/>
      <c r="I86" s="8"/>
      <c r="J86" s="8"/>
      <c r="K86" s="8"/>
      <c r="L86" s="8"/>
      <c r="M86" s="8"/>
      <c r="N86" s="8"/>
      <c r="O86" s="8"/>
      <c r="P86" s="8"/>
      <c r="Q86" s="8"/>
      <c r="R86" s="8"/>
      <c r="S86" s="357"/>
      <c r="T86" s="357"/>
      <c r="U86" s="357"/>
      <c r="V86" s="357"/>
      <c r="W86" s="8"/>
      <c r="X86" s="8"/>
      <c r="Y86" s="8"/>
      <c r="Z86" s="8"/>
      <c r="AA86" s="8"/>
      <c r="AB86" s="8"/>
    </row>
    <row r="87">
      <c r="A87" s="8"/>
      <c r="B87" s="8"/>
      <c r="C87" s="8"/>
      <c r="D87" s="8"/>
      <c r="E87" s="8"/>
      <c r="F87" s="356"/>
      <c r="G87" s="8"/>
      <c r="H87" s="8"/>
      <c r="I87" s="8"/>
      <c r="J87" s="8"/>
      <c r="K87" s="8"/>
      <c r="L87" s="8"/>
      <c r="M87" s="8"/>
      <c r="N87" s="8"/>
      <c r="O87" s="8"/>
      <c r="P87" s="8"/>
      <c r="Q87" s="8"/>
      <c r="R87" s="8"/>
      <c r="S87" s="357"/>
      <c r="T87" s="357"/>
      <c r="U87" s="357"/>
      <c r="V87" s="357"/>
      <c r="W87" s="8"/>
      <c r="X87" s="8"/>
      <c r="Y87" s="8"/>
      <c r="Z87" s="8"/>
      <c r="AA87" s="8"/>
      <c r="AB87" s="8"/>
    </row>
    <row r="88">
      <c r="A88" s="8"/>
      <c r="B88" s="8"/>
      <c r="C88" s="8"/>
      <c r="D88" s="8"/>
      <c r="E88" s="8"/>
      <c r="F88" s="356"/>
      <c r="G88" s="8"/>
      <c r="H88" s="8"/>
      <c r="I88" s="8"/>
      <c r="J88" s="8"/>
      <c r="K88" s="8"/>
      <c r="L88" s="8"/>
      <c r="M88" s="8"/>
      <c r="N88" s="8"/>
      <c r="O88" s="8"/>
      <c r="P88" s="8"/>
      <c r="Q88" s="8"/>
      <c r="R88" s="8"/>
      <c r="S88" s="357"/>
      <c r="T88" s="357"/>
      <c r="U88" s="357"/>
      <c r="V88" s="357"/>
      <c r="W88" s="8"/>
      <c r="X88" s="8"/>
      <c r="Y88" s="8"/>
      <c r="Z88" s="8"/>
      <c r="AA88" s="8"/>
      <c r="AB88" s="8"/>
    </row>
    <row r="89">
      <c r="A89" s="8"/>
      <c r="B89" s="8"/>
      <c r="C89" s="8"/>
      <c r="D89" s="8"/>
      <c r="E89" s="8"/>
      <c r="F89" s="356"/>
      <c r="G89" s="8"/>
      <c r="H89" s="8"/>
      <c r="I89" s="8"/>
      <c r="J89" s="8"/>
      <c r="K89" s="8"/>
      <c r="L89" s="8"/>
      <c r="M89" s="8"/>
      <c r="N89" s="8"/>
      <c r="O89" s="8"/>
      <c r="P89" s="8"/>
      <c r="Q89" s="8"/>
      <c r="R89" s="8"/>
      <c r="S89" s="357"/>
      <c r="T89" s="357"/>
      <c r="U89" s="357"/>
      <c r="V89" s="357"/>
      <c r="W89" s="8"/>
      <c r="X89" s="8"/>
      <c r="Y89" s="8"/>
      <c r="Z89" s="8"/>
      <c r="AA89" s="8"/>
      <c r="AB89" s="8"/>
    </row>
    <row r="90">
      <c r="A90" s="8"/>
      <c r="B90" s="8"/>
      <c r="C90" s="8"/>
      <c r="D90" s="8"/>
      <c r="E90" s="8"/>
      <c r="F90" s="356"/>
      <c r="G90" s="8"/>
      <c r="H90" s="8"/>
      <c r="I90" s="8"/>
      <c r="J90" s="8"/>
      <c r="K90" s="8"/>
      <c r="L90" s="8"/>
      <c r="M90" s="8"/>
      <c r="N90" s="8"/>
      <c r="O90" s="8"/>
      <c r="P90" s="8"/>
      <c r="Q90" s="8"/>
      <c r="R90" s="8"/>
      <c r="S90" s="357"/>
      <c r="T90" s="357"/>
      <c r="U90" s="357"/>
      <c r="V90" s="357"/>
      <c r="W90" s="8"/>
      <c r="X90" s="8"/>
      <c r="Y90" s="8"/>
      <c r="Z90" s="8"/>
      <c r="AA90" s="8"/>
      <c r="AB90" s="8"/>
    </row>
    <row r="91">
      <c r="A91" s="8"/>
      <c r="B91" s="8"/>
      <c r="C91" s="8"/>
      <c r="D91" s="8"/>
      <c r="E91" s="8"/>
      <c r="F91" s="356"/>
      <c r="G91" s="8"/>
      <c r="H91" s="8"/>
      <c r="I91" s="8"/>
      <c r="J91" s="8"/>
      <c r="K91" s="8"/>
      <c r="L91" s="8"/>
      <c r="M91" s="8"/>
      <c r="N91" s="8"/>
      <c r="O91" s="8"/>
      <c r="P91" s="8"/>
      <c r="Q91" s="8"/>
      <c r="R91" s="8"/>
      <c r="S91" s="357"/>
      <c r="T91" s="357"/>
      <c r="U91" s="357"/>
      <c r="V91" s="357"/>
      <c r="W91" s="8"/>
      <c r="X91" s="8"/>
      <c r="Y91" s="8"/>
      <c r="Z91" s="8"/>
      <c r="AA91" s="8"/>
      <c r="AB91" s="8"/>
    </row>
    <row r="92">
      <c r="A92" s="8"/>
      <c r="B92" s="8"/>
      <c r="C92" s="8"/>
      <c r="D92" s="8"/>
      <c r="E92" s="8"/>
      <c r="F92" s="356"/>
      <c r="G92" s="8"/>
      <c r="H92" s="8"/>
      <c r="I92" s="8"/>
      <c r="J92" s="8"/>
      <c r="K92" s="8"/>
      <c r="L92" s="8"/>
      <c r="M92" s="8"/>
      <c r="N92" s="8"/>
      <c r="O92" s="8"/>
      <c r="P92" s="8"/>
      <c r="Q92" s="8"/>
      <c r="R92" s="8"/>
      <c r="S92" s="357"/>
      <c r="T92" s="357"/>
      <c r="U92" s="357"/>
      <c r="V92" s="357"/>
      <c r="W92" s="8"/>
      <c r="X92" s="8"/>
      <c r="Y92" s="8"/>
      <c r="Z92" s="8"/>
      <c r="AA92" s="8"/>
      <c r="AB92" s="8"/>
    </row>
    <row r="93">
      <c r="A93" s="8"/>
      <c r="B93" s="8"/>
      <c r="C93" s="8"/>
      <c r="D93" s="8"/>
      <c r="E93" s="8"/>
      <c r="F93" s="356"/>
      <c r="G93" s="8"/>
      <c r="H93" s="8"/>
      <c r="I93" s="8"/>
      <c r="J93" s="8"/>
      <c r="K93" s="8"/>
      <c r="L93" s="8"/>
      <c r="M93" s="8"/>
      <c r="N93" s="8"/>
      <c r="O93" s="8"/>
      <c r="P93" s="8"/>
      <c r="Q93" s="8"/>
      <c r="R93" s="8"/>
      <c r="S93" s="357"/>
      <c r="T93" s="357"/>
      <c r="U93" s="357"/>
      <c r="V93" s="357"/>
      <c r="W93" s="8"/>
      <c r="X93" s="8"/>
      <c r="Y93" s="8"/>
      <c r="Z93" s="8"/>
      <c r="AA93" s="8"/>
      <c r="AB93" s="8"/>
    </row>
    <row r="94">
      <c r="A94" s="8"/>
      <c r="B94" s="8"/>
      <c r="C94" s="8"/>
      <c r="D94" s="8"/>
      <c r="E94" s="8"/>
      <c r="F94" s="356"/>
      <c r="G94" s="8"/>
      <c r="H94" s="8"/>
      <c r="I94" s="8"/>
      <c r="J94" s="8"/>
      <c r="K94" s="8"/>
      <c r="L94" s="8"/>
      <c r="M94" s="8"/>
      <c r="N94" s="8"/>
      <c r="O94" s="8"/>
      <c r="P94" s="8"/>
      <c r="Q94" s="8"/>
      <c r="R94" s="8"/>
      <c r="S94" s="357"/>
      <c r="T94" s="357"/>
      <c r="U94" s="357"/>
      <c r="V94" s="357"/>
      <c r="W94" s="8"/>
      <c r="X94" s="8"/>
      <c r="Y94" s="8"/>
      <c r="Z94" s="8"/>
      <c r="AA94" s="8"/>
      <c r="AB94" s="8"/>
    </row>
    <row r="95">
      <c r="A95" s="8"/>
      <c r="B95" s="8"/>
      <c r="C95" s="8"/>
      <c r="D95" s="8"/>
      <c r="E95" s="8"/>
      <c r="F95" s="356"/>
      <c r="G95" s="8"/>
      <c r="H95" s="8"/>
      <c r="I95" s="8"/>
      <c r="J95" s="8"/>
      <c r="K95" s="8"/>
      <c r="L95" s="8"/>
      <c r="M95" s="8"/>
      <c r="N95" s="8"/>
      <c r="O95" s="8"/>
      <c r="P95" s="8"/>
      <c r="Q95" s="8"/>
      <c r="R95" s="8"/>
      <c r="S95" s="357"/>
      <c r="T95" s="357"/>
      <c r="U95" s="357"/>
      <c r="V95" s="357"/>
      <c r="W95" s="8"/>
      <c r="X95" s="8"/>
      <c r="Y95" s="8"/>
      <c r="Z95" s="8"/>
      <c r="AA95" s="8"/>
      <c r="AB95" s="8"/>
    </row>
    <row r="96">
      <c r="A96" s="8"/>
      <c r="B96" s="8"/>
      <c r="C96" s="8"/>
      <c r="D96" s="8"/>
      <c r="E96" s="8"/>
      <c r="F96" s="356"/>
      <c r="G96" s="8"/>
      <c r="H96" s="8"/>
      <c r="I96" s="8"/>
      <c r="J96" s="8"/>
      <c r="K96" s="8"/>
      <c r="L96" s="8"/>
      <c r="M96" s="8"/>
      <c r="N96" s="8"/>
      <c r="O96" s="8"/>
      <c r="P96" s="8"/>
      <c r="Q96" s="8"/>
      <c r="R96" s="8"/>
      <c r="S96" s="357"/>
      <c r="T96" s="357"/>
      <c r="U96" s="357"/>
      <c r="V96" s="357"/>
      <c r="W96" s="8"/>
      <c r="X96" s="8"/>
      <c r="Y96" s="8"/>
      <c r="Z96" s="8"/>
      <c r="AA96" s="8"/>
      <c r="AB96" s="8"/>
    </row>
    <row r="97">
      <c r="A97" s="8"/>
      <c r="B97" s="8"/>
      <c r="C97" s="8"/>
      <c r="D97" s="8"/>
      <c r="E97" s="8"/>
      <c r="F97" s="356"/>
      <c r="G97" s="8"/>
      <c r="H97" s="8"/>
      <c r="I97" s="8"/>
      <c r="J97" s="8"/>
      <c r="K97" s="8"/>
      <c r="L97" s="8"/>
      <c r="M97" s="8"/>
      <c r="N97" s="8"/>
      <c r="O97" s="8"/>
      <c r="P97" s="8"/>
      <c r="Q97" s="8"/>
      <c r="R97" s="8"/>
      <c r="S97" s="357"/>
      <c r="T97" s="357"/>
      <c r="U97" s="357"/>
      <c r="V97" s="357"/>
      <c r="W97" s="8"/>
      <c r="X97" s="8"/>
      <c r="Y97" s="8"/>
      <c r="Z97" s="8"/>
      <c r="AA97" s="8"/>
      <c r="AB97" s="8"/>
    </row>
    <row r="98">
      <c r="A98" s="8"/>
      <c r="B98" s="8"/>
      <c r="C98" s="8"/>
      <c r="D98" s="8"/>
      <c r="E98" s="8"/>
      <c r="F98" s="356"/>
      <c r="G98" s="8"/>
      <c r="H98" s="8"/>
      <c r="I98" s="8"/>
      <c r="J98" s="8"/>
      <c r="K98" s="8"/>
      <c r="L98" s="8"/>
      <c r="M98" s="8"/>
      <c r="N98" s="8"/>
      <c r="O98" s="8"/>
      <c r="P98" s="8"/>
      <c r="Q98" s="8"/>
      <c r="R98" s="8"/>
      <c r="S98" s="357"/>
      <c r="T98" s="357"/>
      <c r="U98" s="357"/>
      <c r="V98" s="357"/>
      <c r="W98" s="8"/>
      <c r="X98" s="8"/>
      <c r="Y98" s="8"/>
      <c r="Z98" s="8"/>
      <c r="AA98" s="8"/>
      <c r="AB98" s="8"/>
    </row>
    <row r="99">
      <c r="A99" s="8"/>
      <c r="B99" s="8"/>
      <c r="C99" s="8"/>
      <c r="D99" s="8"/>
      <c r="E99" s="8"/>
      <c r="F99" s="356"/>
      <c r="G99" s="8"/>
      <c r="H99" s="8"/>
      <c r="I99" s="8"/>
      <c r="J99" s="8"/>
      <c r="K99" s="8"/>
      <c r="L99" s="8"/>
      <c r="M99" s="8"/>
      <c r="N99" s="8"/>
      <c r="O99" s="8"/>
      <c r="P99" s="8"/>
      <c r="Q99" s="8"/>
      <c r="R99" s="8"/>
      <c r="S99" s="357"/>
      <c r="T99" s="357"/>
      <c r="U99" s="357"/>
      <c r="V99" s="357"/>
      <c r="W99" s="8"/>
      <c r="X99" s="8"/>
      <c r="Y99" s="8"/>
      <c r="Z99" s="8"/>
      <c r="AA99" s="8"/>
      <c r="AB99" s="8"/>
    </row>
    <row r="100">
      <c r="A100" s="8"/>
      <c r="B100" s="8"/>
      <c r="C100" s="8"/>
      <c r="D100" s="8"/>
      <c r="E100" s="8"/>
      <c r="F100" s="356"/>
      <c r="G100" s="8"/>
      <c r="H100" s="8"/>
      <c r="I100" s="8"/>
      <c r="J100" s="8"/>
      <c r="K100" s="8"/>
      <c r="L100" s="8"/>
      <c r="M100" s="8"/>
      <c r="N100" s="8"/>
      <c r="O100" s="8"/>
      <c r="P100" s="8"/>
      <c r="Q100" s="8"/>
      <c r="R100" s="8"/>
      <c r="S100" s="357"/>
      <c r="T100" s="357"/>
      <c r="U100" s="357"/>
      <c r="V100" s="357"/>
      <c r="W100" s="8"/>
      <c r="X100" s="8"/>
      <c r="Y100" s="8"/>
      <c r="Z100" s="8"/>
      <c r="AA100" s="8"/>
      <c r="AB100" s="8"/>
    </row>
    <row r="101">
      <c r="A101" s="8"/>
      <c r="B101" s="8"/>
      <c r="C101" s="8"/>
      <c r="D101" s="8"/>
      <c r="E101" s="8"/>
      <c r="F101" s="356"/>
      <c r="G101" s="8"/>
      <c r="H101" s="8"/>
      <c r="I101" s="8"/>
      <c r="J101" s="8"/>
      <c r="K101" s="8"/>
      <c r="L101" s="8"/>
      <c r="M101" s="8"/>
      <c r="N101" s="8"/>
      <c r="O101" s="8"/>
      <c r="P101" s="8"/>
      <c r="Q101" s="8"/>
      <c r="R101" s="8"/>
      <c r="S101" s="357"/>
      <c r="T101" s="357"/>
      <c r="U101" s="357"/>
      <c r="V101" s="357"/>
      <c r="W101" s="8"/>
      <c r="X101" s="8"/>
      <c r="Y101" s="8"/>
      <c r="Z101" s="8"/>
      <c r="AA101" s="8"/>
      <c r="AB101" s="8"/>
    </row>
    <row r="102">
      <c r="A102" s="8"/>
      <c r="B102" s="8"/>
      <c r="C102" s="8"/>
      <c r="D102" s="8"/>
      <c r="E102" s="8"/>
      <c r="F102" s="356"/>
      <c r="G102" s="8"/>
      <c r="H102" s="8"/>
      <c r="I102" s="8"/>
      <c r="J102" s="8"/>
      <c r="K102" s="8"/>
      <c r="L102" s="8"/>
      <c r="M102" s="8"/>
      <c r="N102" s="8"/>
      <c r="O102" s="8"/>
      <c r="P102" s="8"/>
      <c r="Q102" s="8"/>
      <c r="R102" s="8"/>
      <c r="S102" s="357"/>
      <c r="T102" s="357"/>
      <c r="U102" s="357"/>
      <c r="V102" s="357"/>
      <c r="W102" s="8"/>
      <c r="X102" s="8"/>
      <c r="Y102" s="8"/>
      <c r="Z102" s="8"/>
      <c r="AA102" s="8"/>
      <c r="AB102" s="8"/>
    </row>
    <row r="103">
      <c r="A103" s="8"/>
      <c r="B103" s="8"/>
      <c r="C103" s="8"/>
      <c r="D103" s="8"/>
      <c r="E103" s="8"/>
      <c r="F103" s="356"/>
      <c r="G103" s="8"/>
      <c r="H103" s="8"/>
      <c r="I103" s="8"/>
      <c r="J103" s="8"/>
      <c r="K103" s="8"/>
      <c r="L103" s="8"/>
      <c r="M103" s="8"/>
      <c r="N103" s="8"/>
      <c r="O103" s="8"/>
      <c r="P103" s="8"/>
      <c r="Q103" s="8"/>
      <c r="R103" s="8"/>
      <c r="S103" s="357"/>
      <c r="T103" s="357"/>
      <c r="U103" s="357"/>
      <c r="V103" s="357"/>
      <c r="W103" s="8"/>
      <c r="X103" s="8"/>
      <c r="Y103" s="8"/>
      <c r="Z103" s="8"/>
      <c r="AA103" s="8"/>
      <c r="AB103" s="8"/>
    </row>
    <row r="104">
      <c r="A104" s="8"/>
      <c r="B104" s="8"/>
      <c r="C104" s="8"/>
      <c r="D104" s="8"/>
      <c r="E104" s="8"/>
      <c r="F104" s="356"/>
      <c r="G104" s="8"/>
      <c r="H104" s="8"/>
      <c r="I104" s="8"/>
      <c r="J104" s="8"/>
      <c r="K104" s="8"/>
      <c r="L104" s="8"/>
      <c r="M104" s="8"/>
      <c r="N104" s="8"/>
      <c r="O104" s="8"/>
      <c r="P104" s="8"/>
      <c r="Q104" s="8"/>
      <c r="R104" s="8"/>
      <c r="S104" s="357"/>
      <c r="T104" s="357"/>
      <c r="U104" s="357"/>
      <c r="V104" s="357"/>
      <c r="W104" s="8"/>
      <c r="X104" s="8"/>
      <c r="Y104" s="8"/>
      <c r="Z104" s="8"/>
      <c r="AA104" s="8"/>
      <c r="AB104" s="8"/>
    </row>
    <row r="105">
      <c r="A105" s="8"/>
      <c r="B105" s="8"/>
      <c r="C105" s="8"/>
      <c r="D105" s="8"/>
      <c r="E105" s="8"/>
      <c r="F105" s="356"/>
      <c r="G105" s="8"/>
      <c r="H105" s="8"/>
      <c r="I105" s="8"/>
      <c r="J105" s="8"/>
      <c r="K105" s="8"/>
      <c r="L105" s="8"/>
      <c r="M105" s="8"/>
      <c r="N105" s="8"/>
      <c r="O105" s="8"/>
      <c r="P105" s="8"/>
      <c r="Q105" s="8"/>
      <c r="R105" s="8"/>
      <c r="S105" s="357"/>
      <c r="T105" s="357"/>
      <c r="U105" s="357"/>
      <c r="V105" s="357"/>
      <c r="W105" s="8"/>
      <c r="X105" s="8"/>
      <c r="Y105" s="8"/>
      <c r="Z105" s="8"/>
      <c r="AA105" s="8"/>
      <c r="AB105" s="8"/>
    </row>
    <row r="106">
      <c r="A106" s="8"/>
      <c r="B106" s="8"/>
      <c r="C106" s="8"/>
      <c r="D106" s="8"/>
      <c r="E106" s="8"/>
      <c r="F106" s="356"/>
      <c r="G106" s="8"/>
      <c r="H106" s="8"/>
      <c r="I106" s="8"/>
      <c r="J106" s="8"/>
      <c r="K106" s="8"/>
      <c r="L106" s="8"/>
      <c r="M106" s="8"/>
      <c r="N106" s="8"/>
      <c r="O106" s="8"/>
      <c r="P106" s="8"/>
      <c r="Q106" s="8"/>
      <c r="R106" s="8"/>
      <c r="S106" s="357"/>
      <c r="T106" s="357"/>
      <c r="U106" s="357"/>
      <c r="V106" s="357"/>
      <c r="W106" s="8"/>
      <c r="X106" s="8"/>
      <c r="Y106" s="8"/>
      <c r="Z106" s="8"/>
      <c r="AA106" s="8"/>
      <c r="AB106" s="8"/>
    </row>
    <row r="107">
      <c r="A107" s="8"/>
      <c r="B107" s="8"/>
      <c r="C107" s="8"/>
      <c r="D107" s="8"/>
      <c r="E107" s="8"/>
      <c r="F107" s="356"/>
      <c r="G107" s="8"/>
      <c r="H107" s="8"/>
      <c r="I107" s="8"/>
      <c r="J107" s="8"/>
      <c r="K107" s="8"/>
      <c r="L107" s="8"/>
      <c r="M107" s="8"/>
      <c r="N107" s="8"/>
      <c r="O107" s="8"/>
      <c r="P107" s="8"/>
      <c r="Q107" s="8"/>
      <c r="R107" s="8"/>
      <c r="S107" s="357"/>
      <c r="T107" s="357"/>
      <c r="U107" s="357"/>
      <c r="V107" s="357"/>
      <c r="W107" s="8"/>
      <c r="X107" s="8"/>
      <c r="Y107" s="8"/>
      <c r="Z107" s="8"/>
      <c r="AA107" s="8"/>
      <c r="AB107" s="8"/>
    </row>
    <row r="108">
      <c r="A108" s="8"/>
      <c r="B108" s="8"/>
      <c r="C108" s="8"/>
      <c r="D108" s="8"/>
      <c r="E108" s="8"/>
      <c r="F108" s="356"/>
      <c r="G108" s="8"/>
      <c r="H108" s="8"/>
      <c r="I108" s="8"/>
      <c r="J108" s="8"/>
      <c r="K108" s="8"/>
      <c r="L108" s="8"/>
      <c r="M108" s="8"/>
      <c r="N108" s="8"/>
      <c r="O108" s="8"/>
      <c r="P108" s="8"/>
      <c r="Q108" s="8"/>
      <c r="R108" s="8"/>
      <c r="S108" s="357"/>
      <c r="T108" s="357"/>
      <c r="U108" s="357"/>
      <c r="V108" s="357"/>
      <c r="W108" s="8"/>
      <c r="X108" s="8"/>
      <c r="Y108" s="8"/>
      <c r="Z108" s="8"/>
      <c r="AA108" s="8"/>
      <c r="AB108" s="8"/>
    </row>
    <row r="109">
      <c r="A109" s="8"/>
      <c r="B109" s="8"/>
      <c r="C109" s="8"/>
      <c r="D109" s="8"/>
      <c r="E109" s="8"/>
      <c r="F109" s="356"/>
      <c r="G109" s="8"/>
      <c r="H109" s="8"/>
      <c r="I109" s="8"/>
      <c r="J109" s="8"/>
      <c r="K109" s="8"/>
      <c r="L109" s="8"/>
      <c r="M109" s="8"/>
      <c r="N109" s="8"/>
      <c r="O109" s="8"/>
      <c r="P109" s="8"/>
      <c r="Q109" s="8"/>
      <c r="R109" s="8"/>
      <c r="S109" s="357"/>
      <c r="T109" s="357"/>
      <c r="U109" s="357"/>
      <c r="V109" s="357"/>
      <c r="W109" s="8"/>
      <c r="X109" s="8"/>
      <c r="Y109" s="8"/>
      <c r="Z109" s="8"/>
      <c r="AA109" s="8"/>
      <c r="AB109" s="8"/>
    </row>
    <row r="110">
      <c r="A110" s="8"/>
      <c r="B110" s="8"/>
      <c r="C110" s="8"/>
      <c r="D110" s="8"/>
      <c r="E110" s="8"/>
      <c r="F110" s="356"/>
      <c r="G110" s="8"/>
      <c r="H110" s="8"/>
      <c r="I110" s="8"/>
      <c r="J110" s="8"/>
      <c r="K110" s="8"/>
      <c r="L110" s="8"/>
      <c r="M110" s="8"/>
      <c r="N110" s="8"/>
      <c r="O110" s="8"/>
      <c r="P110" s="8"/>
      <c r="Q110" s="8"/>
      <c r="R110" s="8"/>
      <c r="S110" s="357"/>
      <c r="T110" s="357"/>
      <c r="U110" s="357"/>
      <c r="V110" s="357"/>
      <c r="W110" s="8"/>
      <c r="X110" s="8"/>
      <c r="Y110" s="8"/>
      <c r="Z110" s="8"/>
      <c r="AA110" s="8"/>
      <c r="AB110" s="8"/>
    </row>
    <row r="111">
      <c r="A111" s="8"/>
      <c r="B111" s="8"/>
      <c r="C111" s="8"/>
      <c r="D111" s="8"/>
      <c r="E111" s="8"/>
      <c r="F111" s="356"/>
      <c r="G111" s="8"/>
      <c r="H111" s="8"/>
      <c r="I111" s="8"/>
      <c r="J111" s="8"/>
      <c r="K111" s="8"/>
      <c r="L111" s="8"/>
      <c r="M111" s="8"/>
      <c r="N111" s="8"/>
      <c r="O111" s="8"/>
      <c r="P111" s="8"/>
      <c r="Q111" s="8"/>
      <c r="R111" s="8"/>
      <c r="S111" s="357"/>
      <c r="T111" s="357"/>
      <c r="U111" s="357"/>
      <c r="V111" s="357"/>
      <c r="W111" s="8"/>
      <c r="X111" s="8"/>
      <c r="Y111" s="8"/>
      <c r="Z111" s="8"/>
      <c r="AA111" s="8"/>
      <c r="AB111" s="8"/>
    </row>
    <row r="112">
      <c r="A112" s="8"/>
      <c r="B112" s="8"/>
      <c r="C112" s="8"/>
      <c r="D112" s="8"/>
      <c r="E112" s="8"/>
      <c r="F112" s="356"/>
      <c r="G112" s="8"/>
      <c r="H112" s="8"/>
      <c r="I112" s="8"/>
      <c r="J112" s="8"/>
      <c r="K112" s="8"/>
      <c r="L112" s="8"/>
      <c r="M112" s="8"/>
      <c r="N112" s="8"/>
      <c r="O112" s="8"/>
      <c r="P112" s="8"/>
      <c r="Q112" s="8"/>
      <c r="R112" s="8"/>
      <c r="S112" s="357"/>
      <c r="T112" s="357"/>
      <c r="U112" s="357"/>
      <c r="V112" s="357"/>
      <c r="W112" s="8"/>
      <c r="X112" s="8"/>
      <c r="Y112" s="8"/>
      <c r="Z112" s="8"/>
      <c r="AA112" s="8"/>
      <c r="AB112" s="8"/>
    </row>
    <row r="113">
      <c r="A113" s="8"/>
      <c r="B113" s="8"/>
      <c r="C113" s="8"/>
      <c r="D113" s="8"/>
      <c r="E113" s="8"/>
      <c r="F113" s="356"/>
      <c r="G113" s="8"/>
      <c r="H113" s="8"/>
      <c r="I113" s="8"/>
      <c r="J113" s="8"/>
      <c r="K113" s="8"/>
      <c r="L113" s="8"/>
      <c r="M113" s="8"/>
      <c r="N113" s="8"/>
      <c r="O113" s="8"/>
      <c r="P113" s="8"/>
      <c r="Q113" s="8"/>
      <c r="R113" s="8"/>
      <c r="S113" s="357"/>
      <c r="T113" s="357"/>
      <c r="U113" s="357"/>
      <c r="V113" s="357"/>
      <c r="W113" s="8"/>
      <c r="X113" s="8"/>
      <c r="Y113" s="8"/>
      <c r="Z113" s="8"/>
      <c r="AA113" s="8"/>
      <c r="AB113" s="8"/>
    </row>
    <row r="114">
      <c r="A114" s="8"/>
      <c r="B114" s="8"/>
      <c r="C114" s="8"/>
      <c r="D114" s="8"/>
      <c r="E114" s="8"/>
      <c r="F114" s="356"/>
      <c r="G114" s="8"/>
      <c r="H114" s="8"/>
      <c r="I114" s="8"/>
      <c r="J114" s="8"/>
      <c r="K114" s="8"/>
      <c r="L114" s="8"/>
      <c r="M114" s="8"/>
      <c r="N114" s="8"/>
      <c r="O114" s="8"/>
      <c r="P114" s="8"/>
      <c r="Q114" s="8"/>
      <c r="R114" s="8"/>
      <c r="S114" s="357"/>
      <c r="T114" s="357"/>
      <c r="U114" s="357"/>
      <c r="V114" s="357"/>
      <c r="W114" s="8"/>
      <c r="X114" s="8"/>
      <c r="Y114" s="8"/>
      <c r="Z114" s="8"/>
      <c r="AA114" s="8"/>
      <c r="AB114" s="8"/>
    </row>
    <row r="115">
      <c r="A115" s="8"/>
      <c r="B115" s="8"/>
      <c r="C115" s="8"/>
      <c r="D115" s="8"/>
      <c r="E115" s="8"/>
      <c r="F115" s="356"/>
      <c r="G115" s="8"/>
      <c r="H115" s="8"/>
      <c r="I115" s="8"/>
      <c r="J115" s="8"/>
      <c r="K115" s="8"/>
      <c r="L115" s="8"/>
      <c r="M115" s="8"/>
      <c r="N115" s="8"/>
      <c r="O115" s="8"/>
      <c r="P115" s="8"/>
      <c r="Q115" s="8"/>
      <c r="R115" s="8"/>
      <c r="S115" s="357"/>
      <c r="T115" s="357"/>
      <c r="U115" s="357"/>
      <c r="V115" s="357"/>
      <c r="W115" s="8"/>
      <c r="X115" s="8"/>
      <c r="Y115" s="8"/>
      <c r="Z115" s="8"/>
      <c r="AA115" s="8"/>
      <c r="AB115" s="8"/>
    </row>
    <row r="116">
      <c r="A116" s="8"/>
      <c r="B116" s="8"/>
      <c r="C116" s="8"/>
      <c r="D116" s="8"/>
      <c r="E116" s="8"/>
      <c r="F116" s="356"/>
      <c r="G116" s="8"/>
      <c r="H116" s="8"/>
      <c r="I116" s="8"/>
      <c r="J116" s="8"/>
      <c r="K116" s="8"/>
      <c r="L116" s="8"/>
      <c r="M116" s="8"/>
      <c r="N116" s="8"/>
      <c r="O116" s="8"/>
      <c r="P116" s="8"/>
      <c r="Q116" s="8"/>
      <c r="R116" s="8"/>
      <c r="S116" s="357"/>
      <c r="T116" s="357"/>
      <c r="U116" s="357"/>
      <c r="V116" s="357"/>
      <c r="W116" s="8"/>
      <c r="X116" s="8"/>
      <c r="Y116" s="8"/>
      <c r="Z116" s="8"/>
      <c r="AA116" s="8"/>
      <c r="AB116" s="8"/>
    </row>
    <row r="117">
      <c r="A117" s="8"/>
      <c r="B117" s="8"/>
      <c r="C117" s="8"/>
      <c r="D117" s="8"/>
      <c r="E117" s="8"/>
      <c r="F117" s="356"/>
      <c r="G117" s="8"/>
      <c r="H117" s="8"/>
      <c r="I117" s="8"/>
      <c r="J117" s="8"/>
      <c r="K117" s="8"/>
      <c r="L117" s="8"/>
      <c r="M117" s="8"/>
      <c r="N117" s="8"/>
      <c r="O117" s="8"/>
      <c r="P117" s="8"/>
      <c r="Q117" s="8"/>
      <c r="R117" s="8"/>
      <c r="S117" s="357"/>
      <c r="T117" s="357"/>
      <c r="U117" s="357"/>
      <c r="V117" s="357"/>
      <c r="W117" s="8"/>
      <c r="X117" s="8"/>
      <c r="Y117" s="8"/>
      <c r="Z117" s="8"/>
      <c r="AA117" s="8"/>
      <c r="AB117" s="8"/>
    </row>
    <row r="118">
      <c r="A118" s="8"/>
      <c r="B118" s="8"/>
      <c r="C118" s="8"/>
      <c r="D118" s="8"/>
      <c r="E118" s="8"/>
      <c r="F118" s="356"/>
      <c r="G118" s="8"/>
      <c r="H118" s="8"/>
      <c r="I118" s="8"/>
      <c r="J118" s="8"/>
      <c r="K118" s="8"/>
      <c r="L118" s="8"/>
      <c r="M118" s="8"/>
      <c r="N118" s="8"/>
      <c r="O118" s="8"/>
      <c r="P118" s="8"/>
      <c r="Q118" s="8"/>
      <c r="R118" s="8"/>
      <c r="S118" s="357"/>
      <c r="T118" s="357"/>
      <c r="U118" s="357"/>
      <c r="V118" s="357"/>
      <c r="W118" s="8"/>
      <c r="X118" s="8"/>
      <c r="Y118" s="8"/>
      <c r="Z118" s="8"/>
      <c r="AA118" s="8"/>
      <c r="AB118" s="8"/>
    </row>
    <row r="119">
      <c r="A119" s="8"/>
      <c r="B119" s="8"/>
      <c r="C119" s="8"/>
      <c r="D119" s="8"/>
      <c r="E119" s="8"/>
      <c r="F119" s="356"/>
      <c r="G119" s="8"/>
      <c r="H119" s="8"/>
      <c r="I119" s="8"/>
      <c r="J119" s="8"/>
      <c r="K119" s="8"/>
      <c r="L119" s="8"/>
      <c r="M119" s="8"/>
      <c r="N119" s="8"/>
      <c r="O119" s="8"/>
      <c r="P119" s="8"/>
      <c r="Q119" s="8"/>
      <c r="R119" s="8"/>
      <c r="S119" s="357"/>
      <c r="T119" s="357"/>
      <c r="U119" s="357"/>
      <c r="V119" s="357"/>
      <c r="W119" s="8"/>
      <c r="X119" s="8"/>
      <c r="Y119" s="8"/>
      <c r="Z119" s="8"/>
      <c r="AA119" s="8"/>
      <c r="AB119" s="8"/>
    </row>
    <row r="120">
      <c r="A120" s="8"/>
      <c r="B120" s="8"/>
      <c r="C120" s="8"/>
      <c r="D120" s="8"/>
      <c r="E120" s="8"/>
      <c r="F120" s="356"/>
      <c r="G120" s="8"/>
      <c r="H120" s="8"/>
      <c r="I120" s="8"/>
      <c r="J120" s="8"/>
      <c r="K120" s="8"/>
      <c r="L120" s="8"/>
      <c r="M120" s="8"/>
      <c r="N120" s="8"/>
      <c r="O120" s="8"/>
      <c r="P120" s="8"/>
      <c r="Q120" s="8"/>
      <c r="R120" s="8"/>
      <c r="S120" s="357"/>
      <c r="T120" s="357"/>
      <c r="U120" s="357"/>
      <c r="V120" s="357"/>
      <c r="W120" s="8"/>
      <c r="X120" s="8"/>
      <c r="Y120" s="8"/>
      <c r="Z120" s="8"/>
      <c r="AA120" s="8"/>
      <c r="AB120" s="8"/>
    </row>
    <row r="121">
      <c r="A121" s="8"/>
      <c r="B121" s="8"/>
      <c r="C121" s="8"/>
      <c r="D121" s="8"/>
      <c r="E121" s="8"/>
      <c r="F121" s="356"/>
      <c r="G121" s="8"/>
      <c r="H121" s="8"/>
      <c r="I121" s="8"/>
      <c r="J121" s="8"/>
      <c r="K121" s="8"/>
      <c r="L121" s="8"/>
      <c r="M121" s="8"/>
      <c r="N121" s="8"/>
      <c r="O121" s="8"/>
      <c r="P121" s="8"/>
      <c r="Q121" s="8"/>
      <c r="R121" s="8"/>
      <c r="S121" s="357"/>
      <c r="T121" s="357"/>
      <c r="U121" s="357"/>
      <c r="V121" s="357"/>
      <c r="W121" s="8"/>
      <c r="X121" s="8"/>
      <c r="Y121" s="8"/>
      <c r="Z121" s="8"/>
      <c r="AA121" s="8"/>
      <c r="AB121" s="8"/>
    </row>
    <row r="122">
      <c r="A122" s="8"/>
      <c r="B122" s="8"/>
      <c r="C122" s="8"/>
      <c r="D122" s="8"/>
      <c r="E122" s="8"/>
      <c r="F122" s="356"/>
      <c r="G122" s="8"/>
      <c r="H122" s="8"/>
      <c r="I122" s="8"/>
      <c r="J122" s="8"/>
      <c r="K122" s="8"/>
      <c r="L122" s="8"/>
      <c r="M122" s="8"/>
      <c r="N122" s="8"/>
      <c r="O122" s="8"/>
      <c r="P122" s="8"/>
      <c r="Q122" s="8"/>
      <c r="R122" s="8"/>
      <c r="S122" s="357"/>
      <c r="T122" s="357"/>
      <c r="U122" s="357"/>
      <c r="V122" s="357"/>
      <c r="W122" s="8"/>
      <c r="X122" s="8"/>
      <c r="Y122" s="8"/>
      <c r="Z122" s="8"/>
      <c r="AA122" s="8"/>
      <c r="AB122" s="8"/>
    </row>
    <row r="123">
      <c r="A123" s="8"/>
      <c r="B123" s="8"/>
      <c r="C123" s="8"/>
      <c r="D123" s="8"/>
      <c r="E123" s="8"/>
      <c r="F123" s="356"/>
      <c r="G123" s="8"/>
      <c r="H123" s="8"/>
      <c r="I123" s="8"/>
      <c r="J123" s="8"/>
      <c r="K123" s="8"/>
      <c r="L123" s="8"/>
      <c r="M123" s="8"/>
      <c r="N123" s="8"/>
      <c r="O123" s="8"/>
      <c r="P123" s="8"/>
      <c r="Q123" s="8"/>
      <c r="R123" s="8"/>
      <c r="S123" s="357"/>
      <c r="T123" s="357"/>
      <c r="U123" s="357"/>
      <c r="V123" s="357"/>
      <c r="W123" s="8"/>
      <c r="X123" s="8"/>
      <c r="Y123" s="8"/>
      <c r="Z123" s="8"/>
      <c r="AA123" s="8"/>
      <c r="AB123" s="8"/>
    </row>
    <row r="124">
      <c r="A124" s="8"/>
      <c r="B124" s="8"/>
      <c r="C124" s="8"/>
      <c r="D124" s="8"/>
      <c r="E124" s="8"/>
      <c r="F124" s="356"/>
      <c r="G124" s="8"/>
      <c r="H124" s="8"/>
      <c r="I124" s="8"/>
      <c r="J124" s="8"/>
      <c r="K124" s="8"/>
      <c r="L124" s="8"/>
      <c r="M124" s="8"/>
      <c r="N124" s="8"/>
      <c r="O124" s="8"/>
      <c r="P124" s="8"/>
      <c r="Q124" s="8"/>
      <c r="R124" s="8"/>
      <c r="S124" s="357"/>
      <c r="T124" s="357"/>
      <c r="U124" s="357"/>
      <c r="V124" s="357"/>
      <c r="W124" s="8"/>
      <c r="X124" s="8"/>
      <c r="Y124" s="8"/>
      <c r="Z124" s="8"/>
      <c r="AA124" s="8"/>
      <c r="AB124" s="8"/>
    </row>
    <row r="125">
      <c r="A125" s="8"/>
      <c r="B125" s="8"/>
      <c r="C125" s="8"/>
      <c r="D125" s="8"/>
      <c r="E125" s="8"/>
      <c r="F125" s="356"/>
      <c r="G125" s="8"/>
      <c r="H125" s="8"/>
      <c r="I125" s="8"/>
      <c r="J125" s="8"/>
      <c r="K125" s="8"/>
      <c r="L125" s="8"/>
      <c r="M125" s="8"/>
      <c r="N125" s="8"/>
      <c r="O125" s="8"/>
      <c r="P125" s="8"/>
      <c r="Q125" s="8"/>
      <c r="R125" s="8"/>
      <c r="S125" s="357"/>
      <c r="T125" s="357"/>
      <c r="U125" s="357"/>
      <c r="V125" s="357"/>
      <c r="W125" s="8"/>
      <c r="X125" s="8"/>
      <c r="Y125" s="8"/>
      <c r="Z125" s="8"/>
      <c r="AA125" s="8"/>
      <c r="AB125" s="8"/>
    </row>
    <row r="126">
      <c r="A126" s="8"/>
      <c r="B126" s="8"/>
      <c r="C126" s="8"/>
      <c r="D126" s="8"/>
      <c r="E126" s="8"/>
      <c r="F126" s="356"/>
      <c r="G126" s="8"/>
      <c r="H126" s="8"/>
      <c r="I126" s="8"/>
      <c r="J126" s="8"/>
      <c r="K126" s="8"/>
      <c r="L126" s="8"/>
      <c r="M126" s="8"/>
      <c r="N126" s="8"/>
      <c r="O126" s="8"/>
      <c r="P126" s="8"/>
      <c r="Q126" s="8"/>
      <c r="R126" s="8"/>
      <c r="S126" s="357"/>
      <c r="T126" s="357"/>
      <c r="U126" s="357"/>
      <c r="V126" s="357"/>
      <c r="W126" s="8"/>
      <c r="X126" s="8"/>
      <c r="Y126" s="8"/>
      <c r="Z126" s="8"/>
      <c r="AA126" s="8"/>
      <c r="AB126" s="8"/>
    </row>
    <row r="127">
      <c r="A127" s="8"/>
      <c r="B127" s="8"/>
      <c r="C127" s="8"/>
      <c r="D127" s="8"/>
      <c r="E127" s="8"/>
      <c r="F127" s="356"/>
      <c r="G127" s="8"/>
      <c r="H127" s="8"/>
      <c r="I127" s="8"/>
      <c r="J127" s="8"/>
      <c r="K127" s="8"/>
      <c r="L127" s="8"/>
      <c r="M127" s="8"/>
      <c r="N127" s="8"/>
      <c r="O127" s="8"/>
      <c r="P127" s="8"/>
      <c r="Q127" s="8"/>
      <c r="R127" s="8"/>
      <c r="S127" s="357"/>
      <c r="T127" s="357"/>
      <c r="U127" s="357"/>
      <c r="V127" s="357"/>
      <c r="W127" s="8"/>
      <c r="X127" s="8"/>
      <c r="Y127" s="8"/>
      <c r="Z127" s="8"/>
      <c r="AA127" s="8"/>
      <c r="AB127" s="8"/>
    </row>
    <row r="128">
      <c r="A128" s="8"/>
      <c r="B128" s="8"/>
      <c r="C128" s="8"/>
      <c r="D128" s="8"/>
      <c r="E128" s="8"/>
      <c r="F128" s="356"/>
      <c r="G128" s="8"/>
      <c r="H128" s="8"/>
      <c r="I128" s="8"/>
      <c r="J128" s="8"/>
      <c r="K128" s="8"/>
      <c r="L128" s="8"/>
      <c r="M128" s="8"/>
      <c r="N128" s="8"/>
      <c r="O128" s="8"/>
      <c r="P128" s="8"/>
      <c r="Q128" s="8"/>
      <c r="R128" s="8"/>
      <c r="S128" s="357"/>
      <c r="T128" s="357"/>
      <c r="U128" s="357"/>
      <c r="V128" s="357"/>
      <c r="W128" s="8"/>
      <c r="X128" s="8"/>
      <c r="Y128" s="8"/>
      <c r="Z128" s="8"/>
      <c r="AA128" s="8"/>
      <c r="AB128" s="8"/>
    </row>
    <row r="129">
      <c r="A129" s="8"/>
      <c r="B129" s="8"/>
      <c r="C129" s="8"/>
      <c r="D129" s="8"/>
      <c r="E129" s="8"/>
      <c r="F129" s="356"/>
      <c r="G129" s="8"/>
      <c r="H129" s="8"/>
      <c r="I129" s="8"/>
      <c r="J129" s="8"/>
      <c r="K129" s="8"/>
      <c r="L129" s="8"/>
      <c r="M129" s="8"/>
      <c r="N129" s="8"/>
      <c r="O129" s="8"/>
      <c r="P129" s="8"/>
      <c r="Q129" s="8"/>
      <c r="R129" s="8"/>
      <c r="S129" s="357"/>
      <c r="T129" s="357"/>
      <c r="U129" s="357"/>
      <c r="V129" s="357"/>
      <c r="W129" s="8"/>
      <c r="X129" s="8"/>
      <c r="Y129" s="8"/>
      <c r="Z129" s="8"/>
      <c r="AA129" s="8"/>
      <c r="AB129" s="8"/>
    </row>
    <row r="130">
      <c r="A130" s="8"/>
      <c r="B130" s="8"/>
      <c r="C130" s="8"/>
      <c r="D130" s="8"/>
      <c r="E130" s="8"/>
      <c r="F130" s="356"/>
      <c r="G130" s="8"/>
      <c r="H130" s="8"/>
      <c r="I130" s="8"/>
      <c r="J130" s="8"/>
      <c r="K130" s="8"/>
      <c r="L130" s="8"/>
      <c r="M130" s="8"/>
      <c r="N130" s="8"/>
      <c r="O130" s="8"/>
      <c r="P130" s="8"/>
      <c r="Q130" s="8"/>
      <c r="R130" s="8"/>
      <c r="S130" s="357"/>
      <c r="T130" s="357"/>
      <c r="U130" s="357"/>
      <c r="V130" s="357"/>
      <c r="W130" s="8"/>
      <c r="X130" s="8"/>
      <c r="Y130" s="8"/>
      <c r="Z130" s="8"/>
      <c r="AA130" s="8"/>
      <c r="AB130" s="8"/>
    </row>
    <row r="131">
      <c r="A131" s="8"/>
      <c r="B131" s="8"/>
      <c r="C131" s="8"/>
      <c r="D131" s="8"/>
      <c r="E131" s="8"/>
      <c r="F131" s="356"/>
      <c r="G131" s="8"/>
      <c r="H131" s="8"/>
      <c r="I131" s="8"/>
      <c r="J131" s="8"/>
      <c r="K131" s="8"/>
      <c r="L131" s="8"/>
      <c r="M131" s="8"/>
      <c r="N131" s="8"/>
      <c r="O131" s="8"/>
      <c r="P131" s="8"/>
      <c r="Q131" s="8"/>
      <c r="R131" s="8"/>
      <c r="S131" s="357"/>
      <c r="T131" s="357"/>
      <c r="U131" s="357"/>
      <c r="V131" s="357"/>
      <c r="W131" s="8"/>
      <c r="X131" s="8"/>
      <c r="Y131" s="8"/>
      <c r="Z131" s="8"/>
      <c r="AA131" s="8"/>
      <c r="AB131" s="8"/>
    </row>
    <row r="132">
      <c r="A132" s="8"/>
      <c r="B132" s="8"/>
      <c r="C132" s="8"/>
      <c r="D132" s="8"/>
      <c r="E132" s="8"/>
      <c r="F132" s="356"/>
      <c r="G132" s="8"/>
      <c r="H132" s="8"/>
      <c r="I132" s="8"/>
      <c r="J132" s="8"/>
      <c r="K132" s="8"/>
      <c r="L132" s="8"/>
      <c r="M132" s="8"/>
      <c r="N132" s="8"/>
      <c r="O132" s="8"/>
      <c r="P132" s="8"/>
      <c r="Q132" s="8"/>
      <c r="R132" s="8"/>
      <c r="S132" s="357"/>
      <c r="T132" s="357"/>
      <c r="U132" s="357"/>
      <c r="V132" s="357"/>
      <c r="W132" s="8"/>
      <c r="X132" s="8"/>
      <c r="Y132" s="8"/>
      <c r="Z132" s="8"/>
      <c r="AA132" s="8"/>
      <c r="AB132" s="8"/>
    </row>
    <row r="133">
      <c r="A133" s="8"/>
      <c r="B133" s="8"/>
      <c r="C133" s="8"/>
      <c r="D133" s="8"/>
      <c r="E133" s="8"/>
      <c r="F133" s="356"/>
      <c r="G133" s="8"/>
      <c r="H133" s="8"/>
      <c r="I133" s="8"/>
      <c r="J133" s="8"/>
      <c r="K133" s="8"/>
      <c r="L133" s="8"/>
      <c r="M133" s="8"/>
      <c r="N133" s="8"/>
      <c r="O133" s="8"/>
      <c r="P133" s="8"/>
      <c r="Q133" s="8"/>
      <c r="R133" s="8"/>
      <c r="S133" s="357"/>
      <c r="T133" s="357"/>
      <c r="U133" s="357"/>
      <c r="V133" s="357"/>
      <c r="W133" s="8"/>
      <c r="X133" s="8"/>
      <c r="Y133" s="8"/>
      <c r="Z133" s="8"/>
      <c r="AA133" s="8"/>
      <c r="AB133" s="8"/>
    </row>
    <row r="134">
      <c r="A134" s="8"/>
      <c r="B134" s="8"/>
      <c r="C134" s="8"/>
      <c r="D134" s="8"/>
      <c r="E134" s="8"/>
      <c r="F134" s="356"/>
      <c r="G134" s="8"/>
      <c r="H134" s="8"/>
      <c r="I134" s="8"/>
      <c r="J134" s="8"/>
      <c r="K134" s="8"/>
      <c r="L134" s="8"/>
      <c r="M134" s="8"/>
      <c r="N134" s="8"/>
      <c r="O134" s="8"/>
      <c r="P134" s="8"/>
      <c r="Q134" s="8"/>
      <c r="R134" s="8"/>
      <c r="S134" s="357"/>
      <c r="T134" s="357"/>
      <c r="U134" s="357"/>
      <c r="V134" s="357"/>
      <c r="W134" s="8"/>
      <c r="X134" s="8"/>
      <c r="Y134" s="8"/>
      <c r="Z134" s="8"/>
      <c r="AA134" s="8"/>
      <c r="AB134" s="8"/>
    </row>
    <row r="135">
      <c r="A135" s="8"/>
      <c r="B135" s="8"/>
      <c r="C135" s="8"/>
      <c r="D135" s="8"/>
      <c r="E135" s="8"/>
      <c r="F135" s="356"/>
      <c r="G135" s="8"/>
      <c r="H135" s="8"/>
      <c r="I135" s="8"/>
      <c r="J135" s="8"/>
      <c r="K135" s="8"/>
      <c r="L135" s="8"/>
      <c r="M135" s="8"/>
      <c r="N135" s="8"/>
      <c r="O135" s="8"/>
      <c r="P135" s="8"/>
      <c r="Q135" s="8"/>
      <c r="R135" s="8"/>
      <c r="S135" s="357"/>
      <c r="T135" s="357"/>
      <c r="U135" s="357"/>
      <c r="V135" s="357"/>
      <c r="W135" s="8"/>
      <c r="X135" s="8"/>
      <c r="Y135" s="8"/>
      <c r="Z135" s="8"/>
      <c r="AA135" s="8"/>
      <c r="AB135" s="8"/>
    </row>
    <row r="136">
      <c r="A136" s="8"/>
      <c r="B136" s="8"/>
      <c r="C136" s="8"/>
      <c r="D136" s="8"/>
      <c r="E136" s="8"/>
      <c r="F136" s="356"/>
      <c r="G136" s="8"/>
      <c r="H136" s="8"/>
      <c r="I136" s="8"/>
      <c r="J136" s="8"/>
      <c r="K136" s="8"/>
      <c r="L136" s="8"/>
      <c r="M136" s="8"/>
      <c r="N136" s="8"/>
      <c r="O136" s="8"/>
      <c r="P136" s="8"/>
      <c r="Q136" s="8"/>
      <c r="R136" s="8"/>
      <c r="S136" s="357"/>
      <c r="T136" s="357"/>
      <c r="U136" s="357"/>
      <c r="V136" s="357"/>
      <c r="W136" s="8"/>
      <c r="X136" s="8"/>
      <c r="Y136" s="8"/>
      <c r="Z136" s="8"/>
      <c r="AA136" s="8"/>
      <c r="AB136" s="8"/>
    </row>
    <row r="137">
      <c r="A137" s="8"/>
      <c r="B137" s="8"/>
      <c r="C137" s="8"/>
      <c r="D137" s="8"/>
      <c r="E137" s="8"/>
      <c r="F137" s="356"/>
      <c r="G137" s="8"/>
      <c r="H137" s="8"/>
      <c r="I137" s="8"/>
      <c r="J137" s="8"/>
      <c r="K137" s="8"/>
      <c r="L137" s="8"/>
      <c r="M137" s="8"/>
      <c r="N137" s="8"/>
      <c r="O137" s="8"/>
      <c r="P137" s="8"/>
      <c r="Q137" s="8"/>
      <c r="R137" s="8"/>
      <c r="S137" s="357"/>
      <c r="T137" s="357"/>
      <c r="U137" s="357"/>
      <c r="V137" s="357"/>
      <c r="W137" s="8"/>
      <c r="X137" s="8"/>
      <c r="Y137" s="8"/>
      <c r="Z137" s="8"/>
      <c r="AA137" s="8"/>
      <c r="AB137" s="8"/>
    </row>
    <row r="138">
      <c r="A138" s="8"/>
      <c r="B138" s="8"/>
      <c r="C138" s="8"/>
      <c r="D138" s="8"/>
      <c r="E138" s="8"/>
      <c r="F138" s="356"/>
      <c r="G138" s="8"/>
      <c r="H138" s="8"/>
      <c r="I138" s="8"/>
      <c r="J138" s="8"/>
      <c r="K138" s="8"/>
      <c r="L138" s="8"/>
      <c r="M138" s="8"/>
      <c r="N138" s="8"/>
      <c r="O138" s="8"/>
      <c r="P138" s="8"/>
      <c r="Q138" s="8"/>
      <c r="R138" s="8"/>
      <c r="S138" s="357"/>
      <c r="T138" s="357"/>
      <c r="U138" s="357"/>
      <c r="V138" s="357"/>
      <c r="W138" s="8"/>
      <c r="X138" s="8"/>
      <c r="Y138" s="8"/>
      <c r="Z138" s="8"/>
      <c r="AA138" s="8"/>
      <c r="AB138" s="8"/>
    </row>
    <row r="139">
      <c r="A139" s="8"/>
      <c r="B139" s="8"/>
      <c r="C139" s="8"/>
      <c r="D139" s="8"/>
      <c r="E139" s="8"/>
      <c r="F139" s="356"/>
      <c r="G139" s="8"/>
      <c r="H139" s="8"/>
      <c r="I139" s="8"/>
      <c r="J139" s="8"/>
      <c r="K139" s="8"/>
      <c r="L139" s="8"/>
      <c r="M139" s="8"/>
      <c r="N139" s="8"/>
      <c r="O139" s="8"/>
      <c r="P139" s="8"/>
      <c r="Q139" s="8"/>
      <c r="R139" s="8"/>
      <c r="S139" s="357"/>
      <c r="T139" s="357"/>
      <c r="U139" s="357"/>
      <c r="V139" s="357"/>
      <c r="W139" s="8"/>
      <c r="X139" s="8"/>
      <c r="Y139" s="8"/>
      <c r="Z139" s="8"/>
      <c r="AA139" s="8"/>
      <c r="AB139" s="8"/>
    </row>
    <row r="140">
      <c r="A140" s="8"/>
      <c r="B140" s="8"/>
      <c r="C140" s="8"/>
      <c r="D140" s="8"/>
      <c r="E140" s="8"/>
      <c r="F140" s="356"/>
      <c r="G140" s="8"/>
      <c r="H140" s="8"/>
      <c r="I140" s="8"/>
      <c r="J140" s="8"/>
      <c r="K140" s="8"/>
      <c r="L140" s="8"/>
      <c r="M140" s="8"/>
      <c r="N140" s="8"/>
      <c r="O140" s="8"/>
      <c r="P140" s="8"/>
      <c r="Q140" s="8"/>
      <c r="R140" s="8"/>
      <c r="S140" s="357"/>
      <c r="T140" s="357"/>
      <c r="U140" s="357"/>
      <c r="V140" s="357"/>
      <c r="W140" s="8"/>
      <c r="X140" s="8"/>
      <c r="Y140" s="8"/>
      <c r="Z140" s="8"/>
      <c r="AA140" s="8"/>
      <c r="AB140" s="8"/>
    </row>
    <row r="141">
      <c r="A141" s="8"/>
      <c r="B141" s="8"/>
      <c r="C141" s="8"/>
      <c r="D141" s="8"/>
      <c r="E141" s="8"/>
      <c r="F141" s="356"/>
      <c r="G141" s="8"/>
      <c r="H141" s="8"/>
      <c r="I141" s="8"/>
      <c r="J141" s="8"/>
      <c r="K141" s="8"/>
      <c r="L141" s="8"/>
      <c r="M141" s="8"/>
      <c r="N141" s="8"/>
      <c r="O141" s="8"/>
      <c r="P141" s="8"/>
      <c r="Q141" s="8"/>
      <c r="R141" s="8"/>
      <c r="S141" s="357"/>
      <c r="T141" s="357"/>
      <c r="U141" s="357"/>
      <c r="V141" s="357"/>
      <c r="W141" s="8"/>
      <c r="X141" s="8"/>
      <c r="Y141" s="8"/>
      <c r="Z141" s="8"/>
      <c r="AA141" s="8"/>
      <c r="AB141" s="8"/>
    </row>
    <row r="142">
      <c r="A142" s="8"/>
      <c r="B142" s="8"/>
      <c r="C142" s="8"/>
      <c r="D142" s="8"/>
      <c r="E142" s="8"/>
      <c r="F142" s="356"/>
      <c r="G142" s="8"/>
      <c r="H142" s="8"/>
      <c r="I142" s="8"/>
      <c r="J142" s="8"/>
      <c r="K142" s="8"/>
      <c r="L142" s="8"/>
      <c r="M142" s="8"/>
      <c r="N142" s="8"/>
      <c r="O142" s="8"/>
      <c r="P142" s="8"/>
      <c r="Q142" s="8"/>
      <c r="R142" s="8"/>
      <c r="S142" s="357"/>
      <c r="T142" s="357"/>
      <c r="U142" s="357"/>
      <c r="V142" s="357"/>
      <c r="W142" s="8"/>
      <c r="X142" s="8"/>
      <c r="Y142" s="8"/>
      <c r="Z142" s="8"/>
      <c r="AA142" s="8"/>
      <c r="AB142" s="8"/>
    </row>
    <row r="143">
      <c r="A143" s="8"/>
      <c r="B143" s="8"/>
      <c r="C143" s="8"/>
      <c r="D143" s="8"/>
      <c r="E143" s="8"/>
      <c r="F143" s="356"/>
      <c r="G143" s="8"/>
      <c r="H143" s="8"/>
      <c r="I143" s="8"/>
      <c r="J143" s="8"/>
      <c r="K143" s="8"/>
      <c r="L143" s="8"/>
      <c r="M143" s="8"/>
      <c r="N143" s="8"/>
      <c r="O143" s="8"/>
      <c r="P143" s="8"/>
      <c r="Q143" s="8"/>
      <c r="R143" s="8"/>
      <c r="S143" s="357"/>
      <c r="T143" s="357"/>
      <c r="U143" s="357"/>
      <c r="V143" s="357"/>
      <c r="W143" s="8"/>
      <c r="X143" s="8"/>
      <c r="Y143" s="8"/>
      <c r="Z143" s="8"/>
      <c r="AA143" s="8"/>
      <c r="AB143" s="8"/>
    </row>
    <row r="144">
      <c r="A144" s="8"/>
      <c r="B144" s="8"/>
      <c r="C144" s="8"/>
      <c r="D144" s="8"/>
      <c r="E144" s="8"/>
      <c r="F144" s="356"/>
      <c r="G144" s="8"/>
      <c r="H144" s="8"/>
      <c r="I144" s="8"/>
      <c r="J144" s="8"/>
      <c r="K144" s="8"/>
      <c r="L144" s="8"/>
      <c r="M144" s="8"/>
      <c r="N144" s="8"/>
      <c r="O144" s="8"/>
      <c r="P144" s="8"/>
      <c r="Q144" s="8"/>
      <c r="R144" s="8"/>
      <c r="S144" s="357"/>
      <c r="T144" s="357"/>
      <c r="U144" s="357"/>
      <c r="V144" s="357"/>
      <c r="W144" s="8"/>
      <c r="X144" s="8"/>
      <c r="Y144" s="8"/>
      <c r="Z144" s="8"/>
      <c r="AA144" s="8"/>
      <c r="AB144" s="8"/>
    </row>
    <row r="145">
      <c r="A145" s="8"/>
      <c r="B145" s="8"/>
      <c r="C145" s="8"/>
      <c r="D145" s="8"/>
      <c r="E145" s="8"/>
      <c r="F145" s="356"/>
      <c r="G145" s="8"/>
      <c r="H145" s="8"/>
      <c r="I145" s="8"/>
      <c r="J145" s="8"/>
      <c r="K145" s="8"/>
      <c r="L145" s="8"/>
      <c r="M145" s="8"/>
      <c r="N145" s="8"/>
      <c r="O145" s="8"/>
      <c r="P145" s="8"/>
      <c r="Q145" s="8"/>
      <c r="R145" s="8"/>
      <c r="S145" s="357"/>
      <c r="T145" s="357"/>
      <c r="U145" s="357"/>
      <c r="V145" s="357"/>
      <c r="W145" s="8"/>
      <c r="X145" s="8"/>
      <c r="Y145" s="8"/>
      <c r="Z145" s="8"/>
      <c r="AA145" s="8"/>
      <c r="AB145" s="8"/>
    </row>
    <row r="146">
      <c r="A146" s="8"/>
      <c r="B146" s="8"/>
      <c r="C146" s="8"/>
      <c r="D146" s="8"/>
      <c r="E146" s="8"/>
      <c r="F146" s="356"/>
      <c r="G146" s="8"/>
      <c r="H146" s="8"/>
      <c r="I146" s="8"/>
      <c r="J146" s="8"/>
      <c r="K146" s="8"/>
      <c r="L146" s="8"/>
      <c r="M146" s="8"/>
      <c r="N146" s="8"/>
      <c r="O146" s="8"/>
      <c r="P146" s="8"/>
      <c r="Q146" s="8"/>
      <c r="R146" s="8"/>
      <c r="S146" s="357"/>
      <c r="T146" s="357"/>
      <c r="U146" s="357"/>
      <c r="V146" s="357"/>
      <c r="W146" s="8"/>
      <c r="X146" s="8"/>
      <c r="Y146" s="8"/>
      <c r="Z146" s="8"/>
      <c r="AA146" s="8"/>
      <c r="AB146" s="8"/>
    </row>
    <row r="147">
      <c r="A147" s="8"/>
      <c r="B147" s="8"/>
      <c r="C147" s="8"/>
      <c r="D147" s="8"/>
      <c r="E147" s="8"/>
      <c r="F147" s="356"/>
      <c r="G147" s="8"/>
      <c r="H147" s="8"/>
      <c r="I147" s="8"/>
      <c r="J147" s="8"/>
      <c r="K147" s="8"/>
      <c r="L147" s="8"/>
      <c r="M147" s="8"/>
      <c r="N147" s="8"/>
      <c r="O147" s="8"/>
      <c r="P147" s="8"/>
      <c r="Q147" s="8"/>
      <c r="R147" s="8"/>
      <c r="S147" s="357"/>
      <c r="T147" s="357"/>
      <c r="U147" s="357"/>
      <c r="V147" s="357"/>
      <c r="W147" s="8"/>
      <c r="X147" s="8"/>
      <c r="Y147" s="8"/>
      <c r="Z147" s="8"/>
      <c r="AA147" s="8"/>
      <c r="AB147" s="8"/>
    </row>
    <row r="148">
      <c r="A148" s="8"/>
      <c r="B148" s="8"/>
      <c r="C148" s="8"/>
      <c r="D148" s="8"/>
      <c r="E148" s="8"/>
      <c r="F148" s="356"/>
      <c r="G148" s="8"/>
      <c r="H148" s="8"/>
      <c r="I148" s="8"/>
      <c r="J148" s="8"/>
      <c r="K148" s="8"/>
      <c r="L148" s="8"/>
      <c r="M148" s="8"/>
      <c r="N148" s="8"/>
      <c r="O148" s="8"/>
      <c r="P148" s="8"/>
      <c r="Q148" s="8"/>
      <c r="R148" s="8"/>
      <c r="S148" s="357"/>
      <c r="T148" s="357"/>
      <c r="U148" s="357"/>
      <c r="V148" s="357"/>
      <c r="W148" s="8"/>
      <c r="X148" s="8"/>
      <c r="Y148" s="8"/>
      <c r="Z148" s="8"/>
      <c r="AA148" s="8"/>
      <c r="AB148" s="8"/>
    </row>
    <row r="149">
      <c r="A149" s="8"/>
      <c r="B149" s="8"/>
      <c r="C149" s="8"/>
      <c r="D149" s="8"/>
      <c r="E149" s="8"/>
      <c r="F149" s="356"/>
      <c r="G149" s="8"/>
      <c r="H149" s="8"/>
      <c r="I149" s="8"/>
      <c r="J149" s="8"/>
      <c r="K149" s="8"/>
      <c r="L149" s="8"/>
      <c r="M149" s="8"/>
      <c r="N149" s="8"/>
      <c r="O149" s="8"/>
      <c r="P149" s="8"/>
      <c r="Q149" s="8"/>
      <c r="R149" s="8"/>
      <c r="S149" s="357"/>
      <c r="T149" s="357"/>
      <c r="U149" s="357"/>
      <c r="V149" s="357"/>
      <c r="W149" s="8"/>
      <c r="X149" s="8"/>
      <c r="Y149" s="8"/>
      <c r="Z149" s="8"/>
      <c r="AA149" s="8"/>
      <c r="AB149" s="8"/>
    </row>
    <row r="150">
      <c r="A150" s="8"/>
      <c r="B150" s="8"/>
      <c r="C150" s="8"/>
      <c r="D150" s="8"/>
      <c r="E150" s="8"/>
      <c r="F150" s="356"/>
      <c r="G150" s="8"/>
      <c r="H150" s="8"/>
      <c r="I150" s="8"/>
      <c r="J150" s="8"/>
      <c r="K150" s="8"/>
      <c r="L150" s="8"/>
      <c r="M150" s="8"/>
      <c r="N150" s="8"/>
      <c r="O150" s="8"/>
      <c r="P150" s="8"/>
      <c r="Q150" s="8"/>
      <c r="R150" s="8"/>
      <c r="S150" s="357"/>
      <c r="T150" s="357"/>
      <c r="U150" s="357"/>
      <c r="V150" s="357"/>
      <c r="W150" s="8"/>
      <c r="X150" s="8"/>
      <c r="Y150" s="8"/>
      <c r="Z150" s="8"/>
      <c r="AA150" s="8"/>
      <c r="AB150" s="8"/>
    </row>
    <row r="151">
      <c r="A151" s="8"/>
      <c r="B151" s="8"/>
      <c r="C151" s="8"/>
      <c r="D151" s="8"/>
      <c r="E151" s="8"/>
      <c r="F151" s="356"/>
      <c r="G151" s="8"/>
      <c r="H151" s="8"/>
      <c r="I151" s="8"/>
      <c r="J151" s="8"/>
      <c r="K151" s="8"/>
      <c r="L151" s="8"/>
      <c r="M151" s="8"/>
      <c r="N151" s="8"/>
      <c r="O151" s="8"/>
      <c r="P151" s="8"/>
      <c r="Q151" s="8"/>
      <c r="R151" s="8"/>
      <c r="S151" s="357"/>
      <c r="T151" s="357"/>
      <c r="U151" s="357"/>
      <c r="V151" s="357"/>
      <c r="W151" s="8"/>
      <c r="X151" s="8"/>
      <c r="Y151" s="8"/>
      <c r="Z151" s="8"/>
      <c r="AA151" s="8"/>
      <c r="AB151" s="8"/>
    </row>
    <row r="152">
      <c r="A152" s="8"/>
      <c r="B152" s="8"/>
      <c r="C152" s="8"/>
      <c r="D152" s="8"/>
      <c r="E152" s="8"/>
      <c r="F152" s="356"/>
      <c r="G152" s="8"/>
      <c r="H152" s="8"/>
      <c r="I152" s="8"/>
      <c r="J152" s="8"/>
      <c r="K152" s="8"/>
      <c r="L152" s="8"/>
      <c r="M152" s="8"/>
      <c r="N152" s="8"/>
      <c r="O152" s="8"/>
      <c r="P152" s="8"/>
      <c r="Q152" s="8"/>
      <c r="R152" s="8"/>
      <c r="S152" s="357"/>
      <c r="T152" s="357"/>
      <c r="U152" s="357"/>
      <c r="V152" s="357"/>
      <c r="W152" s="8"/>
      <c r="X152" s="8"/>
      <c r="Y152" s="8"/>
      <c r="Z152" s="8"/>
      <c r="AA152" s="8"/>
      <c r="AB152" s="8"/>
    </row>
    <row r="153">
      <c r="A153" s="8"/>
      <c r="B153" s="8"/>
      <c r="C153" s="8"/>
      <c r="D153" s="8"/>
      <c r="E153" s="8"/>
      <c r="F153" s="356"/>
      <c r="G153" s="8"/>
      <c r="H153" s="8"/>
      <c r="I153" s="8"/>
      <c r="J153" s="8"/>
      <c r="K153" s="8"/>
      <c r="L153" s="8"/>
      <c r="M153" s="8"/>
      <c r="N153" s="8"/>
      <c r="O153" s="8"/>
      <c r="P153" s="8"/>
      <c r="Q153" s="8"/>
      <c r="R153" s="8"/>
      <c r="S153" s="357"/>
      <c r="T153" s="357"/>
      <c r="U153" s="357"/>
      <c r="V153" s="357"/>
      <c r="W153" s="8"/>
      <c r="X153" s="8"/>
      <c r="Y153" s="8"/>
      <c r="Z153" s="8"/>
      <c r="AA153" s="8"/>
      <c r="AB153" s="8"/>
    </row>
    <row r="154">
      <c r="A154" s="8"/>
      <c r="B154" s="8"/>
      <c r="C154" s="8"/>
      <c r="D154" s="8"/>
      <c r="E154" s="8"/>
      <c r="F154" s="356"/>
      <c r="G154" s="8"/>
      <c r="H154" s="8"/>
      <c r="I154" s="8"/>
      <c r="J154" s="8"/>
      <c r="K154" s="8"/>
      <c r="L154" s="8"/>
      <c r="M154" s="8"/>
      <c r="N154" s="8"/>
      <c r="O154" s="8"/>
      <c r="P154" s="8"/>
      <c r="Q154" s="8"/>
      <c r="R154" s="8"/>
      <c r="S154" s="357"/>
      <c r="T154" s="357"/>
      <c r="U154" s="357"/>
      <c r="V154" s="357"/>
      <c r="W154" s="8"/>
      <c r="X154" s="8"/>
      <c r="Y154" s="8"/>
      <c r="Z154" s="8"/>
      <c r="AA154" s="8"/>
      <c r="AB154" s="8"/>
    </row>
    <row r="155">
      <c r="A155" s="8"/>
      <c r="B155" s="8"/>
      <c r="C155" s="8"/>
      <c r="D155" s="8"/>
      <c r="E155" s="8"/>
      <c r="F155" s="356"/>
      <c r="G155" s="8"/>
      <c r="H155" s="8"/>
      <c r="I155" s="8"/>
      <c r="J155" s="8"/>
      <c r="K155" s="8"/>
      <c r="L155" s="8"/>
      <c r="M155" s="8"/>
      <c r="N155" s="8"/>
      <c r="O155" s="8"/>
      <c r="P155" s="8"/>
      <c r="Q155" s="8"/>
      <c r="R155" s="8"/>
      <c r="S155" s="357"/>
      <c r="T155" s="357"/>
      <c r="U155" s="357"/>
      <c r="V155" s="357"/>
      <c r="W155" s="8"/>
      <c r="X155" s="8"/>
      <c r="Y155" s="8"/>
      <c r="Z155" s="8"/>
      <c r="AA155" s="8"/>
      <c r="AB155" s="8"/>
    </row>
    <row r="156">
      <c r="A156" s="8"/>
      <c r="B156" s="8"/>
      <c r="C156" s="8"/>
      <c r="D156" s="8"/>
      <c r="E156" s="8"/>
      <c r="F156" s="356"/>
      <c r="G156" s="8"/>
      <c r="H156" s="8"/>
      <c r="I156" s="8"/>
      <c r="J156" s="8"/>
      <c r="K156" s="8"/>
      <c r="L156" s="8"/>
      <c r="M156" s="8"/>
      <c r="N156" s="8"/>
      <c r="O156" s="8"/>
      <c r="P156" s="8"/>
      <c r="Q156" s="8"/>
      <c r="R156" s="8"/>
      <c r="S156" s="357"/>
      <c r="T156" s="357"/>
      <c r="U156" s="357"/>
      <c r="V156" s="357"/>
      <c r="W156" s="8"/>
      <c r="X156" s="8"/>
      <c r="Y156" s="8"/>
      <c r="Z156" s="8"/>
      <c r="AA156" s="8"/>
      <c r="AB156" s="8"/>
    </row>
    <row r="157">
      <c r="A157" s="8"/>
      <c r="B157" s="8"/>
      <c r="C157" s="8"/>
      <c r="D157" s="8"/>
      <c r="E157" s="8"/>
      <c r="F157" s="356"/>
      <c r="G157" s="8"/>
      <c r="H157" s="8"/>
      <c r="I157" s="8"/>
      <c r="J157" s="8"/>
      <c r="K157" s="8"/>
      <c r="L157" s="8"/>
      <c r="M157" s="8"/>
      <c r="N157" s="8"/>
      <c r="O157" s="8"/>
      <c r="P157" s="8"/>
      <c r="Q157" s="8"/>
      <c r="R157" s="8"/>
      <c r="S157" s="357"/>
      <c r="T157" s="357"/>
      <c r="U157" s="357"/>
      <c r="V157" s="357"/>
      <c r="W157" s="8"/>
      <c r="X157" s="8"/>
      <c r="Y157" s="8"/>
      <c r="Z157" s="8"/>
      <c r="AA157" s="8"/>
      <c r="AB157" s="8"/>
    </row>
    <row r="158">
      <c r="A158" s="8"/>
      <c r="B158" s="8"/>
      <c r="C158" s="8"/>
      <c r="D158" s="8"/>
      <c r="E158" s="8"/>
      <c r="F158" s="356"/>
      <c r="G158" s="8"/>
      <c r="H158" s="8"/>
      <c r="I158" s="8"/>
      <c r="J158" s="8"/>
      <c r="K158" s="8"/>
      <c r="L158" s="8"/>
      <c r="M158" s="8"/>
      <c r="N158" s="8"/>
      <c r="O158" s="8"/>
      <c r="P158" s="8"/>
      <c r="Q158" s="8"/>
      <c r="R158" s="8"/>
      <c r="S158" s="357"/>
      <c r="T158" s="357"/>
      <c r="U158" s="357"/>
      <c r="V158" s="357"/>
      <c r="W158" s="8"/>
      <c r="X158" s="8"/>
      <c r="Y158" s="8"/>
      <c r="Z158" s="8"/>
      <c r="AA158" s="8"/>
      <c r="AB158" s="8"/>
    </row>
    <row r="159">
      <c r="A159" s="8"/>
      <c r="B159" s="8"/>
      <c r="C159" s="8"/>
      <c r="D159" s="8"/>
      <c r="E159" s="8"/>
      <c r="F159" s="356"/>
      <c r="G159" s="8"/>
      <c r="H159" s="8"/>
      <c r="I159" s="8"/>
      <c r="J159" s="8"/>
      <c r="K159" s="8"/>
      <c r="L159" s="8"/>
      <c r="M159" s="8"/>
      <c r="N159" s="8"/>
      <c r="O159" s="8"/>
      <c r="P159" s="8"/>
      <c r="Q159" s="8"/>
      <c r="R159" s="8"/>
      <c r="S159" s="357"/>
      <c r="T159" s="357"/>
      <c r="U159" s="357"/>
      <c r="V159" s="357"/>
      <c r="W159" s="8"/>
      <c r="X159" s="8"/>
      <c r="Y159" s="8"/>
      <c r="Z159" s="8"/>
      <c r="AA159" s="8"/>
      <c r="AB159" s="8"/>
    </row>
    <row r="160">
      <c r="A160" s="8"/>
      <c r="B160" s="8"/>
      <c r="C160" s="8"/>
      <c r="D160" s="8"/>
      <c r="E160" s="8"/>
      <c r="F160" s="356"/>
      <c r="G160" s="8"/>
      <c r="H160" s="8"/>
      <c r="I160" s="8"/>
      <c r="J160" s="8"/>
      <c r="K160" s="8"/>
      <c r="L160" s="8"/>
      <c r="M160" s="8"/>
      <c r="N160" s="8"/>
      <c r="O160" s="8"/>
      <c r="P160" s="8"/>
      <c r="Q160" s="8"/>
      <c r="R160" s="8"/>
      <c r="S160" s="357"/>
      <c r="T160" s="357"/>
      <c r="U160" s="357"/>
      <c r="V160" s="357"/>
      <c r="W160" s="8"/>
      <c r="X160" s="8"/>
      <c r="Y160" s="8"/>
      <c r="Z160" s="8"/>
      <c r="AA160" s="8"/>
      <c r="AB160" s="8"/>
    </row>
    <row r="161">
      <c r="A161" s="8"/>
      <c r="B161" s="8"/>
      <c r="C161" s="8"/>
      <c r="D161" s="8"/>
      <c r="E161" s="8"/>
      <c r="F161" s="356"/>
      <c r="G161" s="8"/>
      <c r="H161" s="8"/>
      <c r="I161" s="8"/>
      <c r="J161" s="8"/>
      <c r="K161" s="8"/>
      <c r="L161" s="8"/>
      <c r="M161" s="8"/>
      <c r="N161" s="8"/>
      <c r="O161" s="8"/>
      <c r="P161" s="8"/>
      <c r="Q161" s="8"/>
      <c r="R161" s="8"/>
      <c r="S161" s="357"/>
      <c r="T161" s="357"/>
      <c r="U161" s="357"/>
      <c r="V161" s="357"/>
      <c r="W161" s="8"/>
      <c r="X161" s="8"/>
      <c r="Y161" s="8"/>
      <c r="Z161" s="8"/>
      <c r="AA161" s="8"/>
      <c r="AB161" s="8"/>
    </row>
    <row r="162">
      <c r="A162" s="8"/>
      <c r="B162" s="8"/>
      <c r="C162" s="8"/>
      <c r="D162" s="8"/>
      <c r="E162" s="8"/>
      <c r="F162" s="356"/>
      <c r="G162" s="8"/>
      <c r="H162" s="8"/>
      <c r="I162" s="8"/>
      <c r="J162" s="8"/>
      <c r="K162" s="8"/>
      <c r="L162" s="8"/>
      <c r="M162" s="8"/>
      <c r="N162" s="8"/>
      <c r="O162" s="8"/>
      <c r="P162" s="8"/>
      <c r="Q162" s="8"/>
      <c r="R162" s="8"/>
      <c r="S162" s="357"/>
      <c r="T162" s="357"/>
      <c r="U162" s="357"/>
      <c r="V162" s="357"/>
      <c r="W162" s="8"/>
      <c r="X162" s="8"/>
      <c r="Y162" s="8"/>
      <c r="Z162" s="8"/>
      <c r="AA162" s="8"/>
      <c r="AB162" s="8"/>
    </row>
    <row r="163">
      <c r="A163" s="8"/>
      <c r="B163" s="8"/>
      <c r="C163" s="8"/>
      <c r="D163" s="8"/>
      <c r="E163" s="8"/>
      <c r="F163" s="356"/>
      <c r="G163" s="8"/>
      <c r="H163" s="8"/>
      <c r="I163" s="8"/>
      <c r="J163" s="8"/>
      <c r="K163" s="8"/>
      <c r="L163" s="8"/>
      <c r="M163" s="8"/>
      <c r="N163" s="8"/>
      <c r="O163" s="8"/>
      <c r="P163" s="8"/>
      <c r="Q163" s="8"/>
      <c r="R163" s="8"/>
      <c r="S163" s="357"/>
      <c r="T163" s="357"/>
      <c r="U163" s="357"/>
      <c r="V163" s="357"/>
      <c r="W163" s="8"/>
      <c r="X163" s="8"/>
      <c r="Y163" s="8"/>
      <c r="Z163" s="8"/>
      <c r="AA163" s="8"/>
      <c r="AB163" s="8"/>
    </row>
    <row r="164">
      <c r="A164" s="8"/>
      <c r="B164" s="8"/>
      <c r="C164" s="8"/>
      <c r="D164" s="8"/>
      <c r="E164" s="8"/>
      <c r="F164" s="356"/>
      <c r="G164" s="8"/>
      <c r="H164" s="8"/>
      <c r="I164" s="8"/>
      <c r="J164" s="8"/>
      <c r="K164" s="8"/>
      <c r="L164" s="8"/>
      <c r="M164" s="8"/>
      <c r="N164" s="8"/>
      <c r="O164" s="8"/>
      <c r="P164" s="8"/>
      <c r="Q164" s="8"/>
      <c r="R164" s="8"/>
      <c r="S164" s="357"/>
      <c r="T164" s="357"/>
      <c r="U164" s="357"/>
      <c r="V164" s="357"/>
      <c r="W164" s="8"/>
      <c r="X164" s="8"/>
      <c r="Y164" s="8"/>
      <c r="Z164" s="8"/>
      <c r="AA164" s="8"/>
      <c r="AB164" s="8"/>
    </row>
    <row r="165">
      <c r="A165" s="8"/>
      <c r="B165" s="8"/>
      <c r="C165" s="8"/>
      <c r="D165" s="8"/>
      <c r="E165" s="8"/>
      <c r="F165" s="356"/>
      <c r="G165" s="8"/>
      <c r="H165" s="8"/>
      <c r="I165" s="8"/>
      <c r="J165" s="8"/>
      <c r="K165" s="8"/>
      <c r="L165" s="8"/>
      <c r="M165" s="8"/>
      <c r="N165" s="8"/>
      <c r="O165" s="8"/>
      <c r="P165" s="8"/>
      <c r="Q165" s="8"/>
      <c r="R165" s="8"/>
      <c r="S165" s="357"/>
      <c r="T165" s="357"/>
      <c r="U165" s="357"/>
      <c r="V165" s="357"/>
      <c r="W165" s="8"/>
      <c r="X165" s="8"/>
      <c r="Y165" s="8"/>
      <c r="Z165" s="8"/>
      <c r="AA165" s="8"/>
      <c r="AB165" s="8"/>
    </row>
    <row r="166">
      <c r="A166" s="8"/>
      <c r="B166" s="8"/>
      <c r="C166" s="8"/>
      <c r="D166" s="8"/>
      <c r="E166" s="8"/>
      <c r="F166" s="356"/>
      <c r="G166" s="8"/>
      <c r="H166" s="8"/>
      <c r="I166" s="8"/>
      <c r="J166" s="8"/>
      <c r="K166" s="8"/>
      <c r="L166" s="8"/>
      <c r="M166" s="8"/>
      <c r="N166" s="8"/>
      <c r="O166" s="8"/>
      <c r="P166" s="8"/>
      <c r="Q166" s="8"/>
      <c r="R166" s="8"/>
      <c r="S166" s="357"/>
      <c r="T166" s="357"/>
      <c r="U166" s="357"/>
      <c r="V166" s="357"/>
      <c r="W166" s="8"/>
      <c r="X166" s="8"/>
      <c r="Y166" s="8"/>
      <c r="Z166" s="8"/>
      <c r="AA166" s="8"/>
      <c r="AB166" s="8"/>
    </row>
    <row r="167">
      <c r="A167" s="8"/>
      <c r="B167" s="8"/>
      <c r="C167" s="8"/>
      <c r="D167" s="8"/>
      <c r="E167" s="8"/>
      <c r="F167" s="356"/>
      <c r="G167" s="8"/>
      <c r="H167" s="8"/>
      <c r="I167" s="8"/>
      <c r="J167" s="8"/>
      <c r="K167" s="8"/>
      <c r="L167" s="8"/>
      <c r="M167" s="8"/>
      <c r="N167" s="8"/>
      <c r="O167" s="8"/>
      <c r="P167" s="8"/>
      <c r="Q167" s="8"/>
      <c r="R167" s="8"/>
      <c r="S167" s="357"/>
      <c r="T167" s="357"/>
      <c r="U167" s="357"/>
      <c r="V167" s="357"/>
      <c r="W167" s="8"/>
      <c r="X167" s="8"/>
      <c r="Y167" s="8"/>
      <c r="Z167" s="8"/>
      <c r="AA167" s="8"/>
      <c r="AB167" s="8"/>
    </row>
    <row r="168">
      <c r="A168" s="8"/>
      <c r="B168" s="8"/>
      <c r="C168" s="8"/>
      <c r="D168" s="8"/>
      <c r="E168" s="8"/>
      <c r="F168" s="356"/>
      <c r="G168" s="8"/>
      <c r="H168" s="8"/>
      <c r="I168" s="8"/>
      <c r="J168" s="8"/>
      <c r="K168" s="8"/>
      <c r="L168" s="8"/>
      <c r="M168" s="8"/>
      <c r="N168" s="8"/>
      <c r="O168" s="8"/>
      <c r="P168" s="8"/>
      <c r="Q168" s="8"/>
      <c r="R168" s="8"/>
      <c r="S168" s="357"/>
      <c r="T168" s="357"/>
      <c r="U168" s="357"/>
      <c r="V168" s="357"/>
      <c r="W168" s="8"/>
      <c r="X168" s="8"/>
      <c r="Y168" s="8"/>
      <c r="Z168" s="8"/>
      <c r="AA168" s="8"/>
      <c r="AB168" s="8"/>
    </row>
    <row r="169">
      <c r="A169" s="8"/>
      <c r="B169" s="8"/>
      <c r="C169" s="8"/>
      <c r="D169" s="8"/>
      <c r="E169" s="8"/>
      <c r="F169" s="356"/>
      <c r="G169" s="8"/>
      <c r="H169" s="8"/>
      <c r="I169" s="8"/>
      <c r="J169" s="8"/>
      <c r="K169" s="8"/>
      <c r="L169" s="8"/>
      <c r="M169" s="8"/>
      <c r="N169" s="8"/>
      <c r="O169" s="8"/>
      <c r="P169" s="8"/>
      <c r="Q169" s="8"/>
      <c r="R169" s="8"/>
      <c r="S169" s="357"/>
      <c r="T169" s="357"/>
      <c r="U169" s="357"/>
      <c r="V169" s="357"/>
      <c r="W169" s="8"/>
      <c r="X169" s="8"/>
      <c r="Y169" s="8"/>
      <c r="Z169" s="8"/>
      <c r="AA169" s="8"/>
      <c r="AB169" s="8"/>
    </row>
    <row r="170">
      <c r="A170" s="8"/>
      <c r="B170" s="8"/>
      <c r="C170" s="8"/>
      <c r="D170" s="8"/>
      <c r="E170" s="8"/>
      <c r="F170" s="356"/>
      <c r="G170" s="8"/>
      <c r="H170" s="8"/>
      <c r="I170" s="8"/>
      <c r="J170" s="8"/>
      <c r="K170" s="8"/>
      <c r="L170" s="8"/>
      <c r="M170" s="8"/>
      <c r="N170" s="8"/>
      <c r="O170" s="8"/>
      <c r="P170" s="8"/>
      <c r="Q170" s="8"/>
      <c r="R170" s="8"/>
      <c r="S170" s="357"/>
      <c r="T170" s="357"/>
      <c r="U170" s="357"/>
      <c r="V170" s="357"/>
      <c r="W170" s="8"/>
      <c r="X170" s="8"/>
      <c r="Y170" s="8"/>
      <c r="Z170" s="8"/>
      <c r="AA170" s="8"/>
      <c r="AB170" s="8"/>
    </row>
    <row r="171">
      <c r="A171" s="8"/>
      <c r="B171" s="8"/>
      <c r="C171" s="8"/>
      <c r="D171" s="8"/>
      <c r="E171" s="8"/>
      <c r="F171" s="356"/>
      <c r="G171" s="8"/>
      <c r="H171" s="8"/>
      <c r="I171" s="8"/>
      <c r="J171" s="8"/>
      <c r="K171" s="8"/>
      <c r="L171" s="8"/>
      <c r="M171" s="8"/>
      <c r="N171" s="8"/>
      <c r="O171" s="8"/>
      <c r="P171" s="8"/>
      <c r="Q171" s="8"/>
      <c r="R171" s="8"/>
      <c r="S171" s="357"/>
      <c r="T171" s="357"/>
      <c r="U171" s="357"/>
      <c r="V171" s="357"/>
      <c r="W171" s="8"/>
      <c r="X171" s="8"/>
      <c r="Y171" s="8"/>
      <c r="Z171" s="8"/>
      <c r="AA171" s="8"/>
      <c r="AB171" s="8"/>
    </row>
    <row r="172">
      <c r="A172" s="8"/>
      <c r="B172" s="8"/>
      <c r="C172" s="8"/>
      <c r="D172" s="8"/>
      <c r="E172" s="8"/>
      <c r="F172" s="356"/>
      <c r="G172" s="8"/>
      <c r="H172" s="8"/>
      <c r="I172" s="8"/>
      <c r="J172" s="8"/>
      <c r="K172" s="8"/>
      <c r="L172" s="8"/>
      <c r="M172" s="8"/>
      <c r="N172" s="8"/>
      <c r="O172" s="8"/>
      <c r="P172" s="8"/>
      <c r="Q172" s="8"/>
      <c r="R172" s="8"/>
      <c r="S172" s="357"/>
      <c r="T172" s="357"/>
      <c r="U172" s="357"/>
      <c r="V172" s="357"/>
      <c r="W172" s="8"/>
      <c r="X172" s="8"/>
      <c r="Y172" s="8"/>
      <c r="Z172" s="8"/>
      <c r="AA172" s="8"/>
      <c r="AB172" s="8"/>
    </row>
    <row r="173">
      <c r="A173" s="8"/>
      <c r="B173" s="8"/>
      <c r="C173" s="8"/>
      <c r="D173" s="8"/>
      <c r="E173" s="8"/>
      <c r="F173" s="356"/>
      <c r="G173" s="8"/>
      <c r="H173" s="8"/>
      <c r="I173" s="8"/>
      <c r="J173" s="8"/>
      <c r="K173" s="8"/>
      <c r="L173" s="8"/>
      <c r="M173" s="8"/>
      <c r="N173" s="8"/>
      <c r="O173" s="8"/>
      <c r="P173" s="8"/>
      <c r="Q173" s="8"/>
      <c r="R173" s="8"/>
      <c r="S173" s="357"/>
      <c r="T173" s="357"/>
      <c r="U173" s="357"/>
      <c r="V173" s="357"/>
      <c r="W173" s="8"/>
      <c r="X173" s="8"/>
      <c r="Y173" s="8"/>
      <c r="Z173" s="8"/>
      <c r="AA173" s="8"/>
      <c r="AB173" s="8"/>
    </row>
    <row r="174">
      <c r="A174" s="8"/>
      <c r="B174" s="8"/>
      <c r="C174" s="8"/>
      <c r="D174" s="8"/>
      <c r="E174" s="8"/>
      <c r="F174" s="356"/>
      <c r="G174" s="8"/>
      <c r="H174" s="8"/>
      <c r="I174" s="8"/>
      <c r="J174" s="8"/>
      <c r="K174" s="8"/>
      <c r="L174" s="8"/>
      <c r="M174" s="8"/>
      <c r="N174" s="8"/>
      <c r="O174" s="8"/>
      <c r="P174" s="8"/>
      <c r="Q174" s="8"/>
      <c r="R174" s="8"/>
      <c r="S174" s="357"/>
      <c r="T174" s="357"/>
      <c r="U174" s="357"/>
      <c r="V174" s="357"/>
      <c r="W174" s="8"/>
      <c r="X174" s="8"/>
      <c r="Y174" s="8"/>
      <c r="Z174" s="8"/>
      <c r="AA174" s="8"/>
      <c r="AB174" s="8"/>
    </row>
    <row r="175">
      <c r="A175" s="8"/>
      <c r="B175" s="8"/>
      <c r="C175" s="8"/>
      <c r="D175" s="8"/>
      <c r="E175" s="8"/>
      <c r="F175" s="356"/>
      <c r="G175" s="8"/>
      <c r="H175" s="8"/>
      <c r="I175" s="8"/>
      <c r="J175" s="8"/>
      <c r="K175" s="8"/>
      <c r="L175" s="8"/>
      <c r="M175" s="8"/>
      <c r="N175" s="8"/>
      <c r="O175" s="8"/>
      <c r="P175" s="8"/>
      <c r="Q175" s="8"/>
      <c r="R175" s="8"/>
      <c r="S175" s="357"/>
      <c r="T175" s="357"/>
      <c r="U175" s="357"/>
      <c r="V175" s="357"/>
      <c r="W175" s="8"/>
      <c r="X175" s="8"/>
      <c r="Y175" s="8"/>
      <c r="Z175" s="8"/>
      <c r="AA175" s="8"/>
      <c r="AB175" s="8"/>
    </row>
    <row r="176">
      <c r="A176" s="8"/>
      <c r="B176" s="8"/>
      <c r="C176" s="8"/>
      <c r="D176" s="8"/>
      <c r="E176" s="8"/>
      <c r="F176" s="356"/>
      <c r="G176" s="8"/>
      <c r="H176" s="8"/>
      <c r="I176" s="8"/>
      <c r="J176" s="8"/>
      <c r="K176" s="8"/>
      <c r="L176" s="8"/>
      <c r="M176" s="8"/>
      <c r="N176" s="8"/>
      <c r="O176" s="8"/>
      <c r="P176" s="8"/>
      <c r="Q176" s="8"/>
      <c r="R176" s="8"/>
      <c r="S176" s="357"/>
      <c r="T176" s="357"/>
      <c r="U176" s="357"/>
      <c r="V176" s="357"/>
      <c r="W176" s="8"/>
      <c r="X176" s="8"/>
      <c r="Y176" s="8"/>
      <c r="Z176" s="8"/>
      <c r="AA176" s="8"/>
      <c r="AB176" s="8"/>
    </row>
    <row r="177">
      <c r="A177" s="8"/>
      <c r="B177" s="8"/>
      <c r="C177" s="8"/>
      <c r="D177" s="8"/>
      <c r="E177" s="8"/>
      <c r="F177" s="356"/>
      <c r="G177" s="8"/>
      <c r="H177" s="8"/>
      <c r="I177" s="8"/>
      <c r="J177" s="8"/>
      <c r="K177" s="8"/>
      <c r="L177" s="8"/>
      <c r="M177" s="8"/>
      <c r="N177" s="8"/>
      <c r="O177" s="8"/>
      <c r="P177" s="8"/>
      <c r="Q177" s="8"/>
      <c r="R177" s="8"/>
      <c r="S177" s="357"/>
      <c r="T177" s="357"/>
      <c r="U177" s="357"/>
      <c r="V177" s="357"/>
      <c r="W177" s="8"/>
      <c r="X177" s="8"/>
      <c r="Y177" s="8"/>
      <c r="Z177" s="8"/>
      <c r="AA177" s="8"/>
      <c r="AB177" s="8"/>
    </row>
    <row r="178">
      <c r="A178" s="8"/>
      <c r="B178" s="8"/>
      <c r="C178" s="8"/>
      <c r="D178" s="8"/>
      <c r="E178" s="8"/>
      <c r="F178" s="356"/>
      <c r="G178" s="8"/>
      <c r="H178" s="8"/>
      <c r="I178" s="8"/>
      <c r="J178" s="8"/>
      <c r="K178" s="8"/>
      <c r="L178" s="8"/>
      <c r="M178" s="8"/>
      <c r="N178" s="8"/>
      <c r="O178" s="8"/>
      <c r="P178" s="8"/>
      <c r="Q178" s="8"/>
      <c r="R178" s="8"/>
      <c r="S178" s="357"/>
      <c r="T178" s="357"/>
      <c r="U178" s="357"/>
      <c r="V178" s="357"/>
      <c r="W178" s="8"/>
      <c r="X178" s="8"/>
      <c r="Y178" s="8"/>
      <c r="Z178" s="8"/>
      <c r="AA178" s="8"/>
      <c r="AB178" s="8"/>
    </row>
    <row r="179">
      <c r="A179" s="8"/>
      <c r="B179" s="8"/>
      <c r="C179" s="8"/>
      <c r="D179" s="8"/>
      <c r="E179" s="8"/>
      <c r="F179" s="356"/>
      <c r="G179" s="8"/>
      <c r="H179" s="8"/>
      <c r="I179" s="8"/>
      <c r="J179" s="8"/>
      <c r="K179" s="8"/>
      <c r="L179" s="8"/>
      <c r="M179" s="8"/>
      <c r="N179" s="8"/>
      <c r="O179" s="8"/>
      <c r="P179" s="8"/>
      <c r="Q179" s="8"/>
      <c r="R179" s="8"/>
      <c r="S179" s="357"/>
      <c r="T179" s="357"/>
      <c r="U179" s="357"/>
      <c r="V179" s="357"/>
      <c r="W179" s="8"/>
      <c r="X179" s="8"/>
      <c r="Y179" s="8"/>
      <c r="Z179" s="8"/>
      <c r="AA179" s="8"/>
      <c r="AB179" s="8"/>
    </row>
    <row r="180">
      <c r="A180" s="8"/>
      <c r="B180" s="8"/>
      <c r="C180" s="8"/>
      <c r="D180" s="8"/>
      <c r="E180" s="8"/>
      <c r="F180" s="356"/>
      <c r="G180" s="8"/>
      <c r="H180" s="8"/>
      <c r="I180" s="8"/>
      <c r="J180" s="8"/>
      <c r="K180" s="8"/>
      <c r="L180" s="8"/>
      <c r="M180" s="8"/>
      <c r="N180" s="8"/>
      <c r="O180" s="8"/>
      <c r="P180" s="8"/>
      <c r="Q180" s="8"/>
      <c r="R180" s="8"/>
      <c r="S180" s="357"/>
      <c r="T180" s="357"/>
      <c r="U180" s="357"/>
      <c r="V180" s="357"/>
      <c r="W180" s="8"/>
      <c r="X180" s="8"/>
      <c r="Y180" s="8"/>
      <c r="Z180" s="8"/>
      <c r="AA180" s="8"/>
      <c r="AB180" s="8"/>
    </row>
    <row r="181">
      <c r="A181" s="8"/>
      <c r="B181" s="8"/>
      <c r="C181" s="8"/>
      <c r="D181" s="8"/>
      <c r="E181" s="8"/>
      <c r="F181" s="356"/>
      <c r="G181" s="8"/>
      <c r="H181" s="8"/>
      <c r="I181" s="8"/>
      <c r="J181" s="8"/>
      <c r="K181" s="8"/>
      <c r="L181" s="8"/>
      <c r="M181" s="8"/>
      <c r="N181" s="8"/>
      <c r="O181" s="8"/>
      <c r="P181" s="8"/>
      <c r="Q181" s="8"/>
      <c r="R181" s="8"/>
      <c r="S181" s="357"/>
      <c r="T181" s="357"/>
      <c r="U181" s="357"/>
      <c r="V181" s="357"/>
      <c r="W181" s="8"/>
      <c r="X181" s="8"/>
      <c r="Y181" s="8"/>
      <c r="Z181" s="8"/>
      <c r="AA181" s="8"/>
      <c r="AB181" s="8"/>
    </row>
    <row r="182">
      <c r="A182" s="8"/>
      <c r="B182" s="8"/>
      <c r="C182" s="8"/>
      <c r="D182" s="8"/>
      <c r="E182" s="8"/>
      <c r="F182" s="356"/>
      <c r="G182" s="8"/>
      <c r="H182" s="8"/>
      <c r="I182" s="8"/>
      <c r="J182" s="8"/>
      <c r="K182" s="8"/>
      <c r="L182" s="8"/>
      <c r="M182" s="8"/>
      <c r="N182" s="8"/>
      <c r="O182" s="8"/>
      <c r="P182" s="8"/>
      <c r="Q182" s="8"/>
      <c r="R182" s="8"/>
      <c r="S182" s="357"/>
      <c r="T182" s="357"/>
      <c r="U182" s="357"/>
      <c r="V182" s="357"/>
      <c r="W182" s="8"/>
      <c r="X182" s="8"/>
      <c r="Y182" s="8"/>
      <c r="Z182" s="8"/>
      <c r="AA182" s="8"/>
      <c r="AB182" s="8"/>
    </row>
    <row r="183">
      <c r="A183" s="8"/>
      <c r="B183" s="8"/>
      <c r="C183" s="8"/>
      <c r="D183" s="8"/>
      <c r="E183" s="8"/>
      <c r="F183" s="356"/>
      <c r="G183" s="8"/>
      <c r="H183" s="8"/>
      <c r="I183" s="8"/>
      <c r="J183" s="8"/>
      <c r="K183" s="8"/>
      <c r="L183" s="8"/>
      <c r="M183" s="8"/>
      <c r="N183" s="8"/>
      <c r="O183" s="8"/>
      <c r="P183" s="8"/>
      <c r="Q183" s="8"/>
      <c r="R183" s="8"/>
      <c r="S183" s="357"/>
      <c r="T183" s="357"/>
      <c r="U183" s="357"/>
      <c r="V183" s="357"/>
      <c r="W183" s="8"/>
      <c r="X183" s="8"/>
      <c r="Y183" s="8"/>
      <c r="Z183" s="8"/>
      <c r="AA183" s="8"/>
      <c r="AB183" s="8"/>
    </row>
    <row r="184">
      <c r="A184" s="8"/>
      <c r="B184" s="8"/>
      <c r="C184" s="8"/>
      <c r="D184" s="8"/>
      <c r="E184" s="8"/>
      <c r="F184" s="356"/>
      <c r="G184" s="8"/>
      <c r="H184" s="8"/>
      <c r="I184" s="8"/>
      <c r="J184" s="8"/>
      <c r="K184" s="8"/>
      <c r="L184" s="8"/>
      <c r="M184" s="8"/>
      <c r="N184" s="8"/>
      <c r="O184" s="8"/>
      <c r="P184" s="8"/>
      <c r="Q184" s="8"/>
      <c r="R184" s="8"/>
      <c r="S184" s="357"/>
      <c r="T184" s="357"/>
      <c r="U184" s="357"/>
      <c r="V184" s="357"/>
      <c r="W184" s="8"/>
      <c r="X184" s="8"/>
      <c r="Y184" s="8"/>
      <c r="Z184" s="8"/>
      <c r="AA184" s="8"/>
      <c r="AB184" s="8"/>
    </row>
    <row r="185">
      <c r="A185" s="8"/>
      <c r="B185" s="8"/>
      <c r="C185" s="8"/>
      <c r="D185" s="8"/>
      <c r="E185" s="8"/>
      <c r="F185" s="356"/>
      <c r="G185" s="8"/>
      <c r="H185" s="8"/>
      <c r="I185" s="8"/>
      <c r="J185" s="8"/>
      <c r="K185" s="8"/>
      <c r="L185" s="8"/>
      <c r="M185" s="8"/>
      <c r="N185" s="8"/>
      <c r="O185" s="8"/>
      <c r="P185" s="8"/>
      <c r="Q185" s="8"/>
      <c r="R185" s="8"/>
      <c r="S185" s="357"/>
      <c r="T185" s="357"/>
      <c r="U185" s="357"/>
      <c r="V185" s="357"/>
      <c r="W185" s="8"/>
      <c r="X185" s="8"/>
      <c r="Y185" s="8"/>
      <c r="Z185" s="8"/>
      <c r="AA185" s="8"/>
      <c r="AB185" s="8"/>
    </row>
    <row r="186">
      <c r="A186" s="8"/>
      <c r="B186" s="8"/>
      <c r="C186" s="8"/>
      <c r="D186" s="8"/>
      <c r="E186" s="8"/>
      <c r="F186" s="356"/>
      <c r="G186" s="8"/>
      <c r="H186" s="8"/>
      <c r="I186" s="8"/>
      <c r="J186" s="8"/>
      <c r="K186" s="8"/>
      <c r="L186" s="8"/>
      <c r="M186" s="8"/>
      <c r="N186" s="8"/>
      <c r="O186" s="8"/>
      <c r="P186" s="8"/>
      <c r="Q186" s="8"/>
      <c r="R186" s="8"/>
      <c r="S186" s="357"/>
      <c r="T186" s="357"/>
      <c r="U186" s="357"/>
      <c r="V186" s="357"/>
      <c r="W186" s="8"/>
      <c r="X186" s="8"/>
      <c r="Y186" s="8"/>
      <c r="Z186" s="8"/>
      <c r="AA186" s="8"/>
      <c r="AB186" s="8"/>
    </row>
    <row r="187">
      <c r="A187" s="8"/>
      <c r="B187" s="8"/>
      <c r="C187" s="8"/>
      <c r="D187" s="8"/>
      <c r="E187" s="8"/>
      <c r="F187" s="356"/>
      <c r="G187" s="8"/>
      <c r="H187" s="8"/>
      <c r="I187" s="8"/>
      <c r="J187" s="8"/>
      <c r="K187" s="8"/>
      <c r="L187" s="8"/>
      <c r="M187" s="8"/>
      <c r="N187" s="8"/>
      <c r="O187" s="8"/>
      <c r="P187" s="8"/>
      <c r="Q187" s="8"/>
      <c r="R187" s="8"/>
      <c r="S187" s="357"/>
      <c r="T187" s="357"/>
      <c r="U187" s="357"/>
      <c r="V187" s="357"/>
      <c r="W187" s="8"/>
      <c r="X187" s="8"/>
      <c r="Y187" s="8"/>
      <c r="Z187" s="8"/>
      <c r="AA187" s="8"/>
      <c r="AB187" s="8"/>
    </row>
    <row r="188">
      <c r="A188" s="8"/>
      <c r="B188" s="8"/>
      <c r="C188" s="8"/>
      <c r="D188" s="8"/>
      <c r="E188" s="8"/>
      <c r="F188" s="356"/>
      <c r="G188" s="8"/>
      <c r="H188" s="8"/>
      <c r="I188" s="8"/>
      <c r="J188" s="8"/>
      <c r="K188" s="8"/>
      <c r="L188" s="8"/>
      <c r="M188" s="8"/>
      <c r="N188" s="8"/>
      <c r="O188" s="8"/>
      <c r="P188" s="8"/>
      <c r="Q188" s="8"/>
      <c r="R188" s="8"/>
      <c r="S188" s="357"/>
      <c r="T188" s="357"/>
      <c r="U188" s="357"/>
      <c r="V188" s="357"/>
      <c r="W188" s="8"/>
      <c r="X188" s="8"/>
      <c r="Y188" s="8"/>
      <c r="Z188" s="8"/>
      <c r="AA188" s="8"/>
      <c r="AB188" s="8"/>
    </row>
    <row r="189">
      <c r="A189" s="8"/>
      <c r="B189" s="8"/>
      <c r="C189" s="8"/>
      <c r="D189" s="8"/>
      <c r="E189" s="8"/>
      <c r="F189" s="356"/>
      <c r="G189" s="8"/>
      <c r="H189" s="8"/>
      <c r="I189" s="8"/>
      <c r="J189" s="8"/>
      <c r="K189" s="8"/>
      <c r="L189" s="8"/>
      <c r="M189" s="8"/>
      <c r="N189" s="8"/>
      <c r="O189" s="8"/>
      <c r="P189" s="8"/>
      <c r="Q189" s="8"/>
      <c r="R189" s="8"/>
      <c r="S189" s="357"/>
      <c r="T189" s="357"/>
      <c r="U189" s="357"/>
      <c r="V189" s="357"/>
      <c r="W189" s="8"/>
      <c r="X189" s="8"/>
      <c r="Y189" s="8"/>
      <c r="Z189" s="8"/>
      <c r="AA189" s="8"/>
      <c r="AB189" s="8"/>
    </row>
    <row r="190">
      <c r="A190" s="8"/>
      <c r="B190" s="8"/>
      <c r="C190" s="8"/>
      <c r="D190" s="8"/>
      <c r="E190" s="8"/>
      <c r="F190" s="356"/>
      <c r="G190" s="8"/>
      <c r="H190" s="8"/>
      <c r="I190" s="8"/>
      <c r="J190" s="8"/>
      <c r="K190" s="8"/>
      <c r="L190" s="8"/>
      <c r="M190" s="8"/>
      <c r="N190" s="8"/>
      <c r="O190" s="8"/>
      <c r="P190" s="8"/>
      <c r="Q190" s="8"/>
      <c r="R190" s="8"/>
      <c r="S190" s="357"/>
      <c r="T190" s="357"/>
      <c r="U190" s="357"/>
      <c r="V190" s="357"/>
      <c r="W190" s="8"/>
      <c r="X190" s="8"/>
      <c r="Y190" s="8"/>
      <c r="Z190" s="8"/>
      <c r="AA190" s="8"/>
      <c r="AB190" s="8"/>
    </row>
    <row r="191">
      <c r="A191" s="8"/>
      <c r="B191" s="8"/>
      <c r="C191" s="8"/>
      <c r="D191" s="8"/>
      <c r="E191" s="8"/>
      <c r="F191" s="356"/>
      <c r="G191" s="8"/>
      <c r="H191" s="8"/>
      <c r="I191" s="8"/>
      <c r="J191" s="8"/>
      <c r="K191" s="8"/>
      <c r="L191" s="8"/>
      <c r="M191" s="8"/>
      <c r="N191" s="8"/>
      <c r="O191" s="8"/>
      <c r="P191" s="8"/>
      <c r="Q191" s="8"/>
      <c r="R191" s="8"/>
      <c r="S191" s="357"/>
      <c r="T191" s="357"/>
      <c r="U191" s="357"/>
      <c r="V191" s="357"/>
      <c r="W191" s="8"/>
      <c r="X191" s="8"/>
      <c r="Y191" s="8"/>
      <c r="Z191" s="8"/>
      <c r="AA191" s="8"/>
      <c r="AB191" s="8"/>
    </row>
    <row r="192">
      <c r="A192" s="8"/>
      <c r="B192" s="8"/>
      <c r="C192" s="8"/>
      <c r="D192" s="8"/>
      <c r="E192" s="8"/>
      <c r="F192" s="356"/>
      <c r="G192" s="8"/>
      <c r="H192" s="8"/>
      <c r="I192" s="8"/>
      <c r="J192" s="8"/>
      <c r="K192" s="8"/>
      <c r="L192" s="8"/>
      <c r="M192" s="8"/>
      <c r="N192" s="8"/>
      <c r="O192" s="8"/>
      <c r="P192" s="8"/>
      <c r="Q192" s="8"/>
      <c r="R192" s="8"/>
      <c r="S192" s="357"/>
      <c r="T192" s="357"/>
      <c r="U192" s="357"/>
      <c r="V192" s="357"/>
      <c r="W192" s="8"/>
      <c r="X192" s="8"/>
      <c r="Y192" s="8"/>
      <c r="Z192" s="8"/>
      <c r="AA192" s="8"/>
      <c r="AB192" s="8"/>
    </row>
    <row r="193">
      <c r="A193" s="8"/>
      <c r="B193" s="8"/>
      <c r="C193" s="8"/>
      <c r="D193" s="8"/>
      <c r="E193" s="8"/>
      <c r="F193" s="356"/>
      <c r="G193" s="8"/>
      <c r="H193" s="8"/>
      <c r="I193" s="8"/>
      <c r="J193" s="8"/>
      <c r="K193" s="8"/>
      <c r="L193" s="8"/>
      <c r="M193" s="8"/>
      <c r="N193" s="8"/>
      <c r="O193" s="8"/>
      <c r="P193" s="8"/>
      <c r="Q193" s="8"/>
      <c r="R193" s="8"/>
      <c r="S193" s="357"/>
      <c r="T193" s="357"/>
      <c r="U193" s="357"/>
      <c r="V193" s="357"/>
      <c r="W193" s="8"/>
      <c r="X193" s="8"/>
      <c r="Y193" s="8"/>
      <c r="Z193" s="8"/>
      <c r="AA193" s="8"/>
      <c r="AB193" s="8"/>
    </row>
    <row r="194">
      <c r="A194" s="8"/>
      <c r="B194" s="8"/>
      <c r="C194" s="8"/>
      <c r="D194" s="8"/>
      <c r="E194" s="8"/>
      <c r="F194" s="356"/>
      <c r="G194" s="8"/>
      <c r="H194" s="8"/>
      <c r="I194" s="8"/>
      <c r="J194" s="8"/>
      <c r="K194" s="8"/>
      <c r="L194" s="8"/>
      <c r="M194" s="8"/>
      <c r="N194" s="8"/>
      <c r="O194" s="8"/>
      <c r="P194" s="8"/>
      <c r="Q194" s="8"/>
      <c r="R194" s="8"/>
      <c r="S194" s="357"/>
      <c r="T194" s="357"/>
      <c r="U194" s="357"/>
      <c r="V194" s="357"/>
      <c r="W194" s="8"/>
      <c r="X194" s="8"/>
      <c r="Y194" s="8"/>
      <c r="Z194" s="8"/>
      <c r="AA194" s="8"/>
      <c r="AB194" s="8"/>
    </row>
    <row r="195">
      <c r="A195" s="8"/>
      <c r="B195" s="8"/>
      <c r="C195" s="8"/>
      <c r="D195" s="8"/>
      <c r="E195" s="8"/>
      <c r="F195" s="356"/>
      <c r="G195" s="8"/>
      <c r="H195" s="8"/>
      <c r="I195" s="8"/>
      <c r="J195" s="8"/>
      <c r="K195" s="8"/>
      <c r="L195" s="8"/>
      <c r="M195" s="8"/>
      <c r="N195" s="8"/>
      <c r="O195" s="8"/>
      <c r="P195" s="8"/>
      <c r="Q195" s="8"/>
      <c r="R195" s="8"/>
      <c r="S195" s="357"/>
      <c r="T195" s="357"/>
      <c r="U195" s="357"/>
      <c r="V195" s="357"/>
      <c r="W195" s="8"/>
      <c r="X195" s="8"/>
      <c r="Y195" s="8"/>
      <c r="Z195" s="8"/>
      <c r="AA195" s="8"/>
      <c r="AB195" s="8"/>
    </row>
    <row r="196">
      <c r="A196" s="8"/>
      <c r="B196" s="8"/>
      <c r="C196" s="8"/>
      <c r="D196" s="8"/>
      <c r="E196" s="8"/>
      <c r="F196" s="356"/>
      <c r="G196" s="8"/>
      <c r="H196" s="8"/>
      <c r="I196" s="8"/>
      <c r="J196" s="8"/>
      <c r="K196" s="8"/>
      <c r="L196" s="8"/>
      <c r="M196" s="8"/>
      <c r="N196" s="8"/>
      <c r="O196" s="8"/>
      <c r="P196" s="8"/>
      <c r="Q196" s="8"/>
      <c r="R196" s="8"/>
      <c r="S196" s="357"/>
      <c r="T196" s="357"/>
      <c r="U196" s="357"/>
      <c r="V196" s="357"/>
      <c r="W196" s="8"/>
      <c r="X196" s="8"/>
      <c r="Y196" s="8"/>
      <c r="Z196" s="8"/>
      <c r="AA196" s="8"/>
      <c r="AB196" s="8"/>
    </row>
    <row r="197">
      <c r="A197" s="8"/>
      <c r="B197" s="8"/>
      <c r="C197" s="8"/>
      <c r="D197" s="8"/>
      <c r="E197" s="8"/>
      <c r="F197" s="356"/>
      <c r="G197" s="8"/>
      <c r="H197" s="8"/>
      <c r="I197" s="8"/>
      <c r="J197" s="8"/>
      <c r="K197" s="8"/>
      <c r="L197" s="8"/>
      <c r="M197" s="8"/>
      <c r="N197" s="8"/>
      <c r="O197" s="8"/>
      <c r="P197" s="8"/>
      <c r="Q197" s="8"/>
      <c r="R197" s="8"/>
      <c r="S197" s="357"/>
      <c r="T197" s="357"/>
      <c r="U197" s="357"/>
      <c r="V197" s="357"/>
      <c r="W197" s="8"/>
      <c r="X197" s="8"/>
      <c r="Y197" s="8"/>
      <c r="Z197" s="8"/>
      <c r="AA197" s="8"/>
      <c r="AB197" s="8"/>
    </row>
    <row r="198">
      <c r="A198" s="8"/>
      <c r="B198" s="8"/>
      <c r="C198" s="8"/>
      <c r="D198" s="8"/>
      <c r="E198" s="8"/>
      <c r="F198" s="356"/>
      <c r="G198" s="8"/>
      <c r="H198" s="8"/>
      <c r="I198" s="8"/>
      <c r="J198" s="8"/>
      <c r="K198" s="8"/>
      <c r="L198" s="8"/>
      <c r="M198" s="8"/>
      <c r="N198" s="8"/>
      <c r="O198" s="8"/>
      <c r="P198" s="8"/>
      <c r="Q198" s="8"/>
      <c r="R198" s="8"/>
      <c r="S198" s="357"/>
      <c r="T198" s="357"/>
      <c r="U198" s="357"/>
      <c r="V198" s="357"/>
      <c r="W198" s="8"/>
      <c r="X198" s="8"/>
      <c r="Y198" s="8"/>
      <c r="Z198" s="8"/>
      <c r="AA198" s="8"/>
      <c r="AB198" s="8"/>
    </row>
    <row r="199">
      <c r="A199" s="8"/>
      <c r="B199" s="8"/>
      <c r="C199" s="8"/>
      <c r="D199" s="8"/>
      <c r="E199" s="8"/>
      <c r="F199" s="356"/>
      <c r="G199" s="8"/>
      <c r="H199" s="8"/>
      <c r="I199" s="8"/>
      <c r="J199" s="8"/>
      <c r="K199" s="8"/>
      <c r="L199" s="8"/>
      <c r="M199" s="8"/>
      <c r="N199" s="8"/>
      <c r="O199" s="8"/>
      <c r="P199" s="8"/>
      <c r="Q199" s="8"/>
      <c r="R199" s="8"/>
      <c r="S199" s="357"/>
      <c r="T199" s="357"/>
      <c r="U199" s="357"/>
      <c r="V199" s="357"/>
      <c r="W199" s="8"/>
      <c r="X199" s="8"/>
      <c r="Y199" s="8"/>
      <c r="Z199" s="8"/>
      <c r="AA199" s="8"/>
      <c r="AB199" s="8"/>
    </row>
    <row r="200">
      <c r="A200" s="8"/>
      <c r="B200" s="8"/>
      <c r="C200" s="8"/>
      <c r="D200" s="8"/>
      <c r="E200" s="8"/>
      <c r="F200" s="356"/>
      <c r="G200" s="8"/>
      <c r="H200" s="8"/>
      <c r="I200" s="8"/>
      <c r="J200" s="8"/>
      <c r="K200" s="8"/>
      <c r="L200" s="8"/>
      <c r="M200" s="8"/>
      <c r="N200" s="8"/>
      <c r="O200" s="8"/>
      <c r="P200" s="8"/>
      <c r="Q200" s="8"/>
      <c r="R200" s="8"/>
      <c r="S200" s="357"/>
      <c r="T200" s="357"/>
      <c r="U200" s="357"/>
      <c r="V200" s="357"/>
      <c r="W200" s="8"/>
      <c r="X200" s="8"/>
      <c r="Y200" s="8"/>
      <c r="Z200" s="8"/>
      <c r="AA200" s="8"/>
      <c r="AB200" s="8"/>
    </row>
    <row r="201">
      <c r="A201" s="8"/>
      <c r="B201" s="8"/>
      <c r="C201" s="8"/>
      <c r="D201" s="8"/>
      <c r="E201" s="8"/>
      <c r="F201" s="356"/>
      <c r="G201" s="8"/>
      <c r="H201" s="8"/>
      <c r="I201" s="8"/>
      <c r="J201" s="8"/>
      <c r="K201" s="8"/>
      <c r="L201" s="8"/>
      <c r="M201" s="8"/>
      <c r="N201" s="8"/>
      <c r="O201" s="8"/>
      <c r="P201" s="8"/>
      <c r="Q201" s="8"/>
      <c r="R201" s="8"/>
      <c r="S201" s="357"/>
      <c r="T201" s="357"/>
      <c r="U201" s="357"/>
      <c r="V201" s="357"/>
      <c r="W201" s="8"/>
      <c r="X201" s="8"/>
      <c r="Y201" s="8"/>
      <c r="Z201" s="8"/>
      <c r="AA201" s="8"/>
      <c r="AB201" s="8"/>
    </row>
    <row r="202">
      <c r="A202" s="8"/>
      <c r="B202" s="8"/>
      <c r="C202" s="8"/>
      <c r="D202" s="8"/>
      <c r="E202" s="8"/>
      <c r="F202" s="356"/>
      <c r="G202" s="8"/>
      <c r="H202" s="8"/>
      <c r="I202" s="8"/>
      <c r="J202" s="8"/>
      <c r="K202" s="8"/>
      <c r="L202" s="8"/>
      <c r="M202" s="8"/>
      <c r="N202" s="8"/>
      <c r="O202" s="8"/>
      <c r="P202" s="8"/>
      <c r="Q202" s="8"/>
      <c r="R202" s="8"/>
      <c r="S202" s="357"/>
      <c r="T202" s="357"/>
      <c r="U202" s="357"/>
      <c r="V202" s="357"/>
      <c r="W202" s="8"/>
      <c r="X202" s="8"/>
      <c r="Y202" s="8"/>
      <c r="Z202" s="8"/>
      <c r="AA202" s="8"/>
      <c r="AB202" s="8"/>
    </row>
    <row r="203">
      <c r="A203" s="8"/>
      <c r="B203" s="8"/>
      <c r="C203" s="8"/>
      <c r="D203" s="8"/>
      <c r="E203" s="8"/>
      <c r="F203" s="356"/>
      <c r="G203" s="8"/>
      <c r="H203" s="8"/>
      <c r="I203" s="8"/>
      <c r="J203" s="8"/>
      <c r="K203" s="8"/>
      <c r="L203" s="8"/>
      <c r="M203" s="8"/>
      <c r="N203" s="8"/>
      <c r="O203" s="8"/>
      <c r="P203" s="8"/>
      <c r="Q203" s="8"/>
      <c r="R203" s="8"/>
      <c r="S203" s="357"/>
      <c r="T203" s="357"/>
      <c r="U203" s="357"/>
      <c r="V203" s="357"/>
      <c r="W203" s="8"/>
      <c r="X203" s="8"/>
      <c r="Y203" s="8"/>
      <c r="Z203" s="8"/>
      <c r="AA203" s="8"/>
      <c r="AB203" s="8"/>
    </row>
    <row r="204">
      <c r="A204" s="8"/>
      <c r="B204" s="8"/>
      <c r="C204" s="8"/>
      <c r="D204" s="8"/>
      <c r="E204" s="8"/>
      <c r="F204" s="356"/>
      <c r="G204" s="8"/>
      <c r="H204" s="8"/>
      <c r="I204" s="8"/>
      <c r="J204" s="8"/>
      <c r="K204" s="8"/>
      <c r="L204" s="8"/>
      <c r="M204" s="8"/>
      <c r="N204" s="8"/>
      <c r="O204" s="8"/>
      <c r="P204" s="8"/>
      <c r="Q204" s="8"/>
      <c r="R204" s="8"/>
      <c r="S204" s="357"/>
      <c r="T204" s="357"/>
      <c r="U204" s="357"/>
      <c r="V204" s="357"/>
      <c r="W204" s="8"/>
      <c r="X204" s="8"/>
      <c r="Y204" s="8"/>
      <c r="Z204" s="8"/>
      <c r="AA204" s="8"/>
      <c r="AB204" s="8"/>
    </row>
    <row r="205">
      <c r="A205" s="8"/>
      <c r="B205" s="8"/>
      <c r="C205" s="8"/>
      <c r="D205" s="8"/>
      <c r="E205" s="8"/>
      <c r="F205" s="356"/>
      <c r="G205" s="8"/>
      <c r="H205" s="8"/>
      <c r="I205" s="8"/>
      <c r="J205" s="8"/>
      <c r="K205" s="8"/>
      <c r="L205" s="8"/>
      <c r="M205" s="8"/>
      <c r="N205" s="8"/>
      <c r="O205" s="8"/>
      <c r="P205" s="8"/>
      <c r="Q205" s="8"/>
      <c r="R205" s="8"/>
      <c r="S205" s="357"/>
      <c r="T205" s="357"/>
      <c r="U205" s="357"/>
      <c r="V205" s="357"/>
      <c r="W205" s="8"/>
      <c r="X205" s="8"/>
      <c r="Y205" s="8"/>
      <c r="Z205" s="8"/>
      <c r="AA205" s="8"/>
      <c r="AB205" s="8"/>
    </row>
    <row r="206">
      <c r="A206" s="8"/>
      <c r="B206" s="8"/>
      <c r="C206" s="8"/>
      <c r="D206" s="8"/>
      <c r="E206" s="8"/>
      <c r="F206" s="356"/>
      <c r="G206" s="8"/>
      <c r="H206" s="8"/>
      <c r="I206" s="8"/>
      <c r="J206" s="8"/>
      <c r="K206" s="8"/>
      <c r="L206" s="8"/>
      <c r="M206" s="8"/>
      <c r="N206" s="8"/>
      <c r="O206" s="8"/>
      <c r="P206" s="8"/>
      <c r="Q206" s="8"/>
      <c r="R206" s="8"/>
      <c r="S206" s="357"/>
      <c r="T206" s="357"/>
      <c r="U206" s="357"/>
      <c r="V206" s="357"/>
      <c r="W206" s="8"/>
      <c r="X206" s="8"/>
      <c r="Y206" s="8"/>
      <c r="Z206" s="8"/>
      <c r="AA206" s="8"/>
      <c r="AB206" s="8"/>
    </row>
    <row r="207">
      <c r="A207" s="8"/>
      <c r="B207" s="8"/>
      <c r="C207" s="8"/>
      <c r="D207" s="8"/>
      <c r="E207" s="8"/>
      <c r="F207" s="356"/>
      <c r="G207" s="8"/>
      <c r="H207" s="8"/>
      <c r="I207" s="8"/>
      <c r="J207" s="8"/>
      <c r="K207" s="8"/>
      <c r="L207" s="8"/>
      <c r="M207" s="8"/>
      <c r="N207" s="8"/>
      <c r="O207" s="8"/>
      <c r="P207" s="8"/>
      <c r="Q207" s="8"/>
      <c r="R207" s="8"/>
      <c r="S207" s="357"/>
      <c r="T207" s="357"/>
      <c r="U207" s="357"/>
      <c r="V207" s="357"/>
      <c r="W207" s="8"/>
      <c r="X207" s="8"/>
      <c r="Y207" s="8"/>
      <c r="Z207" s="8"/>
      <c r="AA207" s="8"/>
      <c r="AB207" s="8"/>
    </row>
    <row r="208">
      <c r="A208" s="8"/>
      <c r="B208" s="8"/>
      <c r="C208" s="8"/>
      <c r="D208" s="8"/>
      <c r="E208" s="8"/>
      <c r="F208" s="356"/>
      <c r="G208" s="8"/>
      <c r="H208" s="8"/>
      <c r="I208" s="8"/>
      <c r="J208" s="8"/>
      <c r="K208" s="8"/>
      <c r="L208" s="8"/>
      <c r="M208" s="8"/>
      <c r="N208" s="8"/>
      <c r="O208" s="8"/>
      <c r="P208" s="8"/>
      <c r="Q208" s="8"/>
      <c r="R208" s="8"/>
      <c r="S208" s="357"/>
      <c r="T208" s="357"/>
      <c r="U208" s="357"/>
      <c r="V208" s="357"/>
      <c r="W208" s="8"/>
      <c r="X208" s="8"/>
      <c r="Y208" s="8"/>
      <c r="Z208" s="8"/>
      <c r="AA208" s="8"/>
      <c r="AB208" s="8"/>
    </row>
    <row r="209">
      <c r="A209" s="8"/>
      <c r="B209" s="8"/>
      <c r="C209" s="8"/>
      <c r="D209" s="8"/>
      <c r="E209" s="8"/>
      <c r="F209" s="356"/>
      <c r="G209" s="8"/>
      <c r="H209" s="8"/>
      <c r="I209" s="8"/>
      <c r="J209" s="8"/>
      <c r="K209" s="8"/>
      <c r="L209" s="8"/>
      <c r="M209" s="8"/>
      <c r="N209" s="8"/>
      <c r="O209" s="8"/>
      <c r="P209" s="8"/>
      <c r="Q209" s="8"/>
      <c r="R209" s="8"/>
      <c r="S209" s="357"/>
      <c r="T209" s="357"/>
      <c r="U209" s="357"/>
      <c r="V209" s="357"/>
      <c r="W209" s="8"/>
      <c r="X209" s="8"/>
      <c r="Y209" s="8"/>
      <c r="Z209" s="8"/>
      <c r="AA209" s="8"/>
      <c r="AB209" s="8"/>
    </row>
    <row r="210">
      <c r="A210" s="8"/>
      <c r="B210" s="8"/>
      <c r="C210" s="8"/>
      <c r="D210" s="8"/>
      <c r="E210" s="8"/>
      <c r="F210" s="356"/>
      <c r="G210" s="8"/>
      <c r="H210" s="8"/>
      <c r="I210" s="8"/>
      <c r="J210" s="8"/>
      <c r="K210" s="8"/>
      <c r="L210" s="8"/>
      <c r="M210" s="8"/>
      <c r="N210" s="8"/>
      <c r="O210" s="8"/>
      <c r="P210" s="8"/>
      <c r="Q210" s="8"/>
      <c r="R210" s="8"/>
      <c r="S210" s="357"/>
      <c r="T210" s="357"/>
      <c r="U210" s="357"/>
      <c r="V210" s="357"/>
      <c r="W210" s="8"/>
      <c r="X210" s="8"/>
      <c r="Y210" s="8"/>
      <c r="Z210" s="8"/>
      <c r="AA210" s="8"/>
      <c r="AB210" s="8"/>
    </row>
    <row r="211">
      <c r="A211" s="8"/>
      <c r="B211" s="8"/>
      <c r="C211" s="8"/>
      <c r="D211" s="8"/>
      <c r="E211" s="8"/>
      <c r="F211" s="356"/>
      <c r="G211" s="8"/>
      <c r="H211" s="8"/>
      <c r="I211" s="8"/>
      <c r="J211" s="8"/>
      <c r="K211" s="8"/>
      <c r="L211" s="8"/>
      <c r="M211" s="8"/>
      <c r="N211" s="8"/>
      <c r="O211" s="8"/>
      <c r="P211" s="8"/>
      <c r="Q211" s="8"/>
      <c r="R211" s="8"/>
      <c r="S211" s="357"/>
      <c r="T211" s="357"/>
      <c r="U211" s="357"/>
      <c r="V211" s="357"/>
      <c r="W211" s="8"/>
      <c r="X211" s="8"/>
      <c r="Y211" s="8"/>
      <c r="Z211" s="8"/>
      <c r="AA211" s="8"/>
      <c r="AB211" s="8"/>
    </row>
    <row r="212">
      <c r="A212" s="8"/>
      <c r="B212" s="8"/>
      <c r="C212" s="8"/>
      <c r="D212" s="8"/>
      <c r="E212" s="8"/>
      <c r="F212" s="356"/>
      <c r="G212" s="8"/>
      <c r="H212" s="8"/>
      <c r="I212" s="8"/>
      <c r="J212" s="8"/>
      <c r="K212" s="8"/>
      <c r="L212" s="8"/>
      <c r="M212" s="8"/>
      <c r="N212" s="8"/>
      <c r="O212" s="8"/>
      <c r="P212" s="8"/>
      <c r="Q212" s="8"/>
      <c r="R212" s="8"/>
      <c r="S212" s="357"/>
      <c r="T212" s="357"/>
      <c r="U212" s="357"/>
      <c r="V212" s="357"/>
      <c r="W212" s="8"/>
      <c r="X212" s="8"/>
      <c r="Y212" s="8"/>
      <c r="Z212" s="8"/>
      <c r="AA212" s="8"/>
      <c r="AB212" s="8"/>
    </row>
    <row r="213">
      <c r="A213" s="8"/>
      <c r="B213" s="8"/>
      <c r="C213" s="8"/>
      <c r="D213" s="8"/>
      <c r="E213" s="8"/>
      <c r="F213" s="356"/>
      <c r="G213" s="8"/>
      <c r="H213" s="8"/>
      <c r="I213" s="8"/>
      <c r="J213" s="8"/>
      <c r="K213" s="8"/>
      <c r="L213" s="8"/>
      <c r="M213" s="8"/>
      <c r="N213" s="8"/>
      <c r="O213" s="8"/>
      <c r="P213" s="8"/>
      <c r="Q213" s="8"/>
      <c r="R213" s="8"/>
      <c r="S213" s="357"/>
      <c r="T213" s="357"/>
      <c r="U213" s="357"/>
      <c r="V213" s="357"/>
      <c r="W213" s="8"/>
      <c r="X213" s="8"/>
      <c r="Y213" s="8"/>
      <c r="Z213" s="8"/>
      <c r="AA213" s="8"/>
      <c r="AB213" s="8"/>
    </row>
    <row r="214">
      <c r="A214" s="8"/>
      <c r="B214" s="8"/>
      <c r="C214" s="8"/>
      <c r="D214" s="8"/>
      <c r="E214" s="8"/>
      <c r="F214" s="356"/>
      <c r="G214" s="8"/>
      <c r="H214" s="8"/>
      <c r="I214" s="8"/>
      <c r="J214" s="8"/>
      <c r="K214" s="8"/>
      <c r="L214" s="8"/>
      <c r="M214" s="8"/>
      <c r="N214" s="8"/>
      <c r="O214" s="8"/>
      <c r="P214" s="8"/>
      <c r="Q214" s="8"/>
      <c r="R214" s="8"/>
      <c r="S214" s="357"/>
      <c r="T214" s="357"/>
      <c r="U214" s="357"/>
      <c r="V214" s="357"/>
      <c r="W214" s="8"/>
      <c r="X214" s="8"/>
      <c r="Y214" s="8"/>
      <c r="Z214" s="8"/>
      <c r="AA214" s="8"/>
      <c r="AB214" s="8"/>
    </row>
    <row r="215">
      <c r="A215" s="8"/>
      <c r="B215" s="8"/>
      <c r="C215" s="8"/>
      <c r="D215" s="8"/>
      <c r="E215" s="8"/>
      <c r="F215" s="356"/>
      <c r="G215" s="8"/>
      <c r="H215" s="8"/>
      <c r="I215" s="8"/>
      <c r="J215" s="8"/>
      <c r="K215" s="8"/>
      <c r="L215" s="8"/>
      <c r="M215" s="8"/>
      <c r="N215" s="8"/>
      <c r="O215" s="8"/>
      <c r="P215" s="8"/>
      <c r="Q215" s="8"/>
      <c r="R215" s="8"/>
      <c r="S215" s="357"/>
      <c r="T215" s="357"/>
      <c r="U215" s="357"/>
      <c r="V215" s="357"/>
      <c r="W215" s="8"/>
      <c r="X215" s="8"/>
      <c r="Y215" s="8"/>
      <c r="Z215" s="8"/>
      <c r="AA215" s="8"/>
      <c r="AB215" s="8"/>
    </row>
    <row r="216">
      <c r="A216" s="8"/>
      <c r="B216" s="8"/>
      <c r="C216" s="8"/>
      <c r="D216" s="8"/>
      <c r="E216" s="8"/>
      <c r="F216" s="356"/>
      <c r="G216" s="8"/>
      <c r="H216" s="8"/>
      <c r="I216" s="8"/>
      <c r="J216" s="8"/>
      <c r="K216" s="8"/>
      <c r="L216" s="8"/>
      <c r="M216" s="8"/>
      <c r="N216" s="8"/>
      <c r="O216" s="8"/>
      <c r="P216" s="8"/>
      <c r="Q216" s="8"/>
      <c r="R216" s="8"/>
      <c r="S216" s="357"/>
      <c r="T216" s="357"/>
      <c r="U216" s="357"/>
      <c r="V216" s="357"/>
      <c r="W216" s="8"/>
      <c r="X216" s="8"/>
      <c r="Y216" s="8"/>
      <c r="Z216" s="8"/>
      <c r="AA216" s="8"/>
      <c r="AB216" s="8"/>
    </row>
    <row r="217">
      <c r="A217" s="8"/>
      <c r="B217" s="8"/>
      <c r="C217" s="8"/>
      <c r="D217" s="8"/>
      <c r="E217" s="8"/>
      <c r="F217" s="356"/>
      <c r="G217" s="8"/>
      <c r="H217" s="8"/>
      <c r="I217" s="8"/>
      <c r="J217" s="8"/>
      <c r="K217" s="8"/>
      <c r="L217" s="8"/>
      <c r="M217" s="8"/>
      <c r="N217" s="8"/>
      <c r="O217" s="8"/>
      <c r="P217" s="8"/>
      <c r="Q217" s="8"/>
      <c r="R217" s="8"/>
      <c r="S217" s="357"/>
      <c r="T217" s="357"/>
      <c r="U217" s="357"/>
      <c r="V217" s="357"/>
      <c r="W217" s="8"/>
      <c r="X217" s="8"/>
      <c r="Y217" s="8"/>
      <c r="Z217" s="8"/>
      <c r="AA217" s="8"/>
      <c r="AB217" s="8"/>
    </row>
    <row r="218">
      <c r="A218" s="8"/>
      <c r="B218" s="8"/>
      <c r="C218" s="8"/>
      <c r="D218" s="8"/>
      <c r="E218" s="8"/>
      <c r="F218" s="356"/>
      <c r="G218" s="8"/>
      <c r="H218" s="8"/>
      <c r="I218" s="8"/>
      <c r="J218" s="8"/>
      <c r="K218" s="8"/>
      <c r="L218" s="8"/>
      <c r="M218" s="8"/>
      <c r="N218" s="8"/>
      <c r="O218" s="8"/>
      <c r="P218" s="8"/>
      <c r="Q218" s="8"/>
      <c r="R218" s="8"/>
      <c r="S218" s="357"/>
      <c r="T218" s="357"/>
      <c r="U218" s="357"/>
      <c r="V218" s="357"/>
      <c r="W218" s="8"/>
      <c r="X218" s="8"/>
      <c r="Y218" s="8"/>
      <c r="Z218" s="8"/>
      <c r="AA218" s="8"/>
      <c r="AB218" s="8"/>
    </row>
    <row r="219">
      <c r="A219" s="8"/>
      <c r="B219" s="8"/>
      <c r="C219" s="8"/>
      <c r="D219" s="8"/>
      <c r="E219" s="8"/>
      <c r="F219" s="356"/>
      <c r="G219" s="8"/>
      <c r="H219" s="8"/>
      <c r="I219" s="8"/>
      <c r="J219" s="8"/>
      <c r="K219" s="8"/>
      <c r="L219" s="8"/>
      <c r="M219" s="8"/>
      <c r="N219" s="8"/>
      <c r="O219" s="8"/>
      <c r="P219" s="8"/>
      <c r="Q219" s="8"/>
      <c r="R219" s="8"/>
      <c r="S219" s="357"/>
      <c r="T219" s="357"/>
      <c r="U219" s="357"/>
      <c r="V219" s="357"/>
      <c r="W219" s="8"/>
      <c r="X219" s="8"/>
      <c r="Y219" s="8"/>
      <c r="Z219" s="8"/>
      <c r="AA219" s="8"/>
      <c r="AB219" s="8"/>
    </row>
    <row r="220">
      <c r="A220" s="8"/>
      <c r="B220" s="8"/>
      <c r="C220" s="8"/>
      <c r="D220" s="8"/>
      <c r="E220" s="8"/>
      <c r="F220" s="356"/>
      <c r="G220" s="8"/>
      <c r="H220" s="8"/>
      <c r="I220" s="8"/>
      <c r="J220" s="8"/>
      <c r="K220" s="8"/>
      <c r="L220" s="8"/>
      <c r="M220" s="8"/>
      <c r="N220" s="8"/>
      <c r="O220" s="8"/>
      <c r="P220" s="8"/>
      <c r="Q220" s="8"/>
      <c r="R220" s="8"/>
      <c r="S220" s="357"/>
      <c r="T220" s="357"/>
      <c r="U220" s="357"/>
      <c r="V220" s="357"/>
      <c r="W220" s="8"/>
      <c r="X220" s="8"/>
      <c r="Y220" s="8"/>
      <c r="Z220" s="8"/>
      <c r="AA220" s="8"/>
      <c r="AB220" s="8"/>
    </row>
    <row r="221">
      <c r="A221" s="8"/>
      <c r="B221" s="8"/>
      <c r="C221" s="8"/>
      <c r="D221" s="8"/>
      <c r="E221" s="8"/>
      <c r="F221" s="356"/>
      <c r="G221" s="8"/>
      <c r="H221" s="8"/>
      <c r="I221" s="8"/>
      <c r="J221" s="8"/>
      <c r="K221" s="8"/>
      <c r="L221" s="8"/>
      <c r="M221" s="8"/>
      <c r="N221" s="8"/>
      <c r="O221" s="8"/>
      <c r="P221" s="8"/>
      <c r="Q221" s="8"/>
      <c r="R221" s="8"/>
      <c r="S221" s="357"/>
      <c r="T221" s="357"/>
      <c r="U221" s="357"/>
      <c r="V221" s="357"/>
      <c r="W221" s="8"/>
      <c r="X221" s="8"/>
      <c r="Y221" s="8"/>
      <c r="Z221" s="8"/>
      <c r="AA221" s="8"/>
      <c r="AB221" s="8"/>
    </row>
    <row r="222">
      <c r="A222" s="8"/>
      <c r="B222" s="8"/>
      <c r="C222" s="8"/>
      <c r="D222" s="8"/>
      <c r="E222" s="8"/>
      <c r="F222" s="356"/>
      <c r="G222" s="8"/>
      <c r="H222" s="8"/>
      <c r="I222" s="8"/>
      <c r="J222" s="8"/>
      <c r="K222" s="8"/>
      <c r="L222" s="8"/>
      <c r="M222" s="8"/>
      <c r="N222" s="8"/>
      <c r="O222" s="8"/>
      <c r="P222" s="8"/>
      <c r="Q222" s="8"/>
      <c r="R222" s="8"/>
      <c r="S222" s="357"/>
      <c r="T222" s="357"/>
      <c r="U222" s="357"/>
      <c r="V222" s="357"/>
      <c r="W222" s="8"/>
      <c r="X222" s="8"/>
      <c r="Y222" s="8"/>
      <c r="Z222" s="8"/>
      <c r="AA222" s="8"/>
      <c r="AB222" s="8"/>
    </row>
    <row r="223">
      <c r="A223" s="8"/>
      <c r="B223" s="8"/>
      <c r="C223" s="8"/>
      <c r="D223" s="8"/>
      <c r="E223" s="8"/>
      <c r="F223" s="356"/>
      <c r="G223" s="8"/>
      <c r="H223" s="8"/>
      <c r="I223" s="8"/>
      <c r="J223" s="8"/>
      <c r="K223" s="8"/>
      <c r="L223" s="8"/>
      <c r="M223" s="8"/>
      <c r="N223" s="8"/>
      <c r="O223" s="8"/>
      <c r="P223" s="8"/>
      <c r="Q223" s="8"/>
      <c r="R223" s="8"/>
      <c r="S223" s="357"/>
      <c r="T223" s="357"/>
      <c r="U223" s="357"/>
      <c r="V223" s="357"/>
      <c r="W223" s="8"/>
      <c r="X223" s="8"/>
      <c r="Y223" s="8"/>
      <c r="Z223" s="8"/>
      <c r="AA223" s="8"/>
      <c r="AB223" s="8"/>
    </row>
    <row r="224">
      <c r="A224" s="8"/>
      <c r="B224" s="8"/>
      <c r="C224" s="8"/>
      <c r="D224" s="8"/>
      <c r="E224" s="8"/>
      <c r="F224" s="356"/>
      <c r="G224" s="8"/>
      <c r="H224" s="8"/>
      <c r="I224" s="8"/>
      <c r="J224" s="8"/>
      <c r="K224" s="8"/>
      <c r="L224" s="8"/>
      <c r="M224" s="8"/>
      <c r="N224" s="8"/>
      <c r="O224" s="8"/>
      <c r="P224" s="8"/>
      <c r="Q224" s="8"/>
      <c r="R224" s="8"/>
      <c r="S224" s="357"/>
      <c r="T224" s="357"/>
      <c r="U224" s="357"/>
      <c r="V224" s="357"/>
      <c r="W224" s="8"/>
      <c r="X224" s="8"/>
      <c r="Y224" s="8"/>
      <c r="Z224" s="8"/>
      <c r="AA224" s="8"/>
      <c r="AB224" s="8"/>
    </row>
    <row r="225">
      <c r="A225" s="8"/>
      <c r="B225" s="8"/>
      <c r="C225" s="8"/>
      <c r="D225" s="8"/>
      <c r="E225" s="8"/>
      <c r="F225" s="356"/>
      <c r="G225" s="8"/>
      <c r="H225" s="8"/>
      <c r="I225" s="8"/>
      <c r="J225" s="8"/>
      <c r="K225" s="8"/>
      <c r="L225" s="8"/>
      <c r="M225" s="8"/>
      <c r="N225" s="8"/>
      <c r="O225" s="8"/>
      <c r="P225" s="8"/>
      <c r="Q225" s="8"/>
      <c r="R225" s="8"/>
      <c r="S225" s="357"/>
      <c r="T225" s="357"/>
      <c r="U225" s="357"/>
      <c r="V225" s="357"/>
      <c r="W225" s="8"/>
      <c r="X225" s="8"/>
      <c r="Y225" s="8"/>
      <c r="Z225" s="8"/>
      <c r="AA225" s="8"/>
      <c r="AB225" s="8"/>
    </row>
    <row r="226">
      <c r="A226" s="8"/>
      <c r="B226" s="8"/>
      <c r="C226" s="8"/>
      <c r="D226" s="8"/>
      <c r="E226" s="8"/>
      <c r="F226" s="356"/>
      <c r="G226" s="8"/>
      <c r="H226" s="8"/>
      <c r="I226" s="8"/>
      <c r="J226" s="8"/>
      <c r="K226" s="8"/>
      <c r="L226" s="8"/>
      <c r="M226" s="8"/>
      <c r="N226" s="8"/>
      <c r="O226" s="8"/>
      <c r="P226" s="8"/>
      <c r="Q226" s="8"/>
      <c r="R226" s="8"/>
      <c r="S226" s="357"/>
      <c r="T226" s="357"/>
      <c r="U226" s="357"/>
      <c r="V226" s="357"/>
      <c r="W226" s="8"/>
      <c r="X226" s="8"/>
      <c r="Y226" s="8"/>
      <c r="Z226" s="8"/>
      <c r="AA226" s="8"/>
      <c r="AB226" s="8"/>
    </row>
    <row r="227">
      <c r="A227" s="8"/>
      <c r="B227" s="8"/>
      <c r="C227" s="8"/>
      <c r="D227" s="8"/>
      <c r="E227" s="8"/>
      <c r="F227" s="356"/>
      <c r="G227" s="8"/>
      <c r="H227" s="8"/>
      <c r="I227" s="8"/>
      <c r="J227" s="8"/>
      <c r="K227" s="8"/>
      <c r="L227" s="8"/>
      <c r="M227" s="8"/>
      <c r="N227" s="8"/>
      <c r="O227" s="8"/>
      <c r="P227" s="8"/>
      <c r="Q227" s="8"/>
      <c r="R227" s="8"/>
      <c r="S227" s="357"/>
      <c r="T227" s="357"/>
      <c r="U227" s="357"/>
      <c r="V227" s="357"/>
      <c r="W227" s="8"/>
      <c r="X227" s="8"/>
      <c r="Y227" s="8"/>
      <c r="Z227" s="8"/>
      <c r="AA227" s="8"/>
      <c r="AB227" s="8"/>
    </row>
    <row r="228">
      <c r="A228" s="8"/>
      <c r="B228" s="8"/>
      <c r="C228" s="8"/>
      <c r="D228" s="8"/>
      <c r="E228" s="8"/>
      <c r="F228" s="356"/>
      <c r="G228" s="8"/>
      <c r="H228" s="8"/>
      <c r="I228" s="8"/>
      <c r="J228" s="8"/>
      <c r="K228" s="8"/>
      <c r="L228" s="8"/>
      <c r="M228" s="8"/>
      <c r="N228" s="8"/>
      <c r="O228" s="8"/>
      <c r="P228" s="8"/>
      <c r="Q228" s="8"/>
      <c r="R228" s="8"/>
      <c r="S228" s="357"/>
      <c r="T228" s="357"/>
      <c r="U228" s="357"/>
      <c r="V228" s="357"/>
      <c r="W228" s="8"/>
      <c r="X228" s="8"/>
      <c r="Y228" s="8"/>
      <c r="Z228" s="8"/>
      <c r="AA228" s="8"/>
      <c r="AB228" s="8"/>
    </row>
    <row r="229">
      <c r="A229" s="8"/>
      <c r="B229" s="8"/>
      <c r="C229" s="8"/>
      <c r="D229" s="8"/>
      <c r="E229" s="8"/>
      <c r="F229" s="356"/>
      <c r="G229" s="8"/>
      <c r="H229" s="8"/>
      <c r="I229" s="8"/>
      <c r="J229" s="8"/>
      <c r="K229" s="8"/>
      <c r="L229" s="8"/>
      <c r="M229" s="8"/>
      <c r="N229" s="8"/>
      <c r="O229" s="8"/>
      <c r="P229" s="8"/>
      <c r="Q229" s="8"/>
      <c r="R229" s="8"/>
      <c r="S229" s="357"/>
      <c r="T229" s="357"/>
      <c r="U229" s="357"/>
      <c r="V229" s="357"/>
      <c r="W229" s="8"/>
      <c r="X229" s="8"/>
      <c r="Y229" s="8"/>
      <c r="Z229" s="8"/>
      <c r="AA229" s="8"/>
      <c r="AB229" s="8"/>
    </row>
    <row r="230">
      <c r="A230" s="8"/>
      <c r="B230" s="8"/>
      <c r="C230" s="8"/>
      <c r="D230" s="8"/>
      <c r="E230" s="8"/>
      <c r="F230" s="356"/>
      <c r="G230" s="8"/>
      <c r="H230" s="8"/>
      <c r="I230" s="8"/>
      <c r="J230" s="8"/>
      <c r="K230" s="8"/>
      <c r="L230" s="8"/>
      <c r="M230" s="8"/>
      <c r="N230" s="8"/>
      <c r="O230" s="8"/>
      <c r="P230" s="8"/>
      <c r="Q230" s="8"/>
      <c r="R230" s="8"/>
      <c r="S230" s="357"/>
      <c r="T230" s="357"/>
      <c r="U230" s="357"/>
      <c r="V230" s="357"/>
      <c r="W230" s="8"/>
      <c r="X230" s="8"/>
      <c r="Y230" s="8"/>
      <c r="Z230" s="8"/>
      <c r="AA230" s="8"/>
      <c r="AB230" s="8"/>
    </row>
    <row r="231">
      <c r="A231" s="8"/>
      <c r="B231" s="8"/>
      <c r="C231" s="8"/>
      <c r="D231" s="8"/>
      <c r="E231" s="8"/>
      <c r="F231" s="356"/>
      <c r="G231" s="8"/>
      <c r="H231" s="8"/>
      <c r="I231" s="8"/>
      <c r="J231" s="8"/>
      <c r="K231" s="8"/>
      <c r="L231" s="8"/>
      <c r="M231" s="8"/>
      <c r="N231" s="8"/>
      <c r="O231" s="8"/>
      <c r="P231" s="8"/>
      <c r="Q231" s="8"/>
      <c r="R231" s="8"/>
      <c r="S231" s="357"/>
      <c r="T231" s="357"/>
      <c r="U231" s="357"/>
      <c r="V231" s="357"/>
      <c r="W231" s="8"/>
      <c r="X231" s="8"/>
      <c r="Y231" s="8"/>
      <c r="Z231" s="8"/>
      <c r="AA231" s="8"/>
      <c r="AB231" s="8"/>
    </row>
    <row r="232">
      <c r="A232" s="8"/>
      <c r="B232" s="8"/>
      <c r="C232" s="8"/>
      <c r="D232" s="8"/>
      <c r="E232" s="8"/>
      <c r="F232" s="356"/>
      <c r="G232" s="8"/>
      <c r="H232" s="8"/>
      <c r="I232" s="8"/>
      <c r="J232" s="8"/>
      <c r="K232" s="8"/>
      <c r="L232" s="8"/>
      <c r="M232" s="8"/>
      <c r="N232" s="8"/>
      <c r="O232" s="8"/>
      <c r="P232" s="8"/>
      <c r="Q232" s="8"/>
      <c r="R232" s="8"/>
      <c r="S232" s="357"/>
      <c r="T232" s="357"/>
      <c r="U232" s="357"/>
      <c r="V232" s="357"/>
      <c r="W232" s="8"/>
      <c r="X232" s="8"/>
      <c r="Y232" s="8"/>
      <c r="Z232" s="8"/>
      <c r="AA232" s="8"/>
      <c r="AB232" s="8"/>
    </row>
    <row r="233">
      <c r="A233" s="8"/>
      <c r="B233" s="8"/>
      <c r="C233" s="8"/>
      <c r="D233" s="8"/>
      <c r="E233" s="8"/>
      <c r="F233" s="356"/>
      <c r="G233" s="8"/>
      <c r="H233" s="8"/>
      <c r="I233" s="8"/>
      <c r="J233" s="8"/>
      <c r="K233" s="8"/>
      <c r="L233" s="8"/>
      <c r="M233" s="8"/>
      <c r="N233" s="8"/>
      <c r="O233" s="8"/>
      <c r="P233" s="8"/>
      <c r="Q233" s="8"/>
      <c r="R233" s="8"/>
      <c r="S233" s="357"/>
      <c r="T233" s="357"/>
      <c r="U233" s="357"/>
      <c r="V233" s="357"/>
      <c r="W233" s="8"/>
      <c r="X233" s="8"/>
      <c r="Y233" s="8"/>
      <c r="Z233" s="8"/>
      <c r="AA233" s="8"/>
      <c r="AB233" s="8"/>
    </row>
    <row r="234">
      <c r="A234" s="8"/>
      <c r="B234" s="8"/>
      <c r="C234" s="8"/>
      <c r="D234" s="8"/>
      <c r="E234" s="8"/>
      <c r="F234" s="356"/>
      <c r="G234" s="8"/>
      <c r="H234" s="8"/>
      <c r="I234" s="8"/>
      <c r="J234" s="8"/>
      <c r="K234" s="8"/>
      <c r="L234" s="8"/>
      <c r="M234" s="8"/>
      <c r="N234" s="8"/>
      <c r="O234" s="8"/>
      <c r="P234" s="8"/>
      <c r="Q234" s="8"/>
      <c r="R234" s="8"/>
      <c r="S234" s="357"/>
      <c r="T234" s="357"/>
      <c r="U234" s="357"/>
      <c r="V234" s="357"/>
      <c r="W234" s="8"/>
      <c r="X234" s="8"/>
      <c r="Y234" s="8"/>
      <c r="Z234" s="8"/>
      <c r="AA234" s="8"/>
      <c r="AB234" s="8"/>
    </row>
    <row r="235">
      <c r="A235" s="8"/>
      <c r="B235" s="8"/>
      <c r="C235" s="8"/>
      <c r="D235" s="8"/>
      <c r="E235" s="8"/>
      <c r="F235" s="356"/>
      <c r="G235" s="8"/>
      <c r="H235" s="8"/>
      <c r="I235" s="8"/>
      <c r="J235" s="8"/>
      <c r="K235" s="8"/>
      <c r="L235" s="8"/>
      <c r="M235" s="8"/>
      <c r="N235" s="8"/>
      <c r="O235" s="8"/>
      <c r="P235" s="8"/>
      <c r="Q235" s="8"/>
      <c r="R235" s="8"/>
      <c r="S235" s="357"/>
      <c r="T235" s="357"/>
      <c r="U235" s="357"/>
      <c r="V235" s="357"/>
      <c r="W235" s="8"/>
      <c r="X235" s="8"/>
      <c r="Y235" s="8"/>
      <c r="Z235" s="8"/>
      <c r="AA235" s="8"/>
      <c r="AB235" s="8"/>
    </row>
    <row r="236">
      <c r="A236" s="8"/>
      <c r="B236" s="8"/>
      <c r="C236" s="8"/>
      <c r="D236" s="8"/>
      <c r="E236" s="8"/>
      <c r="F236" s="356"/>
      <c r="G236" s="8"/>
      <c r="H236" s="8"/>
      <c r="I236" s="8"/>
      <c r="J236" s="8"/>
      <c r="K236" s="8"/>
      <c r="L236" s="8"/>
      <c r="M236" s="8"/>
      <c r="N236" s="8"/>
      <c r="O236" s="8"/>
      <c r="P236" s="8"/>
      <c r="Q236" s="8"/>
      <c r="R236" s="8"/>
      <c r="S236" s="357"/>
      <c r="T236" s="357"/>
      <c r="U236" s="357"/>
      <c r="V236" s="357"/>
      <c r="W236" s="8"/>
      <c r="X236" s="8"/>
      <c r="Y236" s="8"/>
      <c r="Z236" s="8"/>
      <c r="AA236" s="8"/>
      <c r="AB236" s="8"/>
    </row>
    <row r="237">
      <c r="A237" s="8"/>
      <c r="B237" s="8"/>
      <c r="C237" s="8"/>
      <c r="D237" s="8"/>
      <c r="E237" s="8"/>
      <c r="F237" s="356"/>
      <c r="G237" s="8"/>
      <c r="H237" s="8"/>
      <c r="I237" s="8"/>
      <c r="J237" s="8"/>
      <c r="K237" s="8"/>
      <c r="L237" s="8"/>
      <c r="M237" s="8"/>
      <c r="N237" s="8"/>
      <c r="O237" s="8"/>
      <c r="P237" s="8"/>
      <c r="Q237" s="8"/>
      <c r="R237" s="8"/>
      <c r="S237" s="357"/>
      <c r="T237" s="357"/>
      <c r="U237" s="357"/>
      <c r="V237" s="357"/>
      <c r="W237" s="8"/>
      <c r="X237" s="8"/>
      <c r="Y237" s="8"/>
      <c r="Z237" s="8"/>
      <c r="AA237" s="8"/>
      <c r="AB237" s="8"/>
    </row>
    <row r="238">
      <c r="A238" s="8"/>
      <c r="B238" s="8"/>
      <c r="C238" s="8"/>
      <c r="D238" s="8"/>
      <c r="E238" s="8"/>
      <c r="F238" s="356"/>
      <c r="G238" s="8"/>
      <c r="H238" s="8"/>
      <c r="I238" s="8"/>
      <c r="J238" s="8"/>
      <c r="K238" s="8"/>
      <c r="L238" s="8"/>
      <c r="M238" s="8"/>
      <c r="N238" s="8"/>
      <c r="O238" s="8"/>
      <c r="P238" s="8"/>
      <c r="Q238" s="8"/>
      <c r="R238" s="8"/>
      <c r="S238" s="357"/>
      <c r="T238" s="357"/>
      <c r="U238" s="357"/>
      <c r="V238" s="357"/>
      <c r="W238" s="8"/>
      <c r="X238" s="8"/>
      <c r="Y238" s="8"/>
      <c r="Z238" s="8"/>
      <c r="AA238" s="8"/>
      <c r="AB238" s="8"/>
    </row>
    <row r="239">
      <c r="A239" s="8"/>
      <c r="B239" s="8"/>
      <c r="C239" s="8"/>
      <c r="D239" s="8"/>
      <c r="E239" s="8"/>
      <c r="F239" s="356"/>
      <c r="G239" s="8"/>
      <c r="H239" s="8"/>
      <c r="I239" s="8"/>
      <c r="J239" s="8"/>
      <c r="K239" s="8"/>
      <c r="L239" s="8"/>
      <c r="M239" s="8"/>
      <c r="N239" s="8"/>
      <c r="O239" s="8"/>
      <c r="P239" s="8"/>
      <c r="Q239" s="8"/>
      <c r="R239" s="8"/>
      <c r="S239" s="357"/>
      <c r="T239" s="357"/>
      <c r="U239" s="357"/>
      <c r="V239" s="357"/>
      <c r="W239" s="8"/>
      <c r="X239" s="8"/>
      <c r="Y239" s="8"/>
      <c r="Z239" s="8"/>
      <c r="AA239" s="8"/>
      <c r="AB239" s="8"/>
    </row>
    <row r="240">
      <c r="A240" s="8"/>
      <c r="B240" s="8"/>
      <c r="C240" s="8"/>
      <c r="D240" s="8"/>
      <c r="E240" s="8"/>
      <c r="F240" s="356"/>
      <c r="G240" s="8"/>
      <c r="H240" s="8"/>
      <c r="I240" s="8"/>
      <c r="J240" s="8"/>
      <c r="K240" s="8"/>
      <c r="L240" s="8"/>
      <c r="M240" s="8"/>
      <c r="N240" s="8"/>
      <c r="O240" s="8"/>
      <c r="P240" s="8"/>
      <c r="Q240" s="8"/>
      <c r="R240" s="8"/>
      <c r="S240" s="357"/>
      <c r="T240" s="357"/>
      <c r="U240" s="357"/>
      <c r="V240" s="357"/>
      <c r="W240" s="8"/>
      <c r="X240" s="8"/>
      <c r="Y240" s="8"/>
      <c r="Z240" s="8"/>
      <c r="AA240" s="8"/>
      <c r="AB240" s="8"/>
    </row>
    <row r="241">
      <c r="A241" s="8"/>
      <c r="B241" s="8"/>
      <c r="C241" s="8"/>
      <c r="D241" s="8"/>
      <c r="E241" s="8"/>
      <c r="F241" s="356"/>
      <c r="G241" s="8"/>
      <c r="H241" s="8"/>
      <c r="I241" s="8"/>
      <c r="J241" s="8"/>
      <c r="K241" s="8"/>
      <c r="L241" s="8"/>
      <c r="M241" s="8"/>
      <c r="N241" s="8"/>
      <c r="O241" s="8"/>
      <c r="P241" s="8"/>
      <c r="Q241" s="8"/>
      <c r="R241" s="8"/>
      <c r="S241" s="357"/>
      <c r="T241" s="357"/>
      <c r="U241" s="357"/>
      <c r="V241" s="357"/>
      <c r="W241" s="8"/>
      <c r="X241" s="8"/>
      <c r="Y241" s="8"/>
      <c r="Z241" s="8"/>
      <c r="AA241" s="8"/>
      <c r="AB241" s="8"/>
    </row>
    <row r="242">
      <c r="A242" s="8"/>
      <c r="B242" s="8"/>
      <c r="C242" s="8"/>
      <c r="D242" s="8"/>
      <c r="E242" s="8"/>
      <c r="F242" s="356"/>
      <c r="G242" s="8"/>
      <c r="H242" s="8"/>
      <c r="I242" s="8"/>
      <c r="J242" s="8"/>
      <c r="K242" s="8"/>
      <c r="L242" s="8"/>
      <c r="M242" s="8"/>
      <c r="N242" s="8"/>
      <c r="O242" s="8"/>
      <c r="P242" s="8"/>
      <c r="Q242" s="8"/>
      <c r="R242" s="8"/>
      <c r="S242" s="357"/>
      <c r="T242" s="357"/>
      <c r="U242" s="357"/>
      <c r="V242" s="357"/>
      <c r="W242" s="8"/>
      <c r="X242" s="8"/>
      <c r="Y242" s="8"/>
      <c r="Z242" s="8"/>
      <c r="AA242" s="8"/>
      <c r="AB242" s="8"/>
    </row>
    <row r="243">
      <c r="A243" s="8"/>
      <c r="B243" s="8"/>
      <c r="C243" s="8"/>
      <c r="D243" s="8"/>
      <c r="E243" s="8"/>
      <c r="F243" s="356"/>
      <c r="G243" s="8"/>
      <c r="H243" s="8"/>
      <c r="I243" s="8"/>
      <c r="J243" s="8"/>
      <c r="K243" s="8"/>
      <c r="L243" s="8"/>
      <c r="M243" s="8"/>
      <c r="N243" s="8"/>
      <c r="O243" s="8"/>
      <c r="P243" s="8"/>
      <c r="Q243" s="8"/>
      <c r="R243" s="8"/>
      <c r="S243" s="357"/>
      <c r="T243" s="357"/>
      <c r="U243" s="357"/>
      <c r="V243" s="357"/>
      <c r="W243" s="8"/>
      <c r="X243" s="8"/>
      <c r="Y243" s="8"/>
      <c r="Z243" s="8"/>
      <c r="AA243" s="8"/>
      <c r="AB243" s="8"/>
    </row>
    <row r="244">
      <c r="A244" s="8"/>
      <c r="B244" s="8"/>
      <c r="C244" s="8"/>
      <c r="D244" s="8"/>
      <c r="E244" s="8"/>
      <c r="F244" s="356"/>
      <c r="G244" s="8"/>
      <c r="H244" s="8"/>
      <c r="I244" s="8"/>
      <c r="J244" s="8"/>
      <c r="K244" s="8"/>
      <c r="L244" s="8"/>
      <c r="M244" s="8"/>
      <c r="N244" s="8"/>
      <c r="O244" s="8"/>
      <c r="P244" s="8"/>
      <c r="Q244" s="8"/>
      <c r="R244" s="8"/>
      <c r="S244" s="357"/>
      <c r="T244" s="357"/>
      <c r="U244" s="357"/>
      <c r="V244" s="357"/>
      <c r="W244" s="8"/>
      <c r="X244" s="8"/>
      <c r="Y244" s="8"/>
      <c r="Z244" s="8"/>
      <c r="AA244" s="8"/>
      <c r="AB244" s="8"/>
    </row>
    <row r="245">
      <c r="A245" s="8"/>
      <c r="B245" s="8"/>
      <c r="C245" s="8"/>
      <c r="D245" s="8"/>
      <c r="E245" s="8"/>
      <c r="F245" s="356"/>
      <c r="G245" s="8"/>
      <c r="H245" s="8"/>
      <c r="I245" s="8"/>
      <c r="J245" s="8"/>
      <c r="K245" s="8"/>
      <c r="L245" s="8"/>
      <c r="M245" s="8"/>
      <c r="N245" s="8"/>
      <c r="O245" s="8"/>
      <c r="P245" s="8"/>
      <c r="Q245" s="8"/>
      <c r="R245" s="8"/>
      <c r="S245" s="357"/>
      <c r="T245" s="357"/>
      <c r="U245" s="357"/>
      <c r="V245" s="357"/>
      <c r="W245" s="8"/>
      <c r="X245" s="8"/>
      <c r="Y245" s="8"/>
      <c r="Z245" s="8"/>
      <c r="AA245" s="8"/>
      <c r="AB245" s="8"/>
    </row>
    <row r="246">
      <c r="A246" s="8"/>
      <c r="B246" s="8"/>
      <c r="C246" s="8"/>
      <c r="D246" s="8"/>
      <c r="E246" s="8"/>
      <c r="F246" s="356"/>
      <c r="G246" s="8"/>
      <c r="H246" s="8"/>
      <c r="I246" s="8"/>
      <c r="J246" s="8"/>
      <c r="K246" s="8"/>
      <c r="L246" s="8"/>
      <c r="M246" s="8"/>
      <c r="N246" s="8"/>
      <c r="O246" s="8"/>
      <c r="P246" s="8"/>
      <c r="Q246" s="8"/>
      <c r="R246" s="8"/>
      <c r="S246" s="357"/>
      <c r="T246" s="357"/>
      <c r="U246" s="357"/>
      <c r="V246" s="357"/>
      <c r="W246" s="8"/>
      <c r="X246" s="8"/>
      <c r="Y246" s="8"/>
      <c r="Z246" s="8"/>
      <c r="AA246" s="8"/>
      <c r="AB246" s="8"/>
    </row>
    <row r="247">
      <c r="A247" s="8"/>
      <c r="B247" s="8"/>
      <c r="C247" s="8"/>
      <c r="D247" s="8"/>
      <c r="E247" s="8"/>
      <c r="F247" s="356"/>
      <c r="G247" s="8"/>
      <c r="H247" s="8"/>
      <c r="I247" s="8"/>
      <c r="J247" s="8"/>
      <c r="K247" s="8"/>
      <c r="L247" s="8"/>
      <c r="M247" s="8"/>
      <c r="N247" s="8"/>
      <c r="O247" s="8"/>
      <c r="P247" s="8"/>
      <c r="Q247" s="8"/>
      <c r="R247" s="8"/>
      <c r="S247" s="357"/>
      <c r="T247" s="357"/>
      <c r="U247" s="357"/>
      <c r="V247" s="357"/>
      <c r="W247" s="8"/>
      <c r="X247" s="8"/>
      <c r="Y247" s="8"/>
      <c r="Z247" s="8"/>
      <c r="AA247" s="8"/>
      <c r="AB247" s="8"/>
    </row>
    <row r="248">
      <c r="A248" s="8"/>
      <c r="B248" s="8"/>
      <c r="C248" s="8"/>
      <c r="D248" s="8"/>
      <c r="E248" s="8"/>
      <c r="F248" s="356"/>
      <c r="G248" s="8"/>
      <c r="H248" s="8"/>
      <c r="I248" s="8"/>
      <c r="J248" s="8"/>
      <c r="K248" s="8"/>
      <c r="L248" s="8"/>
      <c r="M248" s="8"/>
      <c r="N248" s="8"/>
      <c r="O248" s="8"/>
      <c r="P248" s="8"/>
      <c r="Q248" s="8"/>
      <c r="R248" s="8"/>
      <c r="S248" s="357"/>
      <c r="T248" s="357"/>
      <c r="U248" s="357"/>
      <c r="V248" s="357"/>
      <c r="W248" s="8"/>
      <c r="X248" s="8"/>
      <c r="Y248" s="8"/>
      <c r="Z248" s="8"/>
      <c r="AA248" s="8"/>
      <c r="AB248" s="8"/>
    </row>
    <row r="249">
      <c r="A249" s="8"/>
      <c r="B249" s="8"/>
      <c r="C249" s="8"/>
      <c r="D249" s="8"/>
      <c r="E249" s="8"/>
      <c r="F249" s="356"/>
      <c r="G249" s="8"/>
      <c r="H249" s="8"/>
      <c r="I249" s="8"/>
      <c r="J249" s="8"/>
      <c r="K249" s="8"/>
      <c r="L249" s="8"/>
      <c r="M249" s="8"/>
      <c r="N249" s="8"/>
      <c r="O249" s="8"/>
      <c r="P249" s="8"/>
      <c r="Q249" s="8"/>
      <c r="R249" s="8"/>
      <c r="S249" s="357"/>
      <c r="T249" s="357"/>
      <c r="U249" s="357"/>
      <c r="V249" s="357"/>
      <c r="W249" s="8"/>
      <c r="X249" s="8"/>
      <c r="Y249" s="8"/>
      <c r="Z249" s="8"/>
      <c r="AA249" s="8"/>
      <c r="AB249" s="8"/>
    </row>
    <row r="250">
      <c r="A250" s="8"/>
      <c r="B250" s="8"/>
      <c r="C250" s="8"/>
      <c r="D250" s="8"/>
      <c r="E250" s="8"/>
      <c r="F250" s="356"/>
      <c r="G250" s="8"/>
      <c r="H250" s="8"/>
      <c r="I250" s="8"/>
      <c r="J250" s="8"/>
      <c r="K250" s="8"/>
      <c r="L250" s="8"/>
      <c r="M250" s="8"/>
      <c r="N250" s="8"/>
      <c r="O250" s="8"/>
      <c r="P250" s="8"/>
      <c r="Q250" s="8"/>
      <c r="R250" s="8"/>
      <c r="S250" s="357"/>
      <c r="T250" s="357"/>
      <c r="U250" s="357"/>
      <c r="V250" s="357"/>
      <c r="W250" s="8"/>
      <c r="X250" s="8"/>
      <c r="Y250" s="8"/>
      <c r="Z250" s="8"/>
      <c r="AA250" s="8"/>
      <c r="AB250" s="8"/>
    </row>
    <row r="251">
      <c r="A251" s="8"/>
      <c r="B251" s="8"/>
      <c r="C251" s="8"/>
      <c r="D251" s="8"/>
      <c r="E251" s="8"/>
      <c r="F251" s="356"/>
      <c r="G251" s="8"/>
      <c r="H251" s="8"/>
      <c r="I251" s="8"/>
      <c r="J251" s="8"/>
      <c r="K251" s="8"/>
      <c r="L251" s="8"/>
      <c r="M251" s="8"/>
      <c r="N251" s="8"/>
      <c r="O251" s="8"/>
      <c r="P251" s="8"/>
      <c r="Q251" s="8"/>
      <c r="R251" s="8"/>
      <c r="S251" s="357"/>
      <c r="T251" s="357"/>
      <c r="U251" s="357"/>
      <c r="V251" s="357"/>
      <c r="W251" s="8"/>
      <c r="X251" s="8"/>
      <c r="Y251" s="8"/>
      <c r="Z251" s="8"/>
      <c r="AA251" s="8"/>
      <c r="AB251" s="8"/>
    </row>
    <row r="252">
      <c r="A252" s="8"/>
      <c r="B252" s="8"/>
      <c r="C252" s="8"/>
      <c r="D252" s="8"/>
      <c r="E252" s="8"/>
      <c r="F252" s="356"/>
      <c r="G252" s="8"/>
      <c r="H252" s="8"/>
      <c r="I252" s="8"/>
      <c r="J252" s="8"/>
      <c r="K252" s="8"/>
      <c r="L252" s="8"/>
      <c r="M252" s="8"/>
      <c r="N252" s="8"/>
      <c r="O252" s="8"/>
      <c r="P252" s="8"/>
      <c r="Q252" s="8"/>
      <c r="R252" s="8"/>
      <c r="S252" s="357"/>
      <c r="T252" s="357"/>
      <c r="U252" s="357"/>
      <c r="V252" s="357"/>
      <c r="W252" s="8"/>
      <c r="X252" s="8"/>
      <c r="Y252" s="8"/>
      <c r="Z252" s="8"/>
      <c r="AA252" s="8"/>
      <c r="AB252" s="8"/>
    </row>
    <row r="253">
      <c r="A253" s="8"/>
      <c r="B253" s="8"/>
      <c r="C253" s="8"/>
      <c r="D253" s="8"/>
      <c r="E253" s="8"/>
      <c r="F253" s="356"/>
      <c r="G253" s="8"/>
      <c r="H253" s="8"/>
      <c r="I253" s="8"/>
      <c r="J253" s="8"/>
      <c r="K253" s="8"/>
      <c r="L253" s="8"/>
      <c r="M253" s="8"/>
      <c r="N253" s="8"/>
      <c r="O253" s="8"/>
      <c r="P253" s="8"/>
      <c r="Q253" s="8"/>
      <c r="R253" s="8"/>
      <c r="S253" s="357"/>
      <c r="T253" s="357"/>
      <c r="U253" s="357"/>
      <c r="V253" s="357"/>
      <c r="W253" s="8"/>
      <c r="X253" s="8"/>
      <c r="Y253" s="8"/>
      <c r="Z253" s="8"/>
      <c r="AA253" s="8"/>
      <c r="AB253" s="8"/>
    </row>
    <row r="254">
      <c r="A254" s="8"/>
      <c r="B254" s="8"/>
      <c r="C254" s="8"/>
      <c r="D254" s="8"/>
      <c r="E254" s="8"/>
      <c r="F254" s="356"/>
      <c r="G254" s="8"/>
      <c r="H254" s="8"/>
      <c r="I254" s="8"/>
      <c r="J254" s="8"/>
      <c r="K254" s="8"/>
      <c r="L254" s="8"/>
      <c r="M254" s="8"/>
      <c r="N254" s="8"/>
      <c r="O254" s="8"/>
      <c r="P254" s="8"/>
      <c r="Q254" s="8"/>
      <c r="R254" s="8"/>
      <c r="S254" s="357"/>
      <c r="T254" s="357"/>
      <c r="U254" s="357"/>
      <c r="V254" s="357"/>
      <c r="W254" s="8"/>
      <c r="X254" s="8"/>
      <c r="Y254" s="8"/>
      <c r="Z254" s="8"/>
      <c r="AA254" s="8"/>
      <c r="AB254" s="8"/>
    </row>
    <row r="255">
      <c r="A255" s="8"/>
      <c r="B255" s="8"/>
      <c r="C255" s="8"/>
      <c r="D255" s="8"/>
      <c r="E255" s="8"/>
      <c r="F255" s="356"/>
      <c r="G255" s="8"/>
      <c r="H255" s="8"/>
      <c r="I255" s="8"/>
      <c r="J255" s="8"/>
      <c r="K255" s="8"/>
      <c r="L255" s="8"/>
      <c r="M255" s="8"/>
      <c r="N255" s="8"/>
      <c r="O255" s="8"/>
      <c r="P255" s="8"/>
      <c r="Q255" s="8"/>
      <c r="R255" s="8"/>
      <c r="S255" s="357"/>
      <c r="T255" s="357"/>
      <c r="U255" s="357"/>
      <c r="V255" s="357"/>
      <c r="W255" s="8"/>
      <c r="X255" s="8"/>
      <c r="Y255" s="8"/>
      <c r="Z255" s="8"/>
      <c r="AA255" s="8"/>
      <c r="AB255" s="8"/>
    </row>
    <row r="256">
      <c r="A256" s="8"/>
      <c r="B256" s="8"/>
      <c r="C256" s="8"/>
      <c r="D256" s="8"/>
      <c r="E256" s="8"/>
      <c r="F256" s="356"/>
      <c r="G256" s="8"/>
      <c r="H256" s="8"/>
      <c r="I256" s="8"/>
      <c r="J256" s="8"/>
      <c r="K256" s="8"/>
      <c r="L256" s="8"/>
      <c r="M256" s="8"/>
      <c r="N256" s="8"/>
      <c r="O256" s="8"/>
      <c r="P256" s="8"/>
      <c r="Q256" s="8"/>
      <c r="R256" s="8"/>
      <c r="S256" s="357"/>
      <c r="T256" s="357"/>
      <c r="U256" s="357"/>
      <c r="V256" s="357"/>
      <c r="W256" s="8"/>
      <c r="X256" s="8"/>
      <c r="Y256" s="8"/>
      <c r="Z256" s="8"/>
      <c r="AA256" s="8"/>
      <c r="AB256" s="8"/>
    </row>
    <row r="257">
      <c r="A257" s="8"/>
      <c r="B257" s="8"/>
      <c r="C257" s="8"/>
      <c r="D257" s="8"/>
      <c r="E257" s="8"/>
      <c r="F257" s="356"/>
      <c r="G257" s="8"/>
      <c r="H257" s="8"/>
      <c r="I257" s="8"/>
      <c r="J257" s="8"/>
      <c r="K257" s="8"/>
      <c r="L257" s="8"/>
      <c r="M257" s="8"/>
      <c r="N257" s="8"/>
      <c r="O257" s="8"/>
      <c r="P257" s="8"/>
      <c r="Q257" s="8"/>
      <c r="R257" s="8"/>
      <c r="S257" s="357"/>
      <c r="T257" s="357"/>
      <c r="U257" s="357"/>
      <c r="V257" s="357"/>
      <c r="W257" s="8"/>
      <c r="X257" s="8"/>
      <c r="Y257" s="8"/>
      <c r="Z257" s="8"/>
      <c r="AA257" s="8"/>
      <c r="AB257" s="8"/>
    </row>
    <row r="258">
      <c r="A258" s="8"/>
      <c r="B258" s="8"/>
      <c r="C258" s="8"/>
      <c r="D258" s="8"/>
      <c r="E258" s="8"/>
      <c r="F258" s="356"/>
      <c r="G258" s="8"/>
      <c r="H258" s="8"/>
      <c r="I258" s="8"/>
      <c r="J258" s="8"/>
      <c r="K258" s="8"/>
      <c r="L258" s="8"/>
      <c r="M258" s="8"/>
      <c r="N258" s="8"/>
      <c r="O258" s="8"/>
      <c r="P258" s="8"/>
      <c r="Q258" s="8"/>
      <c r="R258" s="8"/>
      <c r="S258" s="357"/>
      <c r="T258" s="357"/>
      <c r="U258" s="357"/>
      <c r="V258" s="357"/>
      <c r="W258" s="8"/>
      <c r="X258" s="8"/>
      <c r="Y258" s="8"/>
      <c r="Z258" s="8"/>
      <c r="AA258" s="8"/>
      <c r="AB258" s="8"/>
    </row>
    <row r="259">
      <c r="A259" s="8"/>
      <c r="B259" s="8"/>
      <c r="C259" s="8"/>
      <c r="D259" s="8"/>
      <c r="E259" s="8"/>
      <c r="F259" s="356"/>
      <c r="G259" s="8"/>
      <c r="H259" s="8"/>
      <c r="I259" s="8"/>
      <c r="J259" s="8"/>
      <c r="K259" s="8"/>
      <c r="L259" s="8"/>
      <c r="M259" s="8"/>
      <c r="N259" s="8"/>
      <c r="O259" s="8"/>
      <c r="P259" s="8"/>
      <c r="Q259" s="8"/>
      <c r="R259" s="8"/>
      <c r="S259" s="357"/>
      <c r="T259" s="357"/>
      <c r="U259" s="357"/>
      <c r="V259" s="357"/>
      <c r="W259" s="8"/>
      <c r="X259" s="8"/>
      <c r="Y259" s="8"/>
      <c r="Z259" s="8"/>
      <c r="AA259" s="8"/>
      <c r="AB259" s="8"/>
    </row>
    <row r="260">
      <c r="A260" s="8"/>
      <c r="B260" s="8"/>
      <c r="C260" s="8"/>
      <c r="D260" s="8"/>
      <c r="E260" s="8"/>
      <c r="F260" s="356"/>
      <c r="G260" s="8"/>
      <c r="H260" s="8"/>
      <c r="I260" s="8"/>
      <c r="J260" s="8"/>
      <c r="K260" s="8"/>
      <c r="L260" s="8"/>
      <c r="M260" s="8"/>
      <c r="N260" s="8"/>
      <c r="O260" s="8"/>
      <c r="P260" s="8"/>
      <c r="Q260" s="8"/>
      <c r="R260" s="8"/>
      <c r="S260" s="357"/>
      <c r="T260" s="357"/>
      <c r="U260" s="357"/>
      <c r="V260" s="357"/>
      <c r="W260" s="8"/>
      <c r="X260" s="8"/>
      <c r="Y260" s="8"/>
      <c r="Z260" s="8"/>
      <c r="AA260" s="8"/>
      <c r="AB260" s="8"/>
    </row>
    <row r="261">
      <c r="A261" s="8"/>
      <c r="B261" s="8"/>
      <c r="C261" s="8"/>
      <c r="D261" s="8"/>
      <c r="E261" s="8"/>
      <c r="F261" s="356"/>
      <c r="G261" s="8"/>
      <c r="H261" s="8"/>
      <c r="I261" s="8"/>
      <c r="J261" s="8"/>
      <c r="K261" s="8"/>
      <c r="L261" s="8"/>
      <c r="M261" s="8"/>
      <c r="N261" s="8"/>
      <c r="O261" s="8"/>
      <c r="P261" s="8"/>
      <c r="Q261" s="8"/>
      <c r="R261" s="8"/>
      <c r="S261" s="357"/>
      <c r="T261" s="357"/>
      <c r="U261" s="357"/>
      <c r="V261" s="357"/>
      <c r="W261" s="8"/>
      <c r="X261" s="8"/>
      <c r="Y261" s="8"/>
      <c r="Z261" s="8"/>
      <c r="AA261" s="8"/>
      <c r="AB261" s="8"/>
    </row>
    <row r="262">
      <c r="A262" s="8"/>
      <c r="B262" s="8"/>
      <c r="C262" s="8"/>
      <c r="D262" s="8"/>
      <c r="E262" s="8"/>
      <c r="F262" s="356"/>
      <c r="G262" s="8"/>
      <c r="H262" s="8"/>
      <c r="I262" s="8"/>
      <c r="J262" s="8"/>
      <c r="K262" s="8"/>
      <c r="L262" s="8"/>
      <c r="M262" s="8"/>
      <c r="N262" s="8"/>
      <c r="O262" s="8"/>
      <c r="P262" s="8"/>
      <c r="Q262" s="8"/>
      <c r="R262" s="8"/>
      <c r="S262" s="357"/>
      <c r="T262" s="357"/>
      <c r="U262" s="357"/>
      <c r="V262" s="357"/>
      <c r="W262" s="8"/>
      <c r="X262" s="8"/>
      <c r="Y262" s="8"/>
      <c r="Z262" s="8"/>
      <c r="AA262" s="8"/>
      <c r="AB262" s="8"/>
    </row>
    <row r="263">
      <c r="A263" s="8"/>
      <c r="B263" s="8"/>
      <c r="C263" s="8"/>
      <c r="D263" s="8"/>
      <c r="E263" s="8"/>
      <c r="F263" s="356"/>
      <c r="G263" s="8"/>
      <c r="H263" s="8"/>
      <c r="I263" s="8"/>
      <c r="J263" s="8"/>
      <c r="K263" s="8"/>
      <c r="L263" s="8"/>
      <c r="M263" s="8"/>
      <c r="N263" s="8"/>
      <c r="O263" s="8"/>
      <c r="P263" s="8"/>
      <c r="Q263" s="8"/>
      <c r="R263" s="8"/>
      <c r="S263" s="357"/>
      <c r="T263" s="357"/>
      <c r="U263" s="357"/>
      <c r="V263" s="357"/>
      <c r="W263" s="8"/>
      <c r="X263" s="8"/>
      <c r="Y263" s="8"/>
      <c r="Z263" s="8"/>
      <c r="AA263" s="8"/>
      <c r="AB263" s="8"/>
    </row>
    <row r="264">
      <c r="A264" s="8"/>
      <c r="B264" s="8"/>
      <c r="C264" s="8"/>
      <c r="D264" s="8"/>
      <c r="E264" s="8"/>
      <c r="F264" s="356"/>
      <c r="G264" s="8"/>
      <c r="H264" s="8"/>
      <c r="I264" s="8"/>
      <c r="J264" s="8"/>
      <c r="K264" s="8"/>
      <c r="L264" s="8"/>
      <c r="M264" s="8"/>
      <c r="N264" s="8"/>
      <c r="O264" s="8"/>
      <c r="P264" s="8"/>
      <c r="Q264" s="8"/>
      <c r="R264" s="8"/>
      <c r="S264" s="357"/>
      <c r="T264" s="357"/>
      <c r="U264" s="357"/>
      <c r="V264" s="357"/>
      <c r="W264" s="8"/>
      <c r="X264" s="8"/>
      <c r="Y264" s="8"/>
      <c r="Z264" s="8"/>
      <c r="AA264" s="8"/>
      <c r="AB264" s="8"/>
    </row>
    <row r="265">
      <c r="A265" s="8"/>
      <c r="B265" s="8"/>
      <c r="C265" s="8"/>
      <c r="D265" s="8"/>
      <c r="E265" s="8"/>
      <c r="F265" s="356"/>
      <c r="G265" s="8"/>
      <c r="H265" s="8"/>
      <c r="I265" s="8"/>
      <c r="J265" s="8"/>
      <c r="K265" s="8"/>
      <c r="L265" s="8"/>
      <c r="M265" s="8"/>
      <c r="N265" s="8"/>
      <c r="O265" s="8"/>
      <c r="P265" s="8"/>
      <c r="Q265" s="8"/>
      <c r="R265" s="8"/>
      <c r="S265" s="357"/>
      <c r="T265" s="357"/>
      <c r="U265" s="357"/>
      <c r="V265" s="357"/>
      <c r="W265" s="8"/>
      <c r="X265" s="8"/>
      <c r="Y265" s="8"/>
      <c r="Z265" s="8"/>
      <c r="AA265" s="8"/>
      <c r="AB265" s="8"/>
    </row>
    <row r="266">
      <c r="A266" s="8"/>
      <c r="B266" s="8"/>
      <c r="C266" s="8"/>
      <c r="D266" s="8"/>
      <c r="E266" s="8"/>
      <c r="F266" s="356"/>
      <c r="G266" s="8"/>
      <c r="H266" s="8"/>
      <c r="I266" s="8"/>
      <c r="J266" s="8"/>
      <c r="K266" s="8"/>
      <c r="L266" s="8"/>
      <c r="M266" s="8"/>
      <c r="N266" s="8"/>
      <c r="O266" s="8"/>
      <c r="P266" s="8"/>
      <c r="Q266" s="8"/>
      <c r="R266" s="8"/>
      <c r="S266" s="357"/>
      <c r="T266" s="357"/>
      <c r="U266" s="357"/>
      <c r="V266" s="357"/>
      <c r="W266" s="8"/>
      <c r="X266" s="8"/>
      <c r="Y266" s="8"/>
      <c r="Z266" s="8"/>
      <c r="AA266" s="8"/>
      <c r="AB266" s="8"/>
    </row>
    <row r="267">
      <c r="A267" s="8"/>
      <c r="B267" s="8"/>
      <c r="C267" s="8"/>
      <c r="D267" s="8"/>
      <c r="E267" s="8"/>
      <c r="F267" s="356"/>
      <c r="G267" s="8"/>
      <c r="H267" s="8"/>
      <c r="I267" s="8"/>
      <c r="J267" s="8"/>
      <c r="K267" s="8"/>
      <c r="L267" s="8"/>
      <c r="M267" s="8"/>
      <c r="N267" s="8"/>
      <c r="O267" s="8"/>
      <c r="P267" s="8"/>
      <c r="Q267" s="8"/>
      <c r="R267" s="8"/>
      <c r="S267" s="357"/>
      <c r="T267" s="357"/>
      <c r="U267" s="357"/>
      <c r="V267" s="357"/>
      <c r="W267" s="8"/>
      <c r="X267" s="8"/>
      <c r="Y267" s="8"/>
      <c r="Z267" s="8"/>
      <c r="AA267" s="8"/>
      <c r="AB267" s="8"/>
    </row>
    <row r="268">
      <c r="A268" s="8"/>
      <c r="B268" s="8"/>
      <c r="C268" s="8"/>
      <c r="D268" s="8"/>
      <c r="E268" s="8"/>
      <c r="F268" s="356"/>
      <c r="G268" s="8"/>
      <c r="H268" s="8"/>
      <c r="I268" s="8"/>
      <c r="J268" s="8"/>
      <c r="K268" s="8"/>
      <c r="L268" s="8"/>
      <c r="M268" s="8"/>
      <c r="N268" s="8"/>
      <c r="O268" s="8"/>
      <c r="P268" s="8"/>
      <c r="Q268" s="8"/>
      <c r="R268" s="8"/>
      <c r="S268" s="357"/>
      <c r="T268" s="357"/>
      <c r="U268" s="357"/>
      <c r="V268" s="357"/>
      <c r="W268" s="8"/>
      <c r="X268" s="8"/>
      <c r="Y268" s="8"/>
      <c r="Z268" s="8"/>
      <c r="AA268" s="8"/>
      <c r="AB268" s="8"/>
    </row>
    <row r="269">
      <c r="A269" s="8"/>
      <c r="B269" s="8"/>
      <c r="C269" s="8"/>
      <c r="D269" s="8"/>
      <c r="E269" s="8"/>
      <c r="F269" s="356"/>
      <c r="G269" s="8"/>
      <c r="H269" s="8"/>
      <c r="I269" s="8"/>
      <c r="J269" s="8"/>
      <c r="K269" s="8"/>
      <c r="L269" s="8"/>
      <c r="M269" s="8"/>
      <c r="N269" s="8"/>
      <c r="O269" s="8"/>
      <c r="P269" s="8"/>
      <c r="Q269" s="8"/>
      <c r="R269" s="8"/>
      <c r="S269" s="357"/>
      <c r="T269" s="357"/>
      <c r="U269" s="357"/>
      <c r="V269" s="357"/>
      <c r="W269" s="8"/>
      <c r="X269" s="8"/>
      <c r="Y269" s="8"/>
      <c r="Z269" s="8"/>
      <c r="AA269" s="8"/>
      <c r="AB269" s="8"/>
    </row>
    <row r="270">
      <c r="A270" s="8"/>
      <c r="B270" s="8"/>
      <c r="C270" s="8"/>
      <c r="D270" s="8"/>
      <c r="E270" s="8"/>
      <c r="F270" s="356"/>
      <c r="G270" s="8"/>
      <c r="H270" s="8"/>
      <c r="I270" s="8"/>
      <c r="J270" s="8"/>
      <c r="K270" s="8"/>
      <c r="L270" s="8"/>
      <c r="M270" s="8"/>
      <c r="N270" s="8"/>
      <c r="O270" s="8"/>
      <c r="P270" s="8"/>
      <c r="Q270" s="8"/>
      <c r="R270" s="8"/>
      <c r="S270" s="357"/>
      <c r="T270" s="357"/>
      <c r="U270" s="357"/>
      <c r="V270" s="357"/>
      <c r="W270" s="8"/>
      <c r="X270" s="8"/>
      <c r="Y270" s="8"/>
      <c r="Z270" s="8"/>
      <c r="AA270" s="8"/>
      <c r="AB270" s="8"/>
    </row>
    <row r="271">
      <c r="A271" s="8"/>
      <c r="B271" s="8"/>
      <c r="C271" s="8"/>
      <c r="D271" s="8"/>
      <c r="E271" s="8"/>
      <c r="F271" s="356"/>
      <c r="G271" s="8"/>
      <c r="H271" s="8"/>
      <c r="I271" s="8"/>
      <c r="J271" s="8"/>
      <c r="K271" s="8"/>
      <c r="L271" s="8"/>
      <c r="M271" s="8"/>
      <c r="N271" s="8"/>
      <c r="O271" s="8"/>
      <c r="P271" s="8"/>
      <c r="Q271" s="8"/>
      <c r="R271" s="8"/>
      <c r="S271" s="357"/>
      <c r="T271" s="357"/>
      <c r="U271" s="357"/>
      <c r="V271" s="357"/>
      <c r="W271" s="8"/>
      <c r="X271" s="8"/>
      <c r="Y271" s="8"/>
      <c r="Z271" s="8"/>
      <c r="AA271" s="8"/>
      <c r="AB271" s="8"/>
    </row>
    <row r="272">
      <c r="A272" s="8"/>
      <c r="B272" s="8"/>
      <c r="C272" s="8"/>
      <c r="D272" s="8"/>
      <c r="E272" s="8"/>
      <c r="F272" s="356"/>
      <c r="G272" s="8"/>
      <c r="H272" s="8"/>
      <c r="I272" s="8"/>
      <c r="J272" s="8"/>
      <c r="K272" s="8"/>
      <c r="L272" s="8"/>
      <c r="M272" s="8"/>
      <c r="N272" s="8"/>
      <c r="O272" s="8"/>
      <c r="P272" s="8"/>
      <c r="Q272" s="8"/>
      <c r="R272" s="8"/>
      <c r="S272" s="357"/>
      <c r="T272" s="357"/>
      <c r="U272" s="357"/>
      <c r="V272" s="357"/>
      <c r="W272" s="8"/>
      <c r="X272" s="8"/>
      <c r="Y272" s="8"/>
      <c r="Z272" s="8"/>
      <c r="AA272" s="8"/>
      <c r="AB272" s="8"/>
    </row>
    <row r="273">
      <c r="A273" s="8"/>
      <c r="B273" s="8"/>
      <c r="C273" s="8"/>
      <c r="D273" s="8"/>
      <c r="E273" s="8"/>
      <c r="F273" s="356"/>
      <c r="G273" s="8"/>
      <c r="H273" s="8"/>
      <c r="I273" s="8"/>
      <c r="J273" s="8"/>
      <c r="K273" s="8"/>
      <c r="L273" s="8"/>
      <c r="M273" s="8"/>
      <c r="N273" s="8"/>
      <c r="O273" s="8"/>
      <c r="P273" s="8"/>
      <c r="Q273" s="8"/>
      <c r="R273" s="8"/>
      <c r="S273" s="357"/>
      <c r="T273" s="357"/>
      <c r="U273" s="357"/>
      <c r="V273" s="357"/>
      <c r="W273" s="8"/>
      <c r="X273" s="8"/>
      <c r="Y273" s="8"/>
      <c r="Z273" s="8"/>
      <c r="AA273" s="8"/>
      <c r="AB273" s="8"/>
    </row>
    <row r="274">
      <c r="A274" s="8"/>
      <c r="B274" s="8"/>
      <c r="C274" s="8"/>
      <c r="D274" s="8"/>
      <c r="E274" s="8"/>
      <c r="F274" s="356"/>
      <c r="G274" s="8"/>
      <c r="H274" s="8"/>
      <c r="I274" s="8"/>
      <c r="J274" s="8"/>
      <c r="K274" s="8"/>
      <c r="L274" s="8"/>
      <c r="M274" s="8"/>
      <c r="N274" s="8"/>
      <c r="O274" s="8"/>
      <c r="P274" s="8"/>
      <c r="Q274" s="8"/>
      <c r="R274" s="8"/>
      <c r="S274" s="357"/>
      <c r="T274" s="357"/>
      <c r="U274" s="357"/>
      <c r="V274" s="357"/>
      <c r="W274" s="8"/>
      <c r="X274" s="8"/>
      <c r="Y274" s="8"/>
      <c r="Z274" s="8"/>
      <c r="AA274" s="8"/>
      <c r="AB274" s="8"/>
    </row>
    <row r="275">
      <c r="A275" s="8"/>
      <c r="B275" s="8"/>
      <c r="C275" s="8"/>
      <c r="D275" s="8"/>
      <c r="E275" s="8"/>
      <c r="F275" s="356"/>
      <c r="G275" s="8"/>
      <c r="H275" s="8"/>
      <c r="I275" s="8"/>
      <c r="J275" s="8"/>
      <c r="K275" s="8"/>
      <c r="L275" s="8"/>
      <c r="M275" s="8"/>
      <c r="N275" s="8"/>
      <c r="O275" s="8"/>
      <c r="P275" s="8"/>
      <c r="Q275" s="8"/>
      <c r="R275" s="8"/>
      <c r="S275" s="357"/>
      <c r="T275" s="357"/>
      <c r="U275" s="357"/>
      <c r="V275" s="357"/>
      <c r="W275" s="8"/>
      <c r="X275" s="8"/>
      <c r="Y275" s="8"/>
      <c r="Z275" s="8"/>
      <c r="AA275" s="8"/>
      <c r="AB275" s="8"/>
    </row>
    <row r="276">
      <c r="A276" s="8"/>
      <c r="B276" s="8"/>
      <c r="C276" s="8"/>
      <c r="D276" s="8"/>
      <c r="E276" s="8"/>
      <c r="F276" s="356"/>
      <c r="G276" s="8"/>
      <c r="H276" s="8"/>
      <c r="I276" s="8"/>
      <c r="J276" s="8"/>
      <c r="K276" s="8"/>
      <c r="L276" s="8"/>
      <c r="M276" s="8"/>
      <c r="N276" s="8"/>
      <c r="O276" s="8"/>
      <c r="P276" s="8"/>
      <c r="Q276" s="8"/>
      <c r="R276" s="8"/>
      <c r="S276" s="357"/>
      <c r="T276" s="357"/>
      <c r="U276" s="357"/>
      <c r="V276" s="357"/>
      <c r="W276" s="8"/>
      <c r="X276" s="8"/>
      <c r="Y276" s="8"/>
      <c r="Z276" s="8"/>
      <c r="AA276" s="8"/>
      <c r="AB276" s="8"/>
    </row>
    <row r="277">
      <c r="A277" s="8"/>
      <c r="B277" s="8"/>
      <c r="C277" s="8"/>
      <c r="D277" s="8"/>
      <c r="E277" s="8"/>
      <c r="F277" s="356"/>
      <c r="G277" s="8"/>
      <c r="H277" s="8"/>
      <c r="I277" s="8"/>
      <c r="J277" s="8"/>
      <c r="K277" s="8"/>
      <c r="L277" s="8"/>
      <c r="M277" s="8"/>
      <c r="N277" s="8"/>
      <c r="O277" s="8"/>
      <c r="P277" s="8"/>
      <c r="Q277" s="8"/>
      <c r="R277" s="8"/>
      <c r="S277" s="357"/>
      <c r="T277" s="357"/>
      <c r="U277" s="357"/>
      <c r="V277" s="357"/>
      <c r="W277" s="8"/>
      <c r="X277" s="8"/>
      <c r="Y277" s="8"/>
      <c r="Z277" s="8"/>
      <c r="AA277" s="8"/>
      <c r="AB277" s="8"/>
    </row>
    <row r="278">
      <c r="A278" s="8"/>
      <c r="B278" s="8"/>
      <c r="C278" s="8"/>
      <c r="D278" s="8"/>
      <c r="E278" s="8"/>
      <c r="F278" s="356"/>
      <c r="G278" s="8"/>
      <c r="H278" s="8"/>
      <c r="I278" s="8"/>
      <c r="J278" s="8"/>
      <c r="K278" s="8"/>
      <c r="L278" s="8"/>
      <c r="M278" s="8"/>
      <c r="N278" s="8"/>
      <c r="O278" s="8"/>
      <c r="P278" s="8"/>
      <c r="Q278" s="8"/>
      <c r="R278" s="8"/>
      <c r="S278" s="357"/>
      <c r="T278" s="357"/>
      <c r="U278" s="357"/>
      <c r="V278" s="357"/>
      <c r="W278" s="8"/>
      <c r="X278" s="8"/>
      <c r="Y278" s="8"/>
      <c r="Z278" s="8"/>
      <c r="AA278" s="8"/>
      <c r="AB278" s="8"/>
    </row>
    <row r="279">
      <c r="A279" s="8"/>
      <c r="B279" s="8"/>
      <c r="C279" s="8"/>
      <c r="D279" s="8"/>
      <c r="E279" s="8"/>
      <c r="F279" s="356"/>
      <c r="G279" s="8"/>
      <c r="H279" s="8"/>
      <c r="I279" s="8"/>
      <c r="J279" s="8"/>
      <c r="K279" s="8"/>
      <c r="L279" s="8"/>
      <c r="M279" s="8"/>
      <c r="N279" s="8"/>
      <c r="O279" s="8"/>
      <c r="P279" s="8"/>
      <c r="Q279" s="8"/>
      <c r="R279" s="8"/>
      <c r="S279" s="357"/>
      <c r="T279" s="357"/>
      <c r="U279" s="357"/>
      <c r="V279" s="357"/>
      <c r="W279" s="8"/>
      <c r="X279" s="8"/>
      <c r="Y279" s="8"/>
      <c r="Z279" s="8"/>
      <c r="AA279" s="8"/>
      <c r="AB279" s="8"/>
    </row>
    <row r="280">
      <c r="A280" s="8"/>
      <c r="B280" s="8"/>
      <c r="C280" s="8"/>
      <c r="D280" s="8"/>
      <c r="E280" s="8"/>
      <c r="F280" s="356"/>
      <c r="G280" s="8"/>
      <c r="H280" s="8"/>
      <c r="I280" s="8"/>
      <c r="J280" s="8"/>
      <c r="K280" s="8"/>
      <c r="L280" s="8"/>
      <c r="M280" s="8"/>
      <c r="N280" s="8"/>
      <c r="O280" s="8"/>
      <c r="P280" s="8"/>
      <c r="Q280" s="8"/>
      <c r="R280" s="8"/>
      <c r="S280" s="357"/>
      <c r="T280" s="357"/>
      <c r="U280" s="357"/>
      <c r="V280" s="357"/>
      <c r="W280" s="8"/>
      <c r="X280" s="8"/>
      <c r="Y280" s="8"/>
      <c r="Z280" s="8"/>
      <c r="AA280" s="8"/>
      <c r="AB280" s="8"/>
    </row>
    <row r="281">
      <c r="A281" s="8"/>
      <c r="B281" s="8"/>
      <c r="C281" s="8"/>
      <c r="D281" s="8"/>
      <c r="E281" s="8"/>
      <c r="F281" s="356"/>
      <c r="G281" s="8"/>
      <c r="H281" s="8"/>
      <c r="I281" s="8"/>
      <c r="J281" s="8"/>
      <c r="K281" s="8"/>
      <c r="L281" s="8"/>
      <c r="M281" s="8"/>
      <c r="N281" s="8"/>
      <c r="O281" s="8"/>
      <c r="P281" s="8"/>
      <c r="Q281" s="8"/>
      <c r="R281" s="8"/>
      <c r="S281" s="357"/>
      <c r="T281" s="357"/>
      <c r="U281" s="357"/>
      <c r="V281" s="357"/>
      <c r="W281" s="8"/>
      <c r="X281" s="8"/>
      <c r="Y281" s="8"/>
      <c r="Z281" s="8"/>
      <c r="AA281" s="8"/>
      <c r="AB281" s="8"/>
    </row>
    <row r="282">
      <c r="A282" s="8"/>
      <c r="B282" s="8"/>
      <c r="C282" s="8"/>
      <c r="D282" s="8"/>
      <c r="E282" s="8"/>
      <c r="F282" s="356"/>
      <c r="G282" s="8"/>
      <c r="H282" s="8"/>
      <c r="I282" s="8"/>
      <c r="J282" s="8"/>
      <c r="K282" s="8"/>
      <c r="L282" s="8"/>
      <c r="M282" s="8"/>
      <c r="N282" s="8"/>
      <c r="O282" s="8"/>
      <c r="P282" s="8"/>
      <c r="Q282" s="8"/>
      <c r="R282" s="8"/>
      <c r="S282" s="357"/>
      <c r="T282" s="357"/>
      <c r="U282" s="357"/>
      <c r="V282" s="357"/>
      <c r="W282" s="8"/>
      <c r="X282" s="8"/>
      <c r="Y282" s="8"/>
      <c r="Z282" s="8"/>
      <c r="AA282" s="8"/>
      <c r="AB282" s="8"/>
    </row>
    <row r="283">
      <c r="A283" s="8"/>
      <c r="B283" s="8"/>
      <c r="C283" s="8"/>
      <c r="D283" s="8"/>
      <c r="E283" s="8"/>
      <c r="F283" s="356"/>
      <c r="G283" s="8"/>
      <c r="H283" s="8"/>
      <c r="I283" s="8"/>
      <c r="J283" s="8"/>
      <c r="K283" s="8"/>
      <c r="L283" s="8"/>
      <c r="M283" s="8"/>
      <c r="N283" s="8"/>
      <c r="O283" s="8"/>
      <c r="P283" s="8"/>
      <c r="Q283" s="8"/>
      <c r="R283" s="8"/>
      <c r="S283" s="357"/>
      <c r="T283" s="357"/>
      <c r="U283" s="357"/>
      <c r="V283" s="357"/>
      <c r="W283" s="8"/>
      <c r="X283" s="8"/>
      <c r="Y283" s="8"/>
      <c r="Z283" s="8"/>
      <c r="AA283" s="8"/>
      <c r="AB283" s="8"/>
    </row>
    <row r="284">
      <c r="A284" s="8"/>
      <c r="B284" s="8"/>
      <c r="C284" s="8"/>
      <c r="D284" s="8"/>
      <c r="E284" s="8"/>
      <c r="F284" s="356"/>
      <c r="G284" s="8"/>
      <c r="H284" s="8"/>
      <c r="I284" s="8"/>
      <c r="J284" s="8"/>
      <c r="K284" s="8"/>
      <c r="L284" s="8"/>
      <c r="M284" s="8"/>
      <c r="N284" s="8"/>
      <c r="O284" s="8"/>
      <c r="P284" s="8"/>
      <c r="Q284" s="8"/>
      <c r="R284" s="8"/>
      <c r="S284" s="357"/>
      <c r="T284" s="357"/>
      <c r="U284" s="357"/>
      <c r="V284" s="357"/>
      <c r="W284" s="8"/>
      <c r="X284" s="8"/>
      <c r="Y284" s="8"/>
      <c r="Z284" s="8"/>
      <c r="AA284" s="8"/>
      <c r="AB284" s="8"/>
    </row>
    <row r="285">
      <c r="A285" s="8"/>
      <c r="B285" s="8"/>
      <c r="C285" s="8"/>
      <c r="D285" s="8"/>
      <c r="E285" s="8"/>
      <c r="F285" s="356"/>
      <c r="G285" s="8"/>
      <c r="H285" s="8"/>
      <c r="I285" s="8"/>
      <c r="J285" s="8"/>
      <c r="K285" s="8"/>
      <c r="L285" s="8"/>
      <c r="M285" s="8"/>
      <c r="N285" s="8"/>
      <c r="O285" s="8"/>
      <c r="P285" s="8"/>
      <c r="Q285" s="8"/>
      <c r="R285" s="8"/>
      <c r="S285" s="357"/>
      <c r="T285" s="357"/>
      <c r="U285" s="357"/>
      <c r="V285" s="357"/>
      <c r="W285" s="8"/>
      <c r="X285" s="8"/>
      <c r="Y285" s="8"/>
      <c r="Z285" s="8"/>
      <c r="AA285" s="8"/>
      <c r="AB285" s="8"/>
    </row>
    <row r="286">
      <c r="A286" s="8"/>
      <c r="B286" s="8"/>
      <c r="C286" s="8"/>
      <c r="D286" s="8"/>
      <c r="E286" s="8"/>
      <c r="F286" s="356"/>
      <c r="G286" s="8"/>
      <c r="H286" s="8"/>
      <c r="I286" s="8"/>
      <c r="J286" s="8"/>
      <c r="K286" s="8"/>
      <c r="L286" s="8"/>
      <c r="M286" s="8"/>
      <c r="N286" s="8"/>
      <c r="O286" s="8"/>
      <c r="P286" s="8"/>
      <c r="Q286" s="8"/>
      <c r="R286" s="8"/>
      <c r="S286" s="357"/>
      <c r="T286" s="357"/>
      <c r="U286" s="357"/>
      <c r="V286" s="357"/>
      <c r="W286" s="8"/>
      <c r="X286" s="8"/>
      <c r="Y286" s="8"/>
      <c r="Z286" s="8"/>
      <c r="AA286" s="8"/>
      <c r="AB286" s="8"/>
    </row>
    <row r="287">
      <c r="A287" s="8"/>
      <c r="B287" s="8"/>
      <c r="C287" s="8"/>
      <c r="D287" s="8"/>
      <c r="E287" s="8"/>
      <c r="F287" s="356"/>
      <c r="G287" s="8"/>
      <c r="H287" s="8"/>
      <c r="I287" s="8"/>
      <c r="J287" s="8"/>
      <c r="K287" s="8"/>
      <c r="L287" s="8"/>
      <c r="M287" s="8"/>
      <c r="N287" s="8"/>
      <c r="O287" s="8"/>
      <c r="P287" s="8"/>
      <c r="Q287" s="8"/>
      <c r="R287" s="8"/>
      <c r="S287" s="357"/>
      <c r="T287" s="357"/>
      <c r="U287" s="357"/>
      <c r="V287" s="357"/>
      <c r="W287" s="8"/>
      <c r="X287" s="8"/>
      <c r="Y287" s="8"/>
      <c r="Z287" s="8"/>
      <c r="AA287" s="8"/>
      <c r="AB287" s="8"/>
    </row>
    <row r="288">
      <c r="A288" s="8"/>
      <c r="B288" s="8"/>
      <c r="C288" s="8"/>
      <c r="D288" s="8"/>
      <c r="E288" s="8"/>
      <c r="F288" s="356"/>
      <c r="G288" s="8"/>
      <c r="H288" s="8"/>
      <c r="I288" s="8"/>
      <c r="J288" s="8"/>
      <c r="K288" s="8"/>
      <c r="L288" s="8"/>
      <c r="M288" s="8"/>
      <c r="N288" s="8"/>
      <c r="O288" s="8"/>
      <c r="P288" s="8"/>
      <c r="Q288" s="8"/>
      <c r="R288" s="8"/>
      <c r="S288" s="357"/>
      <c r="T288" s="357"/>
      <c r="U288" s="357"/>
      <c r="V288" s="357"/>
      <c r="W288" s="8"/>
      <c r="X288" s="8"/>
      <c r="Y288" s="8"/>
      <c r="Z288" s="8"/>
      <c r="AA288" s="8"/>
      <c r="AB288" s="8"/>
    </row>
    <row r="289">
      <c r="A289" s="8"/>
      <c r="B289" s="8"/>
      <c r="C289" s="8"/>
      <c r="D289" s="8"/>
      <c r="E289" s="8"/>
      <c r="F289" s="356"/>
      <c r="G289" s="8"/>
      <c r="H289" s="8"/>
      <c r="I289" s="8"/>
      <c r="J289" s="8"/>
      <c r="K289" s="8"/>
      <c r="L289" s="8"/>
      <c r="M289" s="8"/>
      <c r="N289" s="8"/>
      <c r="O289" s="8"/>
      <c r="P289" s="8"/>
      <c r="Q289" s="8"/>
      <c r="R289" s="8"/>
      <c r="S289" s="357"/>
      <c r="T289" s="357"/>
      <c r="U289" s="357"/>
      <c r="V289" s="357"/>
      <c r="W289" s="8"/>
      <c r="X289" s="8"/>
      <c r="Y289" s="8"/>
      <c r="Z289" s="8"/>
      <c r="AA289" s="8"/>
      <c r="AB289" s="8"/>
    </row>
    <row r="290">
      <c r="A290" s="8"/>
      <c r="B290" s="8"/>
      <c r="C290" s="8"/>
      <c r="D290" s="8"/>
      <c r="E290" s="8"/>
      <c r="F290" s="356"/>
      <c r="G290" s="8"/>
      <c r="H290" s="8"/>
      <c r="I290" s="8"/>
      <c r="J290" s="8"/>
      <c r="K290" s="8"/>
      <c r="L290" s="8"/>
      <c r="M290" s="8"/>
      <c r="N290" s="8"/>
      <c r="O290" s="8"/>
      <c r="P290" s="8"/>
      <c r="Q290" s="8"/>
      <c r="R290" s="8"/>
      <c r="S290" s="357"/>
      <c r="T290" s="357"/>
      <c r="U290" s="357"/>
      <c r="V290" s="357"/>
      <c r="W290" s="8"/>
      <c r="X290" s="8"/>
      <c r="Y290" s="8"/>
      <c r="Z290" s="8"/>
      <c r="AA290" s="8"/>
      <c r="AB290" s="8"/>
    </row>
    <row r="291">
      <c r="A291" s="8"/>
      <c r="B291" s="8"/>
      <c r="C291" s="8"/>
      <c r="D291" s="8"/>
      <c r="E291" s="8"/>
      <c r="F291" s="356"/>
      <c r="G291" s="8"/>
      <c r="H291" s="8"/>
      <c r="I291" s="8"/>
      <c r="J291" s="8"/>
      <c r="K291" s="8"/>
      <c r="L291" s="8"/>
      <c r="M291" s="8"/>
      <c r="N291" s="8"/>
      <c r="O291" s="8"/>
      <c r="P291" s="8"/>
      <c r="Q291" s="8"/>
      <c r="R291" s="8"/>
      <c r="S291" s="357"/>
      <c r="T291" s="357"/>
      <c r="U291" s="357"/>
      <c r="V291" s="357"/>
      <c r="W291" s="8"/>
      <c r="X291" s="8"/>
      <c r="Y291" s="8"/>
      <c r="Z291" s="8"/>
      <c r="AA291" s="8"/>
      <c r="AB291" s="8"/>
    </row>
    <row r="292">
      <c r="A292" s="8"/>
      <c r="B292" s="8"/>
      <c r="C292" s="8"/>
      <c r="D292" s="8"/>
      <c r="E292" s="8"/>
      <c r="F292" s="356"/>
      <c r="G292" s="8"/>
      <c r="H292" s="8"/>
      <c r="I292" s="8"/>
      <c r="J292" s="8"/>
      <c r="K292" s="8"/>
      <c r="L292" s="8"/>
      <c r="M292" s="8"/>
      <c r="N292" s="8"/>
      <c r="O292" s="8"/>
      <c r="P292" s="8"/>
      <c r="Q292" s="8"/>
      <c r="R292" s="8"/>
      <c r="S292" s="357"/>
      <c r="T292" s="357"/>
      <c r="U292" s="357"/>
      <c r="V292" s="357"/>
      <c r="W292" s="8"/>
      <c r="X292" s="8"/>
      <c r="Y292" s="8"/>
      <c r="Z292" s="8"/>
      <c r="AA292" s="8"/>
      <c r="AB292" s="8"/>
    </row>
    <row r="293">
      <c r="A293" s="8"/>
      <c r="B293" s="8"/>
      <c r="C293" s="8"/>
      <c r="D293" s="8"/>
      <c r="E293" s="8"/>
      <c r="F293" s="356"/>
      <c r="G293" s="8"/>
      <c r="H293" s="8"/>
      <c r="I293" s="8"/>
      <c r="J293" s="8"/>
      <c r="K293" s="8"/>
      <c r="L293" s="8"/>
      <c r="M293" s="8"/>
      <c r="N293" s="8"/>
      <c r="O293" s="8"/>
      <c r="P293" s="8"/>
      <c r="Q293" s="8"/>
      <c r="R293" s="8"/>
      <c r="S293" s="357"/>
      <c r="T293" s="357"/>
      <c r="U293" s="357"/>
      <c r="V293" s="357"/>
      <c r="W293" s="8"/>
      <c r="X293" s="8"/>
      <c r="Y293" s="8"/>
      <c r="Z293" s="8"/>
      <c r="AA293" s="8"/>
      <c r="AB293" s="8"/>
    </row>
    <row r="294">
      <c r="A294" s="8"/>
      <c r="B294" s="8"/>
      <c r="C294" s="8"/>
      <c r="D294" s="8"/>
      <c r="E294" s="8"/>
      <c r="F294" s="356"/>
      <c r="G294" s="8"/>
      <c r="H294" s="8"/>
      <c r="I294" s="8"/>
      <c r="J294" s="8"/>
      <c r="K294" s="8"/>
      <c r="L294" s="8"/>
      <c r="M294" s="8"/>
      <c r="N294" s="8"/>
      <c r="O294" s="8"/>
      <c r="P294" s="8"/>
      <c r="Q294" s="8"/>
      <c r="R294" s="8"/>
      <c r="S294" s="357"/>
      <c r="T294" s="357"/>
      <c r="U294" s="357"/>
      <c r="V294" s="357"/>
      <c r="W294" s="8"/>
      <c r="X294" s="8"/>
      <c r="Y294" s="8"/>
      <c r="Z294" s="8"/>
      <c r="AA294" s="8"/>
      <c r="AB294" s="8"/>
    </row>
    <row r="295">
      <c r="A295" s="8"/>
      <c r="B295" s="8"/>
      <c r="C295" s="8"/>
      <c r="D295" s="8"/>
      <c r="E295" s="8"/>
      <c r="F295" s="356"/>
      <c r="G295" s="8"/>
      <c r="H295" s="8"/>
      <c r="I295" s="8"/>
      <c r="J295" s="8"/>
      <c r="K295" s="8"/>
      <c r="L295" s="8"/>
      <c r="M295" s="8"/>
      <c r="N295" s="8"/>
      <c r="O295" s="8"/>
      <c r="P295" s="8"/>
      <c r="Q295" s="8"/>
      <c r="R295" s="8"/>
      <c r="S295" s="357"/>
      <c r="T295" s="357"/>
      <c r="U295" s="357"/>
      <c r="V295" s="357"/>
      <c r="W295" s="8"/>
      <c r="X295" s="8"/>
      <c r="Y295" s="8"/>
      <c r="Z295" s="8"/>
      <c r="AA295" s="8"/>
      <c r="AB295" s="8"/>
    </row>
    <row r="296">
      <c r="A296" s="8"/>
      <c r="B296" s="8"/>
      <c r="C296" s="8"/>
      <c r="D296" s="8"/>
      <c r="E296" s="8"/>
      <c r="F296" s="356"/>
      <c r="G296" s="8"/>
      <c r="H296" s="8"/>
      <c r="I296" s="8"/>
      <c r="J296" s="8"/>
      <c r="K296" s="8"/>
      <c r="L296" s="8"/>
      <c r="M296" s="8"/>
      <c r="N296" s="8"/>
      <c r="O296" s="8"/>
      <c r="P296" s="8"/>
      <c r="Q296" s="8"/>
      <c r="R296" s="8"/>
      <c r="S296" s="357"/>
      <c r="T296" s="357"/>
      <c r="U296" s="357"/>
      <c r="V296" s="357"/>
      <c r="W296" s="8"/>
      <c r="X296" s="8"/>
      <c r="Y296" s="8"/>
      <c r="Z296" s="8"/>
      <c r="AA296" s="8"/>
      <c r="AB296" s="8"/>
    </row>
    <row r="297">
      <c r="A297" s="8"/>
      <c r="B297" s="8"/>
      <c r="C297" s="8"/>
      <c r="D297" s="8"/>
      <c r="E297" s="8"/>
      <c r="F297" s="356"/>
      <c r="G297" s="8"/>
      <c r="H297" s="8"/>
      <c r="I297" s="8"/>
      <c r="J297" s="8"/>
      <c r="K297" s="8"/>
      <c r="L297" s="8"/>
      <c r="M297" s="8"/>
      <c r="N297" s="8"/>
      <c r="O297" s="8"/>
      <c r="P297" s="8"/>
      <c r="Q297" s="8"/>
      <c r="R297" s="8"/>
      <c r="S297" s="357"/>
      <c r="T297" s="357"/>
      <c r="U297" s="357"/>
      <c r="V297" s="357"/>
      <c r="W297" s="8"/>
      <c r="X297" s="8"/>
      <c r="Y297" s="8"/>
      <c r="Z297" s="8"/>
      <c r="AA297" s="8"/>
      <c r="AB297" s="8"/>
    </row>
    <row r="298">
      <c r="A298" s="8"/>
      <c r="B298" s="8"/>
      <c r="C298" s="8"/>
      <c r="D298" s="8"/>
      <c r="E298" s="8"/>
      <c r="F298" s="356"/>
      <c r="G298" s="8"/>
      <c r="H298" s="8"/>
      <c r="I298" s="8"/>
      <c r="J298" s="8"/>
      <c r="K298" s="8"/>
      <c r="L298" s="8"/>
      <c r="M298" s="8"/>
      <c r="N298" s="8"/>
      <c r="O298" s="8"/>
      <c r="P298" s="8"/>
      <c r="Q298" s="8"/>
      <c r="R298" s="8"/>
      <c r="S298" s="357"/>
      <c r="T298" s="357"/>
      <c r="U298" s="357"/>
      <c r="V298" s="357"/>
      <c r="W298" s="8"/>
      <c r="X298" s="8"/>
      <c r="Y298" s="8"/>
      <c r="Z298" s="8"/>
      <c r="AA298" s="8"/>
      <c r="AB298" s="8"/>
    </row>
    <row r="299">
      <c r="A299" s="8"/>
      <c r="B299" s="8"/>
      <c r="C299" s="8"/>
      <c r="D299" s="8"/>
      <c r="E299" s="8"/>
      <c r="F299" s="356"/>
      <c r="G299" s="8"/>
      <c r="H299" s="8"/>
      <c r="I299" s="8"/>
      <c r="J299" s="8"/>
      <c r="K299" s="8"/>
      <c r="L299" s="8"/>
      <c r="M299" s="8"/>
      <c r="N299" s="8"/>
      <c r="O299" s="8"/>
      <c r="P299" s="8"/>
      <c r="Q299" s="8"/>
      <c r="R299" s="8"/>
      <c r="S299" s="357"/>
      <c r="T299" s="357"/>
      <c r="U299" s="357"/>
      <c r="V299" s="357"/>
      <c r="W299" s="8"/>
      <c r="X299" s="8"/>
      <c r="Y299" s="8"/>
      <c r="Z299" s="8"/>
      <c r="AA299" s="8"/>
      <c r="AB299" s="8"/>
    </row>
    <row r="300">
      <c r="A300" s="8"/>
      <c r="B300" s="8"/>
      <c r="C300" s="8"/>
      <c r="D300" s="8"/>
      <c r="E300" s="8"/>
      <c r="F300" s="356"/>
      <c r="G300" s="8"/>
      <c r="H300" s="8"/>
      <c r="I300" s="8"/>
      <c r="J300" s="8"/>
      <c r="K300" s="8"/>
      <c r="L300" s="8"/>
      <c r="M300" s="8"/>
      <c r="N300" s="8"/>
      <c r="O300" s="8"/>
      <c r="P300" s="8"/>
      <c r="Q300" s="8"/>
      <c r="R300" s="8"/>
      <c r="S300" s="357"/>
      <c r="T300" s="357"/>
      <c r="U300" s="357"/>
      <c r="V300" s="357"/>
      <c r="W300" s="8"/>
      <c r="X300" s="8"/>
      <c r="Y300" s="8"/>
      <c r="Z300" s="8"/>
      <c r="AA300" s="8"/>
      <c r="AB300" s="8"/>
    </row>
    <row r="301">
      <c r="A301" s="8"/>
      <c r="B301" s="8"/>
      <c r="C301" s="8"/>
      <c r="D301" s="8"/>
      <c r="E301" s="8"/>
      <c r="F301" s="356"/>
      <c r="G301" s="8"/>
      <c r="H301" s="8"/>
      <c r="I301" s="8"/>
      <c r="J301" s="8"/>
      <c r="K301" s="8"/>
      <c r="L301" s="8"/>
      <c r="M301" s="8"/>
      <c r="N301" s="8"/>
      <c r="O301" s="8"/>
      <c r="P301" s="8"/>
      <c r="Q301" s="8"/>
      <c r="R301" s="8"/>
      <c r="S301" s="357"/>
      <c r="T301" s="357"/>
      <c r="U301" s="357"/>
      <c r="V301" s="357"/>
      <c r="W301" s="8"/>
      <c r="X301" s="8"/>
      <c r="Y301" s="8"/>
      <c r="Z301" s="8"/>
      <c r="AA301" s="8"/>
      <c r="AB301" s="8"/>
    </row>
    <row r="302">
      <c r="A302" s="8"/>
      <c r="B302" s="8"/>
      <c r="C302" s="8"/>
      <c r="D302" s="8"/>
      <c r="E302" s="8"/>
      <c r="F302" s="356"/>
      <c r="G302" s="8"/>
      <c r="H302" s="8"/>
      <c r="I302" s="8"/>
      <c r="J302" s="8"/>
      <c r="K302" s="8"/>
      <c r="L302" s="8"/>
      <c r="M302" s="8"/>
      <c r="N302" s="8"/>
      <c r="O302" s="8"/>
      <c r="P302" s="8"/>
      <c r="Q302" s="8"/>
      <c r="R302" s="8"/>
      <c r="S302" s="357"/>
      <c r="T302" s="357"/>
      <c r="U302" s="357"/>
      <c r="V302" s="357"/>
      <c r="W302" s="8"/>
      <c r="X302" s="8"/>
      <c r="Y302" s="8"/>
      <c r="Z302" s="8"/>
      <c r="AA302" s="8"/>
      <c r="AB302" s="8"/>
    </row>
    <row r="303">
      <c r="A303" s="8"/>
      <c r="B303" s="8"/>
      <c r="C303" s="8"/>
      <c r="D303" s="8"/>
      <c r="E303" s="8"/>
      <c r="F303" s="356"/>
      <c r="G303" s="8"/>
      <c r="H303" s="8"/>
      <c r="I303" s="8"/>
      <c r="J303" s="8"/>
      <c r="K303" s="8"/>
      <c r="L303" s="8"/>
      <c r="M303" s="8"/>
      <c r="N303" s="8"/>
      <c r="O303" s="8"/>
      <c r="P303" s="8"/>
      <c r="Q303" s="8"/>
      <c r="R303" s="8"/>
      <c r="S303" s="357"/>
      <c r="T303" s="357"/>
      <c r="U303" s="357"/>
      <c r="V303" s="357"/>
      <c r="W303" s="8"/>
      <c r="X303" s="8"/>
      <c r="Y303" s="8"/>
      <c r="Z303" s="8"/>
      <c r="AA303" s="8"/>
      <c r="AB303" s="8"/>
    </row>
    <row r="304">
      <c r="A304" s="8"/>
      <c r="B304" s="8"/>
      <c r="C304" s="8"/>
      <c r="D304" s="8"/>
      <c r="E304" s="8"/>
      <c r="F304" s="356"/>
      <c r="G304" s="8"/>
      <c r="H304" s="8"/>
      <c r="I304" s="8"/>
      <c r="J304" s="8"/>
      <c r="K304" s="8"/>
      <c r="L304" s="8"/>
      <c r="M304" s="8"/>
      <c r="N304" s="8"/>
      <c r="O304" s="8"/>
      <c r="P304" s="8"/>
      <c r="Q304" s="8"/>
      <c r="R304" s="8"/>
      <c r="S304" s="357"/>
      <c r="T304" s="357"/>
      <c r="U304" s="357"/>
      <c r="V304" s="357"/>
      <c r="W304" s="8"/>
      <c r="X304" s="8"/>
      <c r="Y304" s="8"/>
      <c r="Z304" s="8"/>
      <c r="AA304" s="8"/>
      <c r="AB304" s="8"/>
    </row>
    <row r="305">
      <c r="A305" s="8"/>
      <c r="B305" s="8"/>
      <c r="C305" s="8"/>
      <c r="D305" s="8"/>
      <c r="E305" s="8"/>
      <c r="F305" s="356"/>
      <c r="G305" s="8"/>
      <c r="H305" s="8"/>
      <c r="I305" s="8"/>
      <c r="J305" s="8"/>
      <c r="K305" s="8"/>
      <c r="L305" s="8"/>
      <c r="M305" s="8"/>
      <c r="N305" s="8"/>
      <c r="O305" s="8"/>
      <c r="P305" s="8"/>
      <c r="Q305" s="8"/>
      <c r="R305" s="8"/>
      <c r="S305" s="357"/>
      <c r="T305" s="357"/>
      <c r="U305" s="357"/>
      <c r="V305" s="357"/>
      <c r="W305" s="8"/>
      <c r="X305" s="8"/>
      <c r="Y305" s="8"/>
      <c r="Z305" s="8"/>
      <c r="AA305" s="8"/>
      <c r="AB305" s="8"/>
    </row>
    <row r="306">
      <c r="A306" s="8"/>
      <c r="B306" s="8"/>
      <c r="C306" s="8"/>
      <c r="D306" s="8"/>
      <c r="E306" s="8"/>
      <c r="F306" s="356"/>
      <c r="G306" s="8"/>
      <c r="H306" s="8"/>
      <c r="I306" s="8"/>
      <c r="J306" s="8"/>
      <c r="K306" s="8"/>
      <c r="L306" s="8"/>
      <c r="M306" s="8"/>
      <c r="N306" s="8"/>
      <c r="O306" s="8"/>
      <c r="P306" s="8"/>
      <c r="Q306" s="8"/>
      <c r="R306" s="8"/>
      <c r="S306" s="357"/>
      <c r="T306" s="357"/>
      <c r="U306" s="357"/>
      <c r="V306" s="357"/>
      <c r="W306" s="8"/>
      <c r="X306" s="8"/>
      <c r="Y306" s="8"/>
      <c r="Z306" s="8"/>
      <c r="AA306" s="8"/>
      <c r="AB306" s="8"/>
    </row>
    <row r="307">
      <c r="A307" s="8"/>
      <c r="B307" s="8"/>
      <c r="C307" s="8"/>
      <c r="D307" s="8"/>
      <c r="E307" s="8"/>
      <c r="F307" s="356"/>
      <c r="G307" s="8"/>
      <c r="H307" s="8"/>
      <c r="I307" s="8"/>
      <c r="J307" s="8"/>
      <c r="K307" s="8"/>
      <c r="L307" s="8"/>
      <c r="M307" s="8"/>
      <c r="N307" s="8"/>
      <c r="O307" s="8"/>
      <c r="P307" s="8"/>
      <c r="Q307" s="8"/>
      <c r="R307" s="8"/>
      <c r="S307" s="357"/>
      <c r="T307" s="357"/>
      <c r="U307" s="357"/>
      <c r="V307" s="357"/>
      <c r="W307" s="8"/>
      <c r="X307" s="8"/>
      <c r="Y307" s="8"/>
      <c r="Z307" s="8"/>
      <c r="AA307" s="8"/>
      <c r="AB307" s="8"/>
    </row>
    <row r="308">
      <c r="A308" s="8"/>
      <c r="B308" s="8"/>
      <c r="C308" s="8"/>
      <c r="D308" s="8"/>
      <c r="E308" s="8"/>
      <c r="F308" s="356"/>
      <c r="G308" s="8"/>
      <c r="H308" s="8"/>
      <c r="I308" s="8"/>
      <c r="J308" s="8"/>
      <c r="K308" s="8"/>
      <c r="L308" s="8"/>
      <c r="M308" s="8"/>
      <c r="N308" s="8"/>
      <c r="O308" s="8"/>
      <c r="P308" s="8"/>
      <c r="Q308" s="8"/>
      <c r="R308" s="8"/>
      <c r="S308" s="357"/>
      <c r="T308" s="357"/>
      <c r="U308" s="357"/>
      <c r="V308" s="357"/>
      <c r="W308" s="8"/>
      <c r="X308" s="8"/>
      <c r="Y308" s="8"/>
      <c r="Z308" s="8"/>
      <c r="AA308" s="8"/>
      <c r="AB308" s="8"/>
    </row>
    <row r="309">
      <c r="A309" s="8"/>
      <c r="B309" s="8"/>
      <c r="C309" s="8"/>
      <c r="D309" s="8"/>
      <c r="E309" s="8"/>
      <c r="F309" s="356"/>
      <c r="G309" s="8"/>
      <c r="H309" s="8"/>
      <c r="I309" s="8"/>
      <c r="J309" s="8"/>
      <c r="K309" s="8"/>
      <c r="L309" s="8"/>
      <c r="M309" s="8"/>
      <c r="N309" s="8"/>
      <c r="O309" s="8"/>
      <c r="P309" s="8"/>
      <c r="Q309" s="8"/>
      <c r="R309" s="8"/>
      <c r="S309" s="357"/>
      <c r="T309" s="357"/>
      <c r="U309" s="357"/>
      <c r="V309" s="357"/>
      <c r="W309" s="8"/>
      <c r="X309" s="8"/>
      <c r="Y309" s="8"/>
      <c r="Z309" s="8"/>
      <c r="AA309" s="8"/>
      <c r="AB309" s="8"/>
    </row>
    <row r="310">
      <c r="A310" s="8"/>
      <c r="B310" s="8"/>
      <c r="C310" s="8"/>
      <c r="D310" s="8"/>
      <c r="E310" s="8"/>
      <c r="F310" s="356"/>
      <c r="G310" s="8"/>
      <c r="H310" s="8"/>
      <c r="I310" s="8"/>
      <c r="J310" s="8"/>
      <c r="K310" s="8"/>
      <c r="L310" s="8"/>
      <c r="M310" s="8"/>
      <c r="N310" s="8"/>
      <c r="O310" s="8"/>
      <c r="P310" s="8"/>
      <c r="Q310" s="8"/>
      <c r="R310" s="8"/>
      <c r="S310" s="357"/>
      <c r="T310" s="357"/>
      <c r="U310" s="357"/>
      <c r="V310" s="357"/>
      <c r="W310" s="8"/>
      <c r="X310" s="8"/>
      <c r="Y310" s="8"/>
      <c r="Z310" s="8"/>
      <c r="AA310" s="8"/>
      <c r="AB310" s="8"/>
    </row>
    <row r="311">
      <c r="A311" s="8"/>
      <c r="B311" s="8"/>
      <c r="C311" s="8"/>
      <c r="D311" s="8"/>
      <c r="E311" s="8"/>
      <c r="F311" s="356"/>
      <c r="G311" s="8"/>
      <c r="H311" s="8"/>
      <c r="I311" s="8"/>
      <c r="J311" s="8"/>
      <c r="K311" s="8"/>
      <c r="L311" s="8"/>
      <c r="M311" s="8"/>
      <c r="N311" s="8"/>
      <c r="O311" s="8"/>
      <c r="P311" s="8"/>
      <c r="Q311" s="8"/>
      <c r="R311" s="8"/>
      <c r="S311" s="357"/>
      <c r="T311" s="357"/>
      <c r="U311" s="357"/>
      <c r="V311" s="357"/>
      <c r="W311" s="8"/>
      <c r="X311" s="8"/>
      <c r="Y311" s="8"/>
      <c r="Z311" s="8"/>
      <c r="AA311" s="8"/>
      <c r="AB311" s="8"/>
    </row>
    <row r="312">
      <c r="A312" s="8"/>
      <c r="B312" s="8"/>
      <c r="C312" s="8"/>
      <c r="D312" s="8"/>
      <c r="E312" s="8"/>
      <c r="F312" s="356"/>
      <c r="G312" s="8"/>
      <c r="H312" s="8"/>
      <c r="I312" s="8"/>
      <c r="J312" s="8"/>
      <c r="K312" s="8"/>
      <c r="L312" s="8"/>
      <c r="M312" s="8"/>
      <c r="N312" s="8"/>
      <c r="O312" s="8"/>
      <c r="P312" s="8"/>
      <c r="Q312" s="8"/>
      <c r="R312" s="8"/>
      <c r="S312" s="357"/>
      <c r="T312" s="357"/>
      <c r="U312" s="357"/>
      <c r="V312" s="357"/>
      <c r="W312" s="8"/>
      <c r="X312" s="8"/>
      <c r="Y312" s="8"/>
      <c r="Z312" s="8"/>
      <c r="AA312" s="8"/>
      <c r="AB312" s="8"/>
    </row>
    <row r="313">
      <c r="A313" s="8"/>
      <c r="B313" s="8"/>
      <c r="C313" s="8"/>
      <c r="D313" s="8"/>
      <c r="E313" s="8"/>
      <c r="F313" s="356"/>
      <c r="G313" s="8"/>
      <c r="H313" s="8"/>
      <c r="I313" s="8"/>
      <c r="J313" s="8"/>
      <c r="K313" s="8"/>
      <c r="L313" s="8"/>
      <c r="M313" s="8"/>
      <c r="N313" s="8"/>
      <c r="O313" s="8"/>
      <c r="P313" s="8"/>
      <c r="Q313" s="8"/>
      <c r="R313" s="8"/>
      <c r="S313" s="357"/>
      <c r="T313" s="357"/>
      <c r="U313" s="357"/>
      <c r="V313" s="357"/>
      <c r="W313" s="8"/>
      <c r="X313" s="8"/>
      <c r="Y313" s="8"/>
      <c r="Z313" s="8"/>
      <c r="AA313" s="8"/>
      <c r="AB313" s="8"/>
    </row>
    <row r="314">
      <c r="A314" s="8"/>
      <c r="B314" s="8"/>
      <c r="C314" s="8"/>
      <c r="D314" s="8"/>
      <c r="E314" s="8"/>
      <c r="F314" s="356"/>
      <c r="G314" s="8"/>
      <c r="H314" s="8"/>
      <c r="I314" s="8"/>
      <c r="J314" s="8"/>
      <c r="K314" s="8"/>
      <c r="L314" s="8"/>
      <c r="M314" s="8"/>
      <c r="N314" s="8"/>
      <c r="O314" s="8"/>
      <c r="P314" s="8"/>
      <c r="Q314" s="8"/>
      <c r="R314" s="8"/>
      <c r="S314" s="357"/>
      <c r="T314" s="357"/>
      <c r="U314" s="357"/>
      <c r="V314" s="357"/>
      <c r="W314" s="8"/>
      <c r="X314" s="8"/>
      <c r="Y314" s="8"/>
      <c r="Z314" s="8"/>
      <c r="AA314" s="8"/>
      <c r="AB314" s="8"/>
    </row>
    <row r="315">
      <c r="A315" s="8"/>
      <c r="B315" s="8"/>
      <c r="C315" s="8"/>
      <c r="D315" s="8"/>
      <c r="E315" s="8"/>
      <c r="F315" s="356"/>
      <c r="G315" s="8"/>
      <c r="H315" s="8"/>
      <c r="I315" s="8"/>
      <c r="J315" s="8"/>
      <c r="K315" s="8"/>
      <c r="L315" s="8"/>
      <c r="M315" s="8"/>
      <c r="N315" s="8"/>
      <c r="O315" s="8"/>
      <c r="P315" s="8"/>
      <c r="Q315" s="8"/>
      <c r="R315" s="8"/>
      <c r="S315" s="357"/>
      <c r="T315" s="357"/>
      <c r="U315" s="357"/>
      <c r="V315" s="357"/>
      <c r="W315" s="8"/>
      <c r="X315" s="8"/>
      <c r="Y315" s="8"/>
      <c r="Z315" s="8"/>
      <c r="AA315" s="8"/>
      <c r="AB315" s="8"/>
    </row>
    <row r="316">
      <c r="A316" s="8"/>
      <c r="B316" s="8"/>
      <c r="C316" s="8"/>
      <c r="D316" s="8"/>
      <c r="E316" s="8"/>
      <c r="F316" s="356"/>
      <c r="G316" s="8"/>
      <c r="H316" s="8"/>
      <c r="I316" s="8"/>
      <c r="J316" s="8"/>
      <c r="K316" s="8"/>
      <c r="L316" s="8"/>
      <c r="M316" s="8"/>
      <c r="N316" s="8"/>
      <c r="O316" s="8"/>
      <c r="P316" s="8"/>
      <c r="Q316" s="8"/>
      <c r="R316" s="8"/>
      <c r="S316" s="357"/>
      <c r="T316" s="357"/>
      <c r="U316" s="357"/>
      <c r="V316" s="357"/>
      <c r="W316" s="8"/>
      <c r="X316" s="8"/>
      <c r="Y316" s="8"/>
      <c r="Z316" s="8"/>
      <c r="AA316" s="8"/>
      <c r="AB316" s="8"/>
    </row>
    <row r="317">
      <c r="A317" s="8"/>
      <c r="B317" s="8"/>
      <c r="C317" s="8"/>
      <c r="D317" s="8"/>
      <c r="E317" s="8"/>
      <c r="F317" s="356"/>
      <c r="G317" s="8"/>
      <c r="H317" s="8"/>
      <c r="I317" s="8"/>
      <c r="J317" s="8"/>
      <c r="K317" s="8"/>
      <c r="L317" s="8"/>
      <c r="M317" s="8"/>
      <c r="N317" s="8"/>
      <c r="O317" s="8"/>
      <c r="P317" s="8"/>
      <c r="Q317" s="8"/>
      <c r="R317" s="8"/>
      <c r="S317" s="357"/>
      <c r="T317" s="357"/>
      <c r="U317" s="357"/>
      <c r="V317" s="357"/>
      <c r="W317" s="8"/>
      <c r="X317" s="8"/>
      <c r="Y317" s="8"/>
      <c r="Z317" s="8"/>
      <c r="AA317" s="8"/>
      <c r="AB317" s="8"/>
    </row>
    <row r="318">
      <c r="A318" s="8"/>
      <c r="B318" s="8"/>
      <c r="C318" s="8"/>
      <c r="D318" s="8"/>
      <c r="E318" s="8"/>
      <c r="F318" s="356"/>
      <c r="G318" s="8"/>
      <c r="H318" s="8"/>
      <c r="I318" s="8"/>
      <c r="J318" s="8"/>
      <c r="K318" s="8"/>
      <c r="L318" s="8"/>
      <c r="M318" s="8"/>
      <c r="N318" s="8"/>
      <c r="O318" s="8"/>
      <c r="P318" s="8"/>
      <c r="Q318" s="8"/>
      <c r="R318" s="8"/>
      <c r="S318" s="357"/>
      <c r="T318" s="357"/>
      <c r="U318" s="357"/>
      <c r="V318" s="357"/>
      <c r="W318" s="8"/>
      <c r="X318" s="8"/>
      <c r="Y318" s="8"/>
      <c r="Z318" s="8"/>
      <c r="AA318" s="8"/>
      <c r="AB318" s="8"/>
    </row>
    <row r="319">
      <c r="A319" s="8"/>
      <c r="B319" s="8"/>
      <c r="C319" s="8"/>
      <c r="D319" s="8"/>
      <c r="E319" s="8"/>
      <c r="F319" s="356"/>
      <c r="G319" s="8"/>
      <c r="H319" s="8"/>
      <c r="I319" s="8"/>
      <c r="J319" s="8"/>
      <c r="K319" s="8"/>
      <c r="L319" s="8"/>
      <c r="M319" s="8"/>
      <c r="N319" s="8"/>
      <c r="O319" s="8"/>
      <c r="P319" s="8"/>
      <c r="Q319" s="8"/>
      <c r="R319" s="8"/>
      <c r="S319" s="357"/>
      <c r="T319" s="357"/>
      <c r="U319" s="357"/>
      <c r="V319" s="357"/>
      <c r="W319" s="8"/>
      <c r="X319" s="8"/>
      <c r="Y319" s="8"/>
      <c r="Z319" s="8"/>
      <c r="AA319" s="8"/>
      <c r="AB319" s="8"/>
    </row>
    <row r="320">
      <c r="A320" s="8"/>
      <c r="B320" s="8"/>
      <c r="C320" s="8"/>
      <c r="D320" s="8"/>
      <c r="E320" s="8"/>
      <c r="F320" s="356"/>
      <c r="G320" s="8"/>
      <c r="H320" s="8"/>
      <c r="I320" s="8"/>
      <c r="J320" s="8"/>
      <c r="K320" s="8"/>
      <c r="L320" s="8"/>
      <c r="M320" s="8"/>
      <c r="N320" s="8"/>
      <c r="O320" s="8"/>
      <c r="P320" s="8"/>
      <c r="Q320" s="8"/>
      <c r="R320" s="8"/>
      <c r="S320" s="357"/>
      <c r="T320" s="357"/>
      <c r="U320" s="357"/>
      <c r="V320" s="357"/>
      <c r="W320" s="8"/>
      <c r="X320" s="8"/>
      <c r="Y320" s="8"/>
      <c r="Z320" s="8"/>
      <c r="AA320" s="8"/>
      <c r="AB320" s="8"/>
    </row>
    <row r="321">
      <c r="A321" s="8"/>
      <c r="B321" s="8"/>
      <c r="C321" s="8"/>
      <c r="D321" s="8"/>
      <c r="E321" s="8"/>
      <c r="F321" s="356"/>
      <c r="G321" s="8"/>
      <c r="H321" s="8"/>
      <c r="I321" s="8"/>
      <c r="J321" s="8"/>
      <c r="K321" s="8"/>
      <c r="L321" s="8"/>
      <c r="M321" s="8"/>
      <c r="N321" s="8"/>
      <c r="O321" s="8"/>
      <c r="P321" s="8"/>
      <c r="Q321" s="8"/>
      <c r="R321" s="8"/>
      <c r="S321" s="357"/>
      <c r="T321" s="357"/>
      <c r="U321" s="357"/>
      <c r="V321" s="357"/>
      <c r="W321" s="8"/>
      <c r="X321" s="8"/>
      <c r="Y321" s="8"/>
      <c r="Z321" s="8"/>
      <c r="AA321" s="8"/>
      <c r="AB321" s="8"/>
    </row>
    <row r="322">
      <c r="A322" s="8"/>
      <c r="B322" s="8"/>
      <c r="C322" s="8"/>
      <c r="D322" s="8"/>
      <c r="E322" s="8"/>
      <c r="F322" s="356"/>
      <c r="G322" s="8"/>
      <c r="H322" s="8"/>
      <c r="I322" s="8"/>
      <c r="J322" s="8"/>
      <c r="K322" s="8"/>
      <c r="L322" s="8"/>
      <c r="M322" s="8"/>
      <c r="N322" s="8"/>
      <c r="O322" s="8"/>
      <c r="P322" s="8"/>
      <c r="Q322" s="8"/>
      <c r="R322" s="8"/>
      <c r="S322" s="357"/>
      <c r="T322" s="357"/>
      <c r="U322" s="357"/>
      <c r="V322" s="357"/>
      <c r="W322" s="8"/>
      <c r="X322" s="8"/>
      <c r="Y322" s="8"/>
      <c r="Z322" s="8"/>
      <c r="AA322" s="8"/>
      <c r="AB322" s="8"/>
    </row>
    <row r="323">
      <c r="A323" s="8"/>
      <c r="B323" s="8"/>
      <c r="C323" s="8"/>
      <c r="D323" s="8"/>
      <c r="E323" s="8"/>
      <c r="F323" s="356"/>
      <c r="G323" s="8"/>
      <c r="H323" s="8"/>
      <c r="I323" s="8"/>
      <c r="J323" s="8"/>
      <c r="K323" s="8"/>
      <c r="L323" s="8"/>
      <c r="M323" s="8"/>
      <c r="N323" s="8"/>
      <c r="O323" s="8"/>
      <c r="P323" s="8"/>
      <c r="Q323" s="8"/>
      <c r="R323" s="8"/>
      <c r="S323" s="357"/>
      <c r="T323" s="357"/>
      <c r="U323" s="357"/>
      <c r="V323" s="357"/>
      <c r="W323" s="8"/>
      <c r="X323" s="8"/>
      <c r="Y323" s="8"/>
      <c r="Z323" s="8"/>
      <c r="AA323" s="8"/>
      <c r="AB323" s="8"/>
    </row>
    <row r="324">
      <c r="A324" s="8"/>
      <c r="B324" s="8"/>
      <c r="C324" s="8"/>
      <c r="D324" s="8"/>
      <c r="E324" s="8"/>
      <c r="F324" s="356"/>
      <c r="G324" s="8"/>
      <c r="H324" s="8"/>
      <c r="I324" s="8"/>
      <c r="J324" s="8"/>
      <c r="K324" s="8"/>
      <c r="L324" s="8"/>
      <c r="M324" s="8"/>
      <c r="N324" s="8"/>
      <c r="O324" s="8"/>
      <c r="P324" s="8"/>
      <c r="Q324" s="8"/>
      <c r="R324" s="8"/>
      <c r="S324" s="357"/>
      <c r="T324" s="357"/>
      <c r="U324" s="357"/>
      <c r="V324" s="357"/>
      <c r="W324" s="8"/>
      <c r="X324" s="8"/>
      <c r="Y324" s="8"/>
      <c r="Z324" s="8"/>
      <c r="AA324" s="8"/>
      <c r="AB324" s="8"/>
    </row>
    <row r="325">
      <c r="A325" s="8"/>
      <c r="B325" s="8"/>
      <c r="C325" s="8"/>
      <c r="D325" s="8"/>
      <c r="E325" s="8"/>
      <c r="F325" s="356"/>
      <c r="G325" s="8"/>
      <c r="H325" s="8"/>
      <c r="I325" s="8"/>
      <c r="J325" s="8"/>
      <c r="K325" s="8"/>
      <c r="L325" s="8"/>
      <c r="M325" s="8"/>
      <c r="N325" s="8"/>
      <c r="O325" s="8"/>
      <c r="P325" s="8"/>
      <c r="Q325" s="8"/>
      <c r="R325" s="8"/>
      <c r="S325" s="357"/>
      <c r="T325" s="357"/>
      <c r="U325" s="357"/>
      <c r="V325" s="357"/>
      <c r="W325" s="8"/>
      <c r="X325" s="8"/>
      <c r="Y325" s="8"/>
      <c r="Z325" s="8"/>
      <c r="AA325" s="8"/>
      <c r="AB325" s="8"/>
    </row>
    <row r="326">
      <c r="A326" s="8"/>
      <c r="B326" s="8"/>
      <c r="C326" s="8"/>
      <c r="D326" s="8"/>
      <c r="E326" s="8"/>
      <c r="F326" s="356"/>
      <c r="G326" s="8"/>
      <c r="H326" s="8"/>
      <c r="I326" s="8"/>
      <c r="J326" s="8"/>
      <c r="K326" s="8"/>
      <c r="L326" s="8"/>
      <c r="M326" s="8"/>
      <c r="N326" s="8"/>
      <c r="O326" s="8"/>
      <c r="P326" s="8"/>
      <c r="Q326" s="8"/>
      <c r="R326" s="8"/>
      <c r="S326" s="357"/>
      <c r="T326" s="357"/>
      <c r="U326" s="357"/>
      <c r="V326" s="357"/>
      <c r="W326" s="8"/>
      <c r="X326" s="8"/>
      <c r="Y326" s="8"/>
      <c r="Z326" s="8"/>
      <c r="AA326" s="8"/>
      <c r="AB326" s="8"/>
    </row>
    <row r="327">
      <c r="A327" s="8"/>
      <c r="B327" s="8"/>
      <c r="C327" s="8"/>
      <c r="D327" s="8"/>
      <c r="E327" s="8"/>
      <c r="F327" s="356"/>
      <c r="G327" s="8"/>
      <c r="H327" s="8"/>
      <c r="I327" s="8"/>
      <c r="J327" s="8"/>
      <c r="K327" s="8"/>
      <c r="L327" s="8"/>
      <c r="M327" s="8"/>
      <c r="N327" s="8"/>
      <c r="O327" s="8"/>
      <c r="P327" s="8"/>
      <c r="Q327" s="8"/>
      <c r="R327" s="8"/>
      <c r="S327" s="357"/>
      <c r="T327" s="357"/>
      <c r="U327" s="357"/>
      <c r="V327" s="357"/>
      <c r="W327" s="8"/>
      <c r="X327" s="8"/>
      <c r="Y327" s="8"/>
      <c r="Z327" s="8"/>
      <c r="AA327" s="8"/>
      <c r="AB327" s="8"/>
    </row>
    <row r="328">
      <c r="A328" s="8"/>
      <c r="B328" s="8"/>
      <c r="C328" s="8"/>
      <c r="D328" s="8"/>
      <c r="E328" s="8"/>
      <c r="F328" s="356"/>
      <c r="G328" s="8"/>
      <c r="H328" s="8"/>
      <c r="I328" s="8"/>
      <c r="J328" s="8"/>
      <c r="K328" s="8"/>
      <c r="L328" s="8"/>
      <c r="M328" s="8"/>
      <c r="N328" s="8"/>
      <c r="O328" s="8"/>
      <c r="P328" s="8"/>
      <c r="Q328" s="8"/>
      <c r="R328" s="8"/>
      <c r="S328" s="357"/>
      <c r="T328" s="357"/>
      <c r="U328" s="357"/>
      <c r="V328" s="357"/>
      <c r="W328" s="8"/>
      <c r="X328" s="8"/>
      <c r="Y328" s="8"/>
      <c r="Z328" s="8"/>
      <c r="AA328" s="8"/>
      <c r="AB328" s="8"/>
    </row>
    <row r="329">
      <c r="A329" s="8"/>
      <c r="B329" s="8"/>
      <c r="C329" s="8"/>
      <c r="D329" s="8"/>
      <c r="E329" s="8"/>
      <c r="F329" s="356"/>
      <c r="G329" s="8"/>
      <c r="H329" s="8"/>
      <c r="I329" s="8"/>
      <c r="J329" s="8"/>
      <c r="K329" s="8"/>
      <c r="L329" s="8"/>
      <c r="M329" s="8"/>
      <c r="N329" s="8"/>
      <c r="O329" s="8"/>
      <c r="P329" s="8"/>
      <c r="Q329" s="8"/>
      <c r="R329" s="8"/>
      <c r="S329" s="357"/>
      <c r="T329" s="357"/>
      <c r="U329" s="357"/>
      <c r="V329" s="357"/>
      <c r="W329" s="8"/>
      <c r="X329" s="8"/>
      <c r="Y329" s="8"/>
      <c r="Z329" s="8"/>
      <c r="AA329" s="8"/>
      <c r="AB329" s="8"/>
    </row>
    <row r="330">
      <c r="A330" s="8"/>
      <c r="B330" s="8"/>
      <c r="C330" s="8"/>
      <c r="D330" s="8"/>
      <c r="E330" s="8"/>
      <c r="F330" s="356"/>
      <c r="G330" s="8"/>
      <c r="H330" s="8"/>
      <c r="I330" s="8"/>
      <c r="J330" s="8"/>
      <c r="K330" s="8"/>
      <c r="L330" s="8"/>
      <c r="M330" s="8"/>
      <c r="N330" s="8"/>
      <c r="O330" s="8"/>
      <c r="P330" s="8"/>
      <c r="Q330" s="8"/>
      <c r="R330" s="8"/>
      <c r="S330" s="357"/>
      <c r="T330" s="357"/>
      <c r="U330" s="357"/>
      <c r="V330" s="357"/>
      <c r="W330" s="8"/>
      <c r="X330" s="8"/>
      <c r="Y330" s="8"/>
      <c r="Z330" s="8"/>
      <c r="AA330" s="8"/>
      <c r="AB330" s="8"/>
    </row>
    <row r="331">
      <c r="A331" s="8"/>
      <c r="B331" s="8"/>
      <c r="C331" s="8"/>
      <c r="D331" s="8"/>
      <c r="E331" s="8"/>
      <c r="F331" s="356"/>
      <c r="G331" s="8"/>
      <c r="H331" s="8"/>
      <c r="I331" s="8"/>
      <c r="J331" s="8"/>
      <c r="K331" s="8"/>
      <c r="L331" s="8"/>
      <c r="M331" s="8"/>
      <c r="N331" s="8"/>
      <c r="O331" s="8"/>
      <c r="P331" s="8"/>
      <c r="Q331" s="8"/>
      <c r="R331" s="8"/>
      <c r="S331" s="357"/>
      <c r="T331" s="357"/>
      <c r="U331" s="357"/>
      <c r="V331" s="357"/>
      <c r="W331" s="8"/>
      <c r="X331" s="8"/>
      <c r="Y331" s="8"/>
      <c r="Z331" s="8"/>
      <c r="AA331" s="8"/>
      <c r="AB331" s="8"/>
    </row>
    <row r="332">
      <c r="A332" s="8"/>
      <c r="B332" s="8"/>
      <c r="C332" s="8"/>
      <c r="D332" s="8"/>
      <c r="E332" s="8"/>
      <c r="F332" s="356"/>
      <c r="G332" s="8"/>
      <c r="H332" s="8"/>
      <c r="I332" s="8"/>
      <c r="J332" s="8"/>
      <c r="K332" s="8"/>
      <c r="L332" s="8"/>
      <c r="M332" s="8"/>
      <c r="N332" s="8"/>
      <c r="O332" s="8"/>
      <c r="P332" s="8"/>
      <c r="Q332" s="8"/>
      <c r="R332" s="8"/>
      <c r="S332" s="357"/>
      <c r="T332" s="357"/>
      <c r="U332" s="357"/>
      <c r="V332" s="357"/>
      <c r="W332" s="8"/>
      <c r="X332" s="8"/>
      <c r="Y332" s="8"/>
      <c r="Z332" s="8"/>
      <c r="AA332" s="8"/>
      <c r="AB332" s="8"/>
    </row>
    <row r="333">
      <c r="A333" s="8"/>
      <c r="B333" s="8"/>
      <c r="C333" s="8"/>
      <c r="D333" s="8"/>
      <c r="E333" s="8"/>
      <c r="F333" s="356"/>
      <c r="G333" s="8"/>
      <c r="H333" s="8"/>
      <c r="I333" s="8"/>
      <c r="J333" s="8"/>
      <c r="K333" s="8"/>
      <c r="L333" s="8"/>
      <c r="M333" s="8"/>
      <c r="N333" s="8"/>
      <c r="O333" s="8"/>
      <c r="P333" s="8"/>
      <c r="Q333" s="8"/>
      <c r="R333" s="8"/>
      <c r="S333" s="357"/>
      <c r="T333" s="357"/>
      <c r="U333" s="357"/>
      <c r="V333" s="357"/>
      <c r="W333" s="8"/>
      <c r="X333" s="8"/>
      <c r="Y333" s="8"/>
      <c r="Z333" s="8"/>
      <c r="AA333" s="8"/>
      <c r="AB333" s="8"/>
    </row>
    <row r="334">
      <c r="A334" s="8"/>
      <c r="B334" s="8"/>
      <c r="C334" s="8"/>
      <c r="D334" s="8"/>
      <c r="E334" s="8"/>
      <c r="F334" s="356"/>
      <c r="G334" s="8"/>
      <c r="H334" s="8"/>
      <c r="I334" s="8"/>
      <c r="J334" s="8"/>
      <c r="K334" s="8"/>
      <c r="L334" s="8"/>
      <c r="M334" s="8"/>
      <c r="N334" s="8"/>
      <c r="O334" s="8"/>
      <c r="P334" s="8"/>
      <c r="Q334" s="8"/>
      <c r="R334" s="8"/>
      <c r="S334" s="357"/>
      <c r="T334" s="357"/>
      <c r="U334" s="357"/>
      <c r="V334" s="357"/>
      <c r="W334" s="8"/>
      <c r="X334" s="8"/>
      <c r="Y334" s="8"/>
      <c r="Z334" s="8"/>
      <c r="AA334" s="8"/>
      <c r="AB334" s="8"/>
    </row>
    <row r="335">
      <c r="A335" s="8"/>
      <c r="B335" s="8"/>
      <c r="C335" s="8"/>
      <c r="D335" s="8"/>
      <c r="E335" s="8"/>
      <c r="F335" s="356"/>
      <c r="G335" s="8"/>
      <c r="H335" s="8"/>
      <c r="I335" s="8"/>
      <c r="J335" s="8"/>
      <c r="K335" s="8"/>
      <c r="L335" s="8"/>
      <c r="M335" s="8"/>
      <c r="N335" s="8"/>
      <c r="O335" s="8"/>
      <c r="P335" s="8"/>
      <c r="Q335" s="8"/>
      <c r="R335" s="8"/>
      <c r="S335" s="357"/>
      <c r="T335" s="357"/>
      <c r="U335" s="357"/>
      <c r="V335" s="357"/>
      <c r="W335" s="8"/>
      <c r="X335" s="8"/>
      <c r="Y335" s="8"/>
      <c r="Z335" s="8"/>
      <c r="AA335" s="8"/>
      <c r="AB335" s="8"/>
    </row>
    <row r="336">
      <c r="A336" s="8"/>
      <c r="B336" s="8"/>
      <c r="C336" s="8"/>
      <c r="D336" s="8"/>
      <c r="E336" s="8"/>
      <c r="F336" s="356"/>
      <c r="G336" s="8"/>
      <c r="H336" s="8"/>
      <c r="I336" s="8"/>
      <c r="J336" s="8"/>
      <c r="K336" s="8"/>
      <c r="L336" s="8"/>
      <c r="M336" s="8"/>
      <c r="N336" s="8"/>
      <c r="O336" s="8"/>
      <c r="P336" s="8"/>
      <c r="Q336" s="8"/>
      <c r="R336" s="8"/>
      <c r="S336" s="357"/>
      <c r="T336" s="357"/>
      <c r="U336" s="357"/>
      <c r="V336" s="357"/>
      <c r="W336" s="8"/>
      <c r="X336" s="8"/>
      <c r="Y336" s="8"/>
      <c r="Z336" s="8"/>
      <c r="AA336" s="8"/>
      <c r="AB336" s="8"/>
    </row>
    <row r="337">
      <c r="A337" s="8"/>
      <c r="B337" s="8"/>
      <c r="C337" s="8"/>
      <c r="D337" s="8"/>
      <c r="E337" s="8"/>
      <c r="F337" s="356"/>
      <c r="G337" s="8"/>
      <c r="H337" s="8"/>
      <c r="I337" s="8"/>
      <c r="J337" s="8"/>
      <c r="K337" s="8"/>
      <c r="L337" s="8"/>
      <c r="M337" s="8"/>
      <c r="N337" s="8"/>
      <c r="O337" s="8"/>
      <c r="P337" s="8"/>
      <c r="Q337" s="8"/>
      <c r="R337" s="8"/>
      <c r="S337" s="357"/>
      <c r="T337" s="357"/>
      <c r="U337" s="357"/>
      <c r="V337" s="357"/>
      <c r="W337" s="8"/>
      <c r="X337" s="8"/>
      <c r="Y337" s="8"/>
      <c r="Z337" s="8"/>
      <c r="AA337" s="8"/>
      <c r="AB337" s="8"/>
    </row>
    <row r="338">
      <c r="A338" s="8"/>
      <c r="B338" s="8"/>
      <c r="C338" s="8"/>
      <c r="D338" s="8"/>
      <c r="E338" s="8"/>
      <c r="F338" s="356"/>
      <c r="G338" s="8"/>
      <c r="H338" s="8"/>
      <c r="I338" s="8"/>
      <c r="J338" s="8"/>
      <c r="K338" s="8"/>
      <c r="L338" s="8"/>
      <c r="M338" s="8"/>
      <c r="N338" s="8"/>
      <c r="O338" s="8"/>
      <c r="P338" s="8"/>
      <c r="Q338" s="8"/>
      <c r="R338" s="8"/>
      <c r="S338" s="357"/>
      <c r="T338" s="357"/>
      <c r="U338" s="357"/>
      <c r="V338" s="357"/>
      <c r="W338" s="8"/>
      <c r="X338" s="8"/>
      <c r="Y338" s="8"/>
      <c r="Z338" s="8"/>
      <c r="AA338" s="8"/>
      <c r="AB338" s="8"/>
    </row>
    <row r="339">
      <c r="A339" s="8"/>
      <c r="B339" s="8"/>
      <c r="C339" s="8"/>
      <c r="D339" s="8"/>
      <c r="E339" s="8"/>
      <c r="F339" s="356"/>
      <c r="G339" s="8"/>
      <c r="H339" s="8"/>
      <c r="I339" s="8"/>
      <c r="J339" s="8"/>
      <c r="K339" s="8"/>
      <c r="L339" s="8"/>
      <c r="M339" s="8"/>
      <c r="N339" s="8"/>
      <c r="O339" s="8"/>
      <c r="P339" s="8"/>
      <c r="Q339" s="8"/>
      <c r="R339" s="8"/>
      <c r="S339" s="357"/>
      <c r="T339" s="357"/>
      <c r="U339" s="357"/>
      <c r="V339" s="357"/>
      <c r="W339" s="8"/>
      <c r="X339" s="8"/>
      <c r="Y339" s="8"/>
      <c r="Z339" s="8"/>
      <c r="AA339" s="8"/>
      <c r="AB339" s="8"/>
    </row>
    <row r="340">
      <c r="A340" s="8"/>
      <c r="B340" s="8"/>
      <c r="C340" s="8"/>
      <c r="D340" s="8"/>
      <c r="E340" s="8"/>
      <c r="F340" s="356"/>
      <c r="G340" s="8"/>
      <c r="H340" s="8"/>
      <c r="I340" s="8"/>
      <c r="J340" s="8"/>
      <c r="K340" s="8"/>
      <c r="L340" s="8"/>
      <c r="M340" s="8"/>
      <c r="N340" s="8"/>
      <c r="O340" s="8"/>
      <c r="P340" s="8"/>
      <c r="Q340" s="8"/>
      <c r="R340" s="8"/>
      <c r="S340" s="357"/>
      <c r="T340" s="357"/>
      <c r="U340" s="357"/>
      <c r="V340" s="357"/>
      <c r="W340" s="8"/>
      <c r="X340" s="8"/>
      <c r="Y340" s="8"/>
      <c r="Z340" s="8"/>
      <c r="AA340" s="8"/>
      <c r="AB340" s="8"/>
    </row>
    <row r="341">
      <c r="A341" s="8"/>
      <c r="B341" s="8"/>
      <c r="C341" s="8"/>
      <c r="D341" s="8"/>
      <c r="E341" s="8"/>
      <c r="F341" s="356"/>
      <c r="G341" s="8"/>
      <c r="H341" s="8"/>
      <c r="I341" s="8"/>
      <c r="J341" s="8"/>
      <c r="K341" s="8"/>
      <c r="L341" s="8"/>
      <c r="M341" s="8"/>
      <c r="N341" s="8"/>
      <c r="O341" s="8"/>
      <c r="P341" s="8"/>
      <c r="Q341" s="8"/>
      <c r="R341" s="8"/>
      <c r="S341" s="357"/>
      <c r="T341" s="357"/>
      <c r="U341" s="357"/>
      <c r="V341" s="357"/>
      <c r="W341" s="8"/>
      <c r="X341" s="8"/>
      <c r="Y341" s="8"/>
      <c r="Z341" s="8"/>
      <c r="AA341" s="8"/>
      <c r="AB341" s="8"/>
    </row>
    <row r="342">
      <c r="A342" s="8"/>
      <c r="B342" s="8"/>
      <c r="C342" s="8"/>
      <c r="D342" s="8"/>
      <c r="E342" s="8"/>
      <c r="F342" s="356"/>
      <c r="G342" s="8"/>
      <c r="H342" s="8"/>
      <c r="I342" s="8"/>
      <c r="J342" s="8"/>
      <c r="K342" s="8"/>
      <c r="L342" s="8"/>
      <c r="M342" s="8"/>
      <c r="N342" s="8"/>
      <c r="O342" s="8"/>
      <c r="P342" s="8"/>
      <c r="Q342" s="8"/>
      <c r="R342" s="8"/>
      <c r="S342" s="357"/>
      <c r="T342" s="357"/>
      <c r="U342" s="357"/>
      <c r="V342" s="357"/>
      <c r="W342" s="8"/>
      <c r="X342" s="8"/>
      <c r="Y342" s="8"/>
      <c r="Z342" s="8"/>
      <c r="AA342" s="8"/>
      <c r="AB342" s="8"/>
    </row>
    <row r="343">
      <c r="A343" s="8"/>
      <c r="B343" s="8"/>
      <c r="C343" s="8"/>
      <c r="D343" s="8"/>
      <c r="E343" s="8"/>
      <c r="F343" s="356"/>
      <c r="G343" s="8"/>
      <c r="H343" s="8"/>
      <c r="I343" s="8"/>
      <c r="J343" s="8"/>
      <c r="K343" s="8"/>
      <c r="L343" s="8"/>
      <c r="M343" s="8"/>
      <c r="N343" s="8"/>
      <c r="O343" s="8"/>
      <c r="P343" s="8"/>
      <c r="Q343" s="8"/>
      <c r="R343" s="8"/>
      <c r="S343" s="357"/>
      <c r="T343" s="357"/>
      <c r="U343" s="357"/>
      <c r="V343" s="357"/>
      <c r="W343" s="8"/>
      <c r="X343" s="8"/>
      <c r="Y343" s="8"/>
      <c r="Z343" s="8"/>
      <c r="AA343" s="8"/>
      <c r="AB343" s="8"/>
    </row>
    <row r="344">
      <c r="A344" s="8"/>
      <c r="B344" s="8"/>
      <c r="C344" s="8"/>
      <c r="D344" s="8"/>
      <c r="E344" s="8"/>
      <c r="F344" s="356"/>
      <c r="G344" s="8"/>
      <c r="H344" s="8"/>
      <c r="I344" s="8"/>
      <c r="J344" s="8"/>
      <c r="K344" s="8"/>
      <c r="L344" s="8"/>
      <c r="M344" s="8"/>
      <c r="N344" s="8"/>
      <c r="O344" s="8"/>
      <c r="P344" s="8"/>
      <c r="Q344" s="8"/>
      <c r="R344" s="8"/>
      <c r="S344" s="357"/>
      <c r="T344" s="357"/>
      <c r="U344" s="357"/>
      <c r="V344" s="357"/>
      <c r="W344" s="8"/>
      <c r="X344" s="8"/>
      <c r="Y344" s="8"/>
      <c r="Z344" s="8"/>
      <c r="AA344" s="8"/>
      <c r="AB344" s="8"/>
    </row>
    <row r="345">
      <c r="A345" s="8"/>
      <c r="B345" s="8"/>
      <c r="C345" s="8"/>
      <c r="D345" s="8"/>
      <c r="E345" s="8"/>
      <c r="F345" s="356"/>
      <c r="G345" s="8"/>
      <c r="H345" s="8"/>
      <c r="I345" s="8"/>
      <c r="J345" s="8"/>
      <c r="K345" s="8"/>
      <c r="L345" s="8"/>
      <c r="M345" s="8"/>
      <c r="N345" s="8"/>
      <c r="O345" s="8"/>
      <c r="P345" s="8"/>
      <c r="Q345" s="8"/>
      <c r="R345" s="8"/>
      <c r="S345" s="357"/>
      <c r="T345" s="357"/>
      <c r="U345" s="357"/>
      <c r="V345" s="357"/>
      <c r="W345" s="8"/>
      <c r="X345" s="8"/>
      <c r="Y345" s="8"/>
      <c r="Z345" s="8"/>
      <c r="AA345" s="8"/>
      <c r="AB345" s="8"/>
    </row>
    <row r="346">
      <c r="A346" s="8"/>
      <c r="B346" s="8"/>
      <c r="C346" s="8"/>
      <c r="D346" s="8"/>
      <c r="E346" s="8"/>
      <c r="F346" s="356"/>
      <c r="G346" s="8"/>
      <c r="H346" s="8"/>
      <c r="I346" s="8"/>
      <c r="J346" s="8"/>
      <c r="K346" s="8"/>
      <c r="L346" s="8"/>
      <c r="M346" s="8"/>
      <c r="N346" s="8"/>
      <c r="O346" s="8"/>
      <c r="P346" s="8"/>
      <c r="Q346" s="8"/>
      <c r="R346" s="8"/>
      <c r="S346" s="357"/>
      <c r="T346" s="357"/>
      <c r="U346" s="357"/>
      <c r="V346" s="357"/>
      <c r="W346" s="8"/>
      <c r="X346" s="8"/>
      <c r="Y346" s="8"/>
      <c r="Z346" s="8"/>
      <c r="AA346" s="8"/>
      <c r="AB346" s="8"/>
    </row>
    <row r="347">
      <c r="A347" s="8"/>
      <c r="B347" s="8"/>
      <c r="C347" s="8"/>
      <c r="D347" s="8"/>
      <c r="E347" s="8"/>
      <c r="F347" s="356"/>
      <c r="G347" s="8"/>
      <c r="H347" s="8"/>
      <c r="I347" s="8"/>
      <c r="J347" s="8"/>
      <c r="K347" s="8"/>
      <c r="L347" s="8"/>
      <c r="M347" s="8"/>
      <c r="N347" s="8"/>
      <c r="O347" s="8"/>
      <c r="P347" s="8"/>
      <c r="Q347" s="8"/>
      <c r="R347" s="8"/>
      <c r="S347" s="357"/>
      <c r="T347" s="357"/>
      <c r="U347" s="357"/>
      <c r="V347" s="357"/>
      <c r="W347" s="8"/>
      <c r="X347" s="8"/>
      <c r="Y347" s="8"/>
      <c r="Z347" s="8"/>
      <c r="AA347" s="8"/>
      <c r="AB347" s="8"/>
    </row>
    <row r="348">
      <c r="A348" s="8"/>
      <c r="B348" s="8"/>
      <c r="C348" s="8"/>
      <c r="D348" s="8"/>
      <c r="E348" s="8"/>
      <c r="F348" s="356"/>
      <c r="G348" s="8"/>
      <c r="H348" s="8"/>
      <c r="I348" s="8"/>
      <c r="J348" s="8"/>
      <c r="K348" s="8"/>
      <c r="L348" s="8"/>
      <c r="M348" s="8"/>
      <c r="N348" s="8"/>
      <c r="O348" s="8"/>
      <c r="P348" s="8"/>
      <c r="Q348" s="8"/>
      <c r="R348" s="8"/>
      <c r="S348" s="357"/>
      <c r="T348" s="357"/>
      <c r="U348" s="357"/>
      <c r="V348" s="357"/>
      <c r="W348" s="8"/>
      <c r="X348" s="8"/>
      <c r="Y348" s="8"/>
      <c r="Z348" s="8"/>
      <c r="AA348" s="8"/>
      <c r="AB348" s="8"/>
    </row>
    <row r="349">
      <c r="A349" s="8"/>
      <c r="B349" s="8"/>
      <c r="C349" s="8"/>
      <c r="D349" s="8"/>
      <c r="E349" s="8"/>
      <c r="F349" s="356"/>
      <c r="G349" s="8"/>
      <c r="H349" s="8"/>
      <c r="I349" s="8"/>
      <c r="J349" s="8"/>
      <c r="K349" s="8"/>
      <c r="L349" s="8"/>
      <c r="M349" s="8"/>
      <c r="N349" s="8"/>
      <c r="O349" s="8"/>
      <c r="P349" s="8"/>
      <c r="Q349" s="8"/>
      <c r="R349" s="8"/>
      <c r="S349" s="357"/>
      <c r="T349" s="357"/>
      <c r="U349" s="357"/>
      <c r="V349" s="357"/>
      <c r="W349" s="8"/>
      <c r="X349" s="8"/>
      <c r="Y349" s="8"/>
      <c r="Z349" s="8"/>
      <c r="AA349" s="8"/>
      <c r="AB349" s="8"/>
    </row>
    <row r="350">
      <c r="A350" s="8"/>
      <c r="B350" s="8"/>
      <c r="C350" s="8"/>
      <c r="D350" s="8"/>
      <c r="E350" s="8"/>
      <c r="F350" s="356"/>
      <c r="G350" s="8"/>
      <c r="H350" s="8"/>
      <c r="I350" s="8"/>
      <c r="J350" s="8"/>
      <c r="K350" s="8"/>
      <c r="L350" s="8"/>
      <c r="M350" s="8"/>
      <c r="N350" s="8"/>
      <c r="O350" s="8"/>
      <c r="P350" s="8"/>
      <c r="Q350" s="8"/>
      <c r="R350" s="8"/>
      <c r="S350" s="357"/>
      <c r="T350" s="357"/>
      <c r="U350" s="357"/>
      <c r="V350" s="357"/>
      <c r="W350" s="8"/>
      <c r="X350" s="8"/>
      <c r="Y350" s="8"/>
      <c r="Z350" s="8"/>
      <c r="AA350" s="8"/>
      <c r="AB350" s="8"/>
    </row>
    <row r="351">
      <c r="A351" s="8"/>
      <c r="B351" s="8"/>
      <c r="C351" s="8"/>
      <c r="D351" s="8"/>
      <c r="E351" s="8"/>
      <c r="F351" s="356"/>
      <c r="G351" s="8"/>
      <c r="H351" s="8"/>
      <c r="I351" s="8"/>
      <c r="J351" s="8"/>
      <c r="K351" s="8"/>
      <c r="L351" s="8"/>
      <c r="M351" s="8"/>
      <c r="N351" s="8"/>
      <c r="O351" s="8"/>
      <c r="P351" s="8"/>
      <c r="Q351" s="8"/>
      <c r="R351" s="8"/>
      <c r="S351" s="357"/>
      <c r="T351" s="357"/>
      <c r="U351" s="357"/>
      <c r="V351" s="357"/>
      <c r="W351" s="8"/>
      <c r="X351" s="8"/>
      <c r="Y351" s="8"/>
      <c r="Z351" s="8"/>
      <c r="AA351" s="8"/>
      <c r="AB351" s="8"/>
    </row>
    <row r="352">
      <c r="A352" s="8"/>
      <c r="B352" s="8"/>
      <c r="C352" s="8"/>
      <c r="D352" s="8"/>
      <c r="E352" s="8"/>
      <c r="F352" s="356"/>
      <c r="G352" s="8"/>
      <c r="H352" s="8"/>
      <c r="I352" s="8"/>
      <c r="J352" s="8"/>
      <c r="K352" s="8"/>
      <c r="L352" s="8"/>
      <c r="M352" s="8"/>
      <c r="N352" s="8"/>
      <c r="O352" s="8"/>
      <c r="P352" s="8"/>
      <c r="Q352" s="8"/>
      <c r="R352" s="8"/>
      <c r="S352" s="357"/>
      <c r="T352" s="357"/>
      <c r="U352" s="357"/>
      <c r="V352" s="357"/>
      <c r="W352" s="8"/>
      <c r="X352" s="8"/>
      <c r="Y352" s="8"/>
      <c r="Z352" s="8"/>
      <c r="AA352" s="8"/>
      <c r="AB352" s="8"/>
    </row>
    <row r="353">
      <c r="A353" s="8"/>
      <c r="B353" s="8"/>
      <c r="C353" s="8"/>
      <c r="D353" s="8"/>
      <c r="E353" s="8"/>
      <c r="F353" s="356"/>
      <c r="G353" s="8"/>
      <c r="H353" s="8"/>
      <c r="I353" s="8"/>
      <c r="J353" s="8"/>
      <c r="K353" s="8"/>
      <c r="L353" s="8"/>
      <c r="M353" s="8"/>
      <c r="N353" s="8"/>
      <c r="O353" s="8"/>
      <c r="P353" s="8"/>
      <c r="Q353" s="8"/>
      <c r="R353" s="8"/>
      <c r="S353" s="357"/>
      <c r="T353" s="357"/>
      <c r="U353" s="357"/>
      <c r="V353" s="357"/>
      <c r="W353" s="8"/>
      <c r="X353" s="8"/>
      <c r="Y353" s="8"/>
      <c r="Z353" s="8"/>
      <c r="AA353" s="8"/>
      <c r="AB353" s="8"/>
    </row>
    <row r="354">
      <c r="A354" s="8"/>
      <c r="B354" s="8"/>
      <c r="C354" s="8"/>
      <c r="D354" s="8"/>
      <c r="E354" s="8"/>
      <c r="F354" s="356"/>
      <c r="G354" s="8"/>
      <c r="H354" s="8"/>
      <c r="I354" s="8"/>
      <c r="J354" s="8"/>
      <c r="K354" s="8"/>
      <c r="L354" s="8"/>
      <c r="M354" s="8"/>
      <c r="N354" s="8"/>
      <c r="O354" s="8"/>
      <c r="P354" s="8"/>
      <c r="Q354" s="8"/>
      <c r="R354" s="8"/>
      <c r="S354" s="357"/>
      <c r="T354" s="357"/>
      <c r="U354" s="357"/>
      <c r="V354" s="357"/>
      <c r="W354" s="8"/>
      <c r="X354" s="8"/>
      <c r="Y354" s="8"/>
      <c r="Z354" s="8"/>
      <c r="AA354" s="8"/>
      <c r="AB354" s="8"/>
    </row>
    <row r="355">
      <c r="A355" s="8"/>
      <c r="B355" s="8"/>
      <c r="C355" s="8"/>
      <c r="D355" s="8"/>
      <c r="E355" s="8"/>
      <c r="F355" s="356"/>
      <c r="G355" s="8"/>
      <c r="H355" s="8"/>
      <c r="I355" s="8"/>
      <c r="J355" s="8"/>
      <c r="K355" s="8"/>
      <c r="L355" s="8"/>
      <c r="M355" s="8"/>
      <c r="N355" s="8"/>
      <c r="O355" s="8"/>
      <c r="P355" s="8"/>
      <c r="Q355" s="8"/>
      <c r="R355" s="8"/>
      <c r="S355" s="357"/>
      <c r="T355" s="357"/>
      <c r="U355" s="357"/>
      <c r="V355" s="357"/>
      <c r="W355" s="8"/>
      <c r="X355" s="8"/>
      <c r="Y355" s="8"/>
      <c r="Z355" s="8"/>
      <c r="AA355" s="8"/>
      <c r="AB355" s="8"/>
    </row>
    <row r="356">
      <c r="A356" s="8"/>
      <c r="B356" s="8"/>
      <c r="C356" s="8"/>
      <c r="D356" s="8"/>
      <c r="E356" s="8"/>
      <c r="F356" s="356"/>
      <c r="G356" s="8"/>
      <c r="H356" s="8"/>
      <c r="I356" s="8"/>
      <c r="J356" s="8"/>
      <c r="K356" s="8"/>
      <c r="L356" s="8"/>
      <c r="M356" s="8"/>
      <c r="N356" s="8"/>
      <c r="O356" s="8"/>
      <c r="P356" s="8"/>
      <c r="Q356" s="8"/>
      <c r="R356" s="8"/>
      <c r="S356" s="357"/>
      <c r="T356" s="357"/>
      <c r="U356" s="357"/>
      <c r="V356" s="357"/>
      <c r="W356" s="8"/>
      <c r="X356" s="8"/>
      <c r="Y356" s="8"/>
      <c r="Z356" s="8"/>
      <c r="AA356" s="8"/>
      <c r="AB356" s="8"/>
    </row>
    <row r="357">
      <c r="A357" s="8"/>
      <c r="B357" s="8"/>
      <c r="C357" s="8"/>
      <c r="D357" s="8"/>
      <c r="E357" s="8"/>
      <c r="F357" s="356"/>
      <c r="G357" s="8"/>
      <c r="H357" s="8"/>
      <c r="I357" s="8"/>
      <c r="J357" s="8"/>
      <c r="K357" s="8"/>
      <c r="L357" s="8"/>
      <c r="M357" s="8"/>
      <c r="N357" s="8"/>
      <c r="O357" s="8"/>
      <c r="P357" s="8"/>
      <c r="Q357" s="8"/>
      <c r="R357" s="8"/>
      <c r="S357" s="357"/>
      <c r="T357" s="357"/>
      <c r="U357" s="357"/>
      <c r="V357" s="357"/>
      <c r="W357" s="8"/>
      <c r="X357" s="8"/>
      <c r="Y357" s="8"/>
      <c r="Z357" s="8"/>
      <c r="AA357" s="8"/>
      <c r="AB357" s="8"/>
    </row>
    <row r="358">
      <c r="A358" s="8"/>
      <c r="B358" s="8"/>
      <c r="C358" s="8"/>
      <c r="D358" s="8"/>
      <c r="E358" s="8"/>
      <c r="F358" s="356"/>
      <c r="G358" s="8"/>
      <c r="H358" s="8"/>
      <c r="I358" s="8"/>
      <c r="J358" s="8"/>
      <c r="K358" s="8"/>
      <c r="L358" s="8"/>
      <c r="M358" s="8"/>
      <c r="N358" s="8"/>
      <c r="O358" s="8"/>
      <c r="P358" s="8"/>
      <c r="Q358" s="8"/>
      <c r="R358" s="8"/>
      <c r="S358" s="357"/>
      <c r="T358" s="357"/>
      <c r="U358" s="357"/>
      <c r="V358" s="357"/>
      <c r="W358" s="8"/>
      <c r="X358" s="8"/>
      <c r="Y358" s="8"/>
      <c r="Z358" s="8"/>
      <c r="AA358" s="8"/>
      <c r="AB358" s="8"/>
    </row>
    <row r="359">
      <c r="A359" s="8"/>
      <c r="B359" s="8"/>
      <c r="C359" s="8"/>
      <c r="D359" s="8"/>
      <c r="E359" s="8"/>
      <c r="F359" s="356"/>
      <c r="G359" s="8"/>
      <c r="H359" s="8"/>
      <c r="I359" s="8"/>
      <c r="J359" s="8"/>
      <c r="K359" s="8"/>
      <c r="L359" s="8"/>
      <c r="M359" s="8"/>
      <c r="N359" s="8"/>
      <c r="O359" s="8"/>
      <c r="P359" s="8"/>
      <c r="Q359" s="8"/>
      <c r="R359" s="8"/>
      <c r="S359" s="357"/>
      <c r="T359" s="357"/>
      <c r="U359" s="357"/>
      <c r="V359" s="357"/>
      <c r="W359" s="8"/>
      <c r="X359" s="8"/>
      <c r="Y359" s="8"/>
      <c r="Z359" s="8"/>
      <c r="AA359" s="8"/>
      <c r="AB359" s="8"/>
    </row>
    <row r="360">
      <c r="A360" s="8"/>
      <c r="B360" s="8"/>
      <c r="C360" s="8"/>
      <c r="D360" s="8"/>
      <c r="E360" s="8"/>
      <c r="F360" s="356"/>
      <c r="G360" s="8"/>
      <c r="H360" s="8"/>
      <c r="I360" s="8"/>
      <c r="J360" s="8"/>
      <c r="K360" s="8"/>
      <c r="L360" s="8"/>
      <c r="M360" s="8"/>
      <c r="N360" s="8"/>
      <c r="O360" s="8"/>
      <c r="P360" s="8"/>
      <c r="Q360" s="8"/>
      <c r="R360" s="8"/>
      <c r="S360" s="357"/>
      <c r="T360" s="357"/>
      <c r="U360" s="357"/>
      <c r="V360" s="357"/>
      <c r="W360" s="8"/>
      <c r="X360" s="8"/>
      <c r="Y360" s="8"/>
      <c r="Z360" s="8"/>
      <c r="AA360" s="8"/>
      <c r="AB360" s="8"/>
    </row>
    <row r="361">
      <c r="A361" s="8"/>
      <c r="B361" s="8"/>
      <c r="C361" s="8"/>
      <c r="D361" s="8"/>
      <c r="E361" s="8"/>
      <c r="F361" s="356"/>
      <c r="G361" s="8"/>
      <c r="H361" s="8"/>
      <c r="I361" s="8"/>
      <c r="J361" s="8"/>
      <c r="K361" s="8"/>
      <c r="L361" s="8"/>
      <c r="M361" s="8"/>
      <c r="N361" s="8"/>
      <c r="O361" s="8"/>
      <c r="P361" s="8"/>
      <c r="Q361" s="8"/>
      <c r="R361" s="8"/>
      <c r="S361" s="357"/>
      <c r="T361" s="357"/>
      <c r="U361" s="357"/>
      <c r="V361" s="357"/>
      <c r="W361" s="8"/>
      <c r="X361" s="8"/>
      <c r="Y361" s="8"/>
      <c r="Z361" s="8"/>
      <c r="AA361" s="8"/>
      <c r="AB361" s="8"/>
    </row>
    <row r="362">
      <c r="A362" s="8"/>
      <c r="B362" s="8"/>
      <c r="C362" s="8"/>
      <c r="D362" s="8"/>
      <c r="E362" s="8"/>
      <c r="F362" s="356"/>
      <c r="G362" s="8"/>
      <c r="H362" s="8"/>
      <c r="I362" s="8"/>
      <c r="J362" s="8"/>
      <c r="K362" s="8"/>
      <c r="L362" s="8"/>
      <c r="M362" s="8"/>
      <c r="N362" s="8"/>
      <c r="O362" s="8"/>
      <c r="P362" s="8"/>
      <c r="Q362" s="8"/>
      <c r="R362" s="8"/>
      <c r="S362" s="357"/>
      <c r="T362" s="357"/>
      <c r="U362" s="357"/>
      <c r="V362" s="357"/>
      <c r="W362" s="8"/>
      <c r="X362" s="8"/>
      <c r="Y362" s="8"/>
      <c r="Z362" s="8"/>
      <c r="AA362" s="8"/>
      <c r="AB362" s="8"/>
    </row>
    <row r="363">
      <c r="A363" s="8"/>
      <c r="B363" s="8"/>
      <c r="C363" s="8"/>
      <c r="D363" s="8"/>
      <c r="E363" s="8"/>
      <c r="F363" s="356"/>
      <c r="G363" s="8"/>
      <c r="H363" s="8"/>
      <c r="I363" s="8"/>
      <c r="J363" s="8"/>
      <c r="K363" s="8"/>
      <c r="L363" s="8"/>
      <c r="M363" s="8"/>
      <c r="N363" s="8"/>
      <c r="O363" s="8"/>
      <c r="P363" s="8"/>
      <c r="Q363" s="8"/>
      <c r="R363" s="8"/>
      <c r="S363" s="357"/>
      <c r="T363" s="357"/>
      <c r="U363" s="357"/>
      <c r="V363" s="357"/>
      <c r="W363" s="8"/>
      <c r="X363" s="8"/>
      <c r="Y363" s="8"/>
      <c r="Z363" s="8"/>
      <c r="AA363" s="8"/>
      <c r="AB363" s="8"/>
    </row>
    <row r="364">
      <c r="A364" s="8"/>
      <c r="B364" s="8"/>
      <c r="C364" s="8"/>
      <c r="D364" s="8"/>
      <c r="E364" s="8"/>
      <c r="F364" s="356"/>
      <c r="G364" s="8"/>
      <c r="H364" s="8"/>
      <c r="I364" s="8"/>
      <c r="J364" s="8"/>
      <c r="K364" s="8"/>
      <c r="L364" s="8"/>
      <c r="M364" s="8"/>
      <c r="N364" s="8"/>
      <c r="O364" s="8"/>
      <c r="P364" s="8"/>
      <c r="Q364" s="8"/>
      <c r="R364" s="8"/>
      <c r="S364" s="357"/>
      <c r="T364" s="357"/>
      <c r="U364" s="357"/>
      <c r="V364" s="357"/>
      <c r="W364" s="8"/>
      <c r="X364" s="8"/>
      <c r="Y364" s="8"/>
      <c r="Z364" s="8"/>
      <c r="AA364" s="8"/>
      <c r="AB364" s="8"/>
    </row>
    <row r="365">
      <c r="A365" s="8"/>
      <c r="B365" s="8"/>
      <c r="C365" s="8"/>
      <c r="D365" s="8"/>
      <c r="E365" s="8"/>
      <c r="F365" s="356"/>
      <c r="G365" s="8"/>
      <c r="H365" s="8"/>
      <c r="I365" s="8"/>
      <c r="J365" s="8"/>
      <c r="K365" s="8"/>
      <c r="L365" s="8"/>
      <c r="M365" s="8"/>
      <c r="N365" s="8"/>
      <c r="O365" s="8"/>
      <c r="P365" s="8"/>
      <c r="Q365" s="8"/>
      <c r="R365" s="8"/>
      <c r="S365" s="357"/>
      <c r="T365" s="357"/>
      <c r="U365" s="357"/>
      <c r="V365" s="357"/>
      <c r="W365" s="8"/>
      <c r="X365" s="8"/>
      <c r="Y365" s="8"/>
      <c r="Z365" s="8"/>
      <c r="AA365" s="8"/>
      <c r="AB365" s="8"/>
    </row>
    <row r="366">
      <c r="A366" s="8"/>
      <c r="B366" s="8"/>
      <c r="C366" s="8"/>
      <c r="D366" s="8"/>
      <c r="E366" s="8"/>
      <c r="F366" s="356"/>
      <c r="G366" s="8"/>
      <c r="H366" s="8"/>
      <c r="I366" s="8"/>
      <c r="J366" s="8"/>
      <c r="K366" s="8"/>
      <c r="L366" s="8"/>
      <c r="M366" s="8"/>
      <c r="N366" s="8"/>
      <c r="O366" s="8"/>
      <c r="P366" s="8"/>
      <c r="Q366" s="8"/>
      <c r="R366" s="8"/>
      <c r="S366" s="357"/>
      <c r="T366" s="357"/>
      <c r="U366" s="357"/>
      <c r="V366" s="357"/>
      <c r="W366" s="8"/>
      <c r="X366" s="8"/>
      <c r="Y366" s="8"/>
      <c r="Z366" s="8"/>
      <c r="AA366" s="8"/>
      <c r="AB366" s="8"/>
    </row>
    <row r="367">
      <c r="A367" s="8"/>
      <c r="B367" s="8"/>
      <c r="C367" s="8"/>
      <c r="D367" s="8"/>
      <c r="E367" s="8"/>
      <c r="F367" s="356"/>
      <c r="G367" s="8"/>
      <c r="H367" s="8"/>
      <c r="I367" s="8"/>
      <c r="J367" s="8"/>
      <c r="K367" s="8"/>
      <c r="L367" s="8"/>
      <c r="M367" s="8"/>
      <c r="N367" s="8"/>
      <c r="O367" s="8"/>
      <c r="P367" s="8"/>
      <c r="Q367" s="8"/>
      <c r="R367" s="8"/>
      <c r="S367" s="357"/>
      <c r="T367" s="357"/>
      <c r="U367" s="357"/>
      <c r="V367" s="357"/>
      <c r="W367" s="8"/>
      <c r="X367" s="8"/>
      <c r="Y367" s="8"/>
      <c r="Z367" s="8"/>
      <c r="AA367" s="8"/>
      <c r="AB367" s="8"/>
    </row>
    <row r="368">
      <c r="A368" s="8"/>
      <c r="B368" s="8"/>
      <c r="C368" s="8"/>
      <c r="D368" s="8"/>
      <c r="E368" s="8"/>
      <c r="F368" s="356"/>
      <c r="G368" s="8"/>
      <c r="H368" s="8"/>
      <c r="I368" s="8"/>
      <c r="J368" s="8"/>
      <c r="K368" s="8"/>
      <c r="L368" s="8"/>
      <c r="M368" s="8"/>
      <c r="N368" s="8"/>
      <c r="O368" s="8"/>
      <c r="P368" s="8"/>
      <c r="Q368" s="8"/>
      <c r="R368" s="8"/>
      <c r="S368" s="357"/>
      <c r="T368" s="357"/>
      <c r="U368" s="357"/>
      <c r="V368" s="357"/>
      <c r="W368" s="8"/>
      <c r="X368" s="8"/>
      <c r="Y368" s="8"/>
      <c r="Z368" s="8"/>
      <c r="AA368" s="8"/>
      <c r="AB368" s="8"/>
    </row>
    <row r="369">
      <c r="A369" s="8"/>
      <c r="B369" s="8"/>
      <c r="C369" s="8"/>
      <c r="D369" s="8"/>
      <c r="E369" s="8"/>
      <c r="F369" s="356"/>
      <c r="G369" s="8"/>
      <c r="H369" s="8"/>
      <c r="I369" s="8"/>
      <c r="J369" s="8"/>
      <c r="K369" s="8"/>
      <c r="L369" s="8"/>
      <c r="M369" s="8"/>
      <c r="N369" s="8"/>
      <c r="O369" s="8"/>
      <c r="P369" s="8"/>
      <c r="Q369" s="8"/>
      <c r="R369" s="8"/>
      <c r="S369" s="357"/>
      <c r="T369" s="357"/>
      <c r="U369" s="357"/>
      <c r="V369" s="357"/>
      <c r="W369" s="8"/>
      <c r="X369" s="8"/>
      <c r="Y369" s="8"/>
      <c r="Z369" s="8"/>
      <c r="AA369" s="8"/>
      <c r="AB369" s="8"/>
    </row>
    <row r="370">
      <c r="A370" s="8"/>
      <c r="B370" s="8"/>
      <c r="C370" s="8"/>
      <c r="D370" s="8"/>
      <c r="E370" s="8"/>
      <c r="F370" s="356"/>
      <c r="G370" s="8"/>
      <c r="H370" s="8"/>
      <c r="I370" s="8"/>
      <c r="J370" s="8"/>
      <c r="K370" s="8"/>
      <c r="L370" s="8"/>
      <c r="M370" s="8"/>
      <c r="N370" s="8"/>
      <c r="O370" s="8"/>
      <c r="P370" s="8"/>
      <c r="Q370" s="8"/>
      <c r="R370" s="8"/>
      <c r="S370" s="357"/>
      <c r="T370" s="357"/>
      <c r="U370" s="357"/>
      <c r="V370" s="357"/>
      <c r="W370" s="8"/>
      <c r="X370" s="8"/>
      <c r="Y370" s="8"/>
      <c r="Z370" s="8"/>
      <c r="AA370" s="8"/>
      <c r="AB370" s="8"/>
    </row>
    <row r="371">
      <c r="A371" s="8"/>
      <c r="B371" s="8"/>
      <c r="C371" s="8"/>
      <c r="D371" s="8"/>
      <c r="E371" s="8"/>
      <c r="F371" s="356"/>
      <c r="G371" s="8"/>
      <c r="H371" s="8"/>
      <c r="I371" s="8"/>
      <c r="J371" s="8"/>
      <c r="K371" s="8"/>
      <c r="L371" s="8"/>
      <c r="M371" s="8"/>
      <c r="N371" s="8"/>
      <c r="O371" s="8"/>
      <c r="P371" s="8"/>
      <c r="Q371" s="8"/>
      <c r="R371" s="8"/>
      <c r="S371" s="357"/>
      <c r="T371" s="357"/>
      <c r="U371" s="357"/>
      <c r="V371" s="357"/>
      <c r="W371" s="8"/>
      <c r="X371" s="8"/>
      <c r="Y371" s="8"/>
      <c r="Z371" s="8"/>
      <c r="AA371" s="8"/>
      <c r="AB371" s="8"/>
    </row>
    <row r="372">
      <c r="A372" s="8"/>
      <c r="B372" s="8"/>
      <c r="C372" s="8"/>
      <c r="D372" s="8"/>
      <c r="E372" s="8"/>
      <c r="F372" s="356"/>
      <c r="G372" s="8"/>
      <c r="H372" s="8"/>
      <c r="I372" s="8"/>
      <c r="J372" s="8"/>
      <c r="K372" s="8"/>
      <c r="L372" s="8"/>
      <c r="M372" s="8"/>
      <c r="N372" s="8"/>
      <c r="O372" s="8"/>
      <c r="P372" s="8"/>
      <c r="Q372" s="8"/>
      <c r="R372" s="8"/>
      <c r="S372" s="357"/>
      <c r="T372" s="357"/>
      <c r="U372" s="357"/>
      <c r="V372" s="357"/>
      <c r="W372" s="8"/>
      <c r="X372" s="8"/>
      <c r="Y372" s="8"/>
      <c r="Z372" s="8"/>
      <c r="AA372" s="8"/>
      <c r="AB372" s="8"/>
    </row>
    <row r="373">
      <c r="A373" s="8"/>
      <c r="B373" s="8"/>
      <c r="C373" s="8"/>
      <c r="D373" s="8"/>
      <c r="E373" s="8"/>
      <c r="F373" s="356"/>
      <c r="G373" s="8"/>
      <c r="H373" s="8"/>
      <c r="I373" s="8"/>
      <c r="J373" s="8"/>
      <c r="K373" s="8"/>
      <c r="L373" s="8"/>
      <c r="M373" s="8"/>
      <c r="N373" s="8"/>
      <c r="O373" s="8"/>
      <c r="P373" s="8"/>
      <c r="Q373" s="8"/>
      <c r="R373" s="8"/>
      <c r="S373" s="357"/>
      <c r="T373" s="357"/>
      <c r="U373" s="357"/>
      <c r="V373" s="357"/>
      <c r="W373" s="8"/>
      <c r="X373" s="8"/>
      <c r="Y373" s="8"/>
      <c r="Z373" s="8"/>
      <c r="AA373" s="8"/>
      <c r="AB373" s="8"/>
    </row>
    <row r="374">
      <c r="A374" s="8"/>
      <c r="B374" s="8"/>
      <c r="C374" s="8"/>
      <c r="D374" s="8"/>
      <c r="E374" s="8"/>
      <c r="F374" s="356"/>
      <c r="G374" s="8"/>
      <c r="H374" s="8"/>
      <c r="I374" s="8"/>
      <c r="J374" s="8"/>
      <c r="K374" s="8"/>
      <c r="L374" s="8"/>
      <c r="M374" s="8"/>
      <c r="N374" s="8"/>
      <c r="O374" s="8"/>
      <c r="P374" s="8"/>
      <c r="Q374" s="8"/>
      <c r="R374" s="8"/>
      <c r="S374" s="357"/>
      <c r="T374" s="357"/>
      <c r="U374" s="357"/>
      <c r="V374" s="357"/>
      <c r="W374" s="8"/>
      <c r="X374" s="8"/>
      <c r="Y374" s="8"/>
      <c r="Z374" s="8"/>
      <c r="AA374" s="8"/>
      <c r="AB374" s="8"/>
    </row>
    <row r="375">
      <c r="A375" s="8"/>
      <c r="B375" s="8"/>
      <c r="C375" s="8"/>
      <c r="D375" s="8"/>
      <c r="E375" s="8"/>
      <c r="F375" s="356"/>
      <c r="G375" s="8"/>
      <c r="H375" s="8"/>
      <c r="I375" s="8"/>
      <c r="J375" s="8"/>
      <c r="K375" s="8"/>
      <c r="L375" s="8"/>
      <c r="M375" s="8"/>
      <c r="N375" s="8"/>
      <c r="O375" s="8"/>
      <c r="P375" s="8"/>
      <c r="Q375" s="8"/>
      <c r="R375" s="8"/>
      <c r="S375" s="357"/>
      <c r="T375" s="357"/>
      <c r="U375" s="357"/>
      <c r="V375" s="357"/>
      <c r="W375" s="8"/>
      <c r="X375" s="8"/>
      <c r="Y375" s="8"/>
      <c r="Z375" s="8"/>
      <c r="AA375" s="8"/>
      <c r="AB375" s="8"/>
    </row>
    <row r="376">
      <c r="A376" s="8"/>
      <c r="B376" s="8"/>
      <c r="C376" s="8"/>
      <c r="D376" s="8"/>
      <c r="E376" s="8"/>
      <c r="F376" s="356"/>
      <c r="G376" s="8"/>
      <c r="H376" s="8"/>
      <c r="I376" s="8"/>
      <c r="J376" s="8"/>
      <c r="K376" s="8"/>
      <c r="L376" s="8"/>
      <c r="M376" s="8"/>
      <c r="N376" s="8"/>
      <c r="O376" s="8"/>
      <c r="P376" s="8"/>
      <c r="Q376" s="8"/>
      <c r="R376" s="8"/>
      <c r="S376" s="357"/>
      <c r="T376" s="357"/>
      <c r="U376" s="357"/>
      <c r="V376" s="357"/>
      <c r="W376" s="8"/>
      <c r="X376" s="8"/>
      <c r="Y376" s="8"/>
      <c r="Z376" s="8"/>
      <c r="AA376" s="8"/>
      <c r="AB376" s="8"/>
    </row>
    <row r="377">
      <c r="A377" s="8"/>
      <c r="B377" s="8"/>
      <c r="C377" s="8"/>
      <c r="D377" s="8"/>
      <c r="E377" s="8"/>
      <c r="F377" s="356"/>
      <c r="G377" s="8"/>
      <c r="H377" s="8"/>
      <c r="I377" s="8"/>
      <c r="J377" s="8"/>
      <c r="K377" s="8"/>
      <c r="L377" s="8"/>
      <c r="M377" s="8"/>
      <c r="N377" s="8"/>
      <c r="O377" s="8"/>
      <c r="P377" s="8"/>
      <c r="Q377" s="8"/>
      <c r="R377" s="8"/>
      <c r="S377" s="357"/>
      <c r="T377" s="357"/>
      <c r="U377" s="357"/>
      <c r="V377" s="357"/>
      <c r="W377" s="8"/>
      <c r="X377" s="8"/>
      <c r="Y377" s="8"/>
      <c r="Z377" s="8"/>
      <c r="AA377" s="8"/>
      <c r="AB377" s="8"/>
    </row>
    <row r="378">
      <c r="A378" s="8"/>
      <c r="B378" s="8"/>
      <c r="C378" s="8"/>
      <c r="D378" s="8"/>
      <c r="E378" s="8"/>
      <c r="F378" s="356"/>
      <c r="G378" s="8"/>
      <c r="H378" s="8"/>
      <c r="I378" s="8"/>
      <c r="J378" s="8"/>
      <c r="K378" s="8"/>
      <c r="L378" s="8"/>
      <c r="M378" s="8"/>
      <c r="N378" s="8"/>
      <c r="O378" s="8"/>
      <c r="P378" s="8"/>
      <c r="Q378" s="8"/>
      <c r="R378" s="8"/>
      <c r="S378" s="357"/>
      <c r="T378" s="357"/>
      <c r="U378" s="357"/>
      <c r="V378" s="357"/>
      <c r="W378" s="8"/>
      <c r="X378" s="8"/>
      <c r="Y378" s="8"/>
      <c r="Z378" s="8"/>
      <c r="AA378" s="8"/>
      <c r="AB378" s="8"/>
    </row>
    <row r="379">
      <c r="A379" s="8"/>
      <c r="B379" s="8"/>
      <c r="C379" s="8"/>
      <c r="D379" s="8"/>
      <c r="E379" s="8"/>
      <c r="F379" s="356"/>
      <c r="G379" s="8"/>
      <c r="H379" s="8"/>
      <c r="I379" s="8"/>
      <c r="J379" s="8"/>
      <c r="K379" s="8"/>
      <c r="L379" s="8"/>
      <c r="M379" s="8"/>
      <c r="N379" s="8"/>
      <c r="O379" s="8"/>
      <c r="P379" s="8"/>
      <c r="Q379" s="8"/>
      <c r="R379" s="8"/>
      <c r="S379" s="357"/>
      <c r="T379" s="357"/>
      <c r="U379" s="357"/>
      <c r="V379" s="357"/>
      <c r="W379" s="8"/>
      <c r="X379" s="8"/>
      <c r="Y379" s="8"/>
      <c r="Z379" s="8"/>
      <c r="AA379" s="8"/>
      <c r="AB379" s="8"/>
    </row>
    <row r="380">
      <c r="A380" s="8"/>
      <c r="B380" s="8"/>
      <c r="C380" s="8"/>
      <c r="D380" s="8"/>
      <c r="E380" s="8"/>
      <c r="F380" s="356"/>
      <c r="G380" s="8"/>
      <c r="H380" s="8"/>
      <c r="I380" s="8"/>
      <c r="J380" s="8"/>
      <c r="K380" s="8"/>
      <c r="L380" s="8"/>
      <c r="M380" s="8"/>
      <c r="N380" s="8"/>
      <c r="O380" s="8"/>
      <c r="P380" s="8"/>
      <c r="Q380" s="8"/>
      <c r="R380" s="8"/>
      <c r="S380" s="357"/>
      <c r="T380" s="357"/>
      <c r="U380" s="357"/>
      <c r="V380" s="357"/>
      <c r="W380" s="8"/>
      <c r="X380" s="8"/>
      <c r="Y380" s="8"/>
      <c r="Z380" s="8"/>
      <c r="AA380" s="8"/>
      <c r="AB380" s="8"/>
    </row>
    <row r="381">
      <c r="A381" s="8"/>
      <c r="B381" s="8"/>
      <c r="C381" s="8"/>
      <c r="D381" s="8"/>
      <c r="E381" s="8"/>
      <c r="F381" s="356"/>
      <c r="G381" s="8"/>
      <c r="H381" s="8"/>
      <c r="I381" s="8"/>
      <c r="J381" s="8"/>
      <c r="K381" s="8"/>
      <c r="L381" s="8"/>
      <c r="M381" s="8"/>
      <c r="N381" s="8"/>
      <c r="O381" s="8"/>
      <c r="P381" s="8"/>
      <c r="Q381" s="8"/>
      <c r="R381" s="8"/>
      <c r="S381" s="357"/>
      <c r="T381" s="357"/>
      <c r="U381" s="357"/>
      <c r="V381" s="357"/>
      <c r="W381" s="8"/>
      <c r="X381" s="8"/>
      <c r="Y381" s="8"/>
      <c r="Z381" s="8"/>
      <c r="AA381" s="8"/>
      <c r="AB381" s="8"/>
    </row>
    <row r="382">
      <c r="A382" s="8"/>
      <c r="B382" s="8"/>
      <c r="C382" s="8"/>
      <c r="D382" s="8"/>
      <c r="E382" s="8"/>
      <c r="F382" s="356"/>
      <c r="G382" s="8"/>
      <c r="H382" s="8"/>
      <c r="I382" s="8"/>
      <c r="J382" s="8"/>
      <c r="K382" s="8"/>
      <c r="L382" s="8"/>
      <c r="M382" s="8"/>
      <c r="N382" s="8"/>
      <c r="O382" s="8"/>
      <c r="P382" s="8"/>
      <c r="Q382" s="8"/>
      <c r="R382" s="8"/>
      <c r="S382" s="357"/>
      <c r="T382" s="357"/>
      <c r="U382" s="357"/>
      <c r="V382" s="357"/>
      <c r="W382" s="8"/>
      <c r="X382" s="8"/>
      <c r="Y382" s="8"/>
      <c r="Z382" s="8"/>
      <c r="AA382" s="8"/>
      <c r="AB382" s="8"/>
    </row>
    <row r="383">
      <c r="A383" s="8"/>
      <c r="B383" s="8"/>
      <c r="C383" s="8"/>
      <c r="D383" s="8"/>
      <c r="E383" s="8"/>
      <c r="F383" s="356"/>
      <c r="G383" s="8"/>
      <c r="H383" s="8"/>
      <c r="I383" s="8"/>
      <c r="J383" s="8"/>
      <c r="K383" s="8"/>
      <c r="L383" s="8"/>
      <c r="M383" s="8"/>
      <c r="N383" s="8"/>
      <c r="O383" s="8"/>
      <c r="P383" s="8"/>
      <c r="Q383" s="8"/>
      <c r="R383" s="8"/>
      <c r="S383" s="357"/>
      <c r="T383" s="357"/>
      <c r="U383" s="357"/>
      <c r="V383" s="357"/>
      <c r="W383" s="8"/>
      <c r="X383" s="8"/>
      <c r="Y383" s="8"/>
      <c r="Z383" s="8"/>
      <c r="AA383" s="8"/>
      <c r="AB383" s="8"/>
    </row>
    <row r="384">
      <c r="A384" s="8"/>
      <c r="B384" s="8"/>
      <c r="C384" s="8"/>
      <c r="D384" s="8"/>
      <c r="E384" s="8"/>
      <c r="F384" s="356"/>
      <c r="G384" s="8"/>
      <c r="H384" s="8"/>
      <c r="I384" s="8"/>
      <c r="J384" s="8"/>
      <c r="K384" s="8"/>
      <c r="L384" s="8"/>
      <c r="M384" s="8"/>
      <c r="N384" s="8"/>
      <c r="O384" s="8"/>
      <c r="P384" s="8"/>
      <c r="Q384" s="8"/>
      <c r="R384" s="8"/>
      <c r="S384" s="357"/>
      <c r="T384" s="357"/>
      <c r="U384" s="357"/>
      <c r="V384" s="357"/>
      <c r="W384" s="8"/>
      <c r="X384" s="8"/>
      <c r="Y384" s="8"/>
      <c r="Z384" s="8"/>
      <c r="AA384" s="8"/>
      <c r="AB384" s="8"/>
    </row>
    <row r="385">
      <c r="A385" s="8"/>
      <c r="B385" s="8"/>
      <c r="C385" s="8"/>
      <c r="D385" s="8"/>
      <c r="E385" s="8"/>
      <c r="F385" s="356"/>
      <c r="G385" s="8"/>
      <c r="H385" s="8"/>
      <c r="I385" s="8"/>
      <c r="J385" s="8"/>
      <c r="K385" s="8"/>
      <c r="L385" s="8"/>
      <c r="M385" s="8"/>
      <c r="N385" s="8"/>
      <c r="O385" s="8"/>
      <c r="P385" s="8"/>
      <c r="Q385" s="8"/>
      <c r="R385" s="8"/>
      <c r="S385" s="357"/>
      <c r="T385" s="357"/>
      <c r="U385" s="357"/>
      <c r="V385" s="357"/>
      <c r="W385" s="8"/>
      <c r="X385" s="8"/>
      <c r="Y385" s="8"/>
      <c r="Z385" s="8"/>
      <c r="AA385" s="8"/>
      <c r="AB385" s="8"/>
    </row>
    <row r="386">
      <c r="A386" s="8"/>
      <c r="B386" s="8"/>
      <c r="C386" s="8"/>
      <c r="D386" s="8"/>
      <c r="E386" s="8"/>
      <c r="F386" s="356"/>
      <c r="G386" s="8"/>
      <c r="H386" s="8"/>
      <c r="I386" s="8"/>
      <c r="J386" s="8"/>
      <c r="K386" s="8"/>
      <c r="L386" s="8"/>
      <c r="M386" s="8"/>
      <c r="N386" s="8"/>
      <c r="O386" s="8"/>
      <c r="P386" s="8"/>
      <c r="Q386" s="8"/>
      <c r="R386" s="8"/>
      <c r="S386" s="357"/>
      <c r="T386" s="357"/>
      <c r="U386" s="357"/>
      <c r="V386" s="357"/>
      <c r="W386" s="8"/>
      <c r="X386" s="8"/>
      <c r="Y386" s="8"/>
      <c r="Z386" s="8"/>
      <c r="AA386" s="8"/>
      <c r="AB386" s="8"/>
    </row>
    <row r="387">
      <c r="A387" s="8"/>
      <c r="B387" s="8"/>
      <c r="C387" s="8"/>
      <c r="D387" s="8"/>
      <c r="E387" s="8"/>
      <c r="F387" s="356"/>
      <c r="G387" s="8"/>
      <c r="H387" s="8"/>
      <c r="I387" s="8"/>
      <c r="J387" s="8"/>
      <c r="K387" s="8"/>
      <c r="L387" s="8"/>
      <c r="M387" s="8"/>
      <c r="N387" s="8"/>
      <c r="O387" s="8"/>
      <c r="P387" s="8"/>
      <c r="Q387" s="8"/>
      <c r="R387" s="8"/>
      <c r="S387" s="357"/>
      <c r="T387" s="357"/>
      <c r="U387" s="357"/>
      <c r="V387" s="357"/>
      <c r="W387" s="8"/>
      <c r="X387" s="8"/>
      <c r="Y387" s="8"/>
      <c r="Z387" s="8"/>
      <c r="AA387" s="8"/>
      <c r="AB387" s="8"/>
    </row>
    <row r="388">
      <c r="A388" s="8"/>
      <c r="B388" s="8"/>
      <c r="C388" s="8"/>
      <c r="D388" s="8"/>
      <c r="E388" s="8"/>
      <c r="F388" s="356"/>
      <c r="G388" s="8"/>
      <c r="H388" s="8"/>
      <c r="I388" s="8"/>
      <c r="J388" s="8"/>
      <c r="K388" s="8"/>
      <c r="L388" s="8"/>
      <c r="M388" s="8"/>
      <c r="N388" s="8"/>
      <c r="O388" s="8"/>
      <c r="P388" s="8"/>
      <c r="Q388" s="8"/>
      <c r="R388" s="8"/>
      <c r="S388" s="357"/>
      <c r="T388" s="357"/>
      <c r="U388" s="357"/>
      <c r="V388" s="357"/>
      <c r="W388" s="8"/>
      <c r="X388" s="8"/>
      <c r="Y388" s="8"/>
      <c r="Z388" s="8"/>
      <c r="AA388" s="8"/>
      <c r="AB388" s="8"/>
    </row>
    <row r="389">
      <c r="A389" s="8"/>
      <c r="B389" s="8"/>
      <c r="C389" s="8"/>
      <c r="D389" s="8"/>
      <c r="E389" s="8"/>
      <c r="F389" s="356"/>
      <c r="G389" s="8"/>
      <c r="H389" s="8"/>
      <c r="I389" s="8"/>
      <c r="J389" s="8"/>
      <c r="K389" s="8"/>
      <c r="L389" s="8"/>
      <c r="M389" s="8"/>
      <c r="N389" s="8"/>
      <c r="O389" s="8"/>
      <c r="P389" s="8"/>
      <c r="Q389" s="8"/>
      <c r="R389" s="8"/>
      <c r="S389" s="357"/>
      <c r="T389" s="357"/>
      <c r="U389" s="357"/>
      <c r="V389" s="357"/>
      <c r="W389" s="8"/>
      <c r="X389" s="8"/>
      <c r="Y389" s="8"/>
      <c r="Z389" s="8"/>
      <c r="AA389" s="8"/>
      <c r="AB389" s="8"/>
    </row>
    <row r="390">
      <c r="A390" s="8"/>
      <c r="B390" s="8"/>
      <c r="C390" s="8"/>
      <c r="D390" s="8"/>
      <c r="E390" s="8"/>
      <c r="F390" s="356"/>
      <c r="G390" s="8"/>
      <c r="H390" s="8"/>
      <c r="I390" s="8"/>
      <c r="J390" s="8"/>
      <c r="K390" s="8"/>
      <c r="L390" s="8"/>
      <c r="M390" s="8"/>
      <c r="N390" s="8"/>
      <c r="O390" s="8"/>
      <c r="P390" s="8"/>
      <c r="Q390" s="8"/>
      <c r="R390" s="8"/>
      <c r="S390" s="357"/>
      <c r="T390" s="357"/>
      <c r="U390" s="357"/>
      <c r="V390" s="357"/>
      <c r="W390" s="8"/>
      <c r="X390" s="8"/>
      <c r="Y390" s="8"/>
      <c r="Z390" s="8"/>
      <c r="AA390" s="8"/>
      <c r="AB390" s="8"/>
    </row>
    <row r="391">
      <c r="A391" s="8"/>
      <c r="B391" s="8"/>
      <c r="C391" s="8"/>
      <c r="D391" s="8"/>
      <c r="E391" s="8"/>
      <c r="F391" s="356"/>
      <c r="G391" s="8"/>
      <c r="H391" s="8"/>
      <c r="I391" s="8"/>
      <c r="J391" s="8"/>
      <c r="K391" s="8"/>
      <c r="L391" s="8"/>
      <c r="M391" s="8"/>
      <c r="N391" s="8"/>
      <c r="O391" s="8"/>
      <c r="P391" s="8"/>
      <c r="Q391" s="8"/>
      <c r="R391" s="8"/>
      <c r="S391" s="357"/>
      <c r="T391" s="357"/>
      <c r="U391" s="357"/>
      <c r="V391" s="357"/>
      <c r="W391" s="8"/>
      <c r="X391" s="8"/>
      <c r="Y391" s="8"/>
      <c r="Z391" s="8"/>
      <c r="AA391" s="8"/>
      <c r="AB391" s="8"/>
    </row>
    <row r="392">
      <c r="A392" s="8"/>
      <c r="B392" s="8"/>
      <c r="C392" s="8"/>
      <c r="D392" s="8"/>
      <c r="E392" s="8"/>
      <c r="F392" s="356"/>
      <c r="G392" s="8"/>
      <c r="H392" s="8"/>
      <c r="I392" s="8"/>
      <c r="J392" s="8"/>
      <c r="K392" s="8"/>
      <c r="L392" s="8"/>
      <c r="M392" s="8"/>
      <c r="N392" s="8"/>
      <c r="O392" s="8"/>
      <c r="P392" s="8"/>
      <c r="Q392" s="8"/>
      <c r="R392" s="8"/>
      <c r="S392" s="357"/>
      <c r="T392" s="357"/>
      <c r="U392" s="357"/>
      <c r="V392" s="357"/>
      <c r="W392" s="8"/>
      <c r="X392" s="8"/>
      <c r="Y392" s="8"/>
      <c r="Z392" s="8"/>
      <c r="AA392" s="8"/>
      <c r="AB392" s="8"/>
    </row>
    <row r="393">
      <c r="A393" s="8"/>
      <c r="B393" s="8"/>
      <c r="C393" s="8"/>
      <c r="D393" s="8"/>
      <c r="E393" s="8"/>
      <c r="F393" s="356"/>
      <c r="G393" s="8"/>
      <c r="H393" s="8"/>
      <c r="I393" s="8"/>
      <c r="J393" s="8"/>
      <c r="K393" s="8"/>
      <c r="L393" s="8"/>
      <c r="M393" s="8"/>
      <c r="N393" s="8"/>
      <c r="O393" s="8"/>
      <c r="P393" s="8"/>
      <c r="Q393" s="8"/>
      <c r="R393" s="8"/>
      <c r="S393" s="357"/>
      <c r="T393" s="357"/>
      <c r="U393" s="357"/>
      <c r="V393" s="357"/>
      <c r="W393" s="8"/>
      <c r="X393" s="8"/>
      <c r="Y393" s="8"/>
      <c r="Z393" s="8"/>
      <c r="AA393" s="8"/>
      <c r="AB393" s="8"/>
    </row>
    <row r="394">
      <c r="A394" s="8"/>
      <c r="B394" s="8"/>
      <c r="C394" s="8"/>
      <c r="D394" s="8"/>
      <c r="E394" s="8"/>
      <c r="F394" s="356"/>
      <c r="G394" s="8"/>
      <c r="H394" s="8"/>
      <c r="I394" s="8"/>
      <c r="J394" s="8"/>
      <c r="K394" s="8"/>
      <c r="L394" s="8"/>
      <c r="M394" s="8"/>
      <c r="N394" s="8"/>
      <c r="O394" s="8"/>
      <c r="P394" s="8"/>
      <c r="Q394" s="8"/>
      <c r="R394" s="8"/>
      <c r="S394" s="357"/>
      <c r="T394" s="357"/>
      <c r="U394" s="357"/>
      <c r="V394" s="357"/>
      <c r="W394" s="8"/>
      <c r="X394" s="8"/>
      <c r="Y394" s="8"/>
      <c r="Z394" s="8"/>
      <c r="AA394" s="8"/>
      <c r="AB394" s="8"/>
    </row>
    <row r="395">
      <c r="A395" s="8"/>
      <c r="B395" s="8"/>
      <c r="C395" s="8"/>
      <c r="D395" s="8"/>
      <c r="E395" s="8"/>
      <c r="F395" s="356"/>
      <c r="G395" s="8"/>
      <c r="H395" s="8"/>
      <c r="I395" s="8"/>
      <c r="J395" s="8"/>
      <c r="K395" s="8"/>
      <c r="L395" s="8"/>
      <c r="M395" s="8"/>
      <c r="N395" s="8"/>
      <c r="O395" s="8"/>
      <c r="P395" s="8"/>
      <c r="Q395" s="8"/>
      <c r="R395" s="8"/>
      <c r="S395" s="357"/>
      <c r="T395" s="357"/>
      <c r="U395" s="357"/>
      <c r="V395" s="357"/>
      <c r="W395" s="8"/>
      <c r="X395" s="8"/>
      <c r="Y395" s="8"/>
      <c r="Z395" s="8"/>
      <c r="AA395" s="8"/>
      <c r="AB395" s="8"/>
    </row>
    <row r="396">
      <c r="A396" s="8"/>
      <c r="B396" s="8"/>
      <c r="C396" s="8"/>
      <c r="D396" s="8"/>
      <c r="E396" s="8"/>
      <c r="F396" s="356"/>
      <c r="G396" s="8"/>
      <c r="H396" s="8"/>
      <c r="I396" s="8"/>
      <c r="J396" s="8"/>
      <c r="K396" s="8"/>
      <c r="L396" s="8"/>
      <c r="M396" s="8"/>
      <c r="N396" s="8"/>
      <c r="O396" s="8"/>
      <c r="P396" s="8"/>
      <c r="Q396" s="8"/>
      <c r="R396" s="8"/>
      <c r="S396" s="357"/>
      <c r="T396" s="357"/>
      <c r="U396" s="357"/>
      <c r="V396" s="357"/>
      <c r="W396" s="8"/>
      <c r="X396" s="8"/>
      <c r="Y396" s="8"/>
      <c r="Z396" s="8"/>
      <c r="AA396" s="8"/>
      <c r="AB396" s="8"/>
    </row>
    <row r="397">
      <c r="A397" s="8"/>
      <c r="B397" s="8"/>
      <c r="C397" s="8"/>
      <c r="D397" s="8"/>
      <c r="E397" s="8"/>
      <c r="F397" s="356"/>
      <c r="G397" s="8"/>
      <c r="H397" s="8"/>
      <c r="I397" s="8"/>
      <c r="J397" s="8"/>
      <c r="K397" s="8"/>
      <c r="L397" s="8"/>
      <c r="M397" s="8"/>
      <c r="N397" s="8"/>
      <c r="O397" s="8"/>
      <c r="P397" s="8"/>
      <c r="Q397" s="8"/>
      <c r="R397" s="8"/>
      <c r="S397" s="357"/>
      <c r="T397" s="357"/>
      <c r="U397" s="357"/>
      <c r="V397" s="357"/>
      <c r="W397" s="8"/>
      <c r="X397" s="8"/>
      <c r="Y397" s="8"/>
      <c r="Z397" s="8"/>
      <c r="AA397" s="8"/>
      <c r="AB397" s="8"/>
    </row>
    <row r="398">
      <c r="A398" s="8"/>
      <c r="B398" s="8"/>
      <c r="C398" s="8"/>
      <c r="D398" s="8"/>
      <c r="E398" s="8"/>
      <c r="F398" s="356"/>
      <c r="G398" s="8"/>
      <c r="H398" s="8"/>
      <c r="I398" s="8"/>
      <c r="J398" s="8"/>
      <c r="K398" s="8"/>
      <c r="L398" s="8"/>
      <c r="M398" s="8"/>
      <c r="N398" s="8"/>
      <c r="O398" s="8"/>
      <c r="P398" s="8"/>
      <c r="Q398" s="8"/>
      <c r="R398" s="8"/>
      <c r="S398" s="357"/>
      <c r="T398" s="357"/>
      <c r="U398" s="357"/>
      <c r="V398" s="357"/>
      <c r="W398" s="8"/>
      <c r="X398" s="8"/>
      <c r="Y398" s="8"/>
      <c r="Z398" s="8"/>
      <c r="AA398" s="8"/>
      <c r="AB398" s="8"/>
    </row>
    <row r="399">
      <c r="A399" s="8"/>
      <c r="B399" s="8"/>
      <c r="C399" s="8"/>
      <c r="D399" s="8"/>
      <c r="E399" s="8"/>
      <c r="F399" s="356"/>
      <c r="G399" s="8"/>
      <c r="H399" s="8"/>
      <c r="I399" s="8"/>
      <c r="J399" s="8"/>
      <c r="K399" s="8"/>
      <c r="L399" s="8"/>
      <c r="M399" s="8"/>
      <c r="N399" s="8"/>
      <c r="O399" s="8"/>
      <c r="P399" s="8"/>
      <c r="Q399" s="8"/>
      <c r="R399" s="8"/>
      <c r="S399" s="357"/>
      <c r="T399" s="357"/>
      <c r="U399" s="357"/>
      <c r="V399" s="357"/>
      <c r="W399" s="8"/>
      <c r="X399" s="8"/>
      <c r="Y399" s="8"/>
      <c r="Z399" s="8"/>
      <c r="AA399" s="8"/>
      <c r="AB399" s="8"/>
    </row>
    <row r="400">
      <c r="A400" s="8"/>
      <c r="B400" s="8"/>
      <c r="C400" s="8"/>
      <c r="D400" s="8"/>
      <c r="E400" s="8"/>
      <c r="F400" s="356"/>
      <c r="G400" s="8"/>
      <c r="H400" s="8"/>
      <c r="I400" s="8"/>
      <c r="J400" s="8"/>
      <c r="K400" s="8"/>
      <c r="L400" s="8"/>
      <c r="M400" s="8"/>
      <c r="N400" s="8"/>
      <c r="O400" s="8"/>
      <c r="P400" s="8"/>
      <c r="Q400" s="8"/>
      <c r="R400" s="8"/>
      <c r="S400" s="357"/>
      <c r="T400" s="357"/>
      <c r="U400" s="357"/>
      <c r="V400" s="357"/>
      <c r="W400" s="8"/>
      <c r="X400" s="8"/>
      <c r="Y400" s="8"/>
      <c r="Z400" s="8"/>
      <c r="AA400" s="8"/>
      <c r="AB400" s="8"/>
    </row>
    <row r="401">
      <c r="A401" s="8"/>
      <c r="B401" s="8"/>
      <c r="C401" s="8"/>
      <c r="D401" s="8"/>
      <c r="E401" s="8"/>
      <c r="F401" s="356"/>
      <c r="G401" s="8"/>
      <c r="H401" s="8"/>
      <c r="I401" s="8"/>
      <c r="J401" s="8"/>
      <c r="K401" s="8"/>
      <c r="L401" s="8"/>
      <c r="M401" s="8"/>
      <c r="N401" s="8"/>
      <c r="O401" s="8"/>
      <c r="P401" s="8"/>
      <c r="Q401" s="8"/>
      <c r="R401" s="8"/>
      <c r="S401" s="357"/>
      <c r="T401" s="357"/>
      <c r="U401" s="357"/>
      <c r="V401" s="357"/>
      <c r="W401" s="8"/>
      <c r="X401" s="8"/>
      <c r="Y401" s="8"/>
      <c r="Z401" s="8"/>
      <c r="AA401" s="8"/>
      <c r="AB401" s="8"/>
    </row>
    <row r="402">
      <c r="A402" s="8"/>
      <c r="B402" s="8"/>
      <c r="C402" s="8"/>
      <c r="D402" s="8"/>
      <c r="E402" s="8"/>
      <c r="F402" s="356"/>
      <c r="G402" s="8"/>
      <c r="H402" s="8"/>
      <c r="I402" s="8"/>
      <c r="J402" s="8"/>
      <c r="K402" s="8"/>
      <c r="L402" s="8"/>
      <c r="M402" s="8"/>
      <c r="N402" s="8"/>
      <c r="O402" s="8"/>
      <c r="P402" s="8"/>
      <c r="Q402" s="8"/>
      <c r="R402" s="8"/>
      <c r="S402" s="357"/>
      <c r="T402" s="357"/>
      <c r="U402" s="357"/>
      <c r="V402" s="357"/>
      <c r="W402" s="8"/>
      <c r="X402" s="8"/>
      <c r="Y402" s="8"/>
      <c r="Z402" s="8"/>
      <c r="AA402" s="8"/>
      <c r="AB402" s="8"/>
    </row>
    <row r="403">
      <c r="A403" s="8"/>
      <c r="B403" s="8"/>
      <c r="C403" s="8"/>
      <c r="D403" s="8"/>
      <c r="E403" s="8"/>
      <c r="F403" s="356"/>
      <c r="G403" s="8"/>
      <c r="H403" s="8"/>
      <c r="I403" s="8"/>
      <c r="J403" s="8"/>
      <c r="K403" s="8"/>
      <c r="L403" s="8"/>
      <c r="M403" s="8"/>
      <c r="N403" s="8"/>
      <c r="O403" s="8"/>
      <c r="P403" s="8"/>
      <c r="Q403" s="8"/>
      <c r="R403" s="8"/>
      <c r="S403" s="357"/>
      <c r="T403" s="357"/>
      <c r="U403" s="357"/>
      <c r="V403" s="357"/>
      <c r="W403" s="8"/>
      <c r="X403" s="8"/>
      <c r="Y403" s="8"/>
      <c r="Z403" s="8"/>
      <c r="AA403" s="8"/>
      <c r="AB403" s="8"/>
    </row>
    <row r="404">
      <c r="A404" s="8"/>
      <c r="B404" s="8"/>
      <c r="C404" s="8"/>
      <c r="D404" s="8"/>
      <c r="E404" s="8"/>
      <c r="F404" s="356"/>
      <c r="G404" s="8"/>
      <c r="H404" s="8"/>
      <c r="I404" s="8"/>
      <c r="J404" s="8"/>
      <c r="K404" s="8"/>
      <c r="L404" s="8"/>
      <c r="M404" s="8"/>
      <c r="N404" s="8"/>
      <c r="O404" s="8"/>
      <c r="P404" s="8"/>
      <c r="Q404" s="8"/>
      <c r="R404" s="8"/>
      <c r="S404" s="357"/>
      <c r="T404" s="357"/>
      <c r="U404" s="357"/>
      <c r="V404" s="357"/>
      <c r="W404" s="8"/>
      <c r="X404" s="8"/>
      <c r="Y404" s="8"/>
      <c r="Z404" s="8"/>
      <c r="AA404" s="8"/>
      <c r="AB404" s="8"/>
    </row>
    <row r="405">
      <c r="A405" s="8"/>
      <c r="B405" s="8"/>
      <c r="C405" s="8"/>
      <c r="D405" s="8"/>
      <c r="E405" s="8"/>
      <c r="F405" s="356"/>
      <c r="G405" s="8"/>
      <c r="H405" s="8"/>
      <c r="I405" s="8"/>
      <c r="J405" s="8"/>
      <c r="K405" s="8"/>
      <c r="L405" s="8"/>
      <c r="M405" s="8"/>
      <c r="N405" s="8"/>
      <c r="O405" s="8"/>
      <c r="P405" s="8"/>
      <c r="Q405" s="8"/>
      <c r="R405" s="8"/>
      <c r="S405" s="357"/>
      <c r="T405" s="357"/>
      <c r="U405" s="357"/>
      <c r="V405" s="357"/>
      <c r="W405" s="8"/>
      <c r="X405" s="8"/>
      <c r="Y405" s="8"/>
      <c r="Z405" s="8"/>
      <c r="AA405" s="8"/>
      <c r="AB405" s="8"/>
    </row>
    <row r="406">
      <c r="A406" s="8"/>
      <c r="B406" s="8"/>
      <c r="C406" s="8"/>
      <c r="D406" s="8"/>
      <c r="E406" s="8"/>
      <c r="F406" s="356"/>
      <c r="G406" s="8"/>
      <c r="H406" s="8"/>
      <c r="I406" s="8"/>
      <c r="J406" s="8"/>
      <c r="K406" s="8"/>
      <c r="L406" s="8"/>
      <c r="M406" s="8"/>
      <c r="N406" s="8"/>
      <c r="O406" s="8"/>
      <c r="P406" s="8"/>
      <c r="Q406" s="8"/>
      <c r="R406" s="8"/>
      <c r="S406" s="357"/>
      <c r="T406" s="357"/>
      <c r="U406" s="357"/>
      <c r="V406" s="357"/>
      <c r="W406" s="8"/>
      <c r="X406" s="8"/>
      <c r="Y406" s="8"/>
      <c r="Z406" s="8"/>
      <c r="AA406" s="8"/>
      <c r="AB406" s="8"/>
    </row>
    <row r="407">
      <c r="A407" s="8"/>
      <c r="B407" s="8"/>
      <c r="C407" s="8"/>
      <c r="D407" s="8"/>
      <c r="E407" s="8"/>
      <c r="F407" s="356"/>
      <c r="G407" s="8"/>
      <c r="H407" s="8"/>
      <c r="I407" s="8"/>
      <c r="J407" s="8"/>
      <c r="K407" s="8"/>
      <c r="L407" s="8"/>
      <c r="M407" s="8"/>
      <c r="N407" s="8"/>
      <c r="O407" s="8"/>
      <c r="P407" s="8"/>
      <c r="Q407" s="8"/>
      <c r="R407" s="8"/>
      <c r="S407" s="357"/>
      <c r="T407" s="357"/>
      <c r="U407" s="357"/>
      <c r="V407" s="357"/>
      <c r="W407" s="8"/>
      <c r="X407" s="8"/>
      <c r="Y407" s="8"/>
      <c r="Z407" s="8"/>
      <c r="AA407" s="8"/>
      <c r="AB407" s="8"/>
    </row>
    <row r="408">
      <c r="A408" s="8"/>
      <c r="B408" s="8"/>
      <c r="C408" s="8"/>
      <c r="D408" s="8"/>
      <c r="E408" s="8"/>
      <c r="F408" s="356"/>
      <c r="G408" s="8"/>
      <c r="H408" s="8"/>
      <c r="I408" s="8"/>
      <c r="J408" s="8"/>
      <c r="K408" s="8"/>
      <c r="L408" s="8"/>
      <c r="M408" s="8"/>
      <c r="N408" s="8"/>
      <c r="O408" s="8"/>
      <c r="P408" s="8"/>
      <c r="Q408" s="8"/>
      <c r="R408" s="8"/>
      <c r="S408" s="357"/>
      <c r="T408" s="357"/>
      <c r="U408" s="357"/>
      <c r="V408" s="357"/>
      <c r="W408" s="8"/>
      <c r="X408" s="8"/>
      <c r="Y408" s="8"/>
      <c r="Z408" s="8"/>
      <c r="AA408" s="8"/>
      <c r="AB408" s="8"/>
    </row>
    <row r="409">
      <c r="A409" s="8"/>
      <c r="B409" s="8"/>
      <c r="C409" s="8"/>
      <c r="D409" s="8"/>
      <c r="E409" s="8"/>
      <c r="F409" s="356"/>
      <c r="G409" s="8"/>
      <c r="H409" s="8"/>
      <c r="I409" s="8"/>
      <c r="J409" s="8"/>
      <c r="K409" s="8"/>
      <c r="L409" s="8"/>
      <c r="M409" s="8"/>
      <c r="N409" s="8"/>
      <c r="O409" s="8"/>
      <c r="P409" s="8"/>
      <c r="Q409" s="8"/>
      <c r="R409" s="8"/>
      <c r="S409" s="357"/>
      <c r="T409" s="357"/>
      <c r="U409" s="357"/>
      <c r="V409" s="357"/>
      <c r="W409" s="8"/>
      <c r="X409" s="8"/>
      <c r="Y409" s="8"/>
      <c r="Z409" s="8"/>
      <c r="AA409" s="8"/>
      <c r="AB409" s="8"/>
    </row>
    <row r="410">
      <c r="A410" s="8"/>
      <c r="B410" s="8"/>
      <c r="C410" s="8"/>
      <c r="D410" s="8"/>
      <c r="E410" s="8"/>
      <c r="F410" s="356"/>
      <c r="G410" s="8"/>
      <c r="H410" s="8"/>
      <c r="I410" s="8"/>
      <c r="J410" s="8"/>
      <c r="K410" s="8"/>
      <c r="L410" s="8"/>
      <c r="M410" s="8"/>
      <c r="N410" s="8"/>
      <c r="O410" s="8"/>
      <c r="P410" s="8"/>
      <c r="Q410" s="8"/>
      <c r="R410" s="8"/>
      <c r="S410" s="357"/>
      <c r="T410" s="357"/>
      <c r="U410" s="357"/>
      <c r="V410" s="357"/>
      <c r="W410" s="8"/>
      <c r="X410" s="8"/>
      <c r="Y410" s="8"/>
      <c r="Z410" s="8"/>
      <c r="AA410" s="8"/>
      <c r="AB410" s="8"/>
    </row>
    <row r="411">
      <c r="A411" s="8"/>
      <c r="B411" s="8"/>
      <c r="C411" s="8"/>
      <c r="D411" s="8"/>
      <c r="E411" s="8"/>
      <c r="F411" s="356"/>
      <c r="G411" s="8"/>
      <c r="H411" s="8"/>
      <c r="I411" s="8"/>
      <c r="J411" s="8"/>
      <c r="K411" s="8"/>
      <c r="L411" s="8"/>
      <c r="M411" s="8"/>
      <c r="N411" s="8"/>
      <c r="O411" s="8"/>
      <c r="P411" s="8"/>
      <c r="Q411" s="8"/>
      <c r="R411" s="8"/>
      <c r="S411" s="357"/>
      <c r="T411" s="357"/>
      <c r="U411" s="357"/>
      <c r="V411" s="357"/>
      <c r="W411" s="8"/>
      <c r="X411" s="8"/>
      <c r="Y411" s="8"/>
      <c r="Z411" s="8"/>
      <c r="AA411" s="8"/>
      <c r="AB411" s="8"/>
    </row>
    <row r="412">
      <c r="A412" s="8"/>
      <c r="B412" s="8"/>
      <c r="C412" s="8"/>
      <c r="D412" s="8"/>
      <c r="E412" s="8"/>
      <c r="F412" s="356"/>
      <c r="G412" s="8"/>
      <c r="H412" s="8"/>
      <c r="I412" s="8"/>
      <c r="J412" s="8"/>
      <c r="K412" s="8"/>
      <c r="L412" s="8"/>
      <c r="M412" s="8"/>
      <c r="N412" s="8"/>
      <c r="O412" s="8"/>
      <c r="P412" s="8"/>
      <c r="Q412" s="8"/>
      <c r="R412" s="8"/>
      <c r="S412" s="357"/>
      <c r="T412" s="357"/>
      <c r="U412" s="357"/>
      <c r="V412" s="357"/>
      <c r="W412" s="8"/>
      <c r="X412" s="8"/>
      <c r="Y412" s="8"/>
      <c r="Z412" s="8"/>
      <c r="AA412" s="8"/>
      <c r="AB412" s="8"/>
    </row>
    <row r="413">
      <c r="A413" s="8"/>
      <c r="B413" s="8"/>
      <c r="C413" s="8"/>
      <c r="D413" s="8"/>
      <c r="E413" s="8"/>
      <c r="F413" s="356"/>
      <c r="G413" s="8"/>
      <c r="H413" s="8"/>
      <c r="I413" s="8"/>
      <c r="J413" s="8"/>
      <c r="K413" s="8"/>
      <c r="L413" s="8"/>
      <c r="M413" s="8"/>
      <c r="N413" s="8"/>
      <c r="O413" s="8"/>
      <c r="P413" s="8"/>
      <c r="Q413" s="8"/>
      <c r="R413" s="8"/>
      <c r="S413" s="357"/>
      <c r="T413" s="357"/>
      <c r="U413" s="357"/>
      <c r="V413" s="357"/>
      <c r="W413" s="8"/>
      <c r="X413" s="8"/>
      <c r="Y413" s="8"/>
      <c r="Z413" s="8"/>
      <c r="AA413" s="8"/>
      <c r="AB413" s="8"/>
    </row>
    <row r="414">
      <c r="A414" s="8"/>
      <c r="B414" s="8"/>
      <c r="C414" s="8"/>
      <c r="D414" s="8"/>
      <c r="E414" s="8"/>
      <c r="F414" s="356"/>
      <c r="G414" s="8"/>
      <c r="H414" s="8"/>
      <c r="I414" s="8"/>
      <c r="J414" s="8"/>
      <c r="K414" s="8"/>
      <c r="L414" s="8"/>
      <c r="M414" s="8"/>
      <c r="N414" s="8"/>
      <c r="O414" s="8"/>
      <c r="P414" s="8"/>
      <c r="Q414" s="8"/>
      <c r="R414" s="8"/>
      <c r="S414" s="357"/>
      <c r="T414" s="357"/>
      <c r="U414" s="357"/>
      <c r="V414" s="357"/>
      <c r="W414" s="8"/>
      <c r="X414" s="8"/>
      <c r="Y414" s="8"/>
      <c r="Z414" s="8"/>
      <c r="AA414" s="8"/>
      <c r="AB414" s="8"/>
    </row>
    <row r="415">
      <c r="A415" s="8"/>
      <c r="B415" s="8"/>
      <c r="C415" s="8"/>
      <c r="D415" s="8"/>
      <c r="E415" s="8"/>
      <c r="F415" s="356"/>
      <c r="G415" s="8"/>
      <c r="H415" s="8"/>
      <c r="I415" s="8"/>
      <c r="J415" s="8"/>
      <c r="K415" s="8"/>
      <c r="L415" s="8"/>
      <c r="M415" s="8"/>
      <c r="N415" s="8"/>
      <c r="O415" s="8"/>
      <c r="P415" s="8"/>
      <c r="Q415" s="8"/>
      <c r="R415" s="8"/>
      <c r="S415" s="357"/>
      <c r="T415" s="357"/>
      <c r="U415" s="357"/>
      <c r="V415" s="357"/>
      <c r="W415" s="8"/>
      <c r="X415" s="8"/>
      <c r="Y415" s="8"/>
      <c r="Z415" s="8"/>
      <c r="AA415" s="8"/>
      <c r="AB415" s="8"/>
    </row>
    <row r="416">
      <c r="A416" s="8"/>
      <c r="B416" s="8"/>
      <c r="C416" s="8"/>
      <c r="D416" s="8"/>
      <c r="E416" s="8"/>
      <c r="F416" s="356"/>
      <c r="G416" s="8"/>
      <c r="H416" s="8"/>
      <c r="I416" s="8"/>
      <c r="J416" s="8"/>
      <c r="K416" s="8"/>
      <c r="L416" s="8"/>
      <c r="M416" s="8"/>
      <c r="N416" s="8"/>
      <c r="O416" s="8"/>
      <c r="P416" s="8"/>
      <c r="Q416" s="8"/>
      <c r="R416" s="8"/>
      <c r="S416" s="357"/>
      <c r="T416" s="357"/>
      <c r="U416" s="357"/>
      <c r="V416" s="357"/>
      <c r="W416" s="8"/>
      <c r="X416" s="8"/>
      <c r="Y416" s="8"/>
      <c r="Z416" s="8"/>
      <c r="AA416" s="8"/>
      <c r="AB416" s="8"/>
    </row>
    <row r="417">
      <c r="A417" s="8"/>
      <c r="B417" s="8"/>
      <c r="C417" s="8"/>
      <c r="D417" s="8"/>
      <c r="E417" s="8"/>
      <c r="F417" s="356"/>
      <c r="G417" s="8"/>
      <c r="H417" s="8"/>
      <c r="I417" s="8"/>
      <c r="J417" s="8"/>
      <c r="K417" s="8"/>
      <c r="L417" s="8"/>
      <c r="M417" s="8"/>
      <c r="N417" s="8"/>
      <c r="O417" s="8"/>
      <c r="P417" s="8"/>
      <c r="Q417" s="8"/>
      <c r="R417" s="8"/>
      <c r="S417" s="357"/>
      <c r="T417" s="357"/>
      <c r="U417" s="357"/>
      <c r="V417" s="357"/>
      <c r="W417" s="8"/>
      <c r="X417" s="8"/>
      <c r="Y417" s="8"/>
      <c r="Z417" s="8"/>
      <c r="AA417" s="8"/>
      <c r="AB417" s="8"/>
    </row>
    <row r="418">
      <c r="A418" s="8"/>
      <c r="B418" s="8"/>
      <c r="C418" s="8"/>
      <c r="D418" s="8"/>
      <c r="E418" s="8"/>
      <c r="F418" s="356"/>
      <c r="G418" s="8"/>
      <c r="H418" s="8"/>
      <c r="I418" s="8"/>
      <c r="J418" s="8"/>
      <c r="K418" s="8"/>
      <c r="L418" s="8"/>
      <c r="M418" s="8"/>
      <c r="N418" s="8"/>
      <c r="O418" s="8"/>
      <c r="P418" s="8"/>
      <c r="Q418" s="8"/>
      <c r="R418" s="8"/>
      <c r="S418" s="357"/>
      <c r="T418" s="357"/>
      <c r="U418" s="357"/>
      <c r="V418" s="357"/>
      <c r="W418" s="8"/>
      <c r="X418" s="8"/>
      <c r="Y418" s="8"/>
      <c r="Z418" s="8"/>
      <c r="AA418" s="8"/>
      <c r="AB418" s="8"/>
    </row>
    <row r="419">
      <c r="A419" s="8"/>
      <c r="B419" s="8"/>
      <c r="C419" s="8"/>
      <c r="D419" s="8"/>
      <c r="E419" s="8"/>
      <c r="F419" s="356"/>
      <c r="G419" s="8"/>
      <c r="H419" s="8"/>
      <c r="I419" s="8"/>
      <c r="J419" s="8"/>
      <c r="K419" s="8"/>
      <c r="L419" s="8"/>
      <c r="M419" s="8"/>
      <c r="N419" s="8"/>
      <c r="O419" s="8"/>
      <c r="P419" s="8"/>
      <c r="Q419" s="8"/>
      <c r="R419" s="8"/>
      <c r="S419" s="357"/>
      <c r="T419" s="357"/>
      <c r="U419" s="357"/>
      <c r="V419" s="357"/>
      <c r="W419" s="8"/>
      <c r="X419" s="8"/>
      <c r="Y419" s="8"/>
      <c r="Z419" s="8"/>
      <c r="AA419" s="8"/>
      <c r="AB419" s="8"/>
    </row>
    <row r="420">
      <c r="A420" s="8"/>
      <c r="B420" s="8"/>
      <c r="C420" s="8"/>
      <c r="D420" s="8"/>
      <c r="E420" s="8"/>
      <c r="F420" s="356"/>
      <c r="G420" s="8"/>
      <c r="H420" s="8"/>
      <c r="I420" s="8"/>
      <c r="J420" s="8"/>
      <c r="K420" s="8"/>
      <c r="L420" s="8"/>
      <c r="M420" s="8"/>
      <c r="N420" s="8"/>
      <c r="O420" s="8"/>
      <c r="P420" s="8"/>
      <c r="Q420" s="8"/>
      <c r="R420" s="8"/>
      <c r="S420" s="357"/>
      <c r="T420" s="357"/>
      <c r="U420" s="357"/>
      <c r="V420" s="357"/>
      <c r="W420" s="8"/>
      <c r="X420" s="8"/>
      <c r="Y420" s="8"/>
      <c r="Z420" s="8"/>
      <c r="AA420" s="8"/>
      <c r="AB420" s="8"/>
    </row>
    <row r="421">
      <c r="A421" s="8"/>
      <c r="B421" s="8"/>
      <c r="C421" s="8"/>
      <c r="D421" s="8"/>
      <c r="E421" s="8"/>
      <c r="F421" s="356"/>
      <c r="G421" s="8"/>
      <c r="H421" s="8"/>
      <c r="I421" s="8"/>
      <c r="J421" s="8"/>
      <c r="K421" s="8"/>
      <c r="L421" s="8"/>
      <c r="M421" s="8"/>
      <c r="N421" s="8"/>
      <c r="O421" s="8"/>
      <c r="P421" s="8"/>
      <c r="Q421" s="8"/>
      <c r="R421" s="8"/>
      <c r="S421" s="357"/>
      <c r="T421" s="357"/>
      <c r="U421" s="357"/>
      <c r="V421" s="357"/>
      <c r="W421" s="8"/>
      <c r="X421" s="8"/>
      <c r="Y421" s="8"/>
      <c r="Z421" s="8"/>
      <c r="AA421" s="8"/>
      <c r="AB421" s="8"/>
    </row>
    <row r="422">
      <c r="A422" s="8"/>
      <c r="B422" s="8"/>
      <c r="C422" s="8"/>
      <c r="D422" s="8"/>
      <c r="E422" s="8"/>
      <c r="F422" s="356"/>
      <c r="G422" s="8"/>
      <c r="H422" s="8"/>
      <c r="I422" s="8"/>
      <c r="J422" s="8"/>
      <c r="K422" s="8"/>
      <c r="L422" s="8"/>
      <c r="M422" s="8"/>
      <c r="N422" s="8"/>
      <c r="O422" s="8"/>
      <c r="P422" s="8"/>
      <c r="Q422" s="8"/>
      <c r="R422" s="8"/>
      <c r="S422" s="357"/>
      <c r="T422" s="357"/>
      <c r="U422" s="357"/>
      <c r="V422" s="357"/>
      <c r="W422" s="8"/>
      <c r="X422" s="8"/>
      <c r="Y422" s="8"/>
      <c r="Z422" s="8"/>
      <c r="AA422" s="8"/>
      <c r="AB422" s="8"/>
    </row>
    <row r="423">
      <c r="A423" s="8"/>
      <c r="B423" s="8"/>
      <c r="C423" s="8"/>
      <c r="D423" s="8"/>
      <c r="E423" s="8"/>
      <c r="F423" s="356"/>
      <c r="G423" s="8"/>
      <c r="H423" s="8"/>
      <c r="I423" s="8"/>
      <c r="J423" s="8"/>
      <c r="K423" s="8"/>
      <c r="L423" s="8"/>
      <c r="M423" s="8"/>
      <c r="N423" s="8"/>
      <c r="O423" s="8"/>
      <c r="P423" s="8"/>
      <c r="Q423" s="8"/>
      <c r="R423" s="8"/>
      <c r="S423" s="357"/>
      <c r="T423" s="357"/>
      <c r="U423" s="357"/>
      <c r="V423" s="357"/>
      <c r="W423" s="8"/>
      <c r="X423" s="8"/>
      <c r="Y423" s="8"/>
      <c r="Z423" s="8"/>
      <c r="AA423" s="8"/>
      <c r="AB423" s="8"/>
    </row>
    <row r="424">
      <c r="A424" s="8"/>
      <c r="B424" s="8"/>
      <c r="C424" s="8"/>
      <c r="D424" s="8"/>
      <c r="E424" s="8"/>
      <c r="F424" s="356"/>
      <c r="G424" s="8"/>
      <c r="H424" s="8"/>
      <c r="I424" s="8"/>
      <c r="J424" s="8"/>
      <c r="K424" s="8"/>
      <c r="L424" s="8"/>
      <c r="M424" s="8"/>
      <c r="N424" s="8"/>
      <c r="O424" s="8"/>
      <c r="P424" s="8"/>
      <c r="Q424" s="8"/>
      <c r="R424" s="8"/>
      <c r="S424" s="357"/>
      <c r="T424" s="357"/>
      <c r="U424" s="357"/>
      <c r="V424" s="357"/>
      <c r="W424" s="8"/>
      <c r="X424" s="8"/>
      <c r="Y424" s="8"/>
      <c r="Z424" s="8"/>
      <c r="AA424" s="8"/>
      <c r="AB424" s="8"/>
    </row>
    <row r="425">
      <c r="A425" s="8"/>
      <c r="B425" s="8"/>
      <c r="C425" s="8"/>
      <c r="D425" s="8"/>
      <c r="E425" s="8"/>
      <c r="F425" s="356"/>
      <c r="G425" s="8"/>
      <c r="H425" s="8"/>
      <c r="I425" s="8"/>
      <c r="J425" s="8"/>
      <c r="K425" s="8"/>
      <c r="L425" s="8"/>
      <c r="M425" s="8"/>
      <c r="N425" s="8"/>
      <c r="O425" s="8"/>
      <c r="P425" s="8"/>
      <c r="Q425" s="8"/>
      <c r="R425" s="8"/>
      <c r="S425" s="357"/>
      <c r="T425" s="357"/>
      <c r="U425" s="357"/>
      <c r="V425" s="357"/>
      <c r="W425" s="8"/>
      <c r="X425" s="8"/>
      <c r="Y425" s="8"/>
      <c r="Z425" s="8"/>
      <c r="AA425" s="8"/>
      <c r="AB425" s="8"/>
    </row>
    <row r="426">
      <c r="A426" s="8"/>
      <c r="B426" s="8"/>
      <c r="C426" s="8"/>
      <c r="D426" s="8"/>
      <c r="E426" s="8"/>
      <c r="F426" s="356"/>
      <c r="G426" s="8"/>
      <c r="H426" s="8"/>
      <c r="I426" s="8"/>
      <c r="J426" s="8"/>
      <c r="K426" s="8"/>
      <c r="L426" s="8"/>
      <c r="M426" s="8"/>
      <c r="N426" s="8"/>
      <c r="O426" s="8"/>
      <c r="P426" s="8"/>
      <c r="Q426" s="8"/>
      <c r="R426" s="8"/>
      <c r="S426" s="357"/>
      <c r="T426" s="357"/>
      <c r="U426" s="357"/>
      <c r="V426" s="357"/>
      <c r="W426" s="8"/>
      <c r="X426" s="8"/>
      <c r="Y426" s="8"/>
      <c r="Z426" s="8"/>
      <c r="AA426" s="8"/>
      <c r="AB426" s="8"/>
    </row>
    <row r="427">
      <c r="A427" s="8"/>
      <c r="B427" s="8"/>
      <c r="C427" s="8"/>
      <c r="D427" s="8"/>
      <c r="E427" s="8"/>
      <c r="F427" s="356"/>
      <c r="G427" s="8"/>
      <c r="H427" s="8"/>
      <c r="I427" s="8"/>
      <c r="J427" s="8"/>
      <c r="K427" s="8"/>
      <c r="L427" s="8"/>
      <c r="M427" s="8"/>
      <c r="N427" s="8"/>
      <c r="O427" s="8"/>
      <c r="P427" s="8"/>
      <c r="Q427" s="8"/>
      <c r="R427" s="8"/>
      <c r="S427" s="357"/>
      <c r="T427" s="357"/>
      <c r="U427" s="357"/>
      <c r="V427" s="357"/>
      <c r="W427" s="8"/>
      <c r="X427" s="8"/>
      <c r="Y427" s="8"/>
      <c r="Z427" s="8"/>
      <c r="AA427" s="8"/>
      <c r="AB427" s="8"/>
    </row>
    <row r="428">
      <c r="A428" s="8"/>
      <c r="B428" s="8"/>
      <c r="C428" s="8"/>
      <c r="D428" s="8"/>
      <c r="E428" s="8"/>
      <c r="F428" s="356"/>
      <c r="G428" s="8"/>
      <c r="H428" s="8"/>
      <c r="I428" s="8"/>
      <c r="J428" s="8"/>
      <c r="K428" s="8"/>
      <c r="L428" s="8"/>
      <c r="M428" s="8"/>
      <c r="N428" s="8"/>
      <c r="O428" s="8"/>
      <c r="P428" s="8"/>
      <c r="Q428" s="8"/>
      <c r="R428" s="8"/>
      <c r="S428" s="357"/>
      <c r="T428" s="357"/>
      <c r="U428" s="357"/>
      <c r="V428" s="357"/>
      <c r="W428" s="8"/>
      <c r="X428" s="8"/>
      <c r="Y428" s="8"/>
      <c r="Z428" s="8"/>
      <c r="AA428" s="8"/>
      <c r="AB428" s="8"/>
    </row>
    <row r="429">
      <c r="A429" s="8"/>
      <c r="B429" s="8"/>
      <c r="C429" s="8"/>
      <c r="D429" s="8"/>
      <c r="E429" s="8"/>
      <c r="F429" s="356"/>
      <c r="G429" s="8"/>
      <c r="H429" s="8"/>
      <c r="I429" s="8"/>
      <c r="J429" s="8"/>
      <c r="K429" s="8"/>
      <c r="L429" s="8"/>
      <c r="M429" s="8"/>
      <c r="N429" s="8"/>
      <c r="O429" s="8"/>
      <c r="P429" s="8"/>
      <c r="Q429" s="8"/>
      <c r="R429" s="8"/>
      <c r="S429" s="357"/>
      <c r="T429" s="357"/>
      <c r="U429" s="357"/>
      <c r="V429" s="357"/>
      <c r="W429" s="8"/>
      <c r="X429" s="8"/>
      <c r="Y429" s="8"/>
      <c r="Z429" s="8"/>
      <c r="AA429" s="8"/>
      <c r="AB429" s="8"/>
    </row>
    <row r="430">
      <c r="A430" s="8"/>
      <c r="B430" s="8"/>
      <c r="C430" s="8"/>
      <c r="D430" s="8"/>
      <c r="E430" s="8"/>
      <c r="F430" s="356"/>
      <c r="G430" s="8"/>
      <c r="H430" s="8"/>
      <c r="I430" s="8"/>
      <c r="J430" s="8"/>
      <c r="K430" s="8"/>
      <c r="L430" s="8"/>
      <c r="M430" s="8"/>
      <c r="N430" s="8"/>
      <c r="O430" s="8"/>
      <c r="P430" s="8"/>
      <c r="Q430" s="8"/>
      <c r="R430" s="8"/>
      <c r="S430" s="357"/>
      <c r="T430" s="357"/>
      <c r="U430" s="357"/>
      <c r="V430" s="357"/>
      <c r="W430" s="8"/>
      <c r="X430" s="8"/>
      <c r="Y430" s="8"/>
      <c r="Z430" s="8"/>
      <c r="AA430" s="8"/>
      <c r="AB430" s="8"/>
    </row>
    <row r="431">
      <c r="A431" s="8"/>
      <c r="B431" s="8"/>
      <c r="C431" s="8"/>
      <c r="D431" s="8"/>
      <c r="E431" s="8"/>
      <c r="F431" s="356"/>
      <c r="G431" s="8"/>
      <c r="H431" s="8"/>
      <c r="I431" s="8"/>
      <c r="J431" s="8"/>
      <c r="K431" s="8"/>
      <c r="L431" s="8"/>
      <c r="M431" s="8"/>
      <c r="N431" s="8"/>
      <c r="O431" s="8"/>
      <c r="P431" s="8"/>
      <c r="Q431" s="8"/>
      <c r="R431" s="8"/>
      <c r="S431" s="357"/>
      <c r="T431" s="357"/>
      <c r="U431" s="357"/>
      <c r="V431" s="357"/>
      <c r="W431" s="8"/>
      <c r="X431" s="8"/>
      <c r="Y431" s="8"/>
      <c r="Z431" s="8"/>
      <c r="AA431" s="8"/>
      <c r="AB431" s="8"/>
    </row>
    <row r="432">
      <c r="A432" s="8"/>
      <c r="B432" s="8"/>
      <c r="C432" s="8"/>
      <c r="D432" s="8"/>
      <c r="E432" s="8"/>
      <c r="F432" s="356"/>
      <c r="G432" s="8"/>
      <c r="H432" s="8"/>
      <c r="I432" s="8"/>
      <c r="J432" s="8"/>
      <c r="K432" s="8"/>
      <c r="L432" s="8"/>
      <c r="M432" s="8"/>
      <c r="N432" s="8"/>
      <c r="O432" s="8"/>
      <c r="P432" s="8"/>
      <c r="Q432" s="8"/>
      <c r="R432" s="8"/>
      <c r="S432" s="357"/>
      <c r="T432" s="357"/>
      <c r="U432" s="357"/>
      <c r="V432" s="357"/>
      <c r="W432" s="8"/>
      <c r="X432" s="8"/>
      <c r="Y432" s="8"/>
      <c r="Z432" s="8"/>
      <c r="AA432" s="8"/>
      <c r="AB432" s="8"/>
    </row>
    <row r="433">
      <c r="A433" s="8"/>
      <c r="B433" s="8"/>
      <c r="C433" s="8"/>
      <c r="D433" s="8"/>
      <c r="E433" s="8"/>
      <c r="F433" s="356"/>
      <c r="G433" s="8"/>
      <c r="H433" s="8"/>
      <c r="I433" s="8"/>
      <c r="J433" s="8"/>
      <c r="K433" s="8"/>
      <c r="L433" s="8"/>
      <c r="M433" s="8"/>
      <c r="N433" s="8"/>
      <c r="O433" s="8"/>
      <c r="P433" s="8"/>
      <c r="Q433" s="8"/>
      <c r="R433" s="8"/>
      <c r="S433" s="357"/>
      <c r="T433" s="357"/>
      <c r="U433" s="357"/>
      <c r="V433" s="357"/>
      <c r="W433" s="8"/>
      <c r="X433" s="8"/>
      <c r="Y433" s="8"/>
      <c r="Z433" s="8"/>
      <c r="AA433" s="8"/>
      <c r="AB433" s="8"/>
    </row>
    <row r="434">
      <c r="A434" s="8"/>
      <c r="B434" s="8"/>
      <c r="C434" s="8"/>
      <c r="D434" s="8"/>
      <c r="E434" s="8"/>
      <c r="F434" s="356"/>
      <c r="G434" s="8"/>
      <c r="H434" s="8"/>
      <c r="I434" s="8"/>
      <c r="J434" s="8"/>
      <c r="K434" s="8"/>
      <c r="L434" s="8"/>
      <c r="M434" s="8"/>
      <c r="N434" s="8"/>
      <c r="O434" s="8"/>
      <c r="P434" s="8"/>
      <c r="Q434" s="8"/>
      <c r="R434" s="8"/>
      <c r="S434" s="357"/>
      <c r="T434" s="357"/>
      <c r="U434" s="357"/>
      <c r="V434" s="357"/>
      <c r="W434" s="8"/>
      <c r="X434" s="8"/>
      <c r="Y434" s="8"/>
      <c r="Z434" s="8"/>
      <c r="AA434" s="8"/>
      <c r="AB434" s="8"/>
    </row>
    <row r="435">
      <c r="A435" s="8"/>
      <c r="B435" s="8"/>
      <c r="C435" s="8"/>
      <c r="D435" s="8"/>
      <c r="E435" s="8"/>
      <c r="F435" s="356"/>
      <c r="G435" s="8"/>
      <c r="H435" s="8"/>
      <c r="I435" s="8"/>
      <c r="J435" s="8"/>
      <c r="K435" s="8"/>
      <c r="L435" s="8"/>
      <c r="M435" s="8"/>
      <c r="N435" s="8"/>
      <c r="O435" s="8"/>
      <c r="P435" s="8"/>
      <c r="Q435" s="8"/>
      <c r="R435" s="8"/>
      <c r="S435" s="357"/>
      <c r="T435" s="357"/>
      <c r="U435" s="357"/>
      <c r="V435" s="357"/>
      <c r="W435" s="8"/>
      <c r="X435" s="8"/>
      <c r="Y435" s="8"/>
      <c r="Z435" s="8"/>
      <c r="AA435" s="8"/>
      <c r="AB435" s="8"/>
    </row>
    <row r="436">
      <c r="A436" s="8"/>
      <c r="B436" s="8"/>
      <c r="C436" s="8"/>
      <c r="D436" s="8"/>
      <c r="E436" s="8"/>
      <c r="F436" s="356"/>
      <c r="G436" s="8"/>
      <c r="H436" s="8"/>
      <c r="I436" s="8"/>
      <c r="J436" s="8"/>
      <c r="K436" s="8"/>
      <c r="L436" s="8"/>
      <c r="M436" s="8"/>
      <c r="N436" s="8"/>
      <c r="O436" s="8"/>
      <c r="P436" s="8"/>
      <c r="Q436" s="8"/>
      <c r="R436" s="8"/>
      <c r="S436" s="357"/>
      <c r="T436" s="357"/>
      <c r="U436" s="357"/>
      <c r="V436" s="357"/>
      <c r="W436" s="8"/>
      <c r="X436" s="8"/>
      <c r="Y436" s="8"/>
      <c r="Z436" s="8"/>
      <c r="AA436" s="8"/>
      <c r="AB436" s="8"/>
    </row>
    <row r="437">
      <c r="A437" s="8"/>
      <c r="B437" s="8"/>
      <c r="C437" s="8"/>
      <c r="D437" s="8"/>
      <c r="E437" s="8"/>
      <c r="F437" s="356"/>
      <c r="G437" s="8"/>
      <c r="H437" s="8"/>
      <c r="I437" s="8"/>
      <c r="J437" s="8"/>
      <c r="K437" s="8"/>
      <c r="L437" s="8"/>
      <c r="M437" s="8"/>
      <c r="N437" s="8"/>
      <c r="O437" s="8"/>
      <c r="P437" s="8"/>
      <c r="Q437" s="8"/>
      <c r="R437" s="8"/>
      <c r="S437" s="357"/>
      <c r="T437" s="357"/>
      <c r="U437" s="357"/>
      <c r="V437" s="357"/>
      <c r="W437" s="8"/>
      <c r="X437" s="8"/>
      <c r="Y437" s="8"/>
      <c r="Z437" s="8"/>
      <c r="AA437" s="8"/>
      <c r="AB437" s="8"/>
    </row>
    <row r="438">
      <c r="A438" s="8"/>
      <c r="B438" s="8"/>
      <c r="C438" s="8"/>
      <c r="D438" s="8"/>
      <c r="E438" s="8"/>
      <c r="F438" s="356"/>
      <c r="G438" s="8"/>
      <c r="H438" s="8"/>
      <c r="I438" s="8"/>
      <c r="J438" s="8"/>
      <c r="K438" s="8"/>
      <c r="L438" s="8"/>
      <c r="M438" s="8"/>
      <c r="N438" s="8"/>
      <c r="O438" s="8"/>
      <c r="P438" s="8"/>
      <c r="Q438" s="8"/>
      <c r="R438" s="8"/>
      <c r="S438" s="357"/>
      <c r="T438" s="357"/>
      <c r="U438" s="357"/>
      <c r="V438" s="357"/>
      <c r="W438" s="8"/>
      <c r="X438" s="8"/>
      <c r="Y438" s="8"/>
      <c r="Z438" s="8"/>
      <c r="AA438" s="8"/>
      <c r="AB438" s="8"/>
    </row>
    <row r="439">
      <c r="A439" s="8"/>
      <c r="B439" s="8"/>
      <c r="C439" s="8"/>
      <c r="D439" s="8"/>
      <c r="E439" s="8"/>
      <c r="F439" s="356"/>
      <c r="G439" s="8"/>
      <c r="H439" s="8"/>
      <c r="I439" s="8"/>
      <c r="J439" s="8"/>
      <c r="K439" s="8"/>
      <c r="L439" s="8"/>
      <c r="M439" s="8"/>
      <c r="N439" s="8"/>
      <c r="O439" s="8"/>
      <c r="P439" s="8"/>
      <c r="Q439" s="8"/>
      <c r="R439" s="8"/>
      <c r="S439" s="357"/>
      <c r="T439" s="357"/>
      <c r="U439" s="357"/>
      <c r="V439" s="357"/>
      <c r="W439" s="8"/>
      <c r="X439" s="8"/>
      <c r="Y439" s="8"/>
      <c r="Z439" s="8"/>
      <c r="AA439" s="8"/>
      <c r="AB439" s="8"/>
    </row>
    <row r="440">
      <c r="A440" s="8"/>
      <c r="B440" s="8"/>
      <c r="C440" s="8"/>
      <c r="D440" s="8"/>
      <c r="E440" s="8"/>
      <c r="F440" s="356"/>
      <c r="G440" s="8"/>
      <c r="H440" s="8"/>
      <c r="I440" s="8"/>
      <c r="J440" s="8"/>
      <c r="K440" s="8"/>
      <c r="L440" s="8"/>
      <c r="M440" s="8"/>
      <c r="N440" s="8"/>
      <c r="O440" s="8"/>
      <c r="P440" s="8"/>
      <c r="Q440" s="8"/>
      <c r="R440" s="8"/>
      <c r="S440" s="357"/>
      <c r="T440" s="357"/>
      <c r="U440" s="357"/>
      <c r="V440" s="357"/>
      <c r="W440" s="8"/>
      <c r="X440" s="8"/>
      <c r="Y440" s="8"/>
      <c r="Z440" s="8"/>
      <c r="AA440" s="8"/>
      <c r="AB440" s="8"/>
    </row>
    <row r="441">
      <c r="A441" s="8"/>
      <c r="B441" s="8"/>
      <c r="C441" s="8"/>
      <c r="D441" s="8"/>
      <c r="E441" s="8"/>
      <c r="F441" s="356"/>
      <c r="G441" s="8"/>
      <c r="H441" s="8"/>
      <c r="I441" s="8"/>
      <c r="J441" s="8"/>
      <c r="K441" s="8"/>
      <c r="L441" s="8"/>
      <c r="M441" s="8"/>
      <c r="N441" s="8"/>
      <c r="O441" s="8"/>
      <c r="P441" s="8"/>
      <c r="Q441" s="8"/>
      <c r="R441" s="8"/>
      <c r="S441" s="357"/>
      <c r="T441" s="357"/>
      <c r="U441" s="357"/>
      <c r="V441" s="357"/>
      <c r="W441" s="8"/>
      <c r="X441" s="8"/>
      <c r="Y441" s="8"/>
      <c r="Z441" s="8"/>
      <c r="AA441" s="8"/>
      <c r="AB441" s="8"/>
    </row>
    <row r="442">
      <c r="A442" s="8"/>
      <c r="B442" s="8"/>
      <c r="C442" s="8"/>
      <c r="D442" s="8"/>
      <c r="E442" s="8"/>
      <c r="F442" s="356"/>
      <c r="G442" s="8"/>
      <c r="H442" s="8"/>
      <c r="I442" s="8"/>
      <c r="J442" s="8"/>
      <c r="K442" s="8"/>
      <c r="L442" s="8"/>
      <c r="M442" s="8"/>
      <c r="N442" s="8"/>
      <c r="O442" s="8"/>
      <c r="P442" s="8"/>
      <c r="Q442" s="8"/>
      <c r="R442" s="8"/>
      <c r="S442" s="357"/>
      <c r="T442" s="357"/>
      <c r="U442" s="357"/>
      <c r="V442" s="357"/>
      <c r="W442" s="8"/>
      <c r="X442" s="8"/>
      <c r="Y442" s="8"/>
      <c r="Z442" s="8"/>
      <c r="AA442" s="8"/>
      <c r="AB442" s="8"/>
    </row>
    <row r="443">
      <c r="A443" s="8"/>
      <c r="B443" s="8"/>
      <c r="C443" s="8"/>
      <c r="D443" s="8"/>
      <c r="E443" s="8"/>
      <c r="F443" s="356"/>
      <c r="G443" s="8"/>
      <c r="H443" s="8"/>
      <c r="I443" s="8"/>
      <c r="J443" s="8"/>
      <c r="K443" s="8"/>
      <c r="L443" s="8"/>
      <c r="M443" s="8"/>
      <c r="N443" s="8"/>
      <c r="O443" s="8"/>
      <c r="P443" s="8"/>
      <c r="Q443" s="8"/>
      <c r="R443" s="8"/>
      <c r="S443" s="357"/>
      <c r="T443" s="357"/>
      <c r="U443" s="357"/>
      <c r="V443" s="357"/>
      <c r="W443" s="8"/>
      <c r="X443" s="8"/>
      <c r="Y443" s="8"/>
      <c r="Z443" s="8"/>
      <c r="AA443" s="8"/>
      <c r="AB443" s="8"/>
    </row>
    <row r="444">
      <c r="A444" s="8"/>
      <c r="B444" s="8"/>
      <c r="C444" s="8"/>
      <c r="D444" s="8"/>
      <c r="E444" s="8"/>
      <c r="F444" s="356"/>
      <c r="G444" s="8"/>
      <c r="H444" s="8"/>
      <c r="I444" s="8"/>
      <c r="J444" s="8"/>
      <c r="K444" s="8"/>
      <c r="L444" s="8"/>
      <c r="M444" s="8"/>
      <c r="N444" s="8"/>
      <c r="O444" s="8"/>
      <c r="P444" s="8"/>
      <c r="Q444" s="8"/>
      <c r="R444" s="8"/>
      <c r="S444" s="357"/>
      <c r="T444" s="357"/>
      <c r="U444" s="357"/>
      <c r="V444" s="357"/>
      <c r="W444" s="8"/>
      <c r="X444" s="8"/>
      <c r="Y444" s="8"/>
      <c r="Z444" s="8"/>
      <c r="AA444" s="8"/>
      <c r="AB444" s="8"/>
    </row>
    <row r="445">
      <c r="A445" s="8"/>
      <c r="B445" s="8"/>
      <c r="C445" s="8"/>
      <c r="D445" s="8"/>
      <c r="E445" s="8"/>
      <c r="F445" s="356"/>
      <c r="G445" s="8"/>
      <c r="H445" s="8"/>
      <c r="I445" s="8"/>
      <c r="J445" s="8"/>
      <c r="K445" s="8"/>
      <c r="L445" s="8"/>
      <c r="M445" s="8"/>
      <c r="N445" s="8"/>
      <c r="O445" s="8"/>
      <c r="P445" s="8"/>
      <c r="Q445" s="8"/>
      <c r="R445" s="8"/>
      <c r="S445" s="357"/>
      <c r="T445" s="357"/>
      <c r="U445" s="357"/>
      <c r="V445" s="357"/>
      <c r="W445" s="8"/>
      <c r="X445" s="8"/>
      <c r="Y445" s="8"/>
      <c r="Z445" s="8"/>
      <c r="AA445" s="8"/>
      <c r="AB445" s="8"/>
    </row>
    <row r="446">
      <c r="A446" s="8"/>
      <c r="B446" s="8"/>
      <c r="C446" s="8"/>
      <c r="D446" s="8"/>
      <c r="E446" s="8"/>
      <c r="F446" s="356"/>
      <c r="G446" s="8"/>
      <c r="H446" s="8"/>
      <c r="I446" s="8"/>
      <c r="J446" s="8"/>
      <c r="K446" s="8"/>
      <c r="L446" s="8"/>
      <c r="M446" s="8"/>
      <c r="N446" s="8"/>
      <c r="O446" s="8"/>
      <c r="P446" s="8"/>
      <c r="Q446" s="8"/>
      <c r="R446" s="8"/>
      <c r="S446" s="357"/>
      <c r="T446" s="357"/>
      <c r="U446" s="357"/>
      <c r="V446" s="357"/>
      <c r="W446" s="8"/>
      <c r="X446" s="8"/>
      <c r="Y446" s="8"/>
      <c r="Z446" s="8"/>
      <c r="AA446" s="8"/>
      <c r="AB446" s="8"/>
    </row>
    <row r="447">
      <c r="A447" s="8"/>
      <c r="B447" s="8"/>
      <c r="C447" s="8"/>
      <c r="D447" s="8"/>
      <c r="E447" s="8"/>
      <c r="F447" s="356"/>
      <c r="G447" s="8"/>
      <c r="H447" s="8"/>
      <c r="I447" s="8"/>
      <c r="J447" s="8"/>
      <c r="K447" s="8"/>
      <c r="L447" s="8"/>
      <c r="M447" s="8"/>
      <c r="N447" s="8"/>
      <c r="O447" s="8"/>
      <c r="P447" s="8"/>
      <c r="Q447" s="8"/>
      <c r="R447" s="8"/>
      <c r="S447" s="357"/>
      <c r="T447" s="357"/>
      <c r="U447" s="357"/>
      <c r="V447" s="357"/>
      <c r="W447" s="8"/>
      <c r="X447" s="8"/>
      <c r="Y447" s="8"/>
      <c r="Z447" s="8"/>
      <c r="AA447" s="8"/>
      <c r="AB447" s="8"/>
    </row>
    <row r="448">
      <c r="A448" s="8"/>
      <c r="B448" s="8"/>
      <c r="C448" s="8"/>
      <c r="D448" s="8"/>
      <c r="E448" s="8"/>
      <c r="F448" s="356"/>
      <c r="G448" s="8"/>
      <c r="H448" s="8"/>
      <c r="I448" s="8"/>
      <c r="J448" s="8"/>
      <c r="K448" s="8"/>
      <c r="L448" s="8"/>
      <c r="M448" s="8"/>
      <c r="N448" s="8"/>
      <c r="O448" s="8"/>
      <c r="P448" s="8"/>
      <c r="Q448" s="8"/>
      <c r="R448" s="8"/>
      <c r="S448" s="357"/>
      <c r="T448" s="357"/>
      <c r="U448" s="357"/>
      <c r="V448" s="357"/>
      <c r="W448" s="8"/>
      <c r="X448" s="8"/>
      <c r="Y448" s="8"/>
      <c r="Z448" s="8"/>
      <c r="AA448" s="8"/>
      <c r="AB448" s="8"/>
    </row>
    <row r="449">
      <c r="A449" s="8"/>
      <c r="B449" s="8"/>
      <c r="C449" s="8"/>
      <c r="D449" s="8"/>
      <c r="E449" s="8"/>
      <c r="F449" s="356"/>
      <c r="G449" s="8"/>
      <c r="H449" s="8"/>
      <c r="I449" s="8"/>
      <c r="J449" s="8"/>
      <c r="K449" s="8"/>
      <c r="L449" s="8"/>
      <c r="M449" s="8"/>
      <c r="N449" s="8"/>
      <c r="O449" s="8"/>
      <c r="P449" s="8"/>
      <c r="Q449" s="8"/>
      <c r="R449" s="8"/>
      <c r="S449" s="357"/>
      <c r="T449" s="357"/>
      <c r="U449" s="357"/>
      <c r="V449" s="357"/>
      <c r="W449" s="8"/>
      <c r="X449" s="8"/>
      <c r="Y449" s="8"/>
      <c r="Z449" s="8"/>
      <c r="AA449" s="8"/>
      <c r="AB449" s="8"/>
    </row>
    <row r="450">
      <c r="A450" s="8"/>
      <c r="B450" s="8"/>
      <c r="C450" s="8"/>
      <c r="D450" s="8"/>
      <c r="E450" s="8"/>
      <c r="F450" s="356"/>
      <c r="G450" s="8"/>
      <c r="H450" s="8"/>
      <c r="I450" s="8"/>
      <c r="J450" s="8"/>
      <c r="K450" s="8"/>
      <c r="L450" s="8"/>
      <c r="M450" s="8"/>
      <c r="N450" s="8"/>
      <c r="O450" s="8"/>
      <c r="P450" s="8"/>
      <c r="Q450" s="8"/>
      <c r="R450" s="8"/>
      <c r="S450" s="357"/>
      <c r="T450" s="357"/>
      <c r="U450" s="357"/>
      <c r="V450" s="357"/>
      <c r="W450" s="8"/>
      <c r="X450" s="8"/>
      <c r="Y450" s="8"/>
      <c r="Z450" s="8"/>
      <c r="AA450" s="8"/>
      <c r="AB450" s="8"/>
    </row>
    <row r="451">
      <c r="A451" s="8"/>
      <c r="B451" s="8"/>
      <c r="C451" s="8"/>
      <c r="D451" s="8"/>
      <c r="E451" s="8"/>
      <c r="F451" s="356"/>
      <c r="G451" s="8"/>
      <c r="H451" s="8"/>
      <c r="I451" s="8"/>
      <c r="J451" s="8"/>
      <c r="K451" s="8"/>
      <c r="L451" s="8"/>
      <c r="M451" s="8"/>
      <c r="N451" s="8"/>
      <c r="O451" s="8"/>
      <c r="P451" s="8"/>
      <c r="Q451" s="8"/>
      <c r="R451" s="8"/>
      <c r="S451" s="357"/>
      <c r="T451" s="357"/>
      <c r="U451" s="357"/>
      <c r="V451" s="357"/>
      <c r="W451" s="8"/>
      <c r="X451" s="8"/>
      <c r="Y451" s="8"/>
      <c r="Z451" s="8"/>
      <c r="AA451" s="8"/>
      <c r="AB451" s="8"/>
    </row>
    <row r="452">
      <c r="A452" s="8"/>
      <c r="B452" s="8"/>
      <c r="C452" s="8"/>
      <c r="D452" s="8"/>
      <c r="E452" s="8"/>
      <c r="F452" s="356"/>
      <c r="G452" s="8"/>
      <c r="H452" s="8"/>
      <c r="I452" s="8"/>
      <c r="J452" s="8"/>
      <c r="K452" s="8"/>
      <c r="L452" s="8"/>
      <c r="M452" s="8"/>
      <c r="N452" s="8"/>
      <c r="O452" s="8"/>
      <c r="P452" s="8"/>
      <c r="Q452" s="8"/>
      <c r="R452" s="8"/>
      <c r="S452" s="357"/>
      <c r="T452" s="357"/>
      <c r="U452" s="357"/>
      <c r="V452" s="357"/>
      <c r="W452" s="8"/>
      <c r="X452" s="8"/>
      <c r="Y452" s="8"/>
      <c r="Z452" s="8"/>
      <c r="AA452" s="8"/>
      <c r="AB452" s="8"/>
    </row>
    <row r="453">
      <c r="A453" s="8"/>
      <c r="B453" s="8"/>
      <c r="C453" s="8"/>
      <c r="D453" s="8"/>
      <c r="E453" s="8"/>
      <c r="F453" s="356"/>
      <c r="G453" s="8"/>
      <c r="H453" s="8"/>
      <c r="I453" s="8"/>
      <c r="J453" s="8"/>
      <c r="K453" s="8"/>
      <c r="L453" s="8"/>
      <c r="M453" s="8"/>
      <c r="N453" s="8"/>
      <c r="O453" s="8"/>
      <c r="P453" s="8"/>
      <c r="Q453" s="8"/>
      <c r="R453" s="8"/>
      <c r="S453" s="357"/>
      <c r="T453" s="357"/>
      <c r="U453" s="357"/>
      <c r="V453" s="357"/>
      <c r="W453" s="8"/>
      <c r="X453" s="8"/>
      <c r="Y453" s="8"/>
      <c r="Z453" s="8"/>
      <c r="AA453" s="8"/>
      <c r="AB453" s="8"/>
    </row>
    <row r="454">
      <c r="A454" s="8"/>
      <c r="B454" s="8"/>
      <c r="C454" s="8"/>
      <c r="D454" s="8"/>
      <c r="E454" s="8"/>
      <c r="F454" s="356"/>
      <c r="G454" s="8"/>
      <c r="H454" s="8"/>
      <c r="I454" s="8"/>
      <c r="J454" s="8"/>
      <c r="K454" s="8"/>
      <c r="L454" s="8"/>
      <c r="M454" s="8"/>
      <c r="N454" s="8"/>
      <c r="O454" s="8"/>
      <c r="P454" s="8"/>
      <c r="Q454" s="8"/>
      <c r="R454" s="8"/>
      <c r="S454" s="357"/>
      <c r="T454" s="357"/>
      <c r="U454" s="357"/>
      <c r="V454" s="357"/>
      <c r="W454" s="8"/>
      <c r="X454" s="8"/>
      <c r="Y454" s="8"/>
      <c r="Z454" s="8"/>
      <c r="AA454" s="8"/>
      <c r="AB454" s="8"/>
    </row>
    <row r="455">
      <c r="A455" s="8"/>
      <c r="B455" s="8"/>
      <c r="C455" s="8"/>
      <c r="D455" s="8"/>
      <c r="E455" s="8"/>
      <c r="F455" s="356"/>
      <c r="G455" s="8"/>
      <c r="H455" s="8"/>
      <c r="I455" s="8"/>
      <c r="J455" s="8"/>
      <c r="K455" s="8"/>
      <c r="L455" s="8"/>
      <c r="M455" s="8"/>
      <c r="N455" s="8"/>
      <c r="O455" s="8"/>
      <c r="P455" s="8"/>
      <c r="Q455" s="8"/>
      <c r="R455" s="8"/>
      <c r="S455" s="357"/>
      <c r="T455" s="357"/>
      <c r="U455" s="357"/>
      <c r="V455" s="357"/>
      <c r="W455" s="8"/>
      <c r="X455" s="8"/>
      <c r="Y455" s="8"/>
      <c r="Z455" s="8"/>
      <c r="AA455" s="8"/>
      <c r="AB455" s="8"/>
    </row>
    <row r="456">
      <c r="A456" s="8"/>
      <c r="B456" s="8"/>
      <c r="C456" s="8"/>
      <c r="D456" s="8"/>
      <c r="E456" s="8"/>
      <c r="F456" s="356"/>
      <c r="G456" s="8"/>
      <c r="H456" s="8"/>
      <c r="I456" s="8"/>
      <c r="J456" s="8"/>
      <c r="K456" s="8"/>
      <c r="L456" s="8"/>
      <c r="M456" s="8"/>
      <c r="N456" s="8"/>
      <c r="O456" s="8"/>
      <c r="P456" s="8"/>
      <c r="Q456" s="8"/>
      <c r="R456" s="8"/>
      <c r="S456" s="357"/>
      <c r="T456" s="357"/>
      <c r="U456" s="357"/>
      <c r="V456" s="357"/>
      <c r="W456" s="8"/>
      <c r="X456" s="8"/>
      <c r="Y456" s="8"/>
      <c r="Z456" s="8"/>
      <c r="AA456" s="8"/>
      <c r="AB456" s="8"/>
    </row>
    <row r="457">
      <c r="A457" s="8"/>
      <c r="B457" s="8"/>
      <c r="C457" s="8"/>
      <c r="D457" s="8"/>
      <c r="E457" s="8"/>
      <c r="F457" s="356"/>
      <c r="G457" s="8"/>
      <c r="H457" s="8"/>
      <c r="I457" s="8"/>
      <c r="J457" s="8"/>
      <c r="K457" s="8"/>
      <c r="L457" s="8"/>
      <c r="M457" s="8"/>
      <c r="N457" s="8"/>
      <c r="O457" s="8"/>
      <c r="P457" s="8"/>
      <c r="Q457" s="8"/>
      <c r="R457" s="8"/>
      <c r="S457" s="357"/>
      <c r="T457" s="357"/>
      <c r="U457" s="357"/>
      <c r="V457" s="357"/>
      <c r="W457" s="8"/>
      <c r="X457" s="8"/>
      <c r="Y457" s="8"/>
      <c r="Z457" s="8"/>
      <c r="AA457" s="8"/>
      <c r="AB457" s="8"/>
    </row>
    <row r="458">
      <c r="A458" s="8"/>
      <c r="B458" s="8"/>
      <c r="C458" s="8"/>
      <c r="D458" s="8"/>
      <c r="E458" s="8"/>
      <c r="F458" s="356"/>
      <c r="G458" s="8"/>
      <c r="H458" s="8"/>
      <c r="I458" s="8"/>
      <c r="J458" s="8"/>
      <c r="K458" s="8"/>
      <c r="L458" s="8"/>
      <c r="M458" s="8"/>
      <c r="N458" s="8"/>
      <c r="O458" s="8"/>
      <c r="P458" s="8"/>
      <c r="Q458" s="8"/>
      <c r="R458" s="8"/>
      <c r="S458" s="357"/>
      <c r="T458" s="357"/>
      <c r="U458" s="357"/>
      <c r="V458" s="357"/>
      <c r="W458" s="8"/>
      <c r="X458" s="8"/>
      <c r="Y458" s="8"/>
      <c r="Z458" s="8"/>
      <c r="AA458" s="8"/>
      <c r="AB458" s="8"/>
    </row>
    <row r="459">
      <c r="A459" s="8"/>
      <c r="B459" s="8"/>
      <c r="C459" s="8"/>
      <c r="D459" s="8"/>
      <c r="E459" s="8"/>
      <c r="F459" s="356"/>
      <c r="G459" s="8"/>
      <c r="H459" s="8"/>
      <c r="I459" s="8"/>
      <c r="J459" s="8"/>
      <c r="K459" s="8"/>
      <c r="L459" s="8"/>
      <c r="M459" s="8"/>
      <c r="N459" s="8"/>
      <c r="O459" s="8"/>
      <c r="P459" s="8"/>
      <c r="Q459" s="8"/>
      <c r="R459" s="8"/>
      <c r="S459" s="357"/>
      <c r="T459" s="357"/>
      <c r="U459" s="357"/>
      <c r="V459" s="357"/>
      <c r="W459" s="8"/>
      <c r="X459" s="8"/>
      <c r="Y459" s="8"/>
      <c r="Z459" s="8"/>
      <c r="AA459" s="8"/>
      <c r="AB459" s="8"/>
    </row>
    <row r="460">
      <c r="A460" s="8"/>
      <c r="B460" s="8"/>
      <c r="C460" s="8"/>
      <c r="D460" s="8"/>
      <c r="E460" s="8"/>
      <c r="F460" s="356"/>
      <c r="G460" s="8"/>
      <c r="H460" s="8"/>
      <c r="I460" s="8"/>
      <c r="J460" s="8"/>
      <c r="K460" s="8"/>
      <c r="L460" s="8"/>
      <c r="M460" s="8"/>
      <c r="N460" s="8"/>
      <c r="O460" s="8"/>
      <c r="P460" s="8"/>
      <c r="Q460" s="8"/>
      <c r="R460" s="8"/>
      <c r="S460" s="357"/>
      <c r="T460" s="357"/>
      <c r="U460" s="357"/>
      <c r="V460" s="357"/>
      <c r="W460" s="8"/>
      <c r="X460" s="8"/>
      <c r="Y460" s="8"/>
      <c r="Z460" s="8"/>
      <c r="AA460" s="8"/>
      <c r="AB460" s="8"/>
    </row>
    <row r="461">
      <c r="A461" s="8"/>
      <c r="B461" s="8"/>
      <c r="C461" s="8"/>
      <c r="D461" s="8"/>
      <c r="E461" s="8"/>
      <c r="F461" s="356"/>
      <c r="G461" s="8"/>
      <c r="H461" s="8"/>
      <c r="I461" s="8"/>
      <c r="J461" s="8"/>
      <c r="K461" s="8"/>
      <c r="L461" s="8"/>
      <c r="M461" s="8"/>
      <c r="N461" s="8"/>
      <c r="O461" s="8"/>
      <c r="P461" s="8"/>
      <c r="Q461" s="8"/>
      <c r="R461" s="8"/>
      <c r="S461" s="357"/>
      <c r="T461" s="357"/>
      <c r="U461" s="357"/>
      <c r="V461" s="357"/>
      <c r="W461" s="8"/>
      <c r="X461" s="8"/>
      <c r="Y461" s="8"/>
      <c r="Z461" s="8"/>
      <c r="AA461" s="8"/>
      <c r="AB461" s="8"/>
    </row>
    <row r="462">
      <c r="A462" s="8"/>
      <c r="B462" s="8"/>
      <c r="C462" s="8"/>
      <c r="D462" s="8"/>
      <c r="E462" s="8"/>
      <c r="F462" s="356"/>
      <c r="G462" s="8"/>
      <c r="H462" s="8"/>
      <c r="I462" s="8"/>
      <c r="J462" s="8"/>
      <c r="K462" s="8"/>
      <c r="L462" s="8"/>
      <c r="M462" s="8"/>
      <c r="N462" s="8"/>
      <c r="O462" s="8"/>
      <c r="P462" s="8"/>
      <c r="Q462" s="8"/>
      <c r="R462" s="8"/>
      <c r="S462" s="357"/>
      <c r="T462" s="357"/>
      <c r="U462" s="357"/>
      <c r="V462" s="357"/>
      <c r="W462" s="8"/>
      <c r="X462" s="8"/>
      <c r="Y462" s="8"/>
      <c r="Z462" s="8"/>
      <c r="AA462" s="8"/>
      <c r="AB462" s="8"/>
    </row>
    <row r="463">
      <c r="A463" s="8"/>
      <c r="B463" s="8"/>
      <c r="C463" s="8"/>
      <c r="D463" s="8"/>
      <c r="E463" s="8"/>
      <c r="F463" s="356"/>
      <c r="G463" s="8"/>
      <c r="H463" s="8"/>
      <c r="I463" s="8"/>
      <c r="J463" s="8"/>
      <c r="K463" s="8"/>
      <c r="L463" s="8"/>
      <c r="M463" s="8"/>
      <c r="N463" s="8"/>
      <c r="O463" s="8"/>
      <c r="P463" s="8"/>
      <c r="Q463" s="8"/>
      <c r="R463" s="8"/>
      <c r="S463" s="357"/>
      <c r="T463" s="357"/>
      <c r="U463" s="357"/>
      <c r="V463" s="357"/>
      <c r="W463" s="8"/>
      <c r="X463" s="8"/>
      <c r="Y463" s="8"/>
      <c r="Z463" s="8"/>
      <c r="AA463" s="8"/>
      <c r="AB463" s="8"/>
    </row>
    <row r="464">
      <c r="A464" s="8"/>
      <c r="B464" s="8"/>
      <c r="C464" s="8"/>
      <c r="D464" s="8"/>
      <c r="E464" s="8"/>
      <c r="F464" s="356"/>
      <c r="G464" s="8"/>
      <c r="H464" s="8"/>
      <c r="I464" s="8"/>
      <c r="J464" s="8"/>
      <c r="K464" s="8"/>
      <c r="L464" s="8"/>
      <c r="M464" s="8"/>
      <c r="N464" s="8"/>
      <c r="O464" s="8"/>
      <c r="P464" s="8"/>
      <c r="Q464" s="8"/>
      <c r="R464" s="8"/>
      <c r="S464" s="357"/>
      <c r="T464" s="357"/>
      <c r="U464" s="357"/>
      <c r="V464" s="357"/>
      <c r="W464" s="8"/>
      <c r="X464" s="8"/>
      <c r="Y464" s="8"/>
      <c r="Z464" s="8"/>
      <c r="AA464" s="8"/>
      <c r="AB464" s="8"/>
    </row>
    <row r="465">
      <c r="A465" s="8"/>
      <c r="B465" s="8"/>
      <c r="C465" s="8"/>
      <c r="D465" s="8"/>
      <c r="E465" s="8"/>
      <c r="F465" s="356"/>
      <c r="G465" s="8"/>
      <c r="H465" s="8"/>
      <c r="I465" s="8"/>
      <c r="J465" s="8"/>
      <c r="K465" s="8"/>
      <c r="L465" s="8"/>
      <c r="M465" s="8"/>
      <c r="N465" s="8"/>
      <c r="O465" s="8"/>
      <c r="P465" s="8"/>
      <c r="Q465" s="8"/>
      <c r="R465" s="8"/>
      <c r="S465" s="357"/>
      <c r="T465" s="357"/>
      <c r="U465" s="357"/>
      <c r="V465" s="357"/>
      <c r="W465" s="8"/>
      <c r="X465" s="8"/>
      <c r="Y465" s="8"/>
      <c r="Z465" s="8"/>
      <c r="AA465" s="8"/>
      <c r="AB465" s="8"/>
    </row>
    <row r="466">
      <c r="A466" s="8"/>
      <c r="B466" s="8"/>
      <c r="C466" s="8"/>
      <c r="D466" s="8"/>
      <c r="E466" s="8"/>
      <c r="F466" s="356"/>
      <c r="G466" s="8"/>
      <c r="H466" s="8"/>
      <c r="I466" s="8"/>
      <c r="J466" s="8"/>
      <c r="K466" s="8"/>
      <c r="L466" s="8"/>
      <c r="M466" s="8"/>
      <c r="N466" s="8"/>
      <c r="O466" s="8"/>
      <c r="P466" s="8"/>
      <c r="Q466" s="8"/>
      <c r="R466" s="8"/>
      <c r="S466" s="357"/>
      <c r="T466" s="357"/>
      <c r="U466" s="357"/>
      <c r="V466" s="357"/>
      <c r="W466" s="8"/>
      <c r="X466" s="8"/>
      <c r="Y466" s="8"/>
      <c r="Z466" s="8"/>
      <c r="AA466" s="8"/>
      <c r="AB466" s="8"/>
    </row>
    <row r="467">
      <c r="A467" s="8"/>
      <c r="B467" s="8"/>
      <c r="C467" s="8"/>
      <c r="D467" s="8"/>
      <c r="E467" s="8"/>
      <c r="F467" s="356"/>
      <c r="G467" s="8"/>
      <c r="H467" s="8"/>
      <c r="I467" s="8"/>
      <c r="J467" s="8"/>
      <c r="K467" s="8"/>
      <c r="L467" s="8"/>
      <c r="M467" s="8"/>
      <c r="N467" s="8"/>
      <c r="O467" s="8"/>
      <c r="P467" s="8"/>
      <c r="Q467" s="8"/>
      <c r="R467" s="8"/>
      <c r="S467" s="357"/>
      <c r="T467" s="357"/>
      <c r="U467" s="357"/>
      <c r="V467" s="357"/>
      <c r="W467" s="8"/>
      <c r="X467" s="8"/>
      <c r="Y467" s="8"/>
      <c r="Z467" s="8"/>
      <c r="AA467" s="8"/>
      <c r="AB467" s="8"/>
    </row>
    <row r="468">
      <c r="A468" s="8"/>
      <c r="B468" s="8"/>
      <c r="C468" s="8"/>
      <c r="D468" s="8"/>
      <c r="E468" s="8"/>
      <c r="F468" s="356"/>
      <c r="G468" s="8"/>
      <c r="H468" s="8"/>
      <c r="I468" s="8"/>
      <c r="J468" s="8"/>
      <c r="K468" s="8"/>
      <c r="L468" s="8"/>
      <c r="M468" s="8"/>
      <c r="N468" s="8"/>
      <c r="O468" s="8"/>
      <c r="P468" s="8"/>
      <c r="Q468" s="8"/>
      <c r="R468" s="8"/>
      <c r="S468" s="357"/>
      <c r="T468" s="357"/>
      <c r="U468" s="357"/>
      <c r="V468" s="357"/>
      <c r="W468" s="8"/>
      <c r="X468" s="8"/>
      <c r="Y468" s="8"/>
      <c r="Z468" s="8"/>
      <c r="AA468" s="8"/>
      <c r="AB468" s="8"/>
    </row>
    <row r="469">
      <c r="A469" s="8"/>
      <c r="B469" s="8"/>
      <c r="C469" s="8"/>
      <c r="D469" s="8"/>
      <c r="E469" s="8"/>
      <c r="F469" s="356"/>
      <c r="G469" s="8"/>
      <c r="H469" s="8"/>
      <c r="I469" s="8"/>
      <c r="J469" s="8"/>
      <c r="K469" s="8"/>
      <c r="L469" s="8"/>
      <c r="M469" s="8"/>
      <c r="N469" s="8"/>
      <c r="O469" s="8"/>
      <c r="P469" s="8"/>
      <c r="Q469" s="8"/>
      <c r="R469" s="8"/>
      <c r="S469" s="357"/>
      <c r="T469" s="357"/>
      <c r="U469" s="357"/>
      <c r="V469" s="357"/>
      <c r="W469" s="8"/>
      <c r="X469" s="8"/>
      <c r="Y469" s="8"/>
      <c r="Z469" s="8"/>
      <c r="AA469" s="8"/>
      <c r="AB469" s="8"/>
    </row>
    <row r="470">
      <c r="A470" s="8"/>
      <c r="B470" s="8"/>
      <c r="C470" s="8"/>
      <c r="D470" s="8"/>
      <c r="E470" s="8"/>
      <c r="F470" s="356"/>
      <c r="G470" s="8"/>
      <c r="H470" s="8"/>
      <c r="I470" s="8"/>
      <c r="J470" s="8"/>
      <c r="K470" s="8"/>
      <c r="L470" s="8"/>
      <c r="M470" s="8"/>
      <c r="N470" s="8"/>
      <c r="O470" s="8"/>
      <c r="P470" s="8"/>
      <c r="Q470" s="8"/>
      <c r="R470" s="8"/>
      <c r="S470" s="357"/>
      <c r="T470" s="357"/>
      <c r="U470" s="357"/>
      <c r="V470" s="357"/>
      <c r="W470" s="8"/>
      <c r="X470" s="8"/>
      <c r="Y470" s="8"/>
      <c r="Z470" s="8"/>
      <c r="AA470" s="8"/>
      <c r="AB470" s="8"/>
    </row>
    <row r="471">
      <c r="A471" s="8"/>
      <c r="B471" s="8"/>
      <c r="C471" s="8"/>
      <c r="D471" s="8"/>
      <c r="E471" s="8"/>
      <c r="F471" s="356"/>
      <c r="G471" s="8"/>
      <c r="H471" s="8"/>
      <c r="I471" s="8"/>
      <c r="J471" s="8"/>
      <c r="K471" s="8"/>
      <c r="L471" s="8"/>
      <c r="M471" s="8"/>
      <c r="N471" s="8"/>
      <c r="O471" s="8"/>
      <c r="P471" s="8"/>
      <c r="Q471" s="8"/>
      <c r="R471" s="8"/>
      <c r="S471" s="357"/>
      <c r="T471" s="357"/>
      <c r="U471" s="357"/>
      <c r="V471" s="357"/>
      <c r="W471" s="8"/>
      <c r="X471" s="8"/>
      <c r="Y471" s="8"/>
      <c r="Z471" s="8"/>
      <c r="AA471" s="8"/>
      <c r="AB471" s="8"/>
    </row>
    <row r="472">
      <c r="A472" s="8"/>
      <c r="B472" s="8"/>
      <c r="C472" s="8"/>
      <c r="D472" s="8"/>
      <c r="E472" s="8"/>
      <c r="F472" s="356"/>
      <c r="G472" s="8"/>
      <c r="H472" s="8"/>
      <c r="I472" s="8"/>
      <c r="J472" s="8"/>
      <c r="K472" s="8"/>
      <c r="L472" s="8"/>
      <c r="M472" s="8"/>
      <c r="N472" s="8"/>
      <c r="O472" s="8"/>
      <c r="P472" s="8"/>
      <c r="Q472" s="8"/>
      <c r="R472" s="8"/>
      <c r="S472" s="357"/>
      <c r="T472" s="357"/>
      <c r="U472" s="357"/>
      <c r="V472" s="357"/>
      <c r="W472" s="8"/>
      <c r="X472" s="8"/>
      <c r="Y472" s="8"/>
      <c r="Z472" s="8"/>
      <c r="AA472" s="8"/>
      <c r="AB472" s="8"/>
    </row>
    <row r="473">
      <c r="A473" s="8"/>
      <c r="B473" s="8"/>
      <c r="C473" s="8"/>
      <c r="D473" s="8"/>
      <c r="E473" s="8"/>
      <c r="F473" s="356"/>
      <c r="G473" s="8"/>
      <c r="H473" s="8"/>
      <c r="I473" s="8"/>
      <c r="J473" s="8"/>
      <c r="K473" s="8"/>
      <c r="L473" s="8"/>
      <c r="M473" s="8"/>
      <c r="N473" s="8"/>
      <c r="O473" s="8"/>
      <c r="P473" s="8"/>
      <c r="Q473" s="8"/>
      <c r="R473" s="8"/>
      <c r="S473" s="357"/>
      <c r="T473" s="357"/>
      <c r="U473" s="357"/>
      <c r="V473" s="357"/>
      <c r="W473" s="8"/>
      <c r="X473" s="8"/>
      <c r="Y473" s="8"/>
      <c r="Z473" s="8"/>
      <c r="AA473" s="8"/>
      <c r="AB473" s="8"/>
    </row>
    <row r="474">
      <c r="A474" s="8"/>
      <c r="B474" s="8"/>
      <c r="C474" s="8"/>
      <c r="D474" s="8"/>
      <c r="E474" s="8"/>
      <c r="F474" s="356"/>
      <c r="G474" s="8"/>
      <c r="H474" s="8"/>
      <c r="I474" s="8"/>
      <c r="J474" s="8"/>
      <c r="K474" s="8"/>
      <c r="L474" s="8"/>
      <c r="M474" s="8"/>
      <c r="N474" s="8"/>
      <c r="O474" s="8"/>
      <c r="P474" s="8"/>
      <c r="Q474" s="8"/>
      <c r="R474" s="8"/>
      <c r="S474" s="357"/>
      <c r="T474" s="357"/>
      <c r="U474" s="357"/>
      <c r="V474" s="357"/>
      <c r="W474" s="8"/>
      <c r="X474" s="8"/>
      <c r="Y474" s="8"/>
      <c r="Z474" s="8"/>
      <c r="AA474" s="8"/>
      <c r="AB474" s="8"/>
    </row>
    <row r="475">
      <c r="A475" s="8"/>
      <c r="B475" s="8"/>
      <c r="C475" s="8"/>
      <c r="D475" s="8"/>
      <c r="E475" s="8"/>
      <c r="F475" s="356"/>
      <c r="G475" s="8"/>
      <c r="H475" s="8"/>
      <c r="I475" s="8"/>
      <c r="J475" s="8"/>
      <c r="K475" s="8"/>
      <c r="L475" s="8"/>
      <c r="M475" s="8"/>
      <c r="N475" s="8"/>
      <c r="O475" s="8"/>
      <c r="P475" s="8"/>
      <c r="Q475" s="8"/>
      <c r="R475" s="8"/>
      <c r="S475" s="357"/>
      <c r="T475" s="357"/>
      <c r="U475" s="357"/>
      <c r="V475" s="357"/>
      <c r="W475" s="8"/>
      <c r="X475" s="8"/>
      <c r="Y475" s="8"/>
      <c r="Z475" s="8"/>
      <c r="AA475" s="8"/>
      <c r="AB475" s="8"/>
    </row>
    <row r="476">
      <c r="A476" s="8"/>
      <c r="B476" s="8"/>
      <c r="C476" s="8"/>
      <c r="D476" s="8"/>
      <c r="E476" s="8"/>
      <c r="F476" s="356"/>
      <c r="G476" s="8"/>
      <c r="H476" s="8"/>
      <c r="I476" s="8"/>
      <c r="J476" s="8"/>
      <c r="K476" s="8"/>
      <c r="L476" s="8"/>
      <c r="M476" s="8"/>
      <c r="N476" s="8"/>
      <c r="O476" s="8"/>
      <c r="P476" s="8"/>
      <c r="Q476" s="8"/>
      <c r="R476" s="8"/>
      <c r="S476" s="357"/>
      <c r="T476" s="357"/>
      <c r="U476" s="357"/>
      <c r="V476" s="357"/>
      <c r="W476" s="8"/>
      <c r="X476" s="8"/>
      <c r="Y476" s="8"/>
      <c r="Z476" s="8"/>
      <c r="AA476" s="8"/>
      <c r="AB476" s="8"/>
    </row>
    <row r="477">
      <c r="A477" s="8"/>
      <c r="B477" s="8"/>
      <c r="C477" s="8"/>
      <c r="D477" s="8"/>
      <c r="E477" s="8"/>
      <c r="F477" s="356"/>
      <c r="G477" s="8"/>
      <c r="H477" s="8"/>
      <c r="I477" s="8"/>
      <c r="J477" s="8"/>
      <c r="K477" s="8"/>
      <c r="L477" s="8"/>
      <c r="M477" s="8"/>
      <c r="N477" s="8"/>
      <c r="O477" s="8"/>
      <c r="P477" s="8"/>
      <c r="Q477" s="8"/>
      <c r="R477" s="8"/>
      <c r="S477" s="357"/>
      <c r="T477" s="357"/>
      <c r="U477" s="357"/>
      <c r="V477" s="357"/>
      <c r="W477" s="8"/>
      <c r="X477" s="8"/>
      <c r="Y477" s="8"/>
      <c r="Z477" s="8"/>
      <c r="AA477" s="8"/>
      <c r="AB477" s="8"/>
    </row>
    <row r="478">
      <c r="A478" s="8"/>
      <c r="B478" s="8"/>
      <c r="C478" s="8"/>
      <c r="D478" s="8"/>
      <c r="E478" s="8"/>
      <c r="F478" s="356"/>
      <c r="G478" s="8"/>
      <c r="H478" s="8"/>
      <c r="I478" s="8"/>
      <c r="J478" s="8"/>
      <c r="K478" s="8"/>
      <c r="L478" s="8"/>
      <c r="M478" s="8"/>
      <c r="N478" s="8"/>
      <c r="O478" s="8"/>
      <c r="P478" s="8"/>
      <c r="Q478" s="8"/>
      <c r="R478" s="8"/>
      <c r="S478" s="357"/>
      <c r="T478" s="357"/>
      <c r="U478" s="357"/>
      <c r="V478" s="357"/>
      <c r="W478" s="8"/>
      <c r="X478" s="8"/>
      <c r="Y478" s="8"/>
      <c r="Z478" s="8"/>
      <c r="AA478" s="8"/>
      <c r="AB478" s="8"/>
    </row>
    <row r="479">
      <c r="A479" s="8"/>
      <c r="B479" s="8"/>
      <c r="C479" s="8"/>
      <c r="D479" s="8"/>
      <c r="E479" s="8"/>
      <c r="F479" s="356"/>
      <c r="G479" s="8"/>
      <c r="H479" s="8"/>
      <c r="I479" s="8"/>
      <c r="J479" s="8"/>
      <c r="K479" s="8"/>
      <c r="L479" s="8"/>
      <c r="M479" s="8"/>
      <c r="N479" s="8"/>
      <c r="O479" s="8"/>
      <c r="P479" s="8"/>
      <c r="Q479" s="8"/>
      <c r="R479" s="8"/>
      <c r="S479" s="357"/>
      <c r="T479" s="357"/>
      <c r="U479" s="357"/>
      <c r="V479" s="357"/>
      <c r="W479" s="8"/>
      <c r="X479" s="8"/>
      <c r="Y479" s="8"/>
      <c r="Z479" s="8"/>
      <c r="AA479" s="8"/>
      <c r="AB479" s="8"/>
    </row>
    <row r="480">
      <c r="A480" s="8"/>
      <c r="B480" s="8"/>
      <c r="C480" s="8"/>
      <c r="D480" s="8"/>
      <c r="E480" s="8"/>
      <c r="F480" s="356"/>
      <c r="G480" s="8"/>
      <c r="H480" s="8"/>
      <c r="I480" s="8"/>
      <c r="J480" s="8"/>
      <c r="K480" s="8"/>
      <c r="L480" s="8"/>
      <c r="M480" s="8"/>
      <c r="N480" s="8"/>
      <c r="O480" s="8"/>
      <c r="P480" s="8"/>
      <c r="Q480" s="8"/>
      <c r="R480" s="8"/>
      <c r="S480" s="357"/>
      <c r="T480" s="357"/>
      <c r="U480" s="357"/>
      <c r="V480" s="357"/>
      <c r="W480" s="8"/>
      <c r="X480" s="8"/>
      <c r="Y480" s="8"/>
      <c r="Z480" s="8"/>
      <c r="AA480" s="8"/>
      <c r="AB480" s="8"/>
    </row>
    <row r="481">
      <c r="A481" s="8"/>
      <c r="B481" s="8"/>
      <c r="C481" s="8"/>
      <c r="D481" s="8"/>
      <c r="E481" s="8"/>
      <c r="F481" s="356"/>
      <c r="G481" s="8"/>
      <c r="H481" s="8"/>
      <c r="I481" s="8"/>
      <c r="J481" s="8"/>
      <c r="K481" s="8"/>
      <c r="L481" s="8"/>
      <c r="M481" s="8"/>
      <c r="N481" s="8"/>
      <c r="O481" s="8"/>
      <c r="P481" s="8"/>
      <c r="Q481" s="8"/>
      <c r="R481" s="8"/>
      <c r="S481" s="357"/>
      <c r="T481" s="357"/>
      <c r="U481" s="357"/>
      <c r="V481" s="357"/>
      <c r="W481" s="8"/>
      <c r="X481" s="8"/>
      <c r="Y481" s="8"/>
      <c r="Z481" s="8"/>
      <c r="AA481" s="8"/>
      <c r="AB481" s="8"/>
    </row>
    <row r="482">
      <c r="A482" s="8"/>
      <c r="B482" s="8"/>
      <c r="C482" s="8"/>
      <c r="D482" s="8"/>
      <c r="E482" s="8"/>
      <c r="F482" s="356"/>
      <c r="G482" s="8"/>
      <c r="H482" s="8"/>
      <c r="I482" s="8"/>
      <c r="J482" s="8"/>
      <c r="K482" s="8"/>
      <c r="L482" s="8"/>
      <c r="M482" s="8"/>
      <c r="N482" s="8"/>
      <c r="O482" s="8"/>
      <c r="P482" s="8"/>
      <c r="Q482" s="8"/>
      <c r="R482" s="8"/>
      <c r="S482" s="357"/>
      <c r="T482" s="357"/>
      <c r="U482" s="357"/>
      <c r="V482" s="357"/>
      <c r="W482" s="8"/>
      <c r="X482" s="8"/>
      <c r="Y482" s="8"/>
      <c r="Z482" s="8"/>
      <c r="AA482" s="8"/>
      <c r="AB482" s="8"/>
    </row>
    <row r="483">
      <c r="A483" s="8"/>
      <c r="B483" s="8"/>
      <c r="C483" s="8"/>
      <c r="D483" s="8"/>
      <c r="E483" s="8"/>
      <c r="F483" s="356"/>
      <c r="G483" s="8"/>
      <c r="H483" s="8"/>
      <c r="I483" s="8"/>
      <c r="J483" s="8"/>
      <c r="K483" s="8"/>
      <c r="L483" s="8"/>
      <c r="M483" s="8"/>
      <c r="N483" s="8"/>
      <c r="O483" s="8"/>
      <c r="P483" s="8"/>
      <c r="Q483" s="8"/>
      <c r="R483" s="8"/>
      <c r="S483" s="357"/>
      <c r="T483" s="357"/>
      <c r="U483" s="357"/>
      <c r="V483" s="357"/>
      <c r="W483" s="8"/>
      <c r="X483" s="8"/>
      <c r="Y483" s="8"/>
      <c r="Z483" s="8"/>
      <c r="AA483" s="8"/>
      <c r="AB483" s="8"/>
    </row>
    <row r="484">
      <c r="A484" s="8"/>
      <c r="B484" s="8"/>
      <c r="C484" s="8"/>
      <c r="D484" s="8"/>
      <c r="E484" s="8"/>
      <c r="F484" s="356"/>
      <c r="G484" s="8"/>
      <c r="H484" s="8"/>
      <c r="I484" s="8"/>
      <c r="J484" s="8"/>
      <c r="K484" s="8"/>
      <c r="L484" s="8"/>
      <c r="M484" s="8"/>
      <c r="N484" s="8"/>
      <c r="O484" s="8"/>
      <c r="P484" s="8"/>
      <c r="Q484" s="8"/>
      <c r="R484" s="8"/>
      <c r="S484" s="357"/>
      <c r="T484" s="357"/>
      <c r="U484" s="357"/>
      <c r="V484" s="357"/>
      <c r="W484" s="8"/>
      <c r="X484" s="8"/>
      <c r="Y484" s="8"/>
      <c r="Z484" s="8"/>
      <c r="AA484" s="8"/>
      <c r="AB484" s="8"/>
    </row>
    <row r="485">
      <c r="A485" s="8"/>
      <c r="B485" s="8"/>
      <c r="C485" s="8"/>
      <c r="D485" s="8"/>
      <c r="E485" s="8"/>
      <c r="F485" s="356"/>
      <c r="G485" s="8"/>
      <c r="H485" s="8"/>
      <c r="I485" s="8"/>
      <c r="J485" s="8"/>
      <c r="K485" s="8"/>
      <c r="L485" s="8"/>
      <c r="M485" s="8"/>
      <c r="N485" s="8"/>
      <c r="O485" s="8"/>
      <c r="P485" s="8"/>
      <c r="Q485" s="8"/>
      <c r="R485" s="8"/>
      <c r="S485" s="357"/>
      <c r="T485" s="357"/>
      <c r="U485" s="357"/>
      <c r="V485" s="357"/>
      <c r="W485" s="8"/>
      <c r="X485" s="8"/>
      <c r="Y485" s="8"/>
      <c r="Z485" s="8"/>
      <c r="AA485" s="8"/>
      <c r="AB485" s="8"/>
    </row>
    <row r="486">
      <c r="A486" s="8"/>
      <c r="B486" s="8"/>
      <c r="C486" s="8"/>
      <c r="D486" s="8"/>
      <c r="E486" s="8"/>
      <c r="F486" s="356"/>
      <c r="G486" s="8"/>
      <c r="H486" s="8"/>
      <c r="I486" s="8"/>
      <c r="J486" s="8"/>
      <c r="K486" s="8"/>
      <c r="L486" s="8"/>
      <c r="M486" s="8"/>
      <c r="N486" s="8"/>
      <c r="O486" s="8"/>
      <c r="P486" s="8"/>
      <c r="Q486" s="8"/>
      <c r="R486" s="8"/>
      <c r="S486" s="357"/>
      <c r="T486" s="357"/>
      <c r="U486" s="357"/>
      <c r="V486" s="357"/>
      <c r="W486" s="8"/>
      <c r="X486" s="8"/>
      <c r="Y486" s="8"/>
      <c r="Z486" s="8"/>
      <c r="AA486" s="8"/>
      <c r="AB486" s="8"/>
    </row>
    <row r="487">
      <c r="A487" s="8"/>
      <c r="B487" s="8"/>
      <c r="C487" s="8"/>
      <c r="D487" s="8"/>
      <c r="E487" s="8"/>
      <c r="F487" s="356"/>
      <c r="G487" s="8"/>
      <c r="H487" s="8"/>
      <c r="I487" s="8"/>
      <c r="J487" s="8"/>
      <c r="K487" s="8"/>
      <c r="L487" s="8"/>
      <c r="M487" s="8"/>
      <c r="N487" s="8"/>
      <c r="O487" s="8"/>
      <c r="P487" s="8"/>
      <c r="Q487" s="8"/>
      <c r="R487" s="8"/>
      <c r="S487" s="357"/>
      <c r="T487" s="357"/>
      <c r="U487" s="357"/>
      <c r="V487" s="357"/>
      <c r="W487" s="8"/>
      <c r="X487" s="8"/>
      <c r="Y487" s="8"/>
      <c r="Z487" s="8"/>
      <c r="AA487" s="8"/>
      <c r="AB487" s="8"/>
    </row>
    <row r="488">
      <c r="A488" s="8"/>
      <c r="B488" s="8"/>
      <c r="C488" s="8"/>
      <c r="D488" s="8"/>
      <c r="E488" s="8"/>
      <c r="F488" s="356"/>
      <c r="G488" s="8"/>
      <c r="H488" s="8"/>
      <c r="I488" s="8"/>
      <c r="J488" s="8"/>
      <c r="K488" s="8"/>
      <c r="L488" s="8"/>
      <c r="M488" s="8"/>
      <c r="N488" s="8"/>
      <c r="O488" s="8"/>
      <c r="P488" s="8"/>
      <c r="Q488" s="8"/>
      <c r="R488" s="8"/>
      <c r="S488" s="357"/>
      <c r="T488" s="357"/>
      <c r="U488" s="357"/>
      <c r="V488" s="357"/>
      <c r="W488" s="8"/>
      <c r="X488" s="8"/>
      <c r="Y488" s="8"/>
      <c r="Z488" s="8"/>
      <c r="AA488" s="8"/>
      <c r="AB488" s="8"/>
    </row>
    <row r="489">
      <c r="A489" s="8"/>
      <c r="B489" s="8"/>
      <c r="C489" s="8"/>
      <c r="D489" s="8"/>
      <c r="E489" s="8"/>
      <c r="F489" s="356"/>
      <c r="G489" s="8"/>
      <c r="H489" s="8"/>
      <c r="I489" s="8"/>
      <c r="J489" s="8"/>
      <c r="K489" s="8"/>
      <c r="L489" s="8"/>
      <c r="M489" s="8"/>
      <c r="N489" s="8"/>
      <c r="O489" s="8"/>
      <c r="P489" s="8"/>
      <c r="Q489" s="8"/>
      <c r="R489" s="8"/>
      <c r="S489" s="357"/>
      <c r="T489" s="357"/>
      <c r="U489" s="357"/>
      <c r="V489" s="357"/>
      <c r="W489" s="8"/>
      <c r="X489" s="8"/>
      <c r="Y489" s="8"/>
      <c r="Z489" s="8"/>
      <c r="AA489" s="8"/>
      <c r="AB489" s="8"/>
    </row>
    <row r="490">
      <c r="A490" s="8"/>
      <c r="B490" s="8"/>
      <c r="C490" s="8"/>
      <c r="D490" s="8"/>
      <c r="E490" s="8"/>
      <c r="F490" s="356"/>
      <c r="G490" s="8"/>
      <c r="H490" s="8"/>
      <c r="I490" s="8"/>
      <c r="J490" s="8"/>
      <c r="K490" s="8"/>
      <c r="L490" s="8"/>
      <c r="M490" s="8"/>
      <c r="N490" s="8"/>
      <c r="O490" s="8"/>
      <c r="P490" s="8"/>
      <c r="Q490" s="8"/>
      <c r="R490" s="8"/>
      <c r="S490" s="357"/>
      <c r="T490" s="357"/>
      <c r="U490" s="357"/>
      <c r="V490" s="357"/>
      <c r="W490" s="8"/>
      <c r="X490" s="8"/>
      <c r="Y490" s="8"/>
      <c r="Z490" s="8"/>
      <c r="AA490" s="8"/>
      <c r="AB490" s="8"/>
    </row>
    <row r="491">
      <c r="A491" s="8"/>
      <c r="B491" s="8"/>
      <c r="C491" s="8"/>
      <c r="D491" s="8"/>
      <c r="E491" s="8"/>
      <c r="F491" s="356"/>
      <c r="G491" s="8"/>
      <c r="H491" s="8"/>
      <c r="I491" s="8"/>
      <c r="J491" s="8"/>
      <c r="K491" s="8"/>
      <c r="L491" s="8"/>
      <c r="M491" s="8"/>
      <c r="N491" s="8"/>
      <c r="O491" s="8"/>
      <c r="P491" s="8"/>
      <c r="Q491" s="8"/>
      <c r="R491" s="8"/>
      <c r="S491" s="357"/>
      <c r="T491" s="357"/>
      <c r="U491" s="357"/>
      <c r="V491" s="357"/>
      <c r="W491" s="8"/>
      <c r="X491" s="8"/>
      <c r="Y491" s="8"/>
      <c r="Z491" s="8"/>
      <c r="AA491" s="8"/>
      <c r="AB491" s="8"/>
    </row>
    <row r="492">
      <c r="A492" s="8"/>
      <c r="B492" s="8"/>
      <c r="C492" s="8"/>
      <c r="D492" s="8"/>
      <c r="E492" s="8"/>
      <c r="F492" s="356"/>
      <c r="G492" s="8"/>
      <c r="H492" s="8"/>
      <c r="I492" s="8"/>
      <c r="J492" s="8"/>
      <c r="K492" s="8"/>
      <c r="L492" s="8"/>
      <c r="M492" s="8"/>
      <c r="N492" s="8"/>
      <c r="O492" s="8"/>
      <c r="P492" s="8"/>
      <c r="Q492" s="8"/>
      <c r="R492" s="8"/>
      <c r="S492" s="357"/>
      <c r="T492" s="357"/>
      <c r="U492" s="357"/>
      <c r="V492" s="357"/>
      <c r="W492" s="8"/>
      <c r="X492" s="8"/>
      <c r="Y492" s="8"/>
      <c r="Z492" s="8"/>
      <c r="AA492" s="8"/>
      <c r="AB492" s="8"/>
    </row>
    <row r="493">
      <c r="A493" s="8"/>
      <c r="B493" s="8"/>
      <c r="C493" s="8"/>
      <c r="D493" s="8"/>
      <c r="E493" s="8"/>
      <c r="F493" s="356"/>
      <c r="G493" s="8"/>
      <c r="H493" s="8"/>
      <c r="I493" s="8"/>
      <c r="J493" s="8"/>
      <c r="K493" s="8"/>
      <c r="L493" s="8"/>
      <c r="M493" s="8"/>
      <c r="N493" s="8"/>
      <c r="O493" s="8"/>
      <c r="P493" s="8"/>
      <c r="Q493" s="8"/>
      <c r="R493" s="8"/>
      <c r="S493" s="357"/>
      <c r="T493" s="357"/>
      <c r="U493" s="357"/>
      <c r="V493" s="357"/>
      <c r="W493" s="8"/>
      <c r="X493" s="8"/>
      <c r="Y493" s="8"/>
      <c r="Z493" s="8"/>
      <c r="AA493" s="8"/>
      <c r="AB493" s="8"/>
    </row>
    <row r="494">
      <c r="A494" s="8"/>
      <c r="B494" s="8"/>
      <c r="C494" s="8"/>
      <c r="D494" s="8"/>
      <c r="E494" s="8"/>
      <c r="F494" s="356"/>
      <c r="G494" s="8"/>
      <c r="H494" s="8"/>
      <c r="I494" s="8"/>
      <c r="J494" s="8"/>
      <c r="K494" s="8"/>
      <c r="L494" s="8"/>
      <c r="M494" s="8"/>
      <c r="N494" s="8"/>
      <c r="O494" s="8"/>
      <c r="P494" s="8"/>
      <c r="Q494" s="8"/>
      <c r="R494" s="8"/>
      <c r="S494" s="357"/>
      <c r="T494" s="357"/>
      <c r="U494" s="357"/>
      <c r="V494" s="357"/>
      <c r="W494" s="8"/>
      <c r="X494" s="8"/>
      <c r="Y494" s="8"/>
      <c r="Z494" s="8"/>
      <c r="AA494" s="8"/>
      <c r="AB494" s="8"/>
    </row>
    <row r="495">
      <c r="A495" s="8"/>
      <c r="B495" s="8"/>
      <c r="C495" s="8"/>
      <c r="D495" s="8"/>
      <c r="E495" s="8"/>
      <c r="F495" s="356"/>
      <c r="G495" s="8"/>
      <c r="H495" s="8"/>
      <c r="I495" s="8"/>
      <c r="J495" s="8"/>
      <c r="K495" s="8"/>
      <c r="L495" s="8"/>
      <c r="M495" s="8"/>
      <c r="N495" s="8"/>
      <c r="O495" s="8"/>
      <c r="P495" s="8"/>
      <c r="Q495" s="8"/>
      <c r="R495" s="8"/>
      <c r="S495" s="357"/>
      <c r="T495" s="357"/>
      <c r="U495" s="357"/>
      <c r="V495" s="357"/>
      <c r="W495" s="8"/>
      <c r="X495" s="8"/>
      <c r="Y495" s="8"/>
      <c r="Z495" s="8"/>
      <c r="AA495" s="8"/>
      <c r="AB495" s="8"/>
    </row>
    <row r="496">
      <c r="A496" s="8"/>
      <c r="B496" s="8"/>
      <c r="C496" s="8"/>
      <c r="D496" s="8"/>
      <c r="E496" s="8"/>
      <c r="F496" s="356"/>
      <c r="G496" s="8"/>
      <c r="H496" s="8"/>
      <c r="I496" s="8"/>
      <c r="J496" s="8"/>
      <c r="K496" s="8"/>
      <c r="L496" s="8"/>
      <c r="M496" s="8"/>
      <c r="N496" s="8"/>
      <c r="O496" s="8"/>
      <c r="P496" s="8"/>
      <c r="Q496" s="8"/>
      <c r="R496" s="8"/>
      <c r="S496" s="357"/>
      <c r="T496" s="357"/>
      <c r="U496" s="357"/>
      <c r="V496" s="357"/>
      <c r="W496" s="8"/>
      <c r="X496" s="8"/>
      <c r="Y496" s="8"/>
      <c r="Z496" s="8"/>
      <c r="AA496" s="8"/>
      <c r="AB496" s="8"/>
    </row>
    <row r="497">
      <c r="A497" s="8"/>
      <c r="B497" s="8"/>
      <c r="C497" s="8"/>
      <c r="D497" s="8"/>
      <c r="E497" s="8"/>
      <c r="F497" s="356"/>
      <c r="G497" s="8"/>
      <c r="H497" s="8"/>
      <c r="I497" s="8"/>
      <c r="J497" s="8"/>
      <c r="K497" s="8"/>
      <c r="L497" s="8"/>
      <c r="M497" s="8"/>
      <c r="N497" s="8"/>
      <c r="O497" s="8"/>
      <c r="P497" s="8"/>
      <c r="Q497" s="8"/>
      <c r="R497" s="8"/>
      <c r="S497" s="357"/>
      <c r="T497" s="357"/>
      <c r="U497" s="357"/>
      <c r="V497" s="357"/>
      <c r="W497" s="8"/>
      <c r="X497" s="8"/>
      <c r="Y497" s="8"/>
      <c r="Z497" s="8"/>
      <c r="AA497" s="8"/>
      <c r="AB497" s="8"/>
    </row>
    <row r="498">
      <c r="A498" s="8"/>
      <c r="B498" s="8"/>
      <c r="C498" s="8"/>
      <c r="D498" s="8"/>
      <c r="E498" s="8"/>
      <c r="F498" s="356"/>
      <c r="G498" s="8"/>
      <c r="H498" s="8"/>
      <c r="I498" s="8"/>
      <c r="J498" s="8"/>
      <c r="K498" s="8"/>
      <c r="L498" s="8"/>
      <c r="M498" s="8"/>
      <c r="N498" s="8"/>
      <c r="O498" s="8"/>
      <c r="P498" s="8"/>
      <c r="Q498" s="8"/>
      <c r="R498" s="8"/>
      <c r="S498" s="357"/>
      <c r="T498" s="357"/>
      <c r="U498" s="357"/>
      <c r="V498" s="357"/>
      <c r="W498" s="8"/>
      <c r="X498" s="8"/>
      <c r="Y498" s="8"/>
      <c r="Z498" s="8"/>
      <c r="AA498" s="8"/>
      <c r="AB498" s="8"/>
    </row>
    <row r="499">
      <c r="A499" s="8"/>
      <c r="B499" s="8"/>
      <c r="C499" s="8"/>
      <c r="D499" s="8"/>
      <c r="E499" s="8"/>
      <c r="F499" s="356"/>
      <c r="G499" s="8"/>
      <c r="H499" s="8"/>
      <c r="I499" s="8"/>
      <c r="J499" s="8"/>
      <c r="K499" s="8"/>
      <c r="L499" s="8"/>
      <c r="M499" s="8"/>
      <c r="N499" s="8"/>
      <c r="O499" s="8"/>
      <c r="P499" s="8"/>
      <c r="Q499" s="8"/>
      <c r="R499" s="8"/>
      <c r="S499" s="357"/>
      <c r="T499" s="357"/>
      <c r="U499" s="357"/>
      <c r="V499" s="357"/>
      <c r="W499" s="8"/>
      <c r="X499" s="8"/>
      <c r="Y499" s="8"/>
      <c r="Z499" s="8"/>
      <c r="AA499" s="8"/>
      <c r="AB499" s="8"/>
    </row>
    <row r="500">
      <c r="A500" s="8"/>
      <c r="B500" s="8"/>
      <c r="C500" s="8"/>
      <c r="D500" s="8"/>
      <c r="E500" s="8"/>
      <c r="F500" s="356"/>
      <c r="G500" s="8"/>
      <c r="H500" s="8"/>
      <c r="I500" s="8"/>
      <c r="J500" s="8"/>
      <c r="K500" s="8"/>
      <c r="L500" s="8"/>
      <c r="M500" s="8"/>
      <c r="N500" s="8"/>
      <c r="O500" s="8"/>
      <c r="P500" s="8"/>
      <c r="Q500" s="8"/>
      <c r="R500" s="8"/>
      <c r="S500" s="357"/>
      <c r="T500" s="357"/>
      <c r="U500" s="357"/>
      <c r="V500" s="357"/>
      <c r="W500" s="8"/>
      <c r="X500" s="8"/>
      <c r="Y500" s="8"/>
      <c r="Z500" s="8"/>
      <c r="AA500" s="8"/>
      <c r="AB500" s="8"/>
    </row>
    <row r="501">
      <c r="A501" s="8"/>
      <c r="B501" s="8"/>
      <c r="C501" s="8"/>
      <c r="D501" s="8"/>
      <c r="E501" s="8"/>
      <c r="F501" s="356"/>
      <c r="G501" s="8"/>
      <c r="H501" s="8"/>
      <c r="I501" s="8"/>
      <c r="J501" s="8"/>
      <c r="K501" s="8"/>
      <c r="L501" s="8"/>
      <c r="M501" s="8"/>
      <c r="N501" s="8"/>
      <c r="O501" s="8"/>
      <c r="P501" s="8"/>
      <c r="Q501" s="8"/>
      <c r="R501" s="8"/>
      <c r="S501" s="357"/>
      <c r="T501" s="357"/>
      <c r="U501" s="357"/>
      <c r="V501" s="357"/>
      <c r="W501" s="8"/>
      <c r="X501" s="8"/>
      <c r="Y501" s="8"/>
      <c r="Z501" s="8"/>
      <c r="AA501" s="8"/>
      <c r="AB501" s="8"/>
    </row>
    <row r="502">
      <c r="A502" s="8"/>
      <c r="B502" s="8"/>
      <c r="C502" s="8"/>
      <c r="D502" s="8"/>
      <c r="E502" s="8"/>
      <c r="F502" s="356"/>
      <c r="G502" s="8"/>
      <c r="H502" s="8"/>
      <c r="I502" s="8"/>
      <c r="J502" s="8"/>
      <c r="K502" s="8"/>
      <c r="L502" s="8"/>
      <c r="M502" s="8"/>
      <c r="N502" s="8"/>
      <c r="O502" s="8"/>
      <c r="P502" s="8"/>
      <c r="Q502" s="8"/>
      <c r="R502" s="8"/>
      <c r="S502" s="357"/>
      <c r="T502" s="357"/>
      <c r="U502" s="357"/>
      <c r="V502" s="357"/>
      <c r="W502" s="8"/>
      <c r="X502" s="8"/>
      <c r="Y502" s="8"/>
      <c r="Z502" s="8"/>
      <c r="AA502" s="8"/>
      <c r="AB502" s="8"/>
    </row>
    <row r="503">
      <c r="A503" s="8"/>
      <c r="B503" s="8"/>
      <c r="C503" s="8"/>
      <c r="D503" s="8"/>
      <c r="E503" s="8"/>
      <c r="F503" s="356"/>
      <c r="G503" s="8"/>
      <c r="H503" s="8"/>
      <c r="I503" s="8"/>
      <c r="J503" s="8"/>
      <c r="K503" s="8"/>
      <c r="L503" s="8"/>
      <c r="M503" s="8"/>
      <c r="N503" s="8"/>
      <c r="O503" s="8"/>
      <c r="P503" s="8"/>
      <c r="Q503" s="8"/>
      <c r="R503" s="8"/>
      <c r="S503" s="357"/>
      <c r="T503" s="357"/>
      <c r="U503" s="357"/>
      <c r="V503" s="357"/>
      <c r="W503" s="8"/>
      <c r="X503" s="8"/>
      <c r="Y503" s="8"/>
      <c r="Z503" s="8"/>
      <c r="AA503" s="8"/>
      <c r="AB503" s="8"/>
    </row>
    <row r="504">
      <c r="A504" s="8"/>
      <c r="B504" s="8"/>
      <c r="C504" s="8"/>
      <c r="D504" s="8"/>
      <c r="E504" s="8"/>
      <c r="F504" s="356"/>
      <c r="G504" s="8"/>
      <c r="H504" s="8"/>
      <c r="I504" s="8"/>
      <c r="J504" s="8"/>
      <c r="K504" s="8"/>
      <c r="L504" s="8"/>
      <c r="M504" s="8"/>
      <c r="N504" s="8"/>
      <c r="O504" s="8"/>
      <c r="P504" s="8"/>
      <c r="Q504" s="8"/>
      <c r="R504" s="8"/>
      <c r="S504" s="357"/>
      <c r="T504" s="357"/>
      <c r="U504" s="357"/>
      <c r="V504" s="357"/>
      <c r="W504" s="8"/>
      <c r="X504" s="8"/>
      <c r="Y504" s="8"/>
      <c r="Z504" s="8"/>
      <c r="AA504" s="8"/>
      <c r="AB504" s="8"/>
    </row>
    <row r="505">
      <c r="A505" s="8"/>
      <c r="B505" s="8"/>
      <c r="C505" s="8"/>
      <c r="D505" s="8"/>
      <c r="E505" s="8"/>
      <c r="F505" s="356"/>
      <c r="G505" s="8"/>
      <c r="H505" s="8"/>
      <c r="I505" s="8"/>
      <c r="J505" s="8"/>
      <c r="K505" s="8"/>
      <c r="L505" s="8"/>
      <c r="M505" s="8"/>
      <c r="N505" s="8"/>
      <c r="O505" s="8"/>
      <c r="P505" s="8"/>
      <c r="Q505" s="8"/>
      <c r="R505" s="8"/>
      <c r="S505" s="357"/>
      <c r="T505" s="357"/>
      <c r="U505" s="357"/>
      <c r="V505" s="357"/>
      <c r="W505" s="8"/>
      <c r="X505" s="8"/>
      <c r="Y505" s="8"/>
      <c r="Z505" s="8"/>
      <c r="AA505" s="8"/>
      <c r="AB505" s="8"/>
    </row>
    <row r="506">
      <c r="A506" s="8"/>
      <c r="B506" s="8"/>
      <c r="C506" s="8"/>
      <c r="D506" s="8"/>
      <c r="E506" s="8"/>
      <c r="F506" s="356"/>
      <c r="G506" s="8"/>
      <c r="H506" s="8"/>
      <c r="I506" s="8"/>
      <c r="J506" s="8"/>
      <c r="K506" s="8"/>
      <c r="L506" s="8"/>
      <c r="M506" s="8"/>
      <c r="N506" s="8"/>
      <c r="O506" s="8"/>
      <c r="P506" s="8"/>
      <c r="Q506" s="8"/>
      <c r="R506" s="8"/>
      <c r="S506" s="357"/>
      <c r="T506" s="357"/>
      <c r="U506" s="357"/>
      <c r="V506" s="357"/>
      <c r="W506" s="8"/>
      <c r="X506" s="8"/>
      <c r="Y506" s="8"/>
      <c r="Z506" s="8"/>
      <c r="AA506" s="8"/>
      <c r="AB506" s="8"/>
    </row>
    <row r="507">
      <c r="A507" s="8"/>
      <c r="B507" s="8"/>
      <c r="C507" s="8"/>
      <c r="D507" s="8"/>
      <c r="E507" s="8"/>
      <c r="F507" s="356"/>
      <c r="G507" s="8"/>
      <c r="H507" s="8"/>
      <c r="I507" s="8"/>
      <c r="J507" s="8"/>
      <c r="K507" s="8"/>
      <c r="L507" s="8"/>
      <c r="M507" s="8"/>
      <c r="N507" s="8"/>
      <c r="O507" s="8"/>
      <c r="P507" s="8"/>
      <c r="Q507" s="8"/>
      <c r="R507" s="8"/>
      <c r="S507" s="357"/>
      <c r="T507" s="357"/>
      <c r="U507" s="357"/>
      <c r="V507" s="357"/>
      <c r="W507" s="8"/>
      <c r="X507" s="8"/>
      <c r="Y507" s="8"/>
      <c r="Z507" s="8"/>
      <c r="AA507" s="8"/>
      <c r="AB507" s="8"/>
    </row>
    <row r="508">
      <c r="A508" s="8"/>
      <c r="B508" s="8"/>
      <c r="C508" s="8"/>
      <c r="D508" s="8"/>
      <c r="E508" s="8"/>
      <c r="F508" s="356"/>
      <c r="G508" s="8"/>
      <c r="H508" s="8"/>
      <c r="I508" s="8"/>
      <c r="J508" s="8"/>
      <c r="K508" s="8"/>
      <c r="L508" s="8"/>
      <c r="M508" s="8"/>
      <c r="N508" s="8"/>
      <c r="O508" s="8"/>
      <c r="P508" s="8"/>
      <c r="Q508" s="8"/>
      <c r="R508" s="8"/>
      <c r="S508" s="357"/>
      <c r="T508" s="357"/>
      <c r="U508" s="357"/>
      <c r="V508" s="357"/>
      <c r="W508" s="8"/>
      <c r="X508" s="8"/>
      <c r="Y508" s="8"/>
      <c r="Z508" s="8"/>
      <c r="AA508" s="8"/>
      <c r="AB508" s="8"/>
    </row>
    <row r="509">
      <c r="A509" s="8"/>
      <c r="B509" s="8"/>
      <c r="C509" s="8"/>
      <c r="D509" s="8"/>
      <c r="E509" s="8"/>
      <c r="F509" s="356"/>
      <c r="G509" s="8"/>
      <c r="H509" s="8"/>
      <c r="I509" s="8"/>
      <c r="J509" s="8"/>
      <c r="K509" s="8"/>
      <c r="L509" s="8"/>
      <c r="M509" s="8"/>
      <c r="N509" s="8"/>
      <c r="O509" s="8"/>
      <c r="P509" s="8"/>
      <c r="Q509" s="8"/>
      <c r="R509" s="8"/>
      <c r="S509" s="357"/>
      <c r="T509" s="357"/>
      <c r="U509" s="357"/>
      <c r="V509" s="357"/>
      <c r="W509" s="8"/>
      <c r="X509" s="8"/>
      <c r="Y509" s="8"/>
      <c r="Z509" s="8"/>
      <c r="AA509" s="8"/>
      <c r="AB509" s="8"/>
    </row>
    <row r="510">
      <c r="A510" s="8"/>
      <c r="B510" s="8"/>
      <c r="C510" s="8"/>
      <c r="D510" s="8"/>
      <c r="E510" s="8"/>
      <c r="F510" s="356"/>
      <c r="G510" s="8"/>
      <c r="H510" s="8"/>
      <c r="I510" s="8"/>
      <c r="J510" s="8"/>
      <c r="K510" s="8"/>
      <c r="L510" s="8"/>
      <c r="M510" s="8"/>
      <c r="N510" s="8"/>
      <c r="O510" s="8"/>
      <c r="P510" s="8"/>
      <c r="Q510" s="8"/>
      <c r="R510" s="8"/>
      <c r="S510" s="357"/>
      <c r="T510" s="357"/>
      <c r="U510" s="357"/>
      <c r="V510" s="357"/>
      <c r="W510" s="8"/>
      <c r="X510" s="8"/>
      <c r="Y510" s="8"/>
      <c r="Z510" s="8"/>
      <c r="AA510" s="8"/>
      <c r="AB510" s="8"/>
    </row>
    <row r="511">
      <c r="A511" s="8"/>
      <c r="B511" s="8"/>
      <c r="C511" s="8"/>
      <c r="D511" s="8"/>
      <c r="E511" s="8"/>
      <c r="F511" s="356"/>
      <c r="G511" s="8"/>
      <c r="H511" s="8"/>
      <c r="I511" s="8"/>
      <c r="J511" s="8"/>
      <c r="K511" s="8"/>
      <c r="L511" s="8"/>
      <c r="M511" s="8"/>
      <c r="N511" s="8"/>
      <c r="O511" s="8"/>
      <c r="P511" s="8"/>
      <c r="Q511" s="8"/>
      <c r="R511" s="8"/>
      <c r="S511" s="357"/>
      <c r="T511" s="357"/>
      <c r="U511" s="357"/>
      <c r="V511" s="357"/>
      <c r="W511" s="8"/>
      <c r="X511" s="8"/>
      <c r="Y511" s="8"/>
      <c r="Z511" s="8"/>
      <c r="AA511" s="8"/>
      <c r="AB511" s="8"/>
    </row>
    <row r="512">
      <c r="A512" s="8"/>
      <c r="B512" s="8"/>
      <c r="C512" s="8"/>
      <c r="D512" s="8"/>
      <c r="E512" s="8"/>
      <c r="F512" s="356"/>
      <c r="G512" s="8"/>
      <c r="H512" s="8"/>
      <c r="I512" s="8"/>
      <c r="J512" s="8"/>
      <c r="K512" s="8"/>
      <c r="L512" s="8"/>
      <c r="M512" s="8"/>
      <c r="N512" s="8"/>
      <c r="O512" s="8"/>
      <c r="P512" s="8"/>
      <c r="Q512" s="8"/>
      <c r="R512" s="8"/>
      <c r="S512" s="357"/>
      <c r="T512" s="357"/>
      <c r="U512" s="357"/>
      <c r="V512" s="357"/>
      <c r="W512" s="8"/>
      <c r="X512" s="8"/>
      <c r="Y512" s="8"/>
      <c r="Z512" s="8"/>
      <c r="AA512" s="8"/>
      <c r="AB512" s="8"/>
    </row>
    <row r="513">
      <c r="A513" s="8"/>
      <c r="B513" s="8"/>
      <c r="C513" s="8"/>
      <c r="D513" s="8"/>
      <c r="E513" s="8"/>
      <c r="F513" s="356"/>
      <c r="G513" s="8"/>
      <c r="H513" s="8"/>
      <c r="I513" s="8"/>
      <c r="J513" s="8"/>
      <c r="K513" s="8"/>
      <c r="L513" s="8"/>
      <c r="M513" s="8"/>
      <c r="N513" s="8"/>
      <c r="O513" s="8"/>
      <c r="P513" s="8"/>
      <c r="Q513" s="8"/>
      <c r="R513" s="8"/>
      <c r="S513" s="357"/>
      <c r="T513" s="357"/>
      <c r="U513" s="357"/>
      <c r="V513" s="357"/>
      <c r="W513" s="8"/>
      <c r="X513" s="8"/>
      <c r="Y513" s="8"/>
      <c r="Z513" s="8"/>
      <c r="AA513" s="8"/>
      <c r="AB513" s="8"/>
    </row>
    <row r="514">
      <c r="A514" s="8"/>
      <c r="B514" s="8"/>
      <c r="C514" s="8"/>
      <c r="D514" s="8"/>
      <c r="E514" s="8"/>
      <c r="F514" s="356"/>
      <c r="G514" s="8"/>
      <c r="H514" s="8"/>
      <c r="I514" s="8"/>
      <c r="J514" s="8"/>
      <c r="K514" s="8"/>
      <c r="L514" s="8"/>
      <c r="M514" s="8"/>
      <c r="N514" s="8"/>
      <c r="O514" s="8"/>
      <c r="P514" s="8"/>
      <c r="Q514" s="8"/>
      <c r="R514" s="8"/>
      <c r="S514" s="357"/>
      <c r="T514" s="357"/>
      <c r="U514" s="357"/>
      <c r="V514" s="357"/>
      <c r="W514" s="8"/>
      <c r="X514" s="8"/>
      <c r="Y514" s="8"/>
      <c r="Z514" s="8"/>
      <c r="AA514" s="8"/>
      <c r="AB514" s="8"/>
    </row>
    <row r="515">
      <c r="A515" s="8"/>
      <c r="B515" s="8"/>
      <c r="C515" s="8"/>
      <c r="D515" s="8"/>
      <c r="E515" s="8"/>
      <c r="F515" s="356"/>
      <c r="G515" s="8"/>
      <c r="H515" s="8"/>
      <c r="I515" s="8"/>
      <c r="J515" s="8"/>
      <c r="K515" s="8"/>
      <c r="L515" s="8"/>
      <c r="M515" s="8"/>
      <c r="N515" s="8"/>
      <c r="O515" s="8"/>
      <c r="P515" s="8"/>
      <c r="Q515" s="8"/>
      <c r="R515" s="8"/>
      <c r="S515" s="357"/>
      <c r="T515" s="357"/>
      <c r="U515" s="357"/>
      <c r="V515" s="357"/>
      <c r="W515" s="8"/>
      <c r="X515" s="8"/>
      <c r="Y515" s="8"/>
      <c r="Z515" s="8"/>
      <c r="AA515" s="8"/>
      <c r="AB515" s="8"/>
    </row>
    <row r="516">
      <c r="A516" s="8"/>
      <c r="B516" s="8"/>
      <c r="C516" s="8"/>
      <c r="D516" s="8"/>
      <c r="E516" s="8"/>
      <c r="F516" s="356"/>
      <c r="G516" s="8"/>
      <c r="H516" s="8"/>
      <c r="I516" s="8"/>
      <c r="J516" s="8"/>
      <c r="K516" s="8"/>
      <c r="L516" s="8"/>
      <c r="M516" s="8"/>
      <c r="N516" s="8"/>
      <c r="O516" s="8"/>
      <c r="P516" s="8"/>
      <c r="Q516" s="8"/>
      <c r="R516" s="8"/>
      <c r="S516" s="357"/>
      <c r="T516" s="357"/>
      <c r="U516" s="357"/>
      <c r="V516" s="357"/>
      <c r="W516" s="8"/>
      <c r="X516" s="8"/>
      <c r="Y516" s="8"/>
      <c r="Z516" s="8"/>
      <c r="AA516" s="8"/>
      <c r="AB516" s="8"/>
    </row>
    <row r="517">
      <c r="A517" s="8"/>
      <c r="B517" s="8"/>
      <c r="C517" s="8"/>
      <c r="D517" s="8"/>
      <c r="E517" s="8"/>
      <c r="F517" s="356"/>
      <c r="G517" s="8"/>
      <c r="H517" s="8"/>
      <c r="I517" s="8"/>
      <c r="J517" s="8"/>
      <c r="K517" s="8"/>
      <c r="L517" s="8"/>
      <c r="M517" s="8"/>
      <c r="N517" s="8"/>
      <c r="O517" s="8"/>
      <c r="P517" s="8"/>
      <c r="Q517" s="8"/>
      <c r="R517" s="8"/>
      <c r="S517" s="357"/>
      <c r="T517" s="357"/>
      <c r="U517" s="357"/>
      <c r="V517" s="357"/>
      <c r="W517" s="8"/>
      <c r="X517" s="8"/>
      <c r="Y517" s="8"/>
      <c r="Z517" s="8"/>
      <c r="AA517" s="8"/>
      <c r="AB517" s="8"/>
    </row>
    <row r="518">
      <c r="A518" s="8"/>
      <c r="B518" s="8"/>
      <c r="C518" s="8"/>
      <c r="D518" s="8"/>
      <c r="E518" s="8"/>
      <c r="F518" s="356"/>
      <c r="G518" s="8"/>
      <c r="H518" s="8"/>
      <c r="I518" s="8"/>
      <c r="J518" s="8"/>
      <c r="K518" s="8"/>
      <c r="L518" s="8"/>
      <c r="M518" s="8"/>
      <c r="N518" s="8"/>
      <c r="O518" s="8"/>
      <c r="P518" s="8"/>
      <c r="Q518" s="8"/>
      <c r="R518" s="8"/>
      <c r="S518" s="357"/>
      <c r="T518" s="357"/>
      <c r="U518" s="357"/>
      <c r="V518" s="357"/>
      <c r="W518" s="8"/>
      <c r="X518" s="8"/>
      <c r="Y518" s="8"/>
      <c r="Z518" s="8"/>
      <c r="AA518" s="8"/>
      <c r="AB518" s="8"/>
    </row>
    <row r="519">
      <c r="A519" s="8"/>
      <c r="B519" s="8"/>
      <c r="C519" s="8"/>
      <c r="D519" s="8"/>
      <c r="E519" s="8"/>
      <c r="F519" s="356"/>
      <c r="G519" s="8"/>
      <c r="H519" s="8"/>
      <c r="I519" s="8"/>
      <c r="J519" s="8"/>
      <c r="K519" s="8"/>
      <c r="L519" s="8"/>
      <c r="M519" s="8"/>
      <c r="N519" s="8"/>
      <c r="O519" s="8"/>
      <c r="P519" s="8"/>
      <c r="Q519" s="8"/>
      <c r="R519" s="8"/>
      <c r="S519" s="357"/>
      <c r="T519" s="357"/>
      <c r="U519" s="357"/>
      <c r="V519" s="357"/>
      <c r="W519" s="8"/>
      <c r="X519" s="8"/>
      <c r="Y519" s="8"/>
      <c r="Z519" s="8"/>
      <c r="AA519" s="8"/>
      <c r="AB519" s="8"/>
    </row>
    <row r="520">
      <c r="A520" s="8"/>
      <c r="B520" s="8"/>
      <c r="C520" s="8"/>
      <c r="D520" s="8"/>
      <c r="E520" s="8"/>
      <c r="F520" s="356"/>
      <c r="G520" s="8"/>
      <c r="H520" s="8"/>
      <c r="I520" s="8"/>
      <c r="J520" s="8"/>
      <c r="K520" s="8"/>
      <c r="L520" s="8"/>
      <c r="M520" s="8"/>
      <c r="N520" s="8"/>
      <c r="O520" s="8"/>
      <c r="P520" s="8"/>
      <c r="Q520" s="8"/>
      <c r="R520" s="8"/>
      <c r="S520" s="357"/>
      <c r="T520" s="357"/>
      <c r="U520" s="357"/>
      <c r="V520" s="357"/>
      <c r="W520" s="8"/>
      <c r="X520" s="8"/>
      <c r="Y520" s="8"/>
      <c r="Z520" s="8"/>
      <c r="AA520" s="8"/>
      <c r="AB520" s="8"/>
    </row>
    <row r="521">
      <c r="A521" s="8"/>
      <c r="B521" s="8"/>
      <c r="C521" s="8"/>
      <c r="D521" s="8"/>
      <c r="E521" s="8"/>
      <c r="F521" s="356"/>
      <c r="G521" s="8"/>
      <c r="H521" s="8"/>
      <c r="I521" s="8"/>
      <c r="J521" s="8"/>
      <c r="K521" s="8"/>
      <c r="L521" s="8"/>
      <c r="M521" s="8"/>
      <c r="N521" s="8"/>
      <c r="O521" s="8"/>
      <c r="P521" s="8"/>
      <c r="Q521" s="8"/>
      <c r="R521" s="8"/>
      <c r="S521" s="357"/>
      <c r="T521" s="357"/>
      <c r="U521" s="357"/>
      <c r="V521" s="357"/>
      <c r="W521" s="8"/>
      <c r="X521" s="8"/>
      <c r="Y521" s="8"/>
      <c r="Z521" s="8"/>
      <c r="AA521" s="8"/>
      <c r="AB521" s="8"/>
    </row>
    <row r="522">
      <c r="A522" s="8"/>
      <c r="B522" s="8"/>
      <c r="C522" s="8"/>
      <c r="D522" s="8"/>
      <c r="E522" s="8"/>
      <c r="F522" s="356"/>
      <c r="G522" s="8"/>
      <c r="H522" s="8"/>
      <c r="I522" s="8"/>
      <c r="J522" s="8"/>
      <c r="K522" s="8"/>
      <c r="L522" s="8"/>
      <c r="M522" s="8"/>
      <c r="N522" s="8"/>
      <c r="O522" s="8"/>
      <c r="P522" s="8"/>
      <c r="Q522" s="8"/>
      <c r="R522" s="8"/>
      <c r="S522" s="357"/>
      <c r="T522" s="357"/>
      <c r="U522" s="357"/>
      <c r="V522" s="357"/>
      <c r="W522" s="8"/>
      <c r="X522" s="8"/>
      <c r="Y522" s="8"/>
      <c r="Z522" s="8"/>
      <c r="AA522" s="8"/>
      <c r="AB522" s="8"/>
    </row>
    <row r="523">
      <c r="A523" s="8"/>
      <c r="B523" s="8"/>
      <c r="C523" s="8"/>
      <c r="D523" s="8"/>
      <c r="E523" s="8"/>
      <c r="F523" s="356"/>
      <c r="G523" s="8"/>
      <c r="H523" s="8"/>
      <c r="I523" s="8"/>
      <c r="J523" s="8"/>
      <c r="K523" s="8"/>
      <c r="L523" s="8"/>
      <c r="M523" s="8"/>
      <c r="N523" s="8"/>
      <c r="O523" s="8"/>
      <c r="P523" s="8"/>
      <c r="Q523" s="8"/>
      <c r="R523" s="8"/>
      <c r="S523" s="357"/>
      <c r="T523" s="357"/>
      <c r="U523" s="357"/>
      <c r="V523" s="357"/>
      <c r="W523" s="8"/>
      <c r="X523" s="8"/>
      <c r="Y523" s="8"/>
      <c r="Z523" s="8"/>
      <c r="AA523" s="8"/>
      <c r="AB523" s="8"/>
    </row>
    <row r="524">
      <c r="A524" s="8"/>
      <c r="B524" s="8"/>
      <c r="C524" s="8"/>
      <c r="D524" s="8"/>
      <c r="E524" s="8"/>
      <c r="F524" s="356"/>
      <c r="G524" s="8"/>
      <c r="H524" s="8"/>
      <c r="I524" s="8"/>
      <c r="J524" s="8"/>
      <c r="K524" s="8"/>
      <c r="L524" s="8"/>
      <c r="M524" s="8"/>
      <c r="N524" s="8"/>
      <c r="O524" s="8"/>
      <c r="P524" s="8"/>
      <c r="Q524" s="8"/>
      <c r="R524" s="8"/>
      <c r="S524" s="357"/>
      <c r="T524" s="357"/>
      <c r="U524" s="357"/>
      <c r="V524" s="357"/>
      <c r="W524" s="8"/>
      <c r="X524" s="8"/>
      <c r="Y524" s="8"/>
      <c r="Z524" s="8"/>
      <c r="AA524" s="8"/>
      <c r="AB524" s="8"/>
    </row>
    <row r="525">
      <c r="A525" s="8"/>
      <c r="B525" s="8"/>
      <c r="C525" s="8"/>
      <c r="D525" s="8"/>
      <c r="E525" s="8"/>
      <c r="F525" s="356"/>
      <c r="G525" s="8"/>
      <c r="H525" s="8"/>
      <c r="I525" s="8"/>
      <c r="J525" s="8"/>
      <c r="K525" s="8"/>
      <c r="L525" s="8"/>
      <c r="M525" s="8"/>
      <c r="N525" s="8"/>
      <c r="O525" s="8"/>
      <c r="P525" s="8"/>
      <c r="Q525" s="8"/>
      <c r="R525" s="8"/>
      <c r="S525" s="357"/>
      <c r="T525" s="357"/>
      <c r="U525" s="357"/>
      <c r="V525" s="357"/>
      <c r="W525" s="8"/>
      <c r="X525" s="8"/>
      <c r="Y525" s="8"/>
      <c r="Z525" s="8"/>
      <c r="AA525" s="8"/>
      <c r="AB525" s="8"/>
    </row>
    <row r="526">
      <c r="A526" s="8"/>
      <c r="B526" s="8"/>
      <c r="C526" s="8"/>
      <c r="D526" s="8"/>
      <c r="E526" s="8"/>
      <c r="F526" s="356"/>
      <c r="G526" s="8"/>
      <c r="H526" s="8"/>
      <c r="I526" s="8"/>
      <c r="J526" s="8"/>
      <c r="K526" s="8"/>
      <c r="L526" s="8"/>
      <c r="M526" s="8"/>
      <c r="N526" s="8"/>
      <c r="O526" s="8"/>
      <c r="P526" s="8"/>
      <c r="Q526" s="8"/>
      <c r="R526" s="8"/>
      <c r="S526" s="357"/>
      <c r="T526" s="357"/>
      <c r="U526" s="357"/>
      <c r="V526" s="357"/>
      <c r="W526" s="8"/>
      <c r="X526" s="8"/>
      <c r="Y526" s="8"/>
      <c r="Z526" s="8"/>
      <c r="AA526" s="8"/>
      <c r="AB526" s="8"/>
    </row>
    <row r="527">
      <c r="A527" s="8"/>
      <c r="B527" s="8"/>
      <c r="C527" s="8"/>
      <c r="D527" s="8"/>
      <c r="E527" s="8"/>
      <c r="F527" s="356"/>
      <c r="G527" s="8"/>
      <c r="H527" s="8"/>
      <c r="I527" s="8"/>
      <c r="J527" s="8"/>
      <c r="K527" s="8"/>
      <c r="L527" s="8"/>
      <c r="M527" s="8"/>
      <c r="N527" s="8"/>
      <c r="O527" s="8"/>
      <c r="P527" s="8"/>
      <c r="Q527" s="8"/>
      <c r="R527" s="8"/>
      <c r="S527" s="357"/>
      <c r="T527" s="357"/>
      <c r="U527" s="357"/>
      <c r="V527" s="357"/>
      <c r="W527" s="8"/>
      <c r="X527" s="8"/>
      <c r="Y527" s="8"/>
      <c r="Z527" s="8"/>
      <c r="AA527" s="8"/>
      <c r="AB527" s="8"/>
    </row>
    <row r="528">
      <c r="A528" s="8"/>
      <c r="B528" s="8"/>
      <c r="C528" s="8"/>
      <c r="D528" s="8"/>
      <c r="E528" s="8"/>
      <c r="F528" s="356"/>
      <c r="G528" s="8"/>
      <c r="H528" s="8"/>
      <c r="I528" s="8"/>
      <c r="J528" s="8"/>
      <c r="K528" s="8"/>
      <c r="L528" s="8"/>
      <c r="M528" s="8"/>
      <c r="N528" s="8"/>
      <c r="O528" s="8"/>
      <c r="P528" s="8"/>
      <c r="Q528" s="8"/>
      <c r="R528" s="8"/>
      <c r="S528" s="357"/>
      <c r="T528" s="357"/>
      <c r="U528" s="357"/>
      <c r="V528" s="357"/>
      <c r="W528" s="8"/>
      <c r="X528" s="8"/>
      <c r="Y528" s="8"/>
      <c r="Z528" s="8"/>
      <c r="AA528" s="8"/>
      <c r="AB528" s="8"/>
    </row>
    <row r="529">
      <c r="A529" s="8"/>
      <c r="B529" s="8"/>
      <c r="C529" s="8"/>
      <c r="D529" s="8"/>
      <c r="E529" s="8"/>
      <c r="F529" s="356"/>
      <c r="G529" s="8"/>
      <c r="H529" s="8"/>
      <c r="I529" s="8"/>
      <c r="J529" s="8"/>
      <c r="K529" s="8"/>
      <c r="L529" s="8"/>
      <c r="M529" s="8"/>
      <c r="N529" s="8"/>
      <c r="O529" s="8"/>
      <c r="P529" s="8"/>
      <c r="Q529" s="8"/>
      <c r="R529" s="8"/>
      <c r="S529" s="357"/>
      <c r="T529" s="357"/>
      <c r="U529" s="357"/>
      <c r="V529" s="357"/>
      <c r="W529" s="8"/>
      <c r="X529" s="8"/>
      <c r="Y529" s="8"/>
      <c r="Z529" s="8"/>
      <c r="AA529" s="8"/>
      <c r="AB529" s="8"/>
    </row>
    <row r="530">
      <c r="A530" s="8"/>
      <c r="B530" s="8"/>
      <c r="C530" s="8"/>
      <c r="D530" s="8"/>
      <c r="E530" s="8"/>
      <c r="F530" s="356"/>
      <c r="G530" s="8"/>
      <c r="H530" s="8"/>
      <c r="I530" s="8"/>
      <c r="J530" s="8"/>
      <c r="K530" s="8"/>
      <c r="L530" s="8"/>
      <c r="M530" s="8"/>
      <c r="N530" s="8"/>
      <c r="O530" s="8"/>
      <c r="P530" s="8"/>
      <c r="Q530" s="8"/>
      <c r="R530" s="8"/>
      <c r="S530" s="357"/>
      <c r="T530" s="357"/>
      <c r="U530" s="357"/>
      <c r="V530" s="357"/>
      <c r="W530" s="8"/>
      <c r="X530" s="8"/>
      <c r="Y530" s="8"/>
      <c r="Z530" s="8"/>
      <c r="AA530" s="8"/>
      <c r="AB530" s="8"/>
    </row>
    <row r="531">
      <c r="A531" s="8"/>
      <c r="B531" s="8"/>
      <c r="C531" s="8"/>
      <c r="D531" s="8"/>
      <c r="E531" s="8"/>
      <c r="F531" s="356"/>
      <c r="G531" s="8"/>
      <c r="H531" s="8"/>
      <c r="I531" s="8"/>
      <c r="J531" s="8"/>
      <c r="K531" s="8"/>
      <c r="L531" s="8"/>
      <c r="M531" s="8"/>
      <c r="N531" s="8"/>
      <c r="O531" s="8"/>
      <c r="P531" s="8"/>
      <c r="Q531" s="8"/>
      <c r="R531" s="8"/>
      <c r="S531" s="357"/>
      <c r="T531" s="357"/>
      <c r="U531" s="357"/>
      <c r="V531" s="357"/>
      <c r="W531" s="8"/>
      <c r="X531" s="8"/>
      <c r="Y531" s="8"/>
      <c r="Z531" s="8"/>
      <c r="AA531" s="8"/>
      <c r="AB531" s="8"/>
    </row>
    <row r="532">
      <c r="A532" s="8"/>
      <c r="B532" s="8"/>
      <c r="C532" s="8"/>
      <c r="D532" s="8"/>
      <c r="E532" s="8"/>
      <c r="F532" s="356"/>
      <c r="G532" s="8"/>
      <c r="H532" s="8"/>
      <c r="I532" s="8"/>
      <c r="J532" s="8"/>
      <c r="K532" s="8"/>
      <c r="L532" s="8"/>
      <c r="M532" s="8"/>
      <c r="N532" s="8"/>
      <c r="O532" s="8"/>
      <c r="P532" s="8"/>
      <c r="Q532" s="8"/>
      <c r="R532" s="8"/>
      <c r="S532" s="357"/>
      <c r="T532" s="357"/>
      <c r="U532" s="357"/>
      <c r="V532" s="357"/>
      <c r="W532" s="8"/>
      <c r="X532" s="8"/>
      <c r="Y532" s="8"/>
      <c r="Z532" s="8"/>
      <c r="AA532" s="8"/>
      <c r="AB532" s="8"/>
    </row>
    <row r="533">
      <c r="A533" s="8"/>
      <c r="B533" s="8"/>
      <c r="C533" s="8"/>
      <c r="D533" s="8"/>
      <c r="E533" s="8"/>
      <c r="F533" s="356"/>
      <c r="G533" s="8"/>
      <c r="H533" s="8"/>
      <c r="I533" s="8"/>
      <c r="J533" s="8"/>
      <c r="K533" s="8"/>
      <c r="L533" s="8"/>
      <c r="M533" s="8"/>
      <c r="N533" s="8"/>
      <c r="O533" s="8"/>
      <c r="P533" s="8"/>
      <c r="Q533" s="8"/>
      <c r="R533" s="8"/>
      <c r="S533" s="357"/>
      <c r="T533" s="357"/>
      <c r="U533" s="357"/>
      <c r="V533" s="357"/>
      <c r="W533" s="8"/>
      <c r="X533" s="8"/>
      <c r="Y533" s="8"/>
      <c r="Z533" s="8"/>
      <c r="AA533" s="8"/>
      <c r="AB533" s="8"/>
    </row>
    <row r="534">
      <c r="A534" s="8"/>
      <c r="B534" s="8"/>
      <c r="C534" s="8"/>
      <c r="D534" s="8"/>
      <c r="E534" s="8"/>
      <c r="F534" s="356"/>
      <c r="G534" s="8"/>
      <c r="H534" s="8"/>
      <c r="I534" s="8"/>
      <c r="J534" s="8"/>
      <c r="K534" s="8"/>
      <c r="L534" s="8"/>
      <c r="M534" s="8"/>
      <c r="N534" s="8"/>
      <c r="O534" s="8"/>
      <c r="P534" s="8"/>
      <c r="Q534" s="8"/>
      <c r="R534" s="8"/>
      <c r="S534" s="357"/>
      <c r="T534" s="357"/>
      <c r="U534" s="357"/>
      <c r="V534" s="357"/>
      <c r="W534" s="8"/>
      <c r="X534" s="8"/>
      <c r="Y534" s="8"/>
      <c r="Z534" s="8"/>
      <c r="AA534" s="8"/>
      <c r="AB534" s="8"/>
    </row>
    <row r="535">
      <c r="A535" s="8"/>
      <c r="B535" s="8"/>
      <c r="C535" s="8"/>
      <c r="D535" s="8"/>
      <c r="E535" s="8"/>
      <c r="F535" s="356"/>
      <c r="G535" s="8"/>
      <c r="H535" s="8"/>
      <c r="I535" s="8"/>
      <c r="J535" s="8"/>
      <c r="K535" s="8"/>
      <c r="L535" s="8"/>
      <c r="M535" s="8"/>
      <c r="N535" s="8"/>
      <c r="O535" s="8"/>
      <c r="P535" s="8"/>
      <c r="Q535" s="8"/>
      <c r="R535" s="8"/>
      <c r="S535" s="357"/>
      <c r="T535" s="357"/>
      <c r="U535" s="357"/>
      <c r="V535" s="357"/>
      <c r="W535" s="8"/>
      <c r="X535" s="8"/>
      <c r="Y535" s="8"/>
      <c r="Z535" s="8"/>
      <c r="AA535" s="8"/>
      <c r="AB535" s="8"/>
    </row>
    <row r="536">
      <c r="A536" s="8"/>
      <c r="B536" s="8"/>
      <c r="C536" s="8"/>
      <c r="D536" s="8"/>
      <c r="E536" s="8"/>
      <c r="F536" s="356"/>
      <c r="G536" s="8"/>
      <c r="H536" s="8"/>
      <c r="I536" s="8"/>
      <c r="J536" s="8"/>
      <c r="K536" s="8"/>
      <c r="L536" s="8"/>
      <c r="M536" s="8"/>
      <c r="N536" s="8"/>
      <c r="O536" s="8"/>
      <c r="P536" s="8"/>
      <c r="Q536" s="8"/>
      <c r="R536" s="8"/>
      <c r="S536" s="357"/>
      <c r="T536" s="357"/>
      <c r="U536" s="357"/>
      <c r="V536" s="357"/>
      <c r="W536" s="8"/>
      <c r="X536" s="8"/>
      <c r="Y536" s="8"/>
      <c r="Z536" s="8"/>
      <c r="AA536" s="8"/>
      <c r="AB536" s="8"/>
    </row>
    <row r="537">
      <c r="A537" s="8"/>
      <c r="B537" s="8"/>
      <c r="C537" s="8"/>
      <c r="D537" s="8"/>
      <c r="E537" s="8"/>
      <c r="F537" s="356"/>
      <c r="G537" s="8"/>
      <c r="H537" s="8"/>
      <c r="I537" s="8"/>
      <c r="J537" s="8"/>
      <c r="K537" s="8"/>
      <c r="L537" s="8"/>
      <c r="M537" s="8"/>
      <c r="N537" s="8"/>
      <c r="O537" s="8"/>
      <c r="P537" s="8"/>
      <c r="Q537" s="8"/>
      <c r="R537" s="8"/>
      <c r="S537" s="357"/>
      <c r="T537" s="357"/>
      <c r="U537" s="357"/>
      <c r="V537" s="357"/>
      <c r="W537" s="8"/>
      <c r="X537" s="8"/>
      <c r="Y537" s="8"/>
      <c r="Z537" s="8"/>
      <c r="AA537" s="8"/>
      <c r="AB537" s="8"/>
    </row>
    <row r="538">
      <c r="A538" s="8"/>
      <c r="B538" s="8"/>
      <c r="C538" s="8"/>
      <c r="D538" s="8"/>
      <c r="E538" s="8"/>
      <c r="F538" s="356"/>
      <c r="G538" s="8"/>
      <c r="H538" s="8"/>
      <c r="I538" s="8"/>
      <c r="J538" s="8"/>
      <c r="K538" s="8"/>
      <c r="L538" s="8"/>
      <c r="M538" s="8"/>
      <c r="N538" s="8"/>
      <c r="O538" s="8"/>
      <c r="P538" s="8"/>
      <c r="Q538" s="8"/>
      <c r="R538" s="8"/>
      <c r="S538" s="357"/>
      <c r="T538" s="357"/>
      <c r="U538" s="357"/>
      <c r="V538" s="357"/>
      <c r="W538" s="8"/>
      <c r="X538" s="8"/>
      <c r="Y538" s="8"/>
      <c r="Z538" s="8"/>
      <c r="AA538" s="8"/>
      <c r="AB538" s="8"/>
    </row>
    <row r="539">
      <c r="A539" s="8"/>
      <c r="B539" s="8"/>
      <c r="C539" s="8"/>
      <c r="D539" s="8"/>
      <c r="E539" s="8"/>
      <c r="F539" s="356"/>
      <c r="G539" s="8"/>
      <c r="H539" s="8"/>
      <c r="I539" s="8"/>
      <c r="J539" s="8"/>
      <c r="K539" s="8"/>
      <c r="L539" s="8"/>
      <c r="M539" s="8"/>
      <c r="N539" s="8"/>
      <c r="O539" s="8"/>
      <c r="P539" s="8"/>
      <c r="Q539" s="8"/>
      <c r="R539" s="8"/>
      <c r="S539" s="357"/>
      <c r="T539" s="357"/>
      <c r="U539" s="357"/>
      <c r="V539" s="357"/>
      <c r="W539" s="8"/>
      <c r="X539" s="8"/>
      <c r="Y539" s="8"/>
      <c r="Z539" s="8"/>
      <c r="AA539" s="8"/>
      <c r="AB539" s="8"/>
    </row>
    <row r="540">
      <c r="A540" s="8"/>
      <c r="B540" s="8"/>
      <c r="C540" s="8"/>
      <c r="D540" s="8"/>
      <c r="E540" s="8"/>
      <c r="F540" s="356"/>
      <c r="G540" s="8"/>
      <c r="H540" s="8"/>
      <c r="I540" s="8"/>
      <c r="J540" s="8"/>
      <c r="K540" s="8"/>
      <c r="L540" s="8"/>
      <c r="M540" s="8"/>
      <c r="N540" s="8"/>
      <c r="O540" s="8"/>
      <c r="P540" s="8"/>
      <c r="Q540" s="8"/>
      <c r="R540" s="8"/>
      <c r="S540" s="357"/>
      <c r="T540" s="357"/>
      <c r="U540" s="357"/>
      <c r="V540" s="357"/>
      <c r="W540" s="8"/>
      <c r="X540" s="8"/>
      <c r="Y540" s="8"/>
      <c r="Z540" s="8"/>
      <c r="AA540" s="8"/>
      <c r="AB540" s="8"/>
    </row>
    <row r="541">
      <c r="A541" s="8"/>
      <c r="B541" s="8"/>
      <c r="C541" s="8"/>
      <c r="D541" s="8"/>
      <c r="E541" s="8"/>
      <c r="F541" s="356"/>
      <c r="G541" s="8"/>
      <c r="H541" s="8"/>
      <c r="I541" s="8"/>
      <c r="J541" s="8"/>
      <c r="K541" s="8"/>
      <c r="L541" s="8"/>
      <c r="M541" s="8"/>
      <c r="N541" s="8"/>
      <c r="O541" s="8"/>
      <c r="P541" s="8"/>
      <c r="Q541" s="8"/>
      <c r="R541" s="8"/>
      <c r="S541" s="357"/>
      <c r="T541" s="357"/>
      <c r="U541" s="357"/>
      <c r="V541" s="357"/>
      <c r="W541" s="8"/>
      <c r="X541" s="8"/>
      <c r="Y541" s="8"/>
      <c r="Z541" s="8"/>
      <c r="AA541" s="8"/>
      <c r="AB541" s="8"/>
    </row>
    <row r="542">
      <c r="A542" s="8"/>
      <c r="B542" s="8"/>
      <c r="C542" s="8"/>
      <c r="D542" s="8"/>
      <c r="E542" s="8"/>
      <c r="F542" s="356"/>
      <c r="G542" s="8"/>
      <c r="H542" s="8"/>
      <c r="I542" s="8"/>
      <c r="J542" s="8"/>
      <c r="K542" s="8"/>
      <c r="L542" s="8"/>
      <c r="M542" s="8"/>
      <c r="N542" s="8"/>
      <c r="O542" s="8"/>
      <c r="P542" s="8"/>
      <c r="Q542" s="8"/>
      <c r="R542" s="8"/>
      <c r="S542" s="357"/>
      <c r="T542" s="357"/>
      <c r="U542" s="357"/>
      <c r="V542" s="357"/>
      <c r="W542" s="8"/>
      <c r="X542" s="8"/>
      <c r="Y542" s="8"/>
      <c r="Z542" s="8"/>
      <c r="AA542" s="8"/>
      <c r="AB542" s="8"/>
    </row>
    <row r="543">
      <c r="A543" s="8"/>
      <c r="B543" s="8"/>
      <c r="C543" s="8"/>
      <c r="D543" s="8"/>
      <c r="E543" s="8"/>
      <c r="F543" s="356"/>
      <c r="G543" s="8"/>
      <c r="H543" s="8"/>
      <c r="I543" s="8"/>
      <c r="J543" s="8"/>
      <c r="K543" s="8"/>
      <c r="L543" s="8"/>
      <c r="M543" s="8"/>
      <c r="N543" s="8"/>
      <c r="O543" s="8"/>
      <c r="P543" s="8"/>
      <c r="Q543" s="8"/>
      <c r="R543" s="8"/>
      <c r="S543" s="357"/>
      <c r="T543" s="357"/>
      <c r="U543" s="357"/>
      <c r="V543" s="357"/>
      <c r="W543" s="8"/>
      <c r="X543" s="8"/>
      <c r="Y543" s="8"/>
      <c r="Z543" s="8"/>
      <c r="AA543" s="8"/>
      <c r="AB543" s="8"/>
    </row>
    <row r="544">
      <c r="A544" s="8"/>
      <c r="B544" s="8"/>
      <c r="C544" s="8"/>
      <c r="D544" s="8"/>
      <c r="E544" s="8"/>
      <c r="F544" s="356"/>
      <c r="G544" s="8"/>
      <c r="H544" s="8"/>
      <c r="I544" s="8"/>
      <c r="J544" s="8"/>
      <c r="K544" s="8"/>
      <c r="L544" s="8"/>
      <c r="M544" s="8"/>
      <c r="N544" s="8"/>
      <c r="O544" s="8"/>
      <c r="P544" s="8"/>
      <c r="Q544" s="8"/>
      <c r="R544" s="8"/>
      <c r="S544" s="357"/>
      <c r="T544" s="357"/>
      <c r="U544" s="357"/>
      <c r="V544" s="357"/>
      <c r="W544" s="8"/>
      <c r="X544" s="8"/>
      <c r="Y544" s="8"/>
      <c r="Z544" s="8"/>
      <c r="AA544" s="8"/>
      <c r="AB544" s="8"/>
    </row>
    <row r="545">
      <c r="A545" s="8"/>
      <c r="B545" s="8"/>
      <c r="C545" s="8"/>
      <c r="D545" s="8"/>
      <c r="E545" s="8"/>
      <c r="F545" s="356"/>
      <c r="G545" s="8"/>
      <c r="H545" s="8"/>
      <c r="I545" s="8"/>
      <c r="J545" s="8"/>
      <c r="K545" s="8"/>
      <c r="L545" s="8"/>
      <c r="M545" s="8"/>
      <c r="N545" s="8"/>
      <c r="O545" s="8"/>
      <c r="P545" s="8"/>
      <c r="Q545" s="8"/>
      <c r="R545" s="8"/>
      <c r="S545" s="357"/>
      <c r="T545" s="357"/>
      <c r="U545" s="357"/>
      <c r="V545" s="357"/>
      <c r="W545" s="8"/>
      <c r="X545" s="8"/>
      <c r="Y545" s="8"/>
      <c r="Z545" s="8"/>
      <c r="AA545" s="8"/>
      <c r="AB545" s="8"/>
    </row>
    <row r="546">
      <c r="A546" s="8"/>
      <c r="B546" s="8"/>
      <c r="C546" s="8"/>
      <c r="D546" s="8"/>
      <c r="E546" s="8"/>
      <c r="F546" s="356"/>
      <c r="G546" s="8"/>
      <c r="H546" s="8"/>
      <c r="I546" s="8"/>
      <c r="J546" s="8"/>
      <c r="K546" s="8"/>
      <c r="L546" s="8"/>
      <c r="M546" s="8"/>
      <c r="N546" s="8"/>
      <c r="O546" s="8"/>
      <c r="P546" s="8"/>
      <c r="Q546" s="8"/>
      <c r="R546" s="8"/>
      <c r="S546" s="357"/>
      <c r="T546" s="357"/>
      <c r="U546" s="357"/>
      <c r="V546" s="357"/>
      <c r="W546" s="8"/>
      <c r="X546" s="8"/>
      <c r="Y546" s="8"/>
      <c r="Z546" s="8"/>
      <c r="AA546" s="8"/>
      <c r="AB546" s="8"/>
    </row>
    <row r="547">
      <c r="A547" s="8"/>
      <c r="B547" s="8"/>
      <c r="C547" s="8"/>
      <c r="D547" s="8"/>
      <c r="E547" s="8"/>
      <c r="F547" s="356"/>
      <c r="G547" s="8"/>
      <c r="H547" s="8"/>
      <c r="I547" s="8"/>
      <c r="J547" s="8"/>
      <c r="K547" s="8"/>
      <c r="L547" s="8"/>
      <c r="M547" s="8"/>
      <c r="N547" s="8"/>
      <c r="O547" s="8"/>
      <c r="P547" s="8"/>
      <c r="Q547" s="8"/>
      <c r="R547" s="8"/>
      <c r="S547" s="357"/>
      <c r="T547" s="357"/>
      <c r="U547" s="357"/>
      <c r="V547" s="357"/>
      <c r="W547" s="8"/>
      <c r="X547" s="8"/>
      <c r="Y547" s="8"/>
      <c r="Z547" s="8"/>
      <c r="AA547" s="8"/>
      <c r="AB547" s="8"/>
    </row>
    <row r="548">
      <c r="A548" s="8"/>
      <c r="B548" s="8"/>
      <c r="C548" s="8"/>
      <c r="D548" s="8"/>
      <c r="E548" s="8"/>
      <c r="F548" s="356"/>
      <c r="G548" s="8"/>
      <c r="H548" s="8"/>
      <c r="I548" s="8"/>
      <c r="J548" s="8"/>
      <c r="K548" s="8"/>
      <c r="L548" s="8"/>
      <c r="M548" s="8"/>
      <c r="N548" s="8"/>
      <c r="O548" s="8"/>
      <c r="P548" s="8"/>
      <c r="Q548" s="8"/>
      <c r="R548" s="8"/>
      <c r="S548" s="357"/>
      <c r="T548" s="357"/>
      <c r="U548" s="357"/>
      <c r="V548" s="357"/>
      <c r="W548" s="8"/>
      <c r="X548" s="8"/>
      <c r="Y548" s="8"/>
      <c r="Z548" s="8"/>
      <c r="AA548" s="8"/>
      <c r="AB548" s="8"/>
    </row>
    <row r="549">
      <c r="A549" s="8"/>
      <c r="B549" s="8"/>
      <c r="C549" s="8"/>
      <c r="D549" s="8"/>
      <c r="E549" s="8"/>
      <c r="F549" s="356"/>
      <c r="G549" s="8"/>
      <c r="H549" s="8"/>
      <c r="I549" s="8"/>
      <c r="J549" s="8"/>
      <c r="K549" s="8"/>
      <c r="L549" s="8"/>
      <c r="M549" s="8"/>
      <c r="N549" s="8"/>
      <c r="O549" s="8"/>
      <c r="P549" s="8"/>
      <c r="Q549" s="8"/>
      <c r="R549" s="8"/>
      <c r="S549" s="357"/>
      <c r="T549" s="357"/>
      <c r="U549" s="357"/>
      <c r="V549" s="357"/>
      <c r="W549" s="8"/>
      <c r="X549" s="8"/>
      <c r="Y549" s="8"/>
      <c r="Z549" s="8"/>
      <c r="AA549" s="8"/>
      <c r="AB549" s="8"/>
    </row>
    <row r="550">
      <c r="A550" s="8"/>
      <c r="B550" s="8"/>
      <c r="C550" s="8"/>
      <c r="D550" s="8"/>
      <c r="E550" s="8"/>
      <c r="F550" s="356"/>
      <c r="G550" s="8"/>
      <c r="H550" s="8"/>
      <c r="I550" s="8"/>
      <c r="J550" s="8"/>
      <c r="K550" s="8"/>
      <c r="L550" s="8"/>
      <c r="M550" s="8"/>
      <c r="N550" s="8"/>
      <c r="O550" s="8"/>
      <c r="P550" s="8"/>
      <c r="Q550" s="8"/>
      <c r="R550" s="8"/>
      <c r="S550" s="357"/>
      <c r="T550" s="357"/>
      <c r="U550" s="357"/>
      <c r="V550" s="357"/>
      <c r="W550" s="8"/>
      <c r="X550" s="8"/>
      <c r="Y550" s="8"/>
      <c r="Z550" s="8"/>
      <c r="AA550" s="8"/>
      <c r="AB550" s="8"/>
    </row>
    <row r="551">
      <c r="A551" s="8"/>
      <c r="B551" s="8"/>
      <c r="C551" s="8"/>
      <c r="D551" s="8"/>
      <c r="E551" s="8"/>
      <c r="F551" s="356"/>
      <c r="G551" s="8"/>
      <c r="H551" s="8"/>
      <c r="I551" s="8"/>
      <c r="J551" s="8"/>
      <c r="K551" s="8"/>
      <c r="L551" s="8"/>
      <c r="M551" s="8"/>
      <c r="N551" s="8"/>
      <c r="O551" s="8"/>
      <c r="P551" s="8"/>
      <c r="Q551" s="8"/>
      <c r="R551" s="8"/>
      <c r="S551" s="357"/>
      <c r="T551" s="357"/>
      <c r="U551" s="357"/>
      <c r="V551" s="357"/>
      <c r="W551" s="8"/>
      <c r="X551" s="8"/>
      <c r="Y551" s="8"/>
      <c r="Z551" s="8"/>
      <c r="AA551" s="8"/>
      <c r="AB551" s="8"/>
    </row>
    <row r="552">
      <c r="A552" s="8"/>
      <c r="B552" s="8"/>
      <c r="C552" s="8"/>
      <c r="D552" s="8"/>
      <c r="E552" s="8"/>
      <c r="F552" s="356"/>
      <c r="G552" s="8"/>
      <c r="H552" s="8"/>
      <c r="I552" s="8"/>
      <c r="J552" s="8"/>
      <c r="K552" s="8"/>
      <c r="L552" s="8"/>
      <c r="M552" s="8"/>
      <c r="N552" s="8"/>
      <c r="O552" s="8"/>
      <c r="P552" s="8"/>
      <c r="Q552" s="8"/>
      <c r="R552" s="8"/>
      <c r="S552" s="357"/>
      <c r="T552" s="357"/>
      <c r="U552" s="357"/>
      <c r="V552" s="357"/>
      <c r="W552" s="8"/>
      <c r="X552" s="8"/>
      <c r="Y552" s="8"/>
      <c r="Z552" s="8"/>
      <c r="AA552" s="8"/>
      <c r="AB552" s="8"/>
    </row>
    <row r="553">
      <c r="A553" s="8"/>
      <c r="B553" s="8"/>
      <c r="C553" s="8"/>
      <c r="D553" s="8"/>
      <c r="E553" s="8"/>
      <c r="F553" s="356"/>
      <c r="G553" s="8"/>
      <c r="H553" s="8"/>
      <c r="I553" s="8"/>
      <c r="J553" s="8"/>
      <c r="K553" s="8"/>
      <c r="L553" s="8"/>
      <c r="M553" s="8"/>
      <c r="N553" s="8"/>
      <c r="O553" s="8"/>
      <c r="P553" s="8"/>
      <c r="Q553" s="8"/>
      <c r="R553" s="8"/>
      <c r="S553" s="357"/>
      <c r="T553" s="357"/>
      <c r="U553" s="357"/>
      <c r="V553" s="357"/>
      <c r="W553" s="8"/>
      <c r="X553" s="8"/>
      <c r="Y553" s="8"/>
      <c r="Z553" s="8"/>
      <c r="AA553" s="8"/>
      <c r="AB553" s="8"/>
    </row>
    <row r="554">
      <c r="A554" s="8"/>
      <c r="B554" s="8"/>
      <c r="C554" s="8"/>
      <c r="D554" s="8"/>
      <c r="E554" s="8"/>
      <c r="F554" s="356"/>
      <c r="G554" s="8"/>
      <c r="H554" s="8"/>
      <c r="I554" s="8"/>
      <c r="J554" s="8"/>
      <c r="K554" s="8"/>
      <c r="L554" s="8"/>
      <c r="M554" s="8"/>
      <c r="N554" s="8"/>
      <c r="O554" s="8"/>
      <c r="P554" s="8"/>
      <c r="Q554" s="8"/>
      <c r="R554" s="8"/>
      <c r="S554" s="357"/>
      <c r="T554" s="357"/>
      <c r="U554" s="357"/>
      <c r="V554" s="357"/>
      <c r="W554" s="8"/>
      <c r="X554" s="8"/>
      <c r="Y554" s="8"/>
      <c r="Z554" s="8"/>
      <c r="AA554" s="8"/>
      <c r="AB554" s="8"/>
    </row>
    <row r="555">
      <c r="A555" s="8"/>
      <c r="B555" s="8"/>
      <c r="C555" s="8"/>
      <c r="D555" s="8"/>
      <c r="E555" s="8"/>
      <c r="F555" s="356"/>
      <c r="G555" s="8"/>
      <c r="H555" s="8"/>
      <c r="I555" s="8"/>
      <c r="J555" s="8"/>
      <c r="K555" s="8"/>
      <c r="L555" s="8"/>
      <c r="M555" s="8"/>
      <c r="N555" s="8"/>
      <c r="O555" s="8"/>
      <c r="P555" s="8"/>
      <c r="Q555" s="8"/>
      <c r="R555" s="8"/>
      <c r="S555" s="357"/>
      <c r="T555" s="357"/>
      <c r="U555" s="357"/>
      <c r="V555" s="357"/>
      <c r="W555" s="8"/>
      <c r="X555" s="8"/>
      <c r="Y555" s="8"/>
      <c r="Z555" s="8"/>
      <c r="AA555" s="8"/>
      <c r="AB555" s="8"/>
    </row>
    <row r="556">
      <c r="A556" s="8"/>
      <c r="B556" s="8"/>
      <c r="C556" s="8"/>
      <c r="D556" s="8"/>
      <c r="E556" s="8"/>
      <c r="F556" s="356"/>
      <c r="G556" s="8"/>
      <c r="H556" s="8"/>
      <c r="I556" s="8"/>
      <c r="J556" s="8"/>
      <c r="K556" s="8"/>
      <c r="L556" s="8"/>
      <c r="M556" s="8"/>
      <c r="N556" s="8"/>
      <c r="O556" s="8"/>
      <c r="P556" s="8"/>
      <c r="Q556" s="8"/>
      <c r="R556" s="8"/>
      <c r="S556" s="357"/>
      <c r="T556" s="357"/>
      <c r="U556" s="357"/>
      <c r="V556" s="357"/>
      <c r="W556" s="8"/>
      <c r="X556" s="8"/>
      <c r="Y556" s="8"/>
      <c r="Z556" s="8"/>
      <c r="AA556" s="8"/>
      <c r="AB556" s="8"/>
    </row>
    <row r="557">
      <c r="A557" s="8"/>
      <c r="B557" s="8"/>
      <c r="C557" s="8"/>
      <c r="D557" s="8"/>
      <c r="E557" s="8"/>
      <c r="F557" s="356"/>
      <c r="G557" s="8"/>
      <c r="H557" s="8"/>
      <c r="I557" s="8"/>
      <c r="J557" s="8"/>
      <c r="K557" s="8"/>
      <c r="L557" s="8"/>
      <c r="M557" s="8"/>
      <c r="N557" s="8"/>
      <c r="O557" s="8"/>
      <c r="P557" s="8"/>
      <c r="Q557" s="8"/>
      <c r="R557" s="8"/>
      <c r="S557" s="357"/>
      <c r="T557" s="357"/>
      <c r="U557" s="357"/>
      <c r="V557" s="357"/>
      <c r="W557" s="8"/>
      <c r="X557" s="8"/>
      <c r="Y557" s="8"/>
      <c r="Z557" s="8"/>
      <c r="AA557" s="8"/>
      <c r="AB557" s="8"/>
    </row>
    <row r="558">
      <c r="A558" s="8"/>
      <c r="B558" s="8"/>
      <c r="C558" s="8"/>
      <c r="D558" s="8"/>
      <c r="E558" s="8"/>
      <c r="F558" s="356"/>
      <c r="G558" s="8"/>
      <c r="H558" s="8"/>
      <c r="I558" s="8"/>
      <c r="J558" s="8"/>
      <c r="K558" s="8"/>
      <c r="L558" s="8"/>
      <c r="M558" s="8"/>
      <c r="N558" s="8"/>
      <c r="O558" s="8"/>
      <c r="P558" s="8"/>
      <c r="Q558" s="8"/>
      <c r="R558" s="8"/>
      <c r="S558" s="357"/>
      <c r="T558" s="357"/>
      <c r="U558" s="357"/>
      <c r="V558" s="357"/>
      <c r="W558" s="8"/>
      <c r="X558" s="8"/>
      <c r="Y558" s="8"/>
      <c r="Z558" s="8"/>
      <c r="AA558" s="8"/>
      <c r="AB558" s="8"/>
    </row>
    <row r="559">
      <c r="A559" s="8"/>
      <c r="B559" s="8"/>
      <c r="C559" s="8"/>
      <c r="D559" s="8"/>
      <c r="E559" s="8"/>
      <c r="F559" s="356"/>
      <c r="G559" s="8"/>
      <c r="H559" s="8"/>
      <c r="I559" s="8"/>
      <c r="J559" s="8"/>
      <c r="K559" s="8"/>
      <c r="L559" s="8"/>
      <c r="M559" s="8"/>
      <c r="N559" s="8"/>
      <c r="O559" s="8"/>
      <c r="P559" s="8"/>
      <c r="Q559" s="8"/>
      <c r="R559" s="8"/>
      <c r="S559" s="357"/>
      <c r="T559" s="357"/>
      <c r="U559" s="357"/>
      <c r="V559" s="357"/>
      <c r="W559" s="8"/>
      <c r="X559" s="8"/>
      <c r="Y559" s="8"/>
      <c r="Z559" s="8"/>
      <c r="AA559" s="8"/>
      <c r="AB559" s="8"/>
    </row>
    <row r="560">
      <c r="A560" s="8"/>
      <c r="B560" s="8"/>
      <c r="C560" s="8"/>
      <c r="D560" s="8"/>
      <c r="E560" s="8"/>
      <c r="F560" s="356"/>
      <c r="G560" s="8"/>
      <c r="H560" s="8"/>
      <c r="I560" s="8"/>
      <c r="J560" s="8"/>
      <c r="K560" s="8"/>
      <c r="L560" s="8"/>
      <c r="M560" s="8"/>
      <c r="N560" s="8"/>
      <c r="O560" s="8"/>
      <c r="P560" s="8"/>
      <c r="Q560" s="8"/>
      <c r="R560" s="8"/>
      <c r="S560" s="357"/>
      <c r="T560" s="357"/>
      <c r="U560" s="357"/>
      <c r="V560" s="357"/>
      <c r="W560" s="8"/>
      <c r="X560" s="8"/>
      <c r="Y560" s="8"/>
      <c r="Z560" s="8"/>
      <c r="AA560" s="8"/>
      <c r="AB560" s="8"/>
    </row>
    <row r="561">
      <c r="A561" s="8"/>
      <c r="B561" s="8"/>
      <c r="C561" s="8"/>
      <c r="D561" s="8"/>
      <c r="E561" s="8"/>
      <c r="F561" s="356"/>
      <c r="G561" s="8"/>
      <c r="H561" s="8"/>
      <c r="I561" s="8"/>
      <c r="J561" s="8"/>
      <c r="K561" s="8"/>
      <c r="L561" s="8"/>
      <c r="M561" s="8"/>
      <c r="N561" s="8"/>
      <c r="O561" s="8"/>
      <c r="P561" s="8"/>
      <c r="Q561" s="8"/>
      <c r="R561" s="8"/>
      <c r="S561" s="357"/>
      <c r="T561" s="357"/>
      <c r="U561" s="357"/>
      <c r="V561" s="357"/>
      <c r="W561" s="8"/>
      <c r="X561" s="8"/>
      <c r="Y561" s="8"/>
      <c r="Z561" s="8"/>
      <c r="AA561" s="8"/>
      <c r="AB561" s="8"/>
    </row>
    <row r="562">
      <c r="A562" s="8"/>
      <c r="B562" s="8"/>
      <c r="C562" s="8"/>
      <c r="D562" s="8"/>
      <c r="E562" s="8"/>
      <c r="F562" s="356"/>
      <c r="G562" s="8"/>
      <c r="H562" s="8"/>
      <c r="I562" s="8"/>
      <c r="J562" s="8"/>
      <c r="K562" s="8"/>
      <c r="L562" s="8"/>
      <c r="M562" s="8"/>
      <c r="N562" s="8"/>
      <c r="O562" s="8"/>
      <c r="P562" s="8"/>
      <c r="Q562" s="8"/>
      <c r="R562" s="8"/>
      <c r="S562" s="357"/>
      <c r="T562" s="357"/>
      <c r="U562" s="357"/>
      <c r="V562" s="357"/>
      <c r="W562" s="8"/>
      <c r="X562" s="8"/>
      <c r="Y562" s="8"/>
      <c r="Z562" s="8"/>
      <c r="AA562" s="8"/>
      <c r="AB562" s="8"/>
    </row>
    <row r="563">
      <c r="A563" s="8"/>
      <c r="B563" s="8"/>
      <c r="C563" s="8"/>
      <c r="D563" s="8"/>
      <c r="E563" s="8"/>
      <c r="F563" s="356"/>
      <c r="G563" s="8"/>
      <c r="H563" s="8"/>
      <c r="I563" s="8"/>
      <c r="J563" s="8"/>
      <c r="K563" s="8"/>
      <c r="L563" s="8"/>
      <c r="M563" s="8"/>
      <c r="N563" s="8"/>
      <c r="O563" s="8"/>
      <c r="P563" s="8"/>
      <c r="Q563" s="8"/>
      <c r="R563" s="8"/>
      <c r="S563" s="357"/>
      <c r="T563" s="357"/>
      <c r="U563" s="357"/>
      <c r="V563" s="357"/>
      <c r="W563" s="8"/>
      <c r="X563" s="8"/>
      <c r="Y563" s="8"/>
      <c r="Z563" s="8"/>
      <c r="AA563" s="8"/>
      <c r="AB563" s="8"/>
    </row>
    <row r="564">
      <c r="A564" s="8"/>
      <c r="B564" s="8"/>
      <c r="C564" s="8"/>
      <c r="D564" s="8"/>
      <c r="E564" s="8"/>
      <c r="F564" s="356"/>
      <c r="G564" s="8"/>
      <c r="H564" s="8"/>
      <c r="I564" s="8"/>
      <c r="J564" s="8"/>
      <c r="K564" s="8"/>
      <c r="L564" s="8"/>
      <c r="M564" s="8"/>
      <c r="N564" s="8"/>
      <c r="O564" s="8"/>
      <c r="P564" s="8"/>
      <c r="Q564" s="8"/>
      <c r="R564" s="8"/>
      <c r="S564" s="357"/>
      <c r="T564" s="357"/>
      <c r="U564" s="357"/>
      <c r="V564" s="357"/>
      <c r="W564" s="8"/>
      <c r="X564" s="8"/>
      <c r="Y564" s="8"/>
      <c r="Z564" s="8"/>
      <c r="AA564" s="8"/>
      <c r="AB564" s="8"/>
    </row>
    <row r="565">
      <c r="A565" s="8"/>
      <c r="B565" s="8"/>
      <c r="C565" s="8"/>
      <c r="D565" s="8"/>
      <c r="E565" s="8"/>
      <c r="F565" s="356"/>
      <c r="G565" s="8"/>
      <c r="H565" s="8"/>
      <c r="I565" s="8"/>
      <c r="J565" s="8"/>
      <c r="K565" s="8"/>
      <c r="L565" s="8"/>
      <c r="M565" s="8"/>
      <c r="N565" s="8"/>
      <c r="O565" s="8"/>
      <c r="P565" s="8"/>
      <c r="Q565" s="8"/>
      <c r="R565" s="8"/>
      <c r="S565" s="357"/>
      <c r="T565" s="357"/>
      <c r="U565" s="357"/>
      <c r="V565" s="357"/>
      <c r="W565" s="8"/>
      <c r="X565" s="8"/>
      <c r="Y565" s="8"/>
      <c r="Z565" s="8"/>
      <c r="AA565" s="8"/>
      <c r="AB565" s="8"/>
    </row>
    <row r="566">
      <c r="A566" s="8"/>
      <c r="B566" s="8"/>
      <c r="C566" s="8"/>
      <c r="D566" s="8"/>
      <c r="E566" s="8"/>
      <c r="F566" s="356"/>
      <c r="G566" s="8"/>
      <c r="H566" s="8"/>
      <c r="I566" s="8"/>
      <c r="J566" s="8"/>
      <c r="K566" s="8"/>
      <c r="L566" s="8"/>
      <c r="M566" s="8"/>
      <c r="N566" s="8"/>
      <c r="O566" s="8"/>
      <c r="P566" s="8"/>
      <c r="Q566" s="8"/>
      <c r="R566" s="8"/>
      <c r="S566" s="357"/>
      <c r="T566" s="357"/>
      <c r="U566" s="357"/>
      <c r="V566" s="357"/>
      <c r="W566" s="8"/>
      <c r="X566" s="8"/>
      <c r="Y566" s="8"/>
      <c r="Z566" s="8"/>
      <c r="AA566" s="8"/>
      <c r="AB566" s="8"/>
    </row>
    <row r="567">
      <c r="A567" s="8"/>
      <c r="B567" s="8"/>
      <c r="C567" s="8"/>
      <c r="D567" s="8"/>
      <c r="E567" s="8"/>
      <c r="F567" s="356"/>
      <c r="G567" s="8"/>
      <c r="H567" s="8"/>
      <c r="I567" s="8"/>
      <c r="J567" s="8"/>
      <c r="K567" s="8"/>
      <c r="L567" s="8"/>
      <c r="M567" s="8"/>
      <c r="N567" s="8"/>
      <c r="O567" s="8"/>
      <c r="P567" s="8"/>
      <c r="Q567" s="8"/>
      <c r="R567" s="8"/>
      <c r="S567" s="357"/>
      <c r="T567" s="357"/>
      <c r="U567" s="357"/>
      <c r="V567" s="357"/>
      <c r="W567" s="8"/>
      <c r="X567" s="8"/>
      <c r="Y567" s="8"/>
      <c r="Z567" s="8"/>
      <c r="AA567" s="8"/>
      <c r="AB567" s="8"/>
    </row>
    <row r="568">
      <c r="A568" s="8"/>
      <c r="B568" s="8"/>
      <c r="C568" s="8"/>
      <c r="D568" s="8"/>
      <c r="E568" s="8"/>
      <c r="F568" s="356"/>
      <c r="G568" s="8"/>
      <c r="H568" s="8"/>
      <c r="I568" s="8"/>
      <c r="J568" s="8"/>
      <c r="K568" s="8"/>
      <c r="L568" s="8"/>
      <c r="M568" s="8"/>
      <c r="N568" s="8"/>
      <c r="O568" s="8"/>
      <c r="P568" s="8"/>
      <c r="Q568" s="8"/>
      <c r="R568" s="8"/>
      <c r="S568" s="357"/>
      <c r="T568" s="357"/>
      <c r="U568" s="357"/>
      <c r="V568" s="357"/>
      <c r="W568" s="8"/>
      <c r="X568" s="8"/>
      <c r="Y568" s="8"/>
      <c r="Z568" s="8"/>
      <c r="AA568" s="8"/>
      <c r="AB568" s="8"/>
    </row>
    <row r="569">
      <c r="A569" s="8"/>
      <c r="B569" s="8"/>
      <c r="C569" s="8"/>
      <c r="D569" s="8"/>
      <c r="E569" s="8"/>
      <c r="F569" s="356"/>
      <c r="G569" s="8"/>
      <c r="H569" s="8"/>
      <c r="I569" s="8"/>
      <c r="J569" s="8"/>
      <c r="K569" s="8"/>
      <c r="L569" s="8"/>
      <c r="M569" s="8"/>
      <c r="N569" s="8"/>
      <c r="O569" s="8"/>
      <c r="P569" s="8"/>
      <c r="Q569" s="8"/>
      <c r="R569" s="8"/>
      <c r="S569" s="357"/>
      <c r="T569" s="357"/>
      <c r="U569" s="357"/>
      <c r="V569" s="357"/>
      <c r="W569" s="8"/>
      <c r="X569" s="8"/>
      <c r="Y569" s="8"/>
      <c r="Z569" s="8"/>
      <c r="AA569" s="8"/>
      <c r="AB569" s="8"/>
    </row>
    <row r="570">
      <c r="A570" s="8"/>
      <c r="B570" s="8"/>
      <c r="C570" s="8"/>
      <c r="D570" s="8"/>
      <c r="E570" s="8"/>
      <c r="F570" s="356"/>
      <c r="G570" s="8"/>
      <c r="H570" s="8"/>
      <c r="I570" s="8"/>
      <c r="J570" s="8"/>
      <c r="K570" s="8"/>
      <c r="L570" s="8"/>
      <c r="M570" s="8"/>
      <c r="N570" s="8"/>
      <c r="O570" s="8"/>
      <c r="P570" s="8"/>
      <c r="Q570" s="8"/>
      <c r="R570" s="8"/>
      <c r="S570" s="357"/>
      <c r="T570" s="357"/>
      <c r="U570" s="357"/>
      <c r="V570" s="357"/>
      <c r="W570" s="8"/>
      <c r="X570" s="8"/>
      <c r="Y570" s="8"/>
      <c r="Z570" s="8"/>
      <c r="AA570" s="8"/>
      <c r="AB570" s="8"/>
    </row>
    <row r="571">
      <c r="A571" s="8"/>
      <c r="B571" s="8"/>
      <c r="C571" s="8"/>
      <c r="D571" s="8"/>
      <c r="E571" s="8"/>
      <c r="F571" s="356"/>
      <c r="G571" s="8"/>
      <c r="H571" s="8"/>
      <c r="I571" s="8"/>
      <c r="J571" s="8"/>
      <c r="K571" s="8"/>
      <c r="L571" s="8"/>
      <c r="M571" s="8"/>
      <c r="N571" s="8"/>
      <c r="O571" s="8"/>
      <c r="P571" s="8"/>
      <c r="Q571" s="8"/>
      <c r="R571" s="8"/>
      <c r="S571" s="357"/>
      <c r="T571" s="357"/>
      <c r="U571" s="357"/>
      <c r="V571" s="357"/>
      <c r="W571" s="8"/>
      <c r="X571" s="8"/>
      <c r="Y571" s="8"/>
      <c r="Z571" s="8"/>
      <c r="AA571" s="8"/>
      <c r="AB571" s="8"/>
    </row>
    <row r="572">
      <c r="A572" s="8"/>
      <c r="B572" s="8"/>
      <c r="C572" s="8"/>
      <c r="D572" s="8"/>
      <c r="E572" s="8"/>
      <c r="F572" s="356"/>
      <c r="G572" s="8"/>
      <c r="H572" s="8"/>
      <c r="I572" s="8"/>
      <c r="J572" s="8"/>
      <c r="K572" s="8"/>
      <c r="L572" s="8"/>
      <c r="M572" s="8"/>
      <c r="N572" s="8"/>
      <c r="O572" s="8"/>
      <c r="P572" s="8"/>
      <c r="Q572" s="8"/>
      <c r="R572" s="8"/>
      <c r="S572" s="357"/>
      <c r="T572" s="357"/>
      <c r="U572" s="357"/>
      <c r="V572" s="357"/>
      <c r="W572" s="8"/>
      <c r="X572" s="8"/>
      <c r="Y572" s="8"/>
      <c r="Z572" s="8"/>
      <c r="AA572" s="8"/>
      <c r="AB572" s="8"/>
    </row>
    <row r="573">
      <c r="A573" s="8"/>
      <c r="B573" s="8"/>
      <c r="C573" s="8"/>
      <c r="D573" s="8"/>
      <c r="E573" s="8"/>
      <c r="F573" s="356"/>
      <c r="G573" s="8"/>
      <c r="H573" s="8"/>
      <c r="I573" s="8"/>
      <c r="J573" s="8"/>
      <c r="K573" s="8"/>
      <c r="L573" s="8"/>
      <c r="M573" s="8"/>
      <c r="N573" s="8"/>
      <c r="O573" s="8"/>
      <c r="P573" s="8"/>
      <c r="Q573" s="8"/>
      <c r="R573" s="8"/>
      <c r="S573" s="357"/>
      <c r="T573" s="357"/>
      <c r="U573" s="357"/>
      <c r="V573" s="357"/>
      <c r="W573" s="8"/>
      <c r="X573" s="8"/>
      <c r="Y573" s="8"/>
      <c r="Z573" s="8"/>
      <c r="AA573" s="8"/>
      <c r="AB573" s="8"/>
    </row>
    <row r="574">
      <c r="A574" s="8"/>
      <c r="B574" s="8"/>
      <c r="C574" s="8"/>
      <c r="D574" s="8"/>
      <c r="E574" s="8"/>
      <c r="F574" s="356"/>
      <c r="G574" s="8"/>
      <c r="H574" s="8"/>
      <c r="I574" s="8"/>
      <c r="J574" s="8"/>
      <c r="K574" s="8"/>
      <c r="L574" s="8"/>
      <c r="M574" s="8"/>
      <c r="N574" s="8"/>
      <c r="O574" s="8"/>
      <c r="P574" s="8"/>
      <c r="Q574" s="8"/>
      <c r="R574" s="8"/>
      <c r="S574" s="357"/>
      <c r="T574" s="357"/>
      <c r="U574" s="357"/>
      <c r="V574" s="357"/>
      <c r="W574" s="8"/>
      <c r="X574" s="8"/>
      <c r="Y574" s="8"/>
      <c r="Z574" s="8"/>
      <c r="AA574" s="8"/>
      <c r="AB574" s="8"/>
    </row>
    <row r="575">
      <c r="A575" s="8"/>
      <c r="B575" s="8"/>
      <c r="C575" s="8"/>
      <c r="D575" s="8"/>
      <c r="E575" s="8"/>
      <c r="F575" s="356"/>
      <c r="G575" s="8"/>
      <c r="H575" s="8"/>
      <c r="I575" s="8"/>
      <c r="J575" s="8"/>
      <c r="K575" s="8"/>
      <c r="L575" s="8"/>
      <c r="M575" s="8"/>
      <c r="N575" s="8"/>
      <c r="O575" s="8"/>
      <c r="P575" s="8"/>
      <c r="Q575" s="8"/>
      <c r="R575" s="8"/>
      <c r="S575" s="357"/>
      <c r="T575" s="357"/>
      <c r="U575" s="357"/>
      <c r="V575" s="357"/>
      <c r="W575" s="8"/>
      <c r="X575" s="8"/>
      <c r="Y575" s="8"/>
      <c r="Z575" s="8"/>
      <c r="AA575" s="8"/>
      <c r="AB575" s="8"/>
    </row>
    <row r="576">
      <c r="A576" s="8"/>
      <c r="B576" s="8"/>
      <c r="C576" s="8"/>
      <c r="D576" s="8"/>
      <c r="E576" s="8"/>
      <c r="F576" s="356"/>
      <c r="G576" s="8"/>
      <c r="H576" s="8"/>
      <c r="I576" s="8"/>
      <c r="J576" s="8"/>
      <c r="K576" s="8"/>
      <c r="L576" s="8"/>
      <c r="M576" s="8"/>
      <c r="N576" s="8"/>
      <c r="O576" s="8"/>
      <c r="P576" s="8"/>
      <c r="Q576" s="8"/>
      <c r="R576" s="8"/>
      <c r="S576" s="357"/>
      <c r="T576" s="357"/>
      <c r="U576" s="357"/>
      <c r="V576" s="357"/>
      <c r="W576" s="8"/>
      <c r="X576" s="8"/>
      <c r="Y576" s="8"/>
      <c r="Z576" s="8"/>
      <c r="AA576" s="8"/>
      <c r="AB576" s="8"/>
    </row>
    <row r="577">
      <c r="A577" s="8"/>
      <c r="B577" s="8"/>
      <c r="C577" s="8"/>
      <c r="D577" s="8"/>
      <c r="E577" s="8"/>
      <c r="F577" s="356"/>
      <c r="G577" s="8"/>
      <c r="H577" s="8"/>
      <c r="I577" s="8"/>
      <c r="J577" s="8"/>
      <c r="K577" s="8"/>
      <c r="L577" s="8"/>
      <c r="M577" s="8"/>
      <c r="N577" s="8"/>
      <c r="O577" s="8"/>
      <c r="P577" s="8"/>
      <c r="Q577" s="8"/>
      <c r="R577" s="8"/>
      <c r="S577" s="357"/>
      <c r="T577" s="357"/>
      <c r="U577" s="357"/>
      <c r="V577" s="357"/>
      <c r="W577" s="8"/>
      <c r="X577" s="8"/>
      <c r="Y577" s="8"/>
      <c r="Z577" s="8"/>
      <c r="AA577" s="8"/>
      <c r="AB577" s="8"/>
    </row>
    <row r="578">
      <c r="A578" s="8"/>
      <c r="B578" s="8"/>
      <c r="C578" s="8"/>
      <c r="D578" s="8"/>
      <c r="E578" s="8"/>
      <c r="F578" s="356"/>
      <c r="G578" s="8"/>
      <c r="H578" s="8"/>
      <c r="I578" s="8"/>
      <c r="J578" s="8"/>
      <c r="K578" s="8"/>
      <c r="L578" s="8"/>
      <c r="M578" s="8"/>
      <c r="N578" s="8"/>
      <c r="O578" s="8"/>
      <c r="P578" s="8"/>
      <c r="Q578" s="8"/>
      <c r="R578" s="8"/>
      <c r="S578" s="357"/>
      <c r="T578" s="357"/>
      <c r="U578" s="357"/>
      <c r="V578" s="357"/>
      <c r="W578" s="8"/>
      <c r="X578" s="8"/>
      <c r="Y578" s="8"/>
      <c r="Z578" s="8"/>
      <c r="AA578" s="8"/>
      <c r="AB578" s="8"/>
    </row>
    <row r="579">
      <c r="A579" s="8"/>
      <c r="B579" s="8"/>
      <c r="C579" s="8"/>
      <c r="D579" s="8"/>
      <c r="E579" s="8"/>
      <c r="F579" s="356"/>
      <c r="G579" s="8"/>
      <c r="H579" s="8"/>
      <c r="I579" s="8"/>
      <c r="J579" s="8"/>
      <c r="K579" s="8"/>
      <c r="L579" s="8"/>
      <c r="M579" s="8"/>
      <c r="N579" s="8"/>
      <c r="O579" s="8"/>
      <c r="P579" s="8"/>
      <c r="Q579" s="8"/>
      <c r="R579" s="8"/>
      <c r="S579" s="357"/>
      <c r="T579" s="357"/>
      <c r="U579" s="357"/>
      <c r="V579" s="357"/>
      <c r="W579" s="8"/>
      <c r="X579" s="8"/>
      <c r="Y579" s="8"/>
      <c r="Z579" s="8"/>
      <c r="AA579" s="8"/>
      <c r="AB579" s="8"/>
    </row>
    <row r="580">
      <c r="A580" s="8"/>
      <c r="B580" s="8"/>
      <c r="C580" s="8"/>
      <c r="D580" s="8"/>
      <c r="E580" s="8"/>
      <c r="F580" s="356"/>
      <c r="G580" s="8"/>
      <c r="H580" s="8"/>
      <c r="I580" s="8"/>
      <c r="J580" s="8"/>
      <c r="K580" s="8"/>
      <c r="L580" s="8"/>
      <c r="M580" s="8"/>
      <c r="N580" s="8"/>
      <c r="O580" s="8"/>
      <c r="P580" s="8"/>
      <c r="Q580" s="8"/>
      <c r="R580" s="8"/>
      <c r="S580" s="357"/>
      <c r="T580" s="357"/>
      <c r="U580" s="357"/>
      <c r="V580" s="357"/>
      <c r="W580" s="8"/>
      <c r="X580" s="8"/>
      <c r="Y580" s="8"/>
      <c r="Z580" s="8"/>
      <c r="AA580" s="8"/>
      <c r="AB580" s="8"/>
    </row>
    <row r="581">
      <c r="A581" s="8"/>
      <c r="B581" s="8"/>
      <c r="C581" s="8"/>
      <c r="D581" s="8"/>
      <c r="E581" s="8"/>
      <c r="F581" s="356"/>
      <c r="G581" s="8"/>
      <c r="H581" s="8"/>
      <c r="I581" s="8"/>
      <c r="J581" s="8"/>
      <c r="K581" s="8"/>
      <c r="L581" s="8"/>
      <c r="M581" s="8"/>
      <c r="N581" s="8"/>
      <c r="O581" s="8"/>
      <c r="P581" s="8"/>
      <c r="Q581" s="8"/>
      <c r="R581" s="8"/>
      <c r="S581" s="357"/>
      <c r="T581" s="357"/>
      <c r="U581" s="357"/>
      <c r="V581" s="357"/>
      <c r="W581" s="8"/>
      <c r="X581" s="8"/>
      <c r="Y581" s="8"/>
      <c r="Z581" s="8"/>
      <c r="AA581" s="8"/>
      <c r="AB581" s="8"/>
    </row>
    <row r="582">
      <c r="A582" s="8"/>
      <c r="B582" s="8"/>
      <c r="C582" s="8"/>
      <c r="D582" s="8"/>
      <c r="E582" s="8"/>
      <c r="F582" s="356"/>
      <c r="G582" s="8"/>
      <c r="H582" s="8"/>
      <c r="I582" s="8"/>
      <c r="J582" s="8"/>
      <c r="K582" s="8"/>
      <c r="L582" s="8"/>
      <c r="M582" s="8"/>
      <c r="N582" s="8"/>
      <c r="O582" s="8"/>
      <c r="P582" s="8"/>
      <c r="Q582" s="8"/>
      <c r="R582" s="8"/>
      <c r="S582" s="357"/>
      <c r="T582" s="357"/>
      <c r="U582" s="357"/>
      <c r="V582" s="357"/>
      <c r="W582" s="8"/>
      <c r="X582" s="8"/>
      <c r="Y582" s="8"/>
      <c r="Z582" s="8"/>
      <c r="AA582" s="8"/>
      <c r="AB582" s="8"/>
    </row>
    <row r="583">
      <c r="A583" s="8"/>
      <c r="B583" s="8"/>
      <c r="C583" s="8"/>
      <c r="D583" s="8"/>
      <c r="E583" s="8"/>
      <c r="F583" s="356"/>
      <c r="G583" s="8"/>
      <c r="H583" s="8"/>
      <c r="I583" s="8"/>
      <c r="J583" s="8"/>
      <c r="K583" s="8"/>
      <c r="L583" s="8"/>
      <c r="M583" s="8"/>
      <c r="N583" s="8"/>
      <c r="O583" s="8"/>
      <c r="P583" s="8"/>
      <c r="Q583" s="8"/>
      <c r="R583" s="8"/>
      <c r="S583" s="357"/>
      <c r="T583" s="357"/>
      <c r="U583" s="357"/>
      <c r="V583" s="357"/>
      <c r="W583" s="8"/>
      <c r="X583" s="8"/>
      <c r="Y583" s="8"/>
      <c r="Z583" s="8"/>
      <c r="AA583" s="8"/>
      <c r="AB583" s="8"/>
    </row>
    <row r="584">
      <c r="A584" s="8"/>
      <c r="B584" s="8"/>
      <c r="C584" s="8"/>
      <c r="D584" s="8"/>
      <c r="E584" s="8"/>
      <c r="F584" s="356"/>
      <c r="G584" s="8"/>
      <c r="H584" s="8"/>
      <c r="I584" s="8"/>
      <c r="J584" s="8"/>
      <c r="K584" s="8"/>
      <c r="L584" s="8"/>
      <c r="M584" s="8"/>
      <c r="N584" s="8"/>
      <c r="O584" s="8"/>
      <c r="P584" s="8"/>
      <c r="Q584" s="8"/>
      <c r="R584" s="8"/>
      <c r="S584" s="357"/>
      <c r="T584" s="357"/>
      <c r="U584" s="357"/>
      <c r="V584" s="357"/>
      <c r="W584" s="8"/>
      <c r="X584" s="8"/>
      <c r="Y584" s="8"/>
      <c r="Z584" s="8"/>
      <c r="AA584" s="8"/>
      <c r="AB584" s="8"/>
    </row>
    <row r="585">
      <c r="A585" s="8"/>
      <c r="B585" s="8"/>
      <c r="C585" s="8"/>
      <c r="D585" s="8"/>
      <c r="E585" s="8"/>
      <c r="F585" s="356"/>
      <c r="G585" s="8"/>
      <c r="H585" s="8"/>
      <c r="I585" s="8"/>
      <c r="J585" s="8"/>
      <c r="K585" s="8"/>
      <c r="L585" s="8"/>
      <c r="M585" s="8"/>
      <c r="N585" s="8"/>
      <c r="O585" s="8"/>
      <c r="P585" s="8"/>
      <c r="Q585" s="8"/>
      <c r="R585" s="8"/>
      <c r="S585" s="357"/>
      <c r="T585" s="357"/>
      <c r="U585" s="357"/>
      <c r="V585" s="357"/>
      <c r="W585" s="8"/>
      <c r="X585" s="8"/>
      <c r="Y585" s="8"/>
      <c r="Z585" s="8"/>
      <c r="AA585" s="8"/>
      <c r="AB585" s="8"/>
    </row>
    <row r="586">
      <c r="A586" s="8"/>
      <c r="B586" s="8"/>
      <c r="C586" s="8"/>
      <c r="D586" s="8"/>
      <c r="E586" s="8"/>
      <c r="F586" s="356"/>
      <c r="G586" s="8"/>
      <c r="H586" s="8"/>
      <c r="I586" s="8"/>
      <c r="J586" s="8"/>
      <c r="K586" s="8"/>
      <c r="L586" s="8"/>
      <c r="M586" s="8"/>
      <c r="N586" s="8"/>
      <c r="O586" s="8"/>
      <c r="P586" s="8"/>
      <c r="Q586" s="8"/>
      <c r="R586" s="8"/>
      <c r="S586" s="357"/>
      <c r="T586" s="357"/>
      <c r="U586" s="357"/>
      <c r="V586" s="357"/>
      <c r="W586" s="8"/>
      <c r="X586" s="8"/>
      <c r="Y586" s="8"/>
      <c r="Z586" s="8"/>
      <c r="AA586" s="8"/>
      <c r="AB586" s="8"/>
    </row>
    <row r="587">
      <c r="A587" s="8"/>
      <c r="B587" s="8"/>
      <c r="C587" s="8"/>
      <c r="D587" s="8"/>
      <c r="E587" s="8"/>
      <c r="F587" s="356"/>
      <c r="G587" s="8"/>
      <c r="H587" s="8"/>
      <c r="I587" s="8"/>
      <c r="J587" s="8"/>
      <c r="K587" s="8"/>
      <c r="L587" s="8"/>
      <c r="M587" s="8"/>
      <c r="N587" s="8"/>
      <c r="O587" s="8"/>
      <c r="P587" s="8"/>
      <c r="Q587" s="8"/>
      <c r="R587" s="8"/>
      <c r="S587" s="357"/>
      <c r="T587" s="357"/>
      <c r="U587" s="357"/>
      <c r="V587" s="357"/>
      <c r="W587" s="8"/>
      <c r="X587" s="8"/>
      <c r="Y587" s="8"/>
      <c r="Z587" s="8"/>
      <c r="AA587" s="8"/>
      <c r="AB587" s="8"/>
    </row>
    <row r="588">
      <c r="A588" s="8"/>
      <c r="B588" s="8"/>
      <c r="C588" s="8"/>
      <c r="D588" s="8"/>
      <c r="E588" s="8"/>
      <c r="F588" s="356"/>
      <c r="G588" s="8"/>
      <c r="H588" s="8"/>
      <c r="I588" s="8"/>
      <c r="J588" s="8"/>
      <c r="K588" s="8"/>
      <c r="L588" s="8"/>
      <c r="M588" s="8"/>
      <c r="N588" s="8"/>
      <c r="O588" s="8"/>
      <c r="P588" s="8"/>
      <c r="Q588" s="8"/>
      <c r="R588" s="8"/>
      <c r="S588" s="357"/>
      <c r="T588" s="357"/>
      <c r="U588" s="357"/>
      <c r="V588" s="357"/>
      <c r="W588" s="8"/>
      <c r="X588" s="8"/>
      <c r="Y588" s="8"/>
      <c r="Z588" s="8"/>
      <c r="AA588" s="8"/>
      <c r="AB588" s="8"/>
    </row>
    <row r="589">
      <c r="A589" s="8"/>
      <c r="B589" s="8"/>
      <c r="C589" s="8"/>
      <c r="D589" s="8"/>
      <c r="E589" s="8"/>
      <c r="F589" s="356"/>
      <c r="G589" s="8"/>
      <c r="H589" s="8"/>
      <c r="I589" s="8"/>
      <c r="J589" s="8"/>
      <c r="K589" s="8"/>
      <c r="L589" s="8"/>
      <c r="M589" s="8"/>
      <c r="N589" s="8"/>
      <c r="O589" s="8"/>
      <c r="P589" s="8"/>
      <c r="Q589" s="8"/>
      <c r="R589" s="8"/>
      <c r="S589" s="357"/>
      <c r="T589" s="357"/>
      <c r="U589" s="357"/>
      <c r="V589" s="357"/>
      <c r="W589" s="8"/>
      <c r="X589" s="8"/>
      <c r="Y589" s="8"/>
      <c r="Z589" s="8"/>
      <c r="AA589" s="8"/>
      <c r="AB589" s="8"/>
    </row>
    <row r="590">
      <c r="A590" s="8"/>
      <c r="B590" s="8"/>
      <c r="C590" s="8"/>
      <c r="D590" s="8"/>
      <c r="E590" s="8"/>
      <c r="F590" s="356"/>
      <c r="G590" s="8"/>
      <c r="H590" s="8"/>
      <c r="I590" s="8"/>
      <c r="J590" s="8"/>
      <c r="K590" s="8"/>
      <c r="L590" s="8"/>
      <c r="M590" s="8"/>
      <c r="N590" s="8"/>
      <c r="O590" s="8"/>
      <c r="P590" s="8"/>
      <c r="Q590" s="8"/>
      <c r="R590" s="8"/>
      <c r="S590" s="357"/>
      <c r="T590" s="357"/>
      <c r="U590" s="357"/>
      <c r="V590" s="357"/>
      <c r="W590" s="8"/>
      <c r="X590" s="8"/>
      <c r="Y590" s="8"/>
      <c r="Z590" s="8"/>
      <c r="AA590" s="8"/>
      <c r="AB590" s="8"/>
    </row>
    <row r="591">
      <c r="A591" s="8"/>
      <c r="B591" s="8"/>
      <c r="C591" s="8"/>
      <c r="D591" s="8"/>
      <c r="E591" s="8"/>
      <c r="F591" s="356"/>
      <c r="G591" s="8"/>
      <c r="H591" s="8"/>
      <c r="I591" s="8"/>
      <c r="J591" s="8"/>
      <c r="K591" s="8"/>
      <c r="L591" s="8"/>
      <c r="M591" s="8"/>
      <c r="N591" s="8"/>
      <c r="O591" s="8"/>
      <c r="P591" s="8"/>
      <c r="Q591" s="8"/>
      <c r="R591" s="8"/>
      <c r="S591" s="357"/>
      <c r="T591" s="357"/>
      <c r="U591" s="357"/>
      <c r="V591" s="357"/>
      <c r="W591" s="8"/>
      <c r="X591" s="8"/>
      <c r="Y591" s="8"/>
      <c r="Z591" s="8"/>
      <c r="AA591" s="8"/>
      <c r="AB591" s="8"/>
    </row>
    <row r="592">
      <c r="A592" s="8"/>
      <c r="B592" s="8"/>
      <c r="C592" s="8"/>
      <c r="D592" s="8"/>
      <c r="E592" s="8"/>
      <c r="F592" s="356"/>
      <c r="G592" s="8"/>
      <c r="H592" s="8"/>
      <c r="I592" s="8"/>
      <c r="J592" s="8"/>
      <c r="K592" s="8"/>
      <c r="L592" s="8"/>
      <c r="M592" s="8"/>
      <c r="N592" s="8"/>
      <c r="O592" s="8"/>
      <c r="P592" s="8"/>
      <c r="Q592" s="8"/>
      <c r="R592" s="8"/>
      <c r="S592" s="357"/>
      <c r="T592" s="357"/>
      <c r="U592" s="357"/>
      <c r="V592" s="357"/>
      <c r="W592" s="8"/>
      <c r="X592" s="8"/>
      <c r="Y592" s="8"/>
      <c r="Z592" s="8"/>
      <c r="AA592" s="8"/>
      <c r="AB592" s="8"/>
    </row>
    <row r="593">
      <c r="A593" s="8"/>
      <c r="B593" s="8"/>
      <c r="C593" s="8"/>
      <c r="D593" s="8"/>
      <c r="E593" s="8"/>
      <c r="F593" s="356"/>
      <c r="G593" s="8"/>
      <c r="H593" s="8"/>
      <c r="I593" s="8"/>
      <c r="J593" s="8"/>
      <c r="K593" s="8"/>
      <c r="L593" s="8"/>
      <c r="M593" s="8"/>
      <c r="N593" s="8"/>
      <c r="O593" s="8"/>
      <c r="P593" s="8"/>
      <c r="Q593" s="8"/>
      <c r="R593" s="8"/>
      <c r="S593" s="357"/>
      <c r="T593" s="357"/>
      <c r="U593" s="357"/>
      <c r="V593" s="357"/>
      <c r="W593" s="8"/>
      <c r="X593" s="8"/>
      <c r="Y593" s="8"/>
      <c r="Z593" s="8"/>
      <c r="AA593" s="8"/>
      <c r="AB593" s="8"/>
    </row>
    <row r="594">
      <c r="A594" s="8"/>
      <c r="B594" s="8"/>
      <c r="C594" s="8"/>
      <c r="D594" s="8"/>
      <c r="E594" s="8"/>
      <c r="F594" s="356"/>
      <c r="G594" s="8"/>
      <c r="H594" s="8"/>
      <c r="I594" s="8"/>
      <c r="J594" s="8"/>
      <c r="K594" s="8"/>
      <c r="L594" s="8"/>
      <c r="M594" s="8"/>
      <c r="N594" s="8"/>
      <c r="O594" s="8"/>
      <c r="P594" s="8"/>
      <c r="Q594" s="8"/>
      <c r="R594" s="8"/>
      <c r="S594" s="357"/>
      <c r="T594" s="357"/>
      <c r="U594" s="357"/>
      <c r="V594" s="357"/>
      <c r="W594" s="8"/>
      <c r="X594" s="8"/>
      <c r="Y594" s="8"/>
      <c r="Z594" s="8"/>
      <c r="AA594" s="8"/>
      <c r="AB594" s="8"/>
    </row>
    <row r="595">
      <c r="A595" s="8"/>
      <c r="B595" s="8"/>
      <c r="C595" s="8"/>
      <c r="D595" s="8"/>
      <c r="E595" s="8"/>
      <c r="F595" s="356"/>
      <c r="G595" s="8"/>
      <c r="H595" s="8"/>
      <c r="I595" s="8"/>
      <c r="J595" s="8"/>
      <c r="K595" s="8"/>
      <c r="L595" s="8"/>
      <c r="M595" s="8"/>
      <c r="N595" s="8"/>
      <c r="O595" s="8"/>
      <c r="P595" s="8"/>
      <c r="Q595" s="8"/>
      <c r="R595" s="8"/>
      <c r="S595" s="357"/>
      <c r="T595" s="357"/>
      <c r="U595" s="357"/>
      <c r="V595" s="357"/>
      <c r="W595" s="8"/>
      <c r="X595" s="8"/>
      <c r="Y595" s="8"/>
      <c r="Z595" s="8"/>
      <c r="AA595" s="8"/>
      <c r="AB595" s="8"/>
    </row>
    <row r="596">
      <c r="A596" s="8"/>
      <c r="B596" s="8"/>
      <c r="C596" s="8"/>
      <c r="D596" s="8"/>
      <c r="E596" s="8"/>
      <c r="F596" s="356"/>
      <c r="G596" s="8"/>
      <c r="H596" s="8"/>
      <c r="I596" s="8"/>
      <c r="J596" s="8"/>
      <c r="K596" s="8"/>
      <c r="L596" s="8"/>
      <c r="M596" s="8"/>
      <c r="N596" s="8"/>
      <c r="O596" s="8"/>
      <c r="P596" s="8"/>
      <c r="Q596" s="8"/>
      <c r="R596" s="8"/>
      <c r="S596" s="357"/>
      <c r="T596" s="357"/>
      <c r="U596" s="357"/>
      <c r="V596" s="357"/>
      <c r="W596" s="8"/>
      <c r="X596" s="8"/>
      <c r="Y596" s="8"/>
      <c r="Z596" s="8"/>
      <c r="AA596" s="8"/>
      <c r="AB596" s="8"/>
    </row>
    <row r="597">
      <c r="A597" s="8"/>
      <c r="B597" s="8"/>
      <c r="C597" s="8"/>
      <c r="D597" s="8"/>
      <c r="E597" s="8"/>
      <c r="F597" s="356"/>
      <c r="G597" s="8"/>
      <c r="H597" s="8"/>
      <c r="I597" s="8"/>
      <c r="J597" s="8"/>
      <c r="K597" s="8"/>
      <c r="L597" s="8"/>
      <c r="M597" s="8"/>
      <c r="N597" s="8"/>
      <c r="O597" s="8"/>
      <c r="P597" s="8"/>
      <c r="Q597" s="8"/>
      <c r="R597" s="8"/>
      <c r="S597" s="357"/>
      <c r="T597" s="357"/>
      <c r="U597" s="357"/>
      <c r="V597" s="357"/>
      <c r="W597" s="8"/>
      <c r="X597" s="8"/>
      <c r="Y597" s="8"/>
      <c r="Z597" s="8"/>
      <c r="AA597" s="8"/>
      <c r="AB597" s="8"/>
    </row>
    <row r="598">
      <c r="A598" s="8"/>
      <c r="B598" s="8"/>
      <c r="C598" s="8"/>
      <c r="D598" s="8"/>
      <c r="E598" s="8"/>
      <c r="F598" s="356"/>
      <c r="G598" s="8"/>
      <c r="H598" s="8"/>
      <c r="I598" s="8"/>
      <c r="J598" s="8"/>
      <c r="K598" s="8"/>
      <c r="L598" s="8"/>
      <c r="M598" s="8"/>
      <c r="N598" s="8"/>
      <c r="O598" s="8"/>
      <c r="P598" s="8"/>
      <c r="Q598" s="8"/>
      <c r="R598" s="8"/>
      <c r="S598" s="357"/>
      <c r="T598" s="357"/>
      <c r="U598" s="357"/>
      <c r="V598" s="357"/>
      <c r="W598" s="8"/>
      <c r="X598" s="8"/>
      <c r="Y598" s="8"/>
      <c r="Z598" s="8"/>
      <c r="AA598" s="8"/>
      <c r="AB598" s="8"/>
    </row>
    <row r="599">
      <c r="A599" s="8"/>
      <c r="B599" s="8"/>
      <c r="C599" s="8"/>
      <c r="D599" s="8"/>
      <c r="E599" s="8"/>
      <c r="F599" s="356"/>
      <c r="G599" s="8"/>
      <c r="H599" s="8"/>
      <c r="I599" s="8"/>
      <c r="J599" s="8"/>
      <c r="K599" s="8"/>
      <c r="L599" s="8"/>
      <c r="M599" s="8"/>
      <c r="N599" s="8"/>
      <c r="O599" s="8"/>
      <c r="P599" s="8"/>
      <c r="Q599" s="8"/>
      <c r="R599" s="8"/>
      <c r="S599" s="357"/>
      <c r="T599" s="357"/>
      <c r="U599" s="357"/>
      <c r="V599" s="357"/>
      <c r="W599" s="8"/>
      <c r="X599" s="8"/>
      <c r="Y599" s="8"/>
      <c r="Z599" s="8"/>
      <c r="AA599" s="8"/>
      <c r="AB599" s="8"/>
    </row>
    <row r="600">
      <c r="A600" s="8"/>
      <c r="B600" s="8"/>
      <c r="C600" s="8"/>
      <c r="D600" s="8"/>
      <c r="E600" s="8"/>
      <c r="F600" s="356"/>
      <c r="G600" s="8"/>
      <c r="H600" s="8"/>
      <c r="I600" s="8"/>
      <c r="J600" s="8"/>
      <c r="K600" s="8"/>
      <c r="L600" s="8"/>
      <c r="M600" s="8"/>
      <c r="N600" s="8"/>
      <c r="O600" s="8"/>
      <c r="P600" s="8"/>
      <c r="Q600" s="8"/>
      <c r="R600" s="8"/>
      <c r="S600" s="357"/>
      <c r="T600" s="357"/>
      <c r="U600" s="357"/>
      <c r="V600" s="357"/>
      <c r="W600" s="8"/>
      <c r="X600" s="8"/>
      <c r="Y600" s="8"/>
      <c r="Z600" s="8"/>
      <c r="AA600" s="8"/>
      <c r="AB600" s="8"/>
    </row>
    <row r="601">
      <c r="A601" s="8"/>
      <c r="B601" s="8"/>
      <c r="C601" s="8"/>
      <c r="D601" s="8"/>
      <c r="E601" s="8"/>
      <c r="F601" s="356"/>
      <c r="G601" s="8"/>
      <c r="H601" s="8"/>
      <c r="I601" s="8"/>
      <c r="J601" s="8"/>
      <c r="K601" s="8"/>
      <c r="L601" s="8"/>
      <c r="M601" s="8"/>
      <c r="N601" s="8"/>
      <c r="O601" s="8"/>
      <c r="P601" s="8"/>
      <c r="Q601" s="8"/>
      <c r="R601" s="8"/>
      <c r="S601" s="357"/>
      <c r="T601" s="357"/>
      <c r="U601" s="357"/>
      <c r="V601" s="357"/>
      <c r="W601" s="8"/>
      <c r="X601" s="8"/>
      <c r="Y601" s="8"/>
      <c r="Z601" s="8"/>
      <c r="AA601" s="8"/>
      <c r="AB601" s="8"/>
    </row>
    <row r="602">
      <c r="A602" s="8"/>
      <c r="B602" s="8"/>
      <c r="C602" s="8"/>
      <c r="D602" s="8"/>
      <c r="E602" s="8"/>
      <c r="F602" s="356"/>
      <c r="G602" s="8"/>
      <c r="H602" s="8"/>
      <c r="I602" s="8"/>
      <c r="J602" s="8"/>
      <c r="K602" s="8"/>
      <c r="L602" s="8"/>
      <c r="M602" s="8"/>
      <c r="N602" s="8"/>
      <c r="O602" s="8"/>
      <c r="P602" s="8"/>
      <c r="Q602" s="8"/>
      <c r="R602" s="8"/>
      <c r="S602" s="357"/>
      <c r="T602" s="357"/>
      <c r="U602" s="357"/>
      <c r="V602" s="357"/>
      <c r="W602" s="8"/>
      <c r="X602" s="8"/>
      <c r="Y602" s="8"/>
      <c r="Z602" s="8"/>
      <c r="AA602" s="8"/>
      <c r="AB602" s="8"/>
    </row>
    <row r="603">
      <c r="A603" s="8"/>
      <c r="B603" s="8"/>
      <c r="C603" s="8"/>
      <c r="D603" s="8"/>
      <c r="E603" s="8"/>
      <c r="F603" s="356"/>
      <c r="G603" s="8"/>
      <c r="H603" s="8"/>
      <c r="I603" s="8"/>
      <c r="J603" s="8"/>
      <c r="K603" s="8"/>
      <c r="L603" s="8"/>
      <c r="M603" s="8"/>
      <c r="N603" s="8"/>
      <c r="O603" s="8"/>
      <c r="P603" s="8"/>
      <c r="Q603" s="8"/>
      <c r="R603" s="8"/>
      <c r="S603" s="357"/>
      <c r="T603" s="357"/>
      <c r="U603" s="357"/>
      <c r="V603" s="357"/>
      <c r="W603" s="8"/>
      <c r="X603" s="8"/>
      <c r="Y603" s="8"/>
      <c r="Z603" s="8"/>
      <c r="AA603" s="8"/>
      <c r="AB603" s="8"/>
    </row>
    <row r="604">
      <c r="A604" s="8"/>
      <c r="B604" s="8"/>
      <c r="C604" s="8"/>
      <c r="D604" s="8"/>
      <c r="E604" s="8"/>
      <c r="F604" s="356"/>
      <c r="G604" s="8"/>
      <c r="H604" s="8"/>
      <c r="I604" s="8"/>
      <c r="J604" s="8"/>
      <c r="K604" s="8"/>
      <c r="L604" s="8"/>
      <c r="M604" s="8"/>
      <c r="N604" s="8"/>
      <c r="O604" s="8"/>
      <c r="P604" s="8"/>
      <c r="Q604" s="8"/>
      <c r="R604" s="8"/>
      <c r="S604" s="357"/>
      <c r="T604" s="357"/>
      <c r="U604" s="357"/>
      <c r="V604" s="357"/>
      <c r="W604" s="8"/>
      <c r="X604" s="8"/>
      <c r="Y604" s="8"/>
      <c r="Z604" s="8"/>
      <c r="AA604" s="8"/>
      <c r="AB604" s="8"/>
    </row>
    <row r="605">
      <c r="A605" s="8"/>
      <c r="B605" s="8"/>
      <c r="C605" s="8"/>
      <c r="D605" s="8"/>
      <c r="E605" s="8"/>
      <c r="F605" s="356"/>
      <c r="G605" s="8"/>
      <c r="H605" s="8"/>
      <c r="I605" s="8"/>
      <c r="J605" s="8"/>
      <c r="K605" s="8"/>
      <c r="L605" s="8"/>
      <c r="M605" s="8"/>
      <c r="N605" s="8"/>
      <c r="O605" s="8"/>
      <c r="P605" s="8"/>
      <c r="Q605" s="8"/>
      <c r="R605" s="8"/>
      <c r="S605" s="357"/>
      <c r="T605" s="357"/>
      <c r="U605" s="357"/>
      <c r="V605" s="357"/>
      <c r="W605" s="8"/>
      <c r="X605" s="8"/>
      <c r="Y605" s="8"/>
      <c r="Z605" s="8"/>
      <c r="AA605" s="8"/>
      <c r="AB605" s="8"/>
    </row>
    <row r="606">
      <c r="A606" s="8"/>
      <c r="B606" s="8"/>
      <c r="C606" s="8"/>
      <c r="D606" s="8"/>
      <c r="E606" s="8"/>
      <c r="F606" s="356"/>
      <c r="G606" s="8"/>
      <c r="H606" s="8"/>
      <c r="I606" s="8"/>
      <c r="J606" s="8"/>
      <c r="K606" s="8"/>
      <c r="L606" s="8"/>
      <c r="M606" s="8"/>
      <c r="N606" s="8"/>
      <c r="O606" s="8"/>
      <c r="P606" s="8"/>
      <c r="Q606" s="8"/>
      <c r="R606" s="8"/>
      <c r="S606" s="357"/>
      <c r="T606" s="357"/>
      <c r="U606" s="357"/>
      <c r="V606" s="357"/>
      <c r="W606" s="8"/>
      <c r="X606" s="8"/>
      <c r="Y606" s="8"/>
      <c r="Z606" s="8"/>
      <c r="AA606" s="8"/>
      <c r="AB606" s="8"/>
    </row>
    <row r="607">
      <c r="A607" s="8"/>
      <c r="B607" s="8"/>
      <c r="C607" s="8"/>
      <c r="D607" s="8"/>
      <c r="E607" s="8"/>
      <c r="F607" s="356"/>
      <c r="G607" s="8"/>
      <c r="H607" s="8"/>
      <c r="I607" s="8"/>
      <c r="J607" s="8"/>
      <c r="K607" s="8"/>
      <c r="L607" s="8"/>
      <c r="M607" s="8"/>
      <c r="N607" s="8"/>
      <c r="O607" s="8"/>
      <c r="P607" s="8"/>
      <c r="Q607" s="8"/>
      <c r="R607" s="8"/>
      <c r="S607" s="357"/>
      <c r="T607" s="357"/>
      <c r="U607" s="357"/>
      <c r="V607" s="357"/>
      <c r="W607" s="8"/>
      <c r="X607" s="8"/>
      <c r="Y607" s="8"/>
      <c r="Z607" s="8"/>
      <c r="AA607" s="8"/>
      <c r="AB607" s="8"/>
    </row>
    <row r="608">
      <c r="A608" s="8"/>
      <c r="B608" s="8"/>
      <c r="C608" s="8"/>
      <c r="D608" s="8"/>
      <c r="E608" s="8"/>
      <c r="F608" s="356"/>
      <c r="G608" s="8"/>
      <c r="H608" s="8"/>
      <c r="I608" s="8"/>
      <c r="J608" s="8"/>
      <c r="K608" s="8"/>
      <c r="L608" s="8"/>
      <c r="M608" s="8"/>
      <c r="N608" s="8"/>
      <c r="O608" s="8"/>
      <c r="P608" s="8"/>
      <c r="Q608" s="8"/>
      <c r="R608" s="8"/>
      <c r="S608" s="357"/>
      <c r="T608" s="357"/>
      <c r="U608" s="357"/>
      <c r="V608" s="357"/>
      <c r="W608" s="8"/>
      <c r="X608" s="8"/>
      <c r="Y608" s="8"/>
      <c r="Z608" s="8"/>
      <c r="AA608" s="8"/>
      <c r="AB608" s="8"/>
    </row>
    <row r="609">
      <c r="A609" s="8"/>
      <c r="B609" s="8"/>
      <c r="C609" s="8"/>
      <c r="D609" s="8"/>
      <c r="E609" s="8"/>
      <c r="F609" s="356"/>
      <c r="G609" s="8"/>
      <c r="H609" s="8"/>
      <c r="I609" s="8"/>
      <c r="J609" s="8"/>
      <c r="K609" s="8"/>
      <c r="L609" s="8"/>
      <c r="M609" s="8"/>
      <c r="N609" s="8"/>
      <c r="O609" s="8"/>
      <c r="P609" s="8"/>
      <c r="Q609" s="8"/>
      <c r="R609" s="8"/>
      <c r="S609" s="357"/>
      <c r="T609" s="357"/>
      <c r="U609" s="357"/>
      <c r="V609" s="357"/>
      <c r="W609" s="8"/>
      <c r="X609" s="8"/>
      <c r="Y609" s="8"/>
      <c r="Z609" s="8"/>
      <c r="AA609" s="8"/>
      <c r="AB609" s="8"/>
    </row>
    <row r="610">
      <c r="A610" s="8"/>
      <c r="B610" s="8"/>
      <c r="C610" s="8"/>
      <c r="D610" s="8"/>
      <c r="E610" s="8"/>
      <c r="F610" s="356"/>
      <c r="G610" s="8"/>
      <c r="H610" s="8"/>
      <c r="I610" s="8"/>
      <c r="J610" s="8"/>
      <c r="K610" s="8"/>
      <c r="L610" s="8"/>
      <c r="M610" s="8"/>
      <c r="N610" s="8"/>
      <c r="O610" s="8"/>
      <c r="P610" s="8"/>
      <c r="Q610" s="8"/>
      <c r="R610" s="8"/>
      <c r="S610" s="357"/>
      <c r="T610" s="357"/>
      <c r="U610" s="357"/>
      <c r="V610" s="357"/>
      <c r="W610" s="8"/>
      <c r="X610" s="8"/>
      <c r="Y610" s="8"/>
      <c r="Z610" s="8"/>
      <c r="AA610" s="8"/>
      <c r="AB610" s="8"/>
    </row>
    <row r="611">
      <c r="A611" s="8"/>
      <c r="B611" s="8"/>
      <c r="C611" s="8"/>
      <c r="D611" s="8"/>
      <c r="E611" s="8"/>
      <c r="F611" s="356"/>
      <c r="G611" s="8"/>
      <c r="H611" s="8"/>
      <c r="I611" s="8"/>
      <c r="J611" s="8"/>
      <c r="K611" s="8"/>
      <c r="L611" s="8"/>
      <c r="M611" s="8"/>
      <c r="N611" s="8"/>
      <c r="O611" s="8"/>
      <c r="P611" s="8"/>
      <c r="Q611" s="8"/>
      <c r="R611" s="8"/>
      <c r="S611" s="357"/>
      <c r="T611" s="357"/>
      <c r="U611" s="357"/>
      <c r="V611" s="357"/>
      <c r="W611" s="8"/>
      <c r="X611" s="8"/>
      <c r="Y611" s="8"/>
      <c r="Z611" s="8"/>
      <c r="AA611" s="8"/>
      <c r="AB611" s="8"/>
    </row>
    <row r="612">
      <c r="A612" s="8"/>
      <c r="B612" s="8"/>
      <c r="C612" s="8"/>
      <c r="D612" s="8"/>
      <c r="E612" s="8"/>
      <c r="F612" s="356"/>
      <c r="G612" s="8"/>
      <c r="H612" s="8"/>
      <c r="I612" s="8"/>
      <c r="J612" s="8"/>
      <c r="K612" s="8"/>
      <c r="L612" s="8"/>
      <c r="M612" s="8"/>
      <c r="N612" s="8"/>
      <c r="O612" s="8"/>
      <c r="P612" s="8"/>
      <c r="Q612" s="8"/>
      <c r="R612" s="8"/>
      <c r="S612" s="357"/>
      <c r="T612" s="357"/>
      <c r="U612" s="357"/>
      <c r="V612" s="357"/>
      <c r="W612" s="8"/>
      <c r="X612" s="8"/>
      <c r="Y612" s="8"/>
      <c r="Z612" s="8"/>
      <c r="AA612" s="8"/>
      <c r="AB612" s="8"/>
    </row>
    <row r="613">
      <c r="A613" s="8"/>
      <c r="B613" s="8"/>
      <c r="C613" s="8"/>
      <c r="D613" s="8"/>
      <c r="E613" s="8"/>
      <c r="F613" s="356"/>
      <c r="G613" s="8"/>
      <c r="H613" s="8"/>
      <c r="I613" s="8"/>
      <c r="J613" s="8"/>
      <c r="K613" s="8"/>
      <c r="L613" s="8"/>
      <c r="M613" s="8"/>
      <c r="N613" s="8"/>
      <c r="O613" s="8"/>
      <c r="P613" s="8"/>
      <c r="Q613" s="8"/>
      <c r="R613" s="8"/>
      <c r="S613" s="357"/>
      <c r="T613" s="357"/>
      <c r="U613" s="357"/>
      <c r="V613" s="357"/>
      <c r="W613" s="8"/>
      <c r="X613" s="8"/>
      <c r="Y613" s="8"/>
      <c r="Z613" s="8"/>
      <c r="AA613" s="8"/>
      <c r="AB613" s="8"/>
    </row>
    <row r="614">
      <c r="A614" s="8"/>
      <c r="B614" s="8"/>
      <c r="C614" s="8"/>
      <c r="D614" s="8"/>
      <c r="E614" s="8"/>
      <c r="F614" s="356"/>
      <c r="G614" s="8"/>
      <c r="H614" s="8"/>
      <c r="I614" s="8"/>
      <c r="J614" s="8"/>
      <c r="K614" s="8"/>
      <c r="L614" s="8"/>
      <c r="M614" s="8"/>
      <c r="N614" s="8"/>
      <c r="O614" s="8"/>
      <c r="P614" s="8"/>
      <c r="Q614" s="8"/>
      <c r="R614" s="8"/>
      <c r="S614" s="357"/>
      <c r="T614" s="357"/>
      <c r="U614" s="357"/>
      <c r="V614" s="357"/>
      <c r="W614" s="8"/>
      <c r="X614" s="8"/>
      <c r="Y614" s="8"/>
      <c r="Z614" s="8"/>
      <c r="AA614" s="8"/>
      <c r="AB614" s="8"/>
    </row>
    <row r="615">
      <c r="A615" s="8"/>
      <c r="B615" s="8"/>
      <c r="C615" s="8"/>
      <c r="D615" s="8"/>
      <c r="E615" s="8"/>
      <c r="F615" s="356"/>
      <c r="G615" s="8"/>
      <c r="H615" s="8"/>
      <c r="I615" s="8"/>
      <c r="J615" s="8"/>
      <c r="K615" s="8"/>
      <c r="L615" s="8"/>
      <c r="M615" s="8"/>
      <c r="N615" s="8"/>
      <c r="O615" s="8"/>
      <c r="P615" s="8"/>
      <c r="Q615" s="8"/>
      <c r="R615" s="8"/>
      <c r="S615" s="357"/>
      <c r="T615" s="357"/>
      <c r="U615" s="357"/>
      <c r="V615" s="357"/>
      <c r="W615" s="8"/>
      <c r="X615" s="8"/>
      <c r="Y615" s="8"/>
      <c r="Z615" s="8"/>
      <c r="AA615" s="8"/>
      <c r="AB615" s="8"/>
    </row>
    <row r="616">
      <c r="A616" s="8"/>
      <c r="B616" s="8"/>
      <c r="C616" s="8"/>
      <c r="D616" s="8"/>
      <c r="E616" s="8"/>
      <c r="F616" s="356"/>
      <c r="G616" s="8"/>
      <c r="H616" s="8"/>
      <c r="I616" s="8"/>
      <c r="J616" s="8"/>
      <c r="K616" s="8"/>
      <c r="L616" s="8"/>
      <c r="M616" s="8"/>
      <c r="N616" s="8"/>
      <c r="O616" s="8"/>
      <c r="P616" s="8"/>
      <c r="Q616" s="8"/>
      <c r="R616" s="8"/>
      <c r="S616" s="357"/>
      <c r="T616" s="357"/>
      <c r="U616" s="357"/>
      <c r="V616" s="357"/>
      <c r="W616" s="8"/>
      <c r="X616" s="8"/>
      <c r="Y616" s="8"/>
      <c r="Z616" s="8"/>
      <c r="AA616" s="8"/>
      <c r="AB616" s="8"/>
    </row>
    <row r="617">
      <c r="A617" s="8"/>
      <c r="B617" s="8"/>
      <c r="C617" s="8"/>
      <c r="D617" s="8"/>
      <c r="E617" s="8"/>
      <c r="F617" s="356"/>
      <c r="G617" s="8"/>
      <c r="H617" s="8"/>
      <c r="I617" s="8"/>
      <c r="J617" s="8"/>
      <c r="K617" s="8"/>
      <c r="L617" s="8"/>
      <c r="M617" s="8"/>
      <c r="N617" s="8"/>
      <c r="O617" s="8"/>
      <c r="P617" s="8"/>
      <c r="Q617" s="8"/>
      <c r="R617" s="8"/>
      <c r="S617" s="357"/>
      <c r="T617" s="357"/>
      <c r="U617" s="357"/>
      <c r="V617" s="357"/>
      <c r="W617" s="8"/>
      <c r="X617" s="8"/>
      <c r="Y617" s="8"/>
      <c r="Z617" s="8"/>
      <c r="AA617" s="8"/>
      <c r="AB617" s="8"/>
    </row>
    <row r="618">
      <c r="A618" s="8"/>
      <c r="B618" s="8"/>
      <c r="C618" s="8"/>
      <c r="D618" s="8"/>
      <c r="E618" s="8"/>
      <c r="F618" s="356"/>
      <c r="G618" s="8"/>
      <c r="H618" s="8"/>
      <c r="I618" s="8"/>
      <c r="J618" s="8"/>
      <c r="K618" s="8"/>
      <c r="L618" s="8"/>
      <c r="M618" s="8"/>
      <c r="N618" s="8"/>
      <c r="O618" s="8"/>
      <c r="P618" s="8"/>
      <c r="Q618" s="8"/>
      <c r="R618" s="8"/>
      <c r="S618" s="357"/>
      <c r="T618" s="357"/>
      <c r="U618" s="357"/>
      <c r="V618" s="357"/>
      <c r="W618" s="8"/>
      <c r="X618" s="8"/>
      <c r="Y618" s="8"/>
      <c r="Z618" s="8"/>
      <c r="AA618" s="8"/>
      <c r="AB618" s="8"/>
    </row>
    <row r="619">
      <c r="A619" s="8"/>
      <c r="B619" s="8"/>
      <c r="C619" s="8"/>
      <c r="D619" s="8"/>
      <c r="E619" s="8"/>
      <c r="F619" s="356"/>
      <c r="G619" s="8"/>
      <c r="H619" s="8"/>
      <c r="I619" s="8"/>
      <c r="J619" s="8"/>
      <c r="K619" s="8"/>
      <c r="L619" s="8"/>
      <c r="M619" s="8"/>
      <c r="N619" s="8"/>
      <c r="O619" s="8"/>
      <c r="P619" s="8"/>
      <c r="Q619" s="8"/>
      <c r="R619" s="8"/>
      <c r="S619" s="357"/>
      <c r="T619" s="357"/>
      <c r="U619" s="357"/>
      <c r="V619" s="357"/>
      <c r="W619" s="8"/>
      <c r="X619" s="8"/>
      <c r="Y619" s="8"/>
      <c r="Z619" s="8"/>
      <c r="AA619" s="8"/>
      <c r="AB619" s="8"/>
    </row>
    <row r="620">
      <c r="A620" s="8"/>
      <c r="B620" s="8"/>
      <c r="C620" s="8"/>
      <c r="D620" s="8"/>
      <c r="E620" s="8"/>
      <c r="F620" s="356"/>
      <c r="G620" s="8"/>
      <c r="H620" s="8"/>
      <c r="I620" s="8"/>
      <c r="J620" s="8"/>
      <c r="K620" s="8"/>
      <c r="L620" s="8"/>
      <c r="M620" s="8"/>
      <c r="N620" s="8"/>
      <c r="O620" s="8"/>
      <c r="P620" s="8"/>
      <c r="Q620" s="8"/>
      <c r="R620" s="8"/>
      <c r="S620" s="357"/>
      <c r="T620" s="357"/>
      <c r="U620" s="357"/>
      <c r="V620" s="357"/>
      <c r="W620" s="8"/>
      <c r="X620" s="8"/>
      <c r="Y620" s="8"/>
      <c r="Z620" s="8"/>
      <c r="AA620" s="8"/>
      <c r="AB620" s="8"/>
    </row>
    <row r="621">
      <c r="A621" s="8"/>
      <c r="B621" s="8"/>
      <c r="C621" s="8"/>
      <c r="D621" s="8"/>
      <c r="E621" s="8"/>
      <c r="F621" s="356"/>
      <c r="G621" s="8"/>
      <c r="H621" s="8"/>
      <c r="I621" s="8"/>
      <c r="J621" s="8"/>
      <c r="K621" s="8"/>
      <c r="L621" s="8"/>
      <c r="M621" s="8"/>
      <c r="N621" s="8"/>
      <c r="O621" s="8"/>
      <c r="P621" s="8"/>
      <c r="Q621" s="8"/>
      <c r="R621" s="8"/>
      <c r="S621" s="357"/>
      <c r="T621" s="357"/>
      <c r="U621" s="357"/>
      <c r="V621" s="357"/>
      <c r="W621" s="8"/>
      <c r="X621" s="8"/>
      <c r="Y621" s="8"/>
      <c r="Z621" s="8"/>
      <c r="AA621" s="8"/>
      <c r="AB621" s="8"/>
    </row>
    <row r="622">
      <c r="A622" s="8"/>
      <c r="B622" s="8"/>
      <c r="C622" s="8"/>
      <c r="D622" s="8"/>
      <c r="E622" s="8"/>
      <c r="F622" s="356"/>
      <c r="G622" s="8"/>
      <c r="H622" s="8"/>
      <c r="I622" s="8"/>
      <c r="J622" s="8"/>
      <c r="K622" s="8"/>
      <c r="L622" s="8"/>
      <c r="M622" s="8"/>
      <c r="N622" s="8"/>
      <c r="O622" s="8"/>
      <c r="P622" s="8"/>
      <c r="Q622" s="8"/>
      <c r="R622" s="8"/>
      <c r="S622" s="357"/>
      <c r="T622" s="357"/>
      <c r="U622" s="357"/>
      <c r="V622" s="357"/>
      <c r="W622" s="8"/>
      <c r="X622" s="8"/>
      <c r="Y622" s="8"/>
      <c r="Z622" s="8"/>
      <c r="AA622" s="8"/>
      <c r="AB622" s="8"/>
    </row>
    <row r="623">
      <c r="A623" s="8"/>
      <c r="B623" s="8"/>
      <c r="C623" s="8"/>
      <c r="D623" s="8"/>
      <c r="E623" s="8"/>
      <c r="F623" s="356"/>
      <c r="G623" s="8"/>
      <c r="H623" s="8"/>
      <c r="I623" s="8"/>
      <c r="J623" s="8"/>
      <c r="K623" s="8"/>
      <c r="L623" s="8"/>
      <c r="M623" s="8"/>
      <c r="N623" s="8"/>
      <c r="O623" s="8"/>
      <c r="P623" s="8"/>
      <c r="Q623" s="8"/>
      <c r="R623" s="8"/>
      <c r="S623" s="357"/>
      <c r="T623" s="357"/>
      <c r="U623" s="357"/>
      <c r="V623" s="357"/>
      <c r="W623" s="8"/>
      <c r="X623" s="8"/>
      <c r="Y623" s="8"/>
      <c r="Z623" s="8"/>
      <c r="AA623" s="8"/>
      <c r="AB623" s="8"/>
    </row>
    <row r="624">
      <c r="A624" s="8"/>
      <c r="B624" s="8"/>
      <c r="C624" s="8"/>
      <c r="D624" s="8"/>
      <c r="E624" s="8"/>
      <c r="F624" s="356"/>
      <c r="G624" s="8"/>
      <c r="H624" s="8"/>
      <c r="I624" s="8"/>
      <c r="J624" s="8"/>
      <c r="K624" s="8"/>
      <c r="L624" s="8"/>
      <c r="M624" s="8"/>
      <c r="N624" s="8"/>
      <c r="O624" s="8"/>
      <c r="P624" s="8"/>
      <c r="Q624" s="8"/>
      <c r="R624" s="8"/>
      <c r="S624" s="357"/>
      <c r="T624" s="357"/>
      <c r="U624" s="357"/>
      <c r="V624" s="357"/>
      <c r="W624" s="8"/>
      <c r="X624" s="8"/>
      <c r="Y624" s="8"/>
      <c r="Z624" s="8"/>
      <c r="AA624" s="8"/>
      <c r="AB624" s="8"/>
    </row>
    <row r="625">
      <c r="A625" s="8"/>
      <c r="B625" s="8"/>
      <c r="C625" s="8"/>
      <c r="D625" s="8"/>
      <c r="E625" s="8"/>
      <c r="F625" s="356"/>
      <c r="G625" s="8"/>
      <c r="H625" s="8"/>
      <c r="I625" s="8"/>
      <c r="J625" s="8"/>
      <c r="K625" s="8"/>
      <c r="L625" s="8"/>
      <c r="M625" s="8"/>
      <c r="N625" s="8"/>
      <c r="O625" s="8"/>
      <c r="P625" s="8"/>
      <c r="Q625" s="8"/>
      <c r="R625" s="8"/>
      <c r="S625" s="357"/>
      <c r="T625" s="357"/>
      <c r="U625" s="357"/>
      <c r="V625" s="357"/>
      <c r="W625" s="8"/>
      <c r="X625" s="8"/>
      <c r="Y625" s="8"/>
      <c r="Z625" s="8"/>
      <c r="AA625" s="8"/>
      <c r="AB625" s="8"/>
    </row>
    <row r="626">
      <c r="A626" s="8"/>
      <c r="B626" s="8"/>
      <c r="C626" s="8"/>
      <c r="D626" s="8"/>
      <c r="E626" s="8"/>
      <c r="F626" s="356"/>
      <c r="G626" s="8"/>
      <c r="H626" s="8"/>
      <c r="I626" s="8"/>
      <c r="J626" s="8"/>
      <c r="K626" s="8"/>
      <c r="L626" s="8"/>
      <c r="M626" s="8"/>
      <c r="N626" s="8"/>
      <c r="O626" s="8"/>
      <c r="P626" s="8"/>
      <c r="Q626" s="8"/>
      <c r="R626" s="8"/>
      <c r="S626" s="357"/>
      <c r="T626" s="357"/>
      <c r="U626" s="357"/>
      <c r="V626" s="357"/>
      <c r="W626" s="8"/>
      <c r="X626" s="8"/>
      <c r="Y626" s="8"/>
      <c r="Z626" s="8"/>
      <c r="AA626" s="8"/>
      <c r="AB626" s="8"/>
    </row>
    <row r="627">
      <c r="A627" s="8"/>
      <c r="B627" s="8"/>
      <c r="C627" s="8"/>
      <c r="D627" s="8"/>
      <c r="E627" s="8"/>
      <c r="F627" s="356"/>
      <c r="G627" s="8"/>
      <c r="H627" s="8"/>
      <c r="I627" s="8"/>
      <c r="J627" s="8"/>
      <c r="K627" s="8"/>
      <c r="L627" s="8"/>
      <c r="M627" s="8"/>
      <c r="N627" s="8"/>
      <c r="O627" s="8"/>
      <c r="P627" s="8"/>
      <c r="Q627" s="8"/>
      <c r="R627" s="8"/>
      <c r="S627" s="357"/>
      <c r="T627" s="357"/>
      <c r="U627" s="357"/>
      <c r="V627" s="357"/>
      <c r="W627" s="8"/>
      <c r="X627" s="8"/>
      <c r="Y627" s="8"/>
      <c r="Z627" s="8"/>
      <c r="AA627" s="8"/>
      <c r="AB627" s="8"/>
    </row>
    <row r="628">
      <c r="A628" s="8"/>
      <c r="B628" s="8"/>
      <c r="C628" s="8"/>
      <c r="D628" s="8"/>
      <c r="E628" s="8"/>
      <c r="F628" s="356"/>
      <c r="G628" s="8"/>
      <c r="H628" s="8"/>
      <c r="I628" s="8"/>
      <c r="J628" s="8"/>
      <c r="K628" s="8"/>
      <c r="L628" s="8"/>
      <c r="M628" s="8"/>
      <c r="N628" s="8"/>
      <c r="O628" s="8"/>
      <c r="P628" s="8"/>
      <c r="Q628" s="8"/>
      <c r="R628" s="8"/>
      <c r="S628" s="357"/>
      <c r="T628" s="357"/>
      <c r="U628" s="357"/>
      <c r="V628" s="357"/>
      <c r="W628" s="8"/>
      <c r="X628" s="8"/>
      <c r="Y628" s="8"/>
      <c r="Z628" s="8"/>
      <c r="AA628" s="8"/>
      <c r="AB628" s="8"/>
    </row>
    <row r="629">
      <c r="A629" s="8"/>
      <c r="B629" s="8"/>
      <c r="C629" s="8"/>
      <c r="D629" s="8"/>
      <c r="E629" s="8"/>
      <c r="F629" s="356"/>
      <c r="G629" s="8"/>
      <c r="H629" s="8"/>
      <c r="I629" s="8"/>
      <c r="J629" s="8"/>
      <c r="K629" s="8"/>
      <c r="L629" s="8"/>
      <c r="M629" s="8"/>
      <c r="N629" s="8"/>
      <c r="O629" s="8"/>
      <c r="P629" s="8"/>
      <c r="Q629" s="8"/>
      <c r="R629" s="8"/>
      <c r="S629" s="357"/>
      <c r="T629" s="357"/>
      <c r="U629" s="357"/>
      <c r="V629" s="357"/>
      <c r="W629" s="8"/>
      <c r="X629" s="8"/>
      <c r="Y629" s="8"/>
      <c r="Z629" s="8"/>
      <c r="AA629" s="8"/>
      <c r="AB629" s="8"/>
    </row>
    <row r="630">
      <c r="A630" s="8"/>
      <c r="B630" s="8"/>
      <c r="C630" s="8"/>
      <c r="D630" s="8"/>
      <c r="E630" s="8"/>
      <c r="F630" s="356"/>
      <c r="G630" s="8"/>
      <c r="H630" s="8"/>
      <c r="I630" s="8"/>
      <c r="J630" s="8"/>
      <c r="K630" s="8"/>
      <c r="L630" s="8"/>
      <c r="M630" s="8"/>
      <c r="N630" s="8"/>
      <c r="O630" s="8"/>
      <c r="P630" s="8"/>
      <c r="Q630" s="8"/>
      <c r="R630" s="8"/>
      <c r="S630" s="357"/>
      <c r="T630" s="357"/>
      <c r="U630" s="357"/>
      <c r="V630" s="357"/>
      <c r="W630" s="8"/>
      <c r="X630" s="8"/>
      <c r="Y630" s="8"/>
      <c r="Z630" s="8"/>
      <c r="AA630" s="8"/>
      <c r="AB630" s="8"/>
    </row>
    <row r="631">
      <c r="A631" s="8"/>
      <c r="B631" s="8"/>
      <c r="C631" s="8"/>
      <c r="D631" s="8"/>
      <c r="E631" s="8"/>
      <c r="F631" s="356"/>
      <c r="G631" s="8"/>
      <c r="H631" s="8"/>
      <c r="I631" s="8"/>
      <c r="J631" s="8"/>
      <c r="K631" s="8"/>
      <c r="L631" s="8"/>
      <c r="M631" s="8"/>
      <c r="N631" s="8"/>
      <c r="O631" s="8"/>
      <c r="P631" s="8"/>
      <c r="Q631" s="8"/>
      <c r="R631" s="8"/>
      <c r="S631" s="357"/>
      <c r="T631" s="357"/>
      <c r="U631" s="357"/>
      <c r="V631" s="357"/>
      <c r="W631" s="8"/>
      <c r="X631" s="8"/>
      <c r="Y631" s="8"/>
      <c r="Z631" s="8"/>
      <c r="AA631" s="8"/>
      <c r="AB631" s="8"/>
    </row>
    <row r="632">
      <c r="A632" s="8"/>
      <c r="B632" s="8"/>
      <c r="C632" s="8"/>
      <c r="D632" s="8"/>
      <c r="E632" s="8"/>
      <c r="F632" s="356"/>
      <c r="G632" s="8"/>
      <c r="H632" s="8"/>
      <c r="I632" s="8"/>
      <c r="J632" s="8"/>
      <c r="K632" s="8"/>
      <c r="L632" s="8"/>
      <c r="M632" s="8"/>
      <c r="N632" s="8"/>
      <c r="O632" s="8"/>
      <c r="P632" s="8"/>
      <c r="Q632" s="8"/>
      <c r="R632" s="8"/>
      <c r="S632" s="357"/>
      <c r="T632" s="357"/>
      <c r="U632" s="357"/>
      <c r="V632" s="357"/>
      <c r="W632" s="8"/>
      <c r="X632" s="8"/>
      <c r="Y632" s="8"/>
      <c r="Z632" s="8"/>
      <c r="AA632" s="8"/>
      <c r="AB632" s="8"/>
    </row>
    <row r="633">
      <c r="A633" s="8"/>
      <c r="B633" s="8"/>
      <c r="C633" s="8"/>
      <c r="D633" s="8"/>
      <c r="E633" s="8"/>
      <c r="F633" s="356"/>
      <c r="G633" s="8"/>
      <c r="H633" s="8"/>
      <c r="I633" s="8"/>
      <c r="J633" s="8"/>
      <c r="K633" s="8"/>
      <c r="L633" s="8"/>
      <c r="M633" s="8"/>
      <c r="N633" s="8"/>
      <c r="O633" s="8"/>
      <c r="P633" s="8"/>
      <c r="Q633" s="8"/>
      <c r="R633" s="8"/>
      <c r="S633" s="357"/>
      <c r="T633" s="357"/>
      <c r="U633" s="357"/>
      <c r="V633" s="357"/>
      <c r="W633" s="8"/>
      <c r="X633" s="8"/>
      <c r="Y633" s="8"/>
      <c r="Z633" s="8"/>
      <c r="AA633" s="8"/>
      <c r="AB633" s="8"/>
    </row>
    <row r="634">
      <c r="A634" s="8"/>
      <c r="B634" s="8"/>
      <c r="C634" s="8"/>
      <c r="D634" s="8"/>
      <c r="E634" s="8"/>
      <c r="F634" s="356"/>
      <c r="G634" s="8"/>
      <c r="H634" s="8"/>
      <c r="I634" s="8"/>
      <c r="J634" s="8"/>
      <c r="K634" s="8"/>
      <c r="L634" s="8"/>
      <c r="M634" s="8"/>
      <c r="N634" s="8"/>
      <c r="O634" s="8"/>
      <c r="P634" s="8"/>
      <c r="Q634" s="8"/>
      <c r="R634" s="8"/>
      <c r="S634" s="357"/>
      <c r="T634" s="357"/>
      <c r="U634" s="357"/>
      <c r="V634" s="357"/>
      <c r="W634" s="8"/>
      <c r="X634" s="8"/>
      <c r="Y634" s="8"/>
      <c r="Z634" s="8"/>
      <c r="AA634" s="8"/>
      <c r="AB634" s="8"/>
    </row>
    <row r="635">
      <c r="A635" s="8"/>
      <c r="B635" s="8"/>
      <c r="C635" s="8"/>
      <c r="D635" s="8"/>
      <c r="E635" s="8"/>
      <c r="F635" s="356"/>
      <c r="G635" s="8"/>
      <c r="H635" s="8"/>
      <c r="I635" s="8"/>
      <c r="J635" s="8"/>
      <c r="K635" s="8"/>
      <c r="L635" s="8"/>
      <c r="M635" s="8"/>
      <c r="N635" s="8"/>
      <c r="O635" s="8"/>
      <c r="P635" s="8"/>
      <c r="Q635" s="8"/>
      <c r="R635" s="8"/>
      <c r="S635" s="357"/>
      <c r="T635" s="357"/>
      <c r="U635" s="357"/>
      <c r="V635" s="357"/>
      <c r="W635" s="8"/>
      <c r="X635" s="8"/>
      <c r="Y635" s="8"/>
      <c r="Z635" s="8"/>
      <c r="AA635" s="8"/>
      <c r="AB635" s="8"/>
    </row>
    <row r="636">
      <c r="A636" s="8"/>
      <c r="B636" s="8"/>
      <c r="C636" s="8"/>
      <c r="D636" s="8"/>
      <c r="E636" s="8"/>
      <c r="F636" s="356"/>
      <c r="G636" s="8"/>
      <c r="H636" s="8"/>
      <c r="I636" s="8"/>
      <c r="J636" s="8"/>
      <c r="K636" s="8"/>
      <c r="L636" s="8"/>
      <c r="M636" s="8"/>
      <c r="N636" s="8"/>
      <c r="O636" s="8"/>
      <c r="P636" s="8"/>
      <c r="Q636" s="8"/>
      <c r="R636" s="8"/>
      <c r="S636" s="357"/>
      <c r="T636" s="357"/>
      <c r="U636" s="357"/>
      <c r="V636" s="357"/>
      <c r="W636" s="8"/>
      <c r="X636" s="8"/>
      <c r="Y636" s="8"/>
      <c r="Z636" s="8"/>
      <c r="AA636" s="8"/>
      <c r="AB636" s="8"/>
    </row>
    <row r="637">
      <c r="A637" s="8"/>
      <c r="B637" s="8"/>
      <c r="C637" s="8"/>
      <c r="D637" s="8"/>
      <c r="E637" s="8"/>
      <c r="F637" s="356"/>
      <c r="G637" s="8"/>
      <c r="H637" s="8"/>
      <c r="I637" s="8"/>
      <c r="J637" s="8"/>
      <c r="K637" s="8"/>
      <c r="L637" s="8"/>
      <c r="M637" s="8"/>
      <c r="N637" s="8"/>
      <c r="O637" s="8"/>
      <c r="P637" s="8"/>
      <c r="Q637" s="8"/>
      <c r="R637" s="8"/>
      <c r="S637" s="357"/>
      <c r="T637" s="357"/>
      <c r="U637" s="357"/>
      <c r="V637" s="357"/>
      <c r="W637" s="8"/>
      <c r="X637" s="8"/>
      <c r="Y637" s="8"/>
      <c r="Z637" s="8"/>
      <c r="AA637" s="8"/>
      <c r="AB637" s="8"/>
    </row>
    <row r="638">
      <c r="A638" s="8"/>
      <c r="B638" s="8"/>
      <c r="C638" s="8"/>
      <c r="D638" s="8"/>
      <c r="E638" s="8"/>
      <c r="F638" s="356"/>
      <c r="G638" s="8"/>
      <c r="H638" s="8"/>
      <c r="I638" s="8"/>
      <c r="J638" s="8"/>
      <c r="K638" s="8"/>
      <c r="L638" s="8"/>
      <c r="M638" s="8"/>
      <c r="N638" s="8"/>
      <c r="O638" s="8"/>
      <c r="P638" s="8"/>
      <c r="Q638" s="8"/>
      <c r="R638" s="8"/>
      <c r="S638" s="357"/>
      <c r="T638" s="357"/>
      <c r="U638" s="357"/>
      <c r="V638" s="357"/>
      <c r="W638" s="8"/>
      <c r="X638" s="8"/>
      <c r="Y638" s="8"/>
      <c r="Z638" s="8"/>
      <c r="AA638" s="8"/>
      <c r="AB638" s="8"/>
    </row>
    <row r="639">
      <c r="A639" s="8"/>
      <c r="B639" s="8"/>
      <c r="C639" s="8"/>
      <c r="D639" s="8"/>
      <c r="E639" s="8"/>
      <c r="F639" s="356"/>
      <c r="G639" s="8"/>
      <c r="H639" s="8"/>
      <c r="I639" s="8"/>
      <c r="J639" s="8"/>
      <c r="K639" s="8"/>
      <c r="L639" s="8"/>
      <c r="M639" s="8"/>
      <c r="N639" s="8"/>
      <c r="O639" s="8"/>
      <c r="P639" s="8"/>
      <c r="Q639" s="8"/>
      <c r="R639" s="8"/>
      <c r="S639" s="357"/>
      <c r="T639" s="357"/>
      <c r="U639" s="357"/>
      <c r="V639" s="357"/>
      <c r="W639" s="8"/>
      <c r="X639" s="8"/>
      <c r="Y639" s="8"/>
      <c r="Z639" s="8"/>
      <c r="AA639" s="8"/>
      <c r="AB639" s="8"/>
    </row>
    <row r="640">
      <c r="A640" s="8"/>
      <c r="B640" s="8"/>
      <c r="C640" s="8"/>
      <c r="D640" s="8"/>
      <c r="E640" s="8"/>
      <c r="F640" s="356"/>
      <c r="G640" s="8"/>
      <c r="H640" s="8"/>
      <c r="I640" s="8"/>
      <c r="J640" s="8"/>
      <c r="K640" s="8"/>
      <c r="L640" s="8"/>
      <c r="M640" s="8"/>
      <c r="N640" s="8"/>
      <c r="O640" s="8"/>
      <c r="P640" s="8"/>
      <c r="Q640" s="8"/>
      <c r="R640" s="8"/>
      <c r="S640" s="357"/>
      <c r="T640" s="357"/>
      <c r="U640" s="357"/>
      <c r="V640" s="357"/>
      <c r="W640" s="8"/>
      <c r="X640" s="8"/>
      <c r="Y640" s="8"/>
      <c r="Z640" s="8"/>
      <c r="AA640" s="8"/>
      <c r="AB640" s="8"/>
    </row>
    <row r="641">
      <c r="A641" s="8"/>
      <c r="B641" s="8"/>
      <c r="C641" s="8"/>
      <c r="D641" s="8"/>
      <c r="E641" s="8"/>
      <c r="F641" s="356"/>
      <c r="G641" s="8"/>
      <c r="H641" s="8"/>
      <c r="I641" s="8"/>
      <c r="J641" s="8"/>
      <c r="K641" s="8"/>
      <c r="L641" s="8"/>
      <c r="M641" s="8"/>
      <c r="N641" s="8"/>
      <c r="O641" s="8"/>
      <c r="P641" s="8"/>
      <c r="Q641" s="8"/>
      <c r="R641" s="8"/>
      <c r="S641" s="357"/>
      <c r="T641" s="357"/>
      <c r="U641" s="357"/>
      <c r="V641" s="357"/>
      <c r="W641" s="8"/>
      <c r="X641" s="8"/>
      <c r="Y641" s="8"/>
      <c r="Z641" s="8"/>
      <c r="AA641" s="8"/>
      <c r="AB641" s="8"/>
    </row>
    <row r="642">
      <c r="A642" s="8"/>
      <c r="B642" s="8"/>
      <c r="C642" s="8"/>
      <c r="D642" s="8"/>
      <c r="E642" s="8"/>
      <c r="F642" s="356"/>
      <c r="G642" s="8"/>
      <c r="H642" s="8"/>
      <c r="I642" s="8"/>
      <c r="J642" s="8"/>
      <c r="K642" s="8"/>
      <c r="L642" s="8"/>
      <c r="M642" s="8"/>
      <c r="N642" s="8"/>
      <c r="O642" s="8"/>
      <c r="P642" s="8"/>
      <c r="Q642" s="8"/>
      <c r="R642" s="8"/>
      <c r="S642" s="357"/>
      <c r="T642" s="357"/>
      <c r="U642" s="357"/>
      <c r="V642" s="357"/>
      <c r="W642" s="8"/>
      <c r="X642" s="8"/>
      <c r="Y642" s="8"/>
      <c r="Z642" s="8"/>
      <c r="AA642" s="8"/>
      <c r="AB642" s="8"/>
    </row>
    <row r="643">
      <c r="A643" s="8"/>
      <c r="B643" s="8"/>
      <c r="C643" s="8"/>
      <c r="D643" s="8"/>
      <c r="E643" s="8"/>
      <c r="F643" s="356"/>
      <c r="G643" s="8"/>
      <c r="H643" s="8"/>
      <c r="I643" s="8"/>
      <c r="J643" s="8"/>
      <c r="K643" s="8"/>
      <c r="L643" s="8"/>
      <c r="M643" s="8"/>
      <c r="N643" s="8"/>
      <c r="O643" s="8"/>
      <c r="P643" s="8"/>
      <c r="Q643" s="8"/>
      <c r="R643" s="8"/>
      <c r="S643" s="357"/>
      <c r="T643" s="357"/>
      <c r="U643" s="357"/>
      <c r="V643" s="357"/>
      <c r="W643" s="8"/>
      <c r="X643" s="8"/>
      <c r="Y643" s="8"/>
      <c r="Z643" s="8"/>
      <c r="AA643" s="8"/>
      <c r="AB643" s="8"/>
    </row>
    <row r="644">
      <c r="A644" s="8"/>
      <c r="B644" s="8"/>
      <c r="C644" s="8"/>
      <c r="D644" s="8"/>
      <c r="E644" s="8"/>
      <c r="F644" s="356"/>
      <c r="G644" s="8"/>
      <c r="H644" s="8"/>
      <c r="I644" s="8"/>
      <c r="J644" s="8"/>
      <c r="K644" s="8"/>
      <c r="L644" s="8"/>
      <c r="M644" s="8"/>
      <c r="N644" s="8"/>
      <c r="O644" s="8"/>
      <c r="P644" s="8"/>
      <c r="Q644" s="8"/>
      <c r="R644" s="8"/>
      <c r="S644" s="357"/>
      <c r="T644" s="357"/>
      <c r="U644" s="357"/>
      <c r="V644" s="357"/>
      <c r="W644" s="8"/>
      <c r="X644" s="8"/>
      <c r="Y644" s="8"/>
      <c r="Z644" s="8"/>
      <c r="AA644" s="8"/>
      <c r="AB644" s="8"/>
    </row>
    <row r="645">
      <c r="A645" s="8"/>
      <c r="B645" s="8"/>
      <c r="C645" s="8"/>
      <c r="D645" s="8"/>
      <c r="E645" s="8"/>
      <c r="F645" s="356"/>
      <c r="G645" s="8"/>
      <c r="H645" s="8"/>
      <c r="I645" s="8"/>
      <c r="J645" s="8"/>
      <c r="K645" s="8"/>
      <c r="L645" s="8"/>
      <c r="M645" s="8"/>
      <c r="N645" s="8"/>
      <c r="O645" s="8"/>
      <c r="P645" s="8"/>
      <c r="Q645" s="8"/>
      <c r="R645" s="8"/>
      <c r="S645" s="357"/>
      <c r="T645" s="357"/>
      <c r="U645" s="357"/>
      <c r="V645" s="357"/>
      <c r="W645" s="8"/>
      <c r="X645" s="8"/>
      <c r="Y645" s="8"/>
      <c r="Z645" s="8"/>
      <c r="AA645" s="8"/>
      <c r="AB645" s="8"/>
    </row>
    <row r="646">
      <c r="A646" s="8"/>
      <c r="B646" s="8"/>
      <c r="C646" s="8"/>
      <c r="D646" s="8"/>
      <c r="E646" s="8"/>
      <c r="F646" s="356"/>
      <c r="G646" s="8"/>
      <c r="H646" s="8"/>
      <c r="I646" s="8"/>
      <c r="J646" s="8"/>
      <c r="K646" s="8"/>
      <c r="L646" s="8"/>
      <c r="M646" s="8"/>
      <c r="N646" s="8"/>
      <c r="O646" s="8"/>
      <c r="P646" s="8"/>
      <c r="Q646" s="8"/>
      <c r="R646" s="8"/>
      <c r="S646" s="357"/>
      <c r="T646" s="357"/>
      <c r="U646" s="357"/>
      <c r="V646" s="357"/>
      <c r="W646" s="8"/>
      <c r="X646" s="8"/>
      <c r="Y646" s="8"/>
      <c r="Z646" s="8"/>
      <c r="AA646" s="8"/>
      <c r="AB646" s="8"/>
    </row>
    <row r="647">
      <c r="A647" s="8"/>
      <c r="B647" s="8"/>
      <c r="C647" s="8"/>
      <c r="D647" s="8"/>
      <c r="E647" s="8"/>
      <c r="F647" s="356"/>
      <c r="G647" s="8"/>
      <c r="H647" s="8"/>
      <c r="I647" s="8"/>
      <c r="J647" s="8"/>
      <c r="K647" s="8"/>
      <c r="L647" s="8"/>
      <c r="M647" s="8"/>
      <c r="N647" s="8"/>
      <c r="O647" s="8"/>
      <c r="P647" s="8"/>
      <c r="Q647" s="8"/>
      <c r="R647" s="8"/>
      <c r="S647" s="357"/>
      <c r="T647" s="357"/>
      <c r="U647" s="357"/>
      <c r="V647" s="357"/>
      <c r="W647" s="8"/>
      <c r="X647" s="8"/>
      <c r="Y647" s="8"/>
      <c r="Z647" s="8"/>
      <c r="AA647" s="8"/>
      <c r="AB647" s="8"/>
    </row>
    <row r="648">
      <c r="A648" s="8"/>
      <c r="B648" s="8"/>
      <c r="C648" s="8"/>
      <c r="D648" s="8"/>
      <c r="E648" s="8"/>
      <c r="F648" s="356"/>
      <c r="G648" s="8"/>
      <c r="H648" s="8"/>
      <c r="I648" s="8"/>
      <c r="J648" s="8"/>
      <c r="K648" s="8"/>
      <c r="L648" s="8"/>
      <c r="M648" s="8"/>
      <c r="N648" s="8"/>
      <c r="O648" s="8"/>
      <c r="P648" s="8"/>
      <c r="Q648" s="8"/>
      <c r="R648" s="8"/>
      <c r="S648" s="357"/>
      <c r="T648" s="357"/>
      <c r="U648" s="357"/>
      <c r="V648" s="357"/>
      <c r="W648" s="8"/>
      <c r="X648" s="8"/>
      <c r="Y648" s="8"/>
      <c r="Z648" s="8"/>
      <c r="AA648" s="8"/>
      <c r="AB648" s="8"/>
    </row>
    <row r="649">
      <c r="A649" s="8"/>
      <c r="B649" s="8"/>
      <c r="C649" s="8"/>
      <c r="D649" s="8"/>
      <c r="E649" s="8"/>
      <c r="F649" s="356"/>
      <c r="G649" s="8"/>
      <c r="H649" s="8"/>
      <c r="I649" s="8"/>
      <c r="J649" s="8"/>
      <c r="K649" s="8"/>
      <c r="L649" s="8"/>
      <c r="M649" s="8"/>
      <c r="N649" s="8"/>
      <c r="O649" s="8"/>
      <c r="P649" s="8"/>
      <c r="Q649" s="8"/>
      <c r="R649" s="8"/>
      <c r="S649" s="357"/>
      <c r="T649" s="357"/>
      <c r="U649" s="357"/>
      <c r="V649" s="357"/>
      <c r="W649" s="8"/>
      <c r="X649" s="8"/>
      <c r="Y649" s="8"/>
      <c r="Z649" s="8"/>
      <c r="AA649" s="8"/>
      <c r="AB649" s="8"/>
    </row>
    <row r="650">
      <c r="A650" s="8"/>
      <c r="B650" s="8"/>
      <c r="C650" s="8"/>
      <c r="D650" s="8"/>
      <c r="E650" s="8"/>
      <c r="F650" s="356"/>
      <c r="G650" s="8"/>
      <c r="H650" s="8"/>
      <c r="I650" s="8"/>
      <c r="J650" s="8"/>
      <c r="K650" s="8"/>
      <c r="L650" s="8"/>
      <c r="M650" s="8"/>
      <c r="N650" s="8"/>
      <c r="O650" s="8"/>
      <c r="P650" s="8"/>
      <c r="Q650" s="8"/>
      <c r="R650" s="8"/>
      <c r="S650" s="357"/>
      <c r="T650" s="357"/>
      <c r="U650" s="357"/>
      <c r="V650" s="357"/>
      <c r="W650" s="8"/>
      <c r="X650" s="8"/>
      <c r="Y650" s="8"/>
      <c r="Z650" s="8"/>
      <c r="AA650" s="8"/>
      <c r="AB650" s="8"/>
    </row>
    <row r="651">
      <c r="A651" s="8"/>
      <c r="B651" s="8"/>
      <c r="C651" s="8"/>
      <c r="D651" s="8"/>
      <c r="E651" s="8"/>
      <c r="F651" s="356"/>
      <c r="G651" s="8"/>
      <c r="H651" s="8"/>
      <c r="I651" s="8"/>
      <c r="J651" s="8"/>
      <c r="K651" s="8"/>
      <c r="L651" s="8"/>
      <c r="M651" s="8"/>
      <c r="N651" s="8"/>
      <c r="O651" s="8"/>
      <c r="P651" s="8"/>
      <c r="Q651" s="8"/>
      <c r="R651" s="8"/>
      <c r="S651" s="357"/>
      <c r="T651" s="357"/>
      <c r="U651" s="357"/>
      <c r="V651" s="357"/>
      <c r="W651" s="8"/>
      <c r="X651" s="8"/>
      <c r="Y651" s="8"/>
      <c r="Z651" s="8"/>
      <c r="AA651" s="8"/>
      <c r="AB651" s="8"/>
    </row>
    <row r="652">
      <c r="A652" s="8"/>
      <c r="B652" s="8"/>
      <c r="C652" s="8"/>
      <c r="D652" s="8"/>
      <c r="E652" s="8"/>
      <c r="F652" s="356"/>
      <c r="G652" s="8"/>
      <c r="H652" s="8"/>
      <c r="I652" s="8"/>
      <c r="J652" s="8"/>
      <c r="K652" s="8"/>
      <c r="L652" s="8"/>
      <c r="M652" s="8"/>
      <c r="N652" s="8"/>
      <c r="O652" s="8"/>
      <c r="P652" s="8"/>
      <c r="Q652" s="8"/>
      <c r="R652" s="8"/>
      <c r="S652" s="357"/>
      <c r="T652" s="357"/>
      <c r="U652" s="357"/>
      <c r="V652" s="357"/>
      <c r="W652" s="8"/>
      <c r="X652" s="8"/>
      <c r="Y652" s="8"/>
      <c r="Z652" s="8"/>
      <c r="AA652" s="8"/>
      <c r="AB652" s="8"/>
    </row>
    <row r="653">
      <c r="A653" s="8"/>
      <c r="B653" s="8"/>
      <c r="C653" s="8"/>
      <c r="D653" s="8"/>
      <c r="E653" s="8"/>
      <c r="F653" s="356"/>
      <c r="G653" s="8"/>
      <c r="H653" s="8"/>
      <c r="I653" s="8"/>
      <c r="J653" s="8"/>
      <c r="K653" s="8"/>
      <c r="L653" s="8"/>
      <c r="M653" s="8"/>
      <c r="N653" s="8"/>
      <c r="O653" s="8"/>
      <c r="P653" s="8"/>
      <c r="Q653" s="8"/>
      <c r="R653" s="8"/>
      <c r="S653" s="357"/>
      <c r="T653" s="357"/>
      <c r="U653" s="357"/>
      <c r="V653" s="357"/>
      <c r="W653" s="8"/>
      <c r="X653" s="8"/>
      <c r="Y653" s="8"/>
      <c r="Z653" s="8"/>
      <c r="AA653" s="8"/>
      <c r="AB653" s="8"/>
    </row>
    <row r="654">
      <c r="A654" s="8"/>
      <c r="B654" s="8"/>
      <c r="C654" s="8"/>
      <c r="D654" s="8"/>
      <c r="E654" s="8"/>
      <c r="F654" s="356"/>
      <c r="G654" s="8"/>
      <c r="H654" s="8"/>
      <c r="I654" s="8"/>
      <c r="J654" s="8"/>
      <c r="K654" s="8"/>
      <c r="L654" s="8"/>
      <c r="M654" s="8"/>
      <c r="N654" s="8"/>
      <c r="O654" s="8"/>
      <c r="P654" s="8"/>
      <c r="Q654" s="8"/>
      <c r="R654" s="8"/>
      <c r="S654" s="357"/>
      <c r="T654" s="357"/>
      <c r="U654" s="357"/>
      <c r="V654" s="357"/>
      <c r="W654" s="8"/>
      <c r="X654" s="8"/>
      <c r="Y654" s="8"/>
      <c r="Z654" s="8"/>
      <c r="AA654" s="8"/>
      <c r="AB654" s="8"/>
    </row>
    <row r="655">
      <c r="A655" s="8"/>
      <c r="B655" s="8"/>
      <c r="C655" s="8"/>
      <c r="D655" s="8"/>
      <c r="E655" s="8"/>
      <c r="F655" s="356"/>
      <c r="G655" s="8"/>
      <c r="H655" s="8"/>
      <c r="I655" s="8"/>
      <c r="J655" s="8"/>
      <c r="K655" s="8"/>
      <c r="L655" s="8"/>
      <c r="M655" s="8"/>
      <c r="N655" s="8"/>
      <c r="O655" s="8"/>
      <c r="P655" s="8"/>
      <c r="Q655" s="8"/>
      <c r="R655" s="8"/>
      <c r="S655" s="357"/>
      <c r="T655" s="357"/>
      <c r="U655" s="357"/>
      <c r="V655" s="357"/>
      <c r="W655" s="8"/>
      <c r="X655" s="8"/>
      <c r="Y655" s="8"/>
      <c r="Z655" s="8"/>
      <c r="AA655" s="8"/>
      <c r="AB655" s="8"/>
    </row>
    <row r="656">
      <c r="A656" s="8"/>
      <c r="B656" s="8"/>
      <c r="C656" s="8"/>
      <c r="D656" s="8"/>
      <c r="E656" s="8"/>
      <c r="F656" s="356"/>
      <c r="G656" s="8"/>
      <c r="H656" s="8"/>
      <c r="I656" s="8"/>
      <c r="J656" s="8"/>
      <c r="K656" s="8"/>
      <c r="L656" s="8"/>
      <c r="M656" s="8"/>
      <c r="N656" s="8"/>
      <c r="O656" s="8"/>
      <c r="P656" s="8"/>
      <c r="Q656" s="8"/>
      <c r="R656" s="8"/>
      <c r="S656" s="357"/>
      <c r="T656" s="357"/>
      <c r="U656" s="357"/>
      <c r="V656" s="357"/>
      <c r="W656" s="8"/>
      <c r="X656" s="8"/>
      <c r="Y656" s="8"/>
      <c r="Z656" s="8"/>
      <c r="AA656" s="8"/>
      <c r="AB656" s="8"/>
    </row>
    <row r="657">
      <c r="A657" s="8"/>
      <c r="B657" s="8"/>
      <c r="C657" s="8"/>
      <c r="D657" s="8"/>
      <c r="E657" s="8"/>
      <c r="F657" s="356"/>
      <c r="G657" s="8"/>
      <c r="H657" s="8"/>
      <c r="I657" s="8"/>
      <c r="J657" s="8"/>
      <c r="K657" s="8"/>
      <c r="L657" s="8"/>
      <c r="M657" s="8"/>
      <c r="N657" s="8"/>
      <c r="O657" s="8"/>
      <c r="P657" s="8"/>
      <c r="Q657" s="8"/>
      <c r="R657" s="8"/>
      <c r="S657" s="357"/>
      <c r="T657" s="357"/>
      <c r="U657" s="357"/>
      <c r="V657" s="357"/>
      <c r="W657" s="8"/>
      <c r="X657" s="8"/>
      <c r="Y657" s="8"/>
      <c r="Z657" s="8"/>
      <c r="AA657" s="8"/>
      <c r="AB657" s="8"/>
    </row>
    <row r="658">
      <c r="A658" s="8"/>
      <c r="B658" s="8"/>
      <c r="C658" s="8"/>
      <c r="D658" s="8"/>
      <c r="E658" s="8"/>
      <c r="F658" s="356"/>
      <c r="G658" s="8"/>
      <c r="H658" s="8"/>
      <c r="I658" s="8"/>
      <c r="J658" s="8"/>
      <c r="K658" s="8"/>
      <c r="L658" s="8"/>
      <c r="M658" s="8"/>
      <c r="N658" s="8"/>
      <c r="O658" s="8"/>
      <c r="P658" s="8"/>
      <c r="Q658" s="8"/>
      <c r="R658" s="8"/>
      <c r="S658" s="357"/>
      <c r="T658" s="357"/>
      <c r="U658" s="357"/>
      <c r="V658" s="357"/>
      <c r="W658" s="8"/>
      <c r="X658" s="8"/>
      <c r="Y658" s="8"/>
      <c r="Z658" s="8"/>
      <c r="AA658" s="8"/>
      <c r="AB658" s="8"/>
    </row>
    <row r="659">
      <c r="A659" s="8"/>
      <c r="B659" s="8"/>
      <c r="C659" s="8"/>
      <c r="D659" s="8"/>
      <c r="E659" s="8"/>
      <c r="F659" s="356"/>
      <c r="G659" s="8"/>
      <c r="H659" s="8"/>
      <c r="I659" s="8"/>
      <c r="J659" s="8"/>
      <c r="K659" s="8"/>
      <c r="L659" s="8"/>
      <c r="M659" s="8"/>
      <c r="N659" s="8"/>
      <c r="O659" s="8"/>
      <c r="P659" s="8"/>
      <c r="Q659" s="8"/>
      <c r="R659" s="8"/>
      <c r="S659" s="357"/>
      <c r="T659" s="357"/>
      <c r="U659" s="357"/>
      <c r="V659" s="357"/>
      <c r="W659" s="8"/>
      <c r="X659" s="8"/>
      <c r="Y659" s="8"/>
      <c r="Z659" s="8"/>
      <c r="AA659" s="8"/>
      <c r="AB659" s="8"/>
    </row>
    <row r="660">
      <c r="A660" s="8"/>
      <c r="B660" s="8"/>
      <c r="C660" s="8"/>
      <c r="D660" s="8"/>
      <c r="E660" s="8"/>
      <c r="F660" s="356"/>
      <c r="G660" s="8"/>
      <c r="H660" s="8"/>
      <c r="I660" s="8"/>
      <c r="J660" s="8"/>
      <c r="K660" s="8"/>
      <c r="L660" s="8"/>
      <c r="M660" s="8"/>
      <c r="N660" s="8"/>
      <c r="O660" s="8"/>
      <c r="P660" s="8"/>
      <c r="Q660" s="8"/>
      <c r="R660" s="8"/>
      <c r="S660" s="357"/>
      <c r="T660" s="357"/>
      <c r="U660" s="357"/>
      <c r="V660" s="357"/>
      <c r="W660" s="8"/>
      <c r="X660" s="8"/>
      <c r="Y660" s="8"/>
      <c r="Z660" s="8"/>
      <c r="AA660" s="8"/>
      <c r="AB660" s="8"/>
    </row>
    <row r="661">
      <c r="A661" s="8"/>
      <c r="B661" s="8"/>
      <c r="C661" s="8"/>
      <c r="D661" s="8"/>
      <c r="E661" s="8"/>
      <c r="F661" s="356"/>
      <c r="G661" s="8"/>
      <c r="H661" s="8"/>
      <c r="I661" s="8"/>
      <c r="J661" s="8"/>
      <c r="K661" s="8"/>
      <c r="L661" s="8"/>
      <c r="M661" s="8"/>
      <c r="N661" s="8"/>
      <c r="O661" s="8"/>
      <c r="P661" s="8"/>
      <c r="Q661" s="8"/>
      <c r="R661" s="8"/>
      <c r="S661" s="357"/>
      <c r="T661" s="357"/>
      <c r="U661" s="357"/>
      <c r="V661" s="357"/>
      <c r="W661" s="8"/>
      <c r="X661" s="8"/>
      <c r="Y661" s="8"/>
      <c r="Z661" s="8"/>
      <c r="AA661" s="8"/>
      <c r="AB661" s="8"/>
    </row>
    <row r="662">
      <c r="A662" s="8"/>
      <c r="B662" s="8"/>
      <c r="C662" s="8"/>
      <c r="D662" s="8"/>
      <c r="E662" s="8"/>
      <c r="F662" s="356"/>
      <c r="G662" s="8"/>
      <c r="H662" s="8"/>
      <c r="I662" s="8"/>
      <c r="J662" s="8"/>
      <c r="K662" s="8"/>
      <c r="L662" s="8"/>
      <c r="M662" s="8"/>
      <c r="N662" s="8"/>
      <c r="O662" s="8"/>
      <c r="P662" s="8"/>
      <c r="Q662" s="8"/>
      <c r="R662" s="8"/>
      <c r="S662" s="357"/>
      <c r="T662" s="357"/>
      <c r="U662" s="357"/>
      <c r="V662" s="357"/>
      <c r="W662" s="8"/>
      <c r="X662" s="8"/>
      <c r="Y662" s="8"/>
      <c r="Z662" s="8"/>
      <c r="AA662" s="8"/>
      <c r="AB662" s="8"/>
    </row>
    <row r="663">
      <c r="A663" s="8"/>
      <c r="B663" s="8"/>
      <c r="C663" s="8"/>
      <c r="D663" s="8"/>
      <c r="E663" s="8"/>
      <c r="F663" s="356"/>
      <c r="G663" s="8"/>
      <c r="H663" s="8"/>
      <c r="I663" s="8"/>
      <c r="J663" s="8"/>
      <c r="K663" s="8"/>
      <c r="L663" s="8"/>
      <c r="M663" s="8"/>
      <c r="N663" s="8"/>
      <c r="O663" s="8"/>
      <c r="P663" s="8"/>
      <c r="Q663" s="8"/>
      <c r="R663" s="8"/>
      <c r="S663" s="357"/>
      <c r="T663" s="357"/>
      <c r="U663" s="357"/>
      <c r="V663" s="357"/>
      <c r="W663" s="8"/>
      <c r="X663" s="8"/>
      <c r="Y663" s="8"/>
      <c r="Z663" s="8"/>
      <c r="AA663" s="8"/>
      <c r="AB663" s="8"/>
    </row>
    <row r="664">
      <c r="A664" s="8"/>
      <c r="B664" s="8"/>
      <c r="C664" s="8"/>
      <c r="D664" s="8"/>
      <c r="E664" s="8"/>
      <c r="F664" s="356"/>
      <c r="G664" s="8"/>
      <c r="H664" s="8"/>
      <c r="I664" s="8"/>
      <c r="J664" s="8"/>
      <c r="K664" s="8"/>
      <c r="L664" s="8"/>
      <c r="M664" s="8"/>
      <c r="N664" s="8"/>
      <c r="O664" s="8"/>
      <c r="P664" s="8"/>
      <c r="Q664" s="8"/>
      <c r="R664" s="8"/>
      <c r="S664" s="357"/>
      <c r="T664" s="357"/>
      <c r="U664" s="357"/>
      <c r="V664" s="357"/>
      <c r="W664" s="8"/>
      <c r="X664" s="8"/>
      <c r="Y664" s="8"/>
      <c r="Z664" s="8"/>
      <c r="AA664" s="8"/>
      <c r="AB664" s="8"/>
    </row>
    <row r="665">
      <c r="A665" s="8"/>
      <c r="B665" s="8"/>
      <c r="C665" s="8"/>
      <c r="D665" s="8"/>
      <c r="E665" s="8"/>
      <c r="F665" s="356"/>
      <c r="G665" s="8"/>
      <c r="H665" s="8"/>
      <c r="I665" s="8"/>
      <c r="J665" s="8"/>
      <c r="K665" s="8"/>
      <c r="L665" s="8"/>
      <c r="M665" s="8"/>
      <c r="N665" s="8"/>
      <c r="O665" s="8"/>
      <c r="P665" s="8"/>
      <c r="Q665" s="8"/>
      <c r="R665" s="8"/>
      <c r="S665" s="357"/>
      <c r="T665" s="357"/>
      <c r="U665" s="357"/>
      <c r="V665" s="357"/>
      <c r="W665" s="8"/>
      <c r="X665" s="8"/>
      <c r="Y665" s="8"/>
      <c r="Z665" s="8"/>
      <c r="AA665" s="8"/>
      <c r="AB665" s="8"/>
    </row>
    <row r="666">
      <c r="A666" s="8"/>
      <c r="B666" s="8"/>
      <c r="C666" s="8"/>
      <c r="D666" s="8"/>
      <c r="E666" s="8"/>
      <c r="F666" s="356"/>
      <c r="G666" s="8"/>
      <c r="H666" s="8"/>
      <c r="I666" s="8"/>
      <c r="J666" s="8"/>
      <c r="K666" s="8"/>
      <c r="L666" s="8"/>
      <c r="M666" s="8"/>
      <c r="N666" s="8"/>
      <c r="O666" s="8"/>
      <c r="P666" s="8"/>
      <c r="Q666" s="8"/>
      <c r="R666" s="8"/>
      <c r="S666" s="357"/>
      <c r="T666" s="357"/>
      <c r="U666" s="357"/>
      <c r="V666" s="357"/>
      <c r="W666" s="8"/>
      <c r="X666" s="8"/>
      <c r="Y666" s="8"/>
      <c r="Z666" s="8"/>
      <c r="AA666" s="8"/>
      <c r="AB666" s="8"/>
    </row>
    <row r="667">
      <c r="A667" s="8"/>
      <c r="B667" s="8"/>
      <c r="C667" s="8"/>
      <c r="D667" s="8"/>
      <c r="E667" s="8"/>
      <c r="F667" s="356"/>
      <c r="G667" s="8"/>
      <c r="H667" s="8"/>
      <c r="I667" s="8"/>
      <c r="J667" s="8"/>
      <c r="K667" s="8"/>
      <c r="L667" s="8"/>
      <c r="M667" s="8"/>
      <c r="N667" s="8"/>
      <c r="O667" s="8"/>
      <c r="P667" s="8"/>
      <c r="Q667" s="8"/>
      <c r="R667" s="8"/>
      <c r="S667" s="357"/>
      <c r="T667" s="357"/>
      <c r="U667" s="357"/>
      <c r="V667" s="357"/>
      <c r="W667" s="8"/>
      <c r="X667" s="8"/>
      <c r="Y667" s="8"/>
      <c r="Z667" s="8"/>
      <c r="AA667" s="8"/>
      <c r="AB667" s="8"/>
    </row>
    <row r="668">
      <c r="A668" s="8"/>
      <c r="B668" s="8"/>
      <c r="C668" s="8"/>
      <c r="D668" s="8"/>
      <c r="E668" s="8"/>
      <c r="F668" s="356"/>
      <c r="G668" s="8"/>
      <c r="H668" s="8"/>
      <c r="I668" s="8"/>
      <c r="J668" s="8"/>
      <c r="K668" s="8"/>
      <c r="L668" s="8"/>
      <c r="M668" s="8"/>
      <c r="N668" s="8"/>
      <c r="O668" s="8"/>
      <c r="P668" s="8"/>
      <c r="Q668" s="8"/>
      <c r="R668" s="8"/>
      <c r="S668" s="357"/>
      <c r="T668" s="357"/>
      <c r="U668" s="357"/>
      <c r="V668" s="357"/>
      <c r="W668" s="8"/>
      <c r="X668" s="8"/>
      <c r="Y668" s="8"/>
      <c r="Z668" s="8"/>
      <c r="AA668" s="8"/>
      <c r="AB668" s="8"/>
    </row>
    <row r="669">
      <c r="A669" s="8"/>
      <c r="B669" s="8"/>
      <c r="C669" s="8"/>
      <c r="D669" s="8"/>
      <c r="E669" s="8"/>
      <c r="F669" s="356"/>
      <c r="G669" s="8"/>
      <c r="H669" s="8"/>
      <c r="I669" s="8"/>
      <c r="J669" s="8"/>
      <c r="K669" s="8"/>
      <c r="L669" s="8"/>
      <c r="M669" s="8"/>
      <c r="N669" s="8"/>
      <c r="O669" s="8"/>
      <c r="P669" s="8"/>
      <c r="Q669" s="8"/>
      <c r="R669" s="8"/>
      <c r="S669" s="357"/>
      <c r="T669" s="357"/>
      <c r="U669" s="357"/>
      <c r="V669" s="357"/>
      <c r="W669" s="8"/>
      <c r="X669" s="8"/>
      <c r="Y669" s="8"/>
      <c r="Z669" s="8"/>
      <c r="AA669" s="8"/>
      <c r="AB669" s="8"/>
    </row>
    <row r="670">
      <c r="A670" s="8"/>
      <c r="B670" s="8"/>
      <c r="C670" s="8"/>
      <c r="D670" s="8"/>
      <c r="E670" s="8"/>
      <c r="F670" s="356"/>
      <c r="G670" s="8"/>
      <c r="H670" s="8"/>
      <c r="I670" s="8"/>
      <c r="J670" s="8"/>
      <c r="K670" s="8"/>
      <c r="L670" s="8"/>
      <c r="M670" s="8"/>
      <c r="N670" s="8"/>
      <c r="O670" s="8"/>
      <c r="P670" s="8"/>
      <c r="Q670" s="8"/>
      <c r="R670" s="8"/>
      <c r="S670" s="357"/>
      <c r="T670" s="357"/>
      <c r="U670" s="357"/>
      <c r="V670" s="357"/>
      <c r="W670" s="8"/>
      <c r="X670" s="8"/>
      <c r="Y670" s="8"/>
      <c r="Z670" s="8"/>
      <c r="AA670" s="8"/>
      <c r="AB670" s="8"/>
    </row>
    <row r="671">
      <c r="A671" s="8"/>
      <c r="B671" s="8"/>
      <c r="C671" s="8"/>
      <c r="D671" s="8"/>
      <c r="E671" s="8"/>
      <c r="F671" s="356"/>
      <c r="G671" s="8"/>
      <c r="H671" s="8"/>
      <c r="I671" s="8"/>
      <c r="J671" s="8"/>
      <c r="K671" s="8"/>
      <c r="L671" s="8"/>
      <c r="M671" s="8"/>
      <c r="N671" s="8"/>
      <c r="O671" s="8"/>
      <c r="P671" s="8"/>
      <c r="Q671" s="8"/>
      <c r="R671" s="8"/>
      <c r="S671" s="357"/>
      <c r="T671" s="357"/>
      <c r="U671" s="357"/>
      <c r="V671" s="357"/>
      <c r="W671" s="8"/>
      <c r="X671" s="8"/>
      <c r="Y671" s="8"/>
      <c r="Z671" s="8"/>
      <c r="AA671" s="8"/>
      <c r="AB671" s="8"/>
    </row>
    <row r="672">
      <c r="A672" s="8"/>
      <c r="B672" s="8"/>
      <c r="C672" s="8"/>
      <c r="D672" s="8"/>
      <c r="E672" s="8"/>
      <c r="F672" s="356"/>
      <c r="G672" s="8"/>
      <c r="H672" s="8"/>
      <c r="I672" s="8"/>
      <c r="J672" s="8"/>
      <c r="K672" s="8"/>
      <c r="L672" s="8"/>
      <c r="M672" s="8"/>
      <c r="N672" s="8"/>
      <c r="O672" s="8"/>
      <c r="P672" s="8"/>
      <c r="Q672" s="8"/>
      <c r="R672" s="8"/>
      <c r="S672" s="357"/>
      <c r="T672" s="357"/>
      <c r="U672" s="357"/>
      <c r="V672" s="357"/>
      <c r="W672" s="8"/>
      <c r="X672" s="8"/>
      <c r="Y672" s="8"/>
      <c r="Z672" s="8"/>
      <c r="AA672" s="8"/>
      <c r="AB672" s="8"/>
    </row>
    <row r="673">
      <c r="A673" s="8"/>
      <c r="B673" s="8"/>
      <c r="C673" s="8"/>
      <c r="D673" s="8"/>
      <c r="E673" s="8"/>
      <c r="F673" s="356"/>
      <c r="G673" s="8"/>
      <c r="H673" s="8"/>
      <c r="I673" s="8"/>
      <c r="J673" s="8"/>
      <c r="K673" s="8"/>
      <c r="L673" s="8"/>
      <c r="M673" s="8"/>
      <c r="N673" s="8"/>
      <c r="O673" s="8"/>
      <c r="P673" s="8"/>
      <c r="Q673" s="8"/>
      <c r="R673" s="8"/>
      <c r="S673" s="357"/>
      <c r="T673" s="357"/>
      <c r="U673" s="357"/>
      <c r="V673" s="357"/>
      <c r="W673" s="8"/>
      <c r="X673" s="8"/>
      <c r="Y673" s="8"/>
      <c r="Z673" s="8"/>
      <c r="AA673" s="8"/>
      <c r="AB673" s="8"/>
    </row>
    <row r="674">
      <c r="A674" s="8"/>
      <c r="B674" s="8"/>
      <c r="C674" s="8"/>
      <c r="D674" s="8"/>
      <c r="E674" s="8"/>
      <c r="F674" s="356"/>
      <c r="G674" s="8"/>
      <c r="H674" s="8"/>
      <c r="I674" s="8"/>
      <c r="J674" s="8"/>
      <c r="K674" s="8"/>
      <c r="L674" s="8"/>
      <c r="M674" s="8"/>
      <c r="N674" s="8"/>
      <c r="O674" s="8"/>
      <c r="P674" s="8"/>
      <c r="Q674" s="8"/>
      <c r="R674" s="8"/>
      <c r="S674" s="357"/>
      <c r="T674" s="357"/>
      <c r="U674" s="357"/>
      <c r="V674" s="357"/>
      <c r="W674" s="8"/>
      <c r="X674" s="8"/>
      <c r="Y674" s="8"/>
      <c r="Z674" s="8"/>
      <c r="AA674" s="8"/>
      <c r="AB674" s="8"/>
    </row>
    <row r="675">
      <c r="A675" s="8"/>
      <c r="B675" s="8"/>
      <c r="C675" s="8"/>
      <c r="D675" s="8"/>
      <c r="E675" s="8"/>
      <c r="F675" s="356"/>
      <c r="G675" s="8"/>
      <c r="H675" s="8"/>
      <c r="I675" s="8"/>
      <c r="J675" s="8"/>
      <c r="K675" s="8"/>
      <c r="L675" s="8"/>
      <c r="M675" s="8"/>
      <c r="N675" s="8"/>
      <c r="O675" s="8"/>
      <c r="P675" s="8"/>
      <c r="Q675" s="8"/>
      <c r="R675" s="8"/>
      <c r="S675" s="357"/>
      <c r="T675" s="357"/>
      <c r="U675" s="357"/>
      <c r="V675" s="357"/>
      <c r="W675" s="8"/>
      <c r="X675" s="8"/>
      <c r="Y675" s="8"/>
      <c r="Z675" s="8"/>
      <c r="AA675" s="8"/>
      <c r="AB675" s="8"/>
    </row>
    <row r="676">
      <c r="A676" s="8"/>
      <c r="B676" s="8"/>
      <c r="C676" s="8"/>
      <c r="D676" s="8"/>
      <c r="E676" s="8"/>
      <c r="F676" s="356"/>
      <c r="G676" s="8"/>
      <c r="H676" s="8"/>
      <c r="I676" s="8"/>
      <c r="J676" s="8"/>
      <c r="K676" s="8"/>
      <c r="L676" s="8"/>
      <c r="M676" s="8"/>
      <c r="N676" s="8"/>
      <c r="O676" s="8"/>
      <c r="P676" s="8"/>
      <c r="Q676" s="8"/>
      <c r="R676" s="8"/>
      <c r="S676" s="357"/>
      <c r="T676" s="357"/>
      <c r="U676" s="357"/>
      <c r="V676" s="357"/>
      <c r="W676" s="8"/>
      <c r="X676" s="8"/>
      <c r="Y676" s="8"/>
      <c r="Z676" s="8"/>
      <c r="AA676" s="8"/>
      <c r="AB676" s="8"/>
    </row>
    <row r="677">
      <c r="A677" s="8"/>
      <c r="B677" s="8"/>
      <c r="C677" s="8"/>
      <c r="D677" s="8"/>
      <c r="E677" s="8"/>
      <c r="F677" s="356"/>
      <c r="G677" s="8"/>
      <c r="H677" s="8"/>
      <c r="I677" s="8"/>
      <c r="J677" s="8"/>
      <c r="K677" s="8"/>
      <c r="L677" s="8"/>
      <c r="M677" s="8"/>
      <c r="N677" s="8"/>
      <c r="O677" s="8"/>
      <c r="P677" s="8"/>
      <c r="Q677" s="8"/>
      <c r="R677" s="8"/>
      <c r="S677" s="357"/>
      <c r="T677" s="357"/>
      <c r="U677" s="357"/>
      <c r="V677" s="357"/>
      <c r="W677" s="8"/>
      <c r="X677" s="8"/>
      <c r="Y677" s="8"/>
      <c r="Z677" s="8"/>
      <c r="AA677" s="8"/>
      <c r="AB677" s="8"/>
    </row>
    <row r="678">
      <c r="A678" s="8"/>
      <c r="B678" s="8"/>
      <c r="C678" s="8"/>
      <c r="D678" s="8"/>
      <c r="E678" s="8"/>
      <c r="F678" s="356"/>
      <c r="G678" s="8"/>
      <c r="H678" s="8"/>
      <c r="I678" s="8"/>
      <c r="J678" s="8"/>
      <c r="K678" s="8"/>
      <c r="L678" s="8"/>
      <c r="M678" s="8"/>
      <c r="N678" s="8"/>
      <c r="O678" s="8"/>
      <c r="P678" s="8"/>
      <c r="Q678" s="8"/>
      <c r="R678" s="8"/>
      <c r="S678" s="357"/>
      <c r="T678" s="357"/>
      <c r="U678" s="357"/>
      <c r="V678" s="357"/>
      <c r="W678" s="8"/>
      <c r="X678" s="8"/>
      <c r="Y678" s="8"/>
      <c r="Z678" s="8"/>
      <c r="AA678" s="8"/>
      <c r="AB678" s="8"/>
    </row>
    <row r="679">
      <c r="A679" s="8"/>
      <c r="B679" s="8"/>
      <c r="C679" s="8"/>
      <c r="D679" s="8"/>
      <c r="E679" s="8"/>
      <c r="F679" s="356"/>
      <c r="G679" s="8"/>
      <c r="H679" s="8"/>
      <c r="I679" s="8"/>
      <c r="J679" s="8"/>
      <c r="K679" s="8"/>
      <c r="L679" s="8"/>
      <c r="M679" s="8"/>
      <c r="N679" s="8"/>
      <c r="O679" s="8"/>
      <c r="P679" s="8"/>
      <c r="Q679" s="8"/>
      <c r="R679" s="8"/>
      <c r="S679" s="357"/>
      <c r="T679" s="357"/>
      <c r="U679" s="357"/>
      <c r="V679" s="357"/>
      <c r="W679" s="8"/>
      <c r="X679" s="8"/>
      <c r="Y679" s="8"/>
      <c r="Z679" s="8"/>
      <c r="AA679" s="8"/>
      <c r="AB679" s="8"/>
    </row>
    <row r="680">
      <c r="A680" s="8"/>
      <c r="B680" s="8"/>
      <c r="C680" s="8"/>
      <c r="D680" s="8"/>
      <c r="E680" s="8"/>
      <c r="F680" s="356"/>
      <c r="G680" s="8"/>
      <c r="H680" s="8"/>
      <c r="I680" s="8"/>
      <c r="J680" s="8"/>
      <c r="K680" s="8"/>
      <c r="L680" s="8"/>
      <c r="M680" s="8"/>
      <c r="N680" s="8"/>
      <c r="O680" s="8"/>
      <c r="P680" s="8"/>
      <c r="Q680" s="8"/>
      <c r="R680" s="8"/>
      <c r="S680" s="357"/>
      <c r="T680" s="357"/>
      <c r="U680" s="357"/>
      <c r="V680" s="357"/>
      <c r="W680" s="8"/>
      <c r="X680" s="8"/>
      <c r="Y680" s="8"/>
      <c r="Z680" s="8"/>
      <c r="AA680" s="8"/>
      <c r="AB680" s="8"/>
    </row>
    <row r="681">
      <c r="A681" s="8"/>
      <c r="B681" s="8"/>
      <c r="C681" s="8"/>
      <c r="D681" s="8"/>
      <c r="E681" s="8"/>
      <c r="F681" s="356"/>
      <c r="G681" s="8"/>
      <c r="H681" s="8"/>
      <c r="I681" s="8"/>
      <c r="J681" s="8"/>
      <c r="K681" s="8"/>
      <c r="L681" s="8"/>
      <c r="M681" s="8"/>
      <c r="N681" s="8"/>
      <c r="O681" s="8"/>
      <c r="P681" s="8"/>
      <c r="Q681" s="8"/>
      <c r="R681" s="8"/>
      <c r="S681" s="357"/>
      <c r="T681" s="357"/>
      <c r="U681" s="357"/>
      <c r="V681" s="357"/>
      <c r="W681" s="8"/>
      <c r="X681" s="8"/>
      <c r="Y681" s="8"/>
      <c r="Z681" s="8"/>
      <c r="AA681" s="8"/>
      <c r="AB681" s="8"/>
    </row>
    <row r="682">
      <c r="A682" s="8"/>
      <c r="B682" s="8"/>
      <c r="C682" s="8"/>
      <c r="D682" s="8"/>
      <c r="E682" s="8"/>
      <c r="F682" s="356"/>
      <c r="G682" s="8"/>
      <c r="H682" s="8"/>
      <c r="I682" s="8"/>
      <c r="J682" s="8"/>
      <c r="K682" s="8"/>
      <c r="L682" s="8"/>
      <c r="M682" s="8"/>
      <c r="N682" s="8"/>
      <c r="O682" s="8"/>
      <c r="P682" s="8"/>
      <c r="Q682" s="8"/>
      <c r="R682" s="8"/>
      <c r="S682" s="357"/>
      <c r="T682" s="357"/>
      <c r="U682" s="357"/>
      <c r="V682" s="357"/>
      <c r="W682" s="8"/>
      <c r="X682" s="8"/>
      <c r="Y682" s="8"/>
      <c r="Z682" s="8"/>
      <c r="AA682" s="8"/>
      <c r="AB682" s="8"/>
    </row>
    <row r="683">
      <c r="A683" s="8"/>
      <c r="B683" s="8"/>
      <c r="C683" s="8"/>
      <c r="D683" s="8"/>
      <c r="E683" s="8"/>
      <c r="F683" s="356"/>
      <c r="G683" s="8"/>
      <c r="H683" s="8"/>
      <c r="I683" s="8"/>
      <c r="J683" s="8"/>
      <c r="K683" s="8"/>
      <c r="L683" s="8"/>
      <c r="M683" s="8"/>
      <c r="N683" s="8"/>
      <c r="O683" s="8"/>
      <c r="P683" s="8"/>
      <c r="Q683" s="8"/>
      <c r="R683" s="8"/>
      <c r="S683" s="357"/>
      <c r="T683" s="357"/>
      <c r="U683" s="357"/>
      <c r="V683" s="357"/>
      <c r="W683" s="8"/>
      <c r="X683" s="8"/>
      <c r="Y683" s="8"/>
      <c r="Z683" s="8"/>
      <c r="AA683" s="8"/>
      <c r="AB683" s="8"/>
    </row>
    <row r="684">
      <c r="A684" s="8"/>
      <c r="B684" s="8"/>
      <c r="C684" s="8"/>
      <c r="D684" s="8"/>
      <c r="E684" s="8"/>
      <c r="F684" s="356"/>
      <c r="G684" s="8"/>
      <c r="H684" s="8"/>
      <c r="I684" s="8"/>
      <c r="J684" s="8"/>
      <c r="K684" s="8"/>
      <c r="L684" s="8"/>
      <c r="M684" s="8"/>
      <c r="N684" s="8"/>
      <c r="O684" s="8"/>
      <c r="P684" s="8"/>
      <c r="Q684" s="8"/>
      <c r="R684" s="8"/>
      <c r="S684" s="357"/>
      <c r="T684" s="357"/>
      <c r="U684" s="357"/>
      <c r="V684" s="357"/>
      <c r="W684" s="8"/>
      <c r="X684" s="8"/>
      <c r="Y684" s="8"/>
      <c r="Z684" s="8"/>
      <c r="AA684" s="8"/>
      <c r="AB684" s="8"/>
    </row>
    <row r="685">
      <c r="A685" s="8"/>
      <c r="B685" s="8"/>
      <c r="C685" s="8"/>
      <c r="D685" s="8"/>
      <c r="E685" s="8"/>
      <c r="F685" s="356"/>
      <c r="G685" s="8"/>
      <c r="H685" s="8"/>
      <c r="I685" s="8"/>
      <c r="J685" s="8"/>
      <c r="K685" s="8"/>
      <c r="L685" s="8"/>
      <c r="M685" s="8"/>
      <c r="N685" s="8"/>
      <c r="O685" s="8"/>
      <c r="P685" s="8"/>
      <c r="Q685" s="8"/>
      <c r="R685" s="8"/>
      <c r="S685" s="357"/>
      <c r="T685" s="357"/>
      <c r="U685" s="357"/>
      <c r="V685" s="357"/>
      <c r="W685" s="8"/>
      <c r="X685" s="8"/>
      <c r="Y685" s="8"/>
      <c r="Z685" s="8"/>
      <c r="AA685" s="8"/>
      <c r="AB685" s="8"/>
    </row>
    <row r="686">
      <c r="A686" s="8"/>
      <c r="B686" s="8"/>
      <c r="C686" s="8"/>
      <c r="D686" s="8"/>
      <c r="E686" s="8"/>
      <c r="F686" s="356"/>
      <c r="G686" s="8"/>
      <c r="H686" s="8"/>
      <c r="I686" s="8"/>
      <c r="J686" s="8"/>
      <c r="K686" s="8"/>
      <c r="L686" s="8"/>
      <c r="M686" s="8"/>
      <c r="N686" s="8"/>
      <c r="O686" s="8"/>
      <c r="P686" s="8"/>
      <c r="Q686" s="8"/>
      <c r="R686" s="8"/>
      <c r="S686" s="357"/>
      <c r="T686" s="357"/>
      <c r="U686" s="357"/>
      <c r="V686" s="357"/>
      <c r="W686" s="8"/>
      <c r="X686" s="8"/>
      <c r="Y686" s="8"/>
      <c r="Z686" s="8"/>
      <c r="AA686" s="8"/>
      <c r="AB686" s="8"/>
    </row>
    <row r="687">
      <c r="A687" s="8"/>
      <c r="B687" s="8"/>
      <c r="C687" s="8"/>
      <c r="D687" s="8"/>
      <c r="E687" s="8"/>
      <c r="F687" s="356"/>
      <c r="G687" s="8"/>
      <c r="H687" s="8"/>
      <c r="I687" s="8"/>
      <c r="J687" s="8"/>
      <c r="K687" s="8"/>
      <c r="L687" s="8"/>
      <c r="M687" s="8"/>
      <c r="N687" s="8"/>
      <c r="O687" s="8"/>
      <c r="P687" s="8"/>
      <c r="Q687" s="8"/>
      <c r="R687" s="8"/>
      <c r="S687" s="357"/>
      <c r="T687" s="357"/>
      <c r="U687" s="357"/>
      <c r="V687" s="357"/>
      <c r="W687" s="8"/>
      <c r="X687" s="8"/>
      <c r="Y687" s="8"/>
      <c r="Z687" s="8"/>
      <c r="AA687" s="8"/>
      <c r="AB687" s="8"/>
    </row>
    <row r="688">
      <c r="A688" s="8"/>
      <c r="B688" s="8"/>
      <c r="C688" s="8"/>
      <c r="D688" s="8"/>
      <c r="E688" s="8"/>
      <c r="F688" s="356"/>
      <c r="G688" s="8"/>
      <c r="H688" s="8"/>
      <c r="I688" s="8"/>
      <c r="J688" s="8"/>
      <c r="K688" s="8"/>
      <c r="L688" s="8"/>
      <c r="M688" s="8"/>
      <c r="N688" s="8"/>
      <c r="O688" s="8"/>
      <c r="P688" s="8"/>
      <c r="Q688" s="8"/>
      <c r="R688" s="8"/>
      <c r="S688" s="357"/>
      <c r="T688" s="357"/>
      <c r="U688" s="357"/>
      <c r="V688" s="357"/>
      <c r="W688" s="8"/>
      <c r="X688" s="8"/>
      <c r="Y688" s="8"/>
      <c r="Z688" s="8"/>
      <c r="AA688" s="8"/>
      <c r="AB688" s="8"/>
    </row>
    <row r="689">
      <c r="A689" s="8"/>
      <c r="B689" s="8"/>
      <c r="C689" s="8"/>
      <c r="D689" s="8"/>
      <c r="E689" s="8"/>
      <c r="F689" s="356"/>
      <c r="G689" s="8"/>
      <c r="H689" s="8"/>
      <c r="I689" s="8"/>
      <c r="J689" s="8"/>
      <c r="K689" s="8"/>
      <c r="L689" s="8"/>
      <c r="M689" s="8"/>
      <c r="N689" s="8"/>
      <c r="O689" s="8"/>
      <c r="P689" s="8"/>
      <c r="Q689" s="8"/>
      <c r="R689" s="8"/>
      <c r="S689" s="357"/>
      <c r="T689" s="357"/>
      <c r="U689" s="357"/>
      <c r="V689" s="357"/>
      <c r="W689" s="8"/>
      <c r="X689" s="8"/>
      <c r="Y689" s="8"/>
      <c r="Z689" s="8"/>
      <c r="AA689" s="8"/>
      <c r="AB689" s="8"/>
    </row>
    <row r="690">
      <c r="A690" s="8"/>
      <c r="B690" s="8"/>
      <c r="C690" s="8"/>
      <c r="D690" s="8"/>
      <c r="E690" s="8"/>
      <c r="F690" s="356"/>
      <c r="G690" s="8"/>
      <c r="H690" s="8"/>
      <c r="I690" s="8"/>
      <c r="J690" s="8"/>
      <c r="K690" s="8"/>
      <c r="L690" s="8"/>
      <c r="M690" s="8"/>
      <c r="N690" s="8"/>
      <c r="O690" s="8"/>
      <c r="P690" s="8"/>
      <c r="Q690" s="8"/>
      <c r="R690" s="8"/>
      <c r="S690" s="357"/>
      <c r="T690" s="357"/>
      <c r="U690" s="357"/>
      <c r="V690" s="357"/>
      <c r="W690" s="8"/>
      <c r="X690" s="8"/>
      <c r="Y690" s="8"/>
      <c r="Z690" s="8"/>
      <c r="AA690" s="8"/>
      <c r="AB690" s="8"/>
    </row>
    <row r="691">
      <c r="A691" s="8"/>
      <c r="B691" s="8"/>
      <c r="C691" s="8"/>
      <c r="D691" s="8"/>
      <c r="E691" s="8"/>
      <c r="F691" s="356"/>
      <c r="G691" s="8"/>
      <c r="H691" s="8"/>
      <c r="I691" s="8"/>
      <c r="J691" s="8"/>
      <c r="K691" s="8"/>
      <c r="L691" s="8"/>
      <c r="M691" s="8"/>
      <c r="N691" s="8"/>
      <c r="O691" s="8"/>
      <c r="P691" s="8"/>
      <c r="Q691" s="8"/>
      <c r="R691" s="8"/>
      <c r="S691" s="357"/>
      <c r="T691" s="357"/>
      <c r="U691" s="357"/>
      <c r="V691" s="357"/>
      <c r="W691" s="8"/>
      <c r="X691" s="8"/>
      <c r="Y691" s="8"/>
      <c r="Z691" s="8"/>
      <c r="AA691" s="8"/>
      <c r="AB691" s="8"/>
    </row>
    <row r="692">
      <c r="A692" s="8"/>
      <c r="B692" s="8"/>
      <c r="C692" s="8"/>
      <c r="D692" s="8"/>
      <c r="E692" s="8"/>
      <c r="F692" s="356"/>
      <c r="G692" s="8"/>
      <c r="H692" s="8"/>
      <c r="I692" s="8"/>
      <c r="J692" s="8"/>
      <c r="K692" s="8"/>
      <c r="L692" s="8"/>
      <c r="M692" s="8"/>
      <c r="N692" s="8"/>
      <c r="O692" s="8"/>
      <c r="P692" s="8"/>
      <c r="Q692" s="8"/>
      <c r="R692" s="8"/>
      <c r="S692" s="357"/>
      <c r="T692" s="357"/>
      <c r="U692" s="357"/>
      <c r="V692" s="357"/>
      <c r="W692" s="8"/>
      <c r="X692" s="8"/>
      <c r="Y692" s="8"/>
      <c r="Z692" s="8"/>
      <c r="AA692" s="8"/>
      <c r="AB692" s="8"/>
    </row>
    <row r="693">
      <c r="A693" s="8"/>
      <c r="B693" s="8"/>
      <c r="C693" s="8"/>
      <c r="D693" s="8"/>
      <c r="E693" s="8"/>
      <c r="F693" s="356"/>
      <c r="G693" s="8"/>
      <c r="H693" s="8"/>
      <c r="I693" s="8"/>
      <c r="J693" s="8"/>
      <c r="K693" s="8"/>
      <c r="L693" s="8"/>
      <c r="M693" s="8"/>
      <c r="N693" s="8"/>
      <c r="O693" s="8"/>
      <c r="P693" s="8"/>
      <c r="Q693" s="8"/>
      <c r="R693" s="8"/>
      <c r="S693" s="357"/>
      <c r="T693" s="357"/>
      <c r="U693" s="357"/>
      <c r="V693" s="357"/>
      <c r="W693" s="8"/>
      <c r="X693" s="8"/>
      <c r="Y693" s="8"/>
      <c r="Z693" s="8"/>
      <c r="AA693" s="8"/>
      <c r="AB693" s="8"/>
    </row>
    <row r="694">
      <c r="A694" s="8"/>
      <c r="B694" s="8"/>
      <c r="C694" s="8"/>
      <c r="D694" s="8"/>
      <c r="E694" s="8"/>
      <c r="F694" s="356"/>
      <c r="G694" s="8"/>
      <c r="H694" s="8"/>
      <c r="I694" s="8"/>
      <c r="J694" s="8"/>
      <c r="K694" s="8"/>
      <c r="L694" s="8"/>
      <c r="M694" s="8"/>
      <c r="N694" s="8"/>
      <c r="O694" s="8"/>
      <c r="P694" s="8"/>
      <c r="Q694" s="8"/>
      <c r="R694" s="8"/>
      <c r="S694" s="357"/>
      <c r="T694" s="357"/>
      <c r="U694" s="357"/>
      <c r="V694" s="357"/>
      <c r="W694" s="8"/>
      <c r="X694" s="8"/>
      <c r="Y694" s="8"/>
      <c r="Z694" s="8"/>
      <c r="AA694" s="8"/>
      <c r="AB694" s="8"/>
    </row>
    <row r="695">
      <c r="A695" s="8"/>
      <c r="B695" s="8"/>
      <c r="C695" s="8"/>
      <c r="D695" s="8"/>
      <c r="E695" s="8"/>
      <c r="F695" s="356"/>
      <c r="G695" s="8"/>
      <c r="H695" s="8"/>
      <c r="I695" s="8"/>
      <c r="J695" s="8"/>
      <c r="K695" s="8"/>
      <c r="L695" s="8"/>
      <c r="M695" s="8"/>
      <c r="N695" s="8"/>
      <c r="O695" s="8"/>
      <c r="P695" s="8"/>
      <c r="Q695" s="8"/>
      <c r="R695" s="8"/>
      <c r="S695" s="357"/>
      <c r="T695" s="357"/>
      <c r="U695" s="357"/>
      <c r="V695" s="357"/>
      <c r="W695" s="8"/>
      <c r="X695" s="8"/>
      <c r="Y695" s="8"/>
      <c r="Z695" s="8"/>
      <c r="AA695" s="8"/>
      <c r="AB695" s="8"/>
    </row>
    <row r="696">
      <c r="A696" s="8"/>
      <c r="B696" s="8"/>
      <c r="C696" s="8"/>
      <c r="D696" s="8"/>
      <c r="E696" s="8"/>
      <c r="F696" s="356"/>
      <c r="G696" s="8"/>
      <c r="H696" s="8"/>
      <c r="I696" s="8"/>
      <c r="J696" s="8"/>
      <c r="K696" s="8"/>
      <c r="L696" s="8"/>
      <c r="M696" s="8"/>
      <c r="N696" s="8"/>
      <c r="O696" s="8"/>
      <c r="P696" s="8"/>
      <c r="Q696" s="8"/>
      <c r="R696" s="8"/>
      <c r="S696" s="357"/>
      <c r="T696" s="357"/>
      <c r="U696" s="357"/>
      <c r="V696" s="357"/>
      <c r="W696" s="8"/>
      <c r="X696" s="8"/>
      <c r="Y696" s="8"/>
      <c r="Z696" s="8"/>
      <c r="AA696" s="8"/>
      <c r="AB696" s="8"/>
    </row>
    <row r="697">
      <c r="A697" s="8"/>
      <c r="B697" s="8"/>
      <c r="C697" s="8"/>
      <c r="D697" s="8"/>
      <c r="E697" s="8"/>
      <c r="F697" s="356"/>
      <c r="G697" s="8"/>
      <c r="H697" s="8"/>
      <c r="I697" s="8"/>
      <c r="J697" s="8"/>
      <c r="K697" s="8"/>
      <c r="L697" s="8"/>
      <c r="M697" s="8"/>
      <c r="N697" s="8"/>
      <c r="O697" s="8"/>
      <c r="P697" s="8"/>
      <c r="Q697" s="8"/>
      <c r="R697" s="8"/>
      <c r="S697" s="357"/>
      <c r="T697" s="357"/>
      <c r="U697" s="357"/>
      <c r="V697" s="357"/>
      <c r="W697" s="8"/>
      <c r="X697" s="8"/>
      <c r="Y697" s="8"/>
      <c r="Z697" s="8"/>
      <c r="AA697" s="8"/>
      <c r="AB697" s="8"/>
    </row>
    <row r="698">
      <c r="A698" s="8"/>
      <c r="B698" s="8"/>
      <c r="C698" s="8"/>
      <c r="D698" s="8"/>
      <c r="E698" s="8"/>
      <c r="F698" s="356"/>
      <c r="G698" s="8"/>
      <c r="H698" s="8"/>
      <c r="I698" s="8"/>
      <c r="J698" s="8"/>
      <c r="K698" s="8"/>
      <c r="L698" s="8"/>
      <c r="M698" s="8"/>
      <c r="N698" s="8"/>
      <c r="O698" s="8"/>
      <c r="P698" s="8"/>
      <c r="Q698" s="8"/>
      <c r="R698" s="8"/>
      <c r="S698" s="357"/>
      <c r="T698" s="357"/>
      <c r="U698" s="357"/>
      <c r="V698" s="357"/>
      <c r="W698" s="8"/>
      <c r="X698" s="8"/>
      <c r="Y698" s="8"/>
      <c r="Z698" s="8"/>
      <c r="AA698" s="8"/>
      <c r="AB698" s="8"/>
    </row>
    <row r="699">
      <c r="A699" s="8"/>
      <c r="B699" s="8"/>
      <c r="C699" s="8"/>
      <c r="D699" s="8"/>
      <c r="E699" s="8"/>
      <c r="F699" s="356"/>
      <c r="G699" s="8"/>
      <c r="H699" s="8"/>
      <c r="I699" s="8"/>
      <c r="J699" s="8"/>
      <c r="K699" s="8"/>
      <c r="L699" s="8"/>
      <c r="M699" s="8"/>
      <c r="N699" s="8"/>
      <c r="O699" s="8"/>
      <c r="P699" s="8"/>
      <c r="Q699" s="8"/>
      <c r="R699" s="8"/>
      <c r="S699" s="357"/>
      <c r="T699" s="357"/>
      <c r="U699" s="357"/>
      <c r="V699" s="357"/>
      <c r="W699" s="8"/>
      <c r="X699" s="8"/>
      <c r="Y699" s="8"/>
      <c r="Z699" s="8"/>
      <c r="AA699" s="8"/>
      <c r="AB699" s="8"/>
    </row>
    <row r="700">
      <c r="A700" s="8"/>
      <c r="B700" s="8"/>
      <c r="C700" s="8"/>
      <c r="D700" s="8"/>
      <c r="E700" s="8"/>
      <c r="F700" s="356"/>
      <c r="G700" s="8"/>
      <c r="H700" s="8"/>
      <c r="I700" s="8"/>
      <c r="J700" s="8"/>
      <c r="K700" s="8"/>
      <c r="L700" s="8"/>
      <c r="M700" s="8"/>
      <c r="N700" s="8"/>
      <c r="O700" s="8"/>
      <c r="P700" s="8"/>
      <c r="Q700" s="8"/>
      <c r="R700" s="8"/>
      <c r="S700" s="357"/>
      <c r="T700" s="357"/>
      <c r="U700" s="357"/>
      <c r="V700" s="357"/>
      <c r="W700" s="8"/>
      <c r="X700" s="8"/>
      <c r="Y700" s="8"/>
      <c r="Z700" s="8"/>
      <c r="AA700" s="8"/>
      <c r="AB700" s="8"/>
    </row>
    <row r="701">
      <c r="A701" s="8"/>
      <c r="B701" s="8"/>
      <c r="C701" s="8"/>
      <c r="D701" s="8"/>
      <c r="E701" s="8"/>
      <c r="F701" s="356"/>
      <c r="G701" s="8"/>
      <c r="H701" s="8"/>
      <c r="I701" s="8"/>
      <c r="J701" s="8"/>
      <c r="K701" s="8"/>
      <c r="L701" s="8"/>
      <c r="M701" s="8"/>
      <c r="N701" s="8"/>
      <c r="O701" s="8"/>
      <c r="P701" s="8"/>
      <c r="Q701" s="8"/>
      <c r="R701" s="8"/>
      <c r="S701" s="357"/>
      <c r="T701" s="357"/>
      <c r="U701" s="357"/>
      <c r="V701" s="357"/>
      <c r="W701" s="8"/>
      <c r="X701" s="8"/>
      <c r="Y701" s="8"/>
      <c r="Z701" s="8"/>
      <c r="AA701" s="8"/>
      <c r="AB701" s="8"/>
    </row>
    <row r="702">
      <c r="A702" s="8"/>
      <c r="B702" s="8"/>
      <c r="C702" s="8"/>
      <c r="D702" s="8"/>
      <c r="E702" s="8"/>
      <c r="F702" s="356"/>
      <c r="G702" s="8"/>
      <c r="H702" s="8"/>
      <c r="I702" s="8"/>
      <c r="J702" s="8"/>
      <c r="K702" s="8"/>
      <c r="L702" s="8"/>
      <c r="M702" s="8"/>
      <c r="N702" s="8"/>
      <c r="O702" s="8"/>
      <c r="P702" s="8"/>
      <c r="Q702" s="8"/>
      <c r="R702" s="8"/>
      <c r="S702" s="357"/>
      <c r="T702" s="357"/>
      <c r="U702" s="357"/>
      <c r="V702" s="357"/>
      <c r="W702" s="8"/>
      <c r="X702" s="8"/>
      <c r="Y702" s="8"/>
      <c r="Z702" s="8"/>
      <c r="AA702" s="8"/>
      <c r="AB702" s="8"/>
    </row>
    <row r="703">
      <c r="A703" s="8"/>
      <c r="B703" s="8"/>
      <c r="C703" s="8"/>
      <c r="D703" s="8"/>
      <c r="E703" s="8"/>
      <c r="F703" s="356"/>
      <c r="G703" s="8"/>
      <c r="H703" s="8"/>
      <c r="I703" s="8"/>
      <c r="J703" s="8"/>
      <c r="K703" s="8"/>
      <c r="L703" s="8"/>
      <c r="M703" s="8"/>
      <c r="N703" s="8"/>
      <c r="O703" s="8"/>
      <c r="P703" s="8"/>
      <c r="Q703" s="8"/>
      <c r="R703" s="8"/>
      <c r="S703" s="357"/>
      <c r="T703" s="357"/>
      <c r="U703" s="357"/>
      <c r="V703" s="357"/>
      <c r="W703" s="8"/>
      <c r="X703" s="8"/>
      <c r="Y703" s="8"/>
      <c r="Z703" s="8"/>
      <c r="AA703" s="8"/>
      <c r="AB703" s="8"/>
    </row>
    <row r="704">
      <c r="A704" s="8"/>
      <c r="B704" s="8"/>
      <c r="C704" s="8"/>
      <c r="D704" s="8"/>
      <c r="E704" s="8"/>
      <c r="F704" s="356"/>
      <c r="G704" s="8"/>
      <c r="H704" s="8"/>
      <c r="I704" s="8"/>
      <c r="J704" s="8"/>
      <c r="K704" s="8"/>
      <c r="L704" s="8"/>
      <c r="M704" s="8"/>
      <c r="N704" s="8"/>
      <c r="O704" s="8"/>
      <c r="P704" s="8"/>
      <c r="Q704" s="8"/>
      <c r="R704" s="8"/>
      <c r="S704" s="357"/>
      <c r="T704" s="357"/>
      <c r="U704" s="357"/>
      <c r="V704" s="357"/>
      <c r="W704" s="8"/>
      <c r="X704" s="8"/>
      <c r="Y704" s="8"/>
      <c r="Z704" s="8"/>
      <c r="AA704" s="8"/>
      <c r="AB704" s="8"/>
    </row>
    <row r="705">
      <c r="A705" s="8"/>
      <c r="B705" s="8"/>
      <c r="C705" s="8"/>
      <c r="D705" s="8"/>
      <c r="E705" s="8"/>
      <c r="F705" s="356"/>
      <c r="G705" s="8"/>
      <c r="H705" s="8"/>
      <c r="I705" s="8"/>
      <c r="J705" s="8"/>
      <c r="K705" s="8"/>
      <c r="L705" s="8"/>
      <c r="M705" s="8"/>
      <c r="N705" s="8"/>
      <c r="O705" s="8"/>
      <c r="P705" s="8"/>
      <c r="Q705" s="8"/>
      <c r="R705" s="8"/>
      <c r="S705" s="357"/>
      <c r="T705" s="357"/>
      <c r="U705" s="357"/>
      <c r="V705" s="357"/>
      <c r="W705" s="8"/>
      <c r="X705" s="8"/>
      <c r="Y705" s="8"/>
      <c r="Z705" s="8"/>
      <c r="AA705" s="8"/>
      <c r="AB705" s="8"/>
    </row>
    <row r="706">
      <c r="A706" s="8"/>
      <c r="B706" s="8"/>
      <c r="C706" s="8"/>
      <c r="D706" s="8"/>
      <c r="E706" s="8"/>
      <c r="F706" s="356"/>
      <c r="G706" s="8"/>
      <c r="H706" s="8"/>
      <c r="I706" s="8"/>
      <c r="J706" s="8"/>
      <c r="K706" s="8"/>
      <c r="L706" s="8"/>
      <c r="M706" s="8"/>
      <c r="N706" s="8"/>
      <c r="O706" s="8"/>
      <c r="P706" s="8"/>
      <c r="Q706" s="8"/>
      <c r="R706" s="8"/>
      <c r="S706" s="357"/>
      <c r="T706" s="357"/>
      <c r="U706" s="357"/>
      <c r="V706" s="357"/>
      <c r="W706" s="8"/>
      <c r="X706" s="8"/>
      <c r="Y706" s="8"/>
      <c r="Z706" s="8"/>
      <c r="AA706" s="8"/>
      <c r="AB706" s="8"/>
    </row>
    <row r="707">
      <c r="A707" s="8"/>
      <c r="B707" s="8"/>
      <c r="C707" s="8"/>
      <c r="D707" s="8"/>
      <c r="E707" s="8"/>
      <c r="F707" s="356"/>
      <c r="G707" s="8"/>
      <c r="H707" s="8"/>
      <c r="I707" s="8"/>
      <c r="J707" s="8"/>
      <c r="K707" s="8"/>
      <c r="L707" s="8"/>
      <c r="M707" s="8"/>
      <c r="N707" s="8"/>
      <c r="O707" s="8"/>
      <c r="P707" s="8"/>
      <c r="Q707" s="8"/>
      <c r="R707" s="8"/>
      <c r="S707" s="357"/>
      <c r="T707" s="357"/>
      <c r="U707" s="357"/>
      <c r="V707" s="357"/>
      <c r="W707" s="8"/>
      <c r="X707" s="8"/>
      <c r="Y707" s="8"/>
      <c r="Z707" s="8"/>
      <c r="AA707" s="8"/>
      <c r="AB707" s="8"/>
    </row>
    <row r="708">
      <c r="A708" s="8"/>
      <c r="B708" s="8"/>
      <c r="C708" s="8"/>
      <c r="D708" s="8"/>
      <c r="E708" s="8"/>
      <c r="F708" s="356"/>
      <c r="G708" s="8"/>
      <c r="H708" s="8"/>
      <c r="I708" s="8"/>
      <c r="J708" s="8"/>
      <c r="K708" s="8"/>
      <c r="L708" s="8"/>
      <c r="M708" s="8"/>
      <c r="N708" s="8"/>
      <c r="O708" s="8"/>
      <c r="P708" s="8"/>
      <c r="Q708" s="8"/>
      <c r="R708" s="8"/>
      <c r="S708" s="357"/>
      <c r="T708" s="357"/>
      <c r="U708" s="357"/>
      <c r="V708" s="357"/>
      <c r="W708" s="8"/>
      <c r="X708" s="8"/>
      <c r="Y708" s="8"/>
      <c r="Z708" s="8"/>
      <c r="AA708" s="8"/>
      <c r="AB708" s="8"/>
    </row>
    <row r="709">
      <c r="A709" s="8"/>
      <c r="B709" s="8"/>
      <c r="C709" s="8"/>
      <c r="D709" s="8"/>
      <c r="E709" s="8"/>
      <c r="F709" s="356"/>
      <c r="G709" s="8"/>
      <c r="H709" s="8"/>
      <c r="I709" s="8"/>
      <c r="J709" s="8"/>
      <c r="K709" s="8"/>
      <c r="L709" s="8"/>
      <c r="M709" s="8"/>
      <c r="N709" s="8"/>
      <c r="O709" s="8"/>
      <c r="P709" s="8"/>
      <c r="Q709" s="8"/>
      <c r="R709" s="8"/>
      <c r="S709" s="357"/>
      <c r="T709" s="357"/>
      <c r="U709" s="357"/>
      <c r="V709" s="357"/>
      <c r="W709" s="8"/>
      <c r="X709" s="8"/>
      <c r="Y709" s="8"/>
      <c r="Z709" s="8"/>
      <c r="AA709" s="8"/>
      <c r="AB709" s="8"/>
    </row>
    <row r="710">
      <c r="A710" s="8"/>
      <c r="B710" s="8"/>
      <c r="C710" s="8"/>
      <c r="D710" s="8"/>
      <c r="E710" s="8"/>
      <c r="F710" s="356"/>
      <c r="G710" s="8"/>
      <c r="H710" s="8"/>
      <c r="I710" s="8"/>
      <c r="J710" s="8"/>
      <c r="K710" s="8"/>
      <c r="L710" s="8"/>
      <c r="M710" s="8"/>
      <c r="N710" s="8"/>
      <c r="O710" s="8"/>
      <c r="P710" s="8"/>
      <c r="Q710" s="8"/>
      <c r="R710" s="8"/>
      <c r="S710" s="357"/>
      <c r="T710" s="357"/>
      <c r="U710" s="357"/>
      <c r="V710" s="357"/>
      <c r="W710" s="8"/>
      <c r="X710" s="8"/>
      <c r="Y710" s="8"/>
      <c r="Z710" s="8"/>
      <c r="AA710" s="8"/>
      <c r="AB710" s="8"/>
    </row>
    <row r="711">
      <c r="A711" s="8"/>
      <c r="B711" s="8"/>
      <c r="C711" s="8"/>
      <c r="D711" s="8"/>
      <c r="E711" s="8"/>
      <c r="F711" s="356"/>
      <c r="G711" s="8"/>
      <c r="H711" s="8"/>
      <c r="I711" s="8"/>
      <c r="J711" s="8"/>
      <c r="K711" s="8"/>
      <c r="L711" s="8"/>
      <c r="M711" s="8"/>
      <c r="N711" s="8"/>
      <c r="O711" s="8"/>
      <c r="P711" s="8"/>
      <c r="Q711" s="8"/>
      <c r="R711" s="8"/>
      <c r="S711" s="357"/>
      <c r="T711" s="357"/>
      <c r="U711" s="357"/>
      <c r="V711" s="357"/>
      <c r="W711" s="8"/>
      <c r="X711" s="8"/>
      <c r="Y711" s="8"/>
      <c r="Z711" s="8"/>
      <c r="AA711" s="8"/>
      <c r="AB711" s="8"/>
    </row>
    <row r="712">
      <c r="A712" s="8"/>
      <c r="B712" s="8"/>
      <c r="C712" s="8"/>
      <c r="D712" s="8"/>
      <c r="E712" s="8"/>
      <c r="F712" s="356"/>
      <c r="G712" s="8"/>
      <c r="H712" s="8"/>
      <c r="I712" s="8"/>
      <c r="J712" s="8"/>
      <c r="K712" s="8"/>
      <c r="L712" s="8"/>
      <c r="M712" s="8"/>
      <c r="N712" s="8"/>
      <c r="O712" s="8"/>
      <c r="P712" s="8"/>
      <c r="Q712" s="8"/>
      <c r="R712" s="8"/>
      <c r="S712" s="357"/>
      <c r="T712" s="357"/>
      <c r="U712" s="357"/>
      <c r="V712" s="357"/>
      <c r="W712" s="8"/>
      <c r="X712" s="8"/>
      <c r="Y712" s="8"/>
      <c r="Z712" s="8"/>
      <c r="AA712" s="8"/>
      <c r="AB712" s="8"/>
    </row>
    <row r="713">
      <c r="A713" s="8"/>
      <c r="B713" s="8"/>
      <c r="C713" s="8"/>
      <c r="D713" s="8"/>
      <c r="E713" s="8"/>
      <c r="F713" s="356"/>
      <c r="G713" s="8"/>
      <c r="H713" s="8"/>
      <c r="I713" s="8"/>
      <c r="J713" s="8"/>
      <c r="K713" s="8"/>
      <c r="L713" s="8"/>
      <c r="M713" s="8"/>
      <c r="N713" s="8"/>
      <c r="O713" s="8"/>
      <c r="P713" s="8"/>
      <c r="Q713" s="8"/>
      <c r="R713" s="8"/>
      <c r="S713" s="357"/>
      <c r="T713" s="357"/>
      <c r="U713" s="357"/>
      <c r="V713" s="357"/>
      <c r="W713" s="8"/>
      <c r="X713" s="8"/>
      <c r="Y713" s="8"/>
      <c r="Z713" s="8"/>
      <c r="AA713" s="8"/>
      <c r="AB713" s="8"/>
    </row>
    <row r="714">
      <c r="A714" s="8"/>
      <c r="B714" s="8"/>
      <c r="C714" s="8"/>
      <c r="D714" s="8"/>
      <c r="E714" s="8"/>
      <c r="F714" s="356"/>
      <c r="G714" s="8"/>
      <c r="H714" s="8"/>
      <c r="I714" s="8"/>
      <c r="J714" s="8"/>
      <c r="K714" s="8"/>
      <c r="L714" s="8"/>
      <c r="M714" s="8"/>
      <c r="N714" s="8"/>
      <c r="O714" s="8"/>
      <c r="P714" s="8"/>
      <c r="Q714" s="8"/>
      <c r="R714" s="8"/>
      <c r="S714" s="357"/>
      <c r="T714" s="357"/>
      <c r="U714" s="357"/>
      <c r="V714" s="357"/>
      <c r="W714" s="8"/>
      <c r="X714" s="8"/>
      <c r="Y714" s="8"/>
      <c r="Z714" s="8"/>
      <c r="AA714" s="8"/>
      <c r="AB714" s="8"/>
    </row>
    <row r="715">
      <c r="A715" s="8"/>
      <c r="B715" s="8"/>
      <c r="C715" s="8"/>
      <c r="D715" s="8"/>
      <c r="E715" s="8"/>
      <c r="F715" s="356"/>
      <c r="G715" s="8"/>
      <c r="H715" s="8"/>
      <c r="I715" s="8"/>
      <c r="J715" s="8"/>
      <c r="K715" s="8"/>
      <c r="L715" s="8"/>
      <c r="M715" s="8"/>
      <c r="N715" s="8"/>
      <c r="O715" s="8"/>
      <c r="P715" s="8"/>
      <c r="Q715" s="8"/>
      <c r="R715" s="8"/>
      <c r="S715" s="357"/>
      <c r="T715" s="357"/>
      <c r="U715" s="357"/>
      <c r="V715" s="357"/>
      <c r="W715" s="8"/>
      <c r="X715" s="8"/>
      <c r="Y715" s="8"/>
      <c r="Z715" s="8"/>
      <c r="AA715" s="8"/>
      <c r="AB715" s="8"/>
    </row>
    <row r="716">
      <c r="A716" s="8"/>
      <c r="B716" s="8"/>
      <c r="C716" s="8"/>
      <c r="D716" s="8"/>
      <c r="E716" s="8"/>
      <c r="F716" s="356"/>
      <c r="G716" s="8"/>
      <c r="H716" s="8"/>
      <c r="I716" s="8"/>
      <c r="J716" s="8"/>
      <c r="K716" s="8"/>
      <c r="L716" s="8"/>
      <c r="M716" s="8"/>
      <c r="N716" s="8"/>
      <c r="O716" s="8"/>
      <c r="P716" s="8"/>
      <c r="Q716" s="8"/>
      <c r="R716" s="8"/>
      <c r="S716" s="357"/>
      <c r="T716" s="357"/>
      <c r="U716" s="357"/>
      <c r="V716" s="357"/>
      <c r="W716" s="8"/>
      <c r="X716" s="8"/>
      <c r="Y716" s="8"/>
      <c r="Z716" s="8"/>
      <c r="AA716" s="8"/>
      <c r="AB716" s="8"/>
    </row>
    <row r="717">
      <c r="A717" s="8"/>
      <c r="B717" s="8"/>
      <c r="C717" s="8"/>
      <c r="D717" s="8"/>
      <c r="E717" s="8"/>
      <c r="F717" s="356"/>
      <c r="G717" s="8"/>
      <c r="H717" s="8"/>
      <c r="I717" s="8"/>
      <c r="J717" s="8"/>
      <c r="K717" s="8"/>
      <c r="L717" s="8"/>
      <c r="M717" s="8"/>
      <c r="N717" s="8"/>
      <c r="O717" s="8"/>
      <c r="P717" s="8"/>
      <c r="Q717" s="8"/>
      <c r="R717" s="8"/>
      <c r="S717" s="357"/>
      <c r="T717" s="357"/>
      <c r="U717" s="357"/>
      <c r="V717" s="357"/>
      <c r="W717" s="8"/>
      <c r="X717" s="8"/>
      <c r="Y717" s="8"/>
      <c r="Z717" s="8"/>
      <c r="AA717" s="8"/>
      <c r="AB717" s="8"/>
    </row>
    <row r="718">
      <c r="A718" s="8"/>
      <c r="B718" s="8"/>
      <c r="C718" s="8"/>
      <c r="D718" s="8"/>
      <c r="E718" s="8"/>
      <c r="F718" s="356"/>
      <c r="G718" s="8"/>
      <c r="H718" s="8"/>
      <c r="I718" s="8"/>
      <c r="J718" s="8"/>
      <c r="K718" s="8"/>
      <c r="L718" s="8"/>
      <c r="M718" s="8"/>
      <c r="N718" s="8"/>
      <c r="O718" s="8"/>
      <c r="P718" s="8"/>
      <c r="Q718" s="8"/>
      <c r="R718" s="8"/>
      <c r="S718" s="357"/>
      <c r="T718" s="357"/>
      <c r="U718" s="357"/>
      <c r="V718" s="357"/>
      <c r="W718" s="8"/>
      <c r="X718" s="8"/>
      <c r="Y718" s="8"/>
      <c r="Z718" s="8"/>
      <c r="AA718" s="8"/>
      <c r="AB718" s="8"/>
    </row>
    <row r="719">
      <c r="A719" s="8"/>
      <c r="B719" s="8"/>
      <c r="C719" s="8"/>
      <c r="D719" s="8"/>
      <c r="E719" s="8"/>
      <c r="F719" s="356"/>
      <c r="G719" s="8"/>
      <c r="H719" s="8"/>
      <c r="I719" s="8"/>
      <c r="J719" s="8"/>
      <c r="K719" s="8"/>
      <c r="L719" s="8"/>
      <c r="M719" s="8"/>
      <c r="N719" s="8"/>
      <c r="O719" s="8"/>
      <c r="P719" s="8"/>
      <c r="Q719" s="8"/>
      <c r="R719" s="8"/>
      <c r="S719" s="357"/>
      <c r="T719" s="357"/>
      <c r="U719" s="357"/>
      <c r="V719" s="357"/>
      <c r="W719" s="8"/>
      <c r="X719" s="8"/>
      <c r="Y719" s="8"/>
      <c r="Z719" s="8"/>
      <c r="AA719" s="8"/>
      <c r="AB719" s="8"/>
    </row>
    <row r="720">
      <c r="A720" s="8"/>
      <c r="B720" s="8"/>
      <c r="C720" s="8"/>
      <c r="D720" s="8"/>
      <c r="E720" s="8"/>
      <c r="F720" s="356"/>
      <c r="G720" s="8"/>
      <c r="H720" s="8"/>
      <c r="I720" s="8"/>
      <c r="J720" s="8"/>
      <c r="K720" s="8"/>
      <c r="L720" s="8"/>
      <c r="M720" s="8"/>
      <c r="N720" s="8"/>
      <c r="O720" s="8"/>
      <c r="P720" s="8"/>
      <c r="Q720" s="8"/>
      <c r="R720" s="8"/>
      <c r="S720" s="357"/>
      <c r="T720" s="357"/>
      <c r="U720" s="357"/>
      <c r="V720" s="357"/>
      <c r="W720" s="8"/>
      <c r="X720" s="8"/>
      <c r="Y720" s="8"/>
      <c r="Z720" s="8"/>
      <c r="AA720" s="8"/>
      <c r="AB720" s="8"/>
    </row>
    <row r="721">
      <c r="A721" s="8"/>
      <c r="B721" s="8"/>
      <c r="C721" s="8"/>
      <c r="D721" s="8"/>
      <c r="E721" s="8"/>
      <c r="F721" s="356"/>
      <c r="G721" s="8"/>
      <c r="H721" s="8"/>
      <c r="I721" s="8"/>
      <c r="J721" s="8"/>
      <c r="K721" s="8"/>
      <c r="L721" s="8"/>
      <c r="M721" s="8"/>
      <c r="N721" s="8"/>
      <c r="O721" s="8"/>
      <c r="P721" s="8"/>
      <c r="Q721" s="8"/>
      <c r="R721" s="8"/>
      <c r="S721" s="357"/>
      <c r="T721" s="357"/>
      <c r="U721" s="357"/>
      <c r="V721" s="357"/>
      <c r="W721" s="8"/>
      <c r="X721" s="8"/>
      <c r="Y721" s="8"/>
      <c r="Z721" s="8"/>
      <c r="AA721" s="8"/>
      <c r="AB721" s="8"/>
    </row>
    <row r="722">
      <c r="A722" s="8"/>
      <c r="B722" s="8"/>
      <c r="C722" s="8"/>
      <c r="D722" s="8"/>
      <c r="E722" s="8"/>
      <c r="F722" s="356"/>
      <c r="G722" s="8"/>
      <c r="H722" s="8"/>
      <c r="I722" s="8"/>
      <c r="J722" s="8"/>
      <c r="K722" s="8"/>
      <c r="L722" s="8"/>
      <c r="M722" s="8"/>
      <c r="N722" s="8"/>
      <c r="O722" s="8"/>
      <c r="P722" s="8"/>
      <c r="Q722" s="8"/>
      <c r="R722" s="8"/>
      <c r="S722" s="357"/>
      <c r="T722" s="357"/>
      <c r="U722" s="357"/>
      <c r="V722" s="357"/>
      <c r="W722" s="8"/>
      <c r="X722" s="8"/>
      <c r="Y722" s="8"/>
      <c r="Z722" s="8"/>
      <c r="AA722" s="8"/>
      <c r="AB722" s="8"/>
    </row>
    <row r="723">
      <c r="A723" s="8"/>
      <c r="B723" s="8"/>
      <c r="C723" s="8"/>
      <c r="D723" s="8"/>
      <c r="E723" s="8"/>
      <c r="F723" s="356"/>
      <c r="G723" s="8"/>
      <c r="H723" s="8"/>
      <c r="I723" s="8"/>
      <c r="J723" s="8"/>
      <c r="K723" s="8"/>
      <c r="L723" s="8"/>
      <c r="M723" s="8"/>
      <c r="N723" s="8"/>
      <c r="O723" s="8"/>
      <c r="P723" s="8"/>
      <c r="Q723" s="8"/>
      <c r="R723" s="8"/>
      <c r="S723" s="357"/>
      <c r="T723" s="357"/>
      <c r="U723" s="357"/>
      <c r="V723" s="357"/>
      <c r="W723" s="8"/>
      <c r="X723" s="8"/>
      <c r="Y723" s="8"/>
      <c r="Z723" s="8"/>
      <c r="AA723" s="8"/>
      <c r="AB723" s="8"/>
    </row>
    <row r="724">
      <c r="A724" s="8"/>
      <c r="B724" s="8"/>
      <c r="C724" s="8"/>
      <c r="D724" s="8"/>
      <c r="E724" s="8"/>
      <c r="F724" s="356"/>
      <c r="G724" s="8"/>
      <c r="H724" s="8"/>
      <c r="I724" s="8"/>
      <c r="J724" s="8"/>
      <c r="K724" s="8"/>
      <c r="L724" s="8"/>
      <c r="M724" s="8"/>
      <c r="N724" s="8"/>
      <c r="O724" s="8"/>
      <c r="P724" s="8"/>
      <c r="Q724" s="8"/>
      <c r="R724" s="8"/>
      <c r="S724" s="357"/>
      <c r="T724" s="357"/>
      <c r="U724" s="357"/>
      <c r="V724" s="357"/>
      <c r="W724" s="8"/>
      <c r="X724" s="8"/>
      <c r="Y724" s="8"/>
      <c r="Z724" s="8"/>
      <c r="AA724" s="8"/>
      <c r="AB724" s="8"/>
    </row>
    <row r="725">
      <c r="A725" s="8"/>
      <c r="B725" s="8"/>
      <c r="C725" s="8"/>
      <c r="D725" s="8"/>
      <c r="E725" s="8"/>
      <c r="F725" s="356"/>
      <c r="G725" s="8"/>
      <c r="H725" s="8"/>
      <c r="I725" s="8"/>
      <c r="J725" s="8"/>
      <c r="K725" s="8"/>
      <c r="L725" s="8"/>
      <c r="M725" s="8"/>
      <c r="N725" s="8"/>
      <c r="O725" s="8"/>
      <c r="P725" s="8"/>
      <c r="Q725" s="8"/>
      <c r="R725" s="8"/>
      <c r="S725" s="357"/>
      <c r="T725" s="357"/>
      <c r="U725" s="357"/>
      <c r="V725" s="357"/>
      <c r="W725" s="8"/>
      <c r="X725" s="8"/>
      <c r="Y725" s="8"/>
      <c r="Z725" s="8"/>
      <c r="AA725" s="8"/>
      <c r="AB725" s="8"/>
    </row>
    <row r="726">
      <c r="A726" s="8"/>
      <c r="B726" s="8"/>
      <c r="C726" s="8"/>
      <c r="D726" s="8"/>
      <c r="E726" s="8"/>
      <c r="F726" s="356"/>
      <c r="G726" s="8"/>
      <c r="H726" s="8"/>
      <c r="I726" s="8"/>
      <c r="J726" s="8"/>
      <c r="K726" s="8"/>
      <c r="L726" s="8"/>
      <c r="M726" s="8"/>
      <c r="N726" s="8"/>
      <c r="O726" s="8"/>
      <c r="P726" s="8"/>
      <c r="Q726" s="8"/>
      <c r="R726" s="8"/>
      <c r="S726" s="357"/>
      <c r="T726" s="357"/>
      <c r="U726" s="357"/>
      <c r="V726" s="357"/>
      <c r="W726" s="8"/>
      <c r="X726" s="8"/>
      <c r="Y726" s="8"/>
      <c r="Z726" s="8"/>
      <c r="AA726" s="8"/>
      <c r="AB726" s="8"/>
    </row>
    <row r="727">
      <c r="A727" s="8"/>
      <c r="B727" s="8"/>
      <c r="C727" s="8"/>
      <c r="D727" s="8"/>
      <c r="E727" s="8"/>
      <c r="F727" s="356"/>
      <c r="G727" s="8"/>
      <c r="H727" s="8"/>
      <c r="I727" s="8"/>
      <c r="J727" s="8"/>
      <c r="K727" s="8"/>
      <c r="L727" s="8"/>
      <c r="M727" s="8"/>
      <c r="N727" s="8"/>
      <c r="O727" s="8"/>
      <c r="P727" s="8"/>
      <c r="Q727" s="8"/>
      <c r="R727" s="8"/>
      <c r="S727" s="357"/>
      <c r="T727" s="357"/>
      <c r="U727" s="357"/>
      <c r="V727" s="357"/>
      <c r="W727" s="8"/>
      <c r="X727" s="8"/>
      <c r="Y727" s="8"/>
      <c r="Z727" s="8"/>
      <c r="AA727" s="8"/>
      <c r="AB727" s="8"/>
    </row>
    <row r="728">
      <c r="A728" s="8"/>
      <c r="B728" s="8"/>
      <c r="C728" s="8"/>
      <c r="D728" s="8"/>
      <c r="E728" s="8"/>
      <c r="F728" s="356"/>
      <c r="G728" s="8"/>
      <c r="H728" s="8"/>
      <c r="I728" s="8"/>
      <c r="J728" s="8"/>
      <c r="K728" s="8"/>
      <c r="L728" s="8"/>
      <c r="M728" s="8"/>
      <c r="N728" s="8"/>
      <c r="O728" s="8"/>
      <c r="P728" s="8"/>
      <c r="Q728" s="8"/>
      <c r="R728" s="8"/>
      <c r="S728" s="357"/>
      <c r="T728" s="357"/>
      <c r="U728" s="357"/>
      <c r="V728" s="357"/>
      <c r="W728" s="8"/>
      <c r="X728" s="8"/>
      <c r="Y728" s="8"/>
      <c r="Z728" s="8"/>
      <c r="AA728" s="8"/>
      <c r="AB728" s="8"/>
    </row>
    <row r="729">
      <c r="A729" s="8"/>
      <c r="B729" s="8"/>
      <c r="C729" s="8"/>
      <c r="D729" s="8"/>
      <c r="E729" s="8"/>
      <c r="F729" s="356"/>
      <c r="G729" s="8"/>
      <c r="H729" s="8"/>
      <c r="I729" s="8"/>
      <c r="J729" s="8"/>
      <c r="K729" s="8"/>
      <c r="L729" s="8"/>
      <c r="M729" s="8"/>
      <c r="N729" s="8"/>
      <c r="O729" s="8"/>
      <c r="P729" s="8"/>
      <c r="Q729" s="8"/>
      <c r="R729" s="8"/>
      <c r="S729" s="357"/>
      <c r="T729" s="357"/>
      <c r="U729" s="357"/>
      <c r="V729" s="357"/>
      <c r="W729" s="8"/>
      <c r="X729" s="8"/>
      <c r="Y729" s="8"/>
      <c r="Z729" s="8"/>
      <c r="AA729" s="8"/>
      <c r="AB729" s="8"/>
    </row>
    <row r="730">
      <c r="A730" s="8"/>
      <c r="B730" s="8"/>
      <c r="C730" s="8"/>
      <c r="D730" s="8"/>
      <c r="E730" s="8"/>
      <c r="F730" s="356"/>
      <c r="G730" s="8"/>
      <c r="H730" s="8"/>
      <c r="I730" s="8"/>
      <c r="J730" s="8"/>
      <c r="K730" s="8"/>
      <c r="L730" s="8"/>
      <c r="M730" s="8"/>
      <c r="N730" s="8"/>
      <c r="O730" s="8"/>
      <c r="P730" s="8"/>
      <c r="Q730" s="8"/>
      <c r="R730" s="8"/>
      <c r="S730" s="357"/>
      <c r="T730" s="357"/>
      <c r="U730" s="357"/>
      <c r="V730" s="357"/>
      <c r="W730" s="8"/>
      <c r="X730" s="8"/>
      <c r="Y730" s="8"/>
      <c r="Z730" s="8"/>
      <c r="AA730" s="8"/>
      <c r="AB730" s="8"/>
    </row>
    <row r="731">
      <c r="A731" s="8"/>
      <c r="B731" s="8"/>
      <c r="C731" s="8"/>
      <c r="D731" s="8"/>
      <c r="E731" s="8"/>
      <c r="F731" s="356"/>
      <c r="G731" s="8"/>
      <c r="H731" s="8"/>
      <c r="I731" s="8"/>
      <c r="J731" s="8"/>
      <c r="K731" s="8"/>
      <c r="L731" s="8"/>
      <c r="M731" s="8"/>
      <c r="N731" s="8"/>
      <c r="O731" s="8"/>
      <c r="P731" s="8"/>
      <c r="Q731" s="8"/>
      <c r="R731" s="8"/>
      <c r="S731" s="357"/>
      <c r="T731" s="357"/>
      <c r="U731" s="357"/>
      <c r="V731" s="357"/>
      <c r="W731" s="8"/>
      <c r="X731" s="8"/>
      <c r="Y731" s="8"/>
      <c r="Z731" s="8"/>
      <c r="AA731" s="8"/>
      <c r="AB731" s="8"/>
    </row>
    <row r="732">
      <c r="A732" s="8"/>
      <c r="B732" s="8"/>
      <c r="C732" s="8"/>
      <c r="D732" s="8"/>
      <c r="E732" s="8"/>
      <c r="F732" s="356"/>
      <c r="G732" s="8"/>
      <c r="H732" s="8"/>
      <c r="I732" s="8"/>
      <c r="J732" s="8"/>
      <c r="K732" s="8"/>
      <c r="L732" s="8"/>
      <c r="M732" s="8"/>
      <c r="N732" s="8"/>
      <c r="O732" s="8"/>
      <c r="P732" s="8"/>
      <c r="Q732" s="8"/>
      <c r="R732" s="8"/>
      <c r="S732" s="357"/>
      <c r="T732" s="357"/>
      <c r="U732" s="357"/>
      <c r="V732" s="357"/>
      <c r="W732" s="8"/>
      <c r="X732" s="8"/>
      <c r="Y732" s="8"/>
      <c r="Z732" s="8"/>
      <c r="AA732" s="8"/>
      <c r="AB732" s="8"/>
    </row>
    <row r="733">
      <c r="A733" s="8"/>
      <c r="B733" s="8"/>
      <c r="C733" s="8"/>
      <c r="D733" s="8"/>
      <c r="E733" s="8"/>
      <c r="F733" s="356"/>
      <c r="G733" s="8"/>
      <c r="H733" s="8"/>
      <c r="I733" s="8"/>
      <c r="J733" s="8"/>
      <c r="K733" s="8"/>
      <c r="L733" s="8"/>
      <c r="M733" s="8"/>
      <c r="N733" s="8"/>
      <c r="O733" s="8"/>
      <c r="P733" s="8"/>
      <c r="Q733" s="8"/>
      <c r="R733" s="8"/>
      <c r="S733" s="357"/>
      <c r="T733" s="357"/>
      <c r="U733" s="357"/>
      <c r="V733" s="357"/>
      <c r="W733" s="8"/>
      <c r="X733" s="8"/>
      <c r="Y733" s="8"/>
      <c r="Z733" s="8"/>
      <c r="AA733" s="8"/>
      <c r="AB733" s="8"/>
    </row>
    <row r="734">
      <c r="A734" s="8"/>
      <c r="B734" s="8"/>
      <c r="C734" s="8"/>
      <c r="D734" s="8"/>
      <c r="E734" s="8"/>
      <c r="F734" s="356"/>
      <c r="G734" s="8"/>
      <c r="H734" s="8"/>
      <c r="I734" s="8"/>
      <c r="J734" s="8"/>
      <c r="K734" s="8"/>
      <c r="L734" s="8"/>
      <c r="M734" s="8"/>
      <c r="N734" s="8"/>
      <c r="O734" s="8"/>
      <c r="P734" s="8"/>
      <c r="Q734" s="8"/>
      <c r="R734" s="8"/>
      <c r="S734" s="357"/>
      <c r="T734" s="357"/>
      <c r="U734" s="357"/>
      <c r="V734" s="357"/>
      <c r="W734" s="8"/>
      <c r="X734" s="8"/>
      <c r="Y734" s="8"/>
      <c r="Z734" s="8"/>
      <c r="AA734" s="8"/>
      <c r="AB734" s="8"/>
    </row>
    <row r="735">
      <c r="A735" s="8"/>
      <c r="B735" s="8"/>
      <c r="C735" s="8"/>
      <c r="D735" s="8"/>
      <c r="E735" s="8"/>
      <c r="F735" s="356"/>
      <c r="G735" s="8"/>
      <c r="H735" s="8"/>
      <c r="I735" s="8"/>
      <c r="J735" s="8"/>
      <c r="K735" s="8"/>
      <c r="L735" s="8"/>
      <c r="M735" s="8"/>
      <c r="N735" s="8"/>
      <c r="O735" s="8"/>
      <c r="P735" s="8"/>
      <c r="Q735" s="8"/>
      <c r="R735" s="8"/>
      <c r="S735" s="357"/>
      <c r="T735" s="357"/>
      <c r="U735" s="357"/>
      <c r="V735" s="357"/>
      <c r="W735" s="8"/>
      <c r="X735" s="8"/>
      <c r="Y735" s="8"/>
      <c r="Z735" s="8"/>
      <c r="AA735" s="8"/>
      <c r="AB735" s="8"/>
    </row>
    <row r="736">
      <c r="A736" s="8"/>
      <c r="B736" s="8"/>
      <c r="C736" s="8"/>
      <c r="D736" s="8"/>
      <c r="E736" s="8"/>
      <c r="F736" s="356"/>
      <c r="G736" s="8"/>
      <c r="H736" s="8"/>
      <c r="I736" s="8"/>
      <c r="J736" s="8"/>
      <c r="K736" s="8"/>
      <c r="L736" s="8"/>
      <c r="M736" s="8"/>
      <c r="N736" s="8"/>
      <c r="O736" s="8"/>
      <c r="P736" s="8"/>
      <c r="Q736" s="8"/>
      <c r="R736" s="8"/>
      <c r="S736" s="357"/>
      <c r="T736" s="357"/>
      <c r="U736" s="357"/>
      <c r="V736" s="357"/>
      <c r="W736" s="8"/>
      <c r="X736" s="8"/>
      <c r="Y736" s="8"/>
      <c r="Z736" s="8"/>
      <c r="AA736" s="8"/>
      <c r="AB736" s="8"/>
    </row>
    <row r="737">
      <c r="A737" s="8"/>
      <c r="B737" s="8"/>
      <c r="C737" s="8"/>
      <c r="D737" s="8"/>
      <c r="E737" s="8"/>
      <c r="F737" s="356"/>
      <c r="G737" s="8"/>
      <c r="H737" s="8"/>
      <c r="I737" s="8"/>
      <c r="J737" s="8"/>
      <c r="K737" s="8"/>
      <c r="L737" s="8"/>
      <c r="M737" s="8"/>
      <c r="N737" s="8"/>
      <c r="O737" s="8"/>
      <c r="P737" s="8"/>
      <c r="Q737" s="8"/>
      <c r="R737" s="8"/>
      <c r="S737" s="357"/>
      <c r="T737" s="357"/>
      <c r="U737" s="357"/>
      <c r="V737" s="357"/>
      <c r="W737" s="8"/>
      <c r="X737" s="8"/>
      <c r="Y737" s="8"/>
      <c r="Z737" s="8"/>
      <c r="AA737" s="8"/>
      <c r="AB737" s="8"/>
    </row>
    <row r="738">
      <c r="A738" s="8"/>
      <c r="B738" s="8"/>
      <c r="C738" s="8"/>
      <c r="D738" s="8"/>
      <c r="E738" s="8"/>
      <c r="F738" s="356"/>
      <c r="G738" s="8"/>
      <c r="H738" s="8"/>
      <c r="I738" s="8"/>
      <c r="J738" s="8"/>
      <c r="K738" s="8"/>
      <c r="L738" s="8"/>
      <c r="M738" s="8"/>
      <c r="N738" s="8"/>
      <c r="O738" s="8"/>
      <c r="P738" s="8"/>
      <c r="Q738" s="8"/>
      <c r="R738" s="8"/>
      <c r="S738" s="357"/>
      <c r="T738" s="357"/>
      <c r="U738" s="357"/>
      <c r="V738" s="357"/>
      <c r="W738" s="8"/>
      <c r="X738" s="8"/>
      <c r="Y738" s="8"/>
      <c r="Z738" s="8"/>
      <c r="AA738" s="8"/>
      <c r="AB738" s="8"/>
    </row>
    <row r="739">
      <c r="A739" s="8"/>
      <c r="B739" s="8"/>
      <c r="C739" s="8"/>
      <c r="D739" s="8"/>
      <c r="E739" s="8"/>
      <c r="F739" s="356"/>
      <c r="G739" s="8"/>
      <c r="H739" s="8"/>
      <c r="I739" s="8"/>
      <c r="J739" s="8"/>
      <c r="K739" s="8"/>
      <c r="L739" s="8"/>
      <c r="M739" s="8"/>
      <c r="N739" s="8"/>
      <c r="O739" s="8"/>
      <c r="P739" s="8"/>
      <c r="Q739" s="8"/>
      <c r="R739" s="8"/>
      <c r="S739" s="357"/>
      <c r="T739" s="357"/>
      <c r="U739" s="357"/>
      <c r="V739" s="357"/>
      <c r="W739" s="8"/>
      <c r="X739" s="8"/>
      <c r="Y739" s="8"/>
      <c r="Z739" s="8"/>
      <c r="AA739" s="8"/>
      <c r="AB739" s="8"/>
    </row>
    <row r="740">
      <c r="A740" s="8"/>
      <c r="B740" s="8"/>
      <c r="C740" s="8"/>
      <c r="D740" s="8"/>
      <c r="E740" s="8"/>
      <c r="F740" s="356"/>
      <c r="G740" s="8"/>
      <c r="H740" s="8"/>
      <c r="I740" s="8"/>
      <c r="J740" s="8"/>
      <c r="K740" s="8"/>
      <c r="L740" s="8"/>
      <c r="M740" s="8"/>
      <c r="N740" s="8"/>
      <c r="O740" s="8"/>
      <c r="P740" s="8"/>
      <c r="Q740" s="8"/>
      <c r="R740" s="8"/>
      <c r="S740" s="357"/>
      <c r="T740" s="357"/>
      <c r="U740" s="357"/>
      <c r="V740" s="357"/>
      <c r="W740" s="8"/>
      <c r="X740" s="8"/>
      <c r="Y740" s="8"/>
      <c r="Z740" s="8"/>
      <c r="AA740" s="8"/>
      <c r="AB740" s="8"/>
    </row>
    <row r="741">
      <c r="A741" s="8"/>
      <c r="B741" s="8"/>
      <c r="C741" s="8"/>
      <c r="D741" s="8"/>
      <c r="E741" s="8"/>
      <c r="F741" s="356"/>
      <c r="G741" s="8"/>
      <c r="H741" s="8"/>
      <c r="I741" s="8"/>
      <c r="J741" s="8"/>
      <c r="K741" s="8"/>
      <c r="L741" s="8"/>
      <c r="M741" s="8"/>
      <c r="N741" s="8"/>
      <c r="O741" s="8"/>
      <c r="P741" s="8"/>
      <c r="Q741" s="8"/>
      <c r="R741" s="8"/>
      <c r="S741" s="357"/>
      <c r="T741" s="357"/>
      <c r="U741" s="357"/>
      <c r="V741" s="357"/>
      <c r="W741" s="8"/>
      <c r="X741" s="8"/>
      <c r="Y741" s="8"/>
      <c r="Z741" s="8"/>
      <c r="AA741" s="8"/>
      <c r="AB741" s="8"/>
    </row>
    <row r="742">
      <c r="A742" s="8"/>
      <c r="B742" s="8"/>
      <c r="C742" s="8"/>
      <c r="D742" s="8"/>
      <c r="E742" s="8"/>
      <c r="F742" s="356"/>
      <c r="G742" s="8"/>
      <c r="H742" s="8"/>
      <c r="I742" s="8"/>
      <c r="J742" s="8"/>
      <c r="K742" s="8"/>
      <c r="L742" s="8"/>
      <c r="M742" s="8"/>
      <c r="N742" s="8"/>
      <c r="O742" s="8"/>
      <c r="P742" s="8"/>
      <c r="Q742" s="8"/>
      <c r="R742" s="8"/>
      <c r="S742" s="357"/>
      <c r="T742" s="357"/>
      <c r="U742" s="357"/>
      <c r="V742" s="357"/>
      <c r="W742" s="8"/>
      <c r="X742" s="8"/>
      <c r="Y742" s="8"/>
      <c r="Z742" s="8"/>
      <c r="AA742" s="8"/>
      <c r="AB742" s="8"/>
    </row>
    <row r="743">
      <c r="A743" s="8"/>
      <c r="B743" s="8"/>
      <c r="C743" s="8"/>
      <c r="D743" s="8"/>
      <c r="E743" s="8"/>
      <c r="F743" s="356"/>
      <c r="G743" s="8"/>
      <c r="H743" s="8"/>
      <c r="I743" s="8"/>
      <c r="J743" s="8"/>
      <c r="K743" s="8"/>
      <c r="L743" s="8"/>
      <c r="M743" s="8"/>
      <c r="N743" s="8"/>
      <c r="O743" s="8"/>
      <c r="P743" s="8"/>
      <c r="Q743" s="8"/>
      <c r="R743" s="8"/>
      <c r="S743" s="357"/>
      <c r="T743" s="357"/>
      <c r="U743" s="357"/>
      <c r="V743" s="357"/>
      <c r="W743" s="8"/>
      <c r="X743" s="8"/>
      <c r="Y743" s="8"/>
      <c r="Z743" s="8"/>
      <c r="AA743" s="8"/>
      <c r="AB743" s="8"/>
    </row>
    <row r="744">
      <c r="A744" s="8"/>
      <c r="B744" s="8"/>
      <c r="C744" s="8"/>
      <c r="D744" s="8"/>
      <c r="E744" s="8"/>
      <c r="F744" s="356"/>
      <c r="G744" s="8"/>
      <c r="H744" s="8"/>
      <c r="I744" s="8"/>
      <c r="J744" s="8"/>
      <c r="K744" s="8"/>
      <c r="L744" s="8"/>
      <c r="M744" s="8"/>
      <c r="N744" s="8"/>
      <c r="O744" s="8"/>
      <c r="P744" s="8"/>
      <c r="Q744" s="8"/>
      <c r="R744" s="8"/>
      <c r="S744" s="357"/>
      <c r="T744" s="357"/>
      <c r="U744" s="357"/>
      <c r="V744" s="357"/>
      <c r="W744" s="8"/>
      <c r="X744" s="8"/>
      <c r="Y744" s="8"/>
      <c r="Z744" s="8"/>
      <c r="AA744" s="8"/>
      <c r="AB744" s="8"/>
    </row>
    <row r="745">
      <c r="A745" s="8"/>
      <c r="B745" s="8"/>
      <c r="C745" s="8"/>
      <c r="D745" s="8"/>
      <c r="E745" s="8"/>
      <c r="F745" s="356"/>
      <c r="G745" s="8"/>
      <c r="H745" s="8"/>
      <c r="I745" s="8"/>
      <c r="J745" s="8"/>
      <c r="K745" s="8"/>
      <c r="L745" s="8"/>
      <c r="M745" s="8"/>
      <c r="N745" s="8"/>
      <c r="O745" s="8"/>
      <c r="P745" s="8"/>
      <c r="Q745" s="8"/>
      <c r="R745" s="8"/>
      <c r="S745" s="357"/>
      <c r="T745" s="357"/>
      <c r="U745" s="357"/>
      <c r="V745" s="357"/>
      <c r="W745" s="8"/>
      <c r="X745" s="8"/>
      <c r="Y745" s="8"/>
      <c r="Z745" s="8"/>
      <c r="AA745" s="8"/>
      <c r="AB745" s="8"/>
    </row>
    <row r="746">
      <c r="A746" s="8"/>
      <c r="B746" s="8"/>
      <c r="C746" s="8"/>
      <c r="D746" s="8"/>
      <c r="E746" s="8"/>
      <c r="F746" s="356"/>
      <c r="G746" s="8"/>
      <c r="H746" s="8"/>
      <c r="I746" s="8"/>
      <c r="J746" s="8"/>
      <c r="K746" s="8"/>
      <c r="L746" s="8"/>
      <c r="M746" s="8"/>
      <c r="N746" s="8"/>
      <c r="O746" s="8"/>
      <c r="P746" s="8"/>
      <c r="Q746" s="8"/>
      <c r="R746" s="8"/>
      <c r="S746" s="357"/>
      <c r="T746" s="357"/>
      <c r="U746" s="357"/>
      <c r="V746" s="357"/>
      <c r="W746" s="8"/>
      <c r="X746" s="8"/>
      <c r="Y746" s="8"/>
      <c r="Z746" s="8"/>
      <c r="AA746" s="8"/>
      <c r="AB746" s="8"/>
    </row>
    <row r="747">
      <c r="A747" s="8"/>
      <c r="B747" s="8"/>
      <c r="C747" s="8"/>
      <c r="D747" s="8"/>
      <c r="E747" s="8"/>
      <c r="F747" s="356"/>
      <c r="G747" s="8"/>
      <c r="H747" s="8"/>
      <c r="I747" s="8"/>
      <c r="J747" s="8"/>
      <c r="K747" s="8"/>
      <c r="L747" s="8"/>
      <c r="M747" s="8"/>
      <c r="N747" s="8"/>
      <c r="O747" s="8"/>
      <c r="P747" s="8"/>
      <c r="Q747" s="8"/>
      <c r="R747" s="8"/>
      <c r="S747" s="357"/>
      <c r="T747" s="357"/>
      <c r="U747" s="357"/>
      <c r="V747" s="357"/>
      <c r="W747" s="8"/>
      <c r="X747" s="8"/>
      <c r="Y747" s="8"/>
      <c r="Z747" s="8"/>
      <c r="AA747" s="8"/>
      <c r="AB747" s="8"/>
    </row>
    <row r="748">
      <c r="A748" s="8"/>
      <c r="B748" s="8"/>
      <c r="C748" s="8"/>
      <c r="D748" s="8"/>
      <c r="E748" s="8"/>
      <c r="F748" s="356"/>
      <c r="G748" s="8"/>
      <c r="H748" s="8"/>
      <c r="I748" s="8"/>
      <c r="J748" s="8"/>
      <c r="K748" s="8"/>
      <c r="L748" s="8"/>
      <c r="M748" s="8"/>
      <c r="N748" s="8"/>
      <c r="O748" s="8"/>
      <c r="P748" s="8"/>
      <c r="Q748" s="8"/>
      <c r="R748" s="8"/>
      <c r="S748" s="357"/>
      <c r="T748" s="357"/>
      <c r="U748" s="357"/>
      <c r="V748" s="357"/>
      <c r="W748" s="8"/>
      <c r="X748" s="8"/>
      <c r="Y748" s="8"/>
      <c r="Z748" s="8"/>
      <c r="AA748" s="8"/>
      <c r="AB748" s="8"/>
    </row>
    <row r="749">
      <c r="A749" s="8"/>
      <c r="B749" s="8"/>
      <c r="C749" s="8"/>
      <c r="D749" s="8"/>
      <c r="E749" s="8"/>
      <c r="F749" s="356"/>
      <c r="G749" s="8"/>
      <c r="H749" s="8"/>
      <c r="I749" s="8"/>
      <c r="J749" s="8"/>
      <c r="K749" s="8"/>
      <c r="L749" s="8"/>
      <c r="M749" s="8"/>
      <c r="N749" s="8"/>
      <c r="O749" s="8"/>
      <c r="P749" s="8"/>
      <c r="Q749" s="8"/>
      <c r="R749" s="8"/>
      <c r="S749" s="357"/>
      <c r="T749" s="357"/>
      <c r="U749" s="357"/>
      <c r="V749" s="357"/>
      <c r="W749" s="8"/>
      <c r="X749" s="8"/>
      <c r="Y749" s="8"/>
      <c r="Z749" s="8"/>
      <c r="AA749" s="8"/>
      <c r="AB749" s="8"/>
    </row>
    <row r="750">
      <c r="A750" s="8"/>
      <c r="B750" s="8"/>
      <c r="C750" s="8"/>
      <c r="D750" s="8"/>
      <c r="E750" s="8"/>
      <c r="F750" s="356"/>
      <c r="G750" s="8"/>
      <c r="H750" s="8"/>
      <c r="I750" s="8"/>
      <c r="J750" s="8"/>
      <c r="K750" s="8"/>
      <c r="L750" s="8"/>
      <c r="M750" s="8"/>
      <c r="N750" s="8"/>
      <c r="O750" s="8"/>
      <c r="P750" s="8"/>
      <c r="Q750" s="8"/>
      <c r="R750" s="8"/>
      <c r="S750" s="357"/>
      <c r="T750" s="357"/>
      <c r="U750" s="357"/>
      <c r="V750" s="357"/>
      <c r="W750" s="8"/>
      <c r="X750" s="8"/>
      <c r="Y750" s="8"/>
      <c r="Z750" s="8"/>
      <c r="AA750" s="8"/>
      <c r="AB750" s="8"/>
    </row>
    <row r="751">
      <c r="A751" s="8"/>
      <c r="B751" s="8"/>
      <c r="C751" s="8"/>
      <c r="D751" s="8"/>
      <c r="E751" s="8"/>
      <c r="F751" s="356"/>
      <c r="G751" s="8"/>
      <c r="H751" s="8"/>
      <c r="I751" s="8"/>
      <c r="J751" s="8"/>
      <c r="K751" s="8"/>
      <c r="L751" s="8"/>
      <c r="M751" s="8"/>
      <c r="N751" s="8"/>
      <c r="O751" s="8"/>
      <c r="P751" s="8"/>
      <c r="Q751" s="8"/>
      <c r="R751" s="8"/>
      <c r="S751" s="357"/>
      <c r="T751" s="357"/>
      <c r="U751" s="357"/>
      <c r="V751" s="357"/>
      <c r="W751" s="8"/>
      <c r="X751" s="8"/>
      <c r="Y751" s="8"/>
      <c r="Z751" s="8"/>
      <c r="AA751" s="8"/>
      <c r="AB751" s="8"/>
    </row>
    <row r="752">
      <c r="A752" s="8"/>
      <c r="B752" s="8"/>
      <c r="C752" s="8"/>
      <c r="D752" s="8"/>
      <c r="E752" s="8"/>
      <c r="F752" s="356"/>
      <c r="G752" s="8"/>
      <c r="H752" s="8"/>
      <c r="I752" s="8"/>
      <c r="J752" s="8"/>
      <c r="K752" s="8"/>
      <c r="L752" s="8"/>
      <c r="M752" s="8"/>
      <c r="N752" s="8"/>
      <c r="O752" s="8"/>
      <c r="P752" s="8"/>
      <c r="Q752" s="8"/>
      <c r="R752" s="8"/>
      <c r="S752" s="357"/>
      <c r="T752" s="357"/>
      <c r="U752" s="357"/>
      <c r="V752" s="357"/>
      <c r="W752" s="8"/>
      <c r="X752" s="8"/>
      <c r="Y752" s="8"/>
      <c r="Z752" s="8"/>
      <c r="AA752" s="8"/>
      <c r="AB752" s="8"/>
    </row>
    <row r="753">
      <c r="A753" s="8"/>
      <c r="B753" s="8"/>
      <c r="C753" s="8"/>
      <c r="D753" s="8"/>
      <c r="E753" s="8"/>
      <c r="F753" s="356"/>
      <c r="G753" s="8"/>
      <c r="H753" s="8"/>
      <c r="I753" s="8"/>
      <c r="J753" s="8"/>
      <c r="K753" s="8"/>
      <c r="L753" s="8"/>
      <c r="M753" s="8"/>
      <c r="N753" s="8"/>
      <c r="O753" s="8"/>
      <c r="P753" s="8"/>
      <c r="Q753" s="8"/>
      <c r="R753" s="8"/>
      <c r="S753" s="357"/>
      <c r="T753" s="357"/>
      <c r="U753" s="357"/>
      <c r="V753" s="357"/>
      <c r="W753" s="8"/>
      <c r="X753" s="8"/>
      <c r="Y753" s="8"/>
      <c r="Z753" s="8"/>
      <c r="AA753" s="8"/>
      <c r="AB753" s="8"/>
    </row>
    <row r="754">
      <c r="A754" s="8"/>
      <c r="B754" s="8"/>
      <c r="C754" s="8"/>
      <c r="D754" s="8"/>
      <c r="E754" s="8"/>
      <c r="F754" s="356"/>
      <c r="G754" s="8"/>
      <c r="H754" s="8"/>
      <c r="I754" s="8"/>
      <c r="J754" s="8"/>
      <c r="K754" s="8"/>
      <c r="L754" s="8"/>
      <c r="M754" s="8"/>
      <c r="N754" s="8"/>
      <c r="O754" s="8"/>
      <c r="P754" s="8"/>
      <c r="Q754" s="8"/>
      <c r="R754" s="8"/>
      <c r="S754" s="357"/>
      <c r="T754" s="357"/>
      <c r="U754" s="357"/>
      <c r="V754" s="357"/>
      <c r="W754" s="8"/>
      <c r="X754" s="8"/>
      <c r="Y754" s="8"/>
      <c r="Z754" s="8"/>
      <c r="AA754" s="8"/>
      <c r="AB754" s="8"/>
    </row>
    <row r="755">
      <c r="A755" s="8"/>
      <c r="B755" s="8"/>
      <c r="C755" s="8"/>
      <c r="D755" s="8"/>
      <c r="E755" s="8"/>
      <c r="F755" s="356"/>
      <c r="G755" s="8"/>
      <c r="H755" s="8"/>
      <c r="I755" s="8"/>
      <c r="J755" s="8"/>
      <c r="K755" s="8"/>
      <c r="L755" s="8"/>
      <c r="M755" s="8"/>
      <c r="N755" s="8"/>
      <c r="O755" s="8"/>
      <c r="P755" s="8"/>
      <c r="Q755" s="8"/>
      <c r="R755" s="8"/>
      <c r="S755" s="357"/>
      <c r="T755" s="357"/>
      <c r="U755" s="357"/>
      <c r="V755" s="357"/>
      <c r="W755" s="8"/>
      <c r="X755" s="8"/>
      <c r="Y755" s="8"/>
      <c r="Z755" s="8"/>
      <c r="AA755" s="8"/>
      <c r="AB755" s="8"/>
    </row>
    <row r="756">
      <c r="A756" s="8"/>
      <c r="B756" s="8"/>
      <c r="C756" s="8"/>
      <c r="D756" s="8"/>
      <c r="E756" s="8"/>
      <c r="F756" s="356"/>
      <c r="G756" s="8"/>
      <c r="H756" s="8"/>
      <c r="I756" s="8"/>
      <c r="J756" s="8"/>
      <c r="K756" s="8"/>
      <c r="L756" s="8"/>
      <c r="M756" s="8"/>
      <c r="N756" s="8"/>
      <c r="O756" s="8"/>
      <c r="P756" s="8"/>
      <c r="Q756" s="8"/>
      <c r="R756" s="8"/>
      <c r="S756" s="357"/>
      <c r="T756" s="357"/>
      <c r="U756" s="357"/>
      <c r="V756" s="357"/>
      <c r="W756" s="8"/>
      <c r="X756" s="8"/>
      <c r="Y756" s="8"/>
      <c r="Z756" s="8"/>
      <c r="AA756" s="8"/>
      <c r="AB756" s="8"/>
    </row>
    <row r="757">
      <c r="A757" s="8"/>
      <c r="B757" s="8"/>
      <c r="C757" s="8"/>
      <c r="D757" s="8"/>
      <c r="E757" s="8"/>
      <c r="F757" s="356"/>
      <c r="G757" s="8"/>
      <c r="H757" s="8"/>
      <c r="I757" s="8"/>
      <c r="J757" s="8"/>
      <c r="K757" s="8"/>
      <c r="L757" s="8"/>
      <c r="M757" s="8"/>
      <c r="N757" s="8"/>
      <c r="O757" s="8"/>
      <c r="P757" s="8"/>
      <c r="Q757" s="8"/>
      <c r="R757" s="8"/>
      <c r="S757" s="357"/>
      <c r="T757" s="357"/>
      <c r="U757" s="357"/>
      <c r="V757" s="357"/>
      <c r="W757" s="8"/>
      <c r="X757" s="8"/>
      <c r="Y757" s="8"/>
      <c r="Z757" s="8"/>
      <c r="AA757" s="8"/>
      <c r="AB757" s="8"/>
    </row>
    <row r="758">
      <c r="A758" s="8"/>
      <c r="B758" s="8"/>
      <c r="C758" s="8"/>
      <c r="D758" s="8"/>
      <c r="E758" s="8"/>
      <c r="F758" s="356"/>
      <c r="G758" s="8"/>
      <c r="H758" s="8"/>
      <c r="I758" s="8"/>
      <c r="J758" s="8"/>
      <c r="K758" s="8"/>
      <c r="L758" s="8"/>
      <c r="M758" s="8"/>
      <c r="N758" s="8"/>
      <c r="O758" s="8"/>
      <c r="P758" s="8"/>
      <c r="Q758" s="8"/>
      <c r="R758" s="8"/>
      <c r="S758" s="357"/>
      <c r="T758" s="357"/>
      <c r="U758" s="357"/>
      <c r="V758" s="357"/>
      <c r="W758" s="8"/>
      <c r="X758" s="8"/>
      <c r="Y758" s="8"/>
      <c r="Z758" s="8"/>
      <c r="AA758" s="8"/>
      <c r="AB758" s="8"/>
    </row>
    <row r="759">
      <c r="A759" s="8"/>
      <c r="B759" s="8"/>
      <c r="C759" s="8"/>
      <c r="D759" s="8"/>
      <c r="E759" s="8"/>
      <c r="F759" s="356"/>
      <c r="G759" s="8"/>
      <c r="H759" s="8"/>
      <c r="I759" s="8"/>
      <c r="J759" s="8"/>
      <c r="K759" s="8"/>
      <c r="L759" s="8"/>
      <c r="M759" s="8"/>
      <c r="N759" s="8"/>
      <c r="O759" s="8"/>
      <c r="P759" s="8"/>
      <c r="Q759" s="8"/>
      <c r="R759" s="8"/>
      <c r="S759" s="357"/>
      <c r="T759" s="357"/>
      <c r="U759" s="357"/>
      <c r="V759" s="357"/>
      <c r="W759" s="8"/>
      <c r="X759" s="8"/>
      <c r="Y759" s="8"/>
      <c r="Z759" s="8"/>
      <c r="AA759" s="8"/>
      <c r="AB759" s="8"/>
    </row>
    <row r="760">
      <c r="A760" s="8"/>
      <c r="B760" s="8"/>
      <c r="C760" s="8"/>
      <c r="D760" s="8"/>
      <c r="E760" s="8"/>
      <c r="F760" s="356"/>
      <c r="G760" s="8"/>
      <c r="H760" s="8"/>
      <c r="I760" s="8"/>
      <c r="J760" s="8"/>
      <c r="K760" s="8"/>
      <c r="L760" s="8"/>
      <c r="M760" s="8"/>
      <c r="N760" s="8"/>
      <c r="O760" s="8"/>
      <c r="P760" s="8"/>
      <c r="Q760" s="8"/>
      <c r="R760" s="8"/>
      <c r="S760" s="357"/>
      <c r="T760" s="357"/>
      <c r="U760" s="357"/>
      <c r="V760" s="357"/>
      <c r="W760" s="8"/>
      <c r="X760" s="8"/>
      <c r="Y760" s="8"/>
      <c r="Z760" s="8"/>
      <c r="AA760" s="8"/>
      <c r="AB760" s="8"/>
    </row>
    <row r="761">
      <c r="A761" s="8"/>
      <c r="B761" s="8"/>
      <c r="C761" s="8"/>
      <c r="D761" s="8"/>
      <c r="E761" s="8"/>
      <c r="F761" s="356"/>
      <c r="G761" s="8"/>
      <c r="H761" s="8"/>
      <c r="I761" s="8"/>
      <c r="J761" s="8"/>
      <c r="K761" s="8"/>
      <c r="L761" s="8"/>
      <c r="M761" s="8"/>
      <c r="N761" s="8"/>
      <c r="O761" s="8"/>
      <c r="P761" s="8"/>
      <c r="Q761" s="8"/>
      <c r="R761" s="8"/>
      <c r="S761" s="357"/>
      <c r="T761" s="357"/>
      <c r="U761" s="357"/>
      <c r="V761" s="357"/>
      <c r="W761" s="8"/>
      <c r="X761" s="8"/>
      <c r="Y761" s="8"/>
      <c r="Z761" s="8"/>
      <c r="AA761" s="8"/>
      <c r="AB761" s="8"/>
    </row>
    <row r="762">
      <c r="A762" s="8"/>
      <c r="B762" s="8"/>
      <c r="C762" s="8"/>
      <c r="D762" s="8"/>
      <c r="E762" s="8"/>
      <c r="F762" s="356"/>
      <c r="G762" s="8"/>
      <c r="H762" s="8"/>
      <c r="I762" s="8"/>
      <c r="J762" s="8"/>
      <c r="K762" s="8"/>
      <c r="L762" s="8"/>
      <c r="M762" s="8"/>
      <c r="N762" s="8"/>
      <c r="O762" s="8"/>
      <c r="P762" s="8"/>
      <c r="Q762" s="8"/>
      <c r="R762" s="8"/>
      <c r="S762" s="357"/>
      <c r="T762" s="357"/>
      <c r="U762" s="357"/>
      <c r="V762" s="357"/>
      <c r="W762" s="8"/>
      <c r="X762" s="8"/>
      <c r="Y762" s="8"/>
      <c r="Z762" s="8"/>
      <c r="AA762" s="8"/>
      <c r="AB762" s="8"/>
    </row>
    <row r="763">
      <c r="A763" s="8"/>
      <c r="B763" s="8"/>
      <c r="C763" s="8"/>
      <c r="D763" s="8"/>
      <c r="E763" s="8"/>
      <c r="F763" s="356"/>
      <c r="G763" s="8"/>
      <c r="H763" s="8"/>
      <c r="I763" s="8"/>
      <c r="J763" s="8"/>
      <c r="K763" s="8"/>
      <c r="L763" s="8"/>
      <c r="M763" s="8"/>
      <c r="N763" s="8"/>
      <c r="O763" s="8"/>
      <c r="P763" s="8"/>
      <c r="Q763" s="8"/>
      <c r="R763" s="8"/>
      <c r="S763" s="357"/>
      <c r="T763" s="357"/>
      <c r="U763" s="357"/>
      <c r="V763" s="357"/>
      <c r="W763" s="8"/>
      <c r="X763" s="8"/>
      <c r="Y763" s="8"/>
      <c r="Z763" s="8"/>
      <c r="AA763" s="8"/>
      <c r="AB763" s="8"/>
    </row>
    <row r="764">
      <c r="A764" s="8"/>
      <c r="B764" s="8"/>
      <c r="C764" s="8"/>
      <c r="D764" s="8"/>
      <c r="E764" s="8"/>
      <c r="F764" s="356"/>
      <c r="G764" s="8"/>
      <c r="H764" s="8"/>
      <c r="I764" s="8"/>
      <c r="J764" s="8"/>
      <c r="K764" s="8"/>
      <c r="L764" s="8"/>
      <c r="M764" s="8"/>
      <c r="N764" s="8"/>
      <c r="O764" s="8"/>
      <c r="P764" s="8"/>
      <c r="Q764" s="8"/>
      <c r="R764" s="8"/>
      <c r="S764" s="357"/>
      <c r="T764" s="357"/>
      <c r="U764" s="357"/>
      <c r="V764" s="357"/>
      <c r="W764" s="8"/>
      <c r="X764" s="8"/>
      <c r="Y764" s="8"/>
      <c r="Z764" s="8"/>
      <c r="AA764" s="8"/>
      <c r="AB764" s="8"/>
    </row>
    <row r="765">
      <c r="A765" s="8"/>
      <c r="B765" s="8"/>
      <c r="C765" s="8"/>
      <c r="D765" s="8"/>
      <c r="E765" s="8"/>
      <c r="F765" s="356"/>
      <c r="G765" s="8"/>
      <c r="H765" s="8"/>
      <c r="I765" s="8"/>
      <c r="J765" s="8"/>
      <c r="K765" s="8"/>
      <c r="L765" s="8"/>
      <c r="M765" s="8"/>
      <c r="N765" s="8"/>
      <c r="O765" s="8"/>
      <c r="P765" s="8"/>
      <c r="Q765" s="8"/>
      <c r="R765" s="8"/>
      <c r="S765" s="357"/>
      <c r="T765" s="357"/>
      <c r="U765" s="357"/>
      <c r="V765" s="357"/>
      <c r="W765" s="8"/>
      <c r="X765" s="8"/>
      <c r="Y765" s="8"/>
      <c r="Z765" s="8"/>
      <c r="AA765" s="8"/>
      <c r="AB765" s="8"/>
    </row>
    <row r="766">
      <c r="A766" s="8"/>
      <c r="B766" s="8"/>
      <c r="C766" s="8"/>
      <c r="D766" s="8"/>
      <c r="E766" s="8"/>
      <c r="F766" s="356"/>
      <c r="G766" s="8"/>
      <c r="H766" s="8"/>
      <c r="I766" s="8"/>
      <c r="J766" s="8"/>
      <c r="K766" s="8"/>
      <c r="L766" s="8"/>
      <c r="M766" s="8"/>
      <c r="N766" s="8"/>
      <c r="O766" s="8"/>
      <c r="P766" s="8"/>
      <c r="Q766" s="8"/>
      <c r="R766" s="8"/>
      <c r="S766" s="357"/>
      <c r="T766" s="357"/>
      <c r="U766" s="357"/>
      <c r="V766" s="357"/>
      <c r="W766" s="8"/>
      <c r="X766" s="8"/>
      <c r="Y766" s="8"/>
      <c r="Z766" s="8"/>
      <c r="AA766" s="8"/>
      <c r="AB766" s="8"/>
    </row>
    <row r="767">
      <c r="A767" s="8"/>
      <c r="B767" s="8"/>
      <c r="C767" s="8"/>
      <c r="D767" s="8"/>
      <c r="E767" s="8"/>
      <c r="F767" s="356"/>
      <c r="G767" s="8"/>
      <c r="H767" s="8"/>
      <c r="I767" s="8"/>
      <c r="J767" s="8"/>
      <c r="K767" s="8"/>
      <c r="L767" s="8"/>
      <c r="M767" s="8"/>
      <c r="N767" s="8"/>
      <c r="O767" s="8"/>
      <c r="P767" s="8"/>
      <c r="Q767" s="8"/>
      <c r="R767" s="8"/>
      <c r="S767" s="357"/>
      <c r="T767" s="357"/>
      <c r="U767" s="357"/>
      <c r="V767" s="357"/>
      <c r="W767" s="8"/>
      <c r="X767" s="8"/>
      <c r="Y767" s="8"/>
      <c r="Z767" s="8"/>
      <c r="AA767" s="8"/>
      <c r="AB767" s="8"/>
    </row>
    <row r="768">
      <c r="A768" s="8"/>
      <c r="B768" s="8"/>
      <c r="C768" s="8"/>
      <c r="D768" s="8"/>
      <c r="E768" s="8"/>
      <c r="F768" s="356"/>
      <c r="G768" s="8"/>
      <c r="H768" s="8"/>
      <c r="I768" s="8"/>
      <c r="J768" s="8"/>
      <c r="K768" s="8"/>
      <c r="L768" s="8"/>
      <c r="M768" s="8"/>
      <c r="N768" s="8"/>
      <c r="O768" s="8"/>
      <c r="P768" s="8"/>
      <c r="Q768" s="8"/>
      <c r="R768" s="8"/>
      <c r="S768" s="357"/>
      <c r="T768" s="357"/>
      <c r="U768" s="357"/>
      <c r="V768" s="357"/>
      <c r="W768" s="8"/>
      <c r="X768" s="8"/>
      <c r="Y768" s="8"/>
      <c r="Z768" s="8"/>
      <c r="AA768" s="8"/>
      <c r="AB768" s="8"/>
    </row>
    <row r="769">
      <c r="A769" s="8"/>
      <c r="B769" s="8"/>
      <c r="C769" s="8"/>
      <c r="D769" s="8"/>
      <c r="E769" s="8"/>
      <c r="F769" s="356"/>
      <c r="G769" s="8"/>
      <c r="H769" s="8"/>
      <c r="I769" s="8"/>
      <c r="J769" s="8"/>
      <c r="K769" s="8"/>
      <c r="L769" s="8"/>
      <c r="M769" s="8"/>
      <c r="N769" s="8"/>
      <c r="O769" s="8"/>
      <c r="P769" s="8"/>
      <c r="Q769" s="8"/>
      <c r="R769" s="8"/>
      <c r="S769" s="357"/>
      <c r="T769" s="357"/>
      <c r="U769" s="357"/>
      <c r="V769" s="357"/>
      <c r="W769" s="8"/>
      <c r="X769" s="8"/>
      <c r="Y769" s="8"/>
      <c r="Z769" s="8"/>
      <c r="AA769" s="8"/>
      <c r="AB769" s="8"/>
    </row>
    <row r="770">
      <c r="A770" s="8"/>
      <c r="B770" s="8"/>
      <c r="C770" s="8"/>
      <c r="D770" s="8"/>
      <c r="E770" s="8"/>
      <c r="F770" s="356"/>
      <c r="G770" s="8"/>
      <c r="H770" s="8"/>
      <c r="I770" s="8"/>
      <c r="J770" s="8"/>
      <c r="K770" s="8"/>
      <c r="L770" s="8"/>
      <c r="M770" s="8"/>
      <c r="N770" s="8"/>
      <c r="O770" s="8"/>
      <c r="P770" s="8"/>
      <c r="Q770" s="8"/>
      <c r="R770" s="8"/>
      <c r="S770" s="357"/>
      <c r="T770" s="357"/>
      <c r="U770" s="357"/>
      <c r="V770" s="357"/>
      <c r="W770" s="8"/>
      <c r="X770" s="8"/>
      <c r="Y770" s="8"/>
      <c r="Z770" s="8"/>
      <c r="AA770" s="8"/>
      <c r="AB770" s="8"/>
    </row>
    <row r="771">
      <c r="A771" s="8"/>
      <c r="B771" s="8"/>
      <c r="C771" s="8"/>
      <c r="D771" s="8"/>
      <c r="E771" s="8"/>
      <c r="F771" s="356"/>
      <c r="G771" s="8"/>
      <c r="H771" s="8"/>
      <c r="I771" s="8"/>
      <c r="J771" s="8"/>
      <c r="K771" s="8"/>
      <c r="L771" s="8"/>
      <c r="M771" s="8"/>
      <c r="N771" s="8"/>
      <c r="O771" s="8"/>
      <c r="P771" s="8"/>
      <c r="Q771" s="8"/>
      <c r="R771" s="8"/>
      <c r="S771" s="357"/>
      <c r="T771" s="357"/>
      <c r="U771" s="357"/>
      <c r="V771" s="357"/>
      <c r="W771" s="8"/>
      <c r="X771" s="8"/>
      <c r="Y771" s="8"/>
      <c r="Z771" s="8"/>
      <c r="AA771" s="8"/>
      <c r="AB771" s="8"/>
    </row>
    <row r="772">
      <c r="A772" s="8"/>
      <c r="B772" s="8"/>
      <c r="C772" s="8"/>
      <c r="D772" s="8"/>
      <c r="E772" s="8"/>
      <c r="F772" s="356"/>
      <c r="G772" s="8"/>
      <c r="H772" s="8"/>
      <c r="I772" s="8"/>
      <c r="J772" s="8"/>
      <c r="K772" s="8"/>
      <c r="L772" s="8"/>
      <c r="M772" s="8"/>
      <c r="N772" s="8"/>
      <c r="O772" s="8"/>
      <c r="P772" s="8"/>
      <c r="Q772" s="8"/>
      <c r="R772" s="8"/>
      <c r="S772" s="357"/>
      <c r="T772" s="357"/>
      <c r="U772" s="357"/>
      <c r="V772" s="357"/>
      <c r="W772" s="8"/>
      <c r="X772" s="8"/>
      <c r="Y772" s="8"/>
      <c r="Z772" s="8"/>
      <c r="AA772" s="8"/>
      <c r="AB772" s="8"/>
    </row>
    <row r="773">
      <c r="A773" s="8"/>
      <c r="B773" s="8"/>
      <c r="C773" s="8"/>
      <c r="D773" s="8"/>
      <c r="E773" s="8"/>
      <c r="F773" s="356"/>
      <c r="G773" s="8"/>
      <c r="H773" s="8"/>
      <c r="I773" s="8"/>
      <c r="J773" s="8"/>
      <c r="K773" s="8"/>
      <c r="L773" s="8"/>
      <c r="M773" s="8"/>
      <c r="N773" s="8"/>
      <c r="O773" s="8"/>
      <c r="P773" s="8"/>
      <c r="Q773" s="8"/>
      <c r="R773" s="8"/>
      <c r="S773" s="357"/>
      <c r="T773" s="357"/>
      <c r="U773" s="357"/>
      <c r="V773" s="357"/>
      <c r="W773" s="8"/>
      <c r="X773" s="8"/>
      <c r="Y773" s="8"/>
      <c r="Z773" s="8"/>
      <c r="AA773" s="8"/>
      <c r="AB773" s="8"/>
    </row>
    <row r="774">
      <c r="A774" s="8"/>
      <c r="B774" s="8"/>
      <c r="C774" s="8"/>
      <c r="D774" s="8"/>
      <c r="E774" s="8"/>
      <c r="F774" s="356"/>
      <c r="G774" s="8"/>
      <c r="H774" s="8"/>
      <c r="I774" s="8"/>
      <c r="J774" s="8"/>
      <c r="K774" s="8"/>
      <c r="L774" s="8"/>
      <c r="M774" s="8"/>
      <c r="N774" s="8"/>
      <c r="O774" s="8"/>
      <c r="P774" s="8"/>
      <c r="Q774" s="8"/>
      <c r="R774" s="8"/>
      <c r="S774" s="357"/>
      <c r="T774" s="357"/>
      <c r="U774" s="357"/>
      <c r="V774" s="357"/>
      <c r="W774" s="8"/>
      <c r="X774" s="8"/>
      <c r="Y774" s="8"/>
      <c r="Z774" s="8"/>
      <c r="AA774" s="8"/>
      <c r="AB774" s="8"/>
    </row>
    <row r="775">
      <c r="A775" s="8"/>
      <c r="B775" s="8"/>
      <c r="C775" s="8"/>
      <c r="D775" s="8"/>
      <c r="E775" s="8"/>
      <c r="F775" s="356"/>
      <c r="G775" s="8"/>
      <c r="H775" s="8"/>
      <c r="I775" s="8"/>
      <c r="J775" s="8"/>
      <c r="K775" s="8"/>
      <c r="L775" s="8"/>
      <c r="M775" s="8"/>
      <c r="N775" s="8"/>
      <c r="O775" s="8"/>
      <c r="P775" s="8"/>
      <c r="Q775" s="8"/>
      <c r="R775" s="8"/>
      <c r="S775" s="357"/>
      <c r="T775" s="357"/>
      <c r="U775" s="357"/>
      <c r="V775" s="357"/>
      <c r="W775" s="8"/>
      <c r="X775" s="8"/>
      <c r="Y775" s="8"/>
      <c r="Z775" s="8"/>
      <c r="AA775" s="8"/>
      <c r="AB775" s="8"/>
    </row>
    <row r="776">
      <c r="A776" s="8"/>
      <c r="B776" s="8"/>
      <c r="C776" s="8"/>
      <c r="D776" s="8"/>
      <c r="E776" s="8"/>
      <c r="F776" s="356"/>
      <c r="G776" s="8"/>
      <c r="H776" s="8"/>
      <c r="I776" s="8"/>
      <c r="J776" s="8"/>
      <c r="K776" s="8"/>
      <c r="L776" s="8"/>
      <c r="M776" s="8"/>
      <c r="N776" s="8"/>
      <c r="O776" s="8"/>
      <c r="P776" s="8"/>
      <c r="Q776" s="8"/>
      <c r="R776" s="8"/>
      <c r="S776" s="357"/>
      <c r="T776" s="357"/>
      <c r="U776" s="357"/>
      <c r="V776" s="357"/>
      <c r="W776" s="8"/>
      <c r="X776" s="8"/>
      <c r="Y776" s="8"/>
      <c r="Z776" s="8"/>
      <c r="AA776" s="8"/>
      <c r="AB776" s="8"/>
    </row>
    <row r="777">
      <c r="A777" s="8"/>
      <c r="B777" s="8"/>
      <c r="C777" s="8"/>
      <c r="D777" s="8"/>
      <c r="E777" s="8"/>
      <c r="F777" s="356"/>
      <c r="G777" s="8"/>
      <c r="H777" s="8"/>
      <c r="I777" s="8"/>
      <c r="J777" s="8"/>
      <c r="K777" s="8"/>
      <c r="L777" s="8"/>
      <c r="M777" s="8"/>
      <c r="N777" s="8"/>
      <c r="O777" s="8"/>
      <c r="P777" s="8"/>
      <c r="Q777" s="8"/>
      <c r="R777" s="8"/>
      <c r="S777" s="357"/>
      <c r="T777" s="357"/>
      <c r="U777" s="357"/>
      <c r="V777" s="357"/>
      <c r="W777" s="8"/>
      <c r="X777" s="8"/>
      <c r="Y777" s="8"/>
      <c r="Z777" s="8"/>
      <c r="AA777" s="8"/>
      <c r="AB777" s="8"/>
    </row>
    <row r="778">
      <c r="A778" s="8"/>
      <c r="B778" s="8"/>
      <c r="C778" s="8"/>
      <c r="D778" s="8"/>
      <c r="E778" s="8"/>
      <c r="F778" s="356"/>
      <c r="G778" s="8"/>
      <c r="H778" s="8"/>
      <c r="I778" s="8"/>
      <c r="J778" s="8"/>
      <c r="K778" s="8"/>
      <c r="L778" s="8"/>
      <c r="M778" s="8"/>
      <c r="N778" s="8"/>
      <c r="O778" s="8"/>
      <c r="P778" s="8"/>
      <c r="Q778" s="8"/>
      <c r="R778" s="8"/>
      <c r="S778" s="357"/>
      <c r="T778" s="357"/>
      <c r="U778" s="357"/>
      <c r="V778" s="357"/>
      <c r="W778" s="8"/>
      <c r="X778" s="8"/>
      <c r="Y778" s="8"/>
      <c r="Z778" s="8"/>
      <c r="AA778" s="8"/>
      <c r="AB778" s="8"/>
    </row>
    <row r="779">
      <c r="A779" s="8"/>
      <c r="B779" s="8"/>
      <c r="C779" s="8"/>
      <c r="D779" s="8"/>
      <c r="E779" s="8"/>
      <c r="F779" s="356"/>
      <c r="G779" s="8"/>
      <c r="H779" s="8"/>
      <c r="I779" s="8"/>
      <c r="J779" s="8"/>
      <c r="K779" s="8"/>
      <c r="L779" s="8"/>
      <c r="M779" s="8"/>
      <c r="N779" s="8"/>
      <c r="O779" s="8"/>
      <c r="P779" s="8"/>
      <c r="Q779" s="8"/>
      <c r="R779" s="8"/>
      <c r="S779" s="357"/>
      <c r="T779" s="357"/>
      <c r="U779" s="357"/>
      <c r="V779" s="357"/>
      <c r="W779" s="8"/>
      <c r="X779" s="8"/>
      <c r="Y779" s="8"/>
      <c r="Z779" s="8"/>
      <c r="AA779" s="8"/>
      <c r="AB779" s="8"/>
    </row>
    <row r="780">
      <c r="A780" s="8"/>
      <c r="B780" s="8"/>
      <c r="C780" s="8"/>
      <c r="D780" s="8"/>
      <c r="E780" s="8"/>
      <c r="F780" s="356"/>
      <c r="G780" s="8"/>
      <c r="H780" s="8"/>
      <c r="I780" s="8"/>
      <c r="J780" s="8"/>
      <c r="K780" s="8"/>
      <c r="L780" s="8"/>
      <c r="M780" s="8"/>
      <c r="N780" s="8"/>
      <c r="O780" s="8"/>
      <c r="P780" s="8"/>
      <c r="Q780" s="8"/>
      <c r="R780" s="8"/>
      <c r="S780" s="357"/>
      <c r="T780" s="357"/>
      <c r="U780" s="357"/>
      <c r="V780" s="357"/>
      <c r="W780" s="8"/>
      <c r="X780" s="8"/>
      <c r="Y780" s="8"/>
      <c r="Z780" s="8"/>
      <c r="AA780" s="8"/>
      <c r="AB780" s="8"/>
    </row>
    <row r="781">
      <c r="A781" s="8"/>
      <c r="B781" s="8"/>
      <c r="C781" s="8"/>
      <c r="D781" s="8"/>
      <c r="E781" s="8"/>
      <c r="F781" s="356"/>
      <c r="G781" s="8"/>
      <c r="H781" s="8"/>
      <c r="I781" s="8"/>
      <c r="J781" s="8"/>
      <c r="K781" s="8"/>
      <c r="L781" s="8"/>
      <c r="M781" s="8"/>
      <c r="N781" s="8"/>
      <c r="O781" s="8"/>
      <c r="P781" s="8"/>
      <c r="Q781" s="8"/>
      <c r="R781" s="8"/>
      <c r="S781" s="357"/>
      <c r="T781" s="357"/>
      <c r="U781" s="357"/>
      <c r="V781" s="357"/>
      <c r="W781" s="8"/>
      <c r="X781" s="8"/>
      <c r="Y781" s="8"/>
      <c r="Z781" s="8"/>
      <c r="AA781" s="8"/>
      <c r="AB781" s="8"/>
    </row>
    <row r="782">
      <c r="A782" s="8"/>
      <c r="B782" s="8"/>
      <c r="C782" s="8"/>
      <c r="D782" s="8"/>
      <c r="E782" s="8"/>
      <c r="F782" s="356"/>
      <c r="G782" s="8"/>
      <c r="H782" s="8"/>
      <c r="I782" s="8"/>
      <c r="J782" s="8"/>
      <c r="K782" s="8"/>
      <c r="L782" s="8"/>
      <c r="M782" s="8"/>
      <c r="N782" s="8"/>
      <c r="O782" s="8"/>
      <c r="P782" s="8"/>
      <c r="Q782" s="8"/>
      <c r="R782" s="8"/>
      <c r="S782" s="357"/>
      <c r="T782" s="357"/>
      <c r="U782" s="357"/>
      <c r="V782" s="357"/>
      <c r="W782" s="8"/>
      <c r="X782" s="8"/>
      <c r="Y782" s="8"/>
      <c r="Z782" s="8"/>
      <c r="AA782" s="8"/>
      <c r="AB782" s="8"/>
    </row>
    <row r="783">
      <c r="A783" s="8"/>
      <c r="B783" s="8"/>
      <c r="C783" s="8"/>
      <c r="D783" s="8"/>
      <c r="E783" s="8"/>
      <c r="F783" s="356"/>
      <c r="G783" s="8"/>
      <c r="H783" s="8"/>
      <c r="I783" s="8"/>
      <c r="J783" s="8"/>
      <c r="K783" s="8"/>
      <c r="L783" s="8"/>
      <c r="M783" s="8"/>
      <c r="N783" s="8"/>
      <c r="O783" s="8"/>
      <c r="P783" s="8"/>
      <c r="Q783" s="8"/>
      <c r="R783" s="8"/>
      <c r="S783" s="357"/>
      <c r="T783" s="357"/>
      <c r="U783" s="357"/>
      <c r="V783" s="357"/>
      <c r="W783" s="8"/>
      <c r="X783" s="8"/>
      <c r="Y783" s="8"/>
      <c r="Z783" s="8"/>
      <c r="AA783" s="8"/>
      <c r="AB783" s="8"/>
    </row>
    <row r="784">
      <c r="A784" s="8"/>
      <c r="B784" s="8"/>
      <c r="C784" s="8"/>
      <c r="D784" s="8"/>
      <c r="E784" s="8"/>
      <c r="F784" s="356"/>
      <c r="G784" s="8"/>
      <c r="H784" s="8"/>
      <c r="I784" s="8"/>
      <c r="J784" s="8"/>
      <c r="K784" s="8"/>
      <c r="L784" s="8"/>
      <c r="M784" s="8"/>
      <c r="N784" s="8"/>
      <c r="O784" s="8"/>
      <c r="P784" s="8"/>
      <c r="Q784" s="8"/>
      <c r="R784" s="8"/>
      <c r="S784" s="357"/>
      <c r="T784" s="357"/>
      <c r="U784" s="357"/>
      <c r="V784" s="357"/>
      <c r="W784" s="8"/>
      <c r="X784" s="8"/>
      <c r="Y784" s="8"/>
      <c r="Z784" s="8"/>
      <c r="AA784" s="8"/>
      <c r="AB784" s="8"/>
    </row>
    <row r="785">
      <c r="A785" s="8"/>
      <c r="B785" s="8"/>
      <c r="C785" s="8"/>
      <c r="D785" s="8"/>
      <c r="E785" s="8"/>
      <c r="F785" s="356"/>
      <c r="G785" s="8"/>
      <c r="H785" s="8"/>
      <c r="I785" s="8"/>
      <c r="J785" s="8"/>
      <c r="K785" s="8"/>
      <c r="L785" s="8"/>
      <c r="M785" s="8"/>
      <c r="N785" s="8"/>
      <c r="O785" s="8"/>
      <c r="P785" s="8"/>
      <c r="Q785" s="8"/>
      <c r="R785" s="8"/>
      <c r="S785" s="357"/>
      <c r="T785" s="357"/>
      <c r="U785" s="357"/>
      <c r="V785" s="357"/>
      <c r="W785" s="8"/>
      <c r="X785" s="8"/>
      <c r="Y785" s="8"/>
      <c r="Z785" s="8"/>
      <c r="AA785" s="8"/>
      <c r="AB785" s="8"/>
    </row>
    <row r="786">
      <c r="A786" s="8"/>
      <c r="B786" s="8"/>
      <c r="C786" s="8"/>
      <c r="D786" s="8"/>
      <c r="E786" s="8"/>
      <c r="F786" s="356"/>
      <c r="G786" s="8"/>
      <c r="H786" s="8"/>
      <c r="I786" s="8"/>
      <c r="J786" s="8"/>
      <c r="K786" s="8"/>
      <c r="L786" s="8"/>
      <c r="M786" s="8"/>
      <c r="N786" s="8"/>
      <c r="O786" s="8"/>
      <c r="P786" s="8"/>
      <c r="Q786" s="8"/>
      <c r="R786" s="8"/>
      <c r="S786" s="357"/>
      <c r="T786" s="357"/>
      <c r="U786" s="357"/>
      <c r="V786" s="357"/>
      <c r="W786" s="8"/>
      <c r="X786" s="8"/>
      <c r="Y786" s="8"/>
      <c r="Z786" s="8"/>
      <c r="AA786" s="8"/>
      <c r="AB786" s="8"/>
    </row>
    <row r="787">
      <c r="A787" s="8"/>
      <c r="B787" s="8"/>
      <c r="C787" s="8"/>
      <c r="D787" s="8"/>
      <c r="E787" s="8"/>
      <c r="F787" s="356"/>
      <c r="G787" s="8"/>
      <c r="H787" s="8"/>
      <c r="I787" s="8"/>
      <c r="J787" s="8"/>
      <c r="K787" s="8"/>
      <c r="L787" s="8"/>
      <c r="M787" s="8"/>
      <c r="N787" s="8"/>
      <c r="O787" s="8"/>
      <c r="P787" s="8"/>
      <c r="Q787" s="8"/>
      <c r="R787" s="8"/>
      <c r="S787" s="357"/>
      <c r="T787" s="357"/>
      <c r="U787" s="357"/>
      <c r="V787" s="357"/>
      <c r="W787" s="8"/>
      <c r="X787" s="8"/>
      <c r="Y787" s="8"/>
      <c r="Z787" s="8"/>
      <c r="AA787" s="8"/>
      <c r="AB787" s="8"/>
    </row>
    <row r="788">
      <c r="A788" s="8"/>
      <c r="B788" s="8"/>
      <c r="C788" s="8"/>
      <c r="D788" s="8"/>
      <c r="E788" s="8"/>
      <c r="F788" s="356"/>
      <c r="G788" s="8"/>
      <c r="H788" s="8"/>
      <c r="I788" s="8"/>
      <c r="J788" s="8"/>
      <c r="K788" s="8"/>
      <c r="L788" s="8"/>
      <c r="M788" s="8"/>
      <c r="N788" s="8"/>
      <c r="O788" s="8"/>
      <c r="P788" s="8"/>
      <c r="Q788" s="8"/>
      <c r="R788" s="8"/>
      <c r="S788" s="357"/>
      <c r="T788" s="357"/>
      <c r="U788" s="357"/>
      <c r="V788" s="357"/>
      <c r="W788" s="8"/>
      <c r="X788" s="8"/>
      <c r="Y788" s="8"/>
      <c r="Z788" s="8"/>
      <c r="AA788" s="8"/>
      <c r="AB788" s="8"/>
    </row>
    <row r="789">
      <c r="A789" s="8"/>
      <c r="B789" s="8"/>
      <c r="C789" s="8"/>
      <c r="D789" s="8"/>
      <c r="E789" s="8"/>
      <c r="F789" s="356"/>
      <c r="G789" s="8"/>
      <c r="H789" s="8"/>
      <c r="I789" s="8"/>
      <c r="J789" s="8"/>
      <c r="K789" s="8"/>
      <c r="L789" s="8"/>
      <c r="M789" s="8"/>
      <c r="N789" s="8"/>
      <c r="O789" s="8"/>
      <c r="P789" s="8"/>
      <c r="Q789" s="8"/>
      <c r="R789" s="8"/>
      <c r="S789" s="357"/>
      <c r="T789" s="357"/>
      <c r="U789" s="357"/>
      <c r="V789" s="357"/>
      <c r="W789" s="8"/>
      <c r="X789" s="8"/>
      <c r="Y789" s="8"/>
      <c r="Z789" s="8"/>
      <c r="AA789" s="8"/>
      <c r="AB789" s="8"/>
    </row>
    <row r="790">
      <c r="A790" s="8"/>
      <c r="B790" s="8"/>
      <c r="C790" s="8"/>
      <c r="D790" s="8"/>
      <c r="E790" s="8"/>
      <c r="F790" s="356"/>
      <c r="G790" s="8"/>
      <c r="H790" s="8"/>
      <c r="I790" s="8"/>
      <c r="J790" s="8"/>
      <c r="K790" s="8"/>
      <c r="L790" s="8"/>
      <c r="M790" s="8"/>
      <c r="N790" s="8"/>
      <c r="O790" s="8"/>
      <c r="P790" s="8"/>
      <c r="Q790" s="8"/>
      <c r="R790" s="8"/>
      <c r="S790" s="357"/>
      <c r="T790" s="357"/>
      <c r="U790" s="357"/>
      <c r="V790" s="357"/>
      <c r="W790" s="8"/>
      <c r="X790" s="8"/>
      <c r="Y790" s="8"/>
      <c r="Z790" s="8"/>
      <c r="AA790" s="8"/>
      <c r="AB790" s="8"/>
    </row>
    <row r="791">
      <c r="A791" s="8"/>
      <c r="B791" s="8"/>
      <c r="C791" s="8"/>
      <c r="D791" s="8"/>
      <c r="E791" s="8"/>
      <c r="F791" s="356"/>
      <c r="G791" s="8"/>
      <c r="H791" s="8"/>
      <c r="I791" s="8"/>
      <c r="J791" s="8"/>
      <c r="K791" s="8"/>
      <c r="L791" s="8"/>
      <c r="M791" s="8"/>
      <c r="N791" s="8"/>
      <c r="O791" s="8"/>
      <c r="P791" s="8"/>
      <c r="Q791" s="8"/>
      <c r="R791" s="8"/>
      <c r="S791" s="357"/>
      <c r="T791" s="357"/>
      <c r="U791" s="357"/>
      <c r="V791" s="357"/>
      <c r="W791" s="8"/>
      <c r="X791" s="8"/>
      <c r="Y791" s="8"/>
      <c r="Z791" s="8"/>
      <c r="AA791" s="8"/>
      <c r="AB791" s="8"/>
    </row>
    <row r="792">
      <c r="A792" s="8"/>
      <c r="B792" s="8"/>
      <c r="C792" s="8"/>
      <c r="D792" s="8"/>
      <c r="E792" s="8"/>
      <c r="F792" s="356"/>
      <c r="G792" s="8"/>
      <c r="H792" s="8"/>
      <c r="I792" s="8"/>
      <c r="J792" s="8"/>
      <c r="K792" s="8"/>
      <c r="L792" s="8"/>
      <c r="M792" s="8"/>
      <c r="N792" s="8"/>
      <c r="O792" s="8"/>
      <c r="P792" s="8"/>
      <c r="Q792" s="8"/>
      <c r="R792" s="8"/>
      <c r="S792" s="357"/>
      <c r="T792" s="357"/>
      <c r="U792" s="357"/>
      <c r="V792" s="357"/>
      <c r="W792" s="8"/>
      <c r="X792" s="8"/>
      <c r="Y792" s="8"/>
      <c r="Z792" s="8"/>
      <c r="AA792" s="8"/>
      <c r="AB792" s="8"/>
    </row>
    <row r="793">
      <c r="A793" s="8"/>
      <c r="B793" s="8"/>
      <c r="C793" s="8"/>
      <c r="D793" s="8"/>
      <c r="E793" s="8"/>
      <c r="F793" s="356"/>
      <c r="G793" s="8"/>
      <c r="H793" s="8"/>
      <c r="I793" s="8"/>
      <c r="J793" s="8"/>
      <c r="K793" s="8"/>
      <c r="L793" s="8"/>
      <c r="M793" s="8"/>
      <c r="N793" s="8"/>
      <c r="O793" s="8"/>
      <c r="P793" s="8"/>
      <c r="Q793" s="8"/>
      <c r="R793" s="8"/>
      <c r="S793" s="357"/>
      <c r="T793" s="357"/>
      <c r="U793" s="357"/>
      <c r="V793" s="357"/>
      <c r="W793" s="8"/>
      <c r="X793" s="8"/>
      <c r="Y793" s="8"/>
      <c r="Z793" s="8"/>
      <c r="AA793" s="8"/>
      <c r="AB793" s="8"/>
    </row>
    <row r="794">
      <c r="A794" s="8"/>
      <c r="B794" s="8"/>
      <c r="C794" s="8"/>
      <c r="D794" s="8"/>
      <c r="E794" s="8"/>
      <c r="F794" s="356"/>
      <c r="G794" s="8"/>
      <c r="H794" s="8"/>
      <c r="I794" s="8"/>
      <c r="J794" s="8"/>
      <c r="K794" s="8"/>
      <c r="L794" s="8"/>
      <c r="M794" s="8"/>
      <c r="N794" s="8"/>
      <c r="O794" s="8"/>
      <c r="P794" s="8"/>
      <c r="Q794" s="8"/>
      <c r="R794" s="8"/>
      <c r="S794" s="357"/>
      <c r="T794" s="357"/>
      <c r="U794" s="357"/>
      <c r="V794" s="357"/>
      <c r="W794" s="8"/>
      <c r="X794" s="8"/>
      <c r="Y794" s="8"/>
      <c r="Z794" s="8"/>
      <c r="AA794" s="8"/>
      <c r="AB794" s="8"/>
    </row>
    <row r="795">
      <c r="A795" s="8"/>
      <c r="B795" s="8"/>
      <c r="C795" s="8"/>
      <c r="D795" s="8"/>
      <c r="E795" s="8"/>
      <c r="F795" s="356"/>
      <c r="G795" s="8"/>
      <c r="H795" s="8"/>
      <c r="I795" s="8"/>
      <c r="J795" s="8"/>
      <c r="K795" s="8"/>
      <c r="L795" s="8"/>
      <c r="M795" s="8"/>
      <c r="N795" s="8"/>
      <c r="O795" s="8"/>
      <c r="P795" s="8"/>
      <c r="Q795" s="8"/>
      <c r="R795" s="8"/>
      <c r="S795" s="357"/>
      <c r="T795" s="357"/>
      <c r="U795" s="357"/>
      <c r="V795" s="357"/>
      <c r="W795" s="8"/>
      <c r="X795" s="8"/>
      <c r="Y795" s="8"/>
      <c r="Z795" s="8"/>
      <c r="AA795" s="8"/>
      <c r="AB795" s="8"/>
    </row>
    <row r="796">
      <c r="A796" s="8"/>
      <c r="B796" s="8"/>
      <c r="C796" s="8"/>
      <c r="D796" s="8"/>
      <c r="E796" s="8"/>
      <c r="F796" s="356"/>
      <c r="G796" s="8"/>
      <c r="H796" s="8"/>
      <c r="I796" s="8"/>
      <c r="J796" s="8"/>
      <c r="K796" s="8"/>
      <c r="L796" s="8"/>
      <c r="M796" s="8"/>
      <c r="N796" s="8"/>
      <c r="O796" s="8"/>
      <c r="P796" s="8"/>
      <c r="Q796" s="8"/>
      <c r="R796" s="8"/>
      <c r="S796" s="357"/>
      <c r="T796" s="357"/>
      <c r="U796" s="357"/>
      <c r="V796" s="357"/>
      <c r="W796" s="8"/>
      <c r="X796" s="8"/>
      <c r="Y796" s="8"/>
      <c r="Z796" s="8"/>
      <c r="AA796" s="8"/>
      <c r="AB796" s="8"/>
    </row>
    <row r="797">
      <c r="A797" s="8"/>
      <c r="B797" s="8"/>
      <c r="C797" s="8"/>
      <c r="D797" s="8"/>
      <c r="E797" s="8"/>
      <c r="F797" s="356"/>
      <c r="G797" s="8"/>
      <c r="H797" s="8"/>
      <c r="I797" s="8"/>
      <c r="J797" s="8"/>
      <c r="K797" s="8"/>
      <c r="L797" s="8"/>
      <c r="M797" s="8"/>
      <c r="N797" s="8"/>
      <c r="O797" s="8"/>
      <c r="P797" s="8"/>
      <c r="Q797" s="8"/>
      <c r="R797" s="8"/>
      <c r="S797" s="357"/>
      <c r="T797" s="357"/>
      <c r="U797" s="357"/>
      <c r="V797" s="357"/>
      <c r="W797" s="8"/>
      <c r="X797" s="8"/>
      <c r="Y797" s="8"/>
      <c r="Z797" s="8"/>
      <c r="AA797" s="8"/>
      <c r="AB797" s="8"/>
    </row>
    <row r="798">
      <c r="A798" s="8"/>
      <c r="B798" s="8"/>
      <c r="C798" s="8"/>
      <c r="D798" s="8"/>
      <c r="E798" s="8"/>
      <c r="F798" s="356"/>
      <c r="G798" s="8"/>
      <c r="H798" s="8"/>
      <c r="I798" s="8"/>
      <c r="J798" s="8"/>
      <c r="K798" s="8"/>
      <c r="L798" s="8"/>
      <c r="M798" s="8"/>
      <c r="N798" s="8"/>
      <c r="O798" s="8"/>
      <c r="P798" s="8"/>
      <c r="Q798" s="8"/>
      <c r="R798" s="8"/>
      <c r="S798" s="357"/>
      <c r="T798" s="357"/>
      <c r="U798" s="357"/>
      <c r="V798" s="357"/>
      <c r="W798" s="8"/>
      <c r="X798" s="8"/>
      <c r="Y798" s="8"/>
      <c r="Z798" s="8"/>
      <c r="AA798" s="8"/>
      <c r="AB798" s="8"/>
    </row>
    <row r="799">
      <c r="A799" s="8"/>
      <c r="B799" s="8"/>
      <c r="C799" s="8"/>
      <c r="D799" s="8"/>
      <c r="E799" s="8"/>
      <c r="F799" s="356"/>
      <c r="G799" s="8"/>
      <c r="H799" s="8"/>
      <c r="I799" s="8"/>
      <c r="J799" s="8"/>
      <c r="K799" s="8"/>
      <c r="L799" s="8"/>
      <c r="M799" s="8"/>
      <c r="N799" s="8"/>
      <c r="O799" s="8"/>
      <c r="P799" s="8"/>
      <c r="Q799" s="8"/>
      <c r="R799" s="8"/>
      <c r="S799" s="357"/>
      <c r="T799" s="357"/>
      <c r="U799" s="357"/>
      <c r="V799" s="357"/>
      <c r="W799" s="8"/>
      <c r="X799" s="8"/>
      <c r="Y799" s="8"/>
      <c r="Z799" s="8"/>
      <c r="AA799" s="8"/>
      <c r="AB799" s="8"/>
    </row>
    <row r="800">
      <c r="A800" s="8"/>
      <c r="B800" s="8"/>
      <c r="C800" s="8"/>
      <c r="D800" s="8"/>
      <c r="E800" s="8"/>
      <c r="F800" s="356"/>
      <c r="G800" s="8"/>
      <c r="H800" s="8"/>
      <c r="I800" s="8"/>
      <c r="J800" s="8"/>
      <c r="K800" s="8"/>
      <c r="L800" s="8"/>
      <c r="M800" s="8"/>
      <c r="N800" s="8"/>
      <c r="O800" s="8"/>
      <c r="P800" s="8"/>
      <c r="Q800" s="8"/>
      <c r="R800" s="8"/>
      <c r="S800" s="357"/>
      <c r="T800" s="357"/>
      <c r="U800" s="357"/>
      <c r="V800" s="357"/>
      <c r="W800" s="8"/>
      <c r="X800" s="8"/>
      <c r="Y800" s="8"/>
      <c r="Z800" s="8"/>
      <c r="AA800" s="8"/>
      <c r="AB800" s="8"/>
    </row>
    <row r="801">
      <c r="A801" s="8"/>
      <c r="B801" s="8"/>
      <c r="C801" s="8"/>
      <c r="D801" s="8"/>
      <c r="E801" s="8"/>
      <c r="F801" s="356"/>
      <c r="G801" s="8"/>
      <c r="H801" s="8"/>
      <c r="I801" s="8"/>
      <c r="J801" s="8"/>
      <c r="K801" s="8"/>
      <c r="L801" s="8"/>
      <c r="M801" s="8"/>
      <c r="N801" s="8"/>
      <c r="O801" s="8"/>
      <c r="P801" s="8"/>
      <c r="Q801" s="8"/>
      <c r="R801" s="8"/>
      <c r="S801" s="357"/>
      <c r="T801" s="357"/>
      <c r="U801" s="357"/>
      <c r="V801" s="357"/>
      <c r="W801" s="8"/>
      <c r="X801" s="8"/>
      <c r="Y801" s="8"/>
      <c r="Z801" s="8"/>
      <c r="AA801" s="8"/>
      <c r="AB801" s="8"/>
    </row>
    <row r="802">
      <c r="A802" s="8"/>
      <c r="B802" s="8"/>
      <c r="C802" s="8"/>
      <c r="D802" s="8"/>
      <c r="E802" s="8"/>
      <c r="F802" s="356"/>
      <c r="G802" s="8"/>
      <c r="H802" s="8"/>
      <c r="I802" s="8"/>
      <c r="J802" s="8"/>
      <c r="K802" s="8"/>
      <c r="L802" s="8"/>
      <c r="M802" s="8"/>
      <c r="N802" s="8"/>
      <c r="O802" s="8"/>
      <c r="P802" s="8"/>
      <c r="Q802" s="8"/>
      <c r="R802" s="8"/>
      <c r="S802" s="357"/>
      <c r="T802" s="357"/>
      <c r="U802" s="357"/>
      <c r="V802" s="357"/>
      <c r="W802" s="8"/>
      <c r="X802" s="8"/>
      <c r="Y802" s="8"/>
      <c r="Z802" s="8"/>
      <c r="AA802" s="8"/>
      <c r="AB802" s="8"/>
    </row>
    <row r="803">
      <c r="A803" s="8"/>
      <c r="B803" s="8"/>
      <c r="C803" s="8"/>
      <c r="D803" s="8"/>
      <c r="E803" s="8"/>
      <c r="F803" s="356"/>
      <c r="G803" s="8"/>
      <c r="H803" s="8"/>
      <c r="I803" s="8"/>
      <c r="J803" s="8"/>
      <c r="K803" s="8"/>
      <c r="L803" s="8"/>
      <c r="M803" s="8"/>
      <c r="N803" s="8"/>
      <c r="O803" s="8"/>
      <c r="P803" s="8"/>
      <c r="Q803" s="8"/>
      <c r="R803" s="8"/>
      <c r="S803" s="357"/>
      <c r="T803" s="357"/>
      <c r="U803" s="357"/>
      <c r="V803" s="357"/>
      <c r="W803" s="8"/>
      <c r="X803" s="8"/>
      <c r="Y803" s="8"/>
      <c r="Z803" s="8"/>
      <c r="AA803" s="8"/>
      <c r="AB803" s="8"/>
    </row>
    <row r="804">
      <c r="A804" s="8"/>
      <c r="B804" s="8"/>
      <c r="C804" s="8"/>
      <c r="D804" s="8"/>
      <c r="E804" s="8"/>
      <c r="F804" s="356"/>
      <c r="G804" s="8"/>
      <c r="H804" s="8"/>
      <c r="I804" s="8"/>
      <c r="J804" s="8"/>
      <c r="K804" s="8"/>
      <c r="L804" s="8"/>
      <c r="M804" s="8"/>
      <c r="N804" s="8"/>
      <c r="O804" s="8"/>
      <c r="P804" s="8"/>
      <c r="Q804" s="8"/>
      <c r="R804" s="8"/>
      <c r="S804" s="357"/>
      <c r="T804" s="357"/>
      <c r="U804" s="357"/>
      <c r="V804" s="357"/>
      <c r="W804" s="8"/>
      <c r="X804" s="8"/>
      <c r="Y804" s="8"/>
      <c r="Z804" s="8"/>
      <c r="AA804" s="8"/>
      <c r="AB804" s="8"/>
    </row>
    <row r="805">
      <c r="A805" s="8"/>
      <c r="B805" s="8"/>
      <c r="C805" s="8"/>
      <c r="D805" s="8"/>
      <c r="E805" s="8"/>
      <c r="F805" s="356"/>
      <c r="G805" s="8"/>
      <c r="H805" s="8"/>
      <c r="I805" s="8"/>
      <c r="J805" s="8"/>
      <c r="K805" s="8"/>
      <c r="L805" s="8"/>
      <c r="M805" s="8"/>
      <c r="N805" s="8"/>
      <c r="O805" s="8"/>
      <c r="P805" s="8"/>
      <c r="Q805" s="8"/>
      <c r="R805" s="8"/>
      <c r="S805" s="357"/>
      <c r="T805" s="357"/>
      <c r="U805" s="357"/>
      <c r="V805" s="357"/>
      <c r="W805" s="8"/>
      <c r="X805" s="8"/>
      <c r="Y805" s="8"/>
      <c r="Z805" s="8"/>
      <c r="AA805" s="8"/>
      <c r="AB805" s="8"/>
    </row>
    <row r="806">
      <c r="A806" s="8"/>
      <c r="B806" s="8"/>
      <c r="C806" s="8"/>
      <c r="D806" s="8"/>
      <c r="E806" s="8"/>
      <c r="F806" s="356"/>
      <c r="G806" s="8"/>
      <c r="H806" s="8"/>
      <c r="I806" s="8"/>
      <c r="J806" s="8"/>
      <c r="K806" s="8"/>
      <c r="L806" s="8"/>
      <c r="M806" s="8"/>
      <c r="N806" s="8"/>
      <c r="O806" s="8"/>
      <c r="P806" s="8"/>
      <c r="Q806" s="8"/>
      <c r="R806" s="8"/>
      <c r="S806" s="357"/>
      <c r="T806" s="357"/>
      <c r="U806" s="357"/>
      <c r="V806" s="357"/>
      <c r="W806" s="8"/>
      <c r="X806" s="8"/>
      <c r="Y806" s="8"/>
      <c r="Z806" s="8"/>
      <c r="AA806" s="8"/>
      <c r="AB806" s="8"/>
    </row>
    <row r="807">
      <c r="A807" s="8"/>
      <c r="B807" s="8"/>
      <c r="C807" s="8"/>
      <c r="D807" s="8"/>
      <c r="E807" s="8"/>
      <c r="F807" s="356"/>
      <c r="G807" s="8"/>
      <c r="H807" s="8"/>
      <c r="I807" s="8"/>
      <c r="J807" s="8"/>
      <c r="K807" s="8"/>
      <c r="L807" s="8"/>
      <c r="M807" s="8"/>
      <c r="N807" s="8"/>
      <c r="O807" s="8"/>
      <c r="P807" s="8"/>
      <c r="Q807" s="8"/>
      <c r="R807" s="8"/>
      <c r="S807" s="357"/>
      <c r="T807" s="357"/>
      <c r="U807" s="357"/>
      <c r="V807" s="357"/>
      <c r="W807" s="8"/>
      <c r="X807" s="8"/>
      <c r="Y807" s="8"/>
      <c r="Z807" s="8"/>
      <c r="AA807" s="8"/>
      <c r="AB807" s="8"/>
    </row>
    <row r="808">
      <c r="A808" s="8"/>
      <c r="B808" s="8"/>
      <c r="C808" s="8"/>
      <c r="D808" s="8"/>
      <c r="E808" s="8"/>
      <c r="F808" s="356"/>
      <c r="G808" s="8"/>
      <c r="H808" s="8"/>
      <c r="I808" s="8"/>
      <c r="J808" s="8"/>
      <c r="K808" s="8"/>
      <c r="L808" s="8"/>
      <c r="M808" s="8"/>
      <c r="N808" s="8"/>
      <c r="O808" s="8"/>
      <c r="P808" s="8"/>
      <c r="Q808" s="8"/>
      <c r="R808" s="8"/>
      <c r="S808" s="357"/>
      <c r="T808" s="357"/>
      <c r="U808" s="357"/>
      <c r="V808" s="357"/>
      <c r="W808" s="8"/>
      <c r="X808" s="8"/>
      <c r="Y808" s="8"/>
      <c r="Z808" s="8"/>
      <c r="AA808" s="8"/>
      <c r="AB808" s="8"/>
    </row>
    <row r="809">
      <c r="A809" s="8"/>
      <c r="B809" s="8"/>
      <c r="C809" s="8"/>
      <c r="D809" s="8"/>
      <c r="E809" s="8"/>
      <c r="F809" s="356"/>
      <c r="G809" s="8"/>
      <c r="H809" s="8"/>
      <c r="I809" s="8"/>
      <c r="J809" s="8"/>
      <c r="K809" s="8"/>
      <c r="L809" s="8"/>
      <c r="M809" s="8"/>
      <c r="N809" s="8"/>
      <c r="O809" s="8"/>
      <c r="P809" s="8"/>
      <c r="Q809" s="8"/>
      <c r="R809" s="8"/>
      <c r="S809" s="357"/>
      <c r="T809" s="357"/>
      <c r="U809" s="357"/>
      <c r="V809" s="357"/>
      <c r="W809" s="8"/>
      <c r="X809" s="8"/>
      <c r="Y809" s="8"/>
      <c r="Z809" s="8"/>
      <c r="AA809" s="8"/>
      <c r="AB809" s="8"/>
    </row>
    <row r="810">
      <c r="A810" s="8"/>
      <c r="B810" s="8"/>
      <c r="C810" s="8"/>
      <c r="D810" s="8"/>
      <c r="E810" s="8"/>
      <c r="F810" s="356"/>
      <c r="G810" s="8"/>
      <c r="H810" s="8"/>
      <c r="I810" s="8"/>
      <c r="J810" s="8"/>
      <c r="K810" s="8"/>
      <c r="L810" s="8"/>
      <c r="M810" s="8"/>
      <c r="N810" s="8"/>
      <c r="O810" s="8"/>
      <c r="P810" s="8"/>
      <c r="Q810" s="8"/>
      <c r="R810" s="8"/>
      <c r="S810" s="357"/>
      <c r="T810" s="357"/>
      <c r="U810" s="357"/>
      <c r="V810" s="357"/>
      <c r="W810" s="8"/>
      <c r="X810" s="8"/>
      <c r="Y810" s="8"/>
      <c r="Z810" s="8"/>
      <c r="AA810" s="8"/>
      <c r="AB810" s="8"/>
    </row>
    <row r="811">
      <c r="A811" s="8"/>
      <c r="B811" s="8"/>
      <c r="C811" s="8"/>
      <c r="D811" s="8"/>
      <c r="E811" s="8"/>
      <c r="F811" s="356"/>
      <c r="G811" s="8"/>
      <c r="H811" s="8"/>
      <c r="I811" s="8"/>
      <c r="J811" s="8"/>
      <c r="K811" s="8"/>
      <c r="L811" s="8"/>
      <c r="M811" s="8"/>
      <c r="N811" s="8"/>
      <c r="O811" s="8"/>
      <c r="P811" s="8"/>
      <c r="Q811" s="8"/>
      <c r="R811" s="8"/>
      <c r="S811" s="357"/>
      <c r="T811" s="357"/>
      <c r="U811" s="357"/>
      <c r="V811" s="357"/>
      <c r="W811" s="8"/>
      <c r="X811" s="8"/>
      <c r="Y811" s="8"/>
      <c r="Z811" s="8"/>
      <c r="AA811" s="8"/>
      <c r="AB811" s="8"/>
    </row>
    <row r="812">
      <c r="A812" s="8"/>
      <c r="B812" s="8"/>
      <c r="C812" s="8"/>
      <c r="D812" s="8"/>
      <c r="E812" s="8"/>
      <c r="F812" s="356"/>
      <c r="G812" s="8"/>
      <c r="H812" s="8"/>
      <c r="I812" s="8"/>
      <c r="J812" s="8"/>
      <c r="K812" s="8"/>
      <c r="L812" s="8"/>
      <c r="M812" s="8"/>
      <c r="N812" s="8"/>
      <c r="O812" s="8"/>
      <c r="P812" s="8"/>
      <c r="Q812" s="8"/>
      <c r="R812" s="8"/>
      <c r="S812" s="357"/>
      <c r="T812" s="357"/>
      <c r="U812" s="357"/>
      <c r="V812" s="357"/>
      <c r="W812" s="8"/>
      <c r="X812" s="8"/>
      <c r="Y812" s="8"/>
      <c r="Z812" s="8"/>
      <c r="AA812" s="8"/>
      <c r="AB812" s="8"/>
    </row>
    <row r="813">
      <c r="A813" s="8"/>
      <c r="B813" s="8"/>
      <c r="C813" s="8"/>
      <c r="D813" s="8"/>
      <c r="E813" s="8"/>
      <c r="F813" s="356"/>
      <c r="G813" s="8"/>
      <c r="H813" s="8"/>
      <c r="I813" s="8"/>
      <c r="J813" s="8"/>
      <c r="K813" s="8"/>
      <c r="L813" s="8"/>
      <c r="M813" s="8"/>
      <c r="N813" s="8"/>
      <c r="O813" s="8"/>
      <c r="P813" s="8"/>
      <c r="Q813" s="8"/>
      <c r="R813" s="8"/>
      <c r="S813" s="357"/>
      <c r="T813" s="357"/>
      <c r="U813" s="357"/>
      <c r="V813" s="357"/>
      <c r="W813" s="8"/>
      <c r="X813" s="8"/>
      <c r="Y813" s="8"/>
      <c r="Z813" s="8"/>
      <c r="AA813" s="8"/>
      <c r="AB813" s="8"/>
    </row>
    <row r="814">
      <c r="A814" s="8"/>
      <c r="B814" s="8"/>
      <c r="C814" s="8"/>
      <c r="D814" s="8"/>
      <c r="E814" s="8"/>
      <c r="F814" s="356"/>
      <c r="G814" s="8"/>
      <c r="H814" s="8"/>
      <c r="I814" s="8"/>
      <c r="J814" s="8"/>
      <c r="K814" s="8"/>
      <c r="L814" s="8"/>
      <c r="M814" s="8"/>
      <c r="N814" s="8"/>
      <c r="O814" s="8"/>
      <c r="P814" s="8"/>
      <c r="Q814" s="8"/>
      <c r="R814" s="8"/>
      <c r="S814" s="357"/>
      <c r="T814" s="357"/>
      <c r="U814" s="357"/>
      <c r="V814" s="357"/>
      <c r="W814" s="8"/>
      <c r="X814" s="8"/>
      <c r="Y814" s="8"/>
      <c r="Z814" s="8"/>
      <c r="AA814" s="8"/>
      <c r="AB814" s="8"/>
    </row>
    <row r="815">
      <c r="A815" s="8"/>
      <c r="B815" s="8"/>
      <c r="C815" s="8"/>
      <c r="D815" s="8"/>
      <c r="E815" s="8"/>
      <c r="F815" s="356"/>
      <c r="G815" s="8"/>
      <c r="H815" s="8"/>
      <c r="I815" s="8"/>
      <c r="J815" s="8"/>
      <c r="K815" s="8"/>
      <c r="L815" s="8"/>
      <c r="M815" s="8"/>
      <c r="N815" s="8"/>
      <c r="O815" s="8"/>
      <c r="P815" s="8"/>
      <c r="Q815" s="8"/>
      <c r="R815" s="8"/>
      <c r="S815" s="357"/>
      <c r="T815" s="357"/>
      <c r="U815" s="357"/>
      <c r="V815" s="357"/>
      <c r="W815" s="8"/>
      <c r="X815" s="8"/>
      <c r="Y815" s="8"/>
      <c r="Z815" s="8"/>
      <c r="AA815" s="8"/>
      <c r="AB815" s="8"/>
    </row>
    <row r="816">
      <c r="A816" s="8"/>
      <c r="B816" s="8"/>
      <c r="C816" s="8"/>
      <c r="D816" s="8"/>
      <c r="E816" s="8"/>
      <c r="F816" s="356"/>
      <c r="G816" s="8"/>
      <c r="H816" s="8"/>
      <c r="I816" s="8"/>
      <c r="J816" s="8"/>
      <c r="K816" s="8"/>
      <c r="L816" s="8"/>
      <c r="M816" s="8"/>
      <c r="N816" s="8"/>
      <c r="O816" s="8"/>
      <c r="P816" s="8"/>
      <c r="Q816" s="8"/>
      <c r="R816" s="8"/>
      <c r="S816" s="357"/>
      <c r="T816" s="357"/>
      <c r="U816" s="357"/>
      <c r="V816" s="357"/>
      <c r="W816" s="8"/>
      <c r="X816" s="8"/>
      <c r="Y816" s="8"/>
      <c r="Z816" s="8"/>
      <c r="AA816" s="8"/>
      <c r="AB816" s="8"/>
    </row>
    <row r="817">
      <c r="A817" s="8"/>
      <c r="B817" s="8"/>
      <c r="C817" s="8"/>
      <c r="D817" s="8"/>
      <c r="E817" s="8"/>
      <c r="F817" s="356"/>
      <c r="G817" s="8"/>
      <c r="H817" s="8"/>
      <c r="I817" s="8"/>
      <c r="J817" s="8"/>
      <c r="K817" s="8"/>
      <c r="L817" s="8"/>
      <c r="M817" s="8"/>
      <c r="N817" s="8"/>
      <c r="O817" s="8"/>
      <c r="P817" s="8"/>
      <c r="Q817" s="8"/>
      <c r="R817" s="8"/>
      <c r="S817" s="357"/>
      <c r="T817" s="357"/>
      <c r="U817" s="357"/>
      <c r="V817" s="357"/>
      <c r="W817" s="8"/>
      <c r="X817" s="8"/>
      <c r="Y817" s="8"/>
      <c r="Z817" s="8"/>
      <c r="AA817" s="8"/>
      <c r="AB817" s="8"/>
    </row>
    <row r="818">
      <c r="A818" s="8"/>
      <c r="B818" s="8"/>
      <c r="C818" s="8"/>
      <c r="D818" s="8"/>
      <c r="E818" s="8"/>
      <c r="F818" s="356"/>
      <c r="G818" s="8"/>
      <c r="H818" s="8"/>
      <c r="I818" s="8"/>
      <c r="J818" s="8"/>
      <c r="K818" s="8"/>
      <c r="L818" s="8"/>
      <c r="M818" s="8"/>
      <c r="N818" s="8"/>
      <c r="O818" s="8"/>
      <c r="P818" s="8"/>
      <c r="Q818" s="8"/>
      <c r="R818" s="8"/>
      <c r="S818" s="357"/>
      <c r="T818" s="357"/>
      <c r="U818" s="357"/>
      <c r="V818" s="357"/>
      <c r="W818" s="8"/>
      <c r="X818" s="8"/>
      <c r="Y818" s="8"/>
      <c r="Z818" s="8"/>
      <c r="AA818" s="8"/>
      <c r="AB818" s="8"/>
    </row>
    <row r="819">
      <c r="A819" s="8"/>
      <c r="B819" s="8"/>
      <c r="C819" s="8"/>
      <c r="D819" s="8"/>
      <c r="E819" s="8"/>
      <c r="F819" s="356"/>
      <c r="G819" s="8"/>
      <c r="H819" s="8"/>
      <c r="I819" s="8"/>
      <c r="J819" s="8"/>
      <c r="K819" s="8"/>
      <c r="L819" s="8"/>
      <c r="M819" s="8"/>
      <c r="N819" s="8"/>
      <c r="O819" s="8"/>
      <c r="P819" s="8"/>
      <c r="Q819" s="8"/>
      <c r="R819" s="8"/>
      <c r="S819" s="357"/>
      <c r="T819" s="357"/>
      <c r="U819" s="357"/>
      <c r="V819" s="357"/>
      <c r="W819" s="8"/>
      <c r="X819" s="8"/>
      <c r="Y819" s="8"/>
      <c r="Z819" s="8"/>
      <c r="AA819" s="8"/>
      <c r="AB819" s="8"/>
    </row>
    <row r="820">
      <c r="A820" s="8"/>
      <c r="B820" s="8"/>
      <c r="C820" s="8"/>
      <c r="D820" s="8"/>
      <c r="E820" s="8"/>
      <c r="F820" s="356"/>
      <c r="G820" s="8"/>
      <c r="H820" s="8"/>
      <c r="I820" s="8"/>
      <c r="J820" s="8"/>
      <c r="K820" s="8"/>
      <c r="L820" s="8"/>
      <c r="M820" s="8"/>
      <c r="N820" s="8"/>
      <c r="O820" s="8"/>
      <c r="P820" s="8"/>
      <c r="Q820" s="8"/>
      <c r="R820" s="8"/>
      <c r="S820" s="357"/>
      <c r="T820" s="357"/>
      <c r="U820" s="357"/>
      <c r="V820" s="357"/>
      <c r="W820" s="8"/>
      <c r="X820" s="8"/>
      <c r="Y820" s="8"/>
      <c r="Z820" s="8"/>
      <c r="AA820" s="8"/>
      <c r="AB820" s="8"/>
    </row>
    <row r="821">
      <c r="A821" s="8"/>
      <c r="B821" s="8"/>
      <c r="C821" s="8"/>
      <c r="D821" s="8"/>
      <c r="E821" s="8"/>
      <c r="F821" s="356"/>
      <c r="G821" s="8"/>
      <c r="H821" s="8"/>
      <c r="I821" s="8"/>
      <c r="J821" s="8"/>
      <c r="K821" s="8"/>
      <c r="L821" s="8"/>
      <c r="M821" s="8"/>
      <c r="N821" s="8"/>
      <c r="O821" s="8"/>
      <c r="P821" s="8"/>
      <c r="Q821" s="8"/>
      <c r="R821" s="8"/>
      <c r="S821" s="357"/>
      <c r="T821" s="357"/>
      <c r="U821" s="357"/>
      <c r="V821" s="357"/>
      <c r="W821" s="8"/>
      <c r="X821" s="8"/>
      <c r="Y821" s="8"/>
      <c r="Z821" s="8"/>
      <c r="AA821" s="8"/>
      <c r="AB821" s="8"/>
    </row>
    <row r="822">
      <c r="A822" s="8"/>
      <c r="B822" s="8"/>
      <c r="C822" s="8"/>
      <c r="D822" s="8"/>
      <c r="E822" s="8"/>
      <c r="F822" s="356"/>
      <c r="G822" s="8"/>
      <c r="H822" s="8"/>
      <c r="I822" s="8"/>
      <c r="J822" s="8"/>
      <c r="K822" s="8"/>
      <c r="L822" s="8"/>
      <c r="M822" s="8"/>
      <c r="N822" s="8"/>
      <c r="O822" s="8"/>
      <c r="P822" s="8"/>
      <c r="Q822" s="8"/>
      <c r="R822" s="8"/>
      <c r="S822" s="357"/>
      <c r="T822" s="357"/>
      <c r="U822" s="357"/>
      <c r="V822" s="357"/>
      <c r="W822" s="8"/>
      <c r="X822" s="8"/>
      <c r="Y822" s="8"/>
      <c r="Z822" s="8"/>
      <c r="AA822" s="8"/>
      <c r="AB822" s="8"/>
    </row>
    <row r="823">
      <c r="A823" s="8"/>
      <c r="B823" s="8"/>
      <c r="C823" s="8"/>
      <c r="D823" s="8"/>
      <c r="E823" s="8"/>
      <c r="F823" s="356"/>
      <c r="G823" s="8"/>
      <c r="H823" s="8"/>
      <c r="I823" s="8"/>
      <c r="J823" s="8"/>
      <c r="K823" s="8"/>
      <c r="L823" s="8"/>
      <c r="M823" s="8"/>
      <c r="N823" s="8"/>
      <c r="O823" s="8"/>
      <c r="P823" s="8"/>
      <c r="Q823" s="8"/>
      <c r="R823" s="8"/>
      <c r="S823" s="357"/>
      <c r="T823" s="357"/>
      <c r="U823" s="357"/>
      <c r="V823" s="357"/>
      <c r="W823" s="8"/>
      <c r="X823" s="8"/>
      <c r="Y823" s="8"/>
      <c r="Z823" s="8"/>
      <c r="AA823" s="8"/>
      <c r="AB823" s="8"/>
    </row>
    <row r="824">
      <c r="A824" s="8"/>
      <c r="B824" s="8"/>
      <c r="C824" s="8"/>
      <c r="D824" s="8"/>
      <c r="E824" s="8"/>
      <c r="F824" s="356"/>
      <c r="G824" s="8"/>
      <c r="H824" s="8"/>
      <c r="I824" s="8"/>
      <c r="J824" s="8"/>
      <c r="K824" s="8"/>
      <c r="L824" s="8"/>
      <c r="M824" s="8"/>
      <c r="N824" s="8"/>
      <c r="O824" s="8"/>
      <c r="P824" s="8"/>
      <c r="Q824" s="8"/>
      <c r="R824" s="8"/>
      <c r="S824" s="357"/>
      <c r="T824" s="357"/>
      <c r="U824" s="357"/>
      <c r="V824" s="357"/>
      <c r="W824" s="8"/>
      <c r="X824" s="8"/>
      <c r="Y824" s="8"/>
      <c r="Z824" s="8"/>
      <c r="AA824" s="8"/>
      <c r="AB824" s="8"/>
    </row>
    <row r="825">
      <c r="A825" s="8"/>
      <c r="B825" s="8"/>
      <c r="C825" s="8"/>
      <c r="D825" s="8"/>
      <c r="E825" s="8"/>
      <c r="F825" s="356"/>
      <c r="G825" s="8"/>
      <c r="H825" s="8"/>
      <c r="I825" s="8"/>
      <c r="J825" s="8"/>
      <c r="K825" s="8"/>
      <c r="L825" s="8"/>
      <c r="M825" s="8"/>
      <c r="N825" s="8"/>
      <c r="O825" s="8"/>
      <c r="P825" s="8"/>
      <c r="Q825" s="8"/>
      <c r="R825" s="8"/>
      <c r="S825" s="357"/>
      <c r="T825" s="357"/>
      <c r="U825" s="357"/>
      <c r="V825" s="357"/>
      <c r="W825" s="8"/>
      <c r="X825" s="8"/>
      <c r="Y825" s="8"/>
      <c r="Z825" s="8"/>
      <c r="AA825" s="8"/>
      <c r="AB825" s="8"/>
    </row>
    <row r="826">
      <c r="A826" s="8"/>
      <c r="B826" s="8"/>
      <c r="C826" s="8"/>
      <c r="D826" s="8"/>
      <c r="E826" s="8"/>
      <c r="F826" s="356"/>
      <c r="G826" s="8"/>
      <c r="H826" s="8"/>
      <c r="I826" s="8"/>
      <c r="J826" s="8"/>
      <c r="K826" s="8"/>
      <c r="L826" s="8"/>
      <c r="M826" s="8"/>
      <c r="N826" s="8"/>
      <c r="O826" s="8"/>
      <c r="P826" s="8"/>
      <c r="Q826" s="8"/>
      <c r="R826" s="8"/>
      <c r="S826" s="357"/>
      <c r="T826" s="357"/>
      <c r="U826" s="357"/>
      <c r="V826" s="357"/>
      <c r="W826" s="8"/>
      <c r="X826" s="8"/>
      <c r="Y826" s="8"/>
      <c r="Z826" s="8"/>
      <c r="AA826" s="8"/>
      <c r="AB826" s="8"/>
    </row>
    <row r="827">
      <c r="A827" s="8"/>
      <c r="B827" s="8"/>
      <c r="C827" s="8"/>
      <c r="D827" s="8"/>
      <c r="E827" s="8"/>
      <c r="F827" s="356"/>
      <c r="G827" s="8"/>
      <c r="H827" s="8"/>
      <c r="I827" s="8"/>
      <c r="J827" s="8"/>
      <c r="K827" s="8"/>
      <c r="L827" s="8"/>
      <c r="M827" s="8"/>
      <c r="N827" s="8"/>
      <c r="O827" s="8"/>
      <c r="P827" s="8"/>
      <c r="Q827" s="8"/>
      <c r="R827" s="8"/>
      <c r="S827" s="357"/>
      <c r="T827" s="357"/>
      <c r="U827" s="357"/>
      <c r="V827" s="357"/>
      <c r="W827" s="8"/>
      <c r="X827" s="8"/>
      <c r="Y827" s="8"/>
      <c r="Z827" s="8"/>
      <c r="AA827" s="8"/>
      <c r="AB827" s="8"/>
    </row>
    <row r="828">
      <c r="A828" s="8"/>
      <c r="B828" s="8"/>
      <c r="C828" s="8"/>
      <c r="D828" s="8"/>
      <c r="E828" s="8"/>
      <c r="F828" s="356"/>
      <c r="G828" s="8"/>
      <c r="H828" s="8"/>
      <c r="I828" s="8"/>
      <c r="J828" s="8"/>
      <c r="K828" s="8"/>
      <c r="L828" s="8"/>
      <c r="M828" s="8"/>
      <c r="N828" s="8"/>
      <c r="O828" s="8"/>
      <c r="P828" s="8"/>
      <c r="Q828" s="8"/>
      <c r="R828" s="8"/>
      <c r="S828" s="357"/>
      <c r="T828" s="357"/>
      <c r="U828" s="357"/>
      <c r="V828" s="357"/>
      <c r="W828" s="8"/>
      <c r="X828" s="8"/>
      <c r="Y828" s="8"/>
      <c r="Z828" s="8"/>
      <c r="AA828" s="8"/>
      <c r="AB828" s="8"/>
    </row>
    <row r="829">
      <c r="A829" s="8"/>
      <c r="B829" s="8"/>
      <c r="C829" s="8"/>
      <c r="D829" s="8"/>
      <c r="E829" s="8"/>
      <c r="F829" s="356"/>
      <c r="G829" s="8"/>
      <c r="H829" s="8"/>
      <c r="I829" s="8"/>
      <c r="J829" s="8"/>
      <c r="K829" s="8"/>
      <c r="L829" s="8"/>
      <c r="M829" s="8"/>
      <c r="N829" s="8"/>
      <c r="O829" s="8"/>
      <c r="P829" s="8"/>
      <c r="Q829" s="8"/>
      <c r="R829" s="8"/>
      <c r="S829" s="357"/>
      <c r="T829" s="357"/>
      <c r="U829" s="357"/>
      <c r="V829" s="357"/>
      <c r="W829" s="8"/>
      <c r="X829" s="8"/>
      <c r="Y829" s="8"/>
      <c r="Z829" s="8"/>
      <c r="AA829" s="8"/>
      <c r="AB829" s="8"/>
    </row>
    <row r="830">
      <c r="A830" s="8"/>
      <c r="B830" s="8"/>
      <c r="C830" s="8"/>
      <c r="D830" s="8"/>
      <c r="E830" s="8"/>
      <c r="F830" s="356"/>
      <c r="G830" s="8"/>
      <c r="H830" s="8"/>
      <c r="I830" s="8"/>
      <c r="J830" s="8"/>
      <c r="K830" s="8"/>
      <c r="L830" s="8"/>
      <c r="M830" s="8"/>
      <c r="N830" s="8"/>
      <c r="O830" s="8"/>
      <c r="P830" s="8"/>
      <c r="Q830" s="8"/>
      <c r="R830" s="8"/>
      <c r="S830" s="357"/>
      <c r="T830" s="357"/>
      <c r="U830" s="357"/>
      <c r="V830" s="357"/>
      <c r="W830" s="8"/>
      <c r="X830" s="8"/>
      <c r="Y830" s="8"/>
      <c r="Z830" s="8"/>
      <c r="AA830" s="8"/>
      <c r="AB830" s="8"/>
    </row>
    <row r="831">
      <c r="A831" s="8"/>
      <c r="B831" s="8"/>
      <c r="C831" s="8"/>
      <c r="D831" s="8"/>
      <c r="E831" s="8"/>
      <c r="F831" s="356"/>
      <c r="G831" s="8"/>
      <c r="H831" s="8"/>
      <c r="I831" s="8"/>
      <c r="J831" s="8"/>
      <c r="K831" s="8"/>
      <c r="L831" s="8"/>
      <c r="M831" s="8"/>
      <c r="N831" s="8"/>
      <c r="O831" s="8"/>
      <c r="P831" s="8"/>
      <c r="Q831" s="8"/>
      <c r="R831" s="8"/>
      <c r="S831" s="357"/>
      <c r="T831" s="357"/>
      <c r="U831" s="357"/>
      <c r="V831" s="357"/>
      <c r="W831" s="8"/>
      <c r="X831" s="8"/>
      <c r="Y831" s="8"/>
      <c r="Z831" s="8"/>
      <c r="AA831" s="8"/>
      <c r="AB831" s="8"/>
    </row>
    <row r="832">
      <c r="A832" s="8"/>
      <c r="B832" s="8"/>
      <c r="C832" s="8"/>
      <c r="D832" s="8"/>
      <c r="E832" s="8"/>
      <c r="F832" s="356"/>
      <c r="G832" s="8"/>
      <c r="H832" s="8"/>
      <c r="I832" s="8"/>
      <c r="J832" s="8"/>
      <c r="K832" s="8"/>
      <c r="L832" s="8"/>
      <c r="M832" s="8"/>
      <c r="N832" s="8"/>
      <c r="O832" s="8"/>
      <c r="P832" s="8"/>
      <c r="Q832" s="8"/>
      <c r="R832" s="8"/>
      <c r="S832" s="357"/>
      <c r="T832" s="357"/>
      <c r="U832" s="357"/>
      <c r="V832" s="357"/>
      <c r="W832" s="8"/>
      <c r="X832" s="8"/>
      <c r="Y832" s="8"/>
      <c r="Z832" s="8"/>
      <c r="AA832" s="8"/>
      <c r="AB832" s="8"/>
    </row>
    <row r="833">
      <c r="A833" s="8"/>
      <c r="B833" s="8"/>
      <c r="C833" s="8"/>
      <c r="D833" s="8"/>
      <c r="E833" s="8"/>
      <c r="F833" s="356"/>
      <c r="G833" s="8"/>
      <c r="H833" s="8"/>
      <c r="I833" s="8"/>
      <c r="J833" s="8"/>
      <c r="K833" s="8"/>
      <c r="L833" s="8"/>
      <c r="M833" s="8"/>
      <c r="N833" s="8"/>
      <c r="O833" s="8"/>
      <c r="P833" s="8"/>
      <c r="Q833" s="8"/>
      <c r="R833" s="8"/>
      <c r="S833" s="357"/>
      <c r="T833" s="357"/>
      <c r="U833" s="357"/>
      <c r="V833" s="357"/>
      <c r="W833" s="8"/>
      <c r="X833" s="8"/>
      <c r="Y833" s="8"/>
      <c r="Z833" s="8"/>
      <c r="AA833" s="8"/>
      <c r="AB833" s="8"/>
    </row>
    <row r="834">
      <c r="A834" s="8"/>
      <c r="B834" s="8"/>
      <c r="C834" s="8"/>
      <c r="D834" s="8"/>
      <c r="E834" s="8"/>
      <c r="F834" s="356"/>
      <c r="G834" s="8"/>
      <c r="H834" s="8"/>
      <c r="I834" s="8"/>
      <c r="J834" s="8"/>
      <c r="K834" s="8"/>
      <c r="L834" s="8"/>
      <c r="M834" s="8"/>
      <c r="N834" s="8"/>
      <c r="O834" s="8"/>
      <c r="P834" s="8"/>
      <c r="Q834" s="8"/>
      <c r="R834" s="8"/>
      <c r="S834" s="357"/>
      <c r="T834" s="357"/>
      <c r="U834" s="357"/>
      <c r="V834" s="357"/>
      <c r="W834" s="8"/>
      <c r="X834" s="8"/>
      <c r="Y834" s="8"/>
      <c r="Z834" s="8"/>
      <c r="AA834" s="8"/>
      <c r="AB834" s="8"/>
    </row>
    <row r="835">
      <c r="A835" s="8"/>
      <c r="B835" s="8"/>
      <c r="C835" s="8"/>
      <c r="D835" s="8"/>
      <c r="E835" s="8"/>
      <c r="F835" s="356"/>
      <c r="G835" s="8"/>
      <c r="H835" s="8"/>
      <c r="I835" s="8"/>
      <c r="J835" s="8"/>
      <c r="K835" s="8"/>
      <c r="L835" s="8"/>
      <c r="M835" s="8"/>
      <c r="N835" s="8"/>
      <c r="O835" s="8"/>
      <c r="P835" s="8"/>
      <c r="Q835" s="8"/>
      <c r="R835" s="8"/>
      <c r="S835" s="357"/>
      <c r="T835" s="357"/>
      <c r="U835" s="357"/>
      <c r="V835" s="357"/>
      <c r="W835" s="8"/>
      <c r="X835" s="8"/>
      <c r="Y835" s="8"/>
      <c r="Z835" s="8"/>
      <c r="AA835" s="8"/>
      <c r="AB835" s="8"/>
    </row>
    <row r="836">
      <c r="A836" s="8"/>
      <c r="B836" s="8"/>
      <c r="C836" s="8"/>
      <c r="D836" s="8"/>
      <c r="E836" s="8"/>
      <c r="F836" s="356"/>
      <c r="G836" s="8"/>
      <c r="H836" s="8"/>
      <c r="I836" s="8"/>
      <c r="J836" s="8"/>
      <c r="K836" s="8"/>
      <c r="L836" s="8"/>
      <c r="M836" s="8"/>
      <c r="N836" s="8"/>
      <c r="O836" s="8"/>
      <c r="P836" s="8"/>
      <c r="Q836" s="8"/>
      <c r="R836" s="8"/>
      <c r="S836" s="357"/>
      <c r="T836" s="357"/>
      <c r="U836" s="357"/>
      <c r="V836" s="357"/>
      <c r="W836" s="8"/>
      <c r="X836" s="8"/>
      <c r="Y836" s="8"/>
      <c r="Z836" s="8"/>
      <c r="AA836" s="8"/>
      <c r="AB836" s="8"/>
    </row>
    <row r="837">
      <c r="A837" s="8"/>
      <c r="B837" s="8"/>
      <c r="C837" s="8"/>
      <c r="D837" s="8"/>
      <c r="E837" s="8"/>
      <c r="F837" s="356"/>
      <c r="G837" s="8"/>
      <c r="H837" s="8"/>
      <c r="I837" s="8"/>
      <c r="J837" s="8"/>
      <c r="K837" s="8"/>
      <c r="L837" s="8"/>
      <c r="M837" s="8"/>
      <c r="N837" s="8"/>
      <c r="O837" s="8"/>
      <c r="P837" s="8"/>
      <c r="Q837" s="8"/>
      <c r="R837" s="8"/>
      <c r="S837" s="357"/>
      <c r="T837" s="357"/>
      <c r="U837" s="357"/>
      <c r="V837" s="357"/>
      <c r="W837" s="8"/>
      <c r="X837" s="8"/>
      <c r="Y837" s="8"/>
      <c r="Z837" s="8"/>
      <c r="AA837" s="8"/>
      <c r="AB837" s="8"/>
    </row>
    <row r="838">
      <c r="A838" s="8"/>
      <c r="B838" s="8"/>
      <c r="C838" s="8"/>
      <c r="D838" s="8"/>
      <c r="E838" s="8"/>
      <c r="F838" s="356"/>
      <c r="G838" s="8"/>
      <c r="H838" s="8"/>
      <c r="I838" s="8"/>
      <c r="J838" s="8"/>
      <c r="K838" s="8"/>
      <c r="L838" s="8"/>
      <c r="M838" s="8"/>
      <c r="N838" s="8"/>
      <c r="O838" s="8"/>
      <c r="P838" s="8"/>
      <c r="Q838" s="8"/>
      <c r="R838" s="8"/>
      <c r="S838" s="357"/>
      <c r="T838" s="357"/>
      <c r="U838" s="357"/>
      <c r="V838" s="357"/>
      <c r="W838" s="8"/>
      <c r="X838" s="8"/>
      <c r="Y838" s="8"/>
      <c r="Z838" s="8"/>
      <c r="AA838" s="8"/>
      <c r="AB838" s="8"/>
    </row>
    <row r="839">
      <c r="A839" s="8"/>
      <c r="B839" s="8"/>
      <c r="C839" s="8"/>
      <c r="D839" s="8"/>
      <c r="E839" s="8"/>
      <c r="F839" s="356"/>
      <c r="G839" s="8"/>
      <c r="H839" s="8"/>
      <c r="I839" s="8"/>
      <c r="J839" s="8"/>
      <c r="K839" s="8"/>
      <c r="L839" s="8"/>
      <c r="M839" s="8"/>
      <c r="N839" s="8"/>
      <c r="O839" s="8"/>
      <c r="P839" s="8"/>
      <c r="Q839" s="8"/>
      <c r="R839" s="8"/>
      <c r="S839" s="357"/>
      <c r="T839" s="357"/>
      <c r="U839" s="357"/>
      <c r="V839" s="357"/>
      <c r="W839" s="8"/>
      <c r="X839" s="8"/>
      <c r="Y839" s="8"/>
      <c r="Z839" s="8"/>
      <c r="AA839" s="8"/>
      <c r="AB839" s="8"/>
    </row>
    <row r="840">
      <c r="A840" s="8"/>
      <c r="B840" s="8"/>
      <c r="C840" s="8"/>
      <c r="D840" s="8"/>
      <c r="E840" s="8"/>
      <c r="F840" s="356"/>
      <c r="G840" s="8"/>
      <c r="H840" s="8"/>
      <c r="I840" s="8"/>
      <c r="J840" s="8"/>
      <c r="K840" s="8"/>
      <c r="L840" s="8"/>
      <c r="M840" s="8"/>
      <c r="N840" s="8"/>
      <c r="O840" s="8"/>
      <c r="P840" s="8"/>
      <c r="Q840" s="8"/>
      <c r="R840" s="8"/>
      <c r="S840" s="357"/>
      <c r="T840" s="357"/>
      <c r="U840" s="357"/>
      <c r="V840" s="357"/>
      <c r="W840" s="8"/>
      <c r="X840" s="8"/>
      <c r="Y840" s="8"/>
      <c r="Z840" s="8"/>
      <c r="AA840" s="8"/>
      <c r="AB840" s="8"/>
    </row>
    <row r="841">
      <c r="A841" s="8"/>
      <c r="B841" s="8"/>
      <c r="C841" s="8"/>
      <c r="D841" s="8"/>
      <c r="E841" s="8"/>
      <c r="F841" s="356"/>
      <c r="G841" s="8"/>
      <c r="H841" s="8"/>
      <c r="I841" s="8"/>
      <c r="J841" s="8"/>
      <c r="K841" s="8"/>
      <c r="L841" s="8"/>
      <c r="M841" s="8"/>
      <c r="N841" s="8"/>
      <c r="O841" s="8"/>
      <c r="P841" s="8"/>
      <c r="Q841" s="8"/>
      <c r="R841" s="8"/>
      <c r="S841" s="357"/>
      <c r="T841" s="357"/>
      <c r="U841" s="357"/>
      <c r="V841" s="357"/>
      <c r="W841" s="8"/>
      <c r="X841" s="8"/>
      <c r="Y841" s="8"/>
      <c r="Z841" s="8"/>
      <c r="AA841" s="8"/>
      <c r="AB841" s="8"/>
    </row>
    <row r="842">
      <c r="A842" s="8"/>
      <c r="B842" s="8"/>
      <c r="C842" s="8"/>
      <c r="D842" s="8"/>
      <c r="E842" s="8"/>
      <c r="F842" s="356"/>
      <c r="G842" s="8"/>
      <c r="H842" s="8"/>
      <c r="I842" s="8"/>
      <c r="J842" s="8"/>
      <c r="K842" s="8"/>
      <c r="L842" s="8"/>
      <c r="M842" s="8"/>
      <c r="N842" s="8"/>
      <c r="O842" s="8"/>
      <c r="P842" s="8"/>
      <c r="Q842" s="8"/>
      <c r="R842" s="8"/>
      <c r="S842" s="357"/>
      <c r="T842" s="357"/>
      <c r="U842" s="357"/>
      <c r="V842" s="357"/>
      <c r="W842" s="8"/>
      <c r="X842" s="8"/>
      <c r="Y842" s="8"/>
      <c r="Z842" s="8"/>
      <c r="AA842" s="8"/>
      <c r="AB842" s="8"/>
    </row>
    <row r="843">
      <c r="A843" s="8"/>
      <c r="B843" s="8"/>
      <c r="C843" s="8"/>
      <c r="D843" s="8"/>
      <c r="E843" s="8"/>
      <c r="F843" s="356"/>
      <c r="G843" s="8"/>
      <c r="H843" s="8"/>
      <c r="I843" s="8"/>
      <c r="J843" s="8"/>
      <c r="K843" s="8"/>
      <c r="L843" s="8"/>
      <c r="M843" s="8"/>
      <c r="N843" s="8"/>
      <c r="O843" s="8"/>
      <c r="P843" s="8"/>
      <c r="Q843" s="8"/>
      <c r="R843" s="8"/>
      <c r="S843" s="357"/>
      <c r="T843" s="357"/>
      <c r="U843" s="357"/>
      <c r="V843" s="357"/>
      <c r="W843" s="8"/>
      <c r="X843" s="8"/>
      <c r="Y843" s="8"/>
      <c r="Z843" s="8"/>
      <c r="AA843" s="8"/>
      <c r="AB843" s="8"/>
    </row>
    <row r="844">
      <c r="A844" s="8"/>
      <c r="B844" s="8"/>
      <c r="C844" s="8"/>
      <c r="D844" s="8"/>
      <c r="E844" s="8"/>
      <c r="F844" s="356"/>
      <c r="G844" s="8"/>
      <c r="H844" s="8"/>
      <c r="I844" s="8"/>
      <c r="J844" s="8"/>
      <c r="K844" s="8"/>
      <c r="L844" s="8"/>
      <c r="M844" s="8"/>
      <c r="N844" s="8"/>
      <c r="O844" s="8"/>
      <c r="P844" s="8"/>
      <c r="Q844" s="8"/>
      <c r="R844" s="8"/>
      <c r="S844" s="357"/>
      <c r="T844" s="357"/>
      <c r="U844" s="357"/>
      <c r="V844" s="357"/>
      <c r="W844" s="8"/>
      <c r="X844" s="8"/>
      <c r="Y844" s="8"/>
      <c r="Z844" s="8"/>
      <c r="AA844" s="8"/>
      <c r="AB844" s="8"/>
    </row>
    <row r="845">
      <c r="A845" s="8"/>
      <c r="B845" s="8"/>
      <c r="C845" s="8"/>
      <c r="D845" s="8"/>
      <c r="E845" s="8"/>
      <c r="F845" s="356"/>
      <c r="G845" s="8"/>
      <c r="H845" s="8"/>
      <c r="I845" s="8"/>
      <c r="J845" s="8"/>
      <c r="K845" s="8"/>
      <c r="L845" s="8"/>
      <c r="M845" s="8"/>
      <c r="N845" s="8"/>
      <c r="O845" s="8"/>
      <c r="P845" s="8"/>
      <c r="Q845" s="8"/>
      <c r="R845" s="8"/>
      <c r="S845" s="357"/>
      <c r="T845" s="357"/>
      <c r="U845" s="357"/>
      <c r="V845" s="357"/>
      <c r="W845" s="8"/>
      <c r="X845" s="8"/>
      <c r="Y845" s="8"/>
      <c r="Z845" s="8"/>
      <c r="AA845" s="8"/>
      <c r="AB845" s="8"/>
    </row>
    <row r="846">
      <c r="A846" s="8"/>
      <c r="B846" s="8"/>
      <c r="C846" s="8"/>
      <c r="D846" s="8"/>
      <c r="E846" s="8"/>
      <c r="F846" s="356"/>
      <c r="G846" s="8"/>
      <c r="H846" s="8"/>
      <c r="I846" s="8"/>
      <c r="J846" s="8"/>
      <c r="K846" s="8"/>
      <c r="L846" s="8"/>
      <c r="M846" s="8"/>
      <c r="N846" s="8"/>
      <c r="O846" s="8"/>
      <c r="P846" s="8"/>
      <c r="Q846" s="8"/>
      <c r="R846" s="8"/>
      <c r="S846" s="357"/>
      <c r="T846" s="357"/>
      <c r="U846" s="357"/>
      <c r="V846" s="357"/>
      <c r="W846" s="8"/>
      <c r="X846" s="8"/>
      <c r="Y846" s="8"/>
      <c r="Z846" s="8"/>
      <c r="AA846" s="8"/>
      <c r="AB846" s="8"/>
    </row>
    <row r="847">
      <c r="A847" s="8"/>
      <c r="B847" s="8"/>
      <c r="C847" s="8"/>
      <c r="D847" s="8"/>
      <c r="E847" s="8"/>
      <c r="F847" s="356"/>
      <c r="G847" s="8"/>
      <c r="H847" s="8"/>
      <c r="I847" s="8"/>
      <c r="J847" s="8"/>
      <c r="K847" s="8"/>
      <c r="L847" s="8"/>
      <c r="M847" s="8"/>
      <c r="N847" s="8"/>
      <c r="O847" s="8"/>
      <c r="P847" s="8"/>
      <c r="Q847" s="8"/>
      <c r="R847" s="8"/>
      <c r="S847" s="357"/>
      <c r="T847" s="357"/>
      <c r="U847" s="357"/>
      <c r="V847" s="357"/>
      <c r="W847" s="8"/>
      <c r="X847" s="8"/>
      <c r="Y847" s="8"/>
      <c r="Z847" s="8"/>
      <c r="AA847" s="8"/>
      <c r="AB847" s="8"/>
    </row>
    <row r="848">
      <c r="A848" s="8"/>
      <c r="B848" s="8"/>
      <c r="C848" s="8"/>
      <c r="D848" s="8"/>
      <c r="E848" s="8"/>
      <c r="F848" s="356"/>
      <c r="G848" s="8"/>
      <c r="H848" s="8"/>
      <c r="I848" s="8"/>
      <c r="J848" s="8"/>
      <c r="K848" s="8"/>
      <c r="L848" s="8"/>
      <c r="M848" s="8"/>
      <c r="N848" s="8"/>
      <c r="O848" s="8"/>
      <c r="P848" s="8"/>
      <c r="Q848" s="8"/>
      <c r="R848" s="8"/>
      <c r="S848" s="357"/>
      <c r="T848" s="357"/>
      <c r="U848" s="357"/>
      <c r="V848" s="357"/>
      <c r="W848" s="8"/>
      <c r="X848" s="8"/>
      <c r="Y848" s="8"/>
      <c r="Z848" s="8"/>
      <c r="AA848" s="8"/>
      <c r="AB848" s="8"/>
    </row>
    <row r="849">
      <c r="A849" s="8"/>
      <c r="B849" s="8"/>
      <c r="C849" s="8"/>
      <c r="D849" s="8"/>
      <c r="E849" s="8"/>
      <c r="F849" s="356"/>
      <c r="G849" s="8"/>
      <c r="H849" s="8"/>
      <c r="I849" s="8"/>
      <c r="J849" s="8"/>
      <c r="K849" s="8"/>
      <c r="L849" s="8"/>
      <c r="M849" s="8"/>
      <c r="N849" s="8"/>
      <c r="O849" s="8"/>
      <c r="P849" s="8"/>
      <c r="Q849" s="8"/>
      <c r="R849" s="8"/>
      <c r="S849" s="357"/>
      <c r="T849" s="357"/>
      <c r="U849" s="357"/>
      <c r="V849" s="357"/>
      <c r="W849" s="8"/>
      <c r="X849" s="8"/>
      <c r="Y849" s="8"/>
      <c r="Z849" s="8"/>
      <c r="AA849" s="8"/>
      <c r="AB849" s="8"/>
    </row>
    <row r="850">
      <c r="A850" s="8"/>
      <c r="B850" s="8"/>
      <c r="C850" s="8"/>
      <c r="D850" s="8"/>
      <c r="E850" s="8"/>
      <c r="F850" s="356"/>
      <c r="G850" s="8"/>
      <c r="H850" s="8"/>
      <c r="I850" s="8"/>
      <c r="J850" s="8"/>
      <c r="K850" s="8"/>
      <c r="L850" s="8"/>
      <c r="M850" s="8"/>
      <c r="N850" s="8"/>
      <c r="O850" s="8"/>
      <c r="P850" s="8"/>
      <c r="Q850" s="8"/>
      <c r="R850" s="8"/>
      <c r="S850" s="357"/>
      <c r="T850" s="357"/>
      <c r="U850" s="357"/>
      <c r="V850" s="357"/>
      <c r="W850" s="8"/>
      <c r="X850" s="8"/>
      <c r="Y850" s="8"/>
      <c r="Z850" s="8"/>
      <c r="AA850" s="8"/>
      <c r="AB850" s="8"/>
    </row>
    <row r="851">
      <c r="A851" s="8"/>
      <c r="B851" s="8"/>
      <c r="C851" s="8"/>
      <c r="D851" s="8"/>
      <c r="E851" s="8"/>
      <c r="F851" s="356"/>
      <c r="G851" s="8"/>
      <c r="H851" s="8"/>
      <c r="I851" s="8"/>
      <c r="J851" s="8"/>
      <c r="K851" s="8"/>
      <c r="L851" s="8"/>
      <c r="M851" s="8"/>
      <c r="N851" s="8"/>
      <c r="O851" s="8"/>
      <c r="P851" s="8"/>
      <c r="Q851" s="8"/>
      <c r="R851" s="8"/>
      <c r="S851" s="357"/>
      <c r="T851" s="357"/>
      <c r="U851" s="357"/>
      <c r="V851" s="357"/>
      <c r="W851" s="8"/>
      <c r="X851" s="8"/>
      <c r="Y851" s="8"/>
      <c r="Z851" s="8"/>
      <c r="AA851" s="8"/>
      <c r="AB851" s="8"/>
    </row>
    <row r="852">
      <c r="A852" s="8"/>
      <c r="B852" s="8"/>
      <c r="C852" s="8"/>
      <c r="D852" s="8"/>
      <c r="E852" s="8"/>
      <c r="F852" s="356"/>
      <c r="G852" s="8"/>
      <c r="H852" s="8"/>
      <c r="I852" s="8"/>
      <c r="J852" s="8"/>
      <c r="K852" s="8"/>
      <c r="L852" s="8"/>
      <c r="M852" s="8"/>
      <c r="N852" s="8"/>
      <c r="O852" s="8"/>
      <c r="P852" s="8"/>
      <c r="Q852" s="8"/>
      <c r="R852" s="8"/>
      <c r="S852" s="357"/>
      <c r="T852" s="357"/>
      <c r="U852" s="357"/>
      <c r="V852" s="357"/>
      <c r="W852" s="8"/>
      <c r="X852" s="8"/>
      <c r="Y852" s="8"/>
      <c r="Z852" s="8"/>
      <c r="AA852" s="8"/>
      <c r="AB852" s="8"/>
    </row>
    <row r="853">
      <c r="A853" s="8"/>
      <c r="B853" s="8"/>
      <c r="C853" s="8"/>
      <c r="D853" s="8"/>
      <c r="E853" s="8"/>
      <c r="F853" s="356"/>
      <c r="G853" s="8"/>
      <c r="H853" s="8"/>
      <c r="I853" s="8"/>
      <c r="J853" s="8"/>
      <c r="K853" s="8"/>
      <c r="L853" s="8"/>
      <c r="M853" s="8"/>
      <c r="N853" s="8"/>
      <c r="O853" s="8"/>
      <c r="P853" s="8"/>
      <c r="Q853" s="8"/>
      <c r="R853" s="8"/>
      <c r="S853" s="357"/>
      <c r="T853" s="357"/>
      <c r="U853" s="357"/>
      <c r="V853" s="357"/>
      <c r="W853" s="8"/>
      <c r="X853" s="8"/>
      <c r="Y853" s="8"/>
      <c r="Z853" s="8"/>
      <c r="AA853" s="8"/>
      <c r="AB853" s="8"/>
    </row>
    <row r="854">
      <c r="A854" s="8"/>
      <c r="B854" s="8"/>
      <c r="C854" s="8"/>
      <c r="D854" s="8"/>
      <c r="E854" s="8"/>
      <c r="F854" s="356"/>
      <c r="G854" s="8"/>
      <c r="H854" s="8"/>
      <c r="I854" s="8"/>
      <c r="J854" s="8"/>
      <c r="K854" s="8"/>
      <c r="L854" s="8"/>
      <c r="M854" s="8"/>
      <c r="N854" s="8"/>
      <c r="O854" s="8"/>
      <c r="P854" s="8"/>
      <c r="Q854" s="8"/>
      <c r="R854" s="8"/>
      <c r="S854" s="357"/>
      <c r="T854" s="357"/>
      <c r="U854" s="357"/>
      <c r="V854" s="357"/>
      <c r="W854" s="8"/>
      <c r="X854" s="8"/>
      <c r="Y854" s="8"/>
      <c r="Z854" s="8"/>
      <c r="AA854" s="8"/>
      <c r="AB854" s="8"/>
    </row>
    <row r="855">
      <c r="A855" s="8"/>
      <c r="B855" s="8"/>
      <c r="C855" s="8"/>
      <c r="D855" s="8"/>
      <c r="E855" s="8"/>
      <c r="F855" s="356"/>
      <c r="G855" s="8"/>
      <c r="H855" s="8"/>
      <c r="I855" s="8"/>
      <c r="J855" s="8"/>
      <c r="K855" s="8"/>
      <c r="L855" s="8"/>
      <c r="M855" s="8"/>
      <c r="N855" s="8"/>
      <c r="O855" s="8"/>
      <c r="P855" s="8"/>
      <c r="Q855" s="8"/>
      <c r="R855" s="8"/>
      <c r="S855" s="357"/>
      <c r="T855" s="357"/>
      <c r="U855" s="357"/>
      <c r="V855" s="357"/>
      <c r="W855" s="8"/>
      <c r="X855" s="8"/>
      <c r="Y855" s="8"/>
      <c r="Z855" s="8"/>
      <c r="AA855" s="8"/>
      <c r="AB855" s="8"/>
    </row>
    <row r="856">
      <c r="A856" s="8"/>
      <c r="B856" s="8"/>
      <c r="C856" s="8"/>
      <c r="D856" s="8"/>
      <c r="E856" s="8"/>
      <c r="F856" s="356"/>
      <c r="G856" s="8"/>
      <c r="H856" s="8"/>
      <c r="I856" s="8"/>
      <c r="J856" s="8"/>
      <c r="K856" s="8"/>
      <c r="L856" s="8"/>
      <c r="M856" s="8"/>
      <c r="N856" s="8"/>
      <c r="O856" s="8"/>
      <c r="P856" s="8"/>
      <c r="Q856" s="8"/>
      <c r="R856" s="8"/>
      <c r="S856" s="357"/>
      <c r="T856" s="357"/>
      <c r="U856" s="357"/>
      <c r="V856" s="357"/>
      <c r="W856" s="8"/>
      <c r="X856" s="8"/>
      <c r="Y856" s="8"/>
      <c r="Z856" s="8"/>
      <c r="AA856" s="8"/>
      <c r="AB856" s="8"/>
    </row>
    <row r="857">
      <c r="A857" s="8"/>
      <c r="B857" s="8"/>
      <c r="C857" s="8"/>
      <c r="D857" s="8"/>
      <c r="E857" s="8"/>
      <c r="F857" s="356"/>
      <c r="G857" s="8"/>
      <c r="H857" s="8"/>
      <c r="I857" s="8"/>
      <c r="J857" s="8"/>
      <c r="K857" s="8"/>
      <c r="L857" s="8"/>
      <c r="M857" s="8"/>
      <c r="N857" s="8"/>
      <c r="O857" s="8"/>
      <c r="P857" s="8"/>
      <c r="Q857" s="8"/>
      <c r="R857" s="8"/>
      <c r="S857" s="357"/>
      <c r="T857" s="357"/>
      <c r="U857" s="357"/>
      <c r="V857" s="357"/>
      <c r="W857" s="8"/>
      <c r="X857" s="8"/>
      <c r="Y857" s="8"/>
      <c r="Z857" s="8"/>
      <c r="AA857" s="8"/>
      <c r="AB857" s="8"/>
    </row>
    <row r="858">
      <c r="A858" s="8"/>
      <c r="B858" s="8"/>
      <c r="C858" s="8"/>
      <c r="D858" s="8"/>
      <c r="E858" s="8"/>
      <c r="F858" s="356"/>
      <c r="G858" s="8"/>
      <c r="H858" s="8"/>
      <c r="I858" s="8"/>
      <c r="J858" s="8"/>
      <c r="K858" s="8"/>
      <c r="L858" s="8"/>
      <c r="M858" s="8"/>
      <c r="N858" s="8"/>
      <c r="O858" s="8"/>
      <c r="P858" s="8"/>
      <c r="Q858" s="8"/>
      <c r="R858" s="8"/>
      <c r="S858" s="357"/>
      <c r="T858" s="357"/>
      <c r="U858" s="357"/>
      <c r="V858" s="357"/>
      <c r="W858" s="8"/>
      <c r="X858" s="8"/>
      <c r="Y858" s="8"/>
      <c r="Z858" s="8"/>
      <c r="AA858" s="8"/>
      <c r="AB858" s="8"/>
    </row>
    <row r="859">
      <c r="A859" s="8"/>
      <c r="B859" s="8"/>
      <c r="C859" s="8"/>
      <c r="D859" s="8"/>
      <c r="E859" s="8"/>
      <c r="F859" s="356"/>
      <c r="G859" s="8"/>
      <c r="H859" s="8"/>
      <c r="I859" s="8"/>
      <c r="J859" s="8"/>
      <c r="K859" s="8"/>
      <c r="L859" s="8"/>
      <c r="M859" s="8"/>
      <c r="N859" s="8"/>
      <c r="O859" s="8"/>
      <c r="P859" s="8"/>
      <c r="Q859" s="8"/>
      <c r="R859" s="8"/>
      <c r="S859" s="357"/>
      <c r="T859" s="357"/>
      <c r="U859" s="357"/>
      <c r="V859" s="357"/>
      <c r="W859" s="8"/>
      <c r="X859" s="8"/>
      <c r="Y859" s="8"/>
      <c r="Z859" s="8"/>
      <c r="AA859" s="8"/>
      <c r="AB859" s="8"/>
    </row>
    <row r="860">
      <c r="A860" s="8"/>
      <c r="B860" s="8"/>
      <c r="C860" s="8"/>
      <c r="D860" s="8"/>
      <c r="E860" s="8"/>
      <c r="F860" s="356"/>
      <c r="G860" s="8"/>
      <c r="H860" s="8"/>
      <c r="I860" s="8"/>
      <c r="J860" s="8"/>
      <c r="K860" s="8"/>
      <c r="L860" s="8"/>
      <c r="M860" s="8"/>
      <c r="N860" s="8"/>
      <c r="O860" s="8"/>
      <c r="P860" s="8"/>
      <c r="Q860" s="8"/>
      <c r="R860" s="8"/>
      <c r="S860" s="357"/>
      <c r="T860" s="357"/>
      <c r="U860" s="357"/>
      <c r="V860" s="357"/>
      <c r="W860" s="8"/>
      <c r="X860" s="8"/>
      <c r="Y860" s="8"/>
      <c r="Z860" s="8"/>
      <c r="AA860" s="8"/>
      <c r="AB860" s="8"/>
    </row>
    <row r="861">
      <c r="A861" s="8"/>
      <c r="B861" s="8"/>
      <c r="C861" s="8"/>
      <c r="D861" s="8"/>
      <c r="E861" s="8"/>
      <c r="F861" s="356"/>
      <c r="G861" s="8"/>
      <c r="H861" s="8"/>
      <c r="I861" s="8"/>
      <c r="J861" s="8"/>
      <c r="K861" s="8"/>
      <c r="L861" s="8"/>
      <c r="M861" s="8"/>
      <c r="N861" s="8"/>
      <c r="O861" s="8"/>
      <c r="P861" s="8"/>
      <c r="Q861" s="8"/>
      <c r="R861" s="8"/>
      <c r="S861" s="357"/>
      <c r="T861" s="357"/>
      <c r="U861" s="357"/>
      <c r="V861" s="357"/>
      <c r="W861" s="8"/>
      <c r="X861" s="8"/>
      <c r="Y861" s="8"/>
      <c r="Z861" s="8"/>
      <c r="AA861" s="8"/>
      <c r="AB861" s="8"/>
    </row>
    <row r="862">
      <c r="A862" s="8"/>
      <c r="B862" s="8"/>
      <c r="C862" s="8"/>
      <c r="D862" s="8"/>
      <c r="E862" s="8"/>
      <c r="F862" s="356"/>
      <c r="G862" s="8"/>
      <c r="H862" s="8"/>
      <c r="I862" s="8"/>
      <c r="J862" s="8"/>
      <c r="K862" s="8"/>
      <c r="L862" s="8"/>
      <c r="M862" s="8"/>
      <c r="N862" s="8"/>
      <c r="O862" s="8"/>
      <c r="P862" s="8"/>
      <c r="Q862" s="8"/>
      <c r="R862" s="8"/>
      <c r="S862" s="357"/>
      <c r="T862" s="357"/>
      <c r="U862" s="357"/>
      <c r="V862" s="357"/>
      <c r="W862" s="8"/>
      <c r="X862" s="8"/>
      <c r="Y862" s="8"/>
      <c r="Z862" s="8"/>
      <c r="AA862" s="8"/>
      <c r="AB862" s="8"/>
    </row>
    <row r="863">
      <c r="A863" s="8"/>
      <c r="B863" s="8"/>
      <c r="C863" s="8"/>
      <c r="D863" s="8"/>
      <c r="E863" s="8"/>
      <c r="F863" s="356"/>
      <c r="G863" s="8"/>
      <c r="H863" s="8"/>
      <c r="I863" s="8"/>
      <c r="J863" s="8"/>
      <c r="K863" s="8"/>
      <c r="L863" s="8"/>
      <c r="M863" s="8"/>
      <c r="N863" s="8"/>
      <c r="O863" s="8"/>
      <c r="P863" s="8"/>
      <c r="Q863" s="8"/>
      <c r="R863" s="8"/>
      <c r="S863" s="357"/>
      <c r="T863" s="357"/>
      <c r="U863" s="357"/>
      <c r="V863" s="357"/>
      <c r="W863" s="8"/>
      <c r="X863" s="8"/>
      <c r="Y863" s="8"/>
      <c r="Z863" s="8"/>
      <c r="AA863" s="8"/>
      <c r="AB863" s="8"/>
    </row>
    <row r="864">
      <c r="A864" s="8"/>
      <c r="B864" s="8"/>
      <c r="C864" s="8"/>
      <c r="D864" s="8"/>
      <c r="E864" s="8"/>
      <c r="F864" s="356"/>
      <c r="G864" s="8"/>
      <c r="H864" s="8"/>
      <c r="I864" s="8"/>
      <c r="J864" s="8"/>
      <c r="K864" s="8"/>
      <c r="L864" s="8"/>
      <c r="M864" s="8"/>
      <c r="N864" s="8"/>
      <c r="O864" s="8"/>
      <c r="P864" s="8"/>
      <c r="Q864" s="8"/>
      <c r="R864" s="8"/>
      <c r="S864" s="357"/>
      <c r="T864" s="357"/>
      <c r="U864" s="357"/>
      <c r="V864" s="357"/>
      <c r="W864" s="8"/>
      <c r="X864" s="8"/>
      <c r="Y864" s="8"/>
      <c r="Z864" s="8"/>
      <c r="AA864" s="8"/>
      <c r="AB864" s="8"/>
    </row>
    <row r="865">
      <c r="A865" s="8"/>
      <c r="B865" s="8"/>
      <c r="C865" s="8"/>
      <c r="D865" s="8"/>
      <c r="E865" s="8"/>
      <c r="F865" s="356"/>
      <c r="G865" s="8"/>
      <c r="H865" s="8"/>
      <c r="I865" s="8"/>
      <c r="J865" s="8"/>
      <c r="K865" s="8"/>
      <c r="L865" s="8"/>
      <c r="M865" s="8"/>
      <c r="N865" s="8"/>
      <c r="O865" s="8"/>
      <c r="P865" s="8"/>
      <c r="Q865" s="8"/>
      <c r="R865" s="8"/>
      <c r="S865" s="357"/>
      <c r="T865" s="357"/>
      <c r="U865" s="357"/>
      <c r="V865" s="357"/>
      <c r="W865" s="8"/>
      <c r="X865" s="8"/>
      <c r="Y865" s="8"/>
      <c r="Z865" s="8"/>
      <c r="AA865" s="8"/>
      <c r="AB865" s="8"/>
    </row>
    <row r="866">
      <c r="A866" s="8"/>
      <c r="B866" s="8"/>
      <c r="C866" s="8"/>
      <c r="D866" s="8"/>
      <c r="E866" s="8"/>
      <c r="F866" s="356"/>
      <c r="G866" s="8"/>
      <c r="H866" s="8"/>
      <c r="I866" s="8"/>
      <c r="J866" s="8"/>
      <c r="K866" s="8"/>
      <c r="L866" s="8"/>
      <c r="M866" s="8"/>
      <c r="N866" s="8"/>
      <c r="O866" s="8"/>
      <c r="P866" s="8"/>
      <c r="Q866" s="8"/>
      <c r="R866" s="8"/>
      <c r="S866" s="357"/>
      <c r="T866" s="357"/>
      <c r="U866" s="357"/>
      <c r="V866" s="357"/>
      <c r="W866" s="8"/>
      <c r="X866" s="8"/>
      <c r="Y866" s="8"/>
      <c r="Z866" s="8"/>
      <c r="AA866" s="8"/>
      <c r="AB866" s="8"/>
    </row>
    <row r="867">
      <c r="A867" s="8"/>
      <c r="B867" s="8"/>
      <c r="C867" s="8"/>
      <c r="D867" s="8"/>
      <c r="E867" s="8"/>
      <c r="F867" s="356"/>
      <c r="G867" s="8"/>
      <c r="H867" s="8"/>
      <c r="I867" s="8"/>
      <c r="J867" s="8"/>
      <c r="K867" s="8"/>
      <c r="L867" s="8"/>
      <c r="M867" s="8"/>
      <c r="N867" s="8"/>
      <c r="O867" s="8"/>
      <c r="P867" s="8"/>
      <c r="Q867" s="8"/>
      <c r="R867" s="8"/>
      <c r="S867" s="357"/>
      <c r="T867" s="357"/>
      <c r="U867" s="357"/>
      <c r="V867" s="357"/>
      <c r="W867" s="8"/>
      <c r="X867" s="8"/>
      <c r="Y867" s="8"/>
      <c r="Z867" s="8"/>
      <c r="AA867" s="8"/>
      <c r="AB867" s="8"/>
    </row>
    <row r="868">
      <c r="A868" s="8"/>
      <c r="B868" s="8"/>
      <c r="C868" s="8"/>
      <c r="D868" s="8"/>
      <c r="E868" s="8"/>
      <c r="F868" s="356"/>
      <c r="G868" s="8"/>
      <c r="H868" s="8"/>
      <c r="I868" s="8"/>
      <c r="J868" s="8"/>
      <c r="K868" s="8"/>
      <c r="L868" s="8"/>
      <c r="M868" s="8"/>
      <c r="N868" s="8"/>
      <c r="O868" s="8"/>
      <c r="P868" s="8"/>
      <c r="Q868" s="8"/>
      <c r="R868" s="8"/>
      <c r="S868" s="357"/>
      <c r="T868" s="357"/>
      <c r="U868" s="357"/>
      <c r="V868" s="357"/>
      <c r="W868" s="8"/>
      <c r="X868" s="8"/>
      <c r="Y868" s="8"/>
      <c r="Z868" s="8"/>
      <c r="AA868" s="8"/>
      <c r="AB868" s="8"/>
    </row>
    <row r="869">
      <c r="A869" s="8"/>
      <c r="B869" s="8"/>
      <c r="C869" s="8"/>
      <c r="D869" s="8"/>
      <c r="E869" s="8"/>
      <c r="F869" s="356"/>
      <c r="G869" s="8"/>
      <c r="H869" s="8"/>
      <c r="I869" s="8"/>
      <c r="J869" s="8"/>
      <c r="K869" s="8"/>
      <c r="L869" s="8"/>
      <c r="M869" s="8"/>
      <c r="N869" s="8"/>
      <c r="O869" s="8"/>
      <c r="P869" s="8"/>
      <c r="Q869" s="8"/>
      <c r="R869" s="8"/>
      <c r="S869" s="357"/>
      <c r="T869" s="357"/>
      <c r="U869" s="357"/>
      <c r="V869" s="357"/>
      <c r="W869" s="8"/>
      <c r="X869" s="8"/>
      <c r="Y869" s="8"/>
      <c r="Z869" s="8"/>
      <c r="AA869" s="8"/>
      <c r="AB869" s="8"/>
    </row>
    <row r="870">
      <c r="A870" s="8"/>
      <c r="B870" s="8"/>
      <c r="C870" s="8"/>
      <c r="D870" s="8"/>
      <c r="E870" s="8"/>
      <c r="F870" s="356"/>
      <c r="G870" s="8"/>
      <c r="H870" s="8"/>
      <c r="I870" s="8"/>
      <c r="J870" s="8"/>
      <c r="K870" s="8"/>
      <c r="L870" s="8"/>
      <c r="M870" s="8"/>
      <c r="N870" s="8"/>
      <c r="O870" s="8"/>
      <c r="P870" s="8"/>
      <c r="Q870" s="8"/>
      <c r="R870" s="8"/>
      <c r="S870" s="357"/>
      <c r="T870" s="357"/>
      <c r="U870" s="357"/>
      <c r="V870" s="357"/>
      <c r="W870" s="8"/>
      <c r="X870" s="8"/>
      <c r="Y870" s="8"/>
      <c r="Z870" s="8"/>
      <c r="AA870" s="8"/>
      <c r="AB870" s="8"/>
    </row>
    <row r="871">
      <c r="A871" s="8"/>
      <c r="B871" s="8"/>
      <c r="C871" s="8"/>
      <c r="D871" s="8"/>
      <c r="E871" s="8"/>
      <c r="F871" s="356"/>
      <c r="G871" s="8"/>
      <c r="H871" s="8"/>
      <c r="I871" s="8"/>
      <c r="J871" s="8"/>
      <c r="K871" s="8"/>
      <c r="L871" s="8"/>
      <c r="M871" s="8"/>
      <c r="N871" s="8"/>
      <c r="O871" s="8"/>
      <c r="P871" s="8"/>
      <c r="Q871" s="8"/>
      <c r="R871" s="8"/>
      <c r="S871" s="357"/>
      <c r="T871" s="357"/>
      <c r="U871" s="357"/>
      <c r="V871" s="357"/>
      <c r="W871" s="8"/>
      <c r="X871" s="8"/>
      <c r="Y871" s="8"/>
      <c r="Z871" s="8"/>
      <c r="AA871" s="8"/>
      <c r="AB871" s="8"/>
    </row>
    <row r="872">
      <c r="A872" s="8"/>
      <c r="B872" s="8"/>
      <c r="C872" s="8"/>
      <c r="D872" s="8"/>
      <c r="E872" s="8"/>
      <c r="F872" s="356"/>
      <c r="G872" s="8"/>
      <c r="H872" s="8"/>
      <c r="I872" s="8"/>
      <c r="J872" s="8"/>
      <c r="K872" s="8"/>
      <c r="L872" s="8"/>
      <c r="M872" s="8"/>
      <c r="N872" s="8"/>
      <c r="O872" s="8"/>
      <c r="P872" s="8"/>
      <c r="Q872" s="8"/>
      <c r="R872" s="8"/>
      <c r="S872" s="357"/>
      <c r="T872" s="357"/>
      <c r="U872" s="357"/>
      <c r="V872" s="357"/>
      <c r="W872" s="8"/>
      <c r="X872" s="8"/>
      <c r="Y872" s="8"/>
      <c r="Z872" s="8"/>
      <c r="AA872" s="8"/>
      <c r="AB872" s="8"/>
    </row>
    <row r="873">
      <c r="A873" s="8"/>
      <c r="B873" s="8"/>
      <c r="C873" s="8"/>
      <c r="D873" s="8"/>
      <c r="E873" s="8"/>
      <c r="F873" s="356"/>
      <c r="G873" s="8"/>
      <c r="H873" s="8"/>
      <c r="I873" s="8"/>
      <c r="J873" s="8"/>
      <c r="K873" s="8"/>
      <c r="L873" s="8"/>
      <c r="M873" s="8"/>
      <c r="N873" s="8"/>
      <c r="O873" s="8"/>
      <c r="P873" s="8"/>
      <c r="Q873" s="8"/>
      <c r="R873" s="8"/>
      <c r="S873" s="357"/>
      <c r="T873" s="357"/>
      <c r="U873" s="357"/>
      <c r="V873" s="357"/>
      <c r="W873" s="8"/>
      <c r="X873" s="8"/>
      <c r="Y873" s="8"/>
      <c r="Z873" s="8"/>
      <c r="AA873" s="8"/>
      <c r="AB873" s="8"/>
    </row>
    <row r="874">
      <c r="A874" s="8"/>
      <c r="B874" s="8"/>
      <c r="C874" s="8"/>
      <c r="D874" s="8"/>
      <c r="E874" s="8"/>
      <c r="F874" s="356"/>
      <c r="G874" s="8"/>
      <c r="H874" s="8"/>
      <c r="I874" s="8"/>
      <c r="J874" s="8"/>
      <c r="K874" s="8"/>
      <c r="L874" s="8"/>
      <c r="M874" s="8"/>
      <c r="N874" s="8"/>
      <c r="O874" s="8"/>
      <c r="P874" s="8"/>
      <c r="Q874" s="8"/>
      <c r="R874" s="8"/>
      <c r="S874" s="357"/>
      <c r="T874" s="357"/>
      <c r="U874" s="357"/>
      <c r="V874" s="357"/>
      <c r="W874" s="8"/>
      <c r="X874" s="8"/>
      <c r="Y874" s="8"/>
      <c r="Z874" s="8"/>
      <c r="AA874" s="8"/>
      <c r="AB874" s="8"/>
    </row>
    <row r="875">
      <c r="A875" s="8"/>
      <c r="B875" s="8"/>
      <c r="C875" s="8"/>
      <c r="D875" s="8"/>
      <c r="E875" s="8"/>
      <c r="F875" s="356"/>
      <c r="G875" s="8"/>
      <c r="H875" s="8"/>
      <c r="I875" s="8"/>
      <c r="J875" s="8"/>
      <c r="K875" s="8"/>
      <c r="L875" s="8"/>
      <c r="M875" s="8"/>
      <c r="N875" s="8"/>
      <c r="O875" s="8"/>
      <c r="P875" s="8"/>
      <c r="Q875" s="8"/>
      <c r="R875" s="8"/>
      <c r="S875" s="357"/>
      <c r="T875" s="357"/>
      <c r="U875" s="357"/>
      <c r="V875" s="357"/>
      <c r="W875" s="8"/>
      <c r="X875" s="8"/>
      <c r="Y875" s="8"/>
      <c r="Z875" s="8"/>
      <c r="AA875" s="8"/>
      <c r="AB875" s="8"/>
    </row>
    <row r="876">
      <c r="A876" s="8"/>
      <c r="B876" s="8"/>
      <c r="C876" s="8"/>
      <c r="D876" s="8"/>
      <c r="E876" s="8"/>
      <c r="F876" s="356"/>
      <c r="G876" s="8"/>
      <c r="H876" s="8"/>
      <c r="I876" s="8"/>
      <c r="J876" s="8"/>
      <c r="K876" s="8"/>
      <c r="L876" s="8"/>
      <c r="M876" s="8"/>
      <c r="N876" s="8"/>
      <c r="O876" s="8"/>
      <c r="P876" s="8"/>
      <c r="Q876" s="8"/>
      <c r="R876" s="8"/>
      <c r="S876" s="357"/>
      <c r="T876" s="357"/>
      <c r="U876" s="357"/>
      <c r="V876" s="357"/>
      <c r="W876" s="8"/>
      <c r="X876" s="8"/>
      <c r="Y876" s="8"/>
      <c r="Z876" s="8"/>
      <c r="AA876" s="8"/>
      <c r="AB876" s="8"/>
    </row>
    <row r="877">
      <c r="A877" s="8"/>
      <c r="B877" s="8"/>
      <c r="C877" s="8"/>
      <c r="D877" s="8"/>
      <c r="E877" s="8"/>
      <c r="F877" s="356"/>
      <c r="G877" s="8"/>
      <c r="H877" s="8"/>
      <c r="I877" s="8"/>
      <c r="J877" s="8"/>
      <c r="K877" s="8"/>
      <c r="L877" s="8"/>
      <c r="M877" s="8"/>
      <c r="N877" s="8"/>
      <c r="O877" s="8"/>
      <c r="P877" s="8"/>
      <c r="Q877" s="8"/>
      <c r="R877" s="8"/>
      <c r="S877" s="357"/>
      <c r="T877" s="357"/>
      <c r="U877" s="357"/>
      <c r="V877" s="357"/>
      <c r="W877" s="8"/>
      <c r="X877" s="8"/>
      <c r="Y877" s="8"/>
      <c r="Z877" s="8"/>
      <c r="AA877" s="8"/>
      <c r="AB877" s="8"/>
    </row>
    <row r="878">
      <c r="A878" s="8"/>
      <c r="B878" s="8"/>
      <c r="C878" s="8"/>
      <c r="D878" s="8"/>
      <c r="E878" s="8"/>
      <c r="F878" s="356"/>
      <c r="G878" s="8"/>
      <c r="H878" s="8"/>
      <c r="I878" s="8"/>
      <c r="J878" s="8"/>
      <c r="K878" s="8"/>
      <c r="L878" s="8"/>
      <c r="M878" s="8"/>
      <c r="N878" s="8"/>
      <c r="O878" s="8"/>
      <c r="P878" s="8"/>
      <c r="Q878" s="8"/>
      <c r="R878" s="8"/>
      <c r="S878" s="357"/>
      <c r="T878" s="357"/>
      <c r="U878" s="357"/>
      <c r="V878" s="357"/>
      <c r="W878" s="8"/>
      <c r="X878" s="8"/>
      <c r="Y878" s="8"/>
      <c r="Z878" s="8"/>
      <c r="AA878" s="8"/>
      <c r="AB878" s="8"/>
    </row>
    <row r="879">
      <c r="A879" s="8"/>
      <c r="B879" s="8"/>
      <c r="C879" s="8"/>
      <c r="D879" s="8"/>
      <c r="E879" s="8"/>
      <c r="F879" s="356"/>
      <c r="G879" s="8"/>
      <c r="H879" s="8"/>
      <c r="I879" s="8"/>
      <c r="J879" s="8"/>
      <c r="K879" s="8"/>
      <c r="L879" s="8"/>
      <c r="M879" s="8"/>
      <c r="N879" s="8"/>
      <c r="O879" s="8"/>
      <c r="P879" s="8"/>
      <c r="Q879" s="8"/>
      <c r="R879" s="8"/>
      <c r="S879" s="357"/>
      <c r="T879" s="357"/>
      <c r="U879" s="357"/>
      <c r="V879" s="357"/>
      <c r="W879" s="8"/>
      <c r="X879" s="8"/>
      <c r="Y879" s="8"/>
      <c r="Z879" s="8"/>
      <c r="AA879" s="8"/>
      <c r="AB879" s="8"/>
    </row>
    <row r="880">
      <c r="A880" s="8"/>
      <c r="B880" s="8"/>
      <c r="C880" s="8"/>
      <c r="D880" s="8"/>
      <c r="E880" s="8"/>
      <c r="F880" s="356"/>
      <c r="G880" s="8"/>
      <c r="H880" s="8"/>
      <c r="I880" s="8"/>
      <c r="J880" s="8"/>
      <c r="K880" s="8"/>
      <c r="L880" s="8"/>
      <c r="M880" s="8"/>
      <c r="N880" s="8"/>
      <c r="O880" s="8"/>
      <c r="P880" s="8"/>
      <c r="Q880" s="8"/>
      <c r="R880" s="8"/>
      <c r="S880" s="357"/>
      <c r="T880" s="357"/>
      <c r="U880" s="357"/>
      <c r="V880" s="357"/>
      <c r="W880" s="8"/>
      <c r="X880" s="8"/>
      <c r="Y880" s="8"/>
      <c r="Z880" s="8"/>
      <c r="AA880" s="8"/>
      <c r="AB880" s="8"/>
    </row>
    <row r="881">
      <c r="A881" s="8"/>
      <c r="B881" s="8"/>
      <c r="C881" s="8"/>
      <c r="D881" s="8"/>
      <c r="E881" s="8"/>
      <c r="F881" s="356"/>
      <c r="G881" s="8"/>
      <c r="H881" s="8"/>
      <c r="I881" s="8"/>
      <c r="J881" s="8"/>
      <c r="K881" s="8"/>
      <c r="L881" s="8"/>
      <c r="M881" s="8"/>
      <c r="N881" s="8"/>
      <c r="O881" s="8"/>
      <c r="P881" s="8"/>
      <c r="Q881" s="8"/>
      <c r="R881" s="8"/>
      <c r="S881" s="357"/>
      <c r="T881" s="357"/>
      <c r="U881" s="357"/>
      <c r="V881" s="357"/>
      <c r="W881" s="8"/>
      <c r="X881" s="8"/>
      <c r="Y881" s="8"/>
      <c r="Z881" s="8"/>
      <c r="AA881" s="8"/>
      <c r="AB881" s="8"/>
    </row>
    <row r="882">
      <c r="A882" s="8"/>
      <c r="B882" s="8"/>
      <c r="C882" s="8"/>
      <c r="D882" s="8"/>
      <c r="E882" s="8"/>
      <c r="F882" s="356"/>
      <c r="G882" s="8"/>
      <c r="H882" s="8"/>
      <c r="I882" s="8"/>
      <c r="J882" s="8"/>
      <c r="K882" s="8"/>
      <c r="L882" s="8"/>
      <c r="M882" s="8"/>
      <c r="N882" s="8"/>
      <c r="O882" s="8"/>
      <c r="P882" s="8"/>
      <c r="Q882" s="8"/>
      <c r="R882" s="8"/>
      <c r="S882" s="357"/>
      <c r="T882" s="357"/>
      <c r="U882" s="357"/>
      <c r="V882" s="357"/>
      <c r="W882" s="8"/>
      <c r="X882" s="8"/>
      <c r="Y882" s="8"/>
      <c r="Z882" s="8"/>
      <c r="AA882" s="8"/>
      <c r="AB882" s="8"/>
    </row>
    <row r="883">
      <c r="A883" s="8"/>
      <c r="B883" s="8"/>
      <c r="C883" s="8"/>
      <c r="D883" s="8"/>
      <c r="E883" s="8"/>
      <c r="F883" s="356"/>
      <c r="G883" s="8"/>
      <c r="H883" s="8"/>
      <c r="I883" s="8"/>
      <c r="J883" s="8"/>
      <c r="K883" s="8"/>
      <c r="L883" s="8"/>
      <c r="M883" s="8"/>
      <c r="N883" s="8"/>
      <c r="O883" s="8"/>
      <c r="P883" s="8"/>
      <c r="Q883" s="8"/>
      <c r="R883" s="8"/>
      <c r="S883" s="357"/>
      <c r="T883" s="357"/>
      <c r="U883" s="357"/>
      <c r="V883" s="357"/>
      <c r="W883" s="8"/>
      <c r="X883" s="8"/>
      <c r="Y883" s="8"/>
      <c r="Z883" s="8"/>
      <c r="AA883" s="8"/>
      <c r="AB883" s="8"/>
    </row>
    <row r="884">
      <c r="A884" s="8"/>
      <c r="B884" s="8"/>
      <c r="C884" s="8"/>
      <c r="D884" s="8"/>
      <c r="E884" s="8"/>
      <c r="F884" s="356"/>
      <c r="G884" s="8"/>
      <c r="H884" s="8"/>
      <c r="I884" s="8"/>
      <c r="J884" s="8"/>
      <c r="K884" s="8"/>
      <c r="L884" s="8"/>
      <c r="M884" s="8"/>
      <c r="N884" s="8"/>
      <c r="O884" s="8"/>
      <c r="P884" s="8"/>
      <c r="Q884" s="8"/>
      <c r="R884" s="8"/>
      <c r="S884" s="357"/>
      <c r="T884" s="357"/>
      <c r="U884" s="357"/>
      <c r="V884" s="357"/>
      <c r="W884" s="8"/>
      <c r="X884" s="8"/>
      <c r="Y884" s="8"/>
      <c r="Z884" s="8"/>
      <c r="AA884" s="8"/>
      <c r="AB884" s="8"/>
    </row>
    <row r="885">
      <c r="A885" s="8"/>
      <c r="B885" s="8"/>
      <c r="C885" s="8"/>
      <c r="D885" s="8"/>
      <c r="E885" s="8"/>
      <c r="F885" s="356"/>
      <c r="G885" s="8"/>
      <c r="H885" s="8"/>
      <c r="I885" s="8"/>
      <c r="J885" s="8"/>
      <c r="K885" s="8"/>
      <c r="L885" s="8"/>
      <c r="M885" s="8"/>
      <c r="N885" s="8"/>
      <c r="O885" s="8"/>
      <c r="P885" s="8"/>
      <c r="Q885" s="8"/>
      <c r="R885" s="8"/>
      <c r="S885" s="357"/>
      <c r="T885" s="357"/>
      <c r="U885" s="357"/>
      <c r="V885" s="357"/>
      <c r="W885" s="8"/>
      <c r="X885" s="8"/>
      <c r="Y885" s="8"/>
      <c r="Z885" s="8"/>
      <c r="AA885" s="8"/>
      <c r="AB885" s="8"/>
    </row>
    <row r="886">
      <c r="A886" s="8"/>
      <c r="B886" s="8"/>
      <c r="C886" s="8"/>
      <c r="D886" s="8"/>
      <c r="E886" s="8"/>
      <c r="F886" s="356"/>
      <c r="G886" s="8"/>
      <c r="H886" s="8"/>
      <c r="I886" s="8"/>
      <c r="J886" s="8"/>
      <c r="K886" s="8"/>
      <c r="L886" s="8"/>
      <c r="M886" s="8"/>
      <c r="N886" s="8"/>
      <c r="O886" s="8"/>
      <c r="P886" s="8"/>
      <c r="Q886" s="8"/>
      <c r="R886" s="8"/>
      <c r="S886" s="357"/>
      <c r="T886" s="357"/>
      <c r="U886" s="357"/>
      <c r="V886" s="357"/>
      <c r="W886" s="8"/>
      <c r="X886" s="8"/>
      <c r="Y886" s="8"/>
      <c r="Z886" s="8"/>
      <c r="AA886" s="8"/>
      <c r="AB886" s="8"/>
    </row>
    <row r="887">
      <c r="A887" s="8"/>
      <c r="B887" s="8"/>
      <c r="C887" s="8"/>
      <c r="D887" s="8"/>
      <c r="E887" s="8"/>
      <c r="F887" s="356"/>
      <c r="G887" s="8"/>
      <c r="H887" s="8"/>
      <c r="I887" s="8"/>
      <c r="J887" s="8"/>
      <c r="K887" s="8"/>
      <c r="L887" s="8"/>
      <c r="M887" s="8"/>
      <c r="N887" s="8"/>
      <c r="O887" s="8"/>
      <c r="P887" s="8"/>
      <c r="Q887" s="8"/>
      <c r="R887" s="8"/>
      <c r="S887" s="357"/>
      <c r="T887" s="357"/>
      <c r="U887" s="357"/>
      <c r="V887" s="357"/>
      <c r="W887" s="8"/>
      <c r="X887" s="8"/>
      <c r="Y887" s="8"/>
      <c r="Z887" s="8"/>
      <c r="AA887" s="8"/>
      <c r="AB887" s="8"/>
    </row>
    <row r="888">
      <c r="A888" s="8"/>
      <c r="B888" s="8"/>
      <c r="C888" s="8"/>
      <c r="D888" s="8"/>
      <c r="E888" s="8"/>
      <c r="F888" s="356"/>
      <c r="G888" s="8"/>
      <c r="H888" s="8"/>
      <c r="I888" s="8"/>
      <c r="J888" s="8"/>
      <c r="K888" s="8"/>
      <c r="L888" s="8"/>
      <c r="M888" s="8"/>
      <c r="N888" s="8"/>
      <c r="O888" s="8"/>
      <c r="P888" s="8"/>
      <c r="Q888" s="8"/>
      <c r="R888" s="8"/>
      <c r="S888" s="357"/>
      <c r="T888" s="357"/>
      <c r="U888" s="357"/>
      <c r="V888" s="357"/>
      <c r="W888" s="8"/>
      <c r="X888" s="8"/>
      <c r="Y888" s="8"/>
      <c r="Z888" s="8"/>
      <c r="AA888" s="8"/>
      <c r="AB888" s="8"/>
    </row>
    <row r="889">
      <c r="A889" s="8"/>
      <c r="B889" s="8"/>
      <c r="C889" s="8"/>
      <c r="D889" s="8"/>
      <c r="E889" s="8"/>
      <c r="F889" s="356"/>
      <c r="G889" s="8"/>
      <c r="H889" s="8"/>
      <c r="I889" s="8"/>
      <c r="J889" s="8"/>
      <c r="K889" s="8"/>
      <c r="L889" s="8"/>
      <c r="M889" s="8"/>
      <c r="N889" s="8"/>
      <c r="O889" s="8"/>
      <c r="P889" s="8"/>
      <c r="Q889" s="8"/>
      <c r="R889" s="8"/>
      <c r="S889" s="357"/>
      <c r="T889" s="357"/>
      <c r="U889" s="357"/>
      <c r="V889" s="357"/>
      <c r="W889" s="8"/>
      <c r="X889" s="8"/>
      <c r="Y889" s="8"/>
      <c r="Z889" s="8"/>
      <c r="AA889" s="8"/>
      <c r="AB889" s="8"/>
    </row>
    <row r="890">
      <c r="A890" s="8"/>
      <c r="B890" s="8"/>
      <c r="C890" s="8"/>
      <c r="D890" s="8"/>
      <c r="E890" s="8"/>
      <c r="F890" s="356"/>
      <c r="G890" s="8"/>
      <c r="H890" s="8"/>
      <c r="I890" s="8"/>
      <c r="J890" s="8"/>
      <c r="K890" s="8"/>
      <c r="L890" s="8"/>
      <c r="M890" s="8"/>
      <c r="N890" s="8"/>
      <c r="O890" s="8"/>
      <c r="P890" s="8"/>
      <c r="Q890" s="8"/>
      <c r="R890" s="8"/>
      <c r="S890" s="357"/>
      <c r="T890" s="357"/>
      <c r="U890" s="357"/>
      <c r="V890" s="357"/>
      <c r="W890" s="8"/>
      <c r="X890" s="8"/>
      <c r="Y890" s="8"/>
      <c r="Z890" s="8"/>
      <c r="AA890" s="8"/>
      <c r="AB890" s="8"/>
    </row>
    <row r="891">
      <c r="A891" s="8"/>
      <c r="B891" s="8"/>
      <c r="C891" s="8"/>
      <c r="D891" s="8"/>
      <c r="E891" s="8"/>
      <c r="F891" s="356"/>
      <c r="G891" s="8"/>
      <c r="H891" s="8"/>
      <c r="I891" s="8"/>
      <c r="J891" s="8"/>
      <c r="K891" s="8"/>
      <c r="L891" s="8"/>
      <c r="M891" s="8"/>
      <c r="N891" s="8"/>
      <c r="O891" s="8"/>
      <c r="P891" s="8"/>
      <c r="Q891" s="8"/>
      <c r="R891" s="8"/>
      <c r="S891" s="357"/>
      <c r="T891" s="357"/>
      <c r="U891" s="357"/>
      <c r="V891" s="357"/>
      <c r="W891" s="8"/>
      <c r="X891" s="8"/>
      <c r="Y891" s="8"/>
      <c r="Z891" s="8"/>
      <c r="AA891" s="8"/>
      <c r="AB891" s="8"/>
    </row>
    <row r="892">
      <c r="A892" s="8"/>
      <c r="B892" s="8"/>
      <c r="C892" s="8"/>
      <c r="D892" s="8"/>
      <c r="E892" s="8"/>
      <c r="F892" s="356"/>
      <c r="G892" s="8"/>
      <c r="H892" s="8"/>
      <c r="I892" s="8"/>
      <c r="J892" s="8"/>
      <c r="K892" s="8"/>
      <c r="L892" s="8"/>
      <c r="M892" s="8"/>
      <c r="N892" s="8"/>
      <c r="O892" s="8"/>
      <c r="P892" s="8"/>
      <c r="Q892" s="8"/>
      <c r="R892" s="8"/>
      <c r="S892" s="357"/>
      <c r="T892" s="357"/>
      <c r="U892" s="357"/>
      <c r="V892" s="357"/>
      <c r="W892" s="8"/>
      <c r="X892" s="8"/>
      <c r="Y892" s="8"/>
      <c r="Z892" s="8"/>
      <c r="AA892" s="8"/>
      <c r="AB892" s="8"/>
    </row>
    <row r="893">
      <c r="A893" s="8"/>
      <c r="B893" s="8"/>
      <c r="C893" s="8"/>
      <c r="D893" s="8"/>
      <c r="E893" s="8"/>
      <c r="F893" s="356"/>
      <c r="G893" s="8"/>
      <c r="H893" s="8"/>
      <c r="I893" s="8"/>
      <c r="J893" s="8"/>
      <c r="K893" s="8"/>
      <c r="L893" s="8"/>
      <c r="M893" s="8"/>
      <c r="N893" s="8"/>
      <c r="O893" s="8"/>
      <c r="P893" s="8"/>
      <c r="Q893" s="8"/>
      <c r="R893" s="8"/>
      <c r="S893" s="357"/>
      <c r="T893" s="357"/>
      <c r="U893" s="357"/>
      <c r="V893" s="357"/>
      <c r="W893" s="8"/>
      <c r="X893" s="8"/>
      <c r="Y893" s="8"/>
      <c r="Z893" s="8"/>
      <c r="AA893" s="8"/>
      <c r="AB893" s="8"/>
    </row>
    <row r="894">
      <c r="A894" s="8"/>
      <c r="B894" s="8"/>
      <c r="C894" s="8"/>
      <c r="D894" s="8"/>
      <c r="E894" s="8"/>
      <c r="F894" s="356"/>
      <c r="G894" s="8"/>
      <c r="H894" s="8"/>
      <c r="I894" s="8"/>
      <c r="J894" s="8"/>
      <c r="K894" s="8"/>
      <c r="L894" s="8"/>
      <c r="M894" s="8"/>
      <c r="N894" s="8"/>
      <c r="O894" s="8"/>
      <c r="P894" s="8"/>
      <c r="Q894" s="8"/>
      <c r="R894" s="8"/>
      <c r="S894" s="357"/>
      <c r="T894" s="357"/>
      <c r="U894" s="357"/>
      <c r="V894" s="357"/>
      <c r="W894" s="8"/>
      <c r="X894" s="8"/>
      <c r="Y894" s="8"/>
      <c r="Z894" s="8"/>
      <c r="AA894" s="8"/>
      <c r="AB894" s="8"/>
    </row>
    <row r="895">
      <c r="A895" s="8"/>
      <c r="B895" s="8"/>
      <c r="C895" s="8"/>
      <c r="D895" s="8"/>
      <c r="E895" s="8"/>
      <c r="F895" s="356"/>
      <c r="G895" s="8"/>
      <c r="H895" s="8"/>
      <c r="I895" s="8"/>
      <c r="J895" s="8"/>
      <c r="K895" s="8"/>
      <c r="L895" s="8"/>
      <c r="M895" s="8"/>
      <c r="N895" s="8"/>
      <c r="O895" s="8"/>
      <c r="P895" s="8"/>
      <c r="Q895" s="8"/>
      <c r="R895" s="8"/>
      <c r="S895" s="357"/>
      <c r="T895" s="357"/>
      <c r="U895" s="357"/>
      <c r="V895" s="357"/>
      <c r="W895" s="8"/>
      <c r="X895" s="8"/>
      <c r="Y895" s="8"/>
      <c r="Z895" s="8"/>
      <c r="AA895" s="8"/>
      <c r="AB895" s="8"/>
    </row>
    <row r="896">
      <c r="A896" s="8"/>
      <c r="B896" s="8"/>
      <c r="C896" s="8"/>
      <c r="D896" s="8"/>
      <c r="E896" s="8"/>
      <c r="F896" s="356"/>
      <c r="G896" s="8"/>
      <c r="H896" s="8"/>
      <c r="I896" s="8"/>
      <c r="J896" s="8"/>
      <c r="K896" s="8"/>
      <c r="L896" s="8"/>
      <c r="M896" s="8"/>
      <c r="N896" s="8"/>
      <c r="O896" s="8"/>
      <c r="P896" s="8"/>
      <c r="Q896" s="8"/>
      <c r="R896" s="8"/>
      <c r="S896" s="357"/>
      <c r="T896" s="357"/>
      <c r="U896" s="357"/>
      <c r="V896" s="357"/>
      <c r="W896" s="8"/>
      <c r="X896" s="8"/>
      <c r="Y896" s="8"/>
      <c r="Z896" s="8"/>
      <c r="AA896" s="8"/>
      <c r="AB896" s="8"/>
    </row>
    <row r="897">
      <c r="A897" s="8"/>
      <c r="B897" s="8"/>
      <c r="C897" s="8"/>
      <c r="D897" s="8"/>
      <c r="E897" s="8"/>
      <c r="F897" s="356"/>
      <c r="G897" s="8"/>
      <c r="H897" s="8"/>
      <c r="I897" s="8"/>
      <c r="J897" s="8"/>
      <c r="K897" s="8"/>
      <c r="L897" s="8"/>
      <c r="M897" s="8"/>
      <c r="N897" s="8"/>
      <c r="O897" s="8"/>
      <c r="P897" s="8"/>
      <c r="Q897" s="8"/>
      <c r="R897" s="8"/>
      <c r="S897" s="357"/>
      <c r="T897" s="357"/>
      <c r="U897" s="357"/>
      <c r="V897" s="357"/>
      <c r="W897" s="8"/>
      <c r="X897" s="8"/>
      <c r="Y897" s="8"/>
      <c r="Z897" s="8"/>
      <c r="AA897" s="8"/>
      <c r="AB897" s="8"/>
    </row>
    <row r="898">
      <c r="A898" s="8"/>
      <c r="B898" s="8"/>
      <c r="C898" s="8"/>
      <c r="D898" s="8"/>
      <c r="E898" s="8"/>
      <c r="F898" s="356"/>
      <c r="G898" s="8"/>
      <c r="H898" s="8"/>
      <c r="I898" s="8"/>
      <c r="J898" s="8"/>
      <c r="K898" s="8"/>
      <c r="L898" s="8"/>
      <c r="M898" s="8"/>
      <c r="N898" s="8"/>
      <c r="O898" s="8"/>
      <c r="P898" s="8"/>
      <c r="Q898" s="8"/>
      <c r="R898" s="8"/>
      <c r="S898" s="357"/>
      <c r="T898" s="357"/>
      <c r="U898" s="357"/>
      <c r="V898" s="357"/>
      <c r="W898" s="8"/>
      <c r="X898" s="8"/>
      <c r="Y898" s="8"/>
      <c r="Z898" s="8"/>
      <c r="AA898" s="8"/>
      <c r="AB898" s="8"/>
    </row>
    <row r="899">
      <c r="A899" s="8"/>
      <c r="B899" s="8"/>
      <c r="C899" s="8"/>
      <c r="D899" s="8"/>
      <c r="E899" s="8"/>
      <c r="F899" s="356"/>
      <c r="G899" s="8"/>
      <c r="H899" s="8"/>
      <c r="I899" s="8"/>
      <c r="J899" s="8"/>
      <c r="K899" s="8"/>
      <c r="L899" s="8"/>
      <c r="M899" s="8"/>
      <c r="N899" s="8"/>
      <c r="O899" s="8"/>
      <c r="P899" s="8"/>
      <c r="Q899" s="8"/>
      <c r="R899" s="8"/>
      <c r="S899" s="357"/>
      <c r="T899" s="357"/>
      <c r="U899" s="357"/>
      <c r="V899" s="357"/>
      <c r="W899" s="8"/>
      <c r="X899" s="8"/>
      <c r="Y899" s="8"/>
      <c r="Z899" s="8"/>
      <c r="AA899" s="8"/>
      <c r="AB899" s="8"/>
    </row>
    <row r="900">
      <c r="A900" s="8"/>
      <c r="B900" s="8"/>
      <c r="C900" s="8"/>
      <c r="D900" s="8"/>
      <c r="E900" s="8"/>
      <c r="F900" s="356"/>
      <c r="G900" s="8"/>
      <c r="H900" s="8"/>
      <c r="I900" s="8"/>
      <c r="J900" s="8"/>
      <c r="K900" s="8"/>
      <c r="L900" s="8"/>
      <c r="M900" s="8"/>
      <c r="N900" s="8"/>
      <c r="O900" s="8"/>
      <c r="P900" s="8"/>
      <c r="Q900" s="8"/>
      <c r="R900" s="8"/>
      <c r="S900" s="357"/>
      <c r="T900" s="357"/>
      <c r="U900" s="357"/>
      <c r="V900" s="357"/>
      <c r="W900" s="8"/>
      <c r="X900" s="8"/>
      <c r="Y900" s="8"/>
      <c r="Z900" s="8"/>
      <c r="AA900" s="8"/>
      <c r="AB900" s="8"/>
    </row>
    <row r="901">
      <c r="A901" s="8"/>
      <c r="B901" s="8"/>
      <c r="C901" s="8"/>
      <c r="D901" s="8"/>
      <c r="E901" s="8"/>
      <c r="F901" s="356"/>
      <c r="G901" s="8"/>
      <c r="H901" s="8"/>
      <c r="I901" s="8"/>
      <c r="J901" s="8"/>
      <c r="K901" s="8"/>
      <c r="L901" s="8"/>
      <c r="M901" s="8"/>
      <c r="N901" s="8"/>
      <c r="O901" s="8"/>
      <c r="P901" s="8"/>
      <c r="Q901" s="8"/>
      <c r="R901" s="8"/>
      <c r="S901" s="357"/>
      <c r="T901" s="357"/>
      <c r="U901" s="357"/>
      <c r="V901" s="357"/>
      <c r="W901" s="8"/>
      <c r="X901" s="8"/>
      <c r="Y901" s="8"/>
      <c r="Z901" s="8"/>
      <c r="AA901" s="8"/>
      <c r="AB901" s="8"/>
    </row>
    <row r="902">
      <c r="A902" s="8"/>
      <c r="B902" s="8"/>
      <c r="C902" s="8"/>
      <c r="D902" s="8"/>
      <c r="E902" s="8"/>
      <c r="F902" s="356"/>
      <c r="G902" s="8"/>
      <c r="H902" s="8"/>
      <c r="I902" s="8"/>
      <c r="J902" s="8"/>
      <c r="K902" s="8"/>
      <c r="L902" s="8"/>
      <c r="M902" s="8"/>
      <c r="N902" s="8"/>
      <c r="O902" s="8"/>
      <c r="P902" s="8"/>
      <c r="Q902" s="8"/>
      <c r="R902" s="8"/>
      <c r="S902" s="357"/>
      <c r="T902" s="357"/>
      <c r="U902" s="357"/>
      <c r="V902" s="357"/>
      <c r="W902" s="8"/>
      <c r="X902" s="8"/>
      <c r="Y902" s="8"/>
      <c r="Z902" s="8"/>
      <c r="AA902" s="8"/>
      <c r="AB902" s="8"/>
    </row>
    <row r="903">
      <c r="A903" s="8"/>
      <c r="B903" s="8"/>
      <c r="C903" s="8"/>
      <c r="D903" s="8"/>
      <c r="E903" s="8"/>
      <c r="F903" s="356"/>
      <c r="G903" s="8"/>
      <c r="H903" s="8"/>
      <c r="I903" s="8"/>
      <c r="J903" s="8"/>
      <c r="K903" s="8"/>
      <c r="L903" s="8"/>
      <c r="M903" s="8"/>
      <c r="N903" s="8"/>
      <c r="O903" s="8"/>
      <c r="P903" s="8"/>
      <c r="Q903" s="8"/>
      <c r="R903" s="8"/>
      <c r="S903" s="357"/>
      <c r="T903" s="357"/>
      <c r="U903" s="357"/>
      <c r="V903" s="357"/>
      <c r="W903" s="8"/>
      <c r="X903" s="8"/>
      <c r="Y903" s="8"/>
      <c r="Z903" s="8"/>
      <c r="AA903" s="8"/>
      <c r="AB903" s="8"/>
    </row>
    <row r="904">
      <c r="A904" s="8"/>
      <c r="B904" s="8"/>
      <c r="C904" s="8"/>
      <c r="D904" s="8"/>
      <c r="E904" s="8"/>
      <c r="F904" s="356"/>
      <c r="G904" s="8"/>
      <c r="H904" s="8"/>
      <c r="I904" s="8"/>
      <c r="J904" s="8"/>
      <c r="K904" s="8"/>
      <c r="L904" s="8"/>
      <c r="M904" s="8"/>
      <c r="N904" s="8"/>
      <c r="O904" s="8"/>
      <c r="P904" s="8"/>
      <c r="Q904" s="8"/>
      <c r="R904" s="8"/>
      <c r="S904" s="357"/>
      <c r="T904" s="357"/>
      <c r="U904" s="357"/>
      <c r="V904" s="357"/>
      <c r="W904" s="8"/>
      <c r="X904" s="8"/>
      <c r="Y904" s="8"/>
      <c r="Z904" s="8"/>
      <c r="AA904" s="8"/>
      <c r="AB904" s="8"/>
    </row>
    <row r="905">
      <c r="A905" s="8"/>
      <c r="B905" s="8"/>
      <c r="C905" s="8"/>
      <c r="D905" s="8"/>
      <c r="E905" s="8"/>
      <c r="F905" s="356"/>
      <c r="G905" s="8"/>
      <c r="H905" s="8"/>
      <c r="I905" s="8"/>
      <c r="J905" s="8"/>
      <c r="K905" s="8"/>
      <c r="L905" s="8"/>
      <c r="M905" s="8"/>
      <c r="N905" s="8"/>
      <c r="O905" s="8"/>
      <c r="P905" s="8"/>
      <c r="Q905" s="8"/>
      <c r="R905" s="8"/>
      <c r="S905" s="357"/>
      <c r="T905" s="357"/>
      <c r="U905" s="357"/>
      <c r="V905" s="357"/>
      <c r="W905" s="8"/>
      <c r="X905" s="8"/>
      <c r="Y905" s="8"/>
      <c r="Z905" s="8"/>
      <c r="AA905" s="8"/>
      <c r="AB905" s="8"/>
    </row>
    <row r="906">
      <c r="A906" s="8"/>
      <c r="B906" s="8"/>
      <c r="C906" s="8"/>
      <c r="D906" s="8"/>
      <c r="E906" s="8"/>
      <c r="F906" s="356"/>
      <c r="G906" s="8"/>
      <c r="H906" s="8"/>
      <c r="I906" s="8"/>
      <c r="J906" s="8"/>
      <c r="K906" s="8"/>
      <c r="L906" s="8"/>
      <c r="M906" s="8"/>
      <c r="N906" s="8"/>
      <c r="O906" s="8"/>
      <c r="P906" s="8"/>
      <c r="Q906" s="8"/>
      <c r="R906" s="8"/>
      <c r="S906" s="357"/>
      <c r="T906" s="357"/>
      <c r="U906" s="357"/>
      <c r="V906" s="357"/>
      <c r="W906" s="8"/>
      <c r="X906" s="8"/>
      <c r="Y906" s="8"/>
      <c r="Z906" s="8"/>
      <c r="AA906" s="8"/>
      <c r="AB906" s="8"/>
    </row>
    <row r="907">
      <c r="A907" s="8"/>
      <c r="B907" s="8"/>
      <c r="C907" s="8"/>
      <c r="D907" s="8"/>
      <c r="E907" s="8"/>
      <c r="F907" s="356"/>
      <c r="G907" s="8"/>
      <c r="H907" s="8"/>
      <c r="I907" s="8"/>
      <c r="J907" s="8"/>
      <c r="K907" s="8"/>
      <c r="L907" s="8"/>
      <c r="M907" s="8"/>
      <c r="N907" s="8"/>
      <c r="O907" s="8"/>
      <c r="P907" s="8"/>
      <c r="Q907" s="8"/>
      <c r="R907" s="8"/>
      <c r="S907" s="357"/>
      <c r="T907" s="357"/>
      <c r="U907" s="357"/>
      <c r="V907" s="357"/>
      <c r="W907" s="8"/>
      <c r="X907" s="8"/>
      <c r="Y907" s="8"/>
      <c r="Z907" s="8"/>
      <c r="AA907" s="8"/>
      <c r="AB907" s="8"/>
    </row>
    <row r="908">
      <c r="A908" s="8"/>
      <c r="B908" s="8"/>
      <c r="C908" s="8"/>
      <c r="D908" s="8"/>
      <c r="E908" s="8"/>
      <c r="F908" s="356"/>
      <c r="G908" s="8"/>
      <c r="H908" s="8"/>
      <c r="I908" s="8"/>
      <c r="J908" s="8"/>
      <c r="K908" s="8"/>
      <c r="L908" s="8"/>
      <c r="M908" s="8"/>
      <c r="N908" s="8"/>
      <c r="O908" s="8"/>
      <c r="P908" s="8"/>
      <c r="Q908" s="8"/>
      <c r="R908" s="8"/>
      <c r="S908" s="357"/>
      <c r="T908" s="357"/>
      <c r="U908" s="357"/>
      <c r="V908" s="357"/>
      <c r="W908" s="8"/>
      <c r="X908" s="8"/>
      <c r="Y908" s="8"/>
      <c r="Z908" s="8"/>
      <c r="AA908" s="8"/>
      <c r="AB908" s="8"/>
    </row>
    <row r="909">
      <c r="A909" s="8"/>
      <c r="B909" s="8"/>
      <c r="C909" s="8"/>
      <c r="D909" s="8"/>
      <c r="E909" s="8"/>
      <c r="F909" s="356"/>
      <c r="G909" s="8"/>
      <c r="H909" s="8"/>
      <c r="I909" s="8"/>
      <c r="J909" s="8"/>
      <c r="K909" s="8"/>
      <c r="L909" s="8"/>
      <c r="M909" s="8"/>
      <c r="N909" s="8"/>
      <c r="O909" s="8"/>
      <c r="P909" s="8"/>
      <c r="Q909" s="8"/>
      <c r="R909" s="8"/>
      <c r="S909" s="357"/>
      <c r="T909" s="357"/>
      <c r="U909" s="357"/>
      <c r="V909" s="357"/>
      <c r="W909" s="8"/>
      <c r="X909" s="8"/>
      <c r="Y909" s="8"/>
      <c r="Z909" s="8"/>
      <c r="AA909" s="8"/>
      <c r="AB909" s="8"/>
    </row>
    <row r="910">
      <c r="A910" s="8"/>
      <c r="B910" s="8"/>
      <c r="C910" s="8"/>
      <c r="D910" s="8"/>
      <c r="E910" s="8"/>
      <c r="F910" s="356"/>
      <c r="G910" s="8"/>
      <c r="H910" s="8"/>
      <c r="I910" s="8"/>
      <c r="J910" s="8"/>
      <c r="K910" s="8"/>
      <c r="L910" s="8"/>
      <c r="M910" s="8"/>
      <c r="N910" s="8"/>
      <c r="O910" s="8"/>
      <c r="P910" s="8"/>
      <c r="Q910" s="8"/>
      <c r="R910" s="8"/>
      <c r="S910" s="357"/>
      <c r="T910" s="357"/>
      <c r="U910" s="357"/>
      <c r="V910" s="357"/>
      <c r="W910" s="8"/>
      <c r="X910" s="8"/>
      <c r="Y910" s="8"/>
      <c r="Z910" s="8"/>
      <c r="AA910" s="8"/>
      <c r="AB910" s="8"/>
    </row>
    <row r="911">
      <c r="A911" s="8"/>
      <c r="B911" s="8"/>
      <c r="C911" s="8"/>
      <c r="D911" s="8"/>
      <c r="E911" s="8"/>
      <c r="F911" s="356"/>
      <c r="G911" s="8"/>
      <c r="H911" s="8"/>
      <c r="I911" s="8"/>
      <c r="J911" s="8"/>
      <c r="K911" s="8"/>
      <c r="L911" s="8"/>
      <c r="M911" s="8"/>
      <c r="N911" s="8"/>
      <c r="O911" s="8"/>
      <c r="P911" s="8"/>
      <c r="Q911" s="8"/>
      <c r="R911" s="8"/>
      <c r="S911" s="357"/>
      <c r="T911" s="357"/>
      <c r="U911" s="357"/>
      <c r="V911" s="357"/>
      <c r="W911" s="8"/>
      <c r="X911" s="8"/>
      <c r="Y911" s="8"/>
      <c r="Z911" s="8"/>
      <c r="AA911" s="8"/>
      <c r="AB911" s="8"/>
    </row>
    <row r="912">
      <c r="A912" s="8"/>
      <c r="B912" s="8"/>
      <c r="C912" s="8"/>
      <c r="D912" s="8"/>
      <c r="E912" s="8"/>
      <c r="F912" s="356"/>
      <c r="G912" s="8"/>
      <c r="H912" s="8"/>
      <c r="I912" s="8"/>
      <c r="J912" s="8"/>
      <c r="K912" s="8"/>
      <c r="L912" s="8"/>
      <c r="M912" s="8"/>
      <c r="N912" s="8"/>
      <c r="O912" s="8"/>
      <c r="P912" s="8"/>
      <c r="Q912" s="8"/>
      <c r="R912" s="8"/>
      <c r="S912" s="357"/>
      <c r="T912" s="357"/>
      <c r="U912" s="357"/>
      <c r="V912" s="357"/>
      <c r="W912" s="8"/>
      <c r="X912" s="8"/>
      <c r="Y912" s="8"/>
      <c r="Z912" s="8"/>
      <c r="AA912" s="8"/>
      <c r="AB912" s="8"/>
    </row>
    <row r="913">
      <c r="A913" s="8"/>
      <c r="B913" s="8"/>
      <c r="C913" s="8"/>
      <c r="D913" s="8"/>
      <c r="E913" s="8"/>
      <c r="F913" s="356"/>
      <c r="G913" s="8"/>
      <c r="H913" s="8"/>
      <c r="I913" s="8"/>
      <c r="J913" s="8"/>
      <c r="K913" s="8"/>
      <c r="L913" s="8"/>
      <c r="M913" s="8"/>
      <c r="N913" s="8"/>
      <c r="O913" s="8"/>
      <c r="P913" s="8"/>
      <c r="Q913" s="8"/>
      <c r="R913" s="8"/>
      <c r="S913" s="357"/>
      <c r="T913" s="357"/>
      <c r="U913" s="357"/>
      <c r="V913" s="357"/>
      <c r="W913" s="8"/>
      <c r="X913" s="8"/>
      <c r="Y913" s="8"/>
      <c r="Z913" s="8"/>
      <c r="AA913" s="8"/>
      <c r="AB913" s="8"/>
    </row>
    <row r="914">
      <c r="A914" s="8"/>
      <c r="B914" s="8"/>
      <c r="C914" s="8"/>
      <c r="D914" s="8"/>
      <c r="E914" s="8"/>
      <c r="F914" s="356"/>
      <c r="G914" s="8"/>
      <c r="H914" s="8"/>
      <c r="I914" s="8"/>
      <c r="J914" s="8"/>
      <c r="K914" s="8"/>
      <c r="L914" s="8"/>
      <c r="M914" s="8"/>
      <c r="N914" s="8"/>
      <c r="O914" s="8"/>
      <c r="P914" s="8"/>
      <c r="Q914" s="8"/>
      <c r="R914" s="8"/>
      <c r="S914" s="357"/>
      <c r="T914" s="357"/>
      <c r="U914" s="357"/>
      <c r="V914" s="357"/>
      <c r="W914" s="8"/>
      <c r="X914" s="8"/>
      <c r="Y914" s="8"/>
      <c r="Z914" s="8"/>
      <c r="AA914" s="8"/>
      <c r="AB914" s="8"/>
    </row>
    <row r="915">
      <c r="A915" s="8"/>
      <c r="B915" s="8"/>
      <c r="C915" s="8"/>
      <c r="D915" s="8"/>
      <c r="E915" s="8"/>
      <c r="F915" s="356"/>
      <c r="G915" s="8"/>
      <c r="H915" s="8"/>
      <c r="I915" s="8"/>
      <c r="J915" s="8"/>
      <c r="K915" s="8"/>
      <c r="L915" s="8"/>
      <c r="M915" s="8"/>
      <c r="N915" s="8"/>
      <c r="O915" s="8"/>
      <c r="P915" s="8"/>
      <c r="Q915" s="8"/>
      <c r="R915" s="8"/>
      <c r="S915" s="357"/>
      <c r="T915" s="357"/>
      <c r="U915" s="357"/>
      <c r="V915" s="357"/>
      <c r="W915" s="8"/>
      <c r="X915" s="8"/>
      <c r="Y915" s="8"/>
      <c r="Z915" s="8"/>
      <c r="AA915" s="8"/>
      <c r="AB915" s="8"/>
    </row>
    <row r="916">
      <c r="A916" s="8"/>
      <c r="B916" s="8"/>
      <c r="C916" s="8"/>
      <c r="D916" s="8"/>
      <c r="E916" s="8"/>
      <c r="F916" s="356"/>
      <c r="G916" s="8"/>
      <c r="H916" s="8"/>
      <c r="I916" s="8"/>
      <c r="J916" s="8"/>
      <c r="K916" s="8"/>
      <c r="L916" s="8"/>
      <c r="M916" s="8"/>
      <c r="N916" s="8"/>
      <c r="O916" s="8"/>
      <c r="P916" s="8"/>
      <c r="Q916" s="8"/>
      <c r="R916" s="8"/>
      <c r="S916" s="357"/>
      <c r="T916" s="357"/>
      <c r="U916" s="357"/>
      <c r="V916" s="357"/>
      <c r="W916" s="8"/>
      <c r="X916" s="8"/>
      <c r="Y916" s="8"/>
      <c r="Z916" s="8"/>
      <c r="AA916" s="8"/>
      <c r="AB916" s="8"/>
    </row>
    <row r="917">
      <c r="A917" s="8"/>
      <c r="B917" s="8"/>
      <c r="C917" s="8"/>
      <c r="D917" s="8"/>
      <c r="E917" s="8"/>
      <c r="F917" s="356"/>
      <c r="G917" s="8"/>
      <c r="H917" s="8"/>
      <c r="I917" s="8"/>
      <c r="J917" s="8"/>
      <c r="K917" s="8"/>
      <c r="L917" s="8"/>
      <c r="M917" s="8"/>
      <c r="N917" s="8"/>
      <c r="O917" s="8"/>
      <c r="P917" s="8"/>
      <c r="Q917" s="8"/>
      <c r="R917" s="8"/>
      <c r="S917" s="357"/>
      <c r="T917" s="357"/>
      <c r="U917" s="357"/>
      <c r="V917" s="357"/>
      <c r="W917" s="8"/>
      <c r="X917" s="8"/>
      <c r="Y917" s="8"/>
      <c r="Z917" s="8"/>
      <c r="AA917" s="8"/>
      <c r="AB917" s="8"/>
    </row>
    <row r="918">
      <c r="A918" s="8"/>
      <c r="B918" s="8"/>
      <c r="C918" s="8"/>
      <c r="D918" s="8"/>
      <c r="E918" s="8"/>
      <c r="F918" s="356"/>
      <c r="G918" s="8"/>
      <c r="H918" s="8"/>
      <c r="I918" s="8"/>
      <c r="J918" s="8"/>
      <c r="K918" s="8"/>
      <c r="L918" s="8"/>
      <c r="M918" s="8"/>
      <c r="N918" s="8"/>
      <c r="O918" s="8"/>
      <c r="P918" s="8"/>
      <c r="Q918" s="8"/>
      <c r="R918" s="8"/>
      <c r="S918" s="357"/>
      <c r="T918" s="357"/>
      <c r="U918" s="357"/>
      <c r="V918" s="357"/>
      <c r="W918" s="8"/>
      <c r="X918" s="8"/>
      <c r="Y918" s="8"/>
      <c r="Z918" s="8"/>
      <c r="AA918" s="8"/>
      <c r="AB918" s="8"/>
    </row>
    <row r="919">
      <c r="A919" s="8"/>
      <c r="B919" s="8"/>
      <c r="C919" s="8"/>
      <c r="D919" s="8"/>
      <c r="E919" s="8"/>
      <c r="F919" s="356"/>
      <c r="G919" s="8"/>
      <c r="H919" s="8"/>
      <c r="I919" s="8"/>
      <c r="J919" s="8"/>
      <c r="K919" s="8"/>
      <c r="L919" s="8"/>
      <c r="M919" s="8"/>
      <c r="N919" s="8"/>
      <c r="O919" s="8"/>
      <c r="P919" s="8"/>
      <c r="Q919" s="8"/>
      <c r="R919" s="8"/>
      <c r="S919" s="357"/>
      <c r="T919" s="357"/>
      <c r="U919" s="357"/>
      <c r="V919" s="357"/>
      <c r="W919" s="8"/>
      <c r="X919" s="8"/>
      <c r="Y919" s="8"/>
      <c r="Z919" s="8"/>
      <c r="AA919" s="8"/>
      <c r="AB919" s="8"/>
    </row>
    <row r="920">
      <c r="A920" s="8"/>
      <c r="B920" s="8"/>
      <c r="C920" s="8"/>
      <c r="D920" s="8"/>
      <c r="E920" s="8"/>
      <c r="F920" s="356"/>
      <c r="G920" s="8"/>
      <c r="H920" s="8"/>
      <c r="I920" s="8"/>
      <c r="J920" s="8"/>
      <c r="K920" s="8"/>
      <c r="L920" s="8"/>
      <c r="M920" s="8"/>
      <c r="N920" s="8"/>
      <c r="O920" s="8"/>
      <c r="P920" s="8"/>
      <c r="Q920" s="8"/>
      <c r="R920" s="8"/>
      <c r="S920" s="357"/>
      <c r="T920" s="357"/>
      <c r="U920" s="357"/>
      <c r="V920" s="357"/>
      <c r="W920" s="8"/>
      <c r="X920" s="8"/>
      <c r="Y920" s="8"/>
      <c r="Z920" s="8"/>
      <c r="AA920" s="8"/>
      <c r="AB920" s="8"/>
    </row>
    <row r="921">
      <c r="A921" s="8"/>
      <c r="B921" s="8"/>
      <c r="C921" s="8"/>
      <c r="D921" s="8"/>
      <c r="E921" s="8"/>
      <c r="F921" s="356"/>
      <c r="G921" s="8"/>
      <c r="H921" s="8"/>
      <c r="I921" s="8"/>
      <c r="J921" s="8"/>
      <c r="K921" s="8"/>
      <c r="L921" s="8"/>
      <c r="M921" s="8"/>
      <c r="N921" s="8"/>
      <c r="O921" s="8"/>
      <c r="P921" s="8"/>
      <c r="Q921" s="8"/>
      <c r="R921" s="8"/>
      <c r="S921" s="357"/>
      <c r="T921" s="357"/>
      <c r="U921" s="357"/>
      <c r="V921" s="357"/>
      <c r="W921" s="8"/>
      <c r="X921" s="8"/>
      <c r="Y921" s="8"/>
      <c r="Z921" s="8"/>
      <c r="AA921" s="8"/>
      <c r="AB921" s="8"/>
    </row>
    <row r="922">
      <c r="A922" s="8"/>
      <c r="B922" s="8"/>
      <c r="C922" s="8"/>
      <c r="D922" s="8"/>
      <c r="E922" s="8"/>
      <c r="F922" s="356"/>
      <c r="G922" s="8"/>
      <c r="H922" s="8"/>
      <c r="I922" s="8"/>
      <c r="J922" s="8"/>
      <c r="K922" s="8"/>
      <c r="L922" s="8"/>
      <c r="M922" s="8"/>
      <c r="N922" s="8"/>
      <c r="O922" s="8"/>
      <c r="P922" s="8"/>
      <c r="Q922" s="8"/>
      <c r="R922" s="8"/>
      <c r="S922" s="357"/>
      <c r="T922" s="357"/>
      <c r="U922" s="357"/>
      <c r="V922" s="357"/>
      <c r="W922" s="8"/>
      <c r="X922" s="8"/>
      <c r="Y922" s="8"/>
      <c r="Z922" s="8"/>
      <c r="AA922" s="8"/>
      <c r="AB922" s="8"/>
    </row>
    <row r="923">
      <c r="A923" s="8"/>
      <c r="B923" s="8"/>
      <c r="C923" s="8"/>
      <c r="D923" s="8"/>
      <c r="E923" s="8"/>
      <c r="F923" s="356"/>
      <c r="G923" s="8"/>
      <c r="H923" s="8"/>
      <c r="I923" s="8"/>
      <c r="J923" s="8"/>
      <c r="K923" s="8"/>
      <c r="L923" s="8"/>
      <c r="M923" s="8"/>
      <c r="N923" s="8"/>
      <c r="O923" s="8"/>
      <c r="P923" s="8"/>
      <c r="Q923" s="8"/>
      <c r="R923" s="8"/>
      <c r="S923" s="357"/>
      <c r="T923" s="357"/>
      <c r="U923" s="357"/>
      <c r="V923" s="357"/>
      <c r="W923" s="8"/>
      <c r="X923" s="8"/>
      <c r="Y923" s="8"/>
      <c r="Z923" s="8"/>
      <c r="AA923" s="8"/>
      <c r="AB923" s="8"/>
    </row>
    <row r="924">
      <c r="A924" s="8"/>
      <c r="B924" s="8"/>
      <c r="C924" s="8"/>
      <c r="D924" s="8"/>
      <c r="E924" s="8"/>
      <c r="F924" s="356"/>
      <c r="G924" s="8"/>
      <c r="H924" s="8"/>
      <c r="I924" s="8"/>
      <c r="J924" s="8"/>
      <c r="K924" s="8"/>
      <c r="L924" s="8"/>
      <c r="M924" s="8"/>
      <c r="N924" s="8"/>
      <c r="O924" s="8"/>
      <c r="P924" s="8"/>
      <c r="Q924" s="8"/>
      <c r="R924" s="8"/>
      <c r="S924" s="357"/>
      <c r="T924" s="357"/>
      <c r="U924" s="357"/>
      <c r="V924" s="357"/>
      <c r="W924" s="8"/>
      <c r="X924" s="8"/>
      <c r="Y924" s="8"/>
      <c r="Z924" s="8"/>
      <c r="AA924" s="8"/>
      <c r="AB924" s="8"/>
    </row>
    <row r="925">
      <c r="A925" s="8"/>
      <c r="B925" s="8"/>
      <c r="C925" s="8"/>
      <c r="D925" s="8"/>
      <c r="E925" s="8"/>
      <c r="F925" s="356"/>
      <c r="G925" s="8"/>
      <c r="H925" s="8"/>
      <c r="I925" s="8"/>
      <c r="J925" s="8"/>
      <c r="K925" s="8"/>
      <c r="L925" s="8"/>
      <c r="M925" s="8"/>
      <c r="N925" s="8"/>
      <c r="O925" s="8"/>
      <c r="P925" s="8"/>
      <c r="Q925" s="8"/>
      <c r="R925" s="8"/>
      <c r="S925" s="357"/>
      <c r="T925" s="357"/>
      <c r="U925" s="357"/>
      <c r="V925" s="357"/>
      <c r="W925" s="8"/>
      <c r="X925" s="8"/>
      <c r="Y925" s="8"/>
      <c r="Z925" s="8"/>
      <c r="AA925" s="8"/>
      <c r="AB925" s="8"/>
    </row>
    <row r="926">
      <c r="A926" s="8"/>
      <c r="B926" s="8"/>
      <c r="C926" s="8"/>
      <c r="D926" s="8"/>
      <c r="E926" s="8"/>
      <c r="F926" s="356"/>
      <c r="G926" s="8"/>
      <c r="H926" s="8"/>
      <c r="I926" s="8"/>
      <c r="J926" s="8"/>
      <c r="K926" s="8"/>
      <c r="L926" s="8"/>
      <c r="M926" s="8"/>
      <c r="N926" s="8"/>
      <c r="O926" s="8"/>
      <c r="P926" s="8"/>
      <c r="Q926" s="8"/>
      <c r="R926" s="8"/>
      <c r="S926" s="357"/>
      <c r="T926" s="357"/>
      <c r="U926" s="357"/>
      <c r="V926" s="357"/>
      <c r="W926" s="8"/>
      <c r="X926" s="8"/>
      <c r="Y926" s="8"/>
      <c r="Z926" s="8"/>
      <c r="AA926" s="8"/>
      <c r="AB926" s="8"/>
    </row>
    <row r="927">
      <c r="A927" s="8"/>
      <c r="B927" s="8"/>
      <c r="C927" s="8"/>
      <c r="D927" s="8"/>
      <c r="E927" s="8"/>
      <c r="F927" s="356"/>
      <c r="G927" s="8"/>
      <c r="H927" s="8"/>
      <c r="I927" s="8"/>
      <c r="J927" s="8"/>
      <c r="K927" s="8"/>
      <c r="L927" s="8"/>
      <c r="M927" s="8"/>
      <c r="N927" s="8"/>
      <c r="O927" s="8"/>
      <c r="P927" s="8"/>
      <c r="Q927" s="8"/>
      <c r="R927" s="8"/>
      <c r="S927" s="357"/>
      <c r="T927" s="357"/>
      <c r="U927" s="357"/>
      <c r="V927" s="357"/>
      <c r="W927" s="8"/>
      <c r="X927" s="8"/>
      <c r="Y927" s="8"/>
      <c r="Z927" s="8"/>
      <c r="AA927" s="8"/>
      <c r="AB927" s="8"/>
    </row>
    <row r="928">
      <c r="A928" s="8"/>
      <c r="B928" s="8"/>
      <c r="C928" s="8"/>
      <c r="D928" s="8"/>
      <c r="E928" s="8"/>
      <c r="F928" s="356"/>
      <c r="G928" s="8"/>
      <c r="H928" s="8"/>
      <c r="I928" s="8"/>
      <c r="J928" s="8"/>
      <c r="K928" s="8"/>
      <c r="L928" s="8"/>
      <c r="M928" s="8"/>
      <c r="N928" s="8"/>
      <c r="O928" s="8"/>
      <c r="P928" s="8"/>
      <c r="Q928" s="8"/>
      <c r="R928" s="8"/>
      <c r="S928" s="357"/>
      <c r="T928" s="357"/>
      <c r="U928" s="357"/>
      <c r="V928" s="357"/>
      <c r="W928" s="8"/>
      <c r="X928" s="8"/>
      <c r="Y928" s="8"/>
      <c r="Z928" s="8"/>
      <c r="AA928" s="8"/>
      <c r="AB928" s="8"/>
    </row>
    <row r="929">
      <c r="A929" s="8"/>
      <c r="B929" s="8"/>
      <c r="C929" s="8"/>
      <c r="D929" s="8"/>
      <c r="E929" s="8"/>
      <c r="F929" s="356"/>
      <c r="G929" s="8"/>
      <c r="H929" s="8"/>
      <c r="I929" s="8"/>
      <c r="J929" s="8"/>
      <c r="K929" s="8"/>
      <c r="L929" s="8"/>
      <c r="M929" s="8"/>
      <c r="N929" s="8"/>
      <c r="O929" s="8"/>
      <c r="P929" s="8"/>
      <c r="Q929" s="8"/>
      <c r="R929" s="8"/>
      <c r="S929" s="357"/>
      <c r="T929" s="357"/>
      <c r="U929" s="357"/>
      <c r="V929" s="357"/>
      <c r="W929" s="8"/>
      <c r="X929" s="8"/>
      <c r="Y929" s="8"/>
      <c r="Z929" s="8"/>
      <c r="AA929" s="8"/>
      <c r="AB929" s="8"/>
    </row>
    <row r="930">
      <c r="A930" s="8"/>
      <c r="B930" s="8"/>
      <c r="C930" s="8"/>
      <c r="D930" s="8"/>
      <c r="E930" s="8"/>
      <c r="F930" s="356"/>
      <c r="G930" s="8"/>
      <c r="H930" s="8"/>
      <c r="I930" s="8"/>
      <c r="J930" s="8"/>
      <c r="K930" s="8"/>
      <c r="L930" s="8"/>
      <c r="M930" s="8"/>
      <c r="N930" s="8"/>
      <c r="O930" s="8"/>
      <c r="P930" s="8"/>
      <c r="Q930" s="8"/>
      <c r="R930" s="8"/>
      <c r="S930" s="357"/>
      <c r="T930" s="357"/>
      <c r="U930" s="357"/>
      <c r="V930" s="357"/>
      <c r="W930" s="8"/>
      <c r="X930" s="8"/>
      <c r="Y930" s="8"/>
      <c r="Z930" s="8"/>
      <c r="AA930" s="8"/>
      <c r="AB930" s="8"/>
    </row>
    <row r="931">
      <c r="A931" s="8"/>
      <c r="B931" s="8"/>
      <c r="C931" s="8"/>
      <c r="D931" s="8"/>
      <c r="E931" s="8"/>
      <c r="F931" s="356"/>
      <c r="G931" s="8"/>
      <c r="H931" s="8"/>
      <c r="I931" s="8"/>
      <c r="J931" s="8"/>
      <c r="K931" s="8"/>
      <c r="L931" s="8"/>
      <c r="M931" s="8"/>
      <c r="N931" s="8"/>
      <c r="O931" s="8"/>
      <c r="P931" s="8"/>
      <c r="Q931" s="8"/>
      <c r="R931" s="8"/>
      <c r="S931" s="357"/>
      <c r="T931" s="357"/>
      <c r="U931" s="357"/>
      <c r="V931" s="357"/>
      <c r="W931" s="8"/>
      <c r="X931" s="8"/>
      <c r="Y931" s="8"/>
      <c r="Z931" s="8"/>
      <c r="AA931" s="8"/>
      <c r="AB931" s="8"/>
    </row>
    <row r="932">
      <c r="A932" s="8"/>
      <c r="B932" s="8"/>
      <c r="C932" s="8"/>
      <c r="D932" s="8"/>
      <c r="E932" s="8"/>
      <c r="F932" s="356"/>
      <c r="G932" s="8"/>
      <c r="H932" s="8"/>
      <c r="I932" s="8"/>
      <c r="J932" s="8"/>
      <c r="K932" s="8"/>
      <c r="L932" s="8"/>
      <c r="M932" s="8"/>
      <c r="N932" s="8"/>
      <c r="O932" s="8"/>
      <c r="P932" s="8"/>
      <c r="Q932" s="8"/>
      <c r="R932" s="8"/>
      <c r="S932" s="357"/>
      <c r="T932" s="357"/>
      <c r="U932" s="357"/>
      <c r="V932" s="357"/>
      <c r="W932" s="8"/>
      <c r="X932" s="8"/>
      <c r="Y932" s="8"/>
      <c r="Z932" s="8"/>
      <c r="AA932" s="8"/>
      <c r="AB932" s="8"/>
    </row>
    <row r="933">
      <c r="A933" s="8"/>
      <c r="B933" s="8"/>
      <c r="C933" s="8"/>
      <c r="D933" s="8"/>
      <c r="E933" s="8"/>
      <c r="F933" s="356"/>
      <c r="G933" s="8"/>
      <c r="H933" s="8"/>
      <c r="I933" s="8"/>
      <c r="J933" s="8"/>
      <c r="K933" s="8"/>
      <c r="L933" s="8"/>
      <c r="M933" s="8"/>
      <c r="N933" s="8"/>
      <c r="O933" s="8"/>
      <c r="P933" s="8"/>
      <c r="Q933" s="8"/>
      <c r="R933" s="8"/>
      <c r="S933" s="357"/>
      <c r="T933" s="357"/>
      <c r="U933" s="357"/>
      <c r="V933" s="357"/>
      <c r="W933" s="8"/>
      <c r="X933" s="8"/>
      <c r="Y933" s="8"/>
      <c r="Z933" s="8"/>
      <c r="AA933" s="8"/>
      <c r="AB933" s="8"/>
    </row>
    <row r="934">
      <c r="A934" s="8"/>
      <c r="B934" s="8"/>
      <c r="C934" s="8"/>
      <c r="D934" s="8"/>
      <c r="E934" s="8"/>
      <c r="F934" s="356"/>
      <c r="G934" s="8"/>
      <c r="H934" s="8"/>
      <c r="I934" s="8"/>
      <c r="J934" s="8"/>
      <c r="K934" s="8"/>
      <c r="L934" s="8"/>
      <c r="M934" s="8"/>
      <c r="N934" s="8"/>
      <c r="O934" s="8"/>
      <c r="P934" s="8"/>
      <c r="Q934" s="8"/>
      <c r="R934" s="8"/>
      <c r="S934" s="357"/>
      <c r="T934" s="357"/>
      <c r="U934" s="357"/>
      <c r="V934" s="357"/>
      <c r="W934" s="8"/>
      <c r="X934" s="8"/>
      <c r="Y934" s="8"/>
      <c r="Z934" s="8"/>
      <c r="AA934" s="8"/>
      <c r="AB934" s="8"/>
    </row>
    <row r="935">
      <c r="A935" s="8"/>
      <c r="B935" s="8"/>
      <c r="C935" s="8"/>
      <c r="D935" s="8"/>
      <c r="E935" s="8"/>
      <c r="F935" s="356"/>
      <c r="G935" s="8"/>
      <c r="H935" s="8"/>
      <c r="I935" s="8"/>
      <c r="J935" s="8"/>
      <c r="K935" s="8"/>
      <c r="L935" s="8"/>
      <c r="M935" s="8"/>
      <c r="N935" s="8"/>
      <c r="O935" s="8"/>
      <c r="P935" s="8"/>
      <c r="Q935" s="8"/>
      <c r="R935" s="8"/>
      <c r="S935" s="357"/>
      <c r="T935" s="357"/>
      <c r="U935" s="357"/>
      <c r="V935" s="357"/>
      <c r="W935" s="8"/>
      <c r="X935" s="8"/>
      <c r="Y935" s="8"/>
      <c r="Z935" s="8"/>
      <c r="AA935" s="8"/>
      <c r="AB935" s="8"/>
    </row>
    <row r="936">
      <c r="A936" s="8"/>
      <c r="B936" s="8"/>
      <c r="C936" s="8"/>
      <c r="D936" s="8"/>
      <c r="E936" s="8"/>
      <c r="F936" s="356"/>
      <c r="G936" s="8"/>
      <c r="H936" s="8"/>
      <c r="I936" s="8"/>
      <c r="J936" s="8"/>
      <c r="K936" s="8"/>
      <c r="L936" s="8"/>
      <c r="M936" s="8"/>
      <c r="N936" s="8"/>
      <c r="O936" s="8"/>
      <c r="P936" s="8"/>
      <c r="Q936" s="8"/>
      <c r="R936" s="8"/>
      <c r="S936" s="357"/>
      <c r="T936" s="357"/>
      <c r="U936" s="357"/>
      <c r="V936" s="357"/>
      <c r="W936" s="8"/>
      <c r="X936" s="8"/>
      <c r="Y936" s="8"/>
      <c r="Z936" s="8"/>
      <c r="AA936" s="8"/>
      <c r="AB936" s="8"/>
    </row>
    <row r="937">
      <c r="A937" s="8"/>
      <c r="B937" s="8"/>
      <c r="C937" s="8"/>
      <c r="D937" s="8"/>
      <c r="E937" s="8"/>
      <c r="F937" s="356"/>
      <c r="G937" s="8"/>
      <c r="H937" s="8"/>
      <c r="I937" s="8"/>
      <c r="J937" s="8"/>
      <c r="K937" s="8"/>
      <c r="L937" s="8"/>
      <c r="M937" s="8"/>
      <c r="N937" s="8"/>
      <c r="O937" s="8"/>
      <c r="P937" s="8"/>
      <c r="Q937" s="8"/>
      <c r="R937" s="8"/>
      <c r="S937" s="357"/>
      <c r="T937" s="357"/>
      <c r="U937" s="357"/>
      <c r="V937" s="357"/>
      <c r="W937" s="8"/>
      <c r="X937" s="8"/>
      <c r="Y937" s="8"/>
      <c r="Z937" s="8"/>
      <c r="AA937" s="8"/>
      <c r="AB937" s="8"/>
    </row>
    <row r="938">
      <c r="A938" s="8"/>
      <c r="B938" s="8"/>
      <c r="C938" s="8"/>
      <c r="D938" s="8"/>
      <c r="E938" s="8"/>
      <c r="F938" s="356"/>
      <c r="G938" s="8"/>
      <c r="H938" s="8"/>
      <c r="I938" s="8"/>
      <c r="J938" s="8"/>
      <c r="K938" s="8"/>
      <c r="L938" s="8"/>
      <c r="M938" s="8"/>
      <c r="N938" s="8"/>
      <c r="O938" s="8"/>
      <c r="P938" s="8"/>
      <c r="Q938" s="8"/>
      <c r="R938" s="8"/>
      <c r="S938" s="357"/>
      <c r="T938" s="357"/>
      <c r="U938" s="357"/>
      <c r="V938" s="357"/>
      <c r="W938" s="8"/>
      <c r="X938" s="8"/>
      <c r="Y938" s="8"/>
      <c r="Z938" s="8"/>
      <c r="AA938" s="8"/>
      <c r="AB938" s="8"/>
    </row>
    <row r="939">
      <c r="A939" s="8"/>
      <c r="B939" s="8"/>
      <c r="C939" s="8"/>
      <c r="D939" s="8"/>
      <c r="E939" s="8"/>
      <c r="F939" s="356"/>
      <c r="G939" s="8"/>
      <c r="H939" s="8"/>
      <c r="I939" s="8"/>
      <c r="J939" s="8"/>
      <c r="K939" s="8"/>
      <c r="L939" s="8"/>
      <c r="M939" s="8"/>
      <c r="N939" s="8"/>
      <c r="O939" s="8"/>
      <c r="P939" s="8"/>
      <c r="Q939" s="8"/>
      <c r="R939" s="8"/>
      <c r="S939" s="357"/>
      <c r="T939" s="357"/>
      <c r="U939" s="357"/>
      <c r="V939" s="357"/>
      <c r="W939" s="8"/>
      <c r="X939" s="8"/>
      <c r="Y939" s="8"/>
      <c r="Z939" s="8"/>
      <c r="AA939" s="8"/>
      <c r="AB939" s="8"/>
    </row>
    <row r="940">
      <c r="A940" s="8"/>
      <c r="B940" s="8"/>
      <c r="C940" s="8"/>
      <c r="D940" s="8"/>
      <c r="E940" s="8"/>
      <c r="F940" s="356"/>
      <c r="G940" s="8"/>
      <c r="H940" s="8"/>
      <c r="I940" s="8"/>
      <c r="J940" s="8"/>
      <c r="K940" s="8"/>
      <c r="L940" s="8"/>
      <c r="M940" s="8"/>
      <c r="N940" s="8"/>
      <c r="O940" s="8"/>
      <c r="P940" s="8"/>
      <c r="Q940" s="8"/>
      <c r="R940" s="8"/>
      <c r="S940" s="357"/>
      <c r="T940" s="357"/>
      <c r="U940" s="357"/>
      <c r="V940" s="357"/>
      <c r="W940" s="8"/>
      <c r="X940" s="8"/>
      <c r="Y940" s="8"/>
      <c r="Z940" s="8"/>
      <c r="AA940" s="8"/>
      <c r="AB940" s="8"/>
    </row>
    <row r="941">
      <c r="A941" s="8"/>
      <c r="B941" s="8"/>
      <c r="C941" s="8"/>
      <c r="D941" s="8"/>
      <c r="E941" s="8"/>
      <c r="F941" s="356"/>
      <c r="G941" s="8"/>
      <c r="H941" s="8"/>
      <c r="I941" s="8"/>
      <c r="J941" s="8"/>
      <c r="K941" s="8"/>
      <c r="L941" s="8"/>
      <c r="M941" s="8"/>
      <c r="N941" s="8"/>
      <c r="O941" s="8"/>
      <c r="P941" s="8"/>
      <c r="Q941" s="8"/>
      <c r="R941" s="8"/>
      <c r="S941" s="357"/>
      <c r="T941" s="357"/>
      <c r="U941" s="357"/>
      <c r="V941" s="357"/>
      <c r="W941" s="8"/>
      <c r="X941" s="8"/>
      <c r="Y941" s="8"/>
      <c r="Z941" s="8"/>
      <c r="AA941" s="8"/>
      <c r="AB941" s="8"/>
    </row>
    <row r="942">
      <c r="A942" s="8"/>
      <c r="B942" s="8"/>
      <c r="C942" s="8"/>
      <c r="D942" s="8"/>
      <c r="E942" s="8"/>
      <c r="F942" s="356"/>
      <c r="G942" s="8"/>
      <c r="H942" s="8"/>
      <c r="I942" s="8"/>
      <c r="J942" s="8"/>
      <c r="K942" s="8"/>
      <c r="L942" s="8"/>
      <c r="M942" s="8"/>
      <c r="N942" s="8"/>
      <c r="O942" s="8"/>
      <c r="P942" s="8"/>
      <c r="Q942" s="8"/>
      <c r="R942" s="8"/>
      <c r="S942" s="357"/>
      <c r="T942" s="357"/>
      <c r="U942" s="357"/>
      <c r="V942" s="357"/>
      <c r="W942" s="8"/>
      <c r="X942" s="8"/>
      <c r="Y942" s="8"/>
      <c r="Z942" s="8"/>
      <c r="AA942" s="8"/>
      <c r="AB942" s="8"/>
    </row>
    <row r="943">
      <c r="A943" s="8"/>
      <c r="B943" s="8"/>
      <c r="C943" s="8"/>
      <c r="D943" s="8"/>
      <c r="E943" s="8"/>
      <c r="F943" s="356"/>
      <c r="G943" s="8"/>
      <c r="H943" s="8"/>
      <c r="I943" s="8"/>
      <c r="J943" s="8"/>
      <c r="K943" s="8"/>
      <c r="L943" s="8"/>
      <c r="M943" s="8"/>
      <c r="N943" s="8"/>
      <c r="O943" s="8"/>
      <c r="P943" s="8"/>
      <c r="Q943" s="8"/>
      <c r="R943" s="8"/>
      <c r="S943" s="357"/>
      <c r="T943" s="357"/>
      <c r="U943" s="357"/>
      <c r="V943" s="357"/>
      <c r="W943" s="8"/>
      <c r="X943" s="8"/>
      <c r="Y943" s="8"/>
      <c r="Z943" s="8"/>
      <c r="AA943" s="8"/>
      <c r="AB943" s="8"/>
    </row>
    <row r="944">
      <c r="A944" s="8"/>
      <c r="B944" s="8"/>
      <c r="C944" s="8"/>
      <c r="D944" s="8"/>
      <c r="E944" s="8"/>
      <c r="F944" s="356"/>
      <c r="G944" s="8"/>
      <c r="H944" s="8"/>
      <c r="I944" s="8"/>
      <c r="J944" s="8"/>
      <c r="K944" s="8"/>
      <c r="L944" s="8"/>
      <c r="M944" s="8"/>
      <c r="N944" s="8"/>
      <c r="O944" s="8"/>
      <c r="P944" s="8"/>
      <c r="Q944" s="8"/>
      <c r="R944" s="8"/>
      <c r="S944" s="357"/>
      <c r="T944" s="357"/>
      <c r="U944" s="357"/>
      <c r="V944" s="357"/>
      <c r="W944" s="8"/>
      <c r="X944" s="8"/>
      <c r="Y944" s="8"/>
      <c r="Z944" s="8"/>
      <c r="AA944" s="8"/>
      <c r="AB944" s="8"/>
    </row>
    <row r="945">
      <c r="A945" s="8"/>
      <c r="B945" s="8"/>
      <c r="C945" s="8"/>
      <c r="D945" s="8"/>
      <c r="E945" s="8"/>
      <c r="F945" s="356"/>
      <c r="G945" s="8"/>
      <c r="H945" s="8"/>
      <c r="I945" s="8"/>
      <c r="J945" s="8"/>
      <c r="K945" s="8"/>
      <c r="L945" s="8"/>
      <c r="M945" s="8"/>
      <c r="N945" s="8"/>
      <c r="O945" s="8"/>
      <c r="P945" s="8"/>
      <c r="Q945" s="8"/>
      <c r="R945" s="8"/>
      <c r="S945" s="357"/>
      <c r="T945" s="357"/>
      <c r="U945" s="357"/>
      <c r="V945" s="357"/>
      <c r="W945" s="8"/>
      <c r="X945" s="8"/>
      <c r="Y945" s="8"/>
      <c r="Z945" s="8"/>
      <c r="AA945" s="8"/>
      <c r="AB945" s="8"/>
    </row>
    <row r="946">
      <c r="A946" s="8"/>
      <c r="B946" s="8"/>
      <c r="C946" s="8"/>
      <c r="D946" s="8"/>
      <c r="E946" s="8"/>
      <c r="F946" s="356"/>
      <c r="G946" s="8"/>
      <c r="H946" s="8"/>
      <c r="I946" s="8"/>
      <c r="J946" s="8"/>
      <c r="K946" s="8"/>
      <c r="L946" s="8"/>
      <c r="M946" s="8"/>
      <c r="N946" s="8"/>
      <c r="O946" s="8"/>
      <c r="P946" s="8"/>
      <c r="Q946" s="8"/>
      <c r="R946" s="8"/>
      <c r="S946" s="357"/>
      <c r="T946" s="357"/>
      <c r="U946" s="357"/>
      <c r="V946" s="357"/>
      <c r="W946" s="8"/>
      <c r="X946" s="8"/>
      <c r="Y946" s="8"/>
      <c r="Z946" s="8"/>
      <c r="AA946" s="8"/>
      <c r="AB946" s="8"/>
    </row>
    <row r="947">
      <c r="A947" s="8"/>
      <c r="B947" s="8"/>
      <c r="C947" s="8"/>
      <c r="D947" s="8"/>
      <c r="E947" s="8"/>
      <c r="F947" s="356"/>
      <c r="G947" s="8"/>
      <c r="H947" s="8"/>
      <c r="I947" s="8"/>
      <c r="J947" s="8"/>
      <c r="K947" s="8"/>
      <c r="L947" s="8"/>
      <c r="M947" s="8"/>
      <c r="N947" s="8"/>
      <c r="O947" s="8"/>
      <c r="P947" s="8"/>
      <c r="Q947" s="8"/>
      <c r="R947" s="8"/>
      <c r="S947" s="357"/>
      <c r="T947" s="357"/>
      <c r="U947" s="357"/>
      <c r="V947" s="357"/>
      <c r="W947" s="8"/>
      <c r="X947" s="8"/>
      <c r="Y947" s="8"/>
      <c r="Z947" s="8"/>
      <c r="AA947" s="8"/>
      <c r="AB947" s="8"/>
    </row>
    <row r="948">
      <c r="A948" s="8"/>
      <c r="B948" s="8"/>
      <c r="C948" s="8"/>
      <c r="D948" s="8"/>
      <c r="E948" s="8"/>
      <c r="F948" s="356"/>
      <c r="G948" s="8"/>
      <c r="H948" s="8"/>
      <c r="I948" s="8"/>
      <c r="J948" s="8"/>
      <c r="K948" s="8"/>
      <c r="L948" s="8"/>
      <c r="M948" s="8"/>
      <c r="N948" s="8"/>
      <c r="O948" s="8"/>
      <c r="P948" s="8"/>
      <c r="Q948" s="8"/>
      <c r="R948" s="8"/>
      <c r="S948" s="357"/>
      <c r="T948" s="357"/>
      <c r="U948" s="357"/>
      <c r="V948" s="357"/>
      <c r="W948" s="8"/>
      <c r="X948" s="8"/>
      <c r="Y948" s="8"/>
      <c r="Z948" s="8"/>
      <c r="AA948" s="8"/>
      <c r="AB948" s="8"/>
    </row>
    <row r="949">
      <c r="A949" s="8"/>
      <c r="B949" s="8"/>
      <c r="C949" s="8"/>
      <c r="D949" s="8"/>
      <c r="E949" s="8"/>
      <c r="F949" s="356"/>
      <c r="G949" s="8"/>
      <c r="H949" s="8"/>
      <c r="I949" s="8"/>
      <c r="J949" s="8"/>
      <c r="K949" s="8"/>
      <c r="L949" s="8"/>
      <c r="M949" s="8"/>
      <c r="N949" s="8"/>
      <c r="O949" s="8"/>
      <c r="P949" s="8"/>
      <c r="Q949" s="8"/>
      <c r="R949" s="8"/>
      <c r="S949" s="357"/>
      <c r="T949" s="357"/>
      <c r="U949" s="357"/>
      <c r="V949" s="357"/>
      <c r="W949" s="8"/>
      <c r="X949" s="8"/>
      <c r="Y949" s="8"/>
      <c r="Z949" s="8"/>
      <c r="AA949" s="8"/>
      <c r="AB949" s="8"/>
    </row>
    <row r="950">
      <c r="A950" s="8"/>
      <c r="B950" s="8"/>
      <c r="C950" s="8"/>
      <c r="D950" s="8"/>
      <c r="E950" s="8"/>
      <c r="F950" s="356"/>
      <c r="G950" s="8"/>
      <c r="H950" s="8"/>
      <c r="I950" s="8"/>
      <c r="J950" s="8"/>
      <c r="K950" s="8"/>
      <c r="L950" s="8"/>
      <c r="M950" s="8"/>
      <c r="N950" s="8"/>
      <c r="O950" s="8"/>
      <c r="P950" s="8"/>
      <c r="Q950" s="8"/>
      <c r="R950" s="8"/>
      <c r="S950" s="357"/>
      <c r="T950" s="357"/>
      <c r="U950" s="357"/>
      <c r="V950" s="357"/>
      <c r="W950" s="8"/>
      <c r="X950" s="8"/>
      <c r="Y950" s="8"/>
      <c r="Z950" s="8"/>
      <c r="AA950" s="8"/>
      <c r="AB950" s="8"/>
    </row>
    <row r="951">
      <c r="A951" s="8"/>
      <c r="B951" s="8"/>
      <c r="C951" s="8"/>
      <c r="D951" s="8"/>
      <c r="E951" s="8"/>
      <c r="F951" s="356"/>
      <c r="G951" s="8"/>
      <c r="H951" s="8"/>
      <c r="I951" s="8"/>
      <c r="J951" s="8"/>
      <c r="K951" s="8"/>
      <c r="L951" s="8"/>
      <c r="M951" s="8"/>
      <c r="N951" s="8"/>
      <c r="O951" s="8"/>
      <c r="P951" s="8"/>
      <c r="Q951" s="8"/>
      <c r="R951" s="8"/>
      <c r="S951" s="357"/>
      <c r="T951" s="357"/>
      <c r="U951" s="357"/>
      <c r="V951" s="357"/>
      <c r="W951" s="8"/>
      <c r="X951" s="8"/>
      <c r="Y951" s="8"/>
      <c r="Z951" s="8"/>
      <c r="AA951" s="8"/>
      <c r="AB951" s="8"/>
    </row>
    <row r="952">
      <c r="A952" s="8"/>
      <c r="B952" s="8"/>
      <c r="C952" s="8"/>
      <c r="D952" s="8"/>
      <c r="E952" s="8"/>
      <c r="F952" s="356"/>
      <c r="G952" s="8"/>
      <c r="H952" s="8"/>
      <c r="I952" s="8"/>
      <c r="J952" s="8"/>
      <c r="K952" s="8"/>
      <c r="L952" s="8"/>
      <c r="M952" s="8"/>
      <c r="N952" s="8"/>
      <c r="O952" s="8"/>
      <c r="P952" s="8"/>
      <c r="Q952" s="8"/>
      <c r="R952" s="8"/>
      <c r="S952" s="357"/>
      <c r="T952" s="357"/>
      <c r="U952" s="357"/>
      <c r="V952" s="357"/>
      <c r="W952" s="8"/>
      <c r="X952" s="8"/>
      <c r="Y952" s="8"/>
      <c r="Z952" s="8"/>
      <c r="AA952" s="8"/>
      <c r="AB952" s="8"/>
    </row>
    <row r="953">
      <c r="A953" s="8"/>
      <c r="B953" s="8"/>
      <c r="C953" s="8"/>
      <c r="D953" s="8"/>
      <c r="E953" s="8"/>
      <c r="F953" s="356"/>
      <c r="G953" s="8"/>
      <c r="H953" s="8"/>
      <c r="I953" s="8"/>
      <c r="J953" s="8"/>
      <c r="K953" s="8"/>
      <c r="L953" s="8"/>
      <c r="M953" s="8"/>
      <c r="N953" s="8"/>
      <c r="O953" s="8"/>
      <c r="P953" s="8"/>
      <c r="Q953" s="8"/>
      <c r="R953" s="8"/>
      <c r="S953" s="357"/>
      <c r="T953" s="357"/>
      <c r="U953" s="357"/>
      <c r="V953" s="357"/>
      <c r="W953" s="8"/>
      <c r="X953" s="8"/>
      <c r="Y953" s="8"/>
      <c r="Z953" s="8"/>
      <c r="AA953" s="8"/>
      <c r="AB953" s="8"/>
    </row>
    <row r="954">
      <c r="A954" s="8"/>
      <c r="B954" s="8"/>
      <c r="C954" s="8"/>
      <c r="D954" s="8"/>
      <c r="E954" s="8"/>
      <c r="F954" s="356"/>
      <c r="G954" s="8"/>
      <c r="H954" s="8"/>
      <c r="I954" s="8"/>
      <c r="J954" s="8"/>
      <c r="K954" s="8"/>
      <c r="L954" s="8"/>
      <c r="M954" s="8"/>
      <c r="N954" s="8"/>
      <c r="O954" s="8"/>
      <c r="P954" s="8"/>
      <c r="Q954" s="8"/>
      <c r="R954" s="8"/>
      <c r="S954" s="357"/>
      <c r="T954" s="357"/>
      <c r="U954" s="357"/>
      <c r="V954" s="357"/>
      <c r="W954" s="8"/>
      <c r="X954" s="8"/>
      <c r="Y954" s="8"/>
      <c r="Z954" s="8"/>
      <c r="AA954" s="8"/>
      <c r="AB954" s="8"/>
    </row>
    <row r="955">
      <c r="A955" s="8"/>
      <c r="B955" s="8"/>
      <c r="C955" s="8"/>
      <c r="D955" s="8"/>
      <c r="E955" s="8"/>
      <c r="F955" s="356"/>
      <c r="G955" s="8"/>
      <c r="H955" s="8"/>
      <c r="I955" s="8"/>
      <c r="J955" s="8"/>
      <c r="K955" s="8"/>
      <c r="L955" s="8"/>
      <c r="M955" s="8"/>
      <c r="N955" s="8"/>
      <c r="O955" s="8"/>
      <c r="P955" s="8"/>
      <c r="Q955" s="8"/>
      <c r="R955" s="8"/>
      <c r="S955" s="357"/>
      <c r="T955" s="357"/>
      <c r="U955" s="357"/>
      <c r="V955" s="357"/>
      <c r="W955" s="8"/>
      <c r="X955" s="8"/>
      <c r="Y955" s="8"/>
      <c r="Z955" s="8"/>
      <c r="AA955" s="8"/>
      <c r="AB955" s="8"/>
    </row>
    <row r="956">
      <c r="A956" s="8"/>
      <c r="B956" s="8"/>
      <c r="C956" s="8"/>
      <c r="D956" s="8"/>
      <c r="E956" s="8"/>
      <c r="F956" s="356"/>
      <c r="G956" s="8"/>
      <c r="H956" s="8"/>
      <c r="I956" s="8"/>
      <c r="J956" s="8"/>
      <c r="K956" s="8"/>
      <c r="L956" s="8"/>
      <c r="M956" s="8"/>
      <c r="N956" s="8"/>
      <c r="O956" s="8"/>
      <c r="P956" s="8"/>
      <c r="Q956" s="8"/>
      <c r="R956" s="8"/>
      <c r="S956" s="357"/>
      <c r="T956" s="357"/>
      <c r="U956" s="357"/>
      <c r="V956" s="357"/>
      <c r="W956" s="8"/>
      <c r="X956" s="8"/>
      <c r="Y956" s="8"/>
      <c r="Z956" s="8"/>
      <c r="AA956" s="8"/>
      <c r="AB956" s="8"/>
    </row>
    <row r="957">
      <c r="A957" s="8"/>
      <c r="B957" s="8"/>
      <c r="C957" s="8"/>
      <c r="D957" s="8"/>
      <c r="E957" s="8"/>
      <c r="F957" s="356"/>
      <c r="G957" s="8"/>
      <c r="H957" s="8"/>
      <c r="I957" s="8"/>
      <c r="J957" s="8"/>
      <c r="K957" s="8"/>
      <c r="L957" s="8"/>
      <c r="M957" s="8"/>
      <c r="N957" s="8"/>
      <c r="O957" s="8"/>
      <c r="P957" s="8"/>
      <c r="Q957" s="8"/>
      <c r="R957" s="8"/>
      <c r="S957" s="357"/>
      <c r="T957" s="357"/>
      <c r="U957" s="357"/>
      <c r="V957" s="357"/>
      <c r="W957" s="8"/>
      <c r="X957" s="8"/>
      <c r="Y957" s="8"/>
      <c r="Z957" s="8"/>
      <c r="AA957" s="8"/>
      <c r="AB957" s="8"/>
    </row>
    <row r="958">
      <c r="A958" s="8"/>
      <c r="B958" s="8"/>
      <c r="C958" s="8"/>
      <c r="D958" s="8"/>
      <c r="E958" s="8"/>
      <c r="F958" s="356"/>
      <c r="G958" s="8"/>
      <c r="H958" s="8"/>
      <c r="I958" s="8"/>
      <c r="J958" s="8"/>
      <c r="K958" s="8"/>
      <c r="L958" s="8"/>
      <c r="M958" s="8"/>
      <c r="N958" s="8"/>
      <c r="O958" s="8"/>
      <c r="P958" s="8"/>
      <c r="Q958" s="8"/>
      <c r="R958" s="8"/>
      <c r="S958" s="357"/>
      <c r="T958" s="357"/>
      <c r="U958" s="357"/>
      <c r="V958" s="357"/>
      <c r="W958" s="8"/>
      <c r="X958" s="8"/>
      <c r="Y958" s="8"/>
      <c r="Z958" s="8"/>
      <c r="AA958" s="8"/>
      <c r="AB958" s="8"/>
    </row>
    <row r="959">
      <c r="A959" s="8"/>
      <c r="B959" s="8"/>
      <c r="C959" s="8"/>
      <c r="D959" s="8"/>
      <c r="E959" s="8"/>
      <c r="F959" s="356"/>
      <c r="G959" s="8"/>
      <c r="H959" s="8"/>
      <c r="I959" s="8"/>
      <c r="J959" s="8"/>
      <c r="K959" s="8"/>
      <c r="L959" s="8"/>
      <c r="M959" s="8"/>
      <c r="N959" s="8"/>
      <c r="O959" s="8"/>
      <c r="P959" s="8"/>
      <c r="Q959" s="8"/>
      <c r="R959" s="8"/>
      <c r="S959" s="357"/>
      <c r="T959" s="357"/>
      <c r="U959" s="357"/>
      <c r="V959" s="357"/>
      <c r="W959" s="8"/>
      <c r="X959" s="8"/>
      <c r="Y959" s="8"/>
      <c r="Z959" s="8"/>
      <c r="AA959" s="8"/>
      <c r="AB959" s="8"/>
    </row>
    <row r="960">
      <c r="A960" s="8"/>
      <c r="B960" s="8"/>
      <c r="C960" s="8"/>
      <c r="D960" s="8"/>
      <c r="E960" s="8"/>
      <c r="F960" s="356"/>
      <c r="G960" s="8"/>
      <c r="H960" s="8"/>
      <c r="I960" s="8"/>
      <c r="J960" s="8"/>
      <c r="K960" s="8"/>
      <c r="L960" s="8"/>
      <c r="M960" s="8"/>
      <c r="N960" s="8"/>
      <c r="O960" s="8"/>
      <c r="P960" s="8"/>
      <c r="Q960" s="8"/>
      <c r="R960" s="8"/>
      <c r="S960" s="357"/>
      <c r="T960" s="357"/>
      <c r="U960" s="357"/>
      <c r="V960" s="357"/>
      <c r="W960" s="8"/>
      <c r="X960" s="8"/>
      <c r="Y960" s="8"/>
      <c r="Z960" s="8"/>
      <c r="AA960" s="8"/>
      <c r="AB960" s="8"/>
    </row>
    <row r="961">
      <c r="A961" s="8"/>
      <c r="B961" s="8"/>
      <c r="C961" s="8"/>
      <c r="D961" s="8"/>
      <c r="E961" s="8"/>
      <c r="F961" s="356"/>
      <c r="G961" s="8"/>
      <c r="H961" s="8"/>
      <c r="I961" s="8"/>
      <c r="J961" s="8"/>
      <c r="K961" s="8"/>
      <c r="L961" s="8"/>
      <c r="M961" s="8"/>
      <c r="N961" s="8"/>
      <c r="O961" s="8"/>
      <c r="P961" s="8"/>
      <c r="Q961" s="8"/>
      <c r="R961" s="8"/>
      <c r="S961" s="357"/>
      <c r="T961" s="357"/>
      <c r="U961" s="357"/>
      <c r="V961" s="357"/>
      <c r="W961" s="8"/>
      <c r="X961" s="8"/>
      <c r="Y961" s="8"/>
      <c r="Z961" s="8"/>
      <c r="AA961" s="8"/>
      <c r="AB961" s="8"/>
    </row>
    <row r="962">
      <c r="A962" s="8"/>
      <c r="B962" s="8"/>
      <c r="C962" s="8"/>
      <c r="D962" s="8"/>
      <c r="E962" s="8"/>
      <c r="F962" s="356"/>
      <c r="G962" s="8"/>
      <c r="H962" s="8"/>
      <c r="I962" s="8"/>
      <c r="J962" s="8"/>
      <c r="K962" s="8"/>
      <c r="L962" s="8"/>
      <c r="M962" s="8"/>
      <c r="N962" s="8"/>
      <c r="O962" s="8"/>
      <c r="P962" s="8"/>
      <c r="Q962" s="8"/>
      <c r="R962" s="8"/>
      <c r="S962" s="357"/>
      <c r="T962" s="357"/>
      <c r="U962" s="357"/>
      <c r="V962" s="357"/>
      <c r="W962" s="8"/>
      <c r="X962" s="8"/>
      <c r="Y962" s="8"/>
      <c r="Z962" s="8"/>
      <c r="AA962" s="8"/>
      <c r="AB962" s="8"/>
    </row>
    <row r="963">
      <c r="A963" s="8"/>
      <c r="B963" s="8"/>
      <c r="C963" s="8"/>
      <c r="D963" s="8"/>
      <c r="E963" s="8"/>
      <c r="F963" s="356"/>
      <c r="G963" s="8"/>
      <c r="H963" s="8"/>
      <c r="I963" s="8"/>
      <c r="J963" s="8"/>
      <c r="K963" s="8"/>
      <c r="L963" s="8"/>
      <c r="M963" s="8"/>
      <c r="N963" s="8"/>
      <c r="O963" s="8"/>
      <c r="P963" s="8"/>
      <c r="Q963" s="8"/>
      <c r="R963" s="8"/>
      <c r="S963" s="357"/>
      <c r="T963" s="357"/>
      <c r="U963" s="357"/>
      <c r="V963" s="357"/>
      <c r="W963" s="8"/>
      <c r="X963" s="8"/>
      <c r="Y963" s="8"/>
      <c r="Z963" s="8"/>
      <c r="AA963" s="8"/>
      <c r="AB963" s="8"/>
    </row>
    <row r="964">
      <c r="A964" s="8"/>
      <c r="B964" s="8"/>
      <c r="C964" s="8"/>
      <c r="D964" s="8"/>
      <c r="E964" s="8"/>
      <c r="F964" s="356"/>
      <c r="G964" s="8"/>
      <c r="H964" s="8"/>
      <c r="I964" s="8"/>
      <c r="J964" s="8"/>
      <c r="K964" s="8"/>
      <c r="L964" s="8"/>
      <c r="M964" s="8"/>
      <c r="N964" s="8"/>
      <c r="O964" s="8"/>
      <c r="P964" s="8"/>
      <c r="Q964" s="8"/>
      <c r="R964" s="8"/>
      <c r="S964" s="357"/>
      <c r="T964" s="357"/>
      <c r="U964" s="357"/>
      <c r="V964" s="357"/>
      <c r="W964" s="8"/>
      <c r="X964" s="8"/>
      <c r="Y964" s="8"/>
      <c r="Z964" s="8"/>
      <c r="AA964" s="8"/>
      <c r="AB964" s="8"/>
    </row>
    <row r="965">
      <c r="A965" s="8"/>
      <c r="B965" s="8"/>
      <c r="C965" s="8"/>
      <c r="D965" s="8"/>
      <c r="E965" s="8"/>
      <c r="F965" s="356"/>
      <c r="G965" s="8"/>
      <c r="H965" s="8"/>
      <c r="I965" s="8"/>
      <c r="J965" s="8"/>
      <c r="K965" s="8"/>
      <c r="L965" s="8"/>
      <c r="M965" s="8"/>
      <c r="N965" s="8"/>
      <c r="O965" s="8"/>
      <c r="P965" s="8"/>
      <c r="Q965" s="8"/>
      <c r="R965" s="8"/>
      <c r="S965" s="357"/>
      <c r="T965" s="357"/>
      <c r="U965" s="357"/>
      <c r="V965" s="357"/>
      <c r="W965" s="8"/>
      <c r="X965" s="8"/>
      <c r="Y965" s="8"/>
      <c r="Z965" s="8"/>
      <c r="AA965" s="8"/>
      <c r="AB965" s="8"/>
    </row>
    <row r="966">
      <c r="A966" s="8"/>
      <c r="B966" s="8"/>
      <c r="C966" s="8"/>
      <c r="D966" s="8"/>
      <c r="E966" s="8"/>
      <c r="F966" s="356"/>
      <c r="G966" s="8"/>
      <c r="H966" s="8"/>
      <c r="I966" s="8"/>
      <c r="J966" s="8"/>
      <c r="K966" s="8"/>
      <c r="L966" s="8"/>
      <c r="M966" s="8"/>
      <c r="N966" s="8"/>
      <c r="O966" s="8"/>
      <c r="P966" s="8"/>
      <c r="Q966" s="8"/>
      <c r="R966" s="8"/>
      <c r="S966" s="357"/>
      <c r="T966" s="357"/>
      <c r="U966" s="357"/>
      <c r="V966" s="357"/>
      <c r="W966" s="8"/>
      <c r="X966" s="8"/>
      <c r="Y966" s="8"/>
      <c r="Z966" s="8"/>
      <c r="AA966" s="8"/>
      <c r="AB966" s="8"/>
    </row>
    <row r="967">
      <c r="A967" s="8"/>
      <c r="B967" s="8"/>
      <c r="C967" s="8"/>
      <c r="D967" s="8"/>
      <c r="E967" s="8"/>
      <c r="F967" s="356"/>
      <c r="G967" s="8"/>
      <c r="H967" s="8"/>
      <c r="I967" s="8"/>
      <c r="J967" s="8"/>
      <c r="K967" s="8"/>
      <c r="L967" s="8"/>
      <c r="M967" s="8"/>
      <c r="N967" s="8"/>
      <c r="O967" s="8"/>
      <c r="P967" s="8"/>
      <c r="Q967" s="8"/>
      <c r="R967" s="8"/>
      <c r="S967" s="357"/>
      <c r="T967" s="357"/>
      <c r="U967" s="357"/>
      <c r="V967" s="357"/>
      <c r="W967" s="8"/>
      <c r="X967" s="8"/>
      <c r="Y967" s="8"/>
      <c r="Z967" s="8"/>
      <c r="AA967" s="8"/>
      <c r="AB967" s="8"/>
    </row>
    <row r="968">
      <c r="A968" s="8"/>
      <c r="B968" s="8"/>
      <c r="C968" s="8"/>
      <c r="D968" s="8"/>
      <c r="E968" s="8"/>
      <c r="F968" s="356"/>
      <c r="G968" s="8"/>
      <c r="H968" s="8"/>
      <c r="I968" s="8"/>
      <c r="J968" s="8"/>
      <c r="K968" s="8"/>
      <c r="L968" s="8"/>
      <c r="M968" s="8"/>
      <c r="N968" s="8"/>
      <c r="O968" s="8"/>
      <c r="P968" s="8"/>
      <c r="Q968" s="8"/>
      <c r="R968" s="8"/>
      <c r="S968" s="357"/>
      <c r="T968" s="357"/>
      <c r="U968" s="357"/>
      <c r="V968" s="357"/>
      <c r="W968" s="8"/>
      <c r="X968" s="8"/>
      <c r="Y968" s="8"/>
      <c r="Z968" s="8"/>
      <c r="AA968" s="8"/>
      <c r="AB968" s="8"/>
    </row>
    <row r="969">
      <c r="A969" s="8"/>
      <c r="B969" s="8"/>
      <c r="C969" s="8"/>
      <c r="D969" s="8"/>
      <c r="E969" s="8"/>
      <c r="F969" s="356"/>
      <c r="G969" s="8"/>
      <c r="H969" s="8"/>
      <c r="I969" s="8"/>
      <c r="J969" s="8"/>
      <c r="K969" s="8"/>
      <c r="L969" s="8"/>
      <c r="M969" s="8"/>
      <c r="N969" s="8"/>
      <c r="O969" s="8"/>
      <c r="P969" s="8"/>
      <c r="Q969" s="8"/>
      <c r="R969" s="8"/>
      <c r="S969" s="357"/>
      <c r="T969" s="357"/>
      <c r="U969" s="357"/>
      <c r="V969" s="357"/>
      <c r="W969" s="8"/>
      <c r="X969" s="8"/>
      <c r="Y969" s="8"/>
      <c r="Z969" s="8"/>
      <c r="AA969" s="8"/>
      <c r="AB969" s="8"/>
    </row>
    <row r="970">
      <c r="A970" s="8"/>
      <c r="B970" s="8"/>
      <c r="C970" s="8"/>
      <c r="D970" s="8"/>
      <c r="E970" s="8"/>
      <c r="F970" s="356"/>
      <c r="G970" s="8"/>
      <c r="H970" s="8"/>
      <c r="I970" s="8"/>
      <c r="J970" s="8"/>
      <c r="K970" s="8"/>
      <c r="L970" s="8"/>
      <c r="M970" s="8"/>
      <c r="N970" s="8"/>
      <c r="O970" s="8"/>
      <c r="P970" s="8"/>
      <c r="Q970" s="8"/>
      <c r="R970" s="8"/>
      <c r="S970" s="357"/>
      <c r="T970" s="357"/>
      <c r="U970" s="357"/>
      <c r="V970" s="357"/>
      <c r="W970" s="8"/>
      <c r="X970" s="8"/>
      <c r="Y970" s="8"/>
      <c r="Z970" s="8"/>
      <c r="AA970" s="8"/>
      <c r="AB970" s="8"/>
    </row>
    <row r="971">
      <c r="A971" s="8"/>
      <c r="B971" s="8"/>
      <c r="C971" s="8"/>
      <c r="D971" s="8"/>
      <c r="E971" s="8"/>
      <c r="F971" s="356"/>
      <c r="G971" s="8"/>
      <c r="H971" s="8"/>
      <c r="I971" s="8"/>
      <c r="J971" s="8"/>
      <c r="K971" s="8"/>
      <c r="L971" s="8"/>
      <c r="M971" s="8"/>
      <c r="N971" s="8"/>
      <c r="O971" s="8"/>
      <c r="P971" s="8"/>
      <c r="Q971" s="8"/>
      <c r="R971" s="8"/>
      <c r="S971" s="357"/>
      <c r="T971" s="357"/>
      <c r="U971" s="357"/>
      <c r="V971" s="357"/>
      <c r="W971" s="8"/>
      <c r="X971" s="8"/>
      <c r="Y971" s="8"/>
      <c r="Z971" s="8"/>
      <c r="AA971" s="8"/>
      <c r="AB971" s="8"/>
    </row>
    <row r="972">
      <c r="A972" s="8"/>
      <c r="B972" s="8"/>
      <c r="C972" s="8"/>
      <c r="D972" s="8"/>
      <c r="E972" s="8"/>
      <c r="F972" s="356"/>
      <c r="G972" s="8"/>
      <c r="H972" s="8"/>
      <c r="I972" s="8"/>
      <c r="J972" s="8"/>
      <c r="K972" s="8"/>
      <c r="L972" s="8"/>
      <c r="M972" s="8"/>
      <c r="N972" s="8"/>
      <c r="O972" s="8"/>
      <c r="P972" s="8"/>
      <c r="Q972" s="8"/>
      <c r="R972" s="8"/>
      <c r="S972" s="357"/>
      <c r="T972" s="357"/>
      <c r="U972" s="357"/>
      <c r="V972" s="357"/>
      <c r="W972" s="8"/>
      <c r="X972" s="8"/>
      <c r="Y972" s="8"/>
      <c r="Z972" s="8"/>
      <c r="AA972" s="8"/>
      <c r="AB972" s="8"/>
    </row>
    <row r="973">
      <c r="A973" s="8"/>
      <c r="B973" s="8"/>
      <c r="C973" s="8"/>
      <c r="D973" s="8"/>
      <c r="E973" s="8"/>
      <c r="F973" s="356"/>
      <c r="G973" s="8"/>
      <c r="H973" s="8"/>
      <c r="I973" s="8"/>
      <c r="J973" s="8"/>
      <c r="K973" s="8"/>
      <c r="L973" s="8"/>
      <c r="M973" s="8"/>
      <c r="N973" s="8"/>
      <c r="O973" s="8"/>
      <c r="P973" s="8"/>
      <c r="Q973" s="8"/>
      <c r="R973" s="8"/>
      <c r="S973" s="357"/>
      <c r="T973" s="357"/>
      <c r="U973" s="357"/>
      <c r="V973" s="357"/>
      <c r="W973" s="8"/>
      <c r="X973" s="8"/>
      <c r="Y973" s="8"/>
      <c r="Z973" s="8"/>
      <c r="AA973" s="8"/>
      <c r="AB973" s="8"/>
    </row>
    <row r="974">
      <c r="A974" s="8"/>
      <c r="B974" s="8"/>
      <c r="C974" s="8"/>
      <c r="D974" s="8"/>
      <c r="E974" s="8"/>
      <c r="F974" s="356"/>
      <c r="G974" s="8"/>
      <c r="H974" s="8"/>
      <c r="I974" s="8"/>
      <c r="J974" s="8"/>
      <c r="K974" s="8"/>
      <c r="L974" s="8"/>
      <c r="M974" s="8"/>
      <c r="N974" s="8"/>
      <c r="O974" s="8"/>
      <c r="P974" s="8"/>
      <c r="Q974" s="8"/>
      <c r="R974" s="8"/>
      <c r="S974" s="357"/>
      <c r="T974" s="357"/>
      <c r="U974" s="357"/>
      <c r="V974" s="357"/>
      <c r="W974" s="8"/>
      <c r="X974" s="8"/>
      <c r="Y974" s="8"/>
      <c r="Z974" s="8"/>
      <c r="AA974" s="8"/>
      <c r="AB974" s="8"/>
    </row>
    <row r="975">
      <c r="A975" s="8"/>
      <c r="B975" s="8"/>
      <c r="C975" s="8"/>
      <c r="D975" s="8"/>
      <c r="E975" s="8"/>
      <c r="F975" s="356"/>
      <c r="G975" s="8"/>
      <c r="H975" s="8"/>
      <c r="I975" s="8"/>
      <c r="J975" s="8"/>
      <c r="K975" s="8"/>
      <c r="L975" s="8"/>
      <c r="M975" s="8"/>
      <c r="N975" s="8"/>
      <c r="O975" s="8"/>
      <c r="P975" s="8"/>
      <c r="Q975" s="8"/>
      <c r="R975" s="8"/>
      <c r="S975" s="357"/>
      <c r="T975" s="357"/>
      <c r="U975" s="357"/>
      <c r="V975" s="357"/>
      <c r="W975" s="8"/>
      <c r="X975" s="8"/>
      <c r="Y975" s="8"/>
      <c r="Z975" s="8"/>
      <c r="AA975" s="8"/>
      <c r="AB975" s="8"/>
    </row>
    <row r="976">
      <c r="A976" s="8"/>
      <c r="B976" s="8"/>
      <c r="C976" s="8"/>
      <c r="D976" s="8"/>
      <c r="E976" s="8"/>
      <c r="F976" s="356"/>
      <c r="G976" s="8"/>
      <c r="H976" s="8"/>
      <c r="I976" s="8"/>
      <c r="J976" s="8"/>
      <c r="K976" s="8"/>
      <c r="L976" s="8"/>
      <c r="M976" s="8"/>
      <c r="N976" s="8"/>
      <c r="O976" s="8"/>
      <c r="P976" s="8"/>
      <c r="Q976" s="8"/>
      <c r="R976" s="8"/>
      <c r="S976" s="357"/>
      <c r="T976" s="357"/>
      <c r="U976" s="357"/>
      <c r="V976" s="357"/>
      <c r="W976" s="8"/>
      <c r="X976" s="8"/>
      <c r="Y976" s="8"/>
      <c r="Z976" s="8"/>
      <c r="AA976" s="8"/>
      <c r="AB976" s="8"/>
    </row>
    <row r="977">
      <c r="A977" s="8"/>
      <c r="B977" s="8"/>
      <c r="C977" s="8"/>
      <c r="D977" s="8"/>
      <c r="E977" s="8"/>
      <c r="F977" s="356"/>
      <c r="G977" s="8"/>
      <c r="H977" s="8"/>
      <c r="I977" s="8"/>
      <c r="J977" s="8"/>
      <c r="K977" s="8"/>
      <c r="L977" s="8"/>
      <c r="M977" s="8"/>
      <c r="N977" s="8"/>
      <c r="O977" s="8"/>
      <c r="P977" s="8"/>
      <c r="Q977" s="8"/>
      <c r="R977" s="8"/>
      <c r="S977" s="357"/>
      <c r="T977" s="357"/>
      <c r="U977" s="357"/>
      <c r="V977" s="357"/>
      <c r="W977" s="8"/>
      <c r="X977" s="8"/>
      <c r="Y977" s="8"/>
      <c r="Z977" s="8"/>
      <c r="AA977" s="8"/>
      <c r="AB977" s="8"/>
    </row>
    <row r="978">
      <c r="A978" s="8"/>
      <c r="B978" s="8"/>
      <c r="C978" s="8"/>
      <c r="D978" s="8"/>
      <c r="E978" s="8"/>
      <c r="F978" s="356"/>
      <c r="G978" s="8"/>
      <c r="H978" s="8"/>
      <c r="I978" s="8"/>
      <c r="J978" s="8"/>
      <c r="K978" s="8"/>
      <c r="L978" s="8"/>
      <c r="M978" s="8"/>
      <c r="N978" s="8"/>
      <c r="O978" s="8"/>
      <c r="P978" s="8"/>
      <c r="Q978" s="8"/>
      <c r="R978" s="8"/>
      <c r="S978" s="357"/>
      <c r="T978" s="357"/>
      <c r="U978" s="357"/>
      <c r="V978" s="357"/>
      <c r="W978" s="8"/>
      <c r="X978" s="8"/>
      <c r="Y978" s="8"/>
      <c r="Z978" s="8"/>
      <c r="AA978" s="8"/>
      <c r="AB978" s="8"/>
    </row>
    <row r="979">
      <c r="A979" s="8"/>
      <c r="B979" s="8"/>
      <c r="C979" s="8"/>
      <c r="D979" s="8"/>
      <c r="E979" s="8"/>
      <c r="F979" s="356"/>
      <c r="G979" s="8"/>
      <c r="H979" s="8"/>
      <c r="I979" s="8"/>
      <c r="J979" s="8"/>
      <c r="K979" s="8"/>
      <c r="L979" s="8"/>
      <c r="M979" s="8"/>
      <c r="N979" s="8"/>
      <c r="O979" s="8"/>
      <c r="P979" s="8"/>
      <c r="Q979" s="8"/>
      <c r="R979" s="8"/>
      <c r="S979" s="357"/>
      <c r="T979" s="357"/>
      <c r="U979" s="357"/>
      <c r="V979" s="357"/>
      <c r="W979" s="8"/>
      <c r="X979" s="8"/>
      <c r="Y979" s="8"/>
      <c r="Z979" s="8"/>
      <c r="AA979" s="8"/>
      <c r="AB979" s="8"/>
    </row>
    <row r="980">
      <c r="A980" s="8"/>
      <c r="B980" s="8"/>
      <c r="C980" s="8"/>
      <c r="D980" s="8"/>
      <c r="E980" s="8"/>
      <c r="F980" s="356"/>
      <c r="G980" s="8"/>
      <c r="H980" s="8"/>
      <c r="I980" s="8"/>
      <c r="J980" s="8"/>
      <c r="K980" s="8"/>
      <c r="L980" s="8"/>
      <c r="M980" s="8"/>
      <c r="N980" s="8"/>
      <c r="O980" s="8"/>
      <c r="P980" s="8"/>
      <c r="Q980" s="8"/>
      <c r="R980" s="8"/>
      <c r="S980" s="357"/>
      <c r="T980" s="357"/>
      <c r="U980" s="357"/>
      <c r="V980" s="357"/>
      <c r="W980" s="8"/>
      <c r="X980" s="8"/>
      <c r="Y980" s="8"/>
      <c r="Z980" s="8"/>
      <c r="AA980" s="8"/>
      <c r="AB980" s="8"/>
    </row>
    <row r="981">
      <c r="A981" s="8"/>
      <c r="B981" s="8"/>
      <c r="C981" s="8"/>
      <c r="D981" s="8"/>
      <c r="E981" s="8"/>
      <c r="F981" s="356"/>
      <c r="G981" s="8"/>
      <c r="H981" s="8"/>
      <c r="I981" s="8"/>
      <c r="J981" s="8"/>
      <c r="K981" s="8"/>
      <c r="L981" s="8"/>
      <c r="M981" s="8"/>
      <c r="N981" s="8"/>
      <c r="O981" s="8"/>
      <c r="P981" s="8"/>
      <c r="Q981" s="8"/>
      <c r="R981" s="8"/>
      <c r="S981" s="357"/>
      <c r="T981" s="357"/>
      <c r="U981" s="357"/>
      <c r="V981" s="357"/>
      <c r="W981" s="8"/>
      <c r="X981" s="8"/>
      <c r="Y981" s="8"/>
      <c r="Z981" s="8"/>
      <c r="AA981" s="8"/>
      <c r="AB981" s="8"/>
    </row>
    <row r="982">
      <c r="A982" s="8"/>
      <c r="B982" s="8"/>
      <c r="C982" s="8"/>
      <c r="D982" s="8"/>
      <c r="E982" s="8"/>
      <c r="F982" s="356"/>
      <c r="G982" s="8"/>
      <c r="H982" s="8"/>
      <c r="I982" s="8"/>
      <c r="J982" s="8"/>
      <c r="K982" s="8"/>
      <c r="L982" s="8"/>
      <c r="M982" s="8"/>
      <c r="N982" s="8"/>
      <c r="O982" s="8"/>
      <c r="P982" s="8"/>
      <c r="Q982" s="8"/>
      <c r="R982" s="8"/>
      <c r="S982" s="357"/>
      <c r="T982" s="357"/>
      <c r="U982" s="357"/>
      <c r="V982" s="357"/>
      <c r="W982" s="8"/>
      <c r="X982" s="8"/>
      <c r="Y982" s="8"/>
      <c r="Z982" s="8"/>
      <c r="AA982" s="8"/>
      <c r="AB982" s="8"/>
    </row>
    <row r="983">
      <c r="A983" s="8"/>
      <c r="B983" s="8"/>
      <c r="C983" s="8"/>
      <c r="D983" s="8"/>
      <c r="E983" s="8"/>
      <c r="F983" s="356"/>
      <c r="G983" s="8"/>
      <c r="H983" s="8"/>
      <c r="I983" s="8"/>
      <c r="J983" s="8"/>
      <c r="K983" s="8"/>
      <c r="L983" s="8"/>
      <c r="M983" s="8"/>
      <c r="N983" s="8"/>
      <c r="O983" s="8"/>
      <c r="P983" s="8"/>
      <c r="Q983" s="8"/>
      <c r="R983" s="8"/>
      <c r="S983" s="357"/>
      <c r="T983" s="357"/>
      <c r="U983" s="357"/>
      <c r="V983" s="357"/>
      <c r="W983" s="8"/>
      <c r="X983" s="8"/>
      <c r="Y983" s="8"/>
      <c r="Z983" s="8"/>
      <c r="AA983" s="8"/>
      <c r="AB983" s="8"/>
    </row>
    <row r="984">
      <c r="A984" s="8"/>
      <c r="B984" s="8"/>
      <c r="C984" s="8"/>
      <c r="D984" s="8"/>
      <c r="E984" s="8"/>
      <c r="F984" s="356"/>
      <c r="G984" s="8"/>
      <c r="H984" s="8"/>
      <c r="I984" s="8"/>
      <c r="J984" s="8"/>
      <c r="K984" s="8"/>
      <c r="L984" s="8"/>
      <c r="M984" s="8"/>
      <c r="N984" s="8"/>
      <c r="O984" s="8"/>
      <c r="P984" s="8"/>
      <c r="Q984" s="8"/>
      <c r="R984" s="8"/>
      <c r="S984" s="357"/>
      <c r="T984" s="357"/>
      <c r="U984" s="357"/>
      <c r="V984" s="357"/>
      <c r="W984" s="8"/>
      <c r="X984" s="8"/>
      <c r="Y984" s="8"/>
      <c r="Z984" s="8"/>
      <c r="AA984" s="8"/>
      <c r="AB984" s="8"/>
    </row>
    <row r="985">
      <c r="A985" s="8"/>
      <c r="B985" s="8"/>
      <c r="C985" s="8"/>
      <c r="D985" s="8"/>
      <c r="E985" s="8"/>
      <c r="F985" s="356"/>
      <c r="G985" s="8"/>
      <c r="H985" s="8"/>
      <c r="I985" s="8"/>
      <c r="J985" s="8"/>
      <c r="K985" s="8"/>
      <c r="L985" s="8"/>
      <c r="M985" s="8"/>
      <c r="N985" s="8"/>
      <c r="O985" s="8"/>
      <c r="P985" s="8"/>
      <c r="Q985" s="8"/>
      <c r="R985" s="8"/>
      <c r="S985" s="357"/>
      <c r="T985" s="357"/>
      <c r="U985" s="357"/>
      <c r="V985" s="357"/>
      <c r="W985" s="8"/>
      <c r="X985" s="8"/>
      <c r="Y985" s="8"/>
      <c r="Z985" s="8"/>
      <c r="AA985" s="8"/>
      <c r="AB985" s="8"/>
    </row>
    <row r="986">
      <c r="A986" s="8"/>
      <c r="B986" s="8"/>
      <c r="C986" s="8"/>
      <c r="D986" s="8"/>
      <c r="E986" s="8"/>
      <c r="F986" s="356"/>
      <c r="G986" s="8"/>
      <c r="H986" s="8"/>
      <c r="I986" s="8"/>
      <c r="J986" s="8"/>
      <c r="K986" s="8"/>
      <c r="L986" s="8"/>
      <c r="M986" s="8"/>
      <c r="N986" s="8"/>
      <c r="O986" s="8"/>
      <c r="P986" s="8"/>
      <c r="Q986" s="8"/>
      <c r="R986" s="8"/>
      <c r="S986" s="357"/>
      <c r="T986" s="357"/>
      <c r="U986" s="357"/>
      <c r="V986" s="357"/>
      <c r="W986" s="8"/>
      <c r="X986" s="8"/>
      <c r="Y986" s="8"/>
      <c r="Z986" s="8"/>
      <c r="AA986" s="8"/>
      <c r="AB986" s="8"/>
    </row>
    <row r="987">
      <c r="A987" s="8"/>
      <c r="B987" s="8"/>
      <c r="C987" s="8"/>
      <c r="D987" s="8"/>
      <c r="E987" s="8"/>
      <c r="F987" s="356"/>
      <c r="G987" s="8"/>
      <c r="H987" s="8"/>
      <c r="I987" s="8"/>
      <c r="J987" s="8"/>
      <c r="K987" s="8"/>
      <c r="L987" s="8"/>
      <c r="M987" s="8"/>
      <c r="N987" s="8"/>
      <c r="O987" s="8"/>
      <c r="P987" s="8"/>
      <c r="Q987" s="8"/>
      <c r="R987" s="8"/>
      <c r="S987" s="357"/>
      <c r="T987" s="357"/>
      <c r="U987" s="357"/>
      <c r="V987" s="357"/>
      <c r="W987" s="8"/>
      <c r="X987" s="8"/>
      <c r="Y987" s="8"/>
      <c r="Z987" s="8"/>
      <c r="AA987" s="8"/>
      <c r="AB987" s="8"/>
    </row>
    <row r="988">
      <c r="A988" s="358"/>
      <c r="B988" s="8"/>
      <c r="C988" s="8"/>
      <c r="D988" s="8"/>
      <c r="E988" s="8"/>
      <c r="F988" s="356"/>
      <c r="G988" s="8"/>
      <c r="H988" s="8"/>
      <c r="I988" s="8"/>
      <c r="J988" s="8"/>
      <c r="K988" s="8"/>
      <c r="L988" s="8"/>
      <c r="M988" s="8"/>
      <c r="N988" s="8"/>
      <c r="O988" s="8"/>
      <c r="P988" s="8"/>
      <c r="Q988" s="8"/>
      <c r="R988" s="8"/>
      <c r="S988" s="357"/>
      <c r="T988" s="357"/>
      <c r="U988" s="357"/>
      <c r="V988" s="357"/>
      <c r="W988" s="8"/>
      <c r="X988" s="8"/>
      <c r="Y988" s="8"/>
      <c r="Z988" s="8"/>
      <c r="AA988" s="8"/>
      <c r="AB988" s="8"/>
    </row>
    <row r="989">
      <c r="A989" s="359"/>
      <c r="B989" s="8"/>
      <c r="C989" s="8"/>
      <c r="D989" s="8"/>
      <c r="E989" s="8"/>
      <c r="F989" s="356"/>
      <c r="G989" s="8"/>
      <c r="H989" s="8"/>
      <c r="I989" s="8"/>
      <c r="J989" s="8"/>
      <c r="K989" s="8"/>
      <c r="L989" s="8"/>
      <c r="M989" s="8"/>
      <c r="N989" s="8"/>
      <c r="O989" s="8"/>
      <c r="P989" s="8"/>
      <c r="Q989" s="8"/>
      <c r="R989" s="8"/>
      <c r="S989" s="357"/>
      <c r="T989" s="357"/>
      <c r="U989" s="357"/>
      <c r="V989" s="357"/>
      <c r="W989" s="8"/>
      <c r="X989" s="8"/>
      <c r="Y989" s="8"/>
      <c r="Z989" s="8"/>
      <c r="AA989" s="8"/>
      <c r="AB989" s="8"/>
    </row>
    <row r="990">
      <c r="A990" s="359"/>
      <c r="B990" s="8"/>
      <c r="C990" s="8"/>
      <c r="D990" s="8"/>
      <c r="E990" s="8"/>
      <c r="F990" s="356"/>
      <c r="G990" s="8"/>
      <c r="H990" s="8"/>
      <c r="I990" s="8"/>
      <c r="J990" s="8"/>
      <c r="K990" s="8"/>
      <c r="L990" s="8"/>
      <c r="M990" s="8"/>
      <c r="N990" s="8"/>
      <c r="O990" s="8"/>
      <c r="P990" s="8"/>
      <c r="Q990" s="8"/>
      <c r="R990" s="8"/>
      <c r="S990" s="357"/>
      <c r="T990" s="357"/>
      <c r="U990" s="357"/>
      <c r="V990" s="357"/>
      <c r="W990" s="8"/>
      <c r="X990" s="8"/>
      <c r="Y990" s="8"/>
      <c r="Z990" s="8"/>
      <c r="AA990" s="8"/>
      <c r="AB990" s="8"/>
    </row>
    <row r="991">
      <c r="A991" s="359"/>
      <c r="B991" s="8"/>
      <c r="C991" s="8"/>
      <c r="D991" s="8"/>
      <c r="E991" s="8"/>
      <c r="F991" s="356"/>
      <c r="G991" s="8"/>
      <c r="H991" s="8"/>
      <c r="I991" s="8"/>
      <c r="J991" s="8"/>
      <c r="K991" s="8"/>
      <c r="L991" s="8"/>
      <c r="M991" s="8"/>
      <c r="N991" s="8"/>
      <c r="O991" s="8"/>
      <c r="P991" s="8"/>
      <c r="Q991" s="8"/>
      <c r="R991" s="8"/>
      <c r="S991" s="357"/>
      <c r="T991" s="357"/>
      <c r="U991" s="357"/>
      <c r="V991" s="357"/>
      <c r="W991" s="8"/>
      <c r="X991" s="8"/>
      <c r="Y991" s="8"/>
      <c r="Z991" s="8"/>
      <c r="AA991" s="8"/>
      <c r="AB991" s="8"/>
    </row>
    <row r="992">
      <c r="A992" s="359"/>
      <c r="B992" s="8"/>
      <c r="C992" s="8"/>
      <c r="D992" s="8"/>
      <c r="E992" s="8"/>
      <c r="F992" s="356"/>
      <c r="G992" s="8"/>
      <c r="H992" s="8"/>
      <c r="I992" s="8"/>
      <c r="J992" s="8"/>
      <c r="K992" s="8"/>
      <c r="L992" s="8"/>
      <c r="M992" s="8"/>
      <c r="N992" s="8"/>
      <c r="O992" s="8"/>
      <c r="P992" s="8"/>
      <c r="Q992" s="8"/>
      <c r="R992" s="8"/>
      <c r="S992" s="357"/>
      <c r="T992" s="357"/>
      <c r="U992" s="357"/>
      <c r="V992" s="357"/>
      <c r="W992" s="8"/>
      <c r="X992" s="8"/>
      <c r="Y992" s="8"/>
      <c r="Z992" s="8"/>
      <c r="AA992" s="8"/>
      <c r="AB992" s="8"/>
    </row>
    <row r="993">
      <c r="A993" s="359"/>
      <c r="B993" s="8"/>
      <c r="C993" s="8"/>
      <c r="D993" s="8"/>
      <c r="E993" s="8"/>
      <c r="F993" s="356"/>
      <c r="G993" s="8"/>
      <c r="H993" s="8"/>
      <c r="I993" s="8"/>
      <c r="J993" s="8"/>
      <c r="K993" s="8"/>
      <c r="L993" s="8"/>
      <c r="M993" s="8"/>
      <c r="N993" s="8"/>
      <c r="O993" s="8"/>
      <c r="P993" s="8"/>
      <c r="Q993" s="8"/>
      <c r="R993" s="8"/>
      <c r="S993" s="357"/>
      <c r="T993" s="357"/>
      <c r="U993" s="357"/>
      <c r="V993" s="357"/>
      <c r="W993" s="8"/>
      <c r="X993" s="8"/>
      <c r="Y993" s="8"/>
      <c r="Z993" s="8"/>
      <c r="AA993" s="8"/>
      <c r="AB993" s="8"/>
    </row>
    <row r="994">
      <c r="A994" s="359"/>
      <c r="B994" s="8"/>
      <c r="C994" s="8"/>
      <c r="D994" s="8"/>
      <c r="E994" s="8"/>
      <c r="F994" s="356"/>
      <c r="G994" s="8"/>
      <c r="H994" s="8"/>
      <c r="I994" s="8"/>
      <c r="J994" s="8"/>
      <c r="K994" s="8"/>
      <c r="L994" s="8"/>
      <c r="M994" s="8"/>
      <c r="N994" s="8"/>
      <c r="O994" s="8"/>
      <c r="P994" s="8"/>
      <c r="Q994" s="8"/>
      <c r="R994" s="8"/>
      <c r="S994" s="357"/>
      <c r="T994" s="357"/>
      <c r="U994" s="357"/>
      <c r="V994" s="357"/>
      <c r="W994" s="8"/>
      <c r="X994" s="8"/>
      <c r="Y994" s="8"/>
      <c r="Z994" s="8"/>
      <c r="AA994" s="8"/>
      <c r="AB994" s="8"/>
    </row>
    <row r="995">
      <c r="A995" s="359"/>
      <c r="B995" s="8"/>
      <c r="C995" s="8"/>
      <c r="D995" s="8"/>
      <c r="E995" s="8"/>
      <c r="F995" s="356"/>
      <c r="G995" s="8"/>
      <c r="H995" s="8"/>
      <c r="I995" s="8"/>
      <c r="J995" s="8"/>
      <c r="K995" s="8"/>
      <c r="L995" s="8"/>
      <c r="M995" s="8"/>
      <c r="N995" s="8"/>
      <c r="O995" s="8"/>
      <c r="P995" s="8"/>
      <c r="Q995" s="8"/>
      <c r="R995" s="8"/>
      <c r="S995" s="357"/>
      <c r="T995" s="357"/>
      <c r="U995" s="357"/>
      <c r="V995" s="357"/>
      <c r="W995" s="8"/>
      <c r="X995" s="8"/>
      <c r="Y995" s="8"/>
      <c r="Z995" s="8"/>
      <c r="AA995" s="8"/>
      <c r="AB995" s="8"/>
    </row>
    <row r="996">
      <c r="A996" s="359"/>
      <c r="B996" s="8"/>
      <c r="C996" s="8"/>
      <c r="D996" s="8"/>
      <c r="E996" s="8"/>
      <c r="F996" s="356"/>
      <c r="G996" s="8"/>
      <c r="H996" s="8"/>
      <c r="I996" s="8"/>
      <c r="J996" s="8"/>
      <c r="K996" s="8"/>
      <c r="L996" s="8"/>
      <c r="M996" s="8"/>
      <c r="N996" s="8"/>
      <c r="O996" s="8"/>
      <c r="P996" s="8"/>
      <c r="Q996" s="8"/>
      <c r="R996" s="8"/>
      <c r="S996" s="357"/>
      <c r="T996" s="357"/>
      <c r="U996" s="357"/>
      <c r="V996" s="357"/>
      <c r="W996" s="8"/>
      <c r="X996" s="8"/>
      <c r="Y996" s="8"/>
      <c r="Z996" s="8"/>
      <c r="AA996" s="8"/>
      <c r="AB996" s="8"/>
    </row>
    <row r="997">
      <c r="A997" s="359"/>
      <c r="B997" s="8"/>
      <c r="C997" s="8"/>
      <c r="D997" s="8"/>
      <c r="E997" s="8"/>
      <c r="F997" s="356"/>
      <c r="G997" s="8"/>
      <c r="H997" s="8"/>
      <c r="I997" s="8"/>
      <c r="J997" s="8"/>
      <c r="K997" s="8"/>
      <c r="L997" s="8"/>
      <c r="M997" s="8"/>
      <c r="N997" s="8"/>
      <c r="O997" s="8"/>
      <c r="P997" s="8"/>
      <c r="Q997" s="8"/>
      <c r="R997" s="8"/>
      <c r="S997" s="357"/>
      <c r="T997" s="357"/>
      <c r="U997" s="357"/>
      <c r="V997" s="357"/>
      <c r="W997" s="8"/>
      <c r="X997" s="8"/>
      <c r="Y997" s="8"/>
      <c r="Z997" s="8"/>
      <c r="AA997" s="8"/>
      <c r="AB997" s="8"/>
    </row>
    <row r="998">
      <c r="A998" s="359"/>
      <c r="B998" s="8"/>
      <c r="C998" s="8"/>
      <c r="D998" s="8"/>
      <c r="E998" s="8"/>
      <c r="F998" s="356"/>
      <c r="G998" s="8"/>
      <c r="H998" s="8"/>
      <c r="I998" s="8"/>
      <c r="J998" s="8"/>
      <c r="K998" s="8"/>
      <c r="L998" s="8"/>
      <c r="M998" s="8"/>
      <c r="N998" s="8"/>
      <c r="O998" s="8"/>
      <c r="P998" s="8"/>
      <c r="Q998" s="8"/>
      <c r="R998" s="8"/>
      <c r="S998" s="357"/>
      <c r="T998" s="357"/>
      <c r="U998" s="357"/>
      <c r="V998" s="357"/>
      <c r="W998" s="8"/>
      <c r="X998" s="8"/>
      <c r="Y998" s="8"/>
      <c r="Z998" s="8"/>
      <c r="AA998" s="8"/>
      <c r="AB998" s="8"/>
    </row>
    <row r="999">
      <c r="A999" s="359"/>
      <c r="B999" s="8"/>
      <c r="C999" s="8"/>
      <c r="D999" s="8"/>
      <c r="E999" s="8"/>
      <c r="F999" s="356"/>
      <c r="G999" s="8"/>
      <c r="H999" s="8"/>
      <c r="I999" s="8"/>
      <c r="J999" s="8"/>
      <c r="K999" s="8"/>
      <c r="L999" s="8"/>
      <c r="M999" s="8"/>
      <c r="N999" s="8"/>
      <c r="O999" s="8"/>
      <c r="P999" s="8"/>
      <c r="Q999" s="8"/>
      <c r="R999" s="8"/>
      <c r="S999" s="357"/>
      <c r="T999" s="357"/>
      <c r="U999" s="357"/>
      <c r="V999" s="357"/>
      <c r="W999" s="8"/>
      <c r="X999" s="8"/>
      <c r="Y999" s="8"/>
      <c r="Z999" s="8"/>
      <c r="AA999" s="8"/>
      <c r="AB999" s="8"/>
    </row>
    <row r="1000">
      <c r="A1000" s="359"/>
      <c r="B1000" s="8"/>
      <c r="C1000" s="8"/>
      <c r="D1000" s="8"/>
      <c r="E1000" s="8"/>
      <c r="F1000" s="356"/>
      <c r="G1000" s="8"/>
      <c r="H1000" s="8"/>
      <c r="I1000" s="8"/>
      <c r="J1000" s="8"/>
      <c r="K1000" s="8"/>
      <c r="L1000" s="8"/>
      <c r="M1000" s="8"/>
      <c r="N1000" s="8"/>
      <c r="O1000" s="8"/>
      <c r="P1000" s="8"/>
      <c r="Q1000" s="8"/>
      <c r="R1000" s="8"/>
      <c r="S1000" s="357"/>
      <c r="T1000" s="357"/>
      <c r="U1000" s="357"/>
      <c r="V1000" s="357"/>
      <c r="W1000" s="8"/>
      <c r="X1000" s="8"/>
      <c r="Y1000" s="8"/>
      <c r="Z1000" s="8"/>
      <c r="AA1000" s="8"/>
      <c r="AB1000" s="8"/>
    </row>
    <row r="1001">
      <c r="A1001" s="359"/>
      <c r="B1001" s="8"/>
      <c r="C1001" s="8"/>
      <c r="D1001" s="8"/>
      <c r="E1001" s="8"/>
      <c r="F1001" s="356"/>
      <c r="G1001" s="8"/>
      <c r="H1001" s="8"/>
      <c r="I1001" s="8"/>
      <c r="J1001" s="8"/>
      <c r="K1001" s="8"/>
      <c r="L1001" s="8"/>
      <c r="M1001" s="8"/>
      <c r="N1001" s="8"/>
      <c r="O1001" s="8"/>
      <c r="P1001" s="8"/>
      <c r="Q1001" s="8"/>
      <c r="R1001" s="8"/>
      <c r="S1001" s="357"/>
      <c r="T1001" s="357"/>
      <c r="U1001" s="357"/>
      <c r="V1001" s="357"/>
      <c r="W1001" s="8"/>
      <c r="X1001" s="8"/>
      <c r="Y1001" s="8"/>
      <c r="Z1001" s="8"/>
      <c r="AA1001" s="8"/>
      <c r="AB1001" s="8"/>
    </row>
    <row r="1002">
      <c r="A1002" s="359"/>
      <c r="B1002" s="8"/>
      <c r="C1002" s="8"/>
      <c r="D1002" s="8"/>
      <c r="E1002" s="8"/>
      <c r="F1002" s="356"/>
      <c r="G1002" s="8"/>
      <c r="H1002" s="8"/>
      <c r="I1002" s="8"/>
      <c r="J1002" s="8"/>
      <c r="K1002" s="8"/>
      <c r="L1002" s="8"/>
      <c r="M1002" s="8"/>
      <c r="N1002" s="8"/>
      <c r="O1002" s="8"/>
      <c r="P1002" s="8"/>
      <c r="Q1002" s="8"/>
      <c r="R1002" s="8"/>
      <c r="S1002" s="357"/>
      <c r="T1002" s="357"/>
      <c r="U1002" s="357"/>
      <c r="V1002" s="357"/>
      <c r="W1002" s="8"/>
      <c r="X1002" s="8"/>
      <c r="Y1002" s="8"/>
      <c r="Z1002" s="8"/>
      <c r="AA1002" s="8"/>
      <c r="AB1002" s="8"/>
    </row>
    <row r="1003">
      <c r="A1003" s="359"/>
      <c r="B1003" s="8"/>
      <c r="C1003" s="8"/>
      <c r="D1003" s="8"/>
      <c r="E1003" s="8"/>
      <c r="F1003" s="356"/>
      <c r="G1003" s="8"/>
      <c r="H1003" s="8"/>
      <c r="I1003" s="8"/>
      <c r="J1003" s="8"/>
      <c r="K1003" s="8"/>
      <c r="L1003" s="8"/>
      <c r="M1003" s="8"/>
      <c r="N1003" s="8"/>
      <c r="O1003" s="8"/>
      <c r="P1003" s="8"/>
      <c r="Q1003" s="8"/>
      <c r="R1003" s="8"/>
      <c r="S1003" s="357"/>
      <c r="T1003" s="357"/>
      <c r="U1003" s="357"/>
      <c r="V1003" s="357"/>
      <c r="W1003" s="8"/>
      <c r="X1003" s="8"/>
      <c r="Y1003" s="8"/>
      <c r="Z1003" s="8"/>
      <c r="AA1003" s="8"/>
      <c r="AB1003" s="8"/>
    </row>
    <row r="1004">
      <c r="A1004" s="359"/>
      <c r="B1004" s="8"/>
      <c r="C1004" s="8"/>
      <c r="D1004" s="8"/>
      <c r="E1004" s="8"/>
      <c r="F1004" s="356"/>
      <c r="G1004" s="8"/>
      <c r="H1004" s="8"/>
      <c r="I1004" s="8"/>
      <c r="J1004" s="8"/>
      <c r="K1004" s="8"/>
      <c r="L1004" s="8"/>
      <c r="M1004" s="8"/>
      <c r="N1004" s="8"/>
      <c r="O1004" s="8"/>
      <c r="P1004" s="8"/>
      <c r="Q1004" s="8"/>
      <c r="R1004" s="8"/>
      <c r="S1004" s="357"/>
      <c r="T1004" s="357"/>
      <c r="U1004" s="357"/>
      <c r="V1004" s="357"/>
      <c r="W1004" s="8"/>
      <c r="X1004" s="8"/>
      <c r="Y1004" s="8"/>
      <c r="Z1004" s="8"/>
      <c r="AA1004" s="8"/>
      <c r="AB1004" s="8"/>
    </row>
    <row r="1005">
      <c r="A1005" s="359"/>
      <c r="B1005" s="8"/>
      <c r="C1005" s="8"/>
      <c r="D1005" s="8"/>
      <c r="E1005" s="8"/>
      <c r="F1005" s="356"/>
      <c r="G1005" s="8"/>
      <c r="H1005" s="8"/>
      <c r="I1005" s="8"/>
      <c r="J1005" s="8"/>
      <c r="K1005" s="8"/>
      <c r="L1005" s="8"/>
      <c r="M1005" s="8"/>
      <c r="N1005" s="8"/>
      <c r="O1005" s="8"/>
      <c r="P1005" s="8"/>
      <c r="Q1005" s="8"/>
      <c r="R1005" s="8"/>
      <c r="S1005" s="357"/>
      <c r="T1005" s="357"/>
      <c r="U1005" s="357"/>
      <c r="V1005" s="357"/>
      <c r="W1005" s="8"/>
      <c r="X1005" s="8"/>
      <c r="Y1005" s="8"/>
      <c r="Z1005" s="8"/>
      <c r="AA1005" s="8"/>
      <c r="AB1005" s="8"/>
    </row>
    <row r="1006">
      <c r="A1006" s="359"/>
      <c r="B1006" s="8"/>
      <c r="C1006" s="8"/>
      <c r="D1006" s="8"/>
      <c r="E1006" s="8"/>
      <c r="F1006" s="356"/>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59"/>
      <c r="B1007" s="8"/>
      <c r="C1007" s="8"/>
      <c r="D1007" s="8"/>
      <c r="E1007" s="8"/>
      <c r="F1007" s="356"/>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59"/>
      <c r="B1008" s="8"/>
      <c r="C1008" s="8"/>
      <c r="D1008" s="8"/>
      <c r="E1008" s="8"/>
      <c r="F1008" s="356"/>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59"/>
      <c r="B1009" s="8"/>
      <c r="C1009" s="8"/>
      <c r="D1009" s="8"/>
      <c r="E1009" s="8"/>
      <c r="F1009" s="356"/>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59"/>
      <c r="B1010" s="8"/>
      <c r="C1010" s="8"/>
      <c r="D1010" s="8"/>
      <c r="E1010" s="8"/>
      <c r="F1010" s="356"/>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59"/>
      <c r="B1011" s="8"/>
      <c r="C1011" s="8"/>
      <c r="D1011" s="8"/>
      <c r="E1011" s="8"/>
      <c r="F1011" s="356"/>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59"/>
      <c r="B1012" s="8"/>
      <c r="C1012" s="8"/>
      <c r="D1012" s="8"/>
      <c r="E1012" s="8"/>
      <c r="F1012" s="356"/>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59"/>
      <c r="B1013" s="8"/>
      <c r="C1013" s="8"/>
      <c r="D1013" s="8"/>
      <c r="E1013" s="8"/>
      <c r="F1013" s="356"/>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59"/>
      <c r="B1014" s="8"/>
      <c r="C1014" s="8"/>
      <c r="D1014" s="8"/>
      <c r="E1014" s="8"/>
      <c r="F1014" s="356"/>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59"/>
      <c r="B1015" s="8"/>
      <c r="C1015" s="8"/>
      <c r="D1015" s="8"/>
      <c r="E1015" s="8"/>
      <c r="F1015" s="356"/>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59"/>
      <c r="B1016" s="8"/>
      <c r="C1016" s="8"/>
      <c r="D1016" s="8"/>
      <c r="E1016" s="8"/>
      <c r="F1016" s="356"/>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6" width="39.38"/>
  </cols>
  <sheetData>
    <row r="1" ht="103.5" customHeight="1">
      <c r="A1" s="360" t="s">
        <v>5936</v>
      </c>
      <c r="E1" s="361"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360" t="s">
        <v>5937</v>
      </c>
      <c r="M1" s="361"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61"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361"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62" t="s">
        <v>5938</v>
      </c>
      <c r="AC1" s="361"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63" t="s">
        <v>5939</v>
      </c>
      <c r="AK1" s="360" t="s">
        <v>5940</v>
      </c>
      <c r="AO1" s="360" t="s">
        <v>5941</v>
      </c>
      <c r="AS1" s="360"/>
      <c r="AT1" s="360"/>
    </row>
    <row r="2" ht="69.75" customHeight="1">
      <c r="A2" s="79" t="s">
        <v>5942</v>
      </c>
      <c r="B2" s="84" t="s">
        <v>5943</v>
      </c>
      <c r="C2" s="81" t="s">
        <v>5944</v>
      </c>
      <c r="D2" s="364" t="s">
        <v>5945</v>
      </c>
      <c r="E2" s="86" t="str">
        <f>IFERROR(__xludf.DUMMYFUNCTION("GOOGLETRANSLATE(A2,""zh-tw"",""ja"")"),"プロジェクト")</f>
        <v>プロジェクト</v>
      </c>
      <c r="F2" s="88" t="str">
        <f>IFERROR(__xludf.DUMMYFUNCTION("GOOGLETRANSLATE(B2,""zh-tw"",""ja"")"),"スペシャルドロップ")</f>
        <v>スペシャルドロップ</v>
      </c>
      <c r="G2" s="81" t="s">
        <v>5944</v>
      </c>
      <c r="H2" s="365" t="str">
        <f>IFERROR(__xludf.DUMMYFUNCTION("GOOGLETRANSLATE(D2,""zh-tw"",""ja"")"),"述べる")</f>
        <v>述べる</v>
      </c>
      <c r="I2" s="86" t="s">
        <v>5946</v>
      </c>
      <c r="J2" s="84" t="s">
        <v>5947</v>
      </c>
      <c r="K2" s="88" t="s">
        <v>5948</v>
      </c>
      <c r="L2" s="364" t="str">
        <f>IFERROR(__xludf.DUMMYFUNCTION("GOOGLETRANSLATE(D2,""zh-tw"",""en"")"),"Remark")</f>
        <v>Remark</v>
      </c>
      <c r="M2" s="86" t="str">
        <f>IFERROR(__xludf.DUMMYFUNCTION("GOOGLETRANSLATE(A2,""zh-tw"",""zh"")"),"项目")</f>
        <v>项目</v>
      </c>
      <c r="N2" s="88" t="str">
        <f>IFERROR(__xludf.DUMMYFUNCTION("GOOGLETRANSLATE(B2,""zh-tw"",""zh"")"),"特殊掉落")</f>
        <v>特殊掉落</v>
      </c>
      <c r="O2" s="88" t="str">
        <f>IFERROR(__xludf.DUMMYFUNCTION("GOOGLETRANSLATE(C2,""zh-tw"",""zh"")"),"机率(%)")</f>
        <v>机率(%)</v>
      </c>
      <c r="P2" s="364" t="str">
        <f>IFERROR(__xludf.DUMMYFUNCTION("GOOGLETRANSLATE(D2,""zh-tw"",""zh"")"),"备注")</f>
        <v>备注</v>
      </c>
      <c r="Q2" s="82" t="s">
        <v>5949</v>
      </c>
      <c r="R2" s="84" t="s">
        <v>5950</v>
      </c>
      <c r="S2" s="84" t="s">
        <v>5951</v>
      </c>
      <c r="T2" s="366" t="s">
        <v>5952</v>
      </c>
      <c r="U2" s="86" t="str">
        <f>IFERROR(__xludf.DUMMYFUNCTION("GOOGLETRANSLATE(A2,""zh-tw"",""KO"")"),"프로젝트")</f>
        <v>프로젝트</v>
      </c>
      <c r="V2" s="81" t="str">
        <f>IFERROR(__xludf.DUMMYFUNCTION("GOOGLETRANSLATE(B2,""zh-tw"",""KO"")"),"특별 드롭")</f>
        <v>특별 드롭</v>
      </c>
      <c r="W2" s="81" t="str">
        <f>IFERROR(__xludf.DUMMYFUNCTION("GOOGLETRANSLATE(C2,""zh-tw"",""KO"")"),"확률(%)")</f>
        <v>확률(%)</v>
      </c>
      <c r="X2" s="365" t="str">
        <f>IFERROR(__xludf.DUMMYFUNCTION("GOOGLETRANSLATE(D2,""zh-tw"",""KO"")"),"주목")</f>
        <v>주목</v>
      </c>
      <c r="Y2" s="79" t="s">
        <v>5953</v>
      </c>
      <c r="Z2" s="81" t="s">
        <v>5954</v>
      </c>
      <c r="AA2" s="81" t="s">
        <v>5955</v>
      </c>
      <c r="AB2" s="364" t="s">
        <v>5956</v>
      </c>
      <c r="AC2" s="367" t="s">
        <v>5957</v>
      </c>
      <c r="AD2" s="84" t="s">
        <v>5958</v>
      </c>
      <c r="AE2" s="368" t="str">
        <f>IFERROR(__xludf.DUMMYFUNCTION("GOOGLETRANSLATE(C2,""zh-tw"",""DE"")"),"Wahrscheinlichkeit (%)")</f>
        <v>Wahrscheinlichkeit (%)</v>
      </c>
      <c r="AF2" s="364" t="s">
        <v>5959</v>
      </c>
      <c r="AG2" s="369" t="s">
        <v>5960</v>
      </c>
      <c r="AH2" s="370" t="s">
        <v>5961</v>
      </c>
      <c r="AI2" s="371" t="s">
        <v>5962</v>
      </c>
      <c r="AJ2" s="364" t="s">
        <v>5963</v>
      </c>
      <c r="AK2" s="86" t="s">
        <v>5964</v>
      </c>
      <c r="AL2" s="84" t="s">
        <v>5965</v>
      </c>
      <c r="AM2" s="84" t="s">
        <v>5966</v>
      </c>
      <c r="AN2" s="364" t="s">
        <v>5967</v>
      </c>
      <c r="AO2" s="372" t="s">
        <v>5968</v>
      </c>
      <c r="AP2" s="373" t="s">
        <v>5969</v>
      </c>
      <c r="AQ2" s="373" t="s">
        <v>5970</v>
      </c>
      <c r="AR2" s="374" t="s">
        <v>5971</v>
      </c>
      <c r="AS2" s="374"/>
      <c r="AT2" s="374"/>
    </row>
    <row r="3">
      <c r="A3" s="375" t="s">
        <v>5972</v>
      </c>
      <c r="E3" s="376" t="str">
        <f>IFERROR(__xludf.DUMMYFUNCTION("GOOGLETRANSLATE(A3,""zh-tw"",""ja"")"),"小さなモンスター")</f>
        <v>小さなモンスター</v>
      </c>
      <c r="I3" s="376" t="s">
        <v>5973</v>
      </c>
      <c r="M3" s="376" t="str">
        <f>IFERROR(__xludf.DUMMYFUNCTION("GOOGLETRANSLATE(A3,""zh-tw"",""zh"")"),"一般小型怪物")</f>
        <v>一般小型怪物</v>
      </c>
      <c r="Q3" s="377" t="s">
        <v>5974</v>
      </c>
      <c r="U3" s="376" t="str">
        <f>IFERROR(__xludf.DUMMYFUNCTION("GOOGLETRANSLATE(A3,""zh-tw"",""KO"")"),"작은 괴물들")</f>
        <v>작은 괴물들</v>
      </c>
      <c r="Y3" s="375" t="s">
        <v>5975</v>
      </c>
      <c r="AC3" s="376" t="str">
        <f>IFERROR(__xludf.DUMMYFUNCTION("GOOGLETRANSLATE(A2,""zh-tw"",""DE"")"),"Projekt")</f>
        <v>Projekt</v>
      </c>
      <c r="AG3" s="378" t="s">
        <v>5976</v>
      </c>
      <c r="AK3" s="376" t="s">
        <v>5977</v>
      </c>
      <c r="AO3" s="376" t="s">
        <v>5978</v>
      </c>
      <c r="AS3" s="376"/>
      <c r="AT3" s="376"/>
    </row>
    <row r="4">
      <c r="A4" s="153" t="s">
        <v>5979</v>
      </c>
      <c r="B4" s="155" t="s">
        <v>5980</v>
      </c>
      <c r="C4" s="155" t="s">
        <v>5981</v>
      </c>
      <c r="D4" s="379" t="s">
        <v>1243</v>
      </c>
      <c r="E4" s="165" t="s">
        <v>5982</v>
      </c>
      <c r="F4" s="198" t="s">
        <v>5983</v>
      </c>
      <c r="G4" s="155" t="s">
        <v>5981</v>
      </c>
      <c r="H4" s="379" t="s">
        <v>1243</v>
      </c>
      <c r="I4" s="197" t="s">
        <v>5984</v>
      </c>
      <c r="J4" s="198" t="s">
        <v>5985</v>
      </c>
      <c r="K4" s="198" t="s">
        <v>5981</v>
      </c>
      <c r="L4" s="379" t="str">
        <f>IFERROR(__xludf.DUMMYFUNCTION("GOOGLETRANSLATE(D4,""zh-tw"",""en"")"),"-")</f>
        <v>-</v>
      </c>
      <c r="M4" s="197" t="str">
        <f>IFERROR(__xludf.DUMMYFUNCTION("GOOGLETRANSLATE(A4,""zh-tw"",""zh"")"),"香蕉妖精")</f>
        <v>香蕉妖精</v>
      </c>
      <c r="N4" s="198" t="str">
        <f>IFERROR(__xludf.DUMMYFUNCTION("GOOGLETRANSLATE(B4,""zh-tw"",""zh"")"),"香蕉妖精
香蕉?")</f>
        <v>香蕉妖精
香蕉?</v>
      </c>
      <c r="O4" s="198" t="s">
        <v>5981</v>
      </c>
      <c r="P4" s="380" t="str">
        <f>IFERROR(__xludf.DUMMYFUNCTION("GOOGLETRANSLATE(D4,""zh-tw"",""zh"")"),"-")</f>
        <v>-</v>
      </c>
      <c r="Q4" s="153" t="str">
        <f>IFERROR(__xludf.DUMMYFUNCTION("GOOGLETRANSLATE(A4,""zh-tw"",""es-MX"")"),"Hada del Plátano")</f>
        <v>Hada del Plátano</v>
      </c>
      <c r="R4" s="198" t="str">
        <f>IFERROR(__xludf.DUMMYFUNCTION("GOOGLETRANSLATE(B4,""zh-tw"",""es-MX"")"),"Hada del Plátano
¿Plátano?")</f>
        <v>Hada del Plátano
¿Plátano?</v>
      </c>
      <c r="S4" s="198" t="s">
        <v>5981</v>
      </c>
      <c r="T4" s="379" t="str">
        <f>IFERROR(__xludf.DUMMYFUNCTION("GOOGLETRANSLATE(D4,""zh-tw"",""es-MX"")"),"-")</f>
        <v>-</v>
      </c>
      <c r="U4" s="197" t="str">
        <f>IFERROR(__xludf.DUMMYFUNCTION("GOOGLETRANSLATE(A4,""zh-tw"",""KO"")"),"바나나 요정")</f>
        <v>바나나 요정</v>
      </c>
      <c r="V4" s="155" t="str">
        <f>IFERROR(__xludf.DUMMYFUNCTION("GOOGLETRANSLATE(B4,""zh-tw"",""KO"")"),"바나나 요정
바나나?")</f>
        <v>바나나 요정
바나나?</v>
      </c>
      <c r="W4" s="155" t="s">
        <v>5981</v>
      </c>
      <c r="X4" s="380" t="str">
        <f>IFERROR(__xludf.DUMMYFUNCTION("GOOGLETRANSLATE(D4,""zh-tw"",""KO"")"),"-")</f>
        <v>-</v>
      </c>
      <c r="Y4" s="153" t="s">
        <v>5986</v>
      </c>
      <c r="Z4" s="155" t="s">
        <v>5987</v>
      </c>
      <c r="AA4" s="155" t="s">
        <v>5981</v>
      </c>
      <c r="AB4" s="379" t="s">
        <v>1243</v>
      </c>
      <c r="AC4" s="197" t="s">
        <v>5988</v>
      </c>
      <c r="AD4" s="198" t="s">
        <v>5989</v>
      </c>
      <c r="AE4" s="198" t="s">
        <v>5981</v>
      </c>
      <c r="AF4" s="379" t="s">
        <v>1243</v>
      </c>
      <c r="AG4" s="187" t="s">
        <v>5990</v>
      </c>
      <c r="AH4" s="381" t="s">
        <v>5991</v>
      </c>
      <c r="AI4" s="381" t="s">
        <v>5981</v>
      </c>
      <c r="AJ4" s="379" t="s">
        <v>1243</v>
      </c>
      <c r="AK4" s="197" t="s">
        <v>5992</v>
      </c>
      <c r="AL4" s="198" t="s">
        <v>5993</v>
      </c>
      <c r="AM4" s="198" t="s">
        <v>5981</v>
      </c>
      <c r="AN4" s="379" t="s">
        <v>1243</v>
      </c>
      <c r="AO4" s="382" t="s">
        <v>5994</v>
      </c>
      <c r="AP4" s="202" t="s">
        <v>5995</v>
      </c>
      <c r="AQ4" s="202" t="s">
        <v>5981</v>
      </c>
      <c r="AR4" s="383" t="s">
        <v>1243</v>
      </c>
      <c r="AS4" s="383"/>
      <c r="AT4" s="383"/>
    </row>
    <row r="5">
      <c r="A5" s="153" t="s">
        <v>5996</v>
      </c>
      <c r="B5" s="155" t="s">
        <v>5997</v>
      </c>
      <c r="C5" s="155" t="s">
        <v>5998</v>
      </c>
      <c r="D5" s="379" t="s">
        <v>1243</v>
      </c>
      <c r="E5" s="165" t="s">
        <v>5999</v>
      </c>
      <c r="F5" s="167" t="s">
        <v>6000</v>
      </c>
      <c r="G5" s="155" t="s">
        <v>5998</v>
      </c>
      <c r="H5" s="380" t="s">
        <v>1243</v>
      </c>
      <c r="I5" s="197" t="s">
        <v>6001</v>
      </c>
      <c r="J5" s="198" t="s">
        <v>6002</v>
      </c>
      <c r="K5" s="198" t="s">
        <v>5998</v>
      </c>
      <c r="L5" s="379" t="str">
        <f>IFERROR(__xludf.DUMMYFUNCTION("GOOGLETRANSLATE(D5,""zh-tw"",""en"")"),"-")</f>
        <v>-</v>
      </c>
      <c r="M5" s="197" t="str">
        <f>IFERROR(__xludf.DUMMYFUNCTION("GOOGLETRANSLATE(A5,""zh-tw"",""zh"")"),"苹果妖精")</f>
        <v>苹果妖精</v>
      </c>
      <c r="N5" s="198" t="str">
        <f>IFERROR(__xludf.DUMMYFUNCTION("GOOGLETRANSLATE(B5,""zh-tw"",""zh"")"),"苹果妖精
苹果头套")</f>
        <v>苹果妖精
苹果头套</v>
      </c>
      <c r="O5" s="198" t="s">
        <v>5998</v>
      </c>
      <c r="P5" s="379" t="str">
        <f>IFERROR(__xludf.DUMMYFUNCTION("GOOGLETRANSLATE(D5,""zh-tw"",""zh"")"),"-")</f>
        <v>-</v>
      </c>
      <c r="Q5" s="153" t="str">
        <f>IFERROR(__xludf.DUMMYFUNCTION("GOOGLETRANSLATE(A5,""zh-tw"",""es-MX"")"),"Hada de las Manzanas")</f>
        <v>Hada de las Manzanas</v>
      </c>
      <c r="R5" s="198" t="str">
        <f>IFERROR(__xludf.DUMMYFUNCTION("GOOGLETRANSLATE(B5,""zh-tw"",""es-MX"")"),"Hada de las Manzanas
Tocado de manzana")</f>
        <v>Hada de las Manzanas
Tocado de manzana</v>
      </c>
      <c r="S5" s="198" t="s">
        <v>5998</v>
      </c>
      <c r="T5" s="379" t="str">
        <f>IFERROR(__xludf.DUMMYFUNCTION("GOOGLETRANSLATE(D5,""zh-tw"",""es-MX"")"),"-")</f>
        <v>-</v>
      </c>
      <c r="U5" s="197" t="str">
        <f>IFERROR(__xludf.DUMMYFUNCTION("GOOGLETRANSLATE(A5,""zh-tw"",""KO"")"),"애플 페어리")</f>
        <v>애플 페어리</v>
      </c>
      <c r="V5" s="155" t="str">
        <f>IFERROR(__xludf.DUMMYFUNCTION("GOOGLETRANSLATE(B5,""zh-tw"",""KO"")"),"사과 요정
사과 머리 장식")</f>
        <v>사과 요정
사과 머리 장식</v>
      </c>
      <c r="W5" s="155" t="s">
        <v>5998</v>
      </c>
      <c r="X5" s="380" t="str">
        <f>IFERROR(__xludf.DUMMYFUNCTION("GOOGLETRANSLATE(D5,""zh-tw"",""KO"")"),"-")</f>
        <v>-</v>
      </c>
      <c r="Y5" s="153" t="s">
        <v>6003</v>
      </c>
      <c r="Z5" s="155" t="s">
        <v>6004</v>
      </c>
      <c r="AA5" s="155" t="s">
        <v>5998</v>
      </c>
      <c r="AB5" s="379" t="s">
        <v>1243</v>
      </c>
      <c r="AC5" s="197" t="s">
        <v>6005</v>
      </c>
      <c r="AD5" s="198" t="s">
        <v>6006</v>
      </c>
      <c r="AE5" s="198" t="s">
        <v>5998</v>
      </c>
      <c r="AF5" s="379" t="s">
        <v>1243</v>
      </c>
      <c r="AG5" s="187" t="s">
        <v>6007</v>
      </c>
      <c r="AH5" s="381" t="s">
        <v>6008</v>
      </c>
      <c r="AI5" s="381" t="s">
        <v>5998</v>
      </c>
      <c r="AJ5" s="379" t="s">
        <v>1243</v>
      </c>
      <c r="AK5" s="197" t="s">
        <v>6009</v>
      </c>
      <c r="AL5" s="198" t="s">
        <v>6010</v>
      </c>
      <c r="AM5" s="198" t="s">
        <v>5998</v>
      </c>
      <c r="AN5" s="379" t="s">
        <v>1243</v>
      </c>
      <c r="AO5" s="382" t="s">
        <v>6011</v>
      </c>
      <c r="AP5" s="202" t="s">
        <v>6012</v>
      </c>
      <c r="AQ5" s="202" t="s">
        <v>6013</v>
      </c>
      <c r="AR5" s="383" t="s">
        <v>1243</v>
      </c>
      <c r="AS5" s="383"/>
      <c r="AT5" s="383"/>
    </row>
    <row r="6">
      <c r="A6" s="153" t="s">
        <v>6014</v>
      </c>
      <c r="B6" s="155" t="s">
        <v>6015</v>
      </c>
      <c r="C6" s="155" t="s">
        <v>6016</v>
      </c>
      <c r="D6" s="379" t="s">
        <v>1243</v>
      </c>
      <c r="E6" s="165" t="s">
        <v>6017</v>
      </c>
      <c r="F6" s="198" t="s">
        <v>6018</v>
      </c>
      <c r="G6" s="155" t="s">
        <v>6016</v>
      </c>
      <c r="H6" s="380" t="s">
        <v>1243</v>
      </c>
      <c r="I6" s="197" t="s">
        <v>6019</v>
      </c>
      <c r="J6" s="198" t="s">
        <v>6020</v>
      </c>
      <c r="K6" s="198" t="s">
        <v>6016</v>
      </c>
      <c r="L6" s="379" t="str">
        <f>IFERROR(__xludf.DUMMYFUNCTION("GOOGLETRANSLATE(D6,""zh-tw"",""en"")"),"-")</f>
        <v>-</v>
      </c>
      <c r="M6" s="197" t="str">
        <f>IFERROR(__xludf.DUMMYFUNCTION("GOOGLETRANSLATE(A6,""zh-tw"",""zh"")"),"猫咪史莱姆")</f>
        <v>猫咪史莱姆</v>
      </c>
      <c r="N6" s="198" t="str">
        <f>IFERROR(__xludf.DUMMYFUNCTION("GOOGLETRANSLATE(B6,""zh-tw"",""zh"")"),"史莱姆的黏液
借来的猫爪
猫猫玩偶服
招财猫")</f>
        <v>史莱姆的黏液
借来的猫爪
猫猫玩偶服
招财猫</v>
      </c>
      <c r="O6" s="198" t="s">
        <v>6016</v>
      </c>
      <c r="P6" s="380" t="str">
        <f>IFERROR(__xludf.DUMMYFUNCTION("GOOGLETRANSLATE(D6,""zh-tw"",""zh"")"),"-")</f>
        <v>-</v>
      </c>
      <c r="Q6" s="153" t="str">
        <f>IFERROR(__xludf.DUMMYFUNCTION("GOOGLETRANSLATE(A6,""zh-tw"",""es-MX"")"),"Limo de gato")</f>
        <v>Limo de gato</v>
      </c>
      <c r="R6" s="198" t="str">
        <f>IFERROR(__xludf.DUMMYFUNCTION("GOOGLETRANSLATE(B6,""zh-tw"",""es-MX"")"),"Slime slime
Pata de gato prestada
Disfraz de gato
Gato afortunado")</f>
        <v>Slime slime
Pata de gato prestada
Disfraz de gato
Gato afortunado</v>
      </c>
      <c r="S6" s="198" t="s">
        <v>6016</v>
      </c>
      <c r="T6" s="379" t="str">
        <f>IFERROR(__xludf.DUMMYFUNCTION("GOOGLETRANSLATE(D6,""zh-tw"",""es-MX"")"),"-")</f>
        <v>-</v>
      </c>
      <c r="U6" s="197" t="str">
        <f>IFERROR(__xludf.DUMMYFUNCTION("GOOGLETRANSLATE(A6,""zh-tw"",""KO"")"),"고양이 슬라임")</f>
        <v>고양이 슬라임</v>
      </c>
      <c r="V6" s="155" t="str">
        <f>IFERROR(__xludf.DUMMYFUNCTION("GOOGLETRANSLATE(B6,""zh-tw"",""KO"")"),"슬라임 슬라임
빌린 고양이 발
고양이 코스튬
행운의 고양이")</f>
        <v>슬라임 슬라임
빌린 고양이 발
고양이 코스튬
행운의 고양이</v>
      </c>
      <c r="W6" s="155" t="s">
        <v>6016</v>
      </c>
      <c r="X6" s="380" t="str">
        <f>IFERROR(__xludf.DUMMYFUNCTION("GOOGLETRANSLATE(D6,""zh-tw"",""KO"")"),"-")</f>
        <v>-</v>
      </c>
      <c r="Y6" s="153" t="s">
        <v>6021</v>
      </c>
      <c r="Z6" s="155" t="s">
        <v>6022</v>
      </c>
      <c r="AA6" s="155" t="s">
        <v>6016</v>
      </c>
      <c r="AB6" s="379" t="s">
        <v>1243</v>
      </c>
      <c r="AC6" s="197" t="s">
        <v>6023</v>
      </c>
      <c r="AD6" s="198" t="s">
        <v>6024</v>
      </c>
      <c r="AE6" s="198" t="s">
        <v>6016</v>
      </c>
      <c r="AF6" s="379" t="s">
        <v>1243</v>
      </c>
      <c r="AG6" s="187" t="s">
        <v>6025</v>
      </c>
      <c r="AH6" s="381" t="s">
        <v>6026</v>
      </c>
      <c r="AI6" s="381" t="s">
        <v>6016</v>
      </c>
      <c r="AJ6" s="379" t="s">
        <v>1243</v>
      </c>
      <c r="AK6" s="197" t="s">
        <v>6027</v>
      </c>
      <c r="AL6" s="198" t="s">
        <v>6028</v>
      </c>
      <c r="AM6" s="198" t="s">
        <v>6016</v>
      </c>
      <c r="AN6" s="379" t="s">
        <v>1243</v>
      </c>
      <c r="AO6" s="382" t="s">
        <v>6029</v>
      </c>
      <c r="AP6" s="202" t="s">
        <v>6030</v>
      </c>
      <c r="AQ6" s="202" t="s">
        <v>6016</v>
      </c>
      <c r="AR6" s="383" t="s">
        <v>1243</v>
      </c>
      <c r="AS6" s="383"/>
      <c r="AT6" s="383"/>
    </row>
    <row r="7">
      <c r="A7" s="153" t="s">
        <v>6031</v>
      </c>
      <c r="B7" s="155" t="s">
        <v>6032</v>
      </c>
      <c r="C7" s="155" t="s">
        <v>6033</v>
      </c>
      <c r="D7" s="380" t="s">
        <v>1243</v>
      </c>
      <c r="E7" s="165" t="s">
        <v>6034</v>
      </c>
      <c r="F7" s="198" t="s">
        <v>6035</v>
      </c>
      <c r="G7" s="155" t="s">
        <v>6033</v>
      </c>
      <c r="H7" s="380" t="s">
        <v>1243</v>
      </c>
      <c r="I7" s="197" t="s">
        <v>6036</v>
      </c>
      <c r="J7" s="198" t="s">
        <v>6037</v>
      </c>
      <c r="K7" s="198" t="s">
        <v>6038</v>
      </c>
      <c r="L7" s="379" t="str">
        <f>IFERROR(__xludf.DUMMYFUNCTION("GOOGLETRANSLATE(D7,""zh-tw"",""en"")"),"-")</f>
        <v>-</v>
      </c>
      <c r="M7" s="197" t="str">
        <f>IFERROR(__xludf.DUMMYFUNCTION("GOOGLETRANSLATE(A7,""zh-tw"",""zh"")"),"草食史莱姆")</f>
        <v>草食史莱姆</v>
      </c>
      <c r="N7" s="198" t="str">
        <f>IFERROR(__xludf.DUMMYFUNCTION("GOOGLETRANSLATE(B7,""zh-tw"",""zh"")"),"史莱姆的黏液
芳草心
硬木棒
硬木剑
斩裂剑提尔锋")</f>
        <v>史莱姆的黏液
芳草心
硬木棒
硬木剑
斩裂剑提尔锋</v>
      </c>
      <c r="O7" s="198" t="s">
        <v>6033</v>
      </c>
      <c r="P7" s="380" t="str">
        <f>IFERROR(__xludf.DUMMYFUNCTION("GOOGLETRANSLATE(D7,""zh-tw"",""zh"")"),"-")</f>
        <v>-</v>
      </c>
      <c r="Q7" s="153" t="str">
        <f>IFERROR(__xludf.DUMMYFUNCTION("GOOGLETRANSLATE(A7,""zh-tw"",""es-MX"")"),"limo herbívoro")</f>
        <v>limo herbívoro</v>
      </c>
      <c r="R7" s="198"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198" t="s">
        <v>6033</v>
      </c>
      <c r="T7" s="379" t="str">
        <f>IFERROR(__xludf.DUMMYFUNCTION("GOOGLETRANSLATE(D7,""zh-tw"",""es-MX"")"),"-")</f>
        <v>-</v>
      </c>
      <c r="U7" s="197" t="str">
        <f>IFERROR(__xludf.DUMMYFUNCTION("GOOGLETRANSLATE(A7,""zh-tw"",""KO"")"),"초식성 점액")</f>
        <v>초식성 점액</v>
      </c>
      <c r="V7" s="155"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55" t="s">
        <v>6033</v>
      </c>
      <c r="X7" s="380" t="str">
        <f>IFERROR(__xludf.DUMMYFUNCTION("GOOGLETRANSLATE(D7,""zh-tw"",""KO"")"),"-")</f>
        <v>-</v>
      </c>
      <c r="Y7" s="153" t="s">
        <v>6039</v>
      </c>
      <c r="Z7" s="155" t="s">
        <v>6040</v>
      </c>
      <c r="AA7" s="155" t="s">
        <v>6033</v>
      </c>
      <c r="AB7" s="379" t="s">
        <v>1243</v>
      </c>
      <c r="AC7" s="197" t="s">
        <v>6041</v>
      </c>
      <c r="AD7" s="198" t="s">
        <v>6042</v>
      </c>
      <c r="AE7" s="198" t="s">
        <v>6033</v>
      </c>
      <c r="AF7" s="379" t="s">
        <v>6043</v>
      </c>
      <c r="AG7" s="187" t="s">
        <v>6044</v>
      </c>
      <c r="AH7" s="381" t="s">
        <v>6045</v>
      </c>
      <c r="AI7" s="381" t="s">
        <v>6033</v>
      </c>
      <c r="AJ7" s="379" t="s">
        <v>1243</v>
      </c>
      <c r="AK7" s="197" t="s">
        <v>6046</v>
      </c>
      <c r="AL7" s="198" t="s">
        <v>6047</v>
      </c>
      <c r="AM7" s="198" t="s">
        <v>6033</v>
      </c>
      <c r="AN7" s="379" t="s">
        <v>1243</v>
      </c>
      <c r="AO7" s="382" t="s">
        <v>6048</v>
      </c>
      <c r="AP7" s="202" t="s">
        <v>6049</v>
      </c>
      <c r="AQ7" s="202" t="s">
        <v>6033</v>
      </c>
      <c r="AR7" s="383" t="s">
        <v>1243</v>
      </c>
      <c r="AS7" s="383"/>
      <c r="AT7" s="383"/>
    </row>
    <row r="8">
      <c r="A8" s="153" t="s">
        <v>6050</v>
      </c>
      <c r="B8" s="155" t="s">
        <v>6051</v>
      </c>
      <c r="C8" s="155" t="s">
        <v>6052</v>
      </c>
      <c r="D8" s="379" t="s">
        <v>1243</v>
      </c>
      <c r="E8" s="153" t="s">
        <v>6053</v>
      </c>
      <c r="F8" s="198" t="s">
        <v>6054</v>
      </c>
      <c r="G8" s="155" t="s">
        <v>6052</v>
      </c>
      <c r="H8" s="380" t="s">
        <v>1243</v>
      </c>
      <c r="I8" s="153" t="s">
        <v>6055</v>
      </c>
      <c r="J8" s="198" t="s">
        <v>6056</v>
      </c>
      <c r="K8" s="198" t="s">
        <v>6052</v>
      </c>
      <c r="L8" s="379" t="str">
        <f>IFERROR(__xludf.DUMMYFUNCTION("GOOGLETRANSLATE(D8,""zh-tw"",""en"")"),"-")</f>
        <v>-</v>
      </c>
      <c r="M8" s="197" t="str">
        <f>IFERROR(__xludf.DUMMYFUNCTION("GOOGLETRANSLATE(A8,""zh-tw"",""zh"")"),"急冻史莱姆")</f>
        <v>急冻史莱姆</v>
      </c>
      <c r="N8" s="198" t="str">
        <f>IFERROR(__xludf.DUMMYFUNCTION("GOOGLETRANSLATE(B8,""zh-tw"",""zh"")"),"史莱姆的黏液
魔力晶簇
雪见
霜月
寒冰杖")</f>
        <v>史莱姆的黏液
魔力晶簇
雪见
霜月
寒冰杖</v>
      </c>
      <c r="O8" s="198" t="s">
        <v>6052</v>
      </c>
      <c r="P8" s="379" t="str">
        <f>IFERROR(__xludf.DUMMYFUNCTION("GOOGLETRANSLATE(D8,""zh-tw"",""zh"")"),"-")</f>
        <v>-</v>
      </c>
      <c r="Q8" s="153" t="str">
        <f>IFERROR(__xludf.DUMMYFUNCTION("GOOGLETRANSLATE(A8,""zh-tw"",""es-MX"")"),"Limo congelado")</f>
        <v>Limo congelado</v>
      </c>
      <c r="R8" s="198" t="str">
        <f>IFERROR(__xludf.DUMMYFUNCTION("GOOGLETRANSLATE(B8,""zh-tw"",""es-MX"")"),"Limo Limo
Grupo de Cristales Mágicos
Observación de la Nieve
Luna Helada
Bastón de Hielo")</f>
        <v>Limo Limo
Grupo de Cristales Mágicos
Observación de la Nieve
Luna Helada
Bastón de Hielo</v>
      </c>
      <c r="S8" s="198" t="s">
        <v>6052</v>
      </c>
      <c r="T8" s="379" t="str">
        <f>IFERROR(__xludf.DUMMYFUNCTION("GOOGLETRANSLATE(D8,""zh-tw"",""es-MX"")"),"-")</f>
        <v>-</v>
      </c>
      <c r="U8" s="197" t="str">
        <f>IFERROR(__xludf.DUMMYFUNCTION("GOOGLETRANSLATE(A8,""zh-tw"",""KO"")"),"냉동 슬라임")</f>
        <v>냉동 슬라임</v>
      </c>
      <c r="V8" s="155" t="str">
        <f>IFERROR(__xludf.DUMMYFUNCTION("GOOGLETRANSLATE(B8,""zh-tw"",""KO"")"),"슬라임 슬라임
마법 수정 덩어리
눈 구경
서리 달
얼음 지팡이")</f>
        <v>슬라임 슬라임
마법 수정 덩어리
눈 구경
서리 달
얼음 지팡이</v>
      </c>
      <c r="W8" s="155" t="s">
        <v>6052</v>
      </c>
      <c r="X8" s="380" t="str">
        <f>IFERROR(__xludf.DUMMYFUNCTION("GOOGLETRANSLATE(D8,""zh-tw"",""KO"")"),"-")</f>
        <v>-</v>
      </c>
      <c r="Y8" s="153" t="s">
        <v>6057</v>
      </c>
      <c r="Z8" s="155" t="s">
        <v>6058</v>
      </c>
      <c r="AA8" s="155" t="s">
        <v>6052</v>
      </c>
      <c r="AB8" s="379" t="s">
        <v>1243</v>
      </c>
      <c r="AC8" s="197" t="s">
        <v>6059</v>
      </c>
      <c r="AD8" s="198" t="s">
        <v>6060</v>
      </c>
      <c r="AE8" s="198" t="s">
        <v>6052</v>
      </c>
      <c r="AF8" s="379" t="s">
        <v>6061</v>
      </c>
      <c r="AG8" s="187" t="s">
        <v>6062</v>
      </c>
      <c r="AH8" s="381" t="s">
        <v>6063</v>
      </c>
      <c r="AI8" s="381" t="s">
        <v>6052</v>
      </c>
      <c r="AJ8" s="379" t="s">
        <v>1243</v>
      </c>
      <c r="AK8" s="197" t="s">
        <v>6064</v>
      </c>
      <c r="AL8" s="167" t="s">
        <v>6065</v>
      </c>
      <c r="AM8" s="198" t="s">
        <v>6052</v>
      </c>
      <c r="AN8" s="379" t="s">
        <v>1243</v>
      </c>
      <c r="AO8" s="382" t="s">
        <v>6066</v>
      </c>
      <c r="AP8" s="202" t="s">
        <v>6067</v>
      </c>
      <c r="AQ8" s="202" t="s">
        <v>6052</v>
      </c>
      <c r="AR8" s="383" t="s">
        <v>1243</v>
      </c>
      <c r="AS8" s="383"/>
      <c r="AT8" s="383"/>
    </row>
    <row r="9" ht="41.25" customHeight="1">
      <c r="A9" s="153" t="s">
        <v>6068</v>
      </c>
      <c r="B9" s="155" t="s">
        <v>6069</v>
      </c>
      <c r="C9" s="155" t="s">
        <v>6070</v>
      </c>
      <c r="D9" s="380" t="s">
        <v>1243</v>
      </c>
      <c r="E9" s="165" t="s">
        <v>6071</v>
      </c>
      <c r="F9" s="198" t="s">
        <v>6072</v>
      </c>
      <c r="G9" s="155" t="s">
        <v>6070</v>
      </c>
      <c r="H9" s="380" t="s">
        <v>1243</v>
      </c>
      <c r="I9" s="153" t="s">
        <v>6073</v>
      </c>
      <c r="J9" s="198" t="s">
        <v>6074</v>
      </c>
      <c r="K9" s="198" t="s">
        <v>6070</v>
      </c>
      <c r="L9" s="379" t="str">
        <f>IFERROR(__xludf.DUMMYFUNCTION("GOOGLETRANSLATE(D9,""zh-tw"",""en"")"),"-")</f>
        <v>-</v>
      </c>
      <c r="M9" s="197" t="str">
        <f>IFERROR(__xludf.DUMMYFUNCTION("GOOGLETRANSLATE(A9,""zh-tw"",""zh"")"),"哔哩哔哩史莱姆")</f>
        <v>哔哩哔哩史莱姆</v>
      </c>
      <c r="N9" s="198" t="str">
        <f>IFERROR(__xludf.DUMMYFUNCTION("GOOGLETRANSLATE(B9,""zh-tw"",""zh"")"),"史莱姆的黏液
会漏电的不良品
千鸟")</f>
        <v>史莱姆的黏液
会漏电的不良品
千鸟</v>
      </c>
      <c r="O9" s="198" t="s">
        <v>6070</v>
      </c>
      <c r="P9" s="380" t="str">
        <f>IFERROR(__xludf.DUMMYFUNCTION("GOOGLETRANSLATE(D9,""zh-tw"",""zh"")"),"-")</f>
        <v>-</v>
      </c>
      <c r="Q9" s="153" t="str">
        <f>IFERROR(__xludf.DUMMYFUNCTION("GOOGLETRANSLATE(A9,""zh-tw"",""es-MX"")"),"Limo de Bilibili")</f>
        <v>Limo de Bilibili</v>
      </c>
      <c r="R9" s="198" t="str">
        <f>IFERROR(__xludf.DUMMYFUNCTION("GOOGLETRANSLATE(B9,""zh-tw"",""es-MX"")"),"El slime de Slime
Producto defectuoso que gotea electricidad
Chidori")</f>
        <v>El slime de Slime
Producto defectuoso que gotea electricidad
Chidori</v>
      </c>
      <c r="S9" s="198" t="s">
        <v>6070</v>
      </c>
      <c r="T9" s="379" t="str">
        <f>IFERROR(__xludf.DUMMYFUNCTION("GOOGLETRANSLATE(D9,""zh-tw"",""es-MX"")"),"-")</f>
        <v>-</v>
      </c>
      <c r="U9" s="197" t="str">
        <f>IFERROR(__xludf.DUMMYFUNCTION("GOOGLETRANSLATE(A9,""zh-tw"",""KO"")"),"빌리빌리 슬라임")</f>
        <v>빌리빌리 슬라임</v>
      </c>
      <c r="V9" s="155" t="str">
        <f>IFERROR(__xludf.DUMMYFUNCTION("GOOGLETRANSLATE(B9,""zh-tw"",""KO"")"),"슬라임의 슬라임
누전되는 불량품
치도리")</f>
        <v>슬라임의 슬라임
누전되는 불량품
치도리</v>
      </c>
      <c r="W9" s="155" t="s">
        <v>6070</v>
      </c>
      <c r="X9" s="380" t="str">
        <f>IFERROR(__xludf.DUMMYFUNCTION("GOOGLETRANSLATE(D9,""zh-tw"",""KO"")"),"-")</f>
        <v>-</v>
      </c>
      <c r="Y9" s="153" t="s">
        <v>6075</v>
      </c>
      <c r="Z9" s="155" t="s">
        <v>6076</v>
      </c>
      <c r="AA9" s="155" t="s">
        <v>6070</v>
      </c>
      <c r="AB9" s="379" t="s">
        <v>1243</v>
      </c>
      <c r="AC9" s="197" t="s">
        <v>6077</v>
      </c>
      <c r="AD9" s="198" t="s">
        <v>6078</v>
      </c>
      <c r="AE9" s="198" t="s">
        <v>6070</v>
      </c>
      <c r="AF9" s="379" t="s">
        <v>6079</v>
      </c>
      <c r="AG9" s="187" t="s">
        <v>6080</v>
      </c>
      <c r="AH9" s="381" t="s">
        <v>6081</v>
      </c>
      <c r="AI9" s="381" t="s">
        <v>6070</v>
      </c>
      <c r="AJ9" s="379" t="s">
        <v>1243</v>
      </c>
      <c r="AK9" s="197" t="s">
        <v>6082</v>
      </c>
      <c r="AL9" s="167" t="s">
        <v>6083</v>
      </c>
      <c r="AM9" s="198" t="s">
        <v>6070</v>
      </c>
      <c r="AN9" s="379" t="s">
        <v>1243</v>
      </c>
      <c r="AO9" s="382" t="s">
        <v>6084</v>
      </c>
      <c r="AP9" s="202" t="s">
        <v>6085</v>
      </c>
      <c r="AQ9" s="202" t="s">
        <v>6070</v>
      </c>
      <c r="AR9" s="383" t="s">
        <v>1243</v>
      </c>
      <c r="AS9" s="383"/>
      <c r="AT9" s="383"/>
    </row>
    <row r="10">
      <c r="A10" s="153" t="s">
        <v>6086</v>
      </c>
      <c r="B10" s="155" t="s">
        <v>6087</v>
      </c>
      <c r="C10" s="155" t="s">
        <v>6088</v>
      </c>
      <c r="D10" s="379" t="s">
        <v>1243</v>
      </c>
      <c r="E10" s="384" t="s">
        <v>6089</v>
      </c>
      <c r="F10" s="198" t="s">
        <v>6090</v>
      </c>
      <c r="G10" s="155" t="s">
        <v>6088</v>
      </c>
      <c r="H10" s="380" t="s">
        <v>1243</v>
      </c>
      <c r="I10" s="197" t="s">
        <v>6091</v>
      </c>
      <c r="J10" s="198" t="s">
        <v>6092</v>
      </c>
      <c r="K10" s="198" t="s">
        <v>6088</v>
      </c>
      <c r="L10" s="379" t="str">
        <f>IFERROR(__xludf.DUMMYFUNCTION("GOOGLETRANSLATE(D10,""zh-tw"",""en"")"),"-")</f>
        <v>-</v>
      </c>
      <c r="M10" s="197" t="str">
        <f>IFERROR(__xludf.DUMMYFUNCTION("GOOGLETRANSLATE(A10,""zh-tw"",""zh"")"),"角兔")</f>
        <v>角兔</v>
      </c>
      <c r="N10" s="198" t="str">
        <f>IFERROR(__xludf.DUMMYFUNCTION("GOOGLETRANSLATE(B10,""zh-tw"",""zh"")"),"小块兽肉")</f>
        <v>小块兽肉</v>
      </c>
      <c r="O10" s="198" t="s">
        <v>6088</v>
      </c>
      <c r="P10" s="380" t="str">
        <f>IFERROR(__xludf.DUMMYFUNCTION("GOOGLETRANSLATE(D10,""zh-tw"",""zh"")"),"-")</f>
        <v>-</v>
      </c>
      <c r="Q10" s="153" t="str">
        <f>IFERROR(__xludf.DUMMYFUNCTION("GOOGLETRANSLATE(A10,""zh-tw"",""es-MX"")"),"conejo con cuernos")</f>
        <v>conejo con cuernos</v>
      </c>
      <c r="R10" s="198" t="str">
        <f>IFERROR(__xludf.DUMMYFUNCTION("GOOGLETRANSLATE(B10,""zh-tw"",""es-MX"")"),"Pequeños trozos de carne")</f>
        <v>Pequeños trozos de carne</v>
      </c>
      <c r="S10" s="198" t="s">
        <v>6088</v>
      </c>
      <c r="T10" s="379" t="str">
        <f>IFERROR(__xludf.DUMMYFUNCTION("GOOGLETRANSLATE(D10,""zh-tw"",""es-MX"")"),"-")</f>
        <v>-</v>
      </c>
      <c r="U10" s="197" t="str">
        <f>IFERROR(__xludf.DUMMYFUNCTION("GOOGLETRANSLATE(A10,""zh-tw"",""KO"")"),"뿔토끼")</f>
        <v>뿔토끼</v>
      </c>
      <c r="V10" s="155" t="str">
        <f>IFERROR(__xludf.DUMMYFUNCTION("GOOGLETRANSLATE(B10,""zh-tw"",""KO"")"),"작은 고기 조각들")</f>
        <v>작은 고기 조각들</v>
      </c>
      <c r="W10" s="155" t="s">
        <v>6088</v>
      </c>
      <c r="X10" s="380" t="str">
        <f>IFERROR(__xludf.DUMMYFUNCTION("GOOGLETRANSLATE(D10,""zh-tw"",""KO"")"),"-")</f>
        <v>-</v>
      </c>
      <c r="Y10" s="153" t="s">
        <v>6093</v>
      </c>
      <c r="Z10" s="155" t="s">
        <v>6094</v>
      </c>
      <c r="AA10" s="155" t="s">
        <v>6088</v>
      </c>
      <c r="AB10" s="379" t="s">
        <v>1243</v>
      </c>
      <c r="AC10" s="197" t="s">
        <v>6095</v>
      </c>
      <c r="AD10" s="198" t="s">
        <v>6096</v>
      </c>
      <c r="AE10" s="198" t="s">
        <v>6088</v>
      </c>
      <c r="AF10" s="379" t="s">
        <v>1243</v>
      </c>
      <c r="AG10" s="187" t="s">
        <v>6097</v>
      </c>
      <c r="AH10" s="381" t="s">
        <v>6098</v>
      </c>
      <c r="AI10" s="381" t="s">
        <v>6088</v>
      </c>
      <c r="AJ10" s="379" t="s">
        <v>1243</v>
      </c>
      <c r="AK10" s="197" t="s">
        <v>6099</v>
      </c>
      <c r="AL10" s="198" t="s">
        <v>6100</v>
      </c>
      <c r="AM10" s="198" t="s">
        <v>6088</v>
      </c>
      <c r="AN10" s="379" t="s">
        <v>1243</v>
      </c>
      <c r="AO10" s="382" t="s">
        <v>6101</v>
      </c>
      <c r="AP10" s="202" t="s">
        <v>6102</v>
      </c>
      <c r="AQ10" s="202" t="s">
        <v>6088</v>
      </c>
      <c r="AR10" s="383" t="s">
        <v>1243</v>
      </c>
      <c r="AS10" s="383"/>
      <c r="AT10" s="383"/>
    </row>
    <row r="11">
      <c r="A11" s="153" t="s">
        <v>6103</v>
      </c>
      <c r="B11" s="155" t="s">
        <v>6104</v>
      </c>
      <c r="C11" s="167" t="s">
        <v>6105</v>
      </c>
      <c r="D11" s="380" t="s">
        <v>6106</v>
      </c>
      <c r="E11" s="153" t="s">
        <v>6107</v>
      </c>
      <c r="F11" s="198" t="s">
        <v>6108</v>
      </c>
      <c r="G11" s="167" t="s">
        <v>6105</v>
      </c>
      <c r="H11" s="385" t="s">
        <v>6109</v>
      </c>
      <c r="I11" s="197" t="s">
        <v>6110</v>
      </c>
      <c r="J11" s="198" t="s">
        <v>6111</v>
      </c>
      <c r="K11" s="167" t="s">
        <v>6105</v>
      </c>
      <c r="L11" s="379" t="s">
        <v>6112</v>
      </c>
      <c r="M11" s="197" t="str">
        <f>IFERROR(__xludf.DUMMYFUNCTION("GOOGLETRANSLATE(A11,""zh-tw"",""zh"")"),"鹿角兔")</f>
        <v>鹿角兔</v>
      </c>
      <c r="N11" s="198" t="str">
        <f>IFERROR(__xludf.DUMMYFUNCTION("GOOGLETRANSLATE(B11,""zh-tw"",""zh"")"),"小块兽肉
红色的角")</f>
        <v>小块兽肉
红色的角</v>
      </c>
      <c r="O11" s="167" t="s">
        <v>6105</v>
      </c>
      <c r="P11" s="380"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53" t="str">
        <f>IFERROR(__xludf.DUMMYFUNCTION("GOOGLETRANSLATE(A11,""zh-tw"",""es-MX"")"),"Conejo con cuernos de ciervo")</f>
        <v>Conejo con cuernos de ciervo</v>
      </c>
      <c r="R11" s="198" t="str">
        <f>IFERROR(__xludf.DUMMYFUNCTION("GOOGLETRANSLATE(B11,""zh-tw"",""es-MX"")"),"Pequeños trozos de carne; cuerno rojo")</f>
        <v>Pequeños trozos de carne; cuerno rojo</v>
      </c>
      <c r="S11" s="167" t="s">
        <v>6105</v>
      </c>
      <c r="T11" s="379" t="str">
        <f>IFERROR(__xludf.DUMMYFUNCTION("GOOGLETRANSLATE(D11,""zh-tw"",""es-MX"")"),"Matar 10 conejos cornudos o una bestia roja desbloquea esta función.
Tras desbloquear el conejo cornudo, cada conejo cornudo que aparezca tiene un 40 % de probabilidad de transformarse en un conejo con cuernos de ciervo.")</f>
        <v>Matar 10 conejos cornudos o una bestia roja desbloquea esta función.
Tras desbloquear el conejo cornudo, cada conejo cornudo que aparezca tiene un 40 % de probabilidad de transformarse en un conejo con cuernos de ciervo.</v>
      </c>
      <c r="U11" s="197" t="str">
        <f>IFERROR(__xludf.DUMMYFUNCTION("GOOGLETRANSLATE(A11,""zh-tw"",""KO"")"),"사슴뿔 토끼")</f>
        <v>사슴뿔 토끼</v>
      </c>
      <c r="V11" s="155" t="str">
        <f>IFERROR(__xludf.DUMMYFUNCTION("GOOGLETRANSLATE(B11,""zh-tw"",""KO"")"),"작은 고기 조각; 붉은 뿔")</f>
        <v>작은 고기 조각; 붉은 뿔</v>
      </c>
      <c r="W11" s="167" t="s">
        <v>6105</v>
      </c>
      <c r="X11" s="380"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153" t="s">
        <v>6113</v>
      </c>
      <c r="Z11" s="155" t="s">
        <v>6114</v>
      </c>
      <c r="AA11" s="155" t="s">
        <v>6105</v>
      </c>
      <c r="AB11" s="379" t="s">
        <v>6115</v>
      </c>
      <c r="AC11" s="197" t="str">
        <f>IFERROR(__xludf.DUMMYFUNCTION("GOOGLETRANSLATE(A11,""zh-tw"",""DE"")"),"Hirschgeweih Kaninchen")</f>
        <v>Hirschgeweih Kaninchen</v>
      </c>
      <c r="AD11" s="198" t="str">
        <f>IFERROR(__xludf.DUMMYFUNCTION("GOOGLETRANSLATE(B11,""zh-tw"",""DE"")"),"Kleine Fleischstücke; rotes Horn")</f>
        <v>Kleine Fleischstücke; rotes Horn</v>
      </c>
      <c r="AE11" s="167" t="s">
        <v>6105</v>
      </c>
      <c r="AF11" s="379"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1" s="133" t="s">
        <v>6116</v>
      </c>
      <c r="AH11" s="49" t="s">
        <v>6117</v>
      </c>
      <c r="AI11" s="49" t="s">
        <v>6105</v>
      </c>
      <c r="AJ11" s="379" t="s">
        <v>1243</v>
      </c>
      <c r="AK11" s="197" t="s">
        <v>6116</v>
      </c>
      <c r="AL11" s="198" t="s">
        <v>6118</v>
      </c>
      <c r="AM11" s="167" t="s">
        <v>6105</v>
      </c>
      <c r="AN11" s="379" t="s">
        <v>6119</v>
      </c>
      <c r="AO11" s="382" t="s">
        <v>6120</v>
      </c>
      <c r="AP11" s="202" t="s">
        <v>6121</v>
      </c>
      <c r="AQ11" s="202" t="s">
        <v>6105</v>
      </c>
      <c r="AR11" s="383" t="s">
        <v>6122</v>
      </c>
      <c r="AS11" s="383"/>
      <c r="AT11" s="383"/>
    </row>
    <row r="12">
      <c r="A12" s="153" t="s">
        <v>6123</v>
      </c>
      <c r="B12" s="155" t="s">
        <v>6124</v>
      </c>
      <c r="C12" s="167" t="s">
        <v>6125</v>
      </c>
      <c r="D12" s="380" t="s">
        <v>1243</v>
      </c>
      <c r="E12" s="153" t="s">
        <v>6126</v>
      </c>
      <c r="F12" s="198" t="s">
        <v>6127</v>
      </c>
      <c r="G12" s="167" t="s">
        <v>6128</v>
      </c>
      <c r="H12" s="380" t="s">
        <v>1243</v>
      </c>
      <c r="I12" s="197" t="s">
        <v>6129</v>
      </c>
      <c r="J12" s="198" t="s">
        <v>6130</v>
      </c>
      <c r="K12" s="167" t="s">
        <v>6125</v>
      </c>
      <c r="L12" s="379"/>
      <c r="M12" s="197" t="str">
        <f>IFERROR(__xludf.DUMMYFUNCTION("GOOGLETRANSLATE(A12,""zh-tw"",""zh"")"),"""Z""
(蟑螂)")</f>
        <v>"Z"
(蟑螂)</v>
      </c>
      <c r="N12" s="198" t="str">
        <f>IFERROR(__xludf.DUMMYFUNCTION("GOOGLETRANSLATE(B12,""zh-tw"",""zh"")"),"垃圾
阴暗爬行者的馈赠")</f>
        <v>垃圾
阴暗爬行者的馈赠</v>
      </c>
      <c r="O12" s="167" t="s">
        <v>6125</v>
      </c>
      <c r="P12" s="380" t="str">
        <f>IFERROR(__xludf.DUMMYFUNCTION("GOOGLETRANSLATE(D12,""zh-tw"",""zh"")"),"-")</f>
        <v>-</v>
      </c>
      <c r="Q12" s="153" t="str">
        <f>IFERROR(__xludf.DUMMYFUNCTION("GOOGLETRANSLATE(A12,""zh-tw"",""es-MX"")"),"""Z"" (cucaracha)")</f>
        <v>"Z" (cucaracha)</v>
      </c>
      <c r="R12" s="198" t="str">
        <f>IFERROR(__xludf.DUMMYFUNCTION("GOOGLETRANSLATE(B12,""zh-tw"",""es-MX"")"),"Basura; un regalo de los reptadores sombríos")</f>
        <v>Basura; un regalo de los reptadores sombríos</v>
      </c>
      <c r="S12" s="167" t="s">
        <v>6125</v>
      </c>
      <c r="T12" s="379" t="str">
        <f>IFERROR(__xludf.DUMMYFUNCTION("GOOGLETRANSLATE(D12,""zh-tw"",""es-MX"")"),"-")</f>
        <v>-</v>
      </c>
      <c r="U12" s="197" t="str">
        <f>IFERROR(__xludf.DUMMYFUNCTION("GOOGLETRANSLATE(A12,""zh-tw"",""KO"")"),"""Z""(바퀴벌레)")</f>
        <v>"Z"(바퀴벌레)</v>
      </c>
      <c r="V12" s="155" t="str">
        <f>IFERROR(__xludf.DUMMYFUNCTION("GOOGLETRANSLATE(B12,""zh-tw"",""KO"")"),"쓰레기; 그림자 같은 기어다니는 벌레들이 준 선물")</f>
        <v>쓰레기; 그림자 같은 기어다니는 벌레들이 준 선물</v>
      </c>
      <c r="W12" s="167" t="s">
        <v>6125</v>
      </c>
      <c r="X12" s="380" t="str">
        <f>IFERROR(__xludf.DUMMYFUNCTION("GOOGLETRANSLATE(D12,""zh-tw"",""KO"")"),"-")</f>
        <v>-</v>
      </c>
      <c r="Y12" s="153" t="s">
        <v>6131</v>
      </c>
      <c r="Z12" s="155" t="s">
        <v>6132</v>
      </c>
      <c r="AA12" s="155" t="s">
        <v>6125</v>
      </c>
      <c r="AB12" s="379" t="s">
        <v>1243</v>
      </c>
      <c r="AC12" s="197" t="str">
        <f>IFERROR(__xludf.DUMMYFUNCTION("GOOGLETRANSLATE(A12,""zh-tw"",""DE"")"),"""Z"" (Kakerlake)")</f>
        <v>"Z" (Kakerlake)</v>
      </c>
      <c r="AD12" s="167" t="s">
        <v>6133</v>
      </c>
      <c r="AE12" s="167" t="s">
        <v>6125</v>
      </c>
      <c r="AF12" s="379" t="str">
        <f>IFERROR(__xludf.DUMMYFUNCTION("GOOGLETRANSLATE(D12,""zh-tw"",""DE"")"),"-")</f>
        <v>-</v>
      </c>
      <c r="AG12" s="187" t="s">
        <v>6134</v>
      </c>
      <c r="AH12" s="49" t="s">
        <v>6135</v>
      </c>
      <c r="AI12" s="49" t="s">
        <v>6125</v>
      </c>
      <c r="AJ12" s="379" t="s">
        <v>1243</v>
      </c>
      <c r="AK12" s="197" t="s">
        <v>6136</v>
      </c>
      <c r="AL12" s="198" t="s">
        <v>6137</v>
      </c>
      <c r="AM12" s="167" t="s">
        <v>6125</v>
      </c>
      <c r="AN12" s="379" t="s">
        <v>1243</v>
      </c>
      <c r="AO12" s="382" t="s">
        <v>6138</v>
      </c>
      <c r="AP12" s="202" t="s">
        <v>6139</v>
      </c>
      <c r="AQ12" s="202" t="s">
        <v>6125</v>
      </c>
      <c r="AR12" s="386" t="s">
        <v>1243</v>
      </c>
      <c r="AS12" s="386"/>
      <c r="AT12" s="386"/>
    </row>
    <row r="13">
      <c r="A13" s="375" t="s">
        <v>6140</v>
      </c>
      <c r="E13" s="375" t="str">
        <f>IFERROR(__xludf.DUMMYFUNCTION("GOOGLETRANSLATE(A13,""zh-tw"",""ja"")"),"水中で関連")</f>
        <v>水中で関連</v>
      </c>
      <c r="I13" s="376" t="s">
        <v>6141</v>
      </c>
      <c r="M13" s="376" t="str">
        <f>IFERROR(__xludf.DUMMYFUNCTION("GOOGLETRANSLATE(A13,""zh-tw"",""zh"")"),"水中相关")</f>
        <v>水中相关</v>
      </c>
      <c r="Q13" s="376" t="str">
        <f>IFERROR(__xludf.DUMMYFUNCTION("GOOGLETRANSLATE(A13,""zh-tw"",""es-MX"")"),"Relacionado en el agua")</f>
        <v>Relacionado en el agua</v>
      </c>
      <c r="U13" s="376" t="str">
        <f>IFERROR(__xludf.DUMMYFUNCTION("GOOGLETRANSLATE(A13,""zh-tw"",""KO"")"),"물과 관련된")</f>
        <v>물과 관련된</v>
      </c>
      <c r="Y13" s="375" t="s">
        <v>6142</v>
      </c>
      <c r="AC13" s="376" t="str">
        <f>IFERROR(__xludf.DUMMYFUNCTION("GOOGLETRANSLATE(A12,""zh-tw"",""DE"")"),"""Z"" (Kakerlake)")</f>
        <v>"Z" (Kakerlake)</v>
      </c>
      <c r="AG13" s="378" t="s">
        <v>6143</v>
      </c>
      <c r="AK13" s="376" t="s">
        <v>6144</v>
      </c>
      <c r="AO13" s="387" t="s">
        <v>6145</v>
      </c>
      <c r="AS13" s="387"/>
      <c r="AT13" s="387"/>
    </row>
    <row r="14">
      <c r="A14" s="144" t="s">
        <v>6146</v>
      </c>
      <c r="B14" s="167" t="s">
        <v>6147</v>
      </c>
      <c r="C14" s="167" t="s">
        <v>6148</v>
      </c>
      <c r="D14" s="380" t="s">
        <v>6149</v>
      </c>
      <c r="E14" s="153" t="s">
        <v>6150</v>
      </c>
      <c r="F14" s="167" t="s">
        <v>6151</v>
      </c>
      <c r="G14" s="167" t="s">
        <v>6148</v>
      </c>
      <c r="H14" s="380" t="s">
        <v>6152</v>
      </c>
      <c r="I14" s="388" t="s">
        <v>6153</v>
      </c>
      <c r="J14" s="167" t="s">
        <v>6154</v>
      </c>
      <c r="K14" s="198" t="s">
        <v>6155</v>
      </c>
      <c r="L14" s="379" t="s">
        <v>6156</v>
      </c>
      <c r="M14" s="197" t="str">
        <f>IFERROR(__xludf.DUMMYFUNCTION("GOOGLETRANSLATE(A14,""zh-tw"",""zh"")"),"神秘的小气泡
(水面)")</f>
        <v>神秘的小气泡
(水面)</v>
      </c>
      <c r="N14" s="198"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198" t="s">
        <v>6155</v>
      </c>
      <c r="P14" s="380" t="str">
        <f>IFERROR(__xludf.DUMMYFUNCTION("GOOGLETRANSLATE(D14,""zh-tw"",""zh"")"),"使用炸弹炸水面
(最多三组掉落物)
(有机率出现敌方生物、河之主BOSS)")</f>
        <v>使用炸弹炸水面
(最多三组掉落物)
(有机率出现敌方生物、河之主BOSS)</v>
      </c>
      <c r="Q14" s="153" t="str">
        <f>IFERROR(__xludf.DUMMYFUNCTION("GOOGLETRANSLATE(A14,""zh-tw"",""es-MX"")"),"Misteriosas burbujitas diminutas
(en la superficie del agua)")</f>
        <v>Misteriosas burbujitas diminutas
(en la superficie del agua)</v>
      </c>
      <c r="R14" s="198"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198" t="s">
        <v>6155</v>
      </c>
      <c r="T14" s="379" t="str">
        <f>IFERROR(__xludf.DUMMYFUNCTION("GOOGLETRANSLATE(D14,""zh-tw"",""es-MX"")"),"Usa bombas para volar la superficie del agua.
(Máximo tres conjuntos de botín)
(Posibilidad de generar criaturas enemigas o al jefe Señor del Río)")</f>
        <v>Usa bombas para volar la superficie del agua.
(Máximo tres conjuntos de botín)
(Posibilidad de generar criaturas enemigas o al jefe Señor del Río)</v>
      </c>
      <c r="U14" s="197" t="str">
        <f>IFERROR(__xludf.DUMMYFUNCTION("GOOGLETRANSLATE(A14,""zh-tw"",""KO"")"),"신비로운 작은 기포들
(물 표면에 떠 있는)")</f>
        <v>신비로운 작은 기포들
(물 표면에 떠 있는)</v>
      </c>
      <c r="V14" s="155" t="str">
        <f>IFERROR(__xludf.DUMMYFUNCTION("GOOGLETRANSLATE(B14,""zh-tw"",""KO"")"),"참치
줄무늬 돔
꽁치
능성돔
도미
문어 다리
단새우
랍스터
털게
연어
왕연어
대게 집게발
푸른바다거북 등껍질
◉▽◉(파란색) X△X")</f>
        <v>참치
줄무늬 돔
꽁치
능성돔
도미
문어 다리
단새우
랍스터
털게
연어
왕연어
대게 집게발
푸른바다거북 등껍질
◉▽◉(파란색) X△X</v>
      </c>
      <c r="W14" s="155" t="s">
        <v>6155</v>
      </c>
      <c r="X14" s="380" t="str">
        <f>IFERROR(__xludf.DUMMYFUNCTION("GOOGLETRANSLATE(D14,""zh-tw"",""KO"")"),"폭탄을 사용하여 수면을 폭파하세요.
(최대 3세트의 전리품 획득 가능)
(특정 확률로 적대적인 생물이나 리버 로드 보스가 소환됩니다.)")</f>
        <v>폭탄을 사용하여 수면을 폭파하세요.
(최대 3세트의 전리품 획득 가능)
(특정 확률로 적대적인 생물이나 리버 로드 보스가 소환됩니다.)</v>
      </c>
      <c r="Y14" s="153" t="s">
        <v>6157</v>
      </c>
      <c r="Z14" s="155" t="s">
        <v>6158</v>
      </c>
      <c r="AA14" s="155" t="s">
        <v>6155</v>
      </c>
      <c r="AB14" s="379" t="s">
        <v>6159</v>
      </c>
      <c r="AC14" s="197" t="s">
        <v>6160</v>
      </c>
      <c r="AD14" s="167" t="s">
        <v>6161</v>
      </c>
      <c r="AE14" s="198" t="s">
        <v>6155</v>
      </c>
      <c r="AF14" s="379" t="s">
        <v>6162</v>
      </c>
      <c r="AG14" s="389" t="s">
        <v>6163</v>
      </c>
      <c r="AH14" s="49" t="s">
        <v>6164</v>
      </c>
      <c r="AI14" s="381" t="s">
        <v>6155</v>
      </c>
      <c r="AJ14" s="379" t="s">
        <v>6165</v>
      </c>
      <c r="AK14" s="207" t="s">
        <v>6166</v>
      </c>
      <c r="AL14" s="167" t="s">
        <v>6167</v>
      </c>
      <c r="AM14" s="198" t="s">
        <v>6155</v>
      </c>
      <c r="AN14" s="379" t="s">
        <v>6168</v>
      </c>
      <c r="AO14" s="382" t="s">
        <v>6169</v>
      </c>
      <c r="AP14" s="202" t="s">
        <v>6170</v>
      </c>
      <c r="AQ14" s="202" t="s">
        <v>6171</v>
      </c>
      <c r="AR14" s="383" t="s">
        <v>6172</v>
      </c>
      <c r="AS14" s="383"/>
      <c r="AT14" s="383"/>
    </row>
    <row r="15">
      <c r="A15" s="144" t="s">
        <v>6173</v>
      </c>
      <c r="B15" s="167" t="s">
        <v>6174</v>
      </c>
      <c r="C15" s="155" t="s">
        <v>6175</v>
      </c>
      <c r="D15" s="380" t="s">
        <v>6176</v>
      </c>
      <c r="E15" s="153" t="s">
        <v>6177</v>
      </c>
      <c r="F15" s="167" t="s">
        <v>6178</v>
      </c>
      <c r="G15" s="155" t="s">
        <v>6175</v>
      </c>
      <c r="H15" s="380" t="s">
        <v>6179</v>
      </c>
      <c r="I15" s="388" t="s">
        <v>6180</v>
      </c>
      <c r="J15" s="167" t="s">
        <v>6181</v>
      </c>
      <c r="K15" s="198" t="s">
        <v>6175</v>
      </c>
      <c r="L15" s="379" t="s">
        <v>6182</v>
      </c>
      <c r="M15" s="197" t="str">
        <f>IFERROR(__xludf.DUMMYFUNCTION("GOOGLETRANSLATE(A15,""zh-tw"",""zh"")"),"神秘的大气泡
(水面)")</f>
        <v>神秘的大气泡
(水面)</v>
      </c>
      <c r="N15" s="198" t="str">
        <f>IFERROR(__xludf.DUMMYFUNCTION("GOOGLETRANSLATE(B15,""zh-tw"",""zh"")"),"随机鱼类
垃圾
随机符文
绿龟壳
巨大蟹钳
◉▽◉(蓝色)
X△X")</f>
        <v>随机鱼类
垃圾
随机符文
绿龟壳
巨大蟹钳
◉▽◉(蓝色)
X△X</v>
      </c>
      <c r="O15" s="198" t="s">
        <v>6175</v>
      </c>
      <c r="P15" s="380" t="str">
        <f>IFERROR(__xludf.DUMMYFUNCTION("GOOGLETRANSLATE(D15,""zh-tw"",""zh"")"),"使用炸弹炸水面
(最多一组掉落物)
(目前无敌方生物、无BOSS)")</f>
        <v>使用炸弹炸水面
(最多一组掉落物)
(目前无敌方生物、无BOSS)</v>
      </c>
      <c r="Q15" s="153" t="str">
        <f>IFERROR(__xludf.DUMMYFUNCTION("GOOGLETRANSLATE(A15,""zh-tw"",""es-MX"")"),"Misteriosas burbujas gigantes
(en la superficie del agua)")</f>
        <v>Misteriosas burbujas gigantes
(en la superficie del agua)</v>
      </c>
      <c r="R15" s="198" t="str">
        <f>IFERROR(__xludf.DUMMYFUNCTION("GOOGLETRANSLATE(B15,""zh-tw"",""es-MX"")"),"Peces aleatorios
Basura
Runas aleatorias
Caparazón de tortuga verde
Pinza de cangrejo gigante
◉▽◉(Azul)
X△X")</f>
        <v>Peces aleatorios
Basura
Runas aleatorias
Caparazón de tortuga verde
Pinza de cangrejo gigante
◉▽◉(Azul)
X△X</v>
      </c>
      <c r="S15" s="198" t="s">
        <v>6175</v>
      </c>
      <c r="T15" s="379"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197" t="str">
        <f>IFERROR(__xludf.DUMMYFUNCTION("GOOGLETRANSLATE(A15,""zh-tw"",""KO"")"),"정체를 알 수 없는 거대한 거품들
(수면 위에)")</f>
        <v>정체를 알 수 없는 거대한 거품들
(수면 위에)</v>
      </c>
      <c r="V15" s="155" t="str">
        <f>IFERROR(__xludf.DUMMYFUNCTION("GOOGLETRANSLATE(B15,""zh-tw"",""KO"")"),"랜덤 물고기
잡동사니
랜덤 룬
초록 거북 등껍질
거대 게 발톱
◉▽◉(파란색)
X△X")</f>
        <v>랜덤 물고기
잡동사니
랜덤 룬
초록 거북 등껍질
거대 게 발톱
◉▽◉(파란색)
X△X</v>
      </c>
      <c r="W15" s="155" t="s">
        <v>6175</v>
      </c>
      <c r="X15" s="380"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153" t="s">
        <v>6183</v>
      </c>
      <c r="Z15" s="155" t="s">
        <v>6184</v>
      </c>
      <c r="AA15" s="155" t="s">
        <v>6175</v>
      </c>
      <c r="AB15" s="379" t="s">
        <v>6185</v>
      </c>
      <c r="AC15" s="197" t="s">
        <v>6186</v>
      </c>
      <c r="AD15" s="167" t="s">
        <v>6187</v>
      </c>
      <c r="AE15" s="198" t="s">
        <v>6175</v>
      </c>
      <c r="AF15" s="379" t="s">
        <v>6188</v>
      </c>
      <c r="AG15" s="389" t="s">
        <v>6189</v>
      </c>
      <c r="AH15" s="49" t="s">
        <v>6190</v>
      </c>
      <c r="AI15" s="381" t="s">
        <v>6175</v>
      </c>
      <c r="AJ15" s="379" t="s">
        <v>6191</v>
      </c>
      <c r="AK15" s="207" t="s">
        <v>6192</v>
      </c>
      <c r="AL15" s="167" t="s">
        <v>6193</v>
      </c>
      <c r="AM15" s="198" t="s">
        <v>6175</v>
      </c>
      <c r="AN15" s="379" t="s">
        <v>6194</v>
      </c>
      <c r="AO15" s="382" t="s">
        <v>6195</v>
      </c>
      <c r="AP15" s="202" t="s">
        <v>6196</v>
      </c>
      <c r="AQ15" s="202" t="s">
        <v>6175</v>
      </c>
      <c r="AR15" s="383" t="s">
        <v>6197</v>
      </c>
      <c r="AS15" s="383"/>
      <c r="AT15" s="383"/>
    </row>
    <row r="16">
      <c r="A16" s="153" t="s">
        <v>6198</v>
      </c>
      <c r="B16" s="155" t="s">
        <v>6199</v>
      </c>
      <c r="C16" s="155" t="s">
        <v>6200</v>
      </c>
      <c r="D16" s="380" t="s">
        <v>6201</v>
      </c>
      <c r="E16" s="197" t="s">
        <v>6198</v>
      </c>
      <c r="F16" s="198" t="s">
        <v>6202</v>
      </c>
      <c r="G16" s="155" t="s">
        <v>6200</v>
      </c>
      <c r="H16" s="380" t="s">
        <v>6203</v>
      </c>
      <c r="I16" s="197" t="s">
        <v>6204</v>
      </c>
      <c r="J16" s="198" t="s">
        <v>6205</v>
      </c>
      <c r="K16" s="198" t="s">
        <v>6200</v>
      </c>
      <c r="L16" s="379" t="s">
        <v>6206</v>
      </c>
      <c r="M16" s="197" t="str">
        <f>IFERROR(__xludf.DUMMYFUNCTION("GOOGLETRANSLATE(A16,""zh-tw"",""zh"")"),"鱼影
(水面)")</f>
        <v>鱼影
(水面)</v>
      </c>
      <c r="N16" s="198" t="str">
        <f>IFERROR(__xludf.DUMMYFUNCTION("GOOGLETRANSLATE(B16,""zh-tw"",""zh"")"),"金枪鱼
条石鲷
秋刀鱼
鲷鱼
鲑鱼
帝王鲑")</f>
        <v>金枪鱼
条石鲷
秋刀鱼
鲷鱼
鲑鱼
帝王鲑</v>
      </c>
      <c r="O16" s="198" t="s">
        <v>6200</v>
      </c>
      <c r="P16" s="380" t="str">
        <f>IFERROR(__xludf.DUMMYFUNCTION("GOOGLETRANSLATE(D16,""zh-tw"",""zh"")"),"使用攻击或者触碰捕捉
(仅掉落食材)")</f>
        <v>使用攻击或者触碰捕捉
(仅掉落食材)</v>
      </c>
      <c r="Q16" s="153" t="str">
        <f>IFERROR(__xludf.DUMMYFUNCTION("GOOGLETRANSLATE(A16,""zh-tw"",""es-MX"")"),"Sombras de peces (en la superficie del agua)")</f>
        <v>Sombras de peces (en la superficie del agua)</v>
      </c>
      <c r="R16" s="198" t="str">
        <f>IFERROR(__xludf.DUMMYFUNCTION("GOOGLETRANSLATE(B16,""zh-tw"",""es-MX"")"),"Atún, dorada rayada, saury del Pacífico, dorada, salmón, salmón real")</f>
        <v>Atún, dorada rayada, saury del Pacífico, dorada, salmón, salmón real</v>
      </c>
      <c r="S16" s="198" t="s">
        <v>6200</v>
      </c>
      <c r="T16" s="379" t="str">
        <f>IFERROR(__xludf.DUMMYFUNCTION("GOOGLETRANSLATE(D16,""zh-tw"",""es-MX"")"),"Usa ataques o el tacto para capturar (solo caerán los ingredientes).")</f>
        <v>Usa ataques o el tacto para capturar (solo caerán los ingredientes).</v>
      </c>
      <c r="U16" s="197" t="str">
        <f>IFERROR(__xludf.DUMMYFUNCTION("GOOGLETRANSLATE(A16,""zh-tw"",""KO"")"),"물 표면에 드리워진 물고기 그림자")</f>
        <v>물 표면에 드리워진 물고기 그림자</v>
      </c>
      <c r="V16" s="155" t="str">
        <f>IFERROR(__xludf.DUMMYFUNCTION("GOOGLETRANSLATE(B16,""zh-tw"",""KO"")"),"참치, 줄무늬볼락, 꽁치, 도미, 연어, 왕연어")</f>
        <v>참치, 줄무늬볼락, 꽁치, 도미, 연어, 왕연어</v>
      </c>
      <c r="W16" s="155" t="s">
        <v>6200</v>
      </c>
      <c r="X16" s="380" t="str">
        <f>IFERROR(__xludf.DUMMYFUNCTION("GOOGLETRANSLATE(D16,""zh-tw"",""KO"")"),"공격이나 접촉을 이용하여 재료를 포획하세요 (재료만 드롭됩니다).")</f>
        <v>공격이나 접촉을 이용하여 재료를 포획하세요 (재료만 드롭됩니다).</v>
      </c>
      <c r="Y16" s="153" t="s">
        <v>6207</v>
      </c>
      <c r="Z16" s="155" t="s">
        <v>6208</v>
      </c>
      <c r="AA16" s="155" t="s">
        <v>6200</v>
      </c>
      <c r="AB16" s="379" t="s">
        <v>6209</v>
      </c>
      <c r="AC16" s="197" t="s">
        <v>6210</v>
      </c>
      <c r="AD16" s="198" t="s">
        <v>6211</v>
      </c>
      <c r="AE16" s="198" t="s">
        <v>6200</v>
      </c>
      <c r="AF16" s="379" t="s">
        <v>6212</v>
      </c>
      <c r="AG16" s="187" t="s">
        <v>6213</v>
      </c>
      <c r="AH16" s="381" t="s">
        <v>6214</v>
      </c>
      <c r="AI16" s="381" t="s">
        <v>6200</v>
      </c>
      <c r="AJ16" s="379" t="s">
        <v>6215</v>
      </c>
      <c r="AK16" s="197" t="s">
        <v>6216</v>
      </c>
      <c r="AL16" s="198" t="s">
        <v>6217</v>
      </c>
      <c r="AM16" s="198" t="s">
        <v>6200</v>
      </c>
      <c r="AN16" s="379" t="s">
        <v>6218</v>
      </c>
      <c r="AO16" s="382" t="s">
        <v>6219</v>
      </c>
      <c r="AP16" s="202" t="s">
        <v>6220</v>
      </c>
      <c r="AQ16" s="202" t="s">
        <v>6200</v>
      </c>
      <c r="AR16" s="383" t="s">
        <v>6221</v>
      </c>
      <c r="AS16" s="383"/>
      <c r="AT16" s="383"/>
    </row>
    <row r="17">
      <c r="A17" s="153" t="s">
        <v>6222</v>
      </c>
      <c r="B17" s="155" t="s">
        <v>6223</v>
      </c>
      <c r="C17" s="155" t="s">
        <v>6224</v>
      </c>
      <c r="D17" s="379" t="s">
        <v>1243</v>
      </c>
      <c r="E17" s="197" t="s">
        <v>6222</v>
      </c>
      <c r="F17" s="155" t="str">
        <f>IFERROR(__xludf.DUMMYFUNCTION("GOOGLETRANSLATE(B17,""zh-tw"",""ja"")"),"水の怪物スライム
魔法の水晶クラスター
潮汐の詩")</f>
        <v>水の怪物スライム
魔法の水晶クラスター
潮汐の詩</v>
      </c>
      <c r="G17" s="155" t="s">
        <v>6224</v>
      </c>
      <c r="H17" s="380" t="str">
        <f>IFERROR(__xludf.DUMMYFUNCTION("GOOGLETRANSLATE(D17,""zh-tw"",""ja"")"),"-")</f>
        <v>-</v>
      </c>
      <c r="I17" s="153" t="s">
        <v>6225</v>
      </c>
      <c r="J17" s="167" t="s">
        <v>6226</v>
      </c>
      <c r="K17" s="198" t="s">
        <v>6224</v>
      </c>
      <c r="L17" s="379" t="str">
        <f>IFERROR(__xludf.DUMMYFUNCTION("GOOGLETRANSLATE(D17,""zh-tw"",""en"")"),"-")</f>
        <v>-</v>
      </c>
      <c r="M17" s="197" t="str">
        <f>IFERROR(__xludf.DUMMYFUNCTION("GOOGLETRANSLATE(A17,""zh-tw"",""zh"")"),"水怪")</f>
        <v>水怪</v>
      </c>
      <c r="N17" s="198" t="str">
        <f>IFERROR(__xludf.DUMMYFUNCTION("GOOGLETRANSLATE(B17,""zh-tw"",""zh"")"),"水怪黏液
魔力晶簇
潮汐之诗")</f>
        <v>水怪黏液
魔力晶簇
潮汐之诗</v>
      </c>
      <c r="O17" s="198" t="s">
        <v>6224</v>
      </c>
      <c r="P17" s="380" t="str">
        <f>IFERROR(__xludf.DUMMYFUNCTION("GOOGLETRANSLATE(D17,""zh-tw"",""zh"")"),"-")</f>
        <v>-</v>
      </c>
      <c r="Q17" s="153" t="str">
        <f>IFERROR(__xludf.DUMMYFUNCTION("GOOGLETRANSLATE(A17,""zh-tw"",""es-MX"")"),"Monstruo de agua")</f>
        <v>Monstruo de agua</v>
      </c>
      <c r="R17" s="155" t="str">
        <f>IFERROR(__xludf.DUMMYFUNCTION("GOOGLETRANSLATE(B17,""zh-tw"",""es-MX"")"),"Monstruo acuático de limo
Grupo de cristales mágicos
Poema de las mareas")</f>
        <v>Monstruo acuático de limo
Grupo de cristales mágicos
Poema de las mareas</v>
      </c>
      <c r="S17" s="198" t="s">
        <v>6224</v>
      </c>
      <c r="T17" s="379" t="str">
        <f>IFERROR(__xludf.DUMMYFUNCTION("GOOGLETRANSLATE(D17,""zh-tw"",""es-MX"")"),"-")</f>
        <v>-</v>
      </c>
      <c r="U17" s="197" t="str">
        <f>IFERROR(__xludf.DUMMYFUNCTION("GOOGLETRANSLATE(A17,""zh-tw"",""KO"")"),"물 괴물")</f>
        <v>물 괴물</v>
      </c>
      <c r="V17" s="155" t="str">
        <f>IFERROR(__xludf.DUMMYFUNCTION("GOOGLETRANSLATE(B17,""zh-tw"",""KO"")"),"물 괴물 슬라임
마법 수정 덩어리
조수 시")</f>
        <v>물 괴물 슬라임
마법 수정 덩어리
조수 시</v>
      </c>
      <c r="W17" s="155" t="s">
        <v>6224</v>
      </c>
      <c r="X17" s="380" t="str">
        <f>IFERROR(__xludf.DUMMYFUNCTION("GOOGLETRANSLATE(D17,""zh-tw"",""KO"")"),"-")</f>
        <v>-</v>
      </c>
      <c r="Y17" s="153" t="s">
        <v>6227</v>
      </c>
      <c r="Z17" s="155" t="s">
        <v>6228</v>
      </c>
      <c r="AA17" s="155" t="s">
        <v>6224</v>
      </c>
      <c r="AB17" s="379" t="s">
        <v>1243</v>
      </c>
      <c r="AC17" s="197" t="s">
        <v>6229</v>
      </c>
      <c r="AD17" s="198" t="s">
        <v>6230</v>
      </c>
      <c r="AE17" s="198" t="s">
        <v>6224</v>
      </c>
      <c r="AF17" s="385" t="s">
        <v>6231</v>
      </c>
      <c r="AG17" s="133" t="s">
        <v>6232</v>
      </c>
      <c r="AH17" s="49" t="s">
        <v>6233</v>
      </c>
      <c r="AI17" s="381" t="s">
        <v>6224</v>
      </c>
      <c r="AJ17" s="379" t="s">
        <v>1243</v>
      </c>
      <c r="AK17" s="197" t="s">
        <v>6225</v>
      </c>
      <c r="AL17" s="198" t="s">
        <v>6234</v>
      </c>
      <c r="AM17" s="198" t="s">
        <v>6224</v>
      </c>
      <c r="AN17" s="379" t="s">
        <v>1243</v>
      </c>
      <c r="AO17" s="382" t="s">
        <v>6225</v>
      </c>
      <c r="AP17" s="202" t="s">
        <v>6235</v>
      </c>
      <c r="AQ17" s="202" t="s">
        <v>6224</v>
      </c>
      <c r="AR17" s="383" t="s">
        <v>1243</v>
      </c>
      <c r="AS17" s="383"/>
      <c r="AT17" s="383"/>
    </row>
    <row r="18">
      <c r="A18" s="153" t="s">
        <v>6236</v>
      </c>
      <c r="B18" s="155" t="s">
        <v>6237</v>
      </c>
      <c r="C18" s="155">
        <v>100.0</v>
      </c>
      <c r="D18" s="380" t="s">
        <v>6238</v>
      </c>
      <c r="E18" s="197" t="s">
        <v>6239</v>
      </c>
      <c r="F18" s="155" t="s">
        <v>6240</v>
      </c>
      <c r="G18" s="155">
        <v>100.0</v>
      </c>
      <c r="H18" s="380" t="s">
        <v>6241</v>
      </c>
      <c r="I18" s="153" t="s">
        <v>6242</v>
      </c>
      <c r="J18" s="198" t="s">
        <v>6243</v>
      </c>
      <c r="K18" s="198">
        <v>100.0</v>
      </c>
      <c r="L18" s="379" t="s">
        <v>6244</v>
      </c>
      <c r="M18" s="197" t="str">
        <f>IFERROR(__xludf.DUMMYFUNCTION("GOOGLETRANSLATE(A18,""zh-tw"",""zh"")"),"萨卡班甲鱼(小)")</f>
        <v>萨卡班甲鱼(小)</v>
      </c>
      <c r="N18" s="198" t="str">
        <f>IFERROR(__xludf.DUMMYFUNCTION("GOOGLETRANSLATE(B18,""zh-tw"",""zh"")"),"◉▽◉(蓝色)")</f>
        <v>◉▽◉(蓝色)</v>
      </c>
      <c r="O18" s="198">
        <v>100.0</v>
      </c>
      <c r="P18" s="380" t="str">
        <f>IFERROR(__xludf.DUMMYFUNCTION("GOOGLETRANSLATE(D18,""zh-tw"",""zh"")"),"使用炸弹炸水面")</f>
        <v>使用炸弹炸水面</v>
      </c>
      <c r="Q18" s="197" t="str">
        <f>IFERROR(__xludf.DUMMYFUNCTION("GOOGLETRANSLATE(A18,""zh-tw"",""es-MX"")"),"Tortuga sakaban (pequeña)")</f>
        <v>Tortuga sakaban (pequeña)</v>
      </c>
      <c r="R18" s="155" t="str">
        <f>IFERROR(__xludf.DUMMYFUNCTION("GOOGLETRANSLATE(B18,""zh-tw"",""es-MX"")"),"◉▽◉ (Azul)")</f>
        <v>◉▽◉ (Azul)</v>
      </c>
      <c r="S18" s="198">
        <v>100.0</v>
      </c>
      <c r="T18" s="379" t="str">
        <f>IFERROR(__xludf.DUMMYFUNCTION("GOOGLETRANSLATE(D18,""zh-tw"",""es-MX"")"),"Utiliza bombas para volar la superficie del agua.")</f>
        <v>Utiliza bombas para volar la superficie del agua.</v>
      </c>
      <c r="U18" s="197" t="str">
        <f>IFERROR(__xludf.DUMMYFUNCTION("GOOGLETRANSLATE(A18,""zh-tw"",""KO"")"),"사카반 거북 (소형)")</f>
        <v>사카반 거북 (소형)</v>
      </c>
      <c r="V18" s="155" t="str">
        <f>IFERROR(__xludf.DUMMYFUNCTION("GOOGLETRANSLATE(B18,""zh-tw"",""KO"")"),"◉▽◉ (파란색)")</f>
        <v>◉▽◉ (파란색)</v>
      </c>
      <c r="W18" s="155">
        <v>100.0</v>
      </c>
      <c r="X18" s="380" t="str">
        <f>IFERROR(__xludf.DUMMYFUNCTION("GOOGLETRANSLATE(D18,""zh-tw"",""KO"")"),"폭탄을 사용하여 수면을 폭파시키세요")</f>
        <v>폭탄을 사용하여 수면을 폭파시키세요</v>
      </c>
      <c r="Y18" s="153" t="s">
        <v>6245</v>
      </c>
      <c r="Z18" s="155" t="s">
        <v>6246</v>
      </c>
      <c r="AA18" s="155">
        <v>100.0</v>
      </c>
      <c r="AB18" s="379" t="s">
        <v>6247</v>
      </c>
      <c r="AC18" s="197" t="s">
        <v>6248</v>
      </c>
      <c r="AD18" s="198" t="s">
        <v>6249</v>
      </c>
      <c r="AE18" s="198">
        <v>100.0</v>
      </c>
      <c r="AF18" s="379" t="s">
        <v>6250</v>
      </c>
      <c r="AG18" s="187" t="s">
        <v>6251</v>
      </c>
      <c r="AH18" s="381" t="s">
        <v>6252</v>
      </c>
      <c r="AI18" s="381">
        <v>100.0</v>
      </c>
      <c r="AJ18" s="379" t="s">
        <v>6253</v>
      </c>
      <c r="AK18" s="197" t="s">
        <v>6254</v>
      </c>
      <c r="AL18" s="198" t="s">
        <v>6255</v>
      </c>
      <c r="AM18" s="198">
        <v>100.0</v>
      </c>
      <c r="AN18" s="379" t="s">
        <v>6256</v>
      </c>
      <c r="AO18" s="382" t="s">
        <v>6257</v>
      </c>
      <c r="AP18" s="202" t="s">
        <v>6258</v>
      </c>
      <c r="AQ18" s="202" t="s">
        <v>6259</v>
      </c>
      <c r="AR18" s="383" t="s">
        <v>6260</v>
      </c>
      <c r="AS18" s="383"/>
      <c r="AT18" s="383"/>
    </row>
    <row r="19">
      <c r="A19" s="153" t="s">
        <v>6261</v>
      </c>
      <c r="B19" s="155" t="s">
        <v>6262</v>
      </c>
      <c r="C19" s="155">
        <v>100.0</v>
      </c>
      <c r="D19" s="380" t="s">
        <v>6238</v>
      </c>
      <c r="E19" s="197" t="s">
        <v>6263</v>
      </c>
      <c r="F19" s="155" t="s">
        <v>6264</v>
      </c>
      <c r="G19" s="155">
        <v>100.0</v>
      </c>
      <c r="H19" s="380" t="s">
        <v>6241</v>
      </c>
      <c r="I19" s="153" t="s">
        <v>6265</v>
      </c>
      <c r="J19" s="198" t="s">
        <v>6266</v>
      </c>
      <c r="K19" s="198">
        <v>100.0</v>
      </c>
      <c r="L19" s="379" t="s">
        <v>6244</v>
      </c>
      <c r="M19" s="197" t="str">
        <f>IFERROR(__xludf.DUMMYFUNCTION("GOOGLETRANSLATE(A19,""zh-tw"",""zh"")"),"萨卡班甲鱼(大)")</f>
        <v>萨卡班甲鱼(大)</v>
      </c>
      <c r="N19" s="198" t="str">
        <f>IFERROR(__xludf.DUMMYFUNCTION("GOOGLETRANSLATE(B19,""zh-tw"",""zh"")"),"◉▽◉(紫色)")</f>
        <v>◉▽◉(紫色)</v>
      </c>
      <c r="O19" s="198">
        <v>100.0</v>
      </c>
      <c r="P19" s="380" t="str">
        <f>IFERROR(__xludf.DUMMYFUNCTION("GOOGLETRANSLATE(D19,""zh-tw"",""zh"")"),"使用炸弹炸水面")</f>
        <v>使用炸弹炸水面</v>
      </c>
      <c r="Q19" s="153" t="str">
        <f>IFERROR(__xludf.DUMMYFUNCTION("GOOGLETRANSLATE(A19,""zh-tw"",""es-MX"")"),"Tortuga sakaban (grande)")</f>
        <v>Tortuga sakaban (grande)</v>
      </c>
      <c r="R19" s="155" t="str">
        <f>IFERROR(__xludf.DUMMYFUNCTION("GOOGLETRANSLATE(B19,""zh-tw"",""es-MX"")"),"◉▽◉(morado)")</f>
        <v>◉▽◉(morado)</v>
      </c>
      <c r="S19" s="198">
        <v>100.0</v>
      </c>
      <c r="T19" s="379" t="str">
        <f>IFERROR(__xludf.DUMMYFUNCTION("GOOGLETRANSLATE(D19,""zh-tw"",""es-MX"")"),"Utiliza bombas para volar la superficie del agua.")</f>
        <v>Utiliza bombas para volar la superficie del agua.</v>
      </c>
      <c r="U19" s="197" t="str">
        <f>IFERROR(__xludf.DUMMYFUNCTION("GOOGLETRANSLATE(A19,""zh-tw"",""KO"")"),"사카반 거북 (대형)")</f>
        <v>사카반 거북 (대형)</v>
      </c>
      <c r="V19" s="155" t="str">
        <f>IFERROR(__xludf.DUMMYFUNCTION("GOOGLETRANSLATE(B19,""zh-tw"",""KO"")"),"◉▽◉(보라색)")</f>
        <v>◉▽◉(보라색)</v>
      </c>
      <c r="W19" s="155">
        <v>100.0</v>
      </c>
      <c r="X19" s="380" t="str">
        <f>IFERROR(__xludf.DUMMYFUNCTION("GOOGLETRANSLATE(D19,""zh-tw"",""KO"")"),"폭탄을 사용하여 수면을 폭파시키세요")</f>
        <v>폭탄을 사용하여 수면을 폭파시키세요</v>
      </c>
      <c r="Y19" s="153" t="s">
        <v>6267</v>
      </c>
      <c r="Z19" s="155" t="s">
        <v>6268</v>
      </c>
      <c r="AA19" s="155">
        <v>100.0</v>
      </c>
      <c r="AB19" s="379" t="s">
        <v>6247</v>
      </c>
      <c r="AC19" s="197" t="s">
        <v>6269</v>
      </c>
      <c r="AD19" s="198" t="s">
        <v>6270</v>
      </c>
      <c r="AE19" s="198">
        <v>100.0</v>
      </c>
      <c r="AF19" s="379" t="s">
        <v>6250</v>
      </c>
      <c r="AG19" s="187" t="s">
        <v>6271</v>
      </c>
      <c r="AH19" s="381" t="s">
        <v>6272</v>
      </c>
      <c r="AI19" s="381">
        <v>100.0</v>
      </c>
      <c r="AJ19" s="379" t="s">
        <v>6253</v>
      </c>
      <c r="AK19" s="197" t="s">
        <v>6273</v>
      </c>
      <c r="AL19" s="198" t="s">
        <v>6274</v>
      </c>
      <c r="AM19" s="198">
        <v>100.0</v>
      </c>
      <c r="AN19" s="379" t="s">
        <v>6256</v>
      </c>
      <c r="AO19" s="382" t="s">
        <v>6275</v>
      </c>
      <c r="AP19" s="202" t="s">
        <v>6276</v>
      </c>
      <c r="AQ19" s="202" t="s">
        <v>6259</v>
      </c>
      <c r="AR19" s="383" t="s">
        <v>6260</v>
      </c>
      <c r="AS19" s="383"/>
      <c r="AT19" s="383"/>
    </row>
    <row r="20">
      <c r="A20" s="375" t="s">
        <v>6277</v>
      </c>
      <c r="E20" s="376" t="str">
        <f>IFERROR(__xludf.DUMMYFUNCTION("GOOGLETRANSLATE(A20,""zh-tw"",""ja"")"),"鉱山に関連する")</f>
        <v>鉱山に関連する</v>
      </c>
      <c r="I20" s="375" t="s">
        <v>6278</v>
      </c>
      <c r="M20" s="376" t="str">
        <f>IFERROR(__xludf.DUMMYFUNCTION("GOOGLETRANSLATE(A20,""zh-tw"",""zh"")"),"矿坑相关")</f>
        <v>矿坑相关</v>
      </c>
      <c r="Q20" s="375" t="str">
        <f>IFERROR(__xludf.DUMMYFUNCTION("GOOGLETRANSLATE(A20,""zh-tw"",""es-MX"")"),"relacionado con las minas")</f>
        <v>relacionado con las minas</v>
      </c>
      <c r="U20" s="376" t="str">
        <f>IFERROR(__xludf.DUMMYFUNCTION("GOOGLETRANSLATE(A20,""zh-tw"",""KO"")"),"광산과 관련된")</f>
        <v>광산과 관련된</v>
      </c>
      <c r="Y20" s="375" t="s">
        <v>6279</v>
      </c>
      <c r="AC20" s="376" t="str">
        <f>IFERROR(__xludf.DUMMYFUNCTION("GOOGLETRANSLATE(A19,""zh-tw"",""DE"")"),"Sakaban-Schildkröte (groß)")</f>
        <v>Sakaban-Schildkröte (groß)</v>
      </c>
      <c r="AG20" s="378" t="s">
        <v>6280</v>
      </c>
      <c r="AK20" s="376" t="s">
        <v>6278</v>
      </c>
      <c r="AO20" s="390" t="s">
        <v>6281</v>
      </c>
      <c r="AS20" s="390"/>
      <c r="AT20" s="390"/>
    </row>
    <row r="21">
      <c r="A21" s="153" t="s">
        <v>6282</v>
      </c>
      <c r="B21" s="155" t="s">
        <v>6283</v>
      </c>
      <c r="C21" s="155" t="s">
        <v>6284</v>
      </c>
      <c r="D21" s="380" t="s">
        <v>1243</v>
      </c>
      <c r="E21" s="197" t="s">
        <v>6285</v>
      </c>
      <c r="F21" s="198" t="s">
        <v>6286</v>
      </c>
      <c r="G21" s="155" t="s">
        <v>6284</v>
      </c>
      <c r="H21" s="385" t="s">
        <v>1243</v>
      </c>
      <c r="I21" s="153" t="s">
        <v>6287</v>
      </c>
      <c r="J21" s="198" t="s">
        <v>6288</v>
      </c>
      <c r="K21" s="198" t="s">
        <v>6284</v>
      </c>
      <c r="L21" s="379" t="s">
        <v>1243</v>
      </c>
      <c r="M21" s="197" t="str">
        <f>IFERROR(__xludf.DUMMYFUNCTION("GOOGLETRANSLATE(A21,""zh-tw"",""zh"")"),"恶灵史莱姆")</f>
        <v>恶灵史莱姆</v>
      </c>
      <c r="N21" s="198" t="str">
        <f>IFERROR(__xludf.DUMMYFUNCTION("GOOGLETRANSLATE(B21,""zh-tw"",""zh"")"),"史莱姆的黏液
来自地狱
魔力晶簇
堕落法师的手套
精神凝聚头环")</f>
        <v>史莱姆的黏液
来自地狱
魔力晶簇
堕落法师的手套
精神凝聚头环</v>
      </c>
      <c r="O21" s="198" t="s">
        <v>6284</v>
      </c>
      <c r="P21" s="380" t="str">
        <f>IFERROR(__xludf.DUMMYFUNCTION("GOOGLETRANSLATE(D21,""zh-tw"",""zh"")"),"-")</f>
        <v>-</v>
      </c>
      <c r="Q21" s="153" t="str">
        <f>IFERROR(__xludf.DUMMYFUNCTION("GOOGLETRANSLATE(A21,""zh-tw"",""es-MX"")"),"Limo maligno")</f>
        <v>Limo maligno</v>
      </c>
      <c r="R21" s="155" t="str">
        <f>IFERROR(__xludf.DUMMYFUNCTION("GOOGLETRANSLATE(B21,""zh-tw"",""es-MX"")"),"Limo, limo
Del Infierno
Grupo de Cristales Mágicos
Guantes del Mago Caído
Diadema de Concentración Mental")</f>
        <v>Limo, limo
Del Infierno
Grupo de Cristales Mágicos
Guantes del Mago Caído
Diadema de Concentración Mental</v>
      </c>
      <c r="S21" s="198" t="s">
        <v>6284</v>
      </c>
      <c r="T21" s="379" t="str">
        <f>IFERROR(__xludf.DUMMYFUNCTION("GOOGLETRANSLATE(D21,""zh-tw"",""es-MX"")"),"-")</f>
        <v>-</v>
      </c>
      <c r="U21" s="197" t="str">
        <f>IFERROR(__xludf.DUMMYFUNCTION("GOOGLETRANSLATE(A21,""zh-tw"",""KO"")"),"사악한 슬라임")</f>
        <v>사악한 슬라임</v>
      </c>
      <c r="V21" s="155"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55" t="s">
        <v>6284</v>
      </c>
      <c r="X21" s="380" t="str">
        <f>IFERROR(__xludf.DUMMYFUNCTION("GOOGLETRANSLATE(D21,""zh-tw"",""KO"")"),"-")</f>
        <v>-</v>
      </c>
      <c r="Y21" s="153" t="s">
        <v>6289</v>
      </c>
      <c r="Z21" s="155" t="s">
        <v>6290</v>
      </c>
      <c r="AA21" s="155" t="s">
        <v>6284</v>
      </c>
      <c r="AB21" s="379" t="s">
        <v>1243</v>
      </c>
      <c r="AC21" s="197" t="s">
        <v>6291</v>
      </c>
      <c r="AD21" s="198" t="s">
        <v>6292</v>
      </c>
      <c r="AE21" s="198" t="s">
        <v>6284</v>
      </c>
      <c r="AF21" s="385" t="s">
        <v>6231</v>
      </c>
      <c r="AG21" s="187" t="s">
        <v>6293</v>
      </c>
      <c r="AH21" s="381" t="s">
        <v>6294</v>
      </c>
      <c r="AI21" s="381" t="s">
        <v>6284</v>
      </c>
      <c r="AJ21" s="379" t="s">
        <v>1243</v>
      </c>
      <c r="AK21" s="197" t="s">
        <v>6295</v>
      </c>
      <c r="AL21" s="167" t="s">
        <v>6296</v>
      </c>
      <c r="AM21" s="198" t="s">
        <v>6284</v>
      </c>
      <c r="AN21" s="379" t="s">
        <v>1243</v>
      </c>
      <c r="AO21" s="382" t="s">
        <v>6297</v>
      </c>
      <c r="AP21" s="202" t="s">
        <v>6298</v>
      </c>
      <c r="AQ21" s="202" t="s">
        <v>6299</v>
      </c>
      <c r="AR21" s="383" t="s">
        <v>1243</v>
      </c>
      <c r="AS21" s="383"/>
      <c r="AT21" s="383"/>
    </row>
    <row r="22">
      <c r="A22" s="153" t="s">
        <v>6300</v>
      </c>
      <c r="B22" s="155" t="s">
        <v>6301</v>
      </c>
      <c r="C22" s="155" t="s">
        <v>6302</v>
      </c>
      <c r="D22" s="380" t="s">
        <v>1243</v>
      </c>
      <c r="E22" s="197" t="str">
        <f>IFERROR(__xludf.DUMMYFUNCTION("GOOGLETRANSLATE(A22,""zh-tw"",""ja"")"),"鉱石スライム")</f>
        <v>鉱石スライム</v>
      </c>
      <c r="F22" s="155" t="str">
        <f>IFERROR(__xludf.DUMMYFUNCTION("GOOGLETRANSLATE(B22,""zh-tw"",""ja"")"),"スライムのスライム
魔法結晶クラスター
深層魔法結晶クラスター")</f>
        <v>スライムのスライム
魔法結晶クラスター
深層魔法結晶クラスター</v>
      </c>
      <c r="G22" s="155" t="s">
        <v>6302</v>
      </c>
      <c r="H22" s="385" t="s">
        <v>1243</v>
      </c>
      <c r="I22" s="153" t="s">
        <v>6303</v>
      </c>
      <c r="J22" s="198" t="s">
        <v>6304</v>
      </c>
      <c r="K22" s="198" t="s">
        <v>6302</v>
      </c>
      <c r="L22" s="379" t="str">
        <f>IFERROR(__xludf.DUMMYFUNCTION("GOOGLETRANSLATE(D22,""zh-tw"",""en"")"),"-")</f>
        <v>-</v>
      </c>
      <c r="M22" s="197" t="str">
        <f>IFERROR(__xludf.DUMMYFUNCTION("GOOGLETRANSLATE(A22,""zh-tw"",""zh"")"),"矿石史莱姆")</f>
        <v>矿石史莱姆</v>
      </c>
      <c r="N22" s="198" t="str">
        <f>IFERROR(__xludf.DUMMYFUNCTION("GOOGLETRANSLATE(B22,""zh-tw"",""zh"")"),"史莱姆的黏液
魔力晶簇
深邃魔力晶簇")</f>
        <v>史莱姆的黏液
魔力晶簇
深邃魔力晶簇</v>
      </c>
      <c r="O22" s="198" t="s">
        <v>6302</v>
      </c>
      <c r="P22" s="380" t="str">
        <f>IFERROR(__xludf.DUMMYFUNCTION("GOOGLETRANSLATE(D22,""zh-tw"",""zh"")"),"-")</f>
        <v>-</v>
      </c>
      <c r="Q22" s="153" t="str">
        <f>IFERROR(__xludf.DUMMYFUNCTION("GOOGLETRANSLATE(A22,""zh-tw"",""es-MX"")"),"Limo mineral")</f>
        <v>Limo mineral</v>
      </c>
      <c r="R22" s="155" t="str">
        <f>IFERROR(__xludf.DUMMYFUNCTION("GOOGLETRANSLATE(B22,""zh-tw"",""es-MX"")"),"El limo de Slime
Grupo de cristales mágicos
Grupo de cristales mágicos profundos")</f>
        <v>El limo de Slime
Grupo de cristales mágicos
Grupo de cristales mágicos profundos</v>
      </c>
      <c r="S22" s="198" t="s">
        <v>6302</v>
      </c>
      <c r="T22" s="379" t="str">
        <f>IFERROR(__xludf.DUMMYFUNCTION("GOOGLETRANSLATE(D22,""zh-tw"",""es-MX"")"),"-")</f>
        <v>-</v>
      </c>
      <c r="U22" s="197" t="str">
        <f>IFERROR(__xludf.DUMMYFUNCTION("GOOGLETRANSLATE(A22,""zh-tw"",""KO"")"),"오레 슬라임")</f>
        <v>오레 슬라임</v>
      </c>
      <c r="V22" s="155" t="str">
        <f>IFERROR(__xludf.DUMMYFUNCTION("GOOGLETRANSLATE(B22,""zh-tw"",""KO"")"),"슬라임의 슬라임
매직 크리스탈 클러스터
딥 매직 크리스탈 클러스터")</f>
        <v>슬라임의 슬라임
매직 크리스탈 클러스터
딥 매직 크리스탈 클러스터</v>
      </c>
      <c r="W22" s="155" t="s">
        <v>6302</v>
      </c>
      <c r="X22" s="380" t="str">
        <f>IFERROR(__xludf.DUMMYFUNCTION("GOOGLETRANSLATE(D22,""zh-tw"",""KO"")"),"-")</f>
        <v>-</v>
      </c>
      <c r="Y22" s="153" t="s">
        <v>6305</v>
      </c>
      <c r="Z22" s="155" t="s">
        <v>6306</v>
      </c>
      <c r="AA22" s="155" t="s">
        <v>6302</v>
      </c>
      <c r="AB22" s="379" t="s">
        <v>1243</v>
      </c>
      <c r="AC22" s="197" t="s">
        <v>6307</v>
      </c>
      <c r="AD22" s="198" t="s">
        <v>6308</v>
      </c>
      <c r="AE22" s="198" t="s">
        <v>6302</v>
      </c>
      <c r="AF22" s="385" t="s">
        <v>6231</v>
      </c>
      <c r="AG22" s="187" t="s">
        <v>6309</v>
      </c>
      <c r="AH22" s="381" t="s">
        <v>6310</v>
      </c>
      <c r="AI22" s="381" t="s">
        <v>6302</v>
      </c>
      <c r="AJ22" s="379" t="s">
        <v>1243</v>
      </c>
      <c r="AK22" s="197" t="s">
        <v>6311</v>
      </c>
      <c r="AL22" s="198" t="s">
        <v>6312</v>
      </c>
      <c r="AM22" s="198" t="s">
        <v>6302</v>
      </c>
      <c r="AN22" s="379" t="s">
        <v>1243</v>
      </c>
      <c r="AO22" s="382" t="s">
        <v>6313</v>
      </c>
      <c r="AP22" s="202" t="s">
        <v>6314</v>
      </c>
      <c r="AQ22" s="202" t="s">
        <v>6302</v>
      </c>
      <c r="AR22" s="383" t="s">
        <v>1243</v>
      </c>
      <c r="AS22" s="383"/>
      <c r="AT22" s="383"/>
    </row>
    <row r="23">
      <c r="A23" s="153" t="s">
        <v>6315</v>
      </c>
      <c r="B23" s="391" t="s">
        <v>6316</v>
      </c>
      <c r="C23" s="391" t="s">
        <v>6317</v>
      </c>
      <c r="D23" s="380" t="s">
        <v>1243</v>
      </c>
      <c r="E23" s="153" t="s">
        <v>6318</v>
      </c>
      <c r="F23" s="167" t="s">
        <v>6319</v>
      </c>
      <c r="G23" s="167" t="s">
        <v>6317</v>
      </c>
      <c r="H23" s="385" t="s">
        <v>1243</v>
      </c>
      <c r="I23" s="153" t="s">
        <v>6320</v>
      </c>
      <c r="J23" s="167" t="s">
        <v>6321</v>
      </c>
      <c r="K23" s="167" t="s">
        <v>6317</v>
      </c>
      <c r="L23" s="379" t="s">
        <v>1243</v>
      </c>
      <c r="M23" s="197" t="str">
        <f>IFERROR(__xludf.DUMMYFUNCTION("GOOGLETRANSLATE(A23,""zh-tw"",""zh"")"),"邪恶斗篷")</f>
        <v>邪恶斗篷</v>
      </c>
      <c r="N23" s="198"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167" t="s">
        <v>6317</v>
      </c>
      <c r="P23" s="379" t="str">
        <f>IFERROR(__xludf.DUMMYFUNCTION("GOOGLETRANSLATE(D23,""zh-tw"",""zh"")"),"-")</f>
        <v>-</v>
      </c>
      <c r="Q23" s="197" t="str">
        <f>IFERROR(__xludf.DUMMYFUNCTION("GOOGLETRANSLATE(A23,""zh-tw"",""es-MX"")"),"Capa maligna")</f>
        <v>Capa maligna</v>
      </c>
      <c r="R23" s="198" t="str">
        <f>IFERROR(__xludf.DUMMYFUNCTION("GOOGLETRANSLATE(B23,""zh-tw"",""es-MX"")"),"500 yuanes
1000 yuanes
Feto Maldito
Jack el Travieso
Fantasma de la Niebla Nocturna
Del Infierno
Artículo de Calidad Púrpura
Artículo de Calidad Rosa")</f>
        <v>500 yuanes
1000 yuanes
Feto Maldito
Jack el Travieso
Fantasma de la Niebla Nocturna
Del Infierno
Artículo de Calidad Púrpura
Artículo de Calidad Rosa</v>
      </c>
      <c r="S23" s="198" t="s">
        <v>6322</v>
      </c>
      <c r="T23" s="379" t="str">
        <f>IFERROR(__xludf.DUMMYFUNCTION("GOOGLETRANSLATE(D23,""zh-tw"",""es-MX"")"),"-")</f>
        <v>-</v>
      </c>
      <c r="U23" s="197" t="str">
        <f>IFERROR(__xludf.DUMMYFUNCTION("GOOGLETRANSLATE(A23,""zh-tw"",""KO"")"),"사악한 망토")</f>
        <v>사악한 망토</v>
      </c>
      <c r="V23" s="155"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55" t="s">
        <v>6322</v>
      </c>
      <c r="X23" s="380" t="str">
        <f>IFERROR(__xludf.DUMMYFUNCTION("GOOGLETRANSLATE(D23,""zh-tw"",""KO"")"),"-")</f>
        <v>-</v>
      </c>
      <c r="Y23" s="153" t="s">
        <v>6323</v>
      </c>
      <c r="Z23" s="167" t="s">
        <v>6324</v>
      </c>
      <c r="AA23" s="167" t="s">
        <v>6317</v>
      </c>
      <c r="AB23" s="379" t="s">
        <v>1243</v>
      </c>
      <c r="AC23" s="197" t="s">
        <v>6325</v>
      </c>
      <c r="AD23" s="198" t="s">
        <v>6326</v>
      </c>
      <c r="AE23" s="198" t="s">
        <v>6322</v>
      </c>
      <c r="AF23" s="379" t="s">
        <v>1243</v>
      </c>
      <c r="AG23" s="187" t="s">
        <v>6327</v>
      </c>
      <c r="AH23" s="49" t="s">
        <v>6328</v>
      </c>
      <c r="AI23" s="49" t="s">
        <v>6317</v>
      </c>
      <c r="AJ23" s="379" t="s">
        <v>1243</v>
      </c>
      <c r="AK23" s="197" t="s">
        <v>6320</v>
      </c>
      <c r="AL23" s="167" t="s">
        <v>6329</v>
      </c>
      <c r="AM23" s="167" t="s">
        <v>6330</v>
      </c>
      <c r="AN23" s="379" t="s">
        <v>1243</v>
      </c>
      <c r="AO23" s="382" t="s">
        <v>6331</v>
      </c>
      <c r="AP23" s="202" t="s">
        <v>6332</v>
      </c>
      <c r="AQ23" s="202" t="s">
        <v>6333</v>
      </c>
      <c r="AR23" s="383" t="s">
        <v>1243</v>
      </c>
      <c r="AS23" s="383"/>
      <c r="AT23" s="383"/>
    </row>
    <row r="24">
      <c r="A24" s="375" t="s">
        <v>6334</v>
      </c>
      <c r="E24" s="375" t="str">
        <f>IFERROR(__xludf.DUMMYFUNCTION("GOOGLETRANSLATE(A24,""zh-tw"",""ja"")"),"遺跡")</f>
        <v>遺跡</v>
      </c>
      <c r="I24" s="375" t="s">
        <v>6335</v>
      </c>
      <c r="M24" s="376" t="str">
        <f>IFERROR(__xludf.DUMMYFUNCTION("GOOGLETRANSLATE(A24,""zh-tw"",""zh"")"),"遗迹相关")</f>
        <v>遗迹相关</v>
      </c>
      <c r="Q24" s="376" t="str">
        <f>IFERROR(__xludf.DUMMYFUNCTION("GOOGLETRANSLATE(A24,""zh-tw"",""es-MX"")"),"Restos")</f>
        <v>Restos</v>
      </c>
      <c r="U24" s="376" t="str">
        <f>IFERROR(__xludf.DUMMYFUNCTION("GOOGLETRANSLATE(A24,""zh-tw"",""KO"")"),"유적")</f>
        <v>유적</v>
      </c>
      <c r="Y24" s="375" t="s">
        <v>6336</v>
      </c>
      <c r="AC24" s="376" t="str">
        <f>IFERROR(__xludf.DUMMYFUNCTION("GOOGLETRANSLATE(A23,""zh-tw"",""DE"")"),"Böser Umhang")</f>
        <v>Böser Umhang</v>
      </c>
      <c r="AG24" s="378" t="s">
        <v>6337</v>
      </c>
      <c r="AK24" s="376" t="s">
        <v>6335</v>
      </c>
      <c r="AO24" s="390" t="s">
        <v>6338</v>
      </c>
      <c r="AS24" s="390"/>
      <c r="AT24" s="390"/>
    </row>
    <row r="25">
      <c r="A25" s="153" t="s">
        <v>6339</v>
      </c>
      <c r="B25" s="155" t="s">
        <v>6340</v>
      </c>
      <c r="C25" s="155" t="s">
        <v>6341</v>
      </c>
      <c r="D25" s="380" t="s">
        <v>1243</v>
      </c>
      <c r="E25" s="197" t="s">
        <v>6342</v>
      </c>
      <c r="F25" s="198" t="s">
        <v>6343</v>
      </c>
      <c r="G25" s="155" t="s">
        <v>6341</v>
      </c>
      <c r="H25" s="380" t="str">
        <f>IFERROR(__xludf.DUMMYFUNCTION("GOOGLETRANSLATE(D25,""zh-tw"",""ja"")"),"-")</f>
        <v>-</v>
      </c>
      <c r="I25" s="197" t="s">
        <v>6344</v>
      </c>
      <c r="J25" s="198" t="s">
        <v>6345</v>
      </c>
      <c r="K25" s="198" t="s">
        <v>6341</v>
      </c>
      <c r="L25" s="379" t="str">
        <f>IFERROR(__xludf.DUMMYFUNCTION("GOOGLETRANSLATE(D25,""zh-tw"",""en"")"),"-")</f>
        <v>-</v>
      </c>
      <c r="M25" s="197" t="str">
        <f>IFERROR(__xludf.DUMMYFUNCTION("GOOGLETRANSLATE(A25,""zh-tw"",""zh"")"),"初级兽人")</f>
        <v>初级兽人</v>
      </c>
      <c r="N25" s="198" t="str">
        <f>IFERROR(__xludf.DUMMYFUNCTION("GOOGLETRANSLATE(B25,""zh-tw"",""zh"")"),"小兽肉
大兽肉
500元
兽人的骨釜")</f>
        <v>小兽肉
大兽肉
500元
兽人的骨釜</v>
      </c>
      <c r="O25" s="198" t="s">
        <v>6341</v>
      </c>
      <c r="P25" s="379" t="str">
        <f>IFERROR(__xludf.DUMMYFUNCTION("GOOGLETRANSLATE(D25,""zh-tw"",""zh"")"),"-")</f>
        <v>-</v>
      </c>
      <c r="Q25" s="153" t="str">
        <f>IFERROR(__xludf.DUMMYFUNCTION("GOOGLETRANSLATE(A25,""zh-tw"",""es-MX"")"),"Principiantes")</f>
        <v>Principiantes</v>
      </c>
      <c r="R25" s="198" t="str">
        <f>IFERROR(__xludf.DUMMYFUNCTION("GOOGLETRANSLATE(B25,""zh-tw"",""es-MX"")"),"Carne de animales pequeños, carne de animales grandes, 500 yuanes, olla de huesos de orco")</f>
        <v>Carne de animales pequeños, carne de animales grandes, 500 yuanes, olla de huesos de orco</v>
      </c>
      <c r="S25" s="198" t="s">
        <v>6341</v>
      </c>
      <c r="T25" s="379" t="str">
        <f>IFERROR(__xludf.DUMMYFUNCTION("GOOGLETRANSLATE(D25,""zh-tw"",""es-MX"")"),"-")</f>
        <v>-</v>
      </c>
      <c r="U25" s="197" t="str">
        <f>IFERROR(__xludf.DUMMYFUNCTION("GOOGLETRANSLATE(A25,""zh-tw"",""KO"")"),"초보자")</f>
        <v>초보자</v>
      </c>
      <c r="V25" s="155" t="str">
        <f>IFERROR(__xludf.DUMMYFUNCTION("GOOGLETRANSLATE(B25,""zh-tw"",""KO"")"),"소형 동물 고기, 대형 동물 고기, 500위안, 오크 뼈 냄비")</f>
        <v>소형 동물 고기, 대형 동물 고기, 500위안, 오크 뼈 냄비</v>
      </c>
      <c r="W25" s="155" t="s">
        <v>6341</v>
      </c>
      <c r="X25" s="380" t="str">
        <f>IFERROR(__xludf.DUMMYFUNCTION("GOOGLETRANSLATE(D25,""zh-tw"",""KO"")"),"-")</f>
        <v>-</v>
      </c>
      <c r="Y25" s="153" t="s">
        <v>6346</v>
      </c>
      <c r="Z25" s="155" t="s">
        <v>6347</v>
      </c>
      <c r="AA25" s="155" t="s">
        <v>6341</v>
      </c>
      <c r="AB25" s="379" t="s">
        <v>1243</v>
      </c>
      <c r="AC25" s="197" t="s">
        <v>6348</v>
      </c>
      <c r="AD25" s="198" t="s">
        <v>6349</v>
      </c>
      <c r="AE25" s="198" t="s">
        <v>6341</v>
      </c>
      <c r="AF25" s="385" t="s">
        <v>6231</v>
      </c>
      <c r="AG25" s="187" t="s">
        <v>6350</v>
      </c>
      <c r="AH25" s="381" t="s">
        <v>6351</v>
      </c>
      <c r="AI25" s="381" t="s">
        <v>6341</v>
      </c>
      <c r="AJ25" s="379" t="s">
        <v>1243</v>
      </c>
      <c r="AK25" s="197" t="s">
        <v>6352</v>
      </c>
      <c r="AL25" s="198" t="s">
        <v>6353</v>
      </c>
      <c r="AM25" s="198" t="s">
        <v>6341</v>
      </c>
      <c r="AN25" s="379" t="s">
        <v>1243</v>
      </c>
      <c r="AO25" s="382" t="s">
        <v>6354</v>
      </c>
      <c r="AP25" s="202" t="s">
        <v>6355</v>
      </c>
      <c r="AQ25" s="202" t="s">
        <v>6341</v>
      </c>
      <c r="AR25" s="383" t="s">
        <v>1243</v>
      </c>
      <c r="AS25" s="383"/>
      <c r="AT25" s="383"/>
    </row>
    <row r="26">
      <c r="A26" s="153" t="s">
        <v>6356</v>
      </c>
      <c r="B26" s="155" t="s">
        <v>6357</v>
      </c>
      <c r="C26" s="155" t="s">
        <v>6358</v>
      </c>
      <c r="D26" s="379" t="s">
        <v>1243</v>
      </c>
      <c r="E26" s="197" t="s">
        <v>6356</v>
      </c>
      <c r="F26" s="198" t="s">
        <v>6359</v>
      </c>
      <c r="G26" s="155" t="s">
        <v>6358</v>
      </c>
      <c r="H26" s="380" t="str">
        <f>IFERROR(__xludf.DUMMYFUNCTION("GOOGLETRANSLATE(D26,""zh-tw"",""ja"")"),"-")</f>
        <v>-</v>
      </c>
      <c r="I26" s="197" t="s">
        <v>6360</v>
      </c>
      <c r="J26" s="167" t="s">
        <v>6361</v>
      </c>
      <c r="K26" s="198" t="s">
        <v>6358</v>
      </c>
      <c r="L26" s="379" t="str">
        <f>IFERROR(__xludf.DUMMYFUNCTION("GOOGLETRANSLATE(D26,""zh-tw"",""en"")"),"-")</f>
        <v>-</v>
      </c>
      <c r="M26" s="197" t="str">
        <f>IFERROR(__xludf.DUMMYFUNCTION("GOOGLETRANSLATE(A26,""zh-tw"",""zh"")"),"怪鸟")</f>
        <v>怪鸟</v>
      </c>
      <c r="N26" s="198" t="str">
        <f>IFERROR(__xludf.DUMMYFUNCTION("GOOGLETRANSLATE(B26,""zh-tw"",""zh"")"),"鸡腿肉
怪鸟的羽毛")</f>
        <v>鸡腿肉
怪鸟的羽毛</v>
      </c>
      <c r="O26" s="198" t="s">
        <v>6358</v>
      </c>
      <c r="P26" s="380" t="str">
        <f>IFERROR(__xludf.DUMMYFUNCTION("GOOGLETRANSLATE(D26,""zh-tw"",""zh"")"),"-")</f>
        <v>-</v>
      </c>
      <c r="Q26" s="197" t="str">
        <f>IFERROR(__xludf.DUMMYFUNCTION("GOOGLETRANSLATE(A26,""zh-tw"",""es-MX"")"),"Pájaro extraño")</f>
        <v>Pájaro extraño</v>
      </c>
      <c r="R26" s="198" t="str">
        <f>IFERROR(__xludf.DUMMYFUNCTION("GOOGLETRANSLATE(B26,""zh-tw"",""es-MX"")"),"Carne de muslo de pollo; extrañas plumas de ave")</f>
        <v>Carne de muslo de pollo; extrañas plumas de ave</v>
      </c>
      <c r="S26" s="198" t="s">
        <v>6358</v>
      </c>
      <c r="T26" s="379" t="str">
        <f>IFERROR(__xludf.DUMMYFUNCTION("GOOGLETRANSLATE(D26,""zh-tw"",""es-MX"")"),"-")</f>
        <v>-</v>
      </c>
      <c r="U26" s="197" t="str">
        <f>IFERROR(__xludf.DUMMYFUNCTION("GOOGLETRANSLATE(A26,""zh-tw"",""KO"")"),"이상한 새")</f>
        <v>이상한 새</v>
      </c>
      <c r="V26" s="155" t="str">
        <f>IFERROR(__xludf.DUMMYFUNCTION("GOOGLETRANSLATE(B26,""zh-tw"",""KO"")"),"닭다리살; 특이한 새 깃털")</f>
        <v>닭다리살; 특이한 새 깃털</v>
      </c>
      <c r="W26" s="155" t="s">
        <v>6358</v>
      </c>
      <c r="X26" s="380" t="str">
        <f>IFERROR(__xludf.DUMMYFUNCTION("GOOGLETRANSLATE(D26,""zh-tw"",""KO"")"),"-")</f>
        <v>-</v>
      </c>
      <c r="Y26" s="153" t="s">
        <v>6362</v>
      </c>
      <c r="Z26" s="155" t="s">
        <v>6363</v>
      </c>
      <c r="AA26" s="155" t="s">
        <v>6358</v>
      </c>
      <c r="AB26" s="379" t="s">
        <v>1243</v>
      </c>
      <c r="AC26" s="197" t="s">
        <v>6364</v>
      </c>
      <c r="AD26" s="198" t="s">
        <v>6365</v>
      </c>
      <c r="AE26" s="198" t="s">
        <v>6358</v>
      </c>
      <c r="AF26" s="385" t="s">
        <v>6231</v>
      </c>
      <c r="AG26" s="187" t="s">
        <v>6366</v>
      </c>
      <c r="AH26" s="381" t="s">
        <v>6367</v>
      </c>
      <c r="AI26" s="381" t="s">
        <v>6358</v>
      </c>
      <c r="AJ26" s="379" t="s">
        <v>1243</v>
      </c>
      <c r="AK26" s="197" t="s">
        <v>6368</v>
      </c>
      <c r="AL26" s="167" t="s">
        <v>6369</v>
      </c>
      <c r="AM26" s="198" t="s">
        <v>6358</v>
      </c>
      <c r="AN26" s="379" t="s">
        <v>1243</v>
      </c>
      <c r="AO26" s="382" t="s">
        <v>6370</v>
      </c>
      <c r="AP26" s="202" t="s">
        <v>6371</v>
      </c>
      <c r="AQ26" s="202" t="s">
        <v>6372</v>
      </c>
      <c r="AR26" s="383" t="s">
        <v>1243</v>
      </c>
      <c r="AS26" s="383"/>
      <c r="AT26" s="383"/>
    </row>
    <row r="27">
      <c r="A27" s="153" t="s">
        <v>6373</v>
      </c>
      <c r="B27" s="155" t="s">
        <v>6374</v>
      </c>
      <c r="C27" s="155" t="s">
        <v>6375</v>
      </c>
      <c r="D27" s="379" t="s">
        <v>1243</v>
      </c>
      <c r="E27" s="197" t="s">
        <v>6376</v>
      </c>
      <c r="F27" s="198" t="s">
        <v>6377</v>
      </c>
      <c r="G27" s="155" t="s">
        <v>6375</v>
      </c>
      <c r="H27" s="380" t="str">
        <f>IFERROR(__xludf.DUMMYFUNCTION("GOOGLETRANSLATE(D27,""zh-tw"",""ja"")"),"-")</f>
        <v>-</v>
      </c>
      <c r="I27" s="197" t="s">
        <v>6378</v>
      </c>
      <c r="J27" s="198" t="s">
        <v>6379</v>
      </c>
      <c r="K27" s="198" t="s">
        <v>6375</v>
      </c>
      <c r="L27" s="379" t="str">
        <f>IFERROR(__xludf.DUMMYFUNCTION("GOOGLETRANSLATE(D27,""zh-tw"",""en"")"),"-")</f>
        <v>-</v>
      </c>
      <c r="M27" s="197" t="str">
        <f>IFERROR(__xludf.DUMMYFUNCTION("GOOGLETRANSLATE(A27,""zh-tw"",""zh"")"),"走路菇")</f>
        <v>走路菇</v>
      </c>
      <c r="N27" s="198" t="str">
        <f>IFERROR(__xludf.DUMMYFUNCTION("GOOGLETRANSLATE(B27,""zh-tw"",""zh"")"),"走路菇
毒孢针")</f>
        <v>走路菇
毒孢针</v>
      </c>
      <c r="O27" s="198" t="s">
        <v>6375</v>
      </c>
      <c r="P27" s="379" t="str">
        <f>IFERROR(__xludf.DUMMYFUNCTION("GOOGLETRANSLATE(D27,""zh-tw"",""zh"")"),"-")</f>
        <v>-</v>
      </c>
      <c r="Q27" s="153" t="str">
        <f>IFERROR(__xludf.DUMMYFUNCTION("GOOGLETRANSLATE(A27,""zh-tw"",""es-MX"")"),"Hongo andante")</f>
        <v>Hongo andante</v>
      </c>
      <c r="R27" s="198" t="str">
        <f>IFERROR(__xludf.DUMMYFUNCTION("GOOGLETRANSLATE(B27,""zh-tw"",""es-MX"")"),"Seta caminante; aguja de espora venenosa")</f>
        <v>Seta caminante; aguja de espora venenosa</v>
      </c>
      <c r="S27" s="198" t="s">
        <v>6375</v>
      </c>
      <c r="T27" s="379" t="str">
        <f>IFERROR(__xludf.DUMMYFUNCTION("GOOGLETRANSLATE(D27,""zh-tw"",""es-MX"")"),"-")</f>
        <v>-</v>
      </c>
      <c r="U27" s="197" t="str">
        <f>IFERROR(__xludf.DUMMYFUNCTION("GOOGLETRANSLATE(A27,""zh-tw"",""KO"")"),"걷는 버섯")</f>
        <v>걷는 버섯</v>
      </c>
      <c r="V27" s="155" t="str">
        <f>IFERROR(__xludf.DUMMYFUNCTION("GOOGLETRANSLATE(B27,""zh-tw"",""KO"")"),"걸어다니는 버섯; 독포자 바늘")</f>
        <v>걸어다니는 버섯; 독포자 바늘</v>
      </c>
      <c r="W27" s="155" t="s">
        <v>6375</v>
      </c>
      <c r="X27" s="380" t="str">
        <f>IFERROR(__xludf.DUMMYFUNCTION("GOOGLETRANSLATE(D27,""zh-tw"",""KO"")"),"-")</f>
        <v>-</v>
      </c>
      <c r="Y27" s="153" t="s">
        <v>6380</v>
      </c>
      <c r="Z27" s="155" t="s">
        <v>6381</v>
      </c>
      <c r="AA27" s="155" t="s">
        <v>6375</v>
      </c>
      <c r="AB27" s="379" t="s">
        <v>1243</v>
      </c>
      <c r="AC27" s="197" t="s">
        <v>6382</v>
      </c>
      <c r="AD27" s="198" t="s">
        <v>6383</v>
      </c>
      <c r="AE27" s="198" t="s">
        <v>6375</v>
      </c>
      <c r="AF27" s="385" t="s">
        <v>6231</v>
      </c>
      <c r="AG27" s="187" t="s">
        <v>6384</v>
      </c>
      <c r="AH27" s="381" t="s">
        <v>6385</v>
      </c>
      <c r="AI27" s="381" t="s">
        <v>6375</v>
      </c>
      <c r="AJ27" s="379" t="s">
        <v>1243</v>
      </c>
      <c r="AK27" s="197" t="s">
        <v>6378</v>
      </c>
      <c r="AL27" s="167" t="s">
        <v>6386</v>
      </c>
      <c r="AM27" s="198" t="s">
        <v>6375</v>
      </c>
      <c r="AN27" s="379" t="s">
        <v>1243</v>
      </c>
      <c r="AO27" s="382" t="s">
        <v>6387</v>
      </c>
      <c r="AP27" s="202" t="s">
        <v>6388</v>
      </c>
      <c r="AQ27" s="202" t="s">
        <v>6389</v>
      </c>
      <c r="AR27" s="383" t="s">
        <v>1243</v>
      </c>
      <c r="AS27" s="383"/>
      <c r="AT27" s="383"/>
    </row>
    <row r="28">
      <c r="A28" s="153" t="s">
        <v>6390</v>
      </c>
      <c r="B28" s="155" t="s">
        <v>6391</v>
      </c>
      <c r="C28" s="155" t="s">
        <v>6392</v>
      </c>
      <c r="D28" s="380" t="s">
        <v>1243</v>
      </c>
      <c r="E28" s="153" t="str">
        <f>IFERROR(__xludf.DUMMYFUNCTION("GOOGLETRANSLATE(A28,""zh-tw"",""ja"")"),"ジャック・スライム")</f>
        <v>ジャック・スライム</v>
      </c>
      <c r="F28" s="198" t="s">
        <v>6393</v>
      </c>
      <c r="G28" s="198" t="s">
        <v>6392</v>
      </c>
      <c r="H28" s="380" t="str">
        <f>IFERROR(__xludf.DUMMYFUNCTION("GOOGLETRANSLATE(D28,""zh-tw"",""ja"")"),"-")</f>
        <v>-</v>
      </c>
      <c r="I28" s="197" t="s">
        <v>6394</v>
      </c>
      <c r="J28" s="198" t="s">
        <v>6395</v>
      </c>
      <c r="K28" s="198" t="s">
        <v>6392</v>
      </c>
      <c r="L28" s="379" t="s">
        <v>1243</v>
      </c>
      <c r="M28" s="197" t="str">
        <f>IFERROR(__xludf.DUMMYFUNCTION("GOOGLETRANSLATE(A28,""zh-tw"",""zh"")"),"杰克史莱姆")</f>
        <v>杰克史莱姆</v>
      </c>
      <c r="N28" s="198" t="str">
        <f>IFERROR(__xludf.DUMMYFUNCTION("GOOGLETRANSLATE(B28,""zh-tw"",""zh"")"),"史莱姆的黏液
杰克爆弹
炸弹魔之魂")</f>
        <v>史莱姆的黏液
杰克爆弹
炸弹魔之魂</v>
      </c>
      <c r="O28" s="198" t="s">
        <v>6392</v>
      </c>
      <c r="P28" s="379" t="str">
        <f>IFERROR(__xludf.DUMMYFUNCTION("GOOGLETRANSLATE(D28,""zh-tw"",""zh"")"),"-")</f>
        <v>-</v>
      </c>
      <c r="Q28" s="153" t="str">
        <f>IFERROR(__xludf.DUMMYFUNCTION("GOOGLETRANSLATE(A28,""zh-tw"",""es-MX"")"),"Jack Slime")</f>
        <v>Jack Slime</v>
      </c>
      <c r="R28" s="198" t="str">
        <f>IFERROR(__xludf.DUMMYFUNCTION("GOOGLETRANSLATE(B28,""zh-tw"",""es-MX"")"),"Slime Slime
Jack Bomb
Bomber Soul")</f>
        <v>Slime Slime
Jack Bomb
Bomber Soul</v>
      </c>
      <c r="S28" s="198" t="s">
        <v>6392</v>
      </c>
      <c r="T28" s="379" t="str">
        <f>IFERROR(__xludf.DUMMYFUNCTION("GOOGLETRANSLATE(D28,""zh-tw"",""es-MX"")"),"-")</f>
        <v>-</v>
      </c>
      <c r="U28" s="197" t="str">
        <f>IFERROR(__xludf.DUMMYFUNCTION("GOOGLETRANSLATE(A28,""zh-tw"",""KO"")"),"잭 슬라임")</f>
        <v>잭 슬라임</v>
      </c>
      <c r="V28" s="155" t="str">
        <f>IFERROR(__xludf.DUMMYFUNCTION("GOOGLETRANSLATE(B28,""zh-tw"",""KO"")"),"슬라임 슬라임
잭 밤
봄버 소울")</f>
        <v>슬라임 슬라임
잭 밤
봄버 소울</v>
      </c>
      <c r="W28" s="155" t="s">
        <v>6392</v>
      </c>
      <c r="X28" s="380" t="str">
        <f>IFERROR(__xludf.DUMMYFUNCTION("GOOGLETRANSLATE(D28,""zh-tw"",""KO"")"),"-")</f>
        <v>-</v>
      </c>
      <c r="Y28" s="153" t="s">
        <v>6396</v>
      </c>
      <c r="Z28" s="155" t="s">
        <v>6397</v>
      </c>
      <c r="AA28" s="155" t="s">
        <v>6392</v>
      </c>
      <c r="AB28" s="379" t="s">
        <v>1243</v>
      </c>
      <c r="AC28" s="197" t="s">
        <v>6398</v>
      </c>
      <c r="AD28" s="198" t="s">
        <v>6399</v>
      </c>
      <c r="AE28" s="198" t="s">
        <v>6392</v>
      </c>
      <c r="AF28" s="385" t="s">
        <v>6231</v>
      </c>
      <c r="AG28" s="187" t="s">
        <v>6400</v>
      </c>
      <c r="AH28" s="381" t="s">
        <v>6401</v>
      </c>
      <c r="AI28" s="381" t="s">
        <v>6392</v>
      </c>
      <c r="AJ28" s="379" t="s">
        <v>1243</v>
      </c>
      <c r="AK28" s="197" t="s">
        <v>6402</v>
      </c>
      <c r="AL28" s="198" t="s">
        <v>6403</v>
      </c>
      <c r="AM28" s="198" t="s">
        <v>6392</v>
      </c>
      <c r="AN28" s="379" t="s">
        <v>1243</v>
      </c>
      <c r="AO28" s="382" t="s">
        <v>6394</v>
      </c>
      <c r="AP28" s="202" t="s">
        <v>6404</v>
      </c>
      <c r="AQ28" s="202" t="s">
        <v>6392</v>
      </c>
      <c r="AR28" s="383" t="s">
        <v>1243</v>
      </c>
      <c r="AS28" s="383"/>
      <c r="AT28" s="383"/>
    </row>
    <row r="29">
      <c r="A29" s="153" t="s">
        <v>6405</v>
      </c>
      <c r="B29" s="155" t="s">
        <v>6406</v>
      </c>
      <c r="C29" s="155" t="s">
        <v>6407</v>
      </c>
      <c r="D29" s="379" t="s">
        <v>1243</v>
      </c>
      <c r="E29" s="197" t="s">
        <v>6408</v>
      </c>
      <c r="F29" s="198" t="s">
        <v>6409</v>
      </c>
      <c r="G29" s="155" t="s">
        <v>6407</v>
      </c>
      <c r="H29" s="380" t="str">
        <f>IFERROR(__xludf.DUMMYFUNCTION("GOOGLETRANSLATE(D29,""zh-tw"",""ja"")"),"-")</f>
        <v>-</v>
      </c>
      <c r="I29" s="197" t="str">
        <f>IFERROR(__xludf.DUMMYFUNCTION("GOOGLETRANSLATE(A29,""zh-tw"",""en"")"),"Maid Bunny")</f>
        <v>Maid Bunny</v>
      </c>
      <c r="J29" s="198" t="s">
        <v>6410</v>
      </c>
      <c r="K29" s="198" t="s">
        <v>6407</v>
      </c>
      <c r="L29" s="379" t="str">
        <f>IFERROR(__xludf.DUMMYFUNCTION("GOOGLETRANSLATE(D29,""zh-tw"",""en"")"),"-")</f>
        <v>-</v>
      </c>
      <c r="M29" s="197" t="str">
        <f>IFERROR(__xludf.DUMMYFUNCTION("GOOGLETRANSLATE(A29,""zh-tw"",""zh"")"),"女仆兔")</f>
        <v>女仆兔</v>
      </c>
      <c r="N29" s="198" t="str">
        <f>IFERROR(__xludf.DUMMYFUNCTION("GOOGLETRANSLATE(B29,""zh-tw"",""zh"")"),"胡萝卜
500元
1000元
萌萌兔耳
女仆制服")</f>
        <v>胡萝卜
500元
1000元
萌萌兔耳
女仆制服</v>
      </c>
      <c r="O29" s="198" t="s">
        <v>6407</v>
      </c>
      <c r="P29" s="380" t="str">
        <f>IFERROR(__xludf.DUMMYFUNCTION("GOOGLETRANSLATE(D29,""zh-tw"",""zh"")"),"-")</f>
        <v>-</v>
      </c>
      <c r="Q29" s="153" t="str">
        <f>IFERROR(__xludf.DUMMYFUNCTION("GOOGLETRANSLATE(A29,""zh-tw"",""es-MX"")"),"Conejita de criada")</f>
        <v>Conejita de criada</v>
      </c>
      <c r="R29" s="198" t="str">
        <f>IFERROR(__xludf.DUMMYFUNCTION("GOOGLETRANSLATE(B29,""zh-tw"",""es-MX"")"),"Zanahoria
500 yuanes
1000 yuanes
Orejas de conejo adorables
Uniforme de sirvienta")</f>
        <v>Zanahoria
500 yuanes
1000 yuanes
Orejas de conejo adorables
Uniforme de sirvienta</v>
      </c>
      <c r="S29" s="198" t="s">
        <v>6407</v>
      </c>
      <c r="T29" s="379" t="str">
        <f>IFERROR(__xludf.DUMMYFUNCTION("GOOGLETRANSLATE(D29,""zh-tw"",""es-MX"")"),"-")</f>
        <v>-</v>
      </c>
      <c r="U29" s="197" t="str">
        <f>IFERROR(__xludf.DUMMYFUNCTION("GOOGLETRANSLATE(A29,""zh-tw"",""KO"")"),"메이드 버니")</f>
        <v>메이드 버니</v>
      </c>
      <c r="V29" s="155" t="str">
        <f>IFERROR(__xludf.DUMMYFUNCTION("GOOGLETRANSLATE(B29,""zh-tw"",""KO"")"),"당근
500위안
1000위안
귀여운 토끼 귀
메이드 유니폼")</f>
        <v>당근
500위안
1000위안
귀여운 토끼 귀
메이드 유니폼</v>
      </c>
      <c r="W29" s="155" t="s">
        <v>6407</v>
      </c>
      <c r="X29" s="380" t="str">
        <f>IFERROR(__xludf.DUMMYFUNCTION("GOOGLETRANSLATE(D29,""zh-tw"",""KO"")"),"-")</f>
        <v>-</v>
      </c>
      <c r="Y29" s="153" t="s">
        <v>6411</v>
      </c>
      <c r="Z29" s="155" t="s">
        <v>6412</v>
      </c>
      <c r="AA29" s="155" t="s">
        <v>6407</v>
      </c>
      <c r="AB29" s="379" t="s">
        <v>1243</v>
      </c>
      <c r="AC29" s="197" t="s">
        <v>6413</v>
      </c>
      <c r="AD29" s="198" t="s">
        <v>6414</v>
      </c>
      <c r="AE29" s="198" t="s">
        <v>6407</v>
      </c>
      <c r="AF29" s="385" t="s">
        <v>6231</v>
      </c>
      <c r="AG29" s="187" t="s">
        <v>6415</v>
      </c>
      <c r="AH29" s="381" t="s">
        <v>6416</v>
      </c>
      <c r="AI29" s="381" t="s">
        <v>6407</v>
      </c>
      <c r="AJ29" s="379" t="s">
        <v>1243</v>
      </c>
      <c r="AK29" s="197" t="s">
        <v>6417</v>
      </c>
      <c r="AL29" s="198" t="s">
        <v>6418</v>
      </c>
      <c r="AM29" s="198" t="s">
        <v>6407</v>
      </c>
      <c r="AN29" s="379" t="s">
        <v>1243</v>
      </c>
      <c r="AO29" s="382" t="s">
        <v>6419</v>
      </c>
      <c r="AP29" s="202" t="s">
        <v>6420</v>
      </c>
      <c r="AQ29" s="202" t="s">
        <v>6407</v>
      </c>
      <c r="AR29" s="383" t="s">
        <v>1243</v>
      </c>
      <c r="AS29" s="383"/>
      <c r="AT29" s="383"/>
    </row>
    <row r="30">
      <c r="A30" s="153" t="s">
        <v>6421</v>
      </c>
      <c r="B30" s="155" t="s">
        <v>6422</v>
      </c>
      <c r="C30" s="155" t="s">
        <v>6423</v>
      </c>
      <c r="D30" s="379" t="s">
        <v>1243</v>
      </c>
      <c r="E30" s="197" t="s">
        <v>6424</v>
      </c>
      <c r="F30" s="198" t="s">
        <v>6425</v>
      </c>
      <c r="G30" s="155" t="s">
        <v>6423</v>
      </c>
      <c r="H30" s="380" t="str">
        <f>IFERROR(__xludf.DUMMYFUNCTION("GOOGLETRANSLATE(D30,""zh-tw"",""ja"")"),"-")</f>
        <v>-</v>
      </c>
      <c r="I30" s="197" t="s">
        <v>6426</v>
      </c>
      <c r="J30" s="198" t="s">
        <v>6427</v>
      </c>
      <c r="K30" s="198" t="s">
        <v>6423</v>
      </c>
      <c r="L30" s="379" t="str">
        <f>IFERROR(__xludf.DUMMYFUNCTION("GOOGLETRANSLATE(D30,""zh-tw"",""en"")"),"-")</f>
        <v>-</v>
      </c>
      <c r="M30" s="197" t="str">
        <f>IFERROR(__xludf.DUMMYFUNCTION("GOOGLETRANSLATE(A30,""zh-tw"",""zh"")"),"小红怪")</f>
        <v>小红怪</v>
      </c>
      <c r="N30" s="198" t="str">
        <f>IFERROR(__xludf.DUMMYFUNCTION("GOOGLETRANSLATE(B30,""zh-tw"",""zh"")"),"来自地狱
受诅胎体")</f>
        <v>来自地狱
受诅胎体</v>
      </c>
      <c r="O30" s="198" t="s">
        <v>6423</v>
      </c>
      <c r="P30" s="379" t="str">
        <f>IFERROR(__xludf.DUMMYFUNCTION("GOOGLETRANSLATE(D30,""zh-tw"",""zh"")"),"-")</f>
        <v>-</v>
      </c>
      <c r="Q30" s="153" t="str">
        <f>IFERROR(__xludf.DUMMYFUNCTION("GOOGLETRANSLATE(A30,""zh-tw"",""es-MX"")"),"El pequeño monstruo rojo")</f>
        <v>El pequeño monstruo rojo</v>
      </c>
      <c r="R30" s="198" t="str">
        <f>IFERROR(__xludf.DUMMYFUNCTION("GOOGLETRANSLATE(B30,""zh-tw"",""es-MX"")"),"Desde el infierno, embrión maldito")</f>
        <v>Desde el infierno, embrión maldito</v>
      </c>
      <c r="S30" s="198" t="s">
        <v>6423</v>
      </c>
      <c r="T30" s="379" t="str">
        <f>IFERROR(__xludf.DUMMYFUNCTION("GOOGLETRANSLATE(D30,""zh-tw"",""es-MX"")"),"-")</f>
        <v>-</v>
      </c>
      <c r="U30" s="197" t="str">
        <f>IFERROR(__xludf.DUMMYFUNCTION("GOOGLETRANSLATE(A30,""zh-tw"",""KO"")"),"빨간 괴물")</f>
        <v>빨간 괴물</v>
      </c>
      <c r="V30" s="155" t="str">
        <f>IFERROR(__xludf.DUMMYFUNCTION("GOOGLETRANSLATE(B30,""zh-tw"",""KO"")"),"지옥에서 온 저주받은 배아")</f>
        <v>지옥에서 온 저주받은 배아</v>
      </c>
      <c r="W30" s="155" t="s">
        <v>6423</v>
      </c>
      <c r="X30" s="380" t="str">
        <f>IFERROR(__xludf.DUMMYFUNCTION("GOOGLETRANSLATE(D30,""zh-tw"",""KO"")"),"-")</f>
        <v>-</v>
      </c>
      <c r="Y30" s="153" t="s">
        <v>6428</v>
      </c>
      <c r="Z30" s="155" t="s">
        <v>6429</v>
      </c>
      <c r="AA30" s="155" t="s">
        <v>6423</v>
      </c>
      <c r="AB30" s="379" t="s">
        <v>1243</v>
      </c>
      <c r="AC30" s="197" t="s">
        <v>6430</v>
      </c>
      <c r="AD30" s="198" t="s">
        <v>6431</v>
      </c>
      <c r="AE30" s="198" t="s">
        <v>6423</v>
      </c>
      <c r="AF30" s="385" t="s">
        <v>6231</v>
      </c>
      <c r="AG30" s="187" t="s">
        <v>6432</v>
      </c>
      <c r="AH30" s="381" t="s">
        <v>6433</v>
      </c>
      <c r="AI30" s="381" t="s">
        <v>6423</v>
      </c>
      <c r="AJ30" s="379" t="s">
        <v>1243</v>
      </c>
      <c r="AK30" s="197" t="s">
        <v>6434</v>
      </c>
      <c r="AL30" s="167" t="s">
        <v>6435</v>
      </c>
      <c r="AM30" s="198" t="s">
        <v>6423</v>
      </c>
      <c r="AN30" s="379" t="s">
        <v>1243</v>
      </c>
      <c r="AO30" s="382" t="s">
        <v>6436</v>
      </c>
      <c r="AP30" s="202" t="s">
        <v>6437</v>
      </c>
      <c r="AQ30" s="202" t="s">
        <v>6423</v>
      </c>
      <c r="AR30" s="383" t="s">
        <v>1243</v>
      </c>
      <c r="AS30" s="383"/>
      <c r="AT30" s="383"/>
    </row>
    <row r="31">
      <c r="A31" s="153" t="s">
        <v>6438</v>
      </c>
      <c r="B31" s="155" t="s">
        <v>6439</v>
      </c>
      <c r="C31" s="155" t="s">
        <v>6440</v>
      </c>
      <c r="D31" s="379" t="s">
        <v>1243</v>
      </c>
      <c r="E31" s="197" t="s">
        <v>6441</v>
      </c>
      <c r="F31" s="198" t="s">
        <v>6442</v>
      </c>
      <c r="G31" s="155" t="s">
        <v>6440</v>
      </c>
      <c r="H31" s="380" t="str">
        <f>IFERROR(__xludf.DUMMYFUNCTION("GOOGLETRANSLATE(D31,""zh-tw"",""ja"")"),"-")</f>
        <v>-</v>
      </c>
      <c r="I31" s="197" t="s">
        <v>6443</v>
      </c>
      <c r="J31" s="198" t="s">
        <v>6444</v>
      </c>
      <c r="K31" s="198" t="s">
        <v>6440</v>
      </c>
      <c r="L31" s="379" t="str">
        <f>IFERROR(__xludf.DUMMYFUNCTION("GOOGLETRANSLATE(D31,""zh-tw"",""en"")"),"-")</f>
        <v>-</v>
      </c>
      <c r="M31" s="197" t="str">
        <f>IFERROR(__xludf.DUMMYFUNCTION("GOOGLETRANSLATE(A31,""zh-tw"",""zh"")"),"恶魔猫")</f>
        <v>恶魔猫</v>
      </c>
      <c r="N31" s="198" t="str">
        <f>IFERROR(__xludf.DUMMYFUNCTION("GOOGLETRANSLATE(B31,""zh-tw"",""zh"")"),"随机塔罗牌
随机符文
卢恩符文R
卢恩符文E
魔力汲取手套
星月夜
招财猫")</f>
        <v>随机塔罗牌
随机符文
卢恩符文R
卢恩符文E
魔力汲取手套
星月夜
招财猫</v>
      </c>
      <c r="O31" s="198" t="s">
        <v>6440</v>
      </c>
      <c r="P31" s="379" t="str">
        <f>IFERROR(__xludf.DUMMYFUNCTION("GOOGLETRANSLATE(D31,""zh-tw"",""zh"")"),"-")</f>
        <v>-</v>
      </c>
      <c r="Q31" s="153" t="str">
        <f>IFERROR(__xludf.DUMMYFUNCTION("GOOGLETRANSLATE(A31,""zh-tw"",""es-MX"")"),"Gato Diablo")</f>
        <v>Gato Diablo</v>
      </c>
      <c r="R31" s="198"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198" t="s">
        <v>6440</v>
      </c>
      <c r="T31" s="379" t="str">
        <f>IFERROR(__xludf.DUMMYFUNCTION("GOOGLETRANSLATE(D31,""zh-tw"",""es-MX"")"),"-")</f>
        <v>-</v>
      </c>
      <c r="U31" s="197" t="str">
        <f>IFERROR(__xludf.DUMMYFUNCTION("GOOGLETRANSLATE(A31,""zh-tw"",""KO"")"),"악마 고양이")</f>
        <v>악마 고양이</v>
      </c>
      <c r="V31" s="155"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55" t="s">
        <v>6440</v>
      </c>
      <c r="X31" s="380" t="str">
        <f>IFERROR(__xludf.DUMMYFUNCTION("GOOGLETRANSLATE(D31,""zh-tw"",""KO"")"),"-")</f>
        <v>-</v>
      </c>
      <c r="Y31" s="153" t="s">
        <v>6445</v>
      </c>
      <c r="Z31" s="155" t="s">
        <v>6446</v>
      </c>
      <c r="AA31" s="155" t="s">
        <v>6440</v>
      </c>
      <c r="AB31" s="379" t="s">
        <v>1243</v>
      </c>
      <c r="AC31" s="197" t="s">
        <v>6447</v>
      </c>
      <c r="AD31" s="198" t="s">
        <v>6448</v>
      </c>
      <c r="AE31" s="198" t="s">
        <v>6440</v>
      </c>
      <c r="AF31" s="385" t="s">
        <v>6231</v>
      </c>
      <c r="AG31" s="187" t="s">
        <v>6449</v>
      </c>
      <c r="AH31" s="381" t="s">
        <v>6450</v>
      </c>
      <c r="AI31" s="381" t="s">
        <v>6440</v>
      </c>
      <c r="AJ31" s="379" t="s">
        <v>1243</v>
      </c>
      <c r="AK31" s="197" t="s">
        <v>6451</v>
      </c>
      <c r="AL31" s="167" t="s">
        <v>6452</v>
      </c>
      <c r="AM31" s="198" t="s">
        <v>6440</v>
      </c>
      <c r="AN31" s="379" t="s">
        <v>1243</v>
      </c>
      <c r="AO31" s="382" t="s">
        <v>6453</v>
      </c>
      <c r="AP31" s="202" t="s">
        <v>6454</v>
      </c>
      <c r="AQ31" s="202" t="s">
        <v>6440</v>
      </c>
      <c r="AR31" s="383" t="s">
        <v>1243</v>
      </c>
      <c r="AS31" s="383"/>
      <c r="AT31" s="383"/>
    </row>
    <row r="32">
      <c r="A32" s="153" t="s">
        <v>6455</v>
      </c>
      <c r="B32" s="155" t="s">
        <v>6456</v>
      </c>
      <c r="C32" s="155" t="s">
        <v>6457</v>
      </c>
      <c r="D32" s="379" t="s">
        <v>1243</v>
      </c>
      <c r="E32" s="153" t="str">
        <f>IFERROR(__xludf.DUMMYFUNCTION("GOOGLETRANSLATE(A32,""zh-tw"",""ja"")"),"復讐心に燃える霊たち")</f>
        <v>復讐心に燃える霊たち</v>
      </c>
      <c r="F32" s="155" t="s">
        <v>6458</v>
      </c>
      <c r="G32" s="155" t="s">
        <v>6457</v>
      </c>
      <c r="H32" s="380" t="str">
        <f>IFERROR(__xludf.DUMMYFUNCTION("GOOGLETRANSLATE(D32,""zh-tw"",""ja"")"),"-")</f>
        <v>-</v>
      </c>
      <c r="I32" s="165" t="s">
        <v>6459</v>
      </c>
      <c r="J32" s="198" t="s">
        <v>6460</v>
      </c>
      <c r="K32" s="198" t="s">
        <v>6457</v>
      </c>
      <c r="L32" s="379" t="str">
        <f>IFERROR(__xludf.DUMMYFUNCTION("GOOGLETRANSLATE(D32,""zh-tw"",""en"")"),"-")</f>
        <v>-</v>
      </c>
      <c r="M32" s="197" t="str">
        <f>IFERROR(__xludf.DUMMYFUNCTION("GOOGLETRANSLATE(A32,""zh-tw"",""zh"")"),"怨灵")</f>
        <v>怨灵</v>
      </c>
      <c r="N32" s="198" t="str">
        <f>IFERROR(__xludf.DUMMYFUNCTION("GOOGLETRANSLATE(B32,""zh-tw"",""zh"")"),"随机塔罗牌
随机符文
魔力晶簇
堕落法师的手套
精神凝聚头环")</f>
        <v>随机塔罗牌
随机符文
魔力晶簇
堕落法师的手套
精神凝聚头环</v>
      </c>
      <c r="O32" s="198" t="s">
        <v>6457</v>
      </c>
      <c r="P32" s="379" t="str">
        <f>IFERROR(__xludf.DUMMYFUNCTION("GOOGLETRANSLATE(D32,""zh-tw"",""zh"")"),"-")</f>
        <v>-</v>
      </c>
      <c r="Q32" s="153" t="str">
        <f>IFERROR(__xludf.DUMMYFUNCTION("GOOGLETRANSLATE(A32,""zh-tw"",""es-MX"")"),"espíritus vengativos")</f>
        <v>espíritus vengativos</v>
      </c>
      <c r="R32" s="155"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198" t="s">
        <v>6457</v>
      </c>
      <c r="T32" s="379" t="str">
        <f>IFERROR(__xludf.DUMMYFUNCTION("GOOGLETRANSLATE(D32,""zh-tw"",""es-MX"")"),"-")</f>
        <v>-</v>
      </c>
      <c r="U32" s="197" t="str">
        <f>IFERROR(__xludf.DUMMYFUNCTION("GOOGLETRANSLATE(A32,""zh-tw"",""KO"")"),"복수심에 불타는 영혼들")</f>
        <v>복수심에 불타는 영혼들</v>
      </c>
      <c r="V32" s="155"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55" t="s">
        <v>6457</v>
      </c>
      <c r="X32" s="380" t="str">
        <f>IFERROR(__xludf.DUMMYFUNCTION("GOOGLETRANSLATE(D32,""zh-tw"",""KO"")"),"-")</f>
        <v>-</v>
      </c>
      <c r="Y32" s="153" t="s">
        <v>6461</v>
      </c>
      <c r="Z32" s="155" t="s">
        <v>6462</v>
      </c>
      <c r="AA32" s="155" t="s">
        <v>6457</v>
      </c>
      <c r="AB32" s="379" t="s">
        <v>1243</v>
      </c>
      <c r="AC32" s="197" t="s">
        <v>6463</v>
      </c>
      <c r="AD32" s="198" t="s">
        <v>6464</v>
      </c>
      <c r="AE32" s="198" t="s">
        <v>6457</v>
      </c>
      <c r="AF32" s="385" t="s">
        <v>6231</v>
      </c>
      <c r="AG32" s="187" t="s">
        <v>6465</v>
      </c>
      <c r="AH32" s="381" t="s">
        <v>6466</v>
      </c>
      <c r="AI32" s="381" t="s">
        <v>6457</v>
      </c>
      <c r="AJ32" s="379" t="s">
        <v>1243</v>
      </c>
      <c r="AK32" s="197" t="s">
        <v>6467</v>
      </c>
      <c r="AL32" s="167" t="s">
        <v>6468</v>
      </c>
      <c r="AM32" s="198" t="s">
        <v>6457</v>
      </c>
      <c r="AN32" s="379" t="s">
        <v>1243</v>
      </c>
      <c r="AO32" s="382" t="s">
        <v>6469</v>
      </c>
      <c r="AP32" s="202" t="s">
        <v>6470</v>
      </c>
      <c r="AQ32" s="202" t="s">
        <v>6457</v>
      </c>
      <c r="AR32" s="383" t="s">
        <v>1243</v>
      </c>
      <c r="AS32" s="383"/>
      <c r="AT32" s="383"/>
    </row>
    <row r="33">
      <c r="A33" s="153" t="s">
        <v>6471</v>
      </c>
      <c r="B33" s="155" t="s">
        <v>6472</v>
      </c>
      <c r="C33" s="155" t="s">
        <v>6473</v>
      </c>
      <c r="D33" s="379" t="s">
        <v>1243</v>
      </c>
      <c r="E33" s="197" t="str">
        <f>IFERROR(__xludf.DUMMYFUNCTION("GOOGLETRANSLATE(A33,""zh-tw"",""ja"")"),"ゾンビ")</f>
        <v>ゾンビ</v>
      </c>
      <c r="F33" s="198" t="s">
        <v>6474</v>
      </c>
      <c r="G33" s="155" t="s">
        <v>6473</v>
      </c>
      <c r="H33" s="380" t="str">
        <f>IFERROR(__xludf.DUMMYFUNCTION("GOOGLETRANSLATE(D33,""zh-tw"",""ja"")"),"-")</f>
        <v>-</v>
      </c>
      <c r="I33" s="197" t="s">
        <v>6475</v>
      </c>
      <c r="J33" s="198" t="s">
        <v>6476</v>
      </c>
      <c r="K33" s="198" t="s">
        <v>6473</v>
      </c>
      <c r="L33" s="379" t="str">
        <f>IFERROR(__xludf.DUMMYFUNCTION("GOOGLETRANSLATE(D33,""zh-tw"",""en"")"),"-")</f>
        <v>-</v>
      </c>
      <c r="M33" s="197" t="str">
        <f>IFERROR(__xludf.DUMMYFUNCTION("GOOGLETRANSLATE(A33,""zh-tw"",""zh"")"),"丧尸")</f>
        <v>丧尸</v>
      </c>
      <c r="N33" s="198" t="str">
        <f>IFERROR(__xludf.DUMMYFUNCTION("GOOGLETRANSLATE(B33,""zh-tw"",""zh"")"),"垃圾
毒蛇之拥
毅力头巾
臭鱼骨")</f>
        <v>垃圾
毒蛇之拥
毅力头巾
臭鱼骨</v>
      </c>
      <c r="O33" s="198" t="s">
        <v>6473</v>
      </c>
      <c r="P33" s="380" t="str">
        <f>IFERROR(__xludf.DUMMYFUNCTION("GOOGLETRANSLATE(D33,""zh-tw"",""zh"")"),"-")</f>
        <v>-</v>
      </c>
      <c r="Q33" s="197" t="str">
        <f>IFERROR(__xludf.DUMMYFUNCTION("GOOGLETRANSLATE(A33,""zh-tw"",""es-MX"")"),"Zombis")</f>
        <v>Zombis</v>
      </c>
      <c r="R33" s="198" t="str">
        <f>IFERROR(__xludf.DUMMYFUNCTION("GOOGLETRANSLATE(B33,""zh-tw"",""es-MX"")"),"Basura; Abrazo de serpiente; Diadema de perseverancia; Espinas de pescado apestosas")</f>
        <v>Basura; Abrazo de serpiente; Diadema de perseverancia; Espinas de pescado apestosas</v>
      </c>
      <c r="S33" s="198" t="s">
        <v>6473</v>
      </c>
      <c r="T33" s="379" t="str">
        <f>IFERROR(__xludf.DUMMYFUNCTION("GOOGLETRANSLATE(D33,""zh-tw"",""es-MX"")"),"-")</f>
        <v>-</v>
      </c>
      <c r="U33" s="197" t="str">
        <f>IFERROR(__xludf.DUMMYFUNCTION("GOOGLETRANSLATE(A33,""zh-tw"",""KO"")"),"좀비")</f>
        <v>좀비</v>
      </c>
      <c r="V33" s="155" t="str">
        <f>IFERROR(__xludf.DUMMYFUNCTION("GOOGLETRANSLATE(B33,""zh-tw"",""KO"")"),"쓰레기; 뱀의 포옹; 인내의 머리띠; 냄새나는 생선 뼈")</f>
        <v>쓰레기; 뱀의 포옹; 인내의 머리띠; 냄새나는 생선 뼈</v>
      </c>
      <c r="W33" s="155" t="s">
        <v>6473</v>
      </c>
      <c r="X33" s="380" t="str">
        <f>IFERROR(__xludf.DUMMYFUNCTION("GOOGLETRANSLATE(D33,""zh-tw"",""KO"")"),"-")</f>
        <v>-</v>
      </c>
      <c r="Y33" s="153" t="s">
        <v>6477</v>
      </c>
      <c r="Z33" s="155" t="s">
        <v>6478</v>
      </c>
      <c r="AA33" s="155" t="s">
        <v>6473</v>
      </c>
      <c r="AB33" s="379" t="s">
        <v>1243</v>
      </c>
      <c r="AC33" s="197" t="s">
        <v>6479</v>
      </c>
      <c r="AD33" s="198" t="s">
        <v>6480</v>
      </c>
      <c r="AE33" s="198" t="s">
        <v>6473</v>
      </c>
      <c r="AF33" s="385" t="s">
        <v>6231</v>
      </c>
      <c r="AG33" s="187" t="s">
        <v>6475</v>
      </c>
      <c r="AH33" s="381" t="s">
        <v>6481</v>
      </c>
      <c r="AI33" s="381" t="s">
        <v>6473</v>
      </c>
      <c r="AJ33" s="379" t="s">
        <v>1243</v>
      </c>
      <c r="AK33" s="197" t="s">
        <v>6482</v>
      </c>
      <c r="AL33" s="167" t="s">
        <v>6483</v>
      </c>
      <c r="AM33" s="198" t="s">
        <v>6473</v>
      </c>
      <c r="AN33" s="379" t="s">
        <v>1243</v>
      </c>
      <c r="AO33" s="382" t="s">
        <v>6475</v>
      </c>
      <c r="AP33" s="202" t="s">
        <v>6484</v>
      </c>
      <c r="AQ33" s="202" t="s">
        <v>6473</v>
      </c>
      <c r="AR33" s="383" t="s">
        <v>1243</v>
      </c>
      <c r="AS33" s="383"/>
      <c r="AT33" s="383"/>
    </row>
    <row r="34">
      <c r="A34" s="153" t="s">
        <v>6485</v>
      </c>
      <c r="B34" s="155" t="s">
        <v>6486</v>
      </c>
      <c r="C34" s="155" t="s">
        <v>6487</v>
      </c>
      <c r="D34" s="379" t="s">
        <v>6488</v>
      </c>
      <c r="E34" s="197" t="s">
        <v>6489</v>
      </c>
      <c r="F34" s="198" t="str">
        <f>IFERROR(__xludf.DUMMYFUNCTION("GOOGLETRANSLATE(B34,""zh-tw"",""ja"")"),"怒りの拳
シェリスの呪われた手
カーネリアンのペンダント*")</f>
        <v>怒りの拳
シェリスの呪われた手
カーネリアンのペンダント*</v>
      </c>
      <c r="G34" s="155" t="s">
        <v>6487</v>
      </c>
      <c r="H34" s="380" t="str">
        <f>IFERROR(__xludf.DUMMYFUNCTION("GOOGLETRANSLATE(D34,""zh-tw"",""ja"")"),"* 赤い翡翠のペンダントは特別なドロップアイテムです。ドロップさせるには、10体以上のモンスターを倒す必要があります。")</f>
        <v>* 赤い翡翠のペンダントは特別なドロップアイテムです。ドロップさせるには、10体以上のモンスターを倒す必要があります。</v>
      </c>
      <c r="I34" s="197" t="s">
        <v>6490</v>
      </c>
      <c r="J34" s="198" t="s">
        <v>6491</v>
      </c>
      <c r="K34" s="198" t="s">
        <v>6487</v>
      </c>
      <c r="L34" s="379" t="s">
        <v>6492</v>
      </c>
      <c r="M34" s="197" t="str">
        <f>IFERROR(__xludf.DUMMYFUNCTION("GOOGLETRANSLATE(A34,""zh-tw"",""zh"")"),"堕落法师的断手")</f>
        <v>堕落法师的断手</v>
      </c>
      <c r="N34" s="198" t="str">
        <f>IFERROR(__xludf.DUMMYFUNCTION("GOOGLETRANSLATE(B34,""zh-tw"",""zh"")"),"愤怒的拳头
谢里斯的诅咒之手
红髓玉吊坠 *")</f>
        <v>愤怒的拳头
谢里斯的诅咒之手
红髓玉吊坠 *</v>
      </c>
      <c r="O34" s="198" t="s">
        <v>6487</v>
      </c>
      <c r="P34" s="380" t="str">
        <f>IFERROR(__xludf.DUMMYFUNCTION("GOOGLETRANSLATE(D34,""zh-tw"",""zh"")"),"* 红髓玉吊坠 是特殊掉落，需要击杀10只以上才有可能掉落。")</f>
        <v>* 红髓玉吊坠 是特殊掉落，需要击杀10只以上才有可能掉落。</v>
      </c>
      <c r="Q34" s="197" t="str">
        <f>IFERROR(__xludf.DUMMYFUNCTION("GOOGLETRANSLATE(A34,""zh-tw"",""es-MX"")"),"La mano cercenada del mago caído")</f>
        <v>La mano cercenada del mago caído</v>
      </c>
      <c r="R34" s="198" t="str">
        <f>IFERROR(__xludf.DUMMYFUNCTION("GOOGLETRANSLATE(B34,""zh-tw"",""es-MX"")"),"Un puño furioso
La mano maldita de Sheris
Colgante de cornalina *")</f>
        <v>Un puño furioso
La mano maldita de Sheris
Colgante de cornalina *</v>
      </c>
      <c r="S34" s="198" t="s">
        <v>6487</v>
      </c>
      <c r="T34" s="379" t="str">
        <f>IFERROR(__xludf.DUMMYFUNCTION("GOOGLETRANSLATE(D34,""zh-tw"",""es-MX"")"),"* El colgante de jade rojo es un objeto especial que se obtiene al derrotar monstruos; necesitas matar a más de 10 monstruos para conseguirlo.")</f>
        <v>* El colgante de jade rojo es un objeto especial que se obtiene al derrotar monstruos; necesitas matar a más de 10 monstruos para conseguirlo.</v>
      </c>
      <c r="U34" s="197" t="str">
        <f>IFERROR(__xludf.DUMMYFUNCTION("GOOGLETRANSLATE(A34,""zh-tw"",""KO"")"),"타락한 마법사의 잘린 손")</f>
        <v>타락한 마법사의 잘린 손</v>
      </c>
      <c r="V34" s="155" t="str">
        <f>IFERROR(__xludf.DUMMYFUNCTION("GOOGLETRANSLATE(B34,""zh-tw"",""KO"")"),"분노에 찬 주먹
셰리스의 저주받은 손
카넬리언 펜던트 *")</f>
        <v>분노에 찬 주먹
셰리스의 저주받은 손
카넬리언 펜던트 *</v>
      </c>
      <c r="W34" s="155" t="s">
        <v>6487</v>
      </c>
      <c r="X34" s="380" t="str">
        <f>IFERROR(__xludf.DUMMYFUNCTION("GOOGLETRANSLATE(D34,""zh-tw"",""KO"")"),"* 붉은 옥 펜던트는 특별 드롭 아이템입니다. 10마리 이상의 몬스터를 처치해야 획득할 수 있습니다.")</f>
        <v>* 붉은 옥 펜던트는 특별 드롭 아이템입니다. 10마리 이상의 몬스터를 처치해야 획득할 수 있습니다.</v>
      </c>
      <c r="Y34" s="153" t="s">
        <v>6493</v>
      </c>
      <c r="Z34" s="155" t="s">
        <v>6494</v>
      </c>
      <c r="AA34" s="155" t="s">
        <v>6487</v>
      </c>
      <c r="AB34" s="379" t="s">
        <v>6495</v>
      </c>
      <c r="AC34" s="197" t="s">
        <v>6496</v>
      </c>
      <c r="AD34" s="198" t="s">
        <v>6497</v>
      </c>
      <c r="AE34" s="198" t="s">
        <v>6487</v>
      </c>
      <c r="AF34" s="379" t="s">
        <v>1243</v>
      </c>
      <c r="AG34" s="187" t="s">
        <v>6498</v>
      </c>
      <c r="AH34" s="381" t="s">
        <v>6499</v>
      </c>
      <c r="AI34" s="381" t="s">
        <v>6487</v>
      </c>
      <c r="AJ34" s="379" t="s">
        <v>6500</v>
      </c>
      <c r="AK34" s="197" t="s">
        <v>6501</v>
      </c>
      <c r="AL34" s="198" t="s">
        <v>6502</v>
      </c>
      <c r="AM34" s="198" t="s">
        <v>6487</v>
      </c>
      <c r="AN34" s="379" t="s">
        <v>6503</v>
      </c>
      <c r="AO34" s="382" t="s">
        <v>6504</v>
      </c>
      <c r="AP34" s="202" t="s">
        <v>6505</v>
      </c>
      <c r="AQ34" s="202" t="s">
        <v>6487</v>
      </c>
      <c r="AR34" s="383" t="s">
        <v>6506</v>
      </c>
      <c r="AS34" s="383"/>
      <c r="AT34" s="383"/>
    </row>
    <row r="35">
      <c r="A35" s="375" t="s">
        <v>6507</v>
      </c>
      <c r="E35" s="376" t="str">
        <f>IFERROR(__xludf.DUMMYFUNCTION("GOOGLETRANSLATE(A35,""zh-tw"",""ja"")"),"ボス/特殊クリーチャー")</f>
        <v>ボス/特殊クリーチャー</v>
      </c>
      <c r="I35" s="376" t="s">
        <v>6508</v>
      </c>
      <c r="M35" s="376" t="str">
        <f>IFERROR(__xludf.DUMMYFUNCTION("GOOGLETRANSLATE(A35,""zh-tw"",""zh"")"),"BOSS/特殊生物")</f>
        <v>BOSS/特殊生物</v>
      </c>
      <c r="Q35" s="376" t="str">
        <f>IFERROR(__xludf.DUMMYFUNCTION("GOOGLETRANSLATE(A35,""zh-tw"",""es-MX"")"),"JEFE/Criatura especial")</f>
        <v>JEFE/Criatura especial</v>
      </c>
      <c r="U35" s="376" t="str">
        <f>IFERROR(__xludf.DUMMYFUNCTION("GOOGLETRANSLATE(A35,""zh-tw"",""KO"")"),"보스/특수 생물")</f>
        <v>보스/특수 생물</v>
      </c>
      <c r="Y35" s="375" t="s">
        <v>6509</v>
      </c>
      <c r="AC35" s="376" t="str">
        <f>IFERROR(__xludf.DUMMYFUNCTION("GOOGLETRANSLATE(A34,""zh-tw"",""DE"")"),"Die abgetrennte Hand des gefallenen Magiers")</f>
        <v>Die abgetrennte Hand des gefallenen Magiers</v>
      </c>
      <c r="AG35" s="378" t="s">
        <v>6510</v>
      </c>
      <c r="AK35" s="376" t="s">
        <v>6508</v>
      </c>
      <c r="AO35" s="387" t="s">
        <v>6511</v>
      </c>
      <c r="AS35" s="387"/>
      <c r="AT35" s="387"/>
    </row>
    <row r="36">
      <c r="A36" s="153" t="s">
        <v>6512</v>
      </c>
      <c r="B36" s="155" t="s">
        <v>6513</v>
      </c>
      <c r="C36" s="155" t="s">
        <v>6514</v>
      </c>
      <c r="D36" s="379" t="s">
        <v>6515</v>
      </c>
      <c r="E36" s="165" t="s">
        <v>6516</v>
      </c>
      <c r="F36" s="198" t="s">
        <v>6517</v>
      </c>
      <c r="G36" s="155" t="s">
        <v>6514</v>
      </c>
      <c r="H36" s="380" t="s">
        <v>6518</v>
      </c>
      <c r="I36" s="197" t="s">
        <v>6519</v>
      </c>
      <c r="J36" s="198" t="s">
        <v>6520</v>
      </c>
      <c r="K36" s="198" t="s">
        <v>6514</v>
      </c>
      <c r="L36" s="379" t="s">
        <v>6521</v>
      </c>
      <c r="M36" s="197" t="str">
        <f>IFERROR(__xludf.DUMMYFUNCTION("GOOGLETRANSLATE(A36,""zh-tw"",""zh"")"),"狂乱的红兽")</f>
        <v>狂乱的红兽</v>
      </c>
      <c r="N36" s="198" t="str">
        <f>IFERROR(__xludf.DUMMYFUNCTION("GOOGLETRANSLATE(B36,""zh-tw"",""zh"")"),"天上之石碎片
不幸的诞生
寄坏剑
血狩")</f>
        <v>天上之石碎片
不幸的诞生
寄坏剑
血狩</v>
      </c>
      <c r="O36" s="198" t="s">
        <v>6514</v>
      </c>
      <c r="P36" s="379" t="str">
        <f>IFERROR(__xludf.DUMMYFUNCTION("GOOGLETRANSLATE(D36,""zh-tw"",""zh"")"),"遗迹BOSS 
弱点：毒")</f>
        <v>遗迹BOSS 
弱点：毒</v>
      </c>
      <c r="Q36" s="197" t="str">
        <f>IFERROR(__xludf.DUMMYFUNCTION("GOOGLETRANSLATE(A36,""zh-tw"",""es-MX"")"),"La bestia roja enloquecida")</f>
        <v>La bestia roja enloquecida</v>
      </c>
      <c r="R36" s="198" t="str">
        <f>IFERROR(__xludf.DUMMYFUNCTION("GOOGLETRANSLATE(B36,""zh-tw"",""es-MX"")"),"Fragmentos de una piedra del cielo; Un nacimiento desafortunado; La espada rota; Caza de sangre")</f>
        <v>Fragmentos de una piedra del cielo; Un nacimiento desafortunado; La espada rota; Caza de sangre</v>
      </c>
      <c r="S36" s="198" t="s">
        <v>6514</v>
      </c>
      <c r="T36" s="379" t="str">
        <f>IFERROR(__xludf.DUMMYFUNCTION("GOOGLETRANSLATE(D36,""zh-tw"",""es-MX"")"),"Jefe de las Ruinas
Debilidad: Veneno")</f>
        <v>Jefe de las Ruinas
Debilidad: Veneno</v>
      </c>
      <c r="U36" s="197" t="str">
        <f>IFERROR(__xludf.DUMMYFUNCTION("GOOGLETRANSLATE(A36,""zh-tw"",""KO"")"),"광폭한 붉은 짐승")</f>
        <v>광폭한 붉은 짐승</v>
      </c>
      <c r="V36" s="155" t="s">
        <v>6522</v>
      </c>
      <c r="W36" s="155" t="s">
        <v>6514</v>
      </c>
      <c r="X36" s="380" t="s">
        <v>6523</v>
      </c>
      <c r="Y36" s="153" t="s">
        <v>6524</v>
      </c>
      <c r="Z36" s="155" t="s">
        <v>6525</v>
      </c>
      <c r="AA36" s="155" t="s">
        <v>6514</v>
      </c>
      <c r="AB36" s="379" t="s">
        <v>6526</v>
      </c>
      <c r="AC36" s="197" t="s">
        <v>6527</v>
      </c>
      <c r="AD36" s="198" t="s">
        <v>6528</v>
      </c>
      <c r="AE36" s="198" t="s">
        <v>6514</v>
      </c>
      <c r="AF36" s="379" t="s">
        <v>6529</v>
      </c>
      <c r="AG36" s="187" t="s">
        <v>6530</v>
      </c>
      <c r="AH36" s="381" t="s">
        <v>6531</v>
      </c>
      <c r="AI36" s="381" t="s">
        <v>6514</v>
      </c>
      <c r="AJ36" s="379" t="s">
        <v>6532</v>
      </c>
      <c r="AK36" s="197" t="s">
        <v>6533</v>
      </c>
      <c r="AL36" s="167" t="s">
        <v>6534</v>
      </c>
      <c r="AM36" s="198" t="s">
        <v>6514</v>
      </c>
      <c r="AN36" s="379" t="s">
        <v>6535</v>
      </c>
      <c r="AO36" s="382" t="s">
        <v>6536</v>
      </c>
      <c r="AP36" s="202" t="s">
        <v>6537</v>
      </c>
      <c r="AQ36" s="202" t="s">
        <v>6514</v>
      </c>
      <c r="AR36" s="383" t="s">
        <v>6538</v>
      </c>
      <c r="AS36" s="383"/>
      <c r="AT36" s="383"/>
    </row>
    <row r="37">
      <c r="A37" s="153" t="s">
        <v>6539</v>
      </c>
      <c r="B37" s="155" t="s">
        <v>6540</v>
      </c>
      <c r="C37" s="155" t="s">
        <v>6541</v>
      </c>
      <c r="D37" s="380" t="s">
        <v>6542</v>
      </c>
      <c r="E37" s="153" t="s">
        <v>6543</v>
      </c>
      <c r="F37" s="198" t="str">
        <f>IFERROR(__xludf.DUMMYFUNCTION("GOOGLETRANSLATE(B37,""zh-tw"",""ja"")"),"天の石の欠片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7" s="155" t="s">
        <v>6541</v>
      </c>
      <c r="H37" s="380" t="s">
        <v>6542</v>
      </c>
      <c r="I37" s="197" t="s">
        <v>6544</v>
      </c>
      <c r="J37" s="198" t="s">
        <v>6545</v>
      </c>
      <c r="K37" s="198" t="s">
        <v>6541</v>
      </c>
      <c r="L37" s="379" t="s">
        <v>6542</v>
      </c>
      <c r="M37" s="197" t="str">
        <f>IFERROR(__xludf.DUMMYFUNCTION("GOOGLETRANSLATE(A37,""zh-tw"",""zh"")"),"箱庭的白兔")</f>
        <v>箱庭的白兔</v>
      </c>
      <c r="N37" s="198" t="str">
        <f>IFERROR(__xludf.DUMMYFUNCTION("GOOGLETRANSLATE(B37,""zh-tw"",""zh"")"),"天上之石碎片
胡萝卜
女仆制服
萌萌兔耳
胡萝卜大剑
冻萝卜大剑
霉萝卜大剑")</f>
        <v>天上之石碎片
胡萝卜
女仆制服
萌萌兔耳
胡萝卜大剑
冻萝卜大剑
霉萝卜大剑</v>
      </c>
      <c r="O37" s="198" t="s">
        <v>6541</v>
      </c>
      <c r="P37" s="380" t="str">
        <f>IFERROR(__xludf.DUMMYFUNCTION("GOOGLETRANSLATE(D37,""zh-tw"",""zh"")"),"BOSS")</f>
        <v>BOSS</v>
      </c>
      <c r="Q37" s="153" t="str">
        <f>IFERROR(__xludf.DUMMYFUNCTION("GOOGLETRANSLATE(A37,""zh-tw"",""es-MX"")"),"El conejo blanco del pequeño jardín")</f>
        <v>El conejo blanco del pequeño jardín</v>
      </c>
      <c r="R37" s="198" t="str">
        <f>IFERROR(__xludf.DUMMYFUNCTION("GOOGLETRANSLATE(B37,""zh-tw"",""es-MX"")"),"Fragmento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7" s="198" t="s">
        <v>6541</v>
      </c>
      <c r="T37" s="379" t="str">
        <f>IFERROR(__xludf.DUMMYFUNCTION("GOOGLETRANSLATE(D37,""zh-tw"",""es-MX"")"),"JEFE")</f>
        <v>JEFE</v>
      </c>
      <c r="U37" s="197" t="str">
        <f>IFERROR(__xludf.DUMMYFUNCTION("GOOGLETRANSLATE(A37,""zh-tw"",""KO"")"),"작은 정원의 흰 토끼")</f>
        <v>작은 정원의 흰 토끼</v>
      </c>
      <c r="V37" s="155"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55" t="s">
        <v>6541</v>
      </c>
      <c r="X37" s="380" t="s">
        <v>6542</v>
      </c>
      <c r="Y37" s="153" t="s">
        <v>6546</v>
      </c>
      <c r="Z37" s="155" t="s">
        <v>6547</v>
      </c>
      <c r="AA37" s="155" t="s">
        <v>6541</v>
      </c>
      <c r="AB37" s="379" t="s">
        <v>6548</v>
      </c>
      <c r="AC37" s="197" t="s">
        <v>6549</v>
      </c>
      <c r="AD37" s="198" t="s">
        <v>6550</v>
      </c>
      <c r="AE37" s="198" t="s">
        <v>6541</v>
      </c>
      <c r="AF37" s="379" t="s">
        <v>6551</v>
      </c>
      <c r="AG37" s="187" t="s">
        <v>6552</v>
      </c>
      <c r="AH37" s="381" t="s">
        <v>6553</v>
      </c>
      <c r="AI37" s="381" t="s">
        <v>6541</v>
      </c>
      <c r="AJ37" s="379" t="s">
        <v>6542</v>
      </c>
      <c r="AK37" s="197" t="s">
        <v>6554</v>
      </c>
      <c r="AL37" s="198" t="s">
        <v>6555</v>
      </c>
      <c r="AM37" s="198" t="s">
        <v>6541</v>
      </c>
      <c r="AN37" s="379" t="s">
        <v>6556</v>
      </c>
      <c r="AO37" s="382" t="s">
        <v>6557</v>
      </c>
      <c r="AP37" s="202" t="s">
        <v>6558</v>
      </c>
      <c r="AQ37" s="202" t="s">
        <v>6541</v>
      </c>
      <c r="AR37" s="383" t="s">
        <v>6559</v>
      </c>
      <c r="AS37" s="383"/>
      <c r="AT37" s="383"/>
    </row>
    <row r="38">
      <c r="A38" s="153" t="s">
        <v>3434</v>
      </c>
      <c r="B38" s="155" t="s">
        <v>6560</v>
      </c>
      <c r="C38" s="155">
        <v>100.0</v>
      </c>
      <c r="D38" s="379" t="s">
        <v>6561</v>
      </c>
      <c r="E38" s="153" t="str">
        <f>IFERROR(__xludf.DUMMYFUNCTION("GOOGLETRANSLATE(A38,""zh-tw"",""ja"")"),"かかし")</f>
        <v>かかし</v>
      </c>
      <c r="F38" s="155" t="s">
        <v>6562</v>
      </c>
      <c r="G38" s="155">
        <v>100.0</v>
      </c>
      <c r="H38" s="380" t="s">
        <v>6563</v>
      </c>
      <c r="I38" s="153" t="s">
        <v>3440</v>
      </c>
      <c r="J38" s="198" t="s">
        <v>6564</v>
      </c>
      <c r="K38" s="198">
        <v>100.0</v>
      </c>
      <c r="L38" s="379" t="s">
        <v>6565</v>
      </c>
      <c r="M38" s="197" t="str">
        <f>IFERROR(__xludf.DUMMYFUNCTION("GOOGLETRANSLATE(A38,""zh-tw"",""zh"")"),"稻草人")</f>
        <v>稻草人</v>
      </c>
      <c r="N38" s="198" t="str">
        <f>IFERROR(__xludf.DUMMYFUNCTION("GOOGLETRANSLATE(B38,""zh-tw"",""zh"")"),"稻草人的心")</f>
        <v>稻草人的心</v>
      </c>
      <c r="O38" s="198">
        <v>100.0</v>
      </c>
      <c r="P38" s="379" t="str">
        <f>IFERROR(__xludf.DUMMYFUNCTION("GOOGLETRANSLATE(D38,""zh-tw"",""zh"")"),"伤害测试")</f>
        <v>伤害测试</v>
      </c>
      <c r="Q38" s="153" t="str">
        <f>IFERROR(__xludf.DUMMYFUNCTION("GOOGLETRANSLATE(A38,""zh-tw"",""es-MX"")"),"espantapájaros")</f>
        <v>espantapájaros</v>
      </c>
      <c r="R38" s="155" t="str">
        <f>IFERROR(__xludf.DUMMYFUNCTION("GOOGLETRANSLATE(B38,""zh-tw"",""es-MX"")"),"El corazón del espantapájaros")</f>
        <v>El corazón del espantapájaros</v>
      </c>
      <c r="S38" s="198">
        <v>100.0</v>
      </c>
      <c r="T38" s="379" t="str">
        <f>IFERROR(__xludf.DUMMYFUNCTION("GOOGLETRANSLATE(D38,""zh-tw"",""es-MX"")"),"Prueba de daños")</f>
        <v>Prueba de daños</v>
      </c>
      <c r="U38" s="197" t="str">
        <f>IFERROR(__xludf.DUMMYFUNCTION("GOOGLETRANSLATE(A38,""zh-tw"",""KO"")"),"허수아비")</f>
        <v>허수아비</v>
      </c>
      <c r="V38" s="155" t="s">
        <v>6566</v>
      </c>
      <c r="W38" s="155">
        <v>100.0</v>
      </c>
      <c r="X38" s="380" t="s">
        <v>6567</v>
      </c>
      <c r="Y38" s="153" t="s">
        <v>3446</v>
      </c>
      <c r="Z38" s="155" t="s">
        <v>6568</v>
      </c>
      <c r="AA38" s="155">
        <v>100.0</v>
      </c>
      <c r="AB38" s="379" t="s">
        <v>6569</v>
      </c>
      <c r="AC38" s="197" t="s">
        <v>3449</v>
      </c>
      <c r="AD38" s="198" t="s">
        <v>6570</v>
      </c>
      <c r="AE38" s="198">
        <v>100.0</v>
      </c>
      <c r="AF38" s="379" t="s">
        <v>6571</v>
      </c>
      <c r="AG38" s="187" t="s">
        <v>3452</v>
      </c>
      <c r="AH38" s="381" t="s">
        <v>6572</v>
      </c>
      <c r="AI38" s="381">
        <v>100.0</v>
      </c>
      <c r="AJ38" s="379" t="s">
        <v>6573</v>
      </c>
      <c r="AK38" s="197" t="s">
        <v>3455</v>
      </c>
      <c r="AL38" s="198" t="s">
        <v>6574</v>
      </c>
      <c r="AM38" s="198">
        <v>100.0</v>
      </c>
      <c r="AN38" s="379" t="s">
        <v>6575</v>
      </c>
      <c r="AO38" s="382" t="s">
        <v>3458</v>
      </c>
      <c r="AP38" s="202" t="s">
        <v>6576</v>
      </c>
      <c r="AQ38" s="202" t="s">
        <v>6259</v>
      </c>
      <c r="AR38" s="383" t="s">
        <v>6577</v>
      </c>
      <c r="AS38" s="383"/>
      <c r="AT38" s="383"/>
    </row>
    <row r="39">
      <c r="A39" s="153" t="s">
        <v>6578</v>
      </c>
      <c r="B39" s="155" t="s">
        <v>6579</v>
      </c>
      <c r="C39" s="155">
        <v>100.0</v>
      </c>
      <c r="D39" s="379" t="s">
        <v>6580</v>
      </c>
      <c r="E39" s="153" t="s">
        <v>6578</v>
      </c>
      <c r="F39" s="155" t="s">
        <v>6581</v>
      </c>
      <c r="G39" s="155">
        <v>100.0</v>
      </c>
      <c r="H39" s="380" t="s">
        <v>6582</v>
      </c>
      <c r="I39" s="153" t="s">
        <v>6578</v>
      </c>
      <c r="J39" s="198" t="s">
        <v>6583</v>
      </c>
      <c r="K39" s="198">
        <v>100.0</v>
      </c>
      <c r="L39" s="379" t="s">
        <v>6584</v>
      </c>
      <c r="M39" s="197" t="str">
        <f>IFERROR(__xludf.DUMMYFUNCTION("GOOGLETRANSLATE(A39,""zh-tw"",""zh"")"),"ASABA")</f>
        <v>ASABA</v>
      </c>
      <c r="N39" s="198" t="str">
        <f>IFERROR(__xludf.DUMMYFUNCTION("GOOGLETRANSLATE(B39,""zh-tw"",""zh"")"),"ASAB的草莓")</f>
        <v>ASAB的草莓</v>
      </c>
      <c r="O39" s="198">
        <v>100.0</v>
      </c>
      <c r="P39" s="379" t="str">
        <f>IFERROR(__xludf.DUMMYFUNCTION("GOOGLETRANSLATE(D39,""zh-tw"",""zh"")"),"浅羽Doro，会吃掉路边的草莓")</f>
        <v>浅羽Doro，会吃掉路边的草莓</v>
      </c>
      <c r="Q39" s="153" t="str">
        <f>IFERROR(__xludf.DUMMYFUNCTION("GOOGLETRANSLATE(A39,""zh-tw"",""es-MX"")"),"ASABA")</f>
        <v>ASABA</v>
      </c>
      <c r="R39" s="155" t="str">
        <f>IFERROR(__xludf.DUMMYFUNCTION("GOOGLETRANSLATE(B39,""zh-tw"",""es-MX"")"),"Fresas de ASAB")</f>
        <v>Fresas de ASAB</v>
      </c>
      <c r="S39" s="198">
        <v>100.0</v>
      </c>
      <c r="T39" s="379" t="str">
        <f>IFERROR(__xludf.DUMMYFUNCTION("GOOGLETRANSLATE(D39,""zh-tw"",""es-MX"")"),"Doro Asaba comerá las fresas que están al borde de la carretera.")</f>
        <v>Doro Asaba comerá las fresas que están al borde de la carretera.</v>
      </c>
      <c r="U39" s="197" t="str">
        <f>IFERROR(__xludf.DUMMYFUNCTION("GOOGLETRANSLATE(A39,""zh-tw"",""KO"")"),"아사바")</f>
        <v>아사바</v>
      </c>
      <c r="V39" s="155" t="str">
        <f>IFERROR(__xludf.DUMMYFUNCTION("GOOGLETRANSLATE(B39,""zh-tw"",""KO"")"),"ASAB의 딸기")</f>
        <v>ASAB의 딸기</v>
      </c>
      <c r="W39" s="155">
        <v>100.0</v>
      </c>
      <c r="X39" s="380" t="str">
        <f>IFERROR(__xludf.DUMMYFUNCTION("GOOGLETRANSLATE(D39,""zh-tw"",""KO"")"),"도로 아사바는 길가에 있는 딸기를 먹을 것이다.")</f>
        <v>도로 아사바는 길가에 있는 딸기를 먹을 것이다.</v>
      </c>
      <c r="Y39" s="153" t="s">
        <v>6585</v>
      </c>
      <c r="Z39" s="155" t="s">
        <v>6586</v>
      </c>
      <c r="AA39" s="155">
        <v>100.0</v>
      </c>
      <c r="AB39" s="379" t="s">
        <v>6587</v>
      </c>
      <c r="AC39" s="197" t="s">
        <v>6578</v>
      </c>
      <c r="AD39" s="198" t="s">
        <v>6588</v>
      </c>
      <c r="AE39" s="198">
        <v>100.0</v>
      </c>
      <c r="AF39" s="379" t="s">
        <v>6589</v>
      </c>
      <c r="AG39" s="187" t="s">
        <v>6590</v>
      </c>
      <c r="AH39" s="381" t="s">
        <v>6591</v>
      </c>
      <c r="AI39" s="381">
        <v>100.0</v>
      </c>
      <c r="AJ39" s="379" t="s">
        <v>6592</v>
      </c>
      <c r="AK39" s="197" t="s">
        <v>6578</v>
      </c>
      <c r="AL39" s="198" t="s">
        <v>6593</v>
      </c>
      <c r="AM39" s="198">
        <v>100.0</v>
      </c>
      <c r="AN39" s="379" t="s">
        <v>6594</v>
      </c>
      <c r="AO39" s="382" t="s">
        <v>6578</v>
      </c>
      <c r="AP39" s="202" t="s">
        <v>6595</v>
      </c>
      <c r="AQ39" s="202" t="s">
        <v>6259</v>
      </c>
      <c r="AR39" s="383" t="s">
        <v>6596</v>
      </c>
      <c r="AS39" s="383"/>
      <c r="AT39" s="383"/>
    </row>
    <row r="40">
      <c r="A40" s="153" t="s">
        <v>6597</v>
      </c>
      <c r="B40" s="155" t="s">
        <v>6598</v>
      </c>
      <c r="C40" s="155" t="s">
        <v>6599</v>
      </c>
      <c r="D40" s="380" t="s">
        <v>6600</v>
      </c>
      <c r="E40" s="153" t="s">
        <v>6601</v>
      </c>
      <c r="F40" s="198" t="s">
        <v>6602</v>
      </c>
      <c r="G40" s="155" t="s">
        <v>6599</v>
      </c>
      <c r="H40" s="380" t="str">
        <f>IFERROR(__xludf.DUMMYFUNCTION("GOOGLETRANSLATE(D40,""zh-tw"",""ja"")"),"ボス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0" s="197" t="s">
        <v>6603</v>
      </c>
      <c r="J40" s="198" t="s">
        <v>6604</v>
      </c>
      <c r="K40" s="198" t="s">
        <v>6599</v>
      </c>
      <c r="L40" s="379" t="s">
        <v>6605</v>
      </c>
      <c r="M40" s="197" t="str">
        <f>IFERROR(__xludf.DUMMYFUNCTION("GOOGLETRANSLATE(A40,""zh-tw"",""zh"")"),"狂暴的ASABA")</f>
        <v>狂暴的ASABA</v>
      </c>
      <c r="N40" s="198" t="str">
        <f>IFERROR(__xludf.DUMMYFUNCTION("GOOGLETRANSLATE(B40,""zh-tw"",""zh"")"),"ASAB的草莓
把草莓夺回来！ ! *")</f>
        <v>ASAB的草莓
把草莓夺回来！ ! *</v>
      </c>
      <c r="O40" s="198" t="s">
        <v>6599</v>
      </c>
      <c r="P40" s="379"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53" t="str">
        <f>IFERROR(__xludf.DUMMYFUNCTION("GOOGLETRANSLATE(A40,""zh-tw"",""es-MX"")"),"Berserk ASABA")</f>
        <v>Berserk ASABA</v>
      </c>
      <c r="R40" s="198" t="str">
        <f>IFERROR(__xludf.DUMMYFUNCTION("GOOGLETRANSLATE(B40,""zh-tw"",""es-MX"")"),"¡Recuperemos las fresas de ASAB!")</f>
        <v>¡Recuperemos las fresas de ASAB!</v>
      </c>
      <c r="S40" s="198" t="s">
        <v>6599</v>
      </c>
      <c r="T40" s="379" t="str">
        <f>IFERROR(__xludf.DUMMYFUNCTION("GOOGLETRANSLATE(D40,""zh-tw"",""es-MX"")"),"JEFE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0" s="197" t="str">
        <f>IFERROR(__xludf.DUMMYFUNCTION("GOOGLETRANSLATE(A40,""zh-tw"",""KO"")"),"베르세르크 아사바")</f>
        <v>베르세르크 아사바</v>
      </c>
      <c r="V40" s="155" t="str">
        <f>IFERROR(__xludf.DUMMYFUNCTION("GOOGLETRANSLATE(B40,""zh-tw"",""KO"")"),"ASAB의 딸기, 딸기를 되찾자!")</f>
        <v>ASAB의 딸기, 딸기를 되찾자!</v>
      </c>
      <c r="W40" s="155" t="s">
        <v>6599</v>
      </c>
      <c r="X40" s="380" t="s">
        <v>6542</v>
      </c>
      <c r="Y40" s="153" t="s">
        <v>6606</v>
      </c>
      <c r="Z40" s="155" t="s">
        <v>6607</v>
      </c>
      <c r="AA40" s="155" t="s">
        <v>6599</v>
      </c>
      <c r="AB40" s="379" t="s">
        <v>6548</v>
      </c>
      <c r="AC40" s="197" t="str">
        <f>IFERROR(__xludf.DUMMYFUNCTION("GOOGLETRANSLATE(A40,""zh-tw"",""DE"")"),"Berserk ASABA")</f>
        <v>Berserk ASABA</v>
      </c>
      <c r="AD40" s="198" t="str">
        <f>IFERROR(__xludf.DUMMYFUNCTION("GOOGLETRANSLATE(B40,""zh-tw"",""DE"")"),"ASABs Erdbeeren, lasst uns die Erdbeeren zurückholen!")</f>
        <v>ASABs Erdbeeren, lasst uns die Erdbeeren zurückholen!</v>
      </c>
      <c r="AE40" s="198" t="s">
        <v>6599</v>
      </c>
      <c r="AF40" s="379" t="s">
        <v>6542</v>
      </c>
      <c r="AG40" s="187" t="s">
        <v>6590</v>
      </c>
      <c r="AH40" s="381" t="s">
        <v>6608</v>
      </c>
      <c r="AI40" s="381" t="s">
        <v>6599</v>
      </c>
      <c r="AJ40" s="379" t="s">
        <v>6542</v>
      </c>
      <c r="AK40" s="197" t="s">
        <v>6609</v>
      </c>
      <c r="AL40" s="198" t="s">
        <v>6610</v>
      </c>
      <c r="AM40" s="198" t="s">
        <v>6599</v>
      </c>
      <c r="AN40" s="379" t="s">
        <v>6611</v>
      </c>
      <c r="AO40" s="382" t="s">
        <v>6612</v>
      </c>
      <c r="AP40" s="202" t="s">
        <v>6613</v>
      </c>
      <c r="AQ40" s="202" t="s">
        <v>6614</v>
      </c>
      <c r="AR40" s="383" t="s">
        <v>6615</v>
      </c>
      <c r="AS40" s="383"/>
      <c r="AT40" s="383"/>
    </row>
    <row r="41">
      <c r="A41" s="153" t="s">
        <v>6616</v>
      </c>
      <c r="B41" s="155" t="s">
        <v>6617</v>
      </c>
      <c r="C41" s="155">
        <v>100.0</v>
      </c>
      <c r="D41" s="380" t="s">
        <v>6618</v>
      </c>
      <c r="E41" s="153" t="str">
        <f>IFERROR(__xludf.DUMMYFUNCTION("GOOGLETRANSLATE(A41,""zh-tw"",""ja"")"),"アサバ")</f>
        <v>アサバ</v>
      </c>
      <c r="F41" s="198" t="s">
        <v>6619</v>
      </c>
      <c r="G41" s="155">
        <v>100.0</v>
      </c>
      <c r="H41" s="380" t="str">
        <f>IFERROR(__xludf.DUMMYFUNCTION("GOOGLETRANSLATE(D41,""zh-tw"",""ja"")"),"タロットカード召喚 - 戦車
猫耳少女のショッピングカート
弱点：雷")</f>
        <v>タロットカード召喚 - 戦車
猫耳少女のショッピングカート
弱点：雷</v>
      </c>
      <c r="I41" s="197" t="s">
        <v>6620</v>
      </c>
      <c r="J41" s="198" t="s">
        <v>6621</v>
      </c>
      <c r="K41" s="198">
        <v>100.0</v>
      </c>
      <c r="L41" s="379" t="s">
        <v>6622</v>
      </c>
      <c r="M41" s="197" t="str">
        <f>IFERROR(__xludf.DUMMYFUNCTION("GOOGLETRANSLATE(A41,""zh-tw"",""zh"")"),"浅羽")</f>
        <v>浅羽</v>
      </c>
      <c r="N41" s="198" t="str">
        <f>IFERROR(__xludf.DUMMYFUNCTION("GOOGLETRANSLATE(B41,""zh-tw"",""zh"")"),"猫爪手套")</f>
        <v>猫爪手套</v>
      </c>
      <c r="O41" s="198">
        <v>100.0</v>
      </c>
      <c r="P41" s="379" t="str">
        <f>IFERROR(__xludf.DUMMYFUNCTION("GOOGLETRANSLATE(D41,""zh-tw"",""zh"")"),"由 塔罗牌-战车 召唤
猫娘商店车
弱点：雷")</f>
        <v>由 塔罗牌-战车 召唤
猫娘商店车
弱点：雷</v>
      </c>
      <c r="Q41" s="153" t="str">
        <f>IFERROR(__xludf.DUMMYFUNCTION("GOOGLETRANSLATE(A41,""zh-tw"",""es-MX"")"),"Asaba")</f>
        <v>Asaba</v>
      </c>
      <c r="R41" s="198" t="str">
        <f>IFERROR(__xludf.DUMMYFUNCTION("GOOGLETRANSLATE(B41,""zh-tw"",""es-MX"")"),"Guantes con forma de pata de gato")</f>
        <v>Guantes con forma de pata de gato</v>
      </c>
      <c r="S41" s="198">
        <v>100.0</v>
      </c>
      <c r="T41" s="379" t="str">
        <f>IFERROR(__xludf.DUMMYFUNCTION("GOOGLETRANSLATE(D41,""zh-tw"",""es-MX"")"),"Invocada por las cartas del Tarot - Carro
Carrito de la Chica Gato
Debilidad: Rayo")</f>
        <v>Invocada por las cartas del Tarot - Carro
Carrito de la Chica Gato
Debilidad: Rayo</v>
      </c>
      <c r="U41" s="197" t="str">
        <f>IFERROR(__xludf.DUMMYFUNCTION("GOOGLETRANSLATE(A41,""zh-tw"",""KO"")"),"아사바")</f>
        <v>아사바</v>
      </c>
      <c r="V41" s="155" t="s">
        <v>6623</v>
      </c>
      <c r="W41" s="155">
        <v>100.0</v>
      </c>
      <c r="X41" s="380" t="s">
        <v>6624</v>
      </c>
      <c r="Y41" s="153" t="s">
        <v>6625</v>
      </c>
      <c r="Z41" s="155" t="s">
        <v>6626</v>
      </c>
      <c r="AA41" s="155">
        <v>100.0</v>
      </c>
      <c r="AB41" s="379" t="s">
        <v>6627</v>
      </c>
      <c r="AC41" s="197" t="s">
        <v>6620</v>
      </c>
      <c r="AD41" s="198" t="s">
        <v>6628</v>
      </c>
      <c r="AE41" s="198">
        <v>100.0</v>
      </c>
      <c r="AF41" s="379" t="s">
        <v>6629</v>
      </c>
      <c r="AG41" s="187" t="s">
        <v>6620</v>
      </c>
      <c r="AH41" s="381" t="s">
        <v>6630</v>
      </c>
      <c r="AI41" s="381">
        <v>100.0</v>
      </c>
      <c r="AJ41" s="379" t="s">
        <v>6631</v>
      </c>
      <c r="AK41" s="197" t="s">
        <v>6620</v>
      </c>
      <c r="AL41" s="198" t="s">
        <v>6632</v>
      </c>
      <c r="AM41" s="198">
        <v>100.0</v>
      </c>
      <c r="AN41" s="385" t="s">
        <v>6633</v>
      </c>
      <c r="AO41" s="382" t="s">
        <v>6620</v>
      </c>
      <c r="AP41" s="202" t="s">
        <v>6621</v>
      </c>
      <c r="AQ41" s="202" t="s">
        <v>6259</v>
      </c>
      <c r="AR41" s="383" t="s">
        <v>6634</v>
      </c>
      <c r="AS41" s="383"/>
      <c r="AT41" s="383"/>
    </row>
    <row r="42">
      <c r="A42" s="153" t="s">
        <v>6635</v>
      </c>
      <c r="B42" s="155" t="s">
        <v>6636</v>
      </c>
      <c r="C42" s="155" t="s">
        <v>6637</v>
      </c>
      <c r="D42" s="380" t="s">
        <v>6638</v>
      </c>
      <c r="E42" s="153" t="s">
        <v>6639</v>
      </c>
      <c r="F42" s="198" t="s">
        <v>6640</v>
      </c>
      <c r="G42" s="155" t="s">
        <v>6637</v>
      </c>
      <c r="H42" s="380" t="str">
        <f>IFERROR(__xludf.DUMMYFUNCTION("GOOGLETRANSLATE(D42,""zh-tw"",""ja"")"),"ボス弱点：雷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2" s="197" t="s">
        <v>6641</v>
      </c>
      <c r="J42" s="198" t="s">
        <v>6642</v>
      </c>
      <c r="K42" s="198" t="s">
        <v>6637</v>
      </c>
      <c r="L42" s="379" t="s">
        <v>6643</v>
      </c>
      <c r="M42" s="197" t="str">
        <f>IFERROR(__xludf.DUMMYFUNCTION("GOOGLETRANSLATE(A42,""zh-tw"",""zh"")"),"应该已经灭绝的河之主!?")</f>
        <v>应该已经灭绝的河之主!?</v>
      </c>
      <c r="N42" s="198" t="str">
        <f>IFERROR(__xludf.DUMMYFUNCTION("GOOGLETRANSLATE(B42,""zh-tw"",""zh"")"),"◉▽◉(粉色)
王权之令")</f>
        <v>◉▽◉(粉色)
王权之令</v>
      </c>
      <c r="O42" s="198" t="s">
        <v>6637</v>
      </c>
      <c r="P42" s="379" t="str">
        <f>IFERROR(__xludf.DUMMYFUNCTION("GOOGLETRANSLATE(D42,""zh-tw"",""zh"")"),"BOSS
弱点：雷
若被击败时周围有水，它会逃跑
掉落物受控制与地形状态影响")</f>
        <v>BOSS
弱点：雷
若被击败时周围有水，它会逃跑
掉落物受控制与地形状态影响</v>
      </c>
      <c r="Q42" s="197" t="str">
        <f>IFERROR(__xludf.DUMMYFUNCTION("GOOGLETRANSLATE(A42,""zh-tw"",""es-MX"")"),"¡¿El Señor del Río, que ya debería estar extinto?!")</f>
        <v>¡¿El Señor del Río, que ya debería estar extinto?!</v>
      </c>
      <c r="R42" s="198" t="str">
        <f>IFERROR(__xludf.DUMMYFUNCTION("GOOGLETRANSLATE(B42,""zh-tw"",""es-MX"")"),"◉▽◉(Rosa) El Decreto del Rey")</f>
        <v>◉▽◉(Rosa) El Decreto del Rey</v>
      </c>
      <c r="S42" s="198" t="s">
        <v>6637</v>
      </c>
      <c r="T42" s="379"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197" t="str">
        <f>IFERROR(__xludf.DUMMYFUNCTION("GOOGLETRANSLATE(A42,""zh-tw"",""KO"")"),"이미 멸종했어야 할 강변의 군주라니!?")</f>
        <v>이미 멸종했어야 할 강변의 군주라니!?</v>
      </c>
      <c r="V42" s="155" t="str">
        <f>IFERROR(__xludf.DUMMYFUNCTION("GOOGLETRANSLATE(B42,""zh-tw"",""KO"")"),"◉▽◉(핑크) 왕의 칙령")</f>
        <v>◉▽◉(핑크) 왕의 칙령</v>
      </c>
      <c r="W42" s="155" t="s">
        <v>6637</v>
      </c>
      <c r="X42" s="380"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53" t="s">
        <v>6644</v>
      </c>
      <c r="Z42" s="155" t="s">
        <v>6645</v>
      </c>
      <c r="AA42" s="155" t="s">
        <v>6637</v>
      </c>
      <c r="AB42" s="379" t="s">
        <v>6646</v>
      </c>
      <c r="AC42" s="197" t="s">
        <v>6647</v>
      </c>
      <c r="AD42" s="198" t="s">
        <v>6648</v>
      </c>
      <c r="AE42" s="198" t="s">
        <v>6637</v>
      </c>
      <c r="AF42" s="379" t="s">
        <v>6649</v>
      </c>
      <c r="AG42" s="187" t="s">
        <v>6650</v>
      </c>
      <c r="AH42" s="381" t="s">
        <v>6651</v>
      </c>
      <c r="AI42" s="381" t="s">
        <v>6637</v>
      </c>
      <c r="AJ42" s="379" t="s">
        <v>6652</v>
      </c>
      <c r="AK42" s="165" t="s">
        <v>6653</v>
      </c>
      <c r="AL42" s="198" t="s">
        <v>6654</v>
      </c>
      <c r="AM42" s="198" t="s">
        <v>6637</v>
      </c>
      <c r="AN42" s="379" t="s">
        <v>6655</v>
      </c>
      <c r="AO42" s="382" t="s">
        <v>6656</v>
      </c>
      <c r="AP42" s="202" t="s">
        <v>6657</v>
      </c>
      <c r="AQ42" s="202" t="s">
        <v>6658</v>
      </c>
      <c r="AR42" s="383" t="s">
        <v>6659</v>
      </c>
      <c r="AS42" s="383"/>
      <c r="AT42" s="383"/>
    </row>
    <row r="43" ht="80.25" customHeight="1">
      <c r="A43" s="391" t="s">
        <v>5757</v>
      </c>
      <c r="B43" s="391" t="s">
        <v>6660</v>
      </c>
      <c r="C43" s="391" t="s">
        <v>6661</v>
      </c>
      <c r="D43" s="391" t="s">
        <v>6662</v>
      </c>
      <c r="E43" s="165" t="s">
        <v>6663</v>
      </c>
      <c r="F43" s="167" t="s">
        <v>6664</v>
      </c>
      <c r="G43" s="167" t="s">
        <v>6665</v>
      </c>
      <c r="H43" s="385" t="s">
        <v>6666</v>
      </c>
      <c r="I43" s="165" t="s">
        <v>6667</v>
      </c>
      <c r="J43" s="167" t="s">
        <v>6668</v>
      </c>
      <c r="K43" s="167" t="s">
        <v>6669</v>
      </c>
      <c r="L43" s="385" t="s">
        <v>6670</v>
      </c>
      <c r="M43" s="165" t="s">
        <v>5757</v>
      </c>
      <c r="N43" s="167" t="s">
        <v>6671</v>
      </c>
      <c r="O43" s="167" t="s">
        <v>6661</v>
      </c>
      <c r="P43" s="385" t="s">
        <v>6672</v>
      </c>
      <c r="Q43" s="197"/>
      <c r="R43" s="198"/>
      <c r="S43" s="198"/>
      <c r="T43" s="379"/>
      <c r="U43" s="197"/>
      <c r="V43" s="155"/>
      <c r="W43" s="155"/>
      <c r="X43" s="380"/>
      <c r="Y43" s="165" t="s">
        <v>6673</v>
      </c>
      <c r="Z43" s="167" t="s">
        <v>6674</v>
      </c>
      <c r="AA43" s="167" t="s">
        <v>6669</v>
      </c>
      <c r="AB43" s="385" t="s">
        <v>6675</v>
      </c>
      <c r="AC43" s="197"/>
      <c r="AD43" s="198"/>
      <c r="AE43" s="198"/>
      <c r="AF43" s="379"/>
      <c r="AG43" s="133" t="s">
        <v>6676</v>
      </c>
      <c r="AH43" s="49" t="s">
        <v>6677</v>
      </c>
      <c r="AI43" s="49" t="s">
        <v>6661</v>
      </c>
      <c r="AJ43" s="385" t="s">
        <v>6678</v>
      </c>
      <c r="AK43" s="165" t="s">
        <v>5776</v>
      </c>
      <c r="AL43" s="167" t="s">
        <v>6679</v>
      </c>
      <c r="AM43" s="167" t="s">
        <v>6661</v>
      </c>
      <c r="AN43" s="385" t="s">
        <v>6680</v>
      </c>
      <c r="AO43" s="382"/>
      <c r="AP43" s="202"/>
      <c r="AQ43" s="202"/>
      <c r="AR43" s="383"/>
      <c r="AS43" s="383"/>
      <c r="AT43" s="383"/>
    </row>
    <row r="44">
      <c r="A44" s="153" t="s">
        <v>6681</v>
      </c>
      <c r="B44" s="391" t="s">
        <v>6682</v>
      </c>
      <c r="C44" s="391" t="s">
        <v>6683</v>
      </c>
      <c r="D44" s="385" t="s">
        <v>6684</v>
      </c>
      <c r="E44" s="153" t="s">
        <v>6685</v>
      </c>
      <c r="F44" s="167" t="s">
        <v>6686</v>
      </c>
      <c r="G44" s="155" t="s">
        <v>5998</v>
      </c>
      <c r="H44" s="380" t="s">
        <v>6687</v>
      </c>
      <c r="I44" s="197" t="s">
        <v>6688</v>
      </c>
      <c r="J44" s="167" t="s">
        <v>6689</v>
      </c>
      <c r="K44" s="167" t="s">
        <v>6690</v>
      </c>
      <c r="L44" s="379" t="s">
        <v>6691</v>
      </c>
      <c r="M44" s="197" t="str">
        <f>IFERROR(__xludf.DUMMYFUNCTION("GOOGLETRANSLATE(A44,""zh-tw"",""zh"")"),"淫奔的恶魔
(真名：阿萨谢尔)")</f>
        <v>淫奔的恶魔
(真名：阿萨谢尔)</v>
      </c>
      <c r="N44" s="198" t="str">
        <f>IFERROR(__xludf.DUMMYFUNCTION("GOOGLETRANSLATE(B44,""zh-tw"",""zh"")"),"仪式的御柱
恶魔眼球
粉色品质物品
金色品质物品
")</f>
        <v>仪式的御柱
恶魔眼球
粉色品质物品
金色品质物品
</v>
      </c>
      <c r="O44" s="198" t="str">
        <f>IFERROR(__xludf.DUMMYFUNCTION("GOOGLETRANSLATE(C44,""zh-tw"",""zh"")"),"24
48
16
1.6")</f>
        <v>24
48
16
1.6</v>
      </c>
      <c r="P44" s="379" t="str">
        <f>IFERROR(__xludf.DUMMYFUNCTION("GOOGLETRANSLATE(D44,""zh-tw"",""zh"")"),"于""封印之柱""中进行召唤")</f>
        <v>于"封印之柱"中进行召唤</v>
      </c>
      <c r="Q44" s="197" t="str">
        <f>IFERROR(__xludf.DUMMYFUNCTION("GOOGLETRANSLATE(A44,""zh-tw"",""es-MX"")"),"El demonio lujurioso (nombre real: Azazel)")</f>
        <v>El demonio lujurioso (nombre real: Azazel)</v>
      </c>
      <c r="R44" s="198" t="str">
        <f>IFERROR(__xludf.DUMMYFUNCTION("GOOGLETRANSLATE(B44,""zh-tw"",""es-MX"")"),"Pilar ritual
Ojo de demonio
Objeto de calidad rosa
Objeto de calidad dorada
")</f>
        <v>Pilar ritual
Ojo de demonio
Objeto de calidad rosa
Objeto de calidad dorada
</v>
      </c>
      <c r="S44" s="198" t="str">
        <f>IFERROR(__xludf.DUMMYFUNCTION("GOOGLETRANSLATE(C44,""zh-tw"",""es-MX"")"),"24
48
16
1,6")</f>
        <v>24
48
16
1,6</v>
      </c>
      <c r="T44" s="379" t="str">
        <f>IFERROR(__xludf.DUMMYFUNCTION("GOOGLETRANSLATE(D44,""zh-tw"",""es-MX"")"),"Invocación desde el ""Pilar de Sellado""")</f>
        <v>Invocación desde el "Pilar de Sellado"</v>
      </c>
      <c r="U44" s="197" t="str">
        <f>IFERROR(__xludf.DUMMYFUNCTION("GOOGLETRANSLATE(A44,""zh-tw"",""KO"")"),"음탕한 악마 (본명: 아자젤)")</f>
        <v>음탕한 악마 (본명: 아자젤)</v>
      </c>
      <c r="V44" s="155" t="str">
        <f>IFERROR(__xludf.DUMMYFUNCTION("GOOGLETRANSLATE(B44,""zh-tw"",""KO"")"),"의식의 기둥
악마의 눈알
분홍색 고급 아이템
금색 고급 아이템
")</f>
        <v>의식의 기둥
악마의 눈알
분홍색 고급 아이템
금색 고급 아이템
</v>
      </c>
      <c r="W44" s="155" t="str">
        <f>IFERROR(__xludf.DUMMYFUNCTION("GOOGLETRANSLATE(C44,""zh-tw"",""KO"")"),"24
48
16
1.6")</f>
        <v>24
48
16
1.6</v>
      </c>
      <c r="X44" s="380" t="str">
        <f>IFERROR(__xludf.DUMMYFUNCTION("GOOGLETRANSLATE(D44,""zh-tw"",""KO"")"),"""봉인 기둥""에서 소환")</f>
        <v>"봉인 기둥"에서 소환</v>
      </c>
      <c r="Y44" s="153" t="s">
        <v>6692</v>
      </c>
      <c r="Z44" s="167" t="s">
        <v>6693</v>
      </c>
      <c r="AA44" s="167" t="s">
        <v>6683</v>
      </c>
      <c r="AB44" s="385" t="s">
        <v>6694</v>
      </c>
      <c r="AC44" s="197" t="s">
        <v>6695</v>
      </c>
      <c r="AD44" s="198" t="s">
        <v>6696</v>
      </c>
      <c r="AE44" s="198" t="s">
        <v>5998</v>
      </c>
      <c r="AF44" s="379" t="s">
        <v>6697</v>
      </c>
      <c r="AG44" s="133" t="s">
        <v>6698</v>
      </c>
      <c r="AH44" s="49" t="s">
        <v>6699</v>
      </c>
      <c r="AI44" s="381" t="s">
        <v>5998</v>
      </c>
      <c r="AJ44" s="385" t="s">
        <v>6700</v>
      </c>
      <c r="AK44" s="165" t="s">
        <v>6701</v>
      </c>
      <c r="AL44" s="167" t="s">
        <v>6702</v>
      </c>
      <c r="AM44" s="167" t="s">
        <v>6703</v>
      </c>
      <c r="AN44" s="379" t="s">
        <v>6704</v>
      </c>
      <c r="AO44" s="382" t="str">
        <f>IFERROR(__xludf.DUMMYFUNCTION("GOOGLETRANSLATE(A44,""zh-tw"",""ID"")"),"Setan yang penuh nafsu (Nama asli: Azazel)")</f>
        <v>Setan yang penuh nafsu (Nama asli: Azazel)</v>
      </c>
      <c r="AP44" s="202" t="str">
        <f>IFERROR(__xludf.DUMMYFUNCTION("GOOGLETRANSLATE(B44,""zh-tw"",""ID"")"),"Pilar Ritual
Bola Mata Iblis
Item Kualitas Merah Muda
Item Kualitas Emas
")</f>
        <v>Pilar Ritual
Bola Mata Iblis
Item Kualitas Merah Muda
Item Kualitas Emas
</v>
      </c>
      <c r="AQ44" s="202" t="str">
        <f>IFERROR(__xludf.DUMMYFUNCTION("GOOGLETRANSLATE(C44,""zh-tw"",""ID"")"),"24
48
16
1.6")</f>
        <v>24
48
16
1.6</v>
      </c>
      <c r="AR44" s="383" t="str">
        <f>IFERROR(__xludf.DUMMYFUNCTION("GOOGLETRANSLATE(D44,""zh-tw"",""ID"")"),"Pemanggilan dari ""Pilar Penyegel""")</f>
        <v>Pemanggilan dari "Pilar Penyegel"</v>
      </c>
      <c r="AS44" s="383"/>
      <c r="AT44" s="383"/>
    </row>
    <row r="45">
      <c r="A45" s="153" t="s">
        <v>6705</v>
      </c>
      <c r="B45" s="155" t="s">
        <v>1243</v>
      </c>
      <c r="C45" s="155" t="s">
        <v>1243</v>
      </c>
      <c r="D45" s="380" t="s">
        <v>6706</v>
      </c>
      <c r="E45" s="153" t="s">
        <v>6707</v>
      </c>
      <c r="F45" s="198" t="s">
        <v>1243</v>
      </c>
      <c r="G45" s="155" t="s">
        <v>1243</v>
      </c>
      <c r="H45" s="380" t="s">
        <v>6708</v>
      </c>
      <c r="I45" s="197" t="s">
        <v>6709</v>
      </c>
      <c r="J45" s="198" t="s">
        <v>1243</v>
      </c>
      <c r="K45" s="198" t="s">
        <v>1243</v>
      </c>
      <c r="L45" s="379" t="s">
        <v>6710</v>
      </c>
      <c r="M45" s="197" t="str">
        <f>IFERROR(__xludf.DUMMYFUNCTION("GOOGLETRANSLATE(A45,""zh-tw"",""zh"")"),"死之恶魔
(真名：未知)")</f>
        <v>死之恶魔
(真名：未知)</v>
      </c>
      <c r="N45" s="198" t="str">
        <f>IFERROR(__xludf.DUMMYFUNCTION("GOOGLETRANSLATE(B45,""zh-tw"",""zh"")"),"-")</f>
        <v>-</v>
      </c>
      <c r="O45" s="198" t="str">
        <f>IFERROR(__xludf.DUMMYFUNCTION("GOOGLETRANSLATE(C45,""zh-tw"",""zh"")"),"-")</f>
        <v>-</v>
      </c>
      <c r="P45" s="379" t="str">
        <f>IFERROR(__xludf.DUMMYFUNCTION("GOOGLETRANSLATE(D45,""zh-tw"",""zh"")"),"于""塔罗牌-死神""进行召唤
无法击杀此单位")</f>
        <v>于"塔罗牌-死神"进行召唤
无法击杀此单位</v>
      </c>
      <c r="Q45" s="197" t="str">
        <f>IFERROR(__xludf.DUMMYFUNCTION("GOOGLETRANSLATE(A45,""zh-tw"",""es-MX"")"),"El Demonio de la Muerte
(Nombre verdadero: Desconocido)")</f>
        <v>El Demonio de la Muerte
(Nombre verdadero: Desconocido)</v>
      </c>
      <c r="R45" s="198" t="str">
        <f>IFERROR(__xludf.DUMMYFUNCTION("GOOGLETRANSLATE(B45,""zh-tw"",""es-MX"")"),"-")</f>
        <v>-</v>
      </c>
      <c r="S45" s="198" t="str">
        <f>IFERROR(__xludf.DUMMYFUNCTION("GOOGLETRANSLATE(C45,""zh-tw"",""es-MX"")"),"-")</f>
        <v>-</v>
      </c>
      <c r="T45" s="379" t="str">
        <f>IFERROR(__xludf.DUMMYFUNCTION("GOOGLETRANSLATE(D45,""zh-tw"",""es-MX"")"),"La invocación mediante ""Carta del Tarot - Muerte"" no puede matar a esta unidad.")</f>
        <v>La invocación mediante "Carta del Tarot - Muerte" no puede matar a esta unidad.</v>
      </c>
      <c r="U45" s="197" t="str">
        <f>IFERROR(__xludf.DUMMYFUNCTION("GOOGLETRANSLATE(A45,""zh-tw"",""KO"")"),"죽음의 악마
(본명: 미상)")</f>
        <v>죽음의 악마
(본명: 미상)</v>
      </c>
      <c r="V45" s="155" t="str">
        <f>IFERROR(__xludf.DUMMYFUNCTION("GOOGLETRANSLATE(B45,""zh-tw"",""KO"")"),"-")</f>
        <v>-</v>
      </c>
      <c r="W45" s="155" t="str">
        <f>IFERROR(__xludf.DUMMYFUNCTION("GOOGLETRANSLATE(C45,""zh-tw"",""KO"")"),"-")</f>
        <v>-</v>
      </c>
      <c r="X45" s="380" t="str">
        <f>IFERROR(__xludf.DUMMYFUNCTION("GOOGLETRANSLATE(D45,""zh-tw"",""KO"")"),"""타로 카드 - 죽음""을 통한 소환으로는 이 유닛을 처치할 수 없습니다.")</f>
        <v>"타로 카드 - 죽음"을 통한 소환으로는 이 유닛을 처치할 수 없습니다.</v>
      </c>
      <c r="Y45" s="153" t="s">
        <v>6711</v>
      </c>
      <c r="Z45" s="155" t="s">
        <v>1243</v>
      </c>
      <c r="AA45" s="155" t="s">
        <v>1243</v>
      </c>
      <c r="AB45" s="379" t="s">
        <v>6712</v>
      </c>
      <c r="AC45" s="197" t="s">
        <v>6713</v>
      </c>
      <c r="AD45" s="198" t="s">
        <v>1243</v>
      </c>
      <c r="AE45" s="198" t="s">
        <v>1243</v>
      </c>
      <c r="AF45" s="379" t="s">
        <v>6714</v>
      </c>
      <c r="AG45" s="133" t="s">
        <v>6715</v>
      </c>
      <c r="AH45" s="381" t="s">
        <v>1243</v>
      </c>
      <c r="AI45" s="381" t="s">
        <v>1243</v>
      </c>
      <c r="AJ45" s="385" t="s">
        <v>6716</v>
      </c>
      <c r="AK45" s="165" t="s">
        <v>6717</v>
      </c>
      <c r="AL45" s="198" t="s">
        <v>1243</v>
      </c>
      <c r="AM45" s="198" t="s">
        <v>1243</v>
      </c>
      <c r="AN45" s="379" t="s">
        <v>6718</v>
      </c>
      <c r="AO45" s="382" t="str">
        <f>IFERROR(__xludf.DUMMYFUNCTION("GOOGLETRANSLATE(A45,""zh-tw"",""ID"")"),"Setan Kematian
(Nama Asli: Tidak Diketahui)")</f>
        <v>Setan Kematian
(Nama Asli: Tidak Diketahui)</v>
      </c>
      <c r="AP45" s="202" t="str">
        <f>IFERROR(__xludf.DUMMYFUNCTION("GOOGLETRANSLATE(B45,""zh-tw"",""ID"")"),"-")</f>
        <v>-</v>
      </c>
      <c r="AQ45" s="202" t="str">
        <f>IFERROR(__xludf.DUMMYFUNCTION("GOOGLETRANSLATE(C45,""zh-tw"",""ID"")"),"-")</f>
        <v>-</v>
      </c>
      <c r="AR45" s="383" t="str">
        <f>IFERROR(__xludf.DUMMYFUNCTION("GOOGLETRANSLATE(D45,""zh-tw"",""ID"")"),"Pemanggilan melalui ""Kartu Tarot - Kematian"" tidak dapat membunuh unit ini.")</f>
        <v>Pemanggilan melalui "Kartu Tarot - Kematian" tidak dapat membunuh unit ini.</v>
      </c>
      <c r="AS45" s="383"/>
      <c r="AT45" s="383"/>
    </row>
    <row r="46">
      <c r="A46" s="376" t="s">
        <v>6719</v>
      </c>
      <c r="E46" s="375" t="str">
        <f>IFERROR(__xludf.DUMMYFUNCTION("GOOGLETRANSLATE(A46,""zh-tw"",""ja"")"),"シーンオブジェクト")</f>
        <v>シーンオブジェクト</v>
      </c>
      <c r="I46" s="375" t="s">
        <v>6720</v>
      </c>
      <c r="M46" s="376" t="str">
        <f>IFERROR(__xludf.DUMMYFUNCTION("GOOGLETRANSLATE(A46,""zh-tw"",""zh"")"),"场景物件")</f>
        <v>场景物件</v>
      </c>
      <c r="Q46" s="376" t="str">
        <f>IFERROR(__xludf.DUMMYFUNCTION("GOOGLETRANSLATE(A46,""zh-tw"",""es-MX"")"),"objetos de la escena")</f>
        <v>objetos de la escena</v>
      </c>
      <c r="U46" s="376" t="str">
        <f>IFERROR(__xludf.DUMMYFUNCTION("GOOGLETRANSLATE(A46,""zh-tw"",""KO"")"),"장면 객체")</f>
        <v>장면 객체</v>
      </c>
      <c r="Y46" s="376" t="s">
        <v>6721</v>
      </c>
      <c r="AC46" s="376" t="str">
        <f>IFERROR(__xludf.DUMMYFUNCTION("GOOGLETRANSLATE(A42,""zh-tw"",""DE"")"),"Der Flussherr, der eigentlich schon ausgestorben sein sollte!?")</f>
        <v>Der Flussherr, der eigentlich schon ausgestorben sein sollte!?</v>
      </c>
      <c r="AG46" s="378" t="s">
        <v>6722</v>
      </c>
      <c r="AK46" s="376" t="s">
        <v>6720</v>
      </c>
      <c r="AO46" s="387" t="s">
        <v>6723</v>
      </c>
      <c r="AS46" s="387"/>
      <c r="AT46" s="387"/>
    </row>
    <row r="47">
      <c r="A47" s="153" t="s">
        <v>6724</v>
      </c>
      <c r="B47" s="155" t="s">
        <v>1243</v>
      </c>
      <c r="C47" s="155" t="s">
        <v>1243</v>
      </c>
      <c r="D47" s="380" t="s">
        <v>1243</v>
      </c>
      <c r="E47" s="153" t="str">
        <f>IFERROR(__xludf.DUMMYFUNCTION("GOOGLETRANSLATE(A47,""zh-tw"",""ja"")"),"道路を塞ぐ巨大な岩")</f>
        <v>道路を塞ぐ巨大な岩</v>
      </c>
      <c r="F47" s="155" t="s">
        <v>1243</v>
      </c>
      <c r="G47" s="155" t="s">
        <v>1243</v>
      </c>
      <c r="H47" s="380" t="str">
        <f>IFERROR(__xludf.DUMMYFUNCTION("GOOGLETRANSLATE(D47,""zh-tw"",""ja"")"),"-")</f>
        <v>-</v>
      </c>
      <c r="I47" s="153" t="s">
        <v>6725</v>
      </c>
      <c r="J47" s="198"/>
      <c r="K47" s="198" t="s">
        <v>1243</v>
      </c>
      <c r="L47" s="379"/>
      <c r="M47" s="197" t="str">
        <f>IFERROR(__xludf.DUMMYFUNCTION("GOOGLETRANSLATE(A47,""zh-tw"",""zh"")"),"堵路巨石")</f>
        <v>堵路巨石</v>
      </c>
      <c r="N47" s="198" t="str">
        <f>IFERROR(__xludf.DUMMYFUNCTION("GOOGLETRANSLATE(B47,""zh-tw"",""zh"")"),"-")</f>
        <v>-</v>
      </c>
      <c r="O47" s="198" t="s">
        <v>1243</v>
      </c>
      <c r="P47" s="379" t="str">
        <f>IFERROR(__xludf.DUMMYFUNCTION("GOOGLETRANSLATE(D47,""zh-tw"",""zh"")"),"-")</f>
        <v>-</v>
      </c>
      <c r="Q47" s="197" t="str">
        <f>IFERROR(__xludf.DUMMYFUNCTION("GOOGLETRANSLATE(A47,""zh-tw"",""es-MX"")"),"La enorme roca bloquea el camino.")</f>
        <v>La enorme roca bloquea el camino.</v>
      </c>
      <c r="R47" s="198" t="str">
        <f>IFERROR(__xludf.DUMMYFUNCTION("GOOGLETRANSLATE(B47,""zh-tw"",""es-MX"")"),"-")</f>
        <v>-</v>
      </c>
      <c r="S47" s="198" t="s">
        <v>1243</v>
      </c>
      <c r="T47" s="379" t="str">
        <f>IFERROR(__xludf.DUMMYFUNCTION("GOOGLETRANSLATE(D47,""zh-tw"",""es-MX"")"),"-")</f>
        <v>-</v>
      </c>
      <c r="U47" s="197" t="str">
        <f>IFERROR(__xludf.DUMMYFUNCTION("GOOGLETRANSLATE(A47,""zh-tw"",""KO"")"),"도로를 막고 있는 거대한 바위")</f>
        <v>도로를 막고 있는 거대한 바위</v>
      </c>
      <c r="V47" s="155" t="str">
        <f>IFERROR(__xludf.DUMMYFUNCTION("GOOGLETRANSLATE(B47,""zh-tw"",""KO"")"),"-")</f>
        <v>-</v>
      </c>
      <c r="W47" s="155" t="s">
        <v>1243</v>
      </c>
      <c r="X47" s="380" t="str">
        <f>IFERROR(__xludf.DUMMYFUNCTION("GOOGLETRANSLATE(D47,""zh-tw"",""KO"")"),"-")</f>
        <v>-</v>
      </c>
      <c r="Y47" s="153" t="s">
        <v>6726</v>
      </c>
      <c r="Z47" s="155" t="s">
        <v>1243</v>
      </c>
      <c r="AA47" s="155" t="s">
        <v>1243</v>
      </c>
      <c r="AB47" s="379" t="s">
        <v>1243</v>
      </c>
      <c r="AC47" s="197" t="str">
        <f>IFERROR(__xludf.DUMMYFUNCTION("GOOGLETRANSLATE(A47,""zh-tw"",""DE"")"),"Der riesige Felsbrocken blockiert die Straße")</f>
        <v>Der riesige Felsbrocken blockiert die Straße</v>
      </c>
      <c r="AD47" s="155" t="str">
        <f>IFERROR(__xludf.DUMMYFUNCTION("GOOGLETRANSLATE(B47,""zh-tw"",""DE"")"),"-")</f>
        <v>-</v>
      </c>
      <c r="AE47" s="198" t="s">
        <v>1243</v>
      </c>
      <c r="AF47" s="379"/>
      <c r="AG47" s="133" t="s">
        <v>6727</v>
      </c>
      <c r="AH47" s="381"/>
      <c r="AI47" s="381" t="s">
        <v>1243</v>
      </c>
      <c r="AJ47" s="379" t="s">
        <v>1243</v>
      </c>
      <c r="AK47" s="197" t="s">
        <v>6728</v>
      </c>
      <c r="AL47" s="198" t="s">
        <v>1243</v>
      </c>
      <c r="AM47" s="198" t="s">
        <v>1243</v>
      </c>
      <c r="AN47" s="379" t="s">
        <v>1243</v>
      </c>
      <c r="AO47" s="382" t="s">
        <v>6729</v>
      </c>
      <c r="AP47" s="202" t="s">
        <v>1243</v>
      </c>
      <c r="AQ47" s="202" t="s">
        <v>1243</v>
      </c>
      <c r="AR47" s="386" t="s">
        <v>1243</v>
      </c>
      <c r="AS47" s="386"/>
      <c r="AT47" s="386"/>
    </row>
    <row r="48">
      <c r="A48" s="153" t="s">
        <v>6730</v>
      </c>
      <c r="B48" s="155" t="s">
        <v>6731</v>
      </c>
      <c r="C48" s="155">
        <v>100.0</v>
      </c>
      <c r="D48" s="380" t="s">
        <v>1243</v>
      </c>
      <c r="E48" s="153" t="s">
        <v>6732</v>
      </c>
      <c r="F48" s="155" t="str">
        <f>IFERROR(__xludf.DUMMYFUNCTION("GOOGLETRANSLATE(B48,""zh-tw"",""ja"")"),"騎士の剣")</f>
        <v>騎士の剣</v>
      </c>
      <c r="G48" s="155">
        <v>100.0</v>
      </c>
      <c r="H48" s="380" t="str">
        <f>IFERROR(__xludf.DUMMYFUNCTION("GOOGLETRANSLATE(D48,""zh-tw"",""ja"")"),"-")</f>
        <v>-</v>
      </c>
      <c r="I48" s="153" t="s">
        <v>6733</v>
      </c>
      <c r="J48" s="198" t="s">
        <v>6734</v>
      </c>
      <c r="K48" s="198">
        <v>100.0</v>
      </c>
      <c r="L48" s="379" t="str">
        <f>IFERROR(__xludf.DUMMYFUNCTION("GOOGLETRANSLATE(D48,""zh-tw"",""en"")"),"-")</f>
        <v>-</v>
      </c>
      <c r="M48" s="197" t="str">
        <f>IFERROR(__xludf.DUMMYFUNCTION("GOOGLETRANSLATE(A48,""zh-tw"",""zh"")"),"石中剑")</f>
        <v>石中剑</v>
      </c>
      <c r="N48" s="198" t="str">
        <f>IFERROR(__xludf.DUMMYFUNCTION("GOOGLETRANSLATE(B48,""zh-tw"",""zh"")"),"骑士之剑")</f>
        <v>骑士之剑</v>
      </c>
      <c r="O48" s="155">
        <v>100.0</v>
      </c>
      <c r="P48" s="379" t="str">
        <f>IFERROR(__xludf.DUMMYFUNCTION("GOOGLETRANSLATE(D48,""zh-tw"",""zh"")"),"-")</f>
        <v>-</v>
      </c>
      <c r="Q48" s="197" t="str">
        <f>IFERROR(__xludf.DUMMYFUNCTION("GOOGLETRANSLATE(A48,""zh-tw"",""es-MX"")"),"La espada en la piedra")</f>
        <v>La espada en la piedra</v>
      </c>
      <c r="R48" s="155" t="str">
        <f>IFERROR(__xludf.DUMMYFUNCTION("GOOGLETRANSLATE(B48,""zh-tw"",""es-MX"")"),"Espada de caballero")</f>
        <v>Espada de caballero</v>
      </c>
      <c r="S48" s="198">
        <v>100.0</v>
      </c>
      <c r="T48" s="379" t="str">
        <f>IFERROR(__xludf.DUMMYFUNCTION("GOOGLETRANSLATE(D48,""zh-tw"",""es-MX"")"),"-")</f>
        <v>-</v>
      </c>
      <c r="U48" s="153" t="s">
        <v>6735</v>
      </c>
      <c r="V48" s="155" t="s">
        <v>6736</v>
      </c>
      <c r="W48" s="155">
        <v>100.0</v>
      </c>
      <c r="X48" s="380" t="str">
        <f>IFERROR(__xludf.DUMMYFUNCTION("GOOGLETRANSLATE(D48,""zh-tw"",""KO"")"),"-")</f>
        <v>-</v>
      </c>
      <c r="Y48" s="153" t="s">
        <v>6737</v>
      </c>
      <c r="Z48" s="155" t="s">
        <v>6738</v>
      </c>
      <c r="AA48" s="155">
        <v>100.0</v>
      </c>
      <c r="AB48" s="379" t="s">
        <v>1243</v>
      </c>
      <c r="AC48" s="197" t="s">
        <v>6739</v>
      </c>
      <c r="AD48" s="198" t="s">
        <v>6740</v>
      </c>
      <c r="AE48" s="198">
        <v>100.0</v>
      </c>
      <c r="AF48" s="385" t="s">
        <v>6741</v>
      </c>
      <c r="AG48" s="187" t="s">
        <v>6742</v>
      </c>
      <c r="AH48" s="381" t="s">
        <v>6743</v>
      </c>
      <c r="AI48" s="381">
        <v>100.0</v>
      </c>
      <c r="AJ48" s="379" t="s">
        <v>1243</v>
      </c>
      <c r="AK48" s="197" t="s">
        <v>6744</v>
      </c>
      <c r="AL48" s="198" t="s">
        <v>6745</v>
      </c>
      <c r="AM48" s="198">
        <v>100.0</v>
      </c>
      <c r="AN48" s="379" t="s">
        <v>1243</v>
      </c>
      <c r="AO48" s="382" t="s">
        <v>6746</v>
      </c>
      <c r="AP48" s="202" t="s">
        <v>6747</v>
      </c>
      <c r="AQ48" s="202" t="s">
        <v>6259</v>
      </c>
      <c r="AR48" s="383" t="s">
        <v>1243</v>
      </c>
      <c r="AS48" s="383"/>
      <c r="AT48" s="383"/>
    </row>
    <row r="49">
      <c r="A49" s="197" t="s">
        <v>6748</v>
      </c>
      <c r="B49" s="198" t="s">
        <v>6749</v>
      </c>
      <c r="C49" s="155" t="s">
        <v>6750</v>
      </c>
      <c r="D49" s="385" t="s">
        <v>6751</v>
      </c>
      <c r="E49" s="197" t="str">
        <f>IFERROR(__xludf.DUMMYFUNCTION("GOOGLETRANSLATE(A49,""zh-tw"",""ja"")"),"とても大きな卵")</f>
        <v>とても大きな卵</v>
      </c>
      <c r="F49" s="155" t="str">
        <f>IFERROR(__xludf.DUMMYFUNCTION("GOOGLETRANSLATE(B49,""zh-tw"",""ja"")"),"とても大きな卵
小さな赤いモンスター*")</f>
        <v>とても大きな卵
小さな赤いモンスター*</v>
      </c>
      <c r="G49" s="198" t="s">
        <v>6750</v>
      </c>
      <c r="H49" s="380" t="str">
        <f>IFERROR(__xludf.DUMMYFUNCTION("GOOGLETRANSLATE(D49,""zh-tw"",""ja"")"),"遺跡の底で拾ってください（壊さないでください）。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49" s="153" t="s">
        <v>6752</v>
      </c>
      <c r="J49" s="198" t="s">
        <v>6753</v>
      </c>
      <c r="K49" s="198" t="s">
        <v>6750</v>
      </c>
      <c r="L49" s="379" t="s">
        <v>6754</v>
      </c>
      <c r="M49" s="197" t="str">
        <f>IFERROR(__xludf.DUMMYFUNCTION("GOOGLETRANSLATE(A49,""zh-tw"",""zh"")"),"很大的蛋")</f>
        <v>很大的蛋</v>
      </c>
      <c r="N49" s="198" t="str">
        <f>IFERROR(__xludf.DUMMYFUNCTION("GOOGLETRANSLATE(B49,""zh-tw"",""zh"")"),"很大的蛋
小红怪*")</f>
        <v>很大的蛋
小红怪*</v>
      </c>
      <c r="O49" s="155" t="s">
        <v>6750</v>
      </c>
      <c r="P49" s="379" t="str">
        <f>IFERROR(__xludf.DUMMYFUNCTION("GOOGLETRANSLATE(D49,""zh-tw"",""zh"")"),"于遗迹底层捡取(不可以打破)
*捡取/打破有50%机率出现小红怪")</f>
        <v>于遗迹底层捡取(不可以打破)
*捡取/打破有50%机率出现小红怪</v>
      </c>
      <c r="Q49" s="197" t="str">
        <f>IFERROR(__xludf.DUMMYFUNCTION("GOOGLETRANSLATE(A49,""zh-tw"",""es-MX"")"),"Un huevo muy grande")</f>
        <v>Un huevo muy grande</v>
      </c>
      <c r="R49" s="155" t="str">
        <f>IFERROR(__xludf.DUMMYFUNCTION("GOOGLETRANSLATE(B49,""zh-tw"",""es-MX"")"),"Un huevo muy grande
El pequeño monstruo rojo*")</f>
        <v>Un huevo muy grande
El pequeño monstruo rojo*</v>
      </c>
      <c r="S49" s="198" t="s">
        <v>6750</v>
      </c>
      <c r="T49" s="379" t="str">
        <f>IFERROR(__xludf.DUMMYFUNCTION("GOOGLETRANSLATE(D49,""zh-tw"",""es-MX"")"),"Recógelo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49" s="153" t="s">
        <v>6755</v>
      </c>
      <c r="V49" s="198" t="s">
        <v>6755</v>
      </c>
      <c r="W49" s="198" t="s">
        <v>6750</v>
      </c>
      <c r="X49" s="380" t="s">
        <v>6756</v>
      </c>
      <c r="Y49" s="197" t="s">
        <v>6757</v>
      </c>
      <c r="Z49" s="198" t="s">
        <v>6758</v>
      </c>
      <c r="AA49" s="155" t="s">
        <v>6750</v>
      </c>
      <c r="AB49" s="379" t="s">
        <v>6759</v>
      </c>
      <c r="AC49" s="197" t="s">
        <v>6760</v>
      </c>
      <c r="AD49" s="198" t="s">
        <v>6761</v>
      </c>
      <c r="AE49" s="198" t="s">
        <v>6750</v>
      </c>
      <c r="AF49" s="379" t="s">
        <v>6762</v>
      </c>
      <c r="AG49" s="187" t="s">
        <v>6763</v>
      </c>
      <c r="AH49" s="381" t="s">
        <v>6764</v>
      </c>
      <c r="AI49" s="381" t="s">
        <v>6750</v>
      </c>
      <c r="AJ49" s="379" t="s">
        <v>6765</v>
      </c>
      <c r="AK49" s="197" t="s">
        <v>6766</v>
      </c>
      <c r="AL49" s="198" t="s">
        <v>6767</v>
      </c>
      <c r="AM49" s="198" t="s">
        <v>6750</v>
      </c>
      <c r="AN49" s="379" t="s">
        <v>6768</v>
      </c>
      <c r="AO49" s="382" t="s">
        <v>6769</v>
      </c>
      <c r="AP49" s="202" t="s">
        <v>6770</v>
      </c>
      <c r="AQ49" s="202" t="s">
        <v>6771</v>
      </c>
      <c r="AR49" s="383" t="s">
        <v>6772</v>
      </c>
      <c r="AS49" s="383"/>
      <c r="AT49" s="383"/>
    </row>
    <row r="50">
      <c r="A50" s="153" t="s">
        <v>6773</v>
      </c>
      <c r="B50" s="155" t="s">
        <v>6774</v>
      </c>
      <c r="C50" s="155" t="s">
        <v>6775</v>
      </c>
      <c r="D50" s="380" t="s">
        <v>6776</v>
      </c>
      <c r="E50" s="153" t="s">
        <v>6777</v>
      </c>
      <c r="F50" s="198" t="s">
        <v>6778</v>
      </c>
      <c r="G50" s="155" t="s">
        <v>6775</v>
      </c>
      <c r="H50" s="380" t="s">
        <v>6779</v>
      </c>
      <c r="I50" s="153" t="s">
        <v>6780</v>
      </c>
      <c r="J50" s="198" t="s">
        <v>6781</v>
      </c>
      <c r="K50" s="198" t="s">
        <v>6775</v>
      </c>
      <c r="L50" s="379" t="s">
        <v>6782</v>
      </c>
      <c r="M50" s="197" t="str">
        <f>IFERROR(__xludf.DUMMYFUNCTION("GOOGLETRANSLATE(A50,""zh-tw"",""zh"")"),"遗迹菇类")</f>
        <v>遗迹菇类</v>
      </c>
      <c r="N50" s="198" t="str">
        <f>IFERROR(__xludf.DUMMYFUNCTION("GOOGLETRANSLATE(B50,""zh-tw"",""zh"")"),"香菇
平菇
蟹味菇
月夜茸
紫丁香蘑")</f>
        <v>香菇
平菇
蟹味菇
月夜茸
紫丁香蘑</v>
      </c>
      <c r="O50" s="198" t="s">
        <v>6775</v>
      </c>
      <c r="P50" s="379" t="str">
        <f>IFERROR(__xludf.DUMMYFUNCTION("GOOGLETRANSLATE(D50,""zh-tw"",""zh"")"),"于遗迹打地面上的蘑菇")</f>
        <v>于遗迹打地面上的蘑菇</v>
      </c>
      <c r="Q50" s="197" t="str">
        <f>IFERROR(__xludf.DUMMYFUNCTION("GOOGLETRANSLATE(A50,""zh-tw"",""es-MX"")"),"Hongos reliquia")</f>
        <v>Hongos reliquia</v>
      </c>
      <c r="R50" s="198" t="str">
        <f>IFERROR(__xludf.DUMMYFUNCTION("GOOGLETRANSLATE(B50,""zh-tw"",""es-MX"")"),"Setas shiitake, setas ostra, setas cangrejo, setas luna y setas lila.")</f>
        <v>Setas shiitake, setas ostra, setas cangrejo, setas luna y setas lila.</v>
      </c>
      <c r="S50" s="198" t="s">
        <v>6775</v>
      </c>
      <c r="T50" s="379" t="str">
        <f>IFERROR(__xludf.DUMMYFUNCTION("GOOGLETRANSLATE(D50,""zh-tw"",""es-MX"")"),"Golpea los hongos en el suelo de las ruinas.")</f>
        <v>Golpea los hongos en el suelo de las ruinas.</v>
      </c>
      <c r="U50" s="197" t="s">
        <v>6783</v>
      </c>
      <c r="V50" s="155" t="s">
        <v>6784</v>
      </c>
      <c r="W50" s="155" t="s">
        <v>6775</v>
      </c>
      <c r="X50" s="380" t="s">
        <v>6785</v>
      </c>
      <c r="Y50" s="153" t="s">
        <v>6786</v>
      </c>
      <c r="Z50" s="155" t="s">
        <v>6787</v>
      </c>
      <c r="AA50" s="155" t="s">
        <v>6775</v>
      </c>
      <c r="AB50" s="379" t="s">
        <v>6788</v>
      </c>
      <c r="AC50" s="197" t="s">
        <v>6789</v>
      </c>
      <c r="AD50" s="198" t="s">
        <v>6790</v>
      </c>
      <c r="AE50" s="198" t="s">
        <v>6775</v>
      </c>
      <c r="AF50" s="379" t="s">
        <v>6791</v>
      </c>
      <c r="AG50" s="187" t="s">
        <v>6792</v>
      </c>
      <c r="AH50" s="381" t="s">
        <v>6793</v>
      </c>
      <c r="AI50" s="381" t="s">
        <v>6775</v>
      </c>
      <c r="AJ50" s="379" t="s">
        <v>6794</v>
      </c>
      <c r="AK50" s="197" t="s">
        <v>6795</v>
      </c>
      <c r="AL50" s="198" t="s">
        <v>6796</v>
      </c>
      <c r="AM50" s="198" t="s">
        <v>6775</v>
      </c>
      <c r="AN50" s="379" t="s">
        <v>6797</v>
      </c>
      <c r="AO50" s="382" t="s">
        <v>6798</v>
      </c>
      <c r="AP50" s="202" t="s">
        <v>6799</v>
      </c>
      <c r="AQ50" s="202" t="s">
        <v>6775</v>
      </c>
      <c r="AR50" s="383" t="s">
        <v>6800</v>
      </c>
      <c r="AS50" s="383"/>
      <c r="AT50" s="383"/>
    </row>
    <row r="51">
      <c r="A51" s="153" t="s">
        <v>6801</v>
      </c>
      <c r="B51" s="155" t="s">
        <v>6802</v>
      </c>
      <c r="C51" s="155" t="s">
        <v>6803</v>
      </c>
      <c r="D51" s="380" t="s">
        <v>6804</v>
      </c>
      <c r="E51" s="153" t="s">
        <v>6805</v>
      </c>
      <c r="F51" s="155" t="s">
        <v>6806</v>
      </c>
      <c r="G51" s="155" t="s">
        <v>6803</v>
      </c>
      <c r="H51" s="380" t="s">
        <v>6807</v>
      </c>
      <c r="I51" s="153" t="s">
        <v>6808</v>
      </c>
      <c r="J51" s="198" t="s">
        <v>6809</v>
      </c>
      <c r="K51" s="198" t="s">
        <v>6803</v>
      </c>
      <c r="L51" s="379" t="s">
        <v>6810</v>
      </c>
      <c r="M51" s="197" t="str">
        <f>IFERROR(__xludf.DUMMYFUNCTION("GOOGLETRANSLATE(A51,""zh-tw"",""zh"")"),"红花")</f>
        <v>红花</v>
      </c>
      <c r="N51" s="198" t="str">
        <f>IFERROR(__xludf.DUMMYFUNCTION("GOOGLETRANSLATE(B51,""zh-tw"",""zh"")"),"火鸟的羽毛
500元
1000元")</f>
        <v>火鸟的羽毛
500元
1000元</v>
      </c>
      <c r="O51" s="198" t="s">
        <v>6803</v>
      </c>
      <c r="P51" s="379" t="str">
        <f>IFERROR(__xludf.DUMMYFUNCTION("GOOGLETRANSLATE(D51,""zh-tw"",""zh"")"),"于遗迹打地面上的红花")</f>
        <v>于遗迹打地面上的红花</v>
      </c>
      <c r="Q51" s="197" t="str">
        <f>IFERROR(__xludf.DUMMYFUNCTION("GOOGLETRANSLATE(A51,""zh-tw"",""es-MX"")"),"cártamo")</f>
        <v>cártamo</v>
      </c>
      <c r="R51" s="198" t="str">
        <f>IFERROR(__xludf.DUMMYFUNCTION("GOOGLETRANSLATE(B51,""zh-tw"",""es-MX"")"),"Plumas de ave fénix
500 yuanes
1000 yuanes")</f>
        <v>Plumas de ave fénix
500 yuanes
1000 yuanes</v>
      </c>
      <c r="S51" s="198" t="s">
        <v>6803</v>
      </c>
      <c r="T51" s="379" t="str">
        <f>IFERROR(__xludf.DUMMYFUNCTION("GOOGLETRANSLATE(D51,""zh-tw"",""es-MX"")"),"Flores rojas en el suelo de las ruinas.")</f>
        <v>Flores rojas en el suelo de las ruinas.</v>
      </c>
      <c r="U51" s="197" t="s">
        <v>6811</v>
      </c>
      <c r="V51" s="155" t="s">
        <v>6812</v>
      </c>
      <c r="W51" s="155" t="s">
        <v>6803</v>
      </c>
      <c r="X51" s="380" t="s">
        <v>6813</v>
      </c>
      <c r="Y51" s="153" t="s">
        <v>6814</v>
      </c>
      <c r="Z51" s="155" t="s">
        <v>6815</v>
      </c>
      <c r="AA51" s="155" t="s">
        <v>6803</v>
      </c>
      <c r="AB51" s="379" t="s">
        <v>6816</v>
      </c>
      <c r="AC51" s="197" t="s">
        <v>6817</v>
      </c>
      <c r="AD51" s="198" t="s">
        <v>6818</v>
      </c>
      <c r="AE51" s="198" t="s">
        <v>6803</v>
      </c>
      <c r="AF51" s="379" t="s">
        <v>6819</v>
      </c>
      <c r="AG51" s="187" t="s">
        <v>6820</v>
      </c>
      <c r="AH51" s="381" t="s">
        <v>6821</v>
      </c>
      <c r="AI51" s="381" t="s">
        <v>6803</v>
      </c>
      <c r="AJ51" s="379" t="s">
        <v>6822</v>
      </c>
      <c r="AK51" s="197" t="s">
        <v>6808</v>
      </c>
      <c r="AL51" s="198" t="s">
        <v>6823</v>
      </c>
      <c r="AM51" s="198" t="s">
        <v>6803</v>
      </c>
      <c r="AN51" s="379" t="s">
        <v>6824</v>
      </c>
      <c r="AO51" s="382" t="s">
        <v>6825</v>
      </c>
      <c r="AP51" s="202" t="s">
        <v>6826</v>
      </c>
      <c r="AQ51" s="202" t="s">
        <v>6803</v>
      </c>
      <c r="AR51" s="383" t="s">
        <v>6827</v>
      </c>
      <c r="AS51" s="383"/>
      <c r="AT51" s="383"/>
    </row>
    <row r="52">
      <c r="A52" s="153" t="s">
        <v>6828</v>
      </c>
      <c r="B52" s="167" t="s">
        <v>6829</v>
      </c>
      <c r="C52" s="167" t="s">
        <v>6830</v>
      </c>
      <c r="D52" s="385" t="s">
        <v>6831</v>
      </c>
      <c r="E52" s="153" t="s">
        <v>6832</v>
      </c>
      <c r="F52" s="155" t="s">
        <v>6833</v>
      </c>
      <c r="G52" s="155" t="s">
        <v>6834</v>
      </c>
      <c r="H52" s="380" t="str">
        <f>IFERROR(__xludf.DUMMYFUNCTION("GOOGLETRANSLATE(D52,""zh-tw"",""ja"")"),"壁を破壊すると、30%の確率でゾンビが出現する。")</f>
        <v>壁を破壊すると、30%の確率でゾンビが出現する。</v>
      </c>
      <c r="I52" s="153" t="s">
        <v>6835</v>
      </c>
      <c r="J52" s="167" t="s">
        <v>6836</v>
      </c>
      <c r="K52" s="198" t="s">
        <v>6834</v>
      </c>
      <c r="L52" s="379"/>
      <c r="M52" s="197" t="s">
        <v>6828</v>
      </c>
      <c r="N52" s="167" t="s">
        <v>6837</v>
      </c>
      <c r="O52" s="167" t="s">
        <v>6830</v>
      </c>
      <c r="P52" s="379" t="str">
        <f>IFERROR(__xludf.DUMMYFUNCTION("GOOGLETRANSLATE(D52,""zh-tw"",""zh"")"),"*打破有30%机率出现丧尸")</f>
        <v>*打破有30%机率出现丧尸</v>
      </c>
      <c r="Q52" s="197" t="str">
        <f>IFERROR(__xludf.DUMMYFUNCTION("GOOGLETRANSLATE(A52,""zh-tw"",""es-MX"")"),"Lápida/Losa de piedra")</f>
        <v>Lápida/Losa de piedra</v>
      </c>
      <c r="R52" s="198" t="str">
        <f>IFERROR(__xludf.DUMMYFUNCTION("GOOGLETRANSLATE(B52,""zh-tw"",""es-MX"")"),"Cola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2" s="198" t="s">
        <v>6834</v>
      </c>
      <c r="T52" s="379" t="str">
        <f>IFERROR(__xludf.DUMMYFUNCTION("GOOGLETRANSLATE(D52,""zh-tw"",""es-MX"")"),"Romper la pared tiene un 30% de probabilidad de generar zombis.")</f>
        <v>Romper la pared tiene un 30% de probabilidad de generar zombis.</v>
      </c>
      <c r="U52" s="197" t="str">
        <f>IFERROR(__xludf.DUMMYFUNCTION("GOOGLETRANSLATE(A52,""zh-tw"",""KO"")"),"묘비/석판")</f>
        <v>묘비/석판</v>
      </c>
      <c r="V52" s="155" t="str">
        <f>IFERROR(__xludf.DUMMYFUNCTION("GOOGLETRANSLATE(B52,""zh-tw"",""KO"")"),"실버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2" s="155" t="s">
        <v>6834</v>
      </c>
      <c r="X52" s="380" t="str">
        <f>IFERROR(__xludf.DUMMYFUNCTION("GOOGLETRANSLATE(D52,""zh-tw"",""KO"")"),"벽을 부수면 30% 확률로 좀비가 나타납니다.")</f>
        <v>벽을 부수면 30% 확률로 좀비가 나타납니다.</v>
      </c>
      <c r="Y52" s="153" t="s">
        <v>6838</v>
      </c>
      <c r="Z52" s="198" t="s">
        <v>6839</v>
      </c>
      <c r="AA52" s="155" t="s">
        <v>6834</v>
      </c>
      <c r="AB52" s="379" t="s">
        <v>1243</v>
      </c>
      <c r="AC52" s="197" t="s">
        <v>6840</v>
      </c>
      <c r="AD52" s="198" t="s">
        <v>6841</v>
      </c>
      <c r="AE52" s="198" t="s">
        <v>6834</v>
      </c>
      <c r="AF52" s="385" t="s">
        <v>6741</v>
      </c>
      <c r="AG52" s="187" t="s">
        <v>6842</v>
      </c>
      <c r="AH52" s="49" t="s">
        <v>6843</v>
      </c>
      <c r="AI52" s="381" t="s">
        <v>6834</v>
      </c>
      <c r="AJ52" s="379" t="s">
        <v>1243</v>
      </c>
      <c r="AK52" s="197" t="s">
        <v>6844</v>
      </c>
      <c r="AL52" s="167" t="s">
        <v>6845</v>
      </c>
      <c r="AM52" s="198" t="s">
        <v>6834</v>
      </c>
      <c r="AN52" s="379" t="s">
        <v>1243</v>
      </c>
      <c r="AO52" s="382" t="s">
        <v>6846</v>
      </c>
      <c r="AP52" s="202" t="s">
        <v>6847</v>
      </c>
      <c r="AQ52" s="202" t="s">
        <v>6834</v>
      </c>
      <c r="AR52" s="386" t="s">
        <v>1243</v>
      </c>
      <c r="AS52" s="386"/>
      <c r="AT52" s="386"/>
    </row>
    <row r="53">
      <c r="A53" s="153" t="s">
        <v>6848</v>
      </c>
      <c r="B53" s="167" t="s">
        <v>6849</v>
      </c>
      <c r="C53" s="155" t="s">
        <v>6834</v>
      </c>
      <c r="D53" s="380" t="s">
        <v>1243</v>
      </c>
      <c r="E53" s="153" t="s">
        <v>6850</v>
      </c>
      <c r="F53" s="155" t="s">
        <v>6833</v>
      </c>
      <c r="G53" s="155" t="s">
        <v>6834</v>
      </c>
      <c r="H53" s="380" t="str">
        <f>IFERROR(__xludf.DUMMYFUNCTION("GOOGLETRANSLATE(D53,""zh-tw"",""ja"")"),"-")</f>
        <v>-</v>
      </c>
      <c r="I53" s="153" t="s">
        <v>6851</v>
      </c>
      <c r="J53" s="167" t="s">
        <v>6836</v>
      </c>
      <c r="K53" s="198" t="s">
        <v>6834</v>
      </c>
      <c r="L53" s="379"/>
      <c r="M53" s="197" t="s">
        <v>6852</v>
      </c>
      <c r="N53" s="167" t="s">
        <v>6853</v>
      </c>
      <c r="O53" s="198" t="s">
        <v>6834</v>
      </c>
      <c r="P53" s="379" t="str">
        <f>IFERROR(__xludf.DUMMYFUNCTION("GOOGLETRANSLATE(D53,""zh-tw"",""zh"")"),"-")</f>
        <v>-</v>
      </c>
      <c r="Q53" s="197" t="str">
        <f>IFERROR(__xludf.DUMMYFUNCTION("GOOGLETRANSLATE(A53,""zh-tw"",""es-MX"")"),"botella de cerámica de las ruinas")</f>
        <v>botella de cerámica de las ruinas</v>
      </c>
      <c r="R53" s="198" t="str">
        <f>IFERROR(__xludf.DUMMYFUNCTION("GOOGLETRANSLATE(B53,""zh-tw"",""es-MX"")"),"Cola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3" s="198" t="s">
        <v>6834</v>
      </c>
      <c r="T53" s="379" t="str">
        <f>IFERROR(__xludf.DUMMYFUNCTION("GOOGLETRANSLATE(D53,""zh-tw"",""es-MX"")"),"-")</f>
        <v>-</v>
      </c>
      <c r="U53" s="197" t="str">
        <f>IFERROR(__xludf.DUMMYFUNCTION("GOOGLETRANSLATE(A53,""zh-tw"",""KO"")"),"유적에서 발견된 도자기 병")</f>
        <v>유적에서 발견된 도자기 병</v>
      </c>
      <c r="V53" s="155" t="str">
        <f>IFERROR(__xludf.DUMMYFUNCTION("GOOGLETRANSLATE(B53,""zh-tw"",""KO"")"),"실버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3" s="155" t="s">
        <v>6834</v>
      </c>
      <c r="X53" s="380" t="str">
        <f>IFERROR(__xludf.DUMMYFUNCTION("GOOGLETRANSLATE(D53,""zh-tw"",""KO"")"),"-")</f>
        <v>-</v>
      </c>
      <c r="Y53" s="153" t="s">
        <v>6854</v>
      </c>
      <c r="Z53" s="155" t="s">
        <v>6839</v>
      </c>
      <c r="AA53" s="155" t="s">
        <v>6834</v>
      </c>
      <c r="AB53" s="379" t="s">
        <v>1243</v>
      </c>
      <c r="AC53" s="197" t="s">
        <v>6855</v>
      </c>
      <c r="AD53" s="198" t="s">
        <v>6841</v>
      </c>
      <c r="AE53" s="198" t="s">
        <v>6834</v>
      </c>
      <c r="AF53" s="385" t="s">
        <v>6741</v>
      </c>
      <c r="AG53" s="187" t="s">
        <v>6856</v>
      </c>
      <c r="AH53" s="49" t="s">
        <v>6843</v>
      </c>
      <c r="AI53" s="381" t="s">
        <v>6834</v>
      </c>
      <c r="AJ53" s="379" t="s">
        <v>1243</v>
      </c>
      <c r="AK53" s="197" t="s">
        <v>6851</v>
      </c>
      <c r="AL53" s="167" t="s">
        <v>6845</v>
      </c>
      <c r="AM53" s="198" t="s">
        <v>6834</v>
      </c>
      <c r="AN53" s="379" t="s">
        <v>1243</v>
      </c>
      <c r="AO53" s="382" t="s">
        <v>6857</v>
      </c>
      <c r="AP53" s="202" t="s">
        <v>6847</v>
      </c>
      <c r="AQ53" s="202" t="s">
        <v>6834</v>
      </c>
      <c r="AR53" s="386" t="s">
        <v>1243</v>
      </c>
      <c r="AS53" s="386"/>
      <c r="AT53" s="386"/>
    </row>
    <row r="54">
      <c r="A54" s="197" t="s">
        <v>6858</v>
      </c>
      <c r="B54" s="167" t="s">
        <v>6849</v>
      </c>
      <c r="C54" s="198" t="s">
        <v>6834</v>
      </c>
      <c r="D54" s="379" t="s">
        <v>1243</v>
      </c>
      <c r="E54" s="197" t="s">
        <v>6858</v>
      </c>
      <c r="F54" s="198" t="s">
        <v>6833</v>
      </c>
      <c r="G54" s="198" t="s">
        <v>6834</v>
      </c>
      <c r="H54" s="379" t="str">
        <f>IFERROR(__xludf.DUMMYFUNCTION("GOOGLETRANSLATE(D54,""zh-tw"",""ja"")"),"-")</f>
        <v>-</v>
      </c>
      <c r="I54" s="197" t="s">
        <v>6859</v>
      </c>
      <c r="J54" s="167" t="s">
        <v>6836</v>
      </c>
      <c r="K54" s="198" t="s">
        <v>6834</v>
      </c>
      <c r="L54" s="379"/>
      <c r="M54" s="197" t="s">
        <v>6858</v>
      </c>
      <c r="N54" s="167" t="s">
        <v>6853</v>
      </c>
      <c r="O54" s="198" t="s">
        <v>6834</v>
      </c>
      <c r="P54" s="379" t="str">
        <f>IFERROR(__xludf.DUMMYFUNCTION("GOOGLETRANSLATE(D54,""zh-tw"",""zh"")"),"-")</f>
        <v>-</v>
      </c>
      <c r="Q54" s="197" t="str">
        <f>IFERROR(__xludf.DUMMYFUNCTION("GOOGLETRANSLATE(A54,""zh-tw"",""es-MX"")"),"barril de madera")</f>
        <v>barril de madera</v>
      </c>
      <c r="R54" s="198"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198" t="s">
        <v>6834</v>
      </c>
      <c r="T54" s="379" t="str">
        <f>IFERROR(__xludf.DUMMYFUNCTION("GOOGLETRANSLATE(D54,""zh-tw"",""es-MX"")"),"-")</f>
        <v>-</v>
      </c>
      <c r="U54" s="197" t="str">
        <f>IFERROR(__xludf.DUMMYFUNCTION("GOOGLETRANSLATE(A54,""zh-tw"",""KO"")"),"나무통")</f>
        <v>나무통</v>
      </c>
      <c r="V54" s="198"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198" t="s">
        <v>6834</v>
      </c>
      <c r="X54" s="379" t="str">
        <f>IFERROR(__xludf.DUMMYFUNCTION("GOOGLETRANSLATE(D54,""zh-tw"",""KO"")"),"-")</f>
        <v>-</v>
      </c>
      <c r="Y54" s="153" t="s">
        <v>6860</v>
      </c>
      <c r="Z54" s="155" t="s">
        <v>6839</v>
      </c>
      <c r="AA54" s="155" t="s">
        <v>6834</v>
      </c>
      <c r="AB54" s="379" t="s">
        <v>1243</v>
      </c>
      <c r="AC54" s="197" t="s">
        <v>6861</v>
      </c>
      <c r="AD54" s="198" t="s">
        <v>6841</v>
      </c>
      <c r="AE54" s="198" t="s">
        <v>6834</v>
      </c>
      <c r="AF54" s="385" t="s">
        <v>6741</v>
      </c>
      <c r="AG54" s="187" t="s">
        <v>6862</v>
      </c>
      <c r="AH54" s="49" t="s">
        <v>6843</v>
      </c>
      <c r="AI54" s="381" t="s">
        <v>6834</v>
      </c>
      <c r="AJ54" s="379" t="s">
        <v>1243</v>
      </c>
      <c r="AK54" s="197" t="s">
        <v>6863</v>
      </c>
      <c r="AL54" s="167" t="s">
        <v>6845</v>
      </c>
      <c r="AM54" s="198" t="s">
        <v>6834</v>
      </c>
      <c r="AN54" s="379" t="s">
        <v>1243</v>
      </c>
      <c r="AO54" s="382" t="s">
        <v>6864</v>
      </c>
      <c r="AP54" s="202" t="s">
        <v>6847</v>
      </c>
      <c r="AQ54" s="202" t="s">
        <v>6834</v>
      </c>
      <c r="AR54" s="386" t="s">
        <v>1243</v>
      </c>
      <c r="AS54" s="386"/>
      <c r="AT54" s="386"/>
    </row>
    <row r="55">
      <c r="A55" s="197" t="s">
        <v>6865</v>
      </c>
      <c r="B55" s="167" t="s">
        <v>6849</v>
      </c>
      <c r="C55" s="198" t="s">
        <v>6834</v>
      </c>
      <c r="D55" s="379" t="s">
        <v>1243</v>
      </c>
      <c r="E55" s="197" t="s">
        <v>6866</v>
      </c>
      <c r="F55" s="198" t="s">
        <v>6833</v>
      </c>
      <c r="G55" s="198" t="s">
        <v>6834</v>
      </c>
      <c r="H55" s="379" t="str">
        <f>IFERROR(__xludf.DUMMYFUNCTION("GOOGLETRANSLATE(D55,""zh-tw"",""ja"")"),"-")</f>
        <v>-</v>
      </c>
      <c r="I55" s="197" t="s">
        <v>6867</v>
      </c>
      <c r="J55" s="167" t="s">
        <v>6836</v>
      </c>
      <c r="K55" s="198" t="s">
        <v>6834</v>
      </c>
      <c r="L55" s="379"/>
      <c r="M55" s="197" t="s">
        <v>6865</v>
      </c>
      <c r="N55" s="167" t="s">
        <v>6853</v>
      </c>
      <c r="O55" s="198" t="s">
        <v>6834</v>
      </c>
      <c r="P55" s="379" t="str">
        <f>IFERROR(__xludf.DUMMYFUNCTION("GOOGLETRANSLATE(D55,""zh-tw"",""zh"")"),"-")</f>
        <v>-</v>
      </c>
      <c r="Q55" s="197" t="str">
        <f>IFERROR(__xludf.DUMMYFUNCTION("GOOGLETRANSLATE(A55,""zh-tw"",""es-MX"")"),"Huevo roto")</f>
        <v>Huevo roto</v>
      </c>
      <c r="R55" s="198"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198" t="s">
        <v>6834</v>
      </c>
      <c r="T55" s="379" t="str">
        <f>IFERROR(__xludf.DUMMYFUNCTION("GOOGLETRANSLATE(D55,""zh-tw"",""es-MX"")"),"-")</f>
        <v>-</v>
      </c>
      <c r="U55" s="197" t="str">
        <f>IFERROR(__xludf.DUMMYFUNCTION("GOOGLETRANSLATE(A55,""zh-tw"",""KO"")"),"깨진 달걀")</f>
        <v>깨진 달걀</v>
      </c>
      <c r="V55" s="198"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198" t="s">
        <v>6834</v>
      </c>
      <c r="X55" s="379" t="str">
        <f>IFERROR(__xludf.DUMMYFUNCTION("GOOGLETRANSLATE(D55,""zh-tw"",""KO"")"),"-")</f>
        <v>-</v>
      </c>
      <c r="Y55" s="153" t="s">
        <v>6868</v>
      </c>
      <c r="Z55" s="155" t="s">
        <v>6839</v>
      </c>
      <c r="AA55" s="155" t="s">
        <v>6834</v>
      </c>
      <c r="AB55" s="379" t="s">
        <v>1243</v>
      </c>
      <c r="AC55" s="197" t="s">
        <v>6869</v>
      </c>
      <c r="AD55" s="198" t="s">
        <v>6841</v>
      </c>
      <c r="AE55" s="198" t="s">
        <v>6834</v>
      </c>
      <c r="AF55" s="385" t="s">
        <v>6741</v>
      </c>
      <c r="AG55" s="187" t="s">
        <v>6870</v>
      </c>
      <c r="AH55" s="49" t="s">
        <v>6843</v>
      </c>
      <c r="AI55" s="381" t="s">
        <v>6834</v>
      </c>
      <c r="AJ55" s="379" t="s">
        <v>1243</v>
      </c>
      <c r="AK55" s="197" t="s">
        <v>6871</v>
      </c>
      <c r="AL55" s="167" t="s">
        <v>6845</v>
      </c>
      <c r="AM55" s="198" t="s">
        <v>6834</v>
      </c>
      <c r="AN55" s="379" t="s">
        <v>1243</v>
      </c>
      <c r="AO55" s="382" t="s">
        <v>6872</v>
      </c>
      <c r="AP55" s="202" t="s">
        <v>6847</v>
      </c>
      <c r="AQ55" s="202" t="s">
        <v>6834</v>
      </c>
      <c r="AR55" s="386" t="s">
        <v>1243</v>
      </c>
      <c r="AS55" s="386"/>
      <c r="AT55" s="386"/>
    </row>
    <row r="56">
      <c r="A56" s="197" t="s">
        <v>6873</v>
      </c>
      <c r="B56" s="198" t="s">
        <v>6874</v>
      </c>
      <c r="C56" s="198" t="s">
        <v>6875</v>
      </c>
      <c r="D56" s="379" t="s">
        <v>1243</v>
      </c>
      <c r="E56" s="197" t="str">
        <f>IFERROR(__xludf.DUMMYFUNCTION("GOOGLETRANSLATE(A56,""zh-tw"",""ja"")"),"鉱石")</f>
        <v>鉱石</v>
      </c>
      <c r="F56" s="198" t="s">
        <v>6876</v>
      </c>
      <c r="G56" s="198" t="s">
        <v>6875</v>
      </c>
      <c r="H56" s="379" t="str">
        <f>IFERROR(__xludf.DUMMYFUNCTION("GOOGLETRANSLATE(D56,""zh-tw"",""ja"")"),"-")</f>
        <v>-</v>
      </c>
      <c r="I56" s="197" t="s">
        <v>6877</v>
      </c>
      <c r="J56" s="198" t="s">
        <v>6878</v>
      </c>
      <c r="K56" s="198" t="s">
        <v>6875</v>
      </c>
      <c r="L56" s="379" t="str">
        <f>IFERROR(__xludf.DUMMYFUNCTION("GOOGLETRANSLATE(D56,""zh-tw"",""en"")"),"-")</f>
        <v>-</v>
      </c>
      <c r="M56" s="197" t="str">
        <f>IFERROR(__xludf.DUMMYFUNCTION("GOOGLETRANSLATE(A56,""zh-tw"",""zh"")"),"矿石")</f>
        <v>矿石</v>
      </c>
      <c r="N56" s="198" t="str">
        <f>IFERROR(__xludf.DUMMYFUNCTION("GOOGLETRANSLATE(B56,""zh-tw"",""zh"")"),"蓝辉石
火菱石
魔力小凝胶
随机​​符文
魔力晶簇
深邃魔力晶簇")</f>
        <v>蓝辉石
火菱石
魔力小凝胶
随机​​符文
魔力晶簇
深邃魔力晶簇</v>
      </c>
      <c r="O56" s="198" t="s">
        <v>6875</v>
      </c>
      <c r="P56" s="379" t="str">
        <f>IFERROR(__xludf.DUMMYFUNCTION("GOOGLETRANSLATE(D56,""zh-tw"",""zh"")"),"-")</f>
        <v>-</v>
      </c>
      <c r="Q56" s="197" t="str">
        <f>IFERROR(__xludf.DUMMYFUNCTION("GOOGLETRANSLATE(A56,""zh-tw"",""es-MX"")"),"mineral")</f>
        <v>mineral</v>
      </c>
      <c r="R56" s="198" t="str">
        <f>IFERROR(__xludf.DUMMYFUNCTION("GOOGLETRANSLATE(B56,""zh-tw"",""es-MX"")"),"Zafiro azul
Piedra de fuego
Gel mágico
Runa aleatoria
Grupo de cristales mágicos
Grupo de cristales mágicos profundos")</f>
        <v>Zafiro azul
Piedra de fuego
Gel mágico
Runa aleatoria
Grupo de cristales mágicos
Grupo de cristales mágicos profundos</v>
      </c>
      <c r="S56" s="198" t="s">
        <v>6875</v>
      </c>
      <c r="T56" s="379" t="str">
        <f>IFERROR(__xludf.DUMMYFUNCTION("GOOGLETRANSLATE(D56,""zh-tw"",""es-MX"")"),"-")</f>
        <v>-</v>
      </c>
      <c r="U56" s="197" t="str">
        <f>IFERROR(__xludf.DUMMYFUNCTION("GOOGLETRANSLATE(A56,""zh-tw"",""KO"")"),"광석")</f>
        <v>광석</v>
      </c>
      <c r="V56" s="198" t="str">
        <f>IFERROR(__xludf.DUMMYFUNCTION("GOOGLETRANSLATE(B56,""zh-tw"",""KO"")"),"블루 사파이어
파이어스톤
매직 젤
랜덤 룬
매직 크리스탈 클러스터
딥 매직 크리스탈 클러스터")</f>
        <v>블루 사파이어
파이어스톤
매직 젤
랜덤 룬
매직 크리스탈 클러스터
딥 매직 크리스탈 클러스터</v>
      </c>
      <c r="W56" s="198" t="s">
        <v>6875</v>
      </c>
      <c r="X56" s="379" t="str">
        <f>IFERROR(__xludf.DUMMYFUNCTION("GOOGLETRANSLATE(D56,""zh-tw"",""KO"")"),"-")</f>
        <v>-</v>
      </c>
      <c r="Y56" s="153" t="s">
        <v>6879</v>
      </c>
      <c r="Z56" s="155" t="s">
        <v>6880</v>
      </c>
      <c r="AA56" s="155" t="s">
        <v>6875</v>
      </c>
      <c r="AB56" s="379" t="s">
        <v>1243</v>
      </c>
      <c r="AC56" s="197" t="s">
        <v>6881</v>
      </c>
      <c r="AD56" s="198" t="s">
        <v>6882</v>
      </c>
      <c r="AE56" s="198" t="s">
        <v>6875</v>
      </c>
      <c r="AF56" s="379" t="s">
        <v>6883</v>
      </c>
      <c r="AG56" s="187" t="s">
        <v>6884</v>
      </c>
      <c r="AH56" s="381" t="s">
        <v>6885</v>
      </c>
      <c r="AI56" s="381" t="s">
        <v>6875</v>
      </c>
      <c r="AJ56" s="379" t="s">
        <v>1243</v>
      </c>
      <c r="AK56" s="197" t="s">
        <v>6886</v>
      </c>
      <c r="AL56" s="198" t="s">
        <v>6887</v>
      </c>
      <c r="AM56" s="198" t="s">
        <v>6875</v>
      </c>
      <c r="AN56" s="379" t="s">
        <v>1243</v>
      </c>
      <c r="AO56" s="382" t="s">
        <v>6888</v>
      </c>
      <c r="AP56" s="202" t="s">
        <v>6889</v>
      </c>
      <c r="AQ56" s="202" t="s">
        <v>6875</v>
      </c>
      <c r="AR56" s="383" t="s">
        <v>1243</v>
      </c>
      <c r="AS56" s="383"/>
      <c r="AT56" s="383"/>
    </row>
    <row r="57">
      <c r="A57" s="197" t="s">
        <v>6890</v>
      </c>
      <c r="B57" s="198" t="s">
        <v>6891</v>
      </c>
      <c r="C57" s="198" t="s">
        <v>6892</v>
      </c>
      <c r="D57" s="379" t="s">
        <v>1243</v>
      </c>
      <c r="E57" s="197" t="str">
        <f>IFERROR(__xludf.DUMMYFUNCTION("GOOGLETRANSLATE(A57,""zh-tw"",""ja"")"),"果樹")</f>
        <v>果樹</v>
      </c>
      <c r="F57" s="198" t="s">
        <v>6893</v>
      </c>
      <c r="G57" s="198" t="s">
        <v>6892</v>
      </c>
      <c r="H57" s="379" t="str">
        <f>IFERROR(__xludf.DUMMYFUNCTION("GOOGLETRANSLATE(D57,""zh-tw"",""ja"")"),"-")</f>
        <v>-</v>
      </c>
      <c r="I57" s="197" t="s">
        <v>6894</v>
      </c>
      <c r="J57" s="198" t="s">
        <v>6895</v>
      </c>
      <c r="K57" s="198" t="s">
        <v>6892</v>
      </c>
      <c r="L57" s="379" t="str">
        <f>IFERROR(__xludf.DUMMYFUNCTION("GOOGLETRANSLATE(D57,""zh-tw"",""en"")"),"-")</f>
        <v>-</v>
      </c>
      <c r="M57" s="197" t="str">
        <f>IFERROR(__xludf.DUMMYFUNCTION("GOOGLETRANSLATE(A57,""zh-tw"",""zh"")"),"果树")</f>
        <v>果树</v>
      </c>
      <c r="N57" s="198" t="str">
        <f>IFERROR(__xludf.DUMMYFUNCTION("GOOGLETRANSLATE(B57,""zh-tw"",""zh"")"),"芳草心
硬木棒
硬木剑
大木槌
寄生刃
柳叶长剑
古树残骸")</f>
        <v>芳草心
硬木棒
硬木剑
大木槌
寄生刃
柳叶长剑
古树残骸</v>
      </c>
      <c r="O57" s="198" t="s">
        <v>6892</v>
      </c>
      <c r="P57" s="379" t="str">
        <f>IFERROR(__xludf.DUMMYFUNCTION("GOOGLETRANSLATE(D57,""zh-tw"",""zh"")"),"-")</f>
        <v>-</v>
      </c>
      <c r="Q57" s="197" t="str">
        <f>IFERROR(__xludf.DUMMYFUNCTION("GOOGLETRANSLATE(A57,""zh-tw"",""es-MX"")"),"árboles frutales")</f>
        <v>árboles frutales</v>
      </c>
      <c r="R57" s="198" t="str">
        <f>IFERROR(__xludf.DUMMYFUNCTION("GOOGLETRANSLATE(B57,""zh-tw"",""es-MX"")"),"Corazón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7" s="198" t="s">
        <v>6892</v>
      </c>
      <c r="T57" s="379" t="str">
        <f>IFERROR(__xludf.DUMMYFUNCTION("GOOGLETRANSLATE(D57,""zh-tw"",""es-MX"")"),"-")</f>
        <v>-</v>
      </c>
      <c r="U57" s="197" t="str">
        <f>IFERROR(__xludf.DUMMYFUNCTION("GOOGLETRANSLATE(A57,""zh-tw"",""KO"")"),"과일나무")</f>
        <v>과일나무</v>
      </c>
      <c r="V57" s="198" t="str">
        <f>IFERROR(__xludf.DUMMYFUNCTION("GOOGLETRANSLATE(B57,""zh-tw"",""KO"")"),"향기로운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7" s="198" t="s">
        <v>6892</v>
      </c>
      <c r="X57" s="379" t="str">
        <f>IFERROR(__xludf.DUMMYFUNCTION("GOOGLETRANSLATE(D57,""zh-tw"",""KO"")"),"-")</f>
        <v>-</v>
      </c>
      <c r="Y57" s="153" t="s">
        <v>6896</v>
      </c>
      <c r="Z57" s="155" t="s">
        <v>6897</v>
      </c>
      <c r="AA57" s="155" t="s">
        <v>6892</v>
      </c>
      <c r="AB57" s="379" t="s">
        <v>1243</v>
      </c>
      <c r="AC57" s="197" t="s">
        <v>6898</v>
      </c>
      <c r="AD57" s="198" t="s">
        <v>6899</v>
      </c>
      <c r="AE57" s="198" t="s">
        <v>6892</v>
      </c>
      <c r="AF57" s="379" t="s">
        <v>6900</v>
      </c>
      <c r="AG57" s="187" t="s">
        <v>6901</v>
      </c>
      <c r="AH57" s="381" t="s">
        <v>6902</v>
      </c>
      <c r="AI57" s="381" t="s">
        <v>6892</v>
      </c>
      <c r="AJ57" s="379" t="s">
        <v>1243</v>
      </c>
      <c r="AK57" s="197" t="s">
        <v>6903</v>
      </c>
      <c r="AL57" s="198" t="s">
        <v>6904</v>
      </c>
      <c r="AM57" s="198" t="s">
        <v>6892</v>
      </c>
      <c r="AN57" s="379" t="s">
        <v>1243</v>
      </c>
      <c r="AO57" s="382" t="s">
        <v>6905</v>
      </c>
      <c r="AP57" s="202" t="s">
        <v>6906</v>
      </c>
      <c r="AQ57" s="202" t="s">
        <v>6892</v>
      </c>
      <c r="AR57" s="383" t="s">
        <v>1243</v>
      </c>
      <c r="AS57" s="383"/>
      <c r="AT57" s="383"/>
    </row>
    <row r="58">
      <c r="A58" s="197" t="s">
        <v>6907</v>
      </c>
      <c r="B58" s="198" t="s">
        <v>6907</v>
      </c>
      <c r="C58" s="198">
        <v>100.0</v>
      </c>
      <c r="D58" s="379" t="s">
        <v>1243</v>
      </c>
      <c r="E58" s="197" t="s">
        <v>6908</v>
      </c>
      <c r="F58" s="198" t="s">
        <v>6908</v>
      </c>
      <c r="G58" s="198">
        <v>100.0</v>
      </c>
      <c r="H58" s="379" t="str">
        <f>IFERROR(__xludf.DUMMYFUNCTION("GOOGLETRANSLATE(D58,""zh-tw"",""ja"")"),"-")</f>
        <v>-</v>
      </c>
      <c r="I58" s="197" t="s">
        <v>6909</v>
      </c>
      <c r="J58" s="198" t="s">
        <v>6909</v>
      </c>
      <c r="K58" s="198">
        <v>100.0</v>
      </c>
      <c r="L58" s="379"/>
      <c r="M58" s="197" t="str">
        <f>IFERROR(__xludf.DUMMYFUNCTION("GOOGLETRANSLATE(A58,""zh-tw"",""zh"")"),"苹果")</f>
        <v>苹果</v>
      </c>
      <c r="N58" s="198" t="str">
        <f>IFERROR(__xludf.DUMMYFUNCTION("GOOGLETRANSLATE(B58,""zh-tw"",""zh"")"),"苹果")</f>
        <v>苹果</v>
      </c>
      <c r="O58" s="198">
        <v>100.0</v>
      </c>
      <c r="P58" s="379" t="str">
        <f>IFERROR(__xludf.DUMMYFUNCTION("GOOGLETRANSLATE(D58,""zh-tw"",""zh"")"),"-")</f>
        <v>-</v>
      </c>
      <c r="Q58" s="197" t="str">
        <f>IFERROR(__xludf.DUMMYFUNCTION("GOOGLETRANSLATE(A58,""zh-tw"",""es-MX"")"),"manzana")</f>
        <v>manzana</v>
      </c>
      <c r="R58" s="198" t="str">
        <f>IFERROR(__xludf.DUMMYFUNCTION("GOOGLETRANSLATE(B58,""zh-tw"",""es-MX"")"),"manzana")</f>
        <v>manzana</v>
      </c>
      <c r="S58" s="198">
        <v>100.0</v>
      </c>
      <c r="T58" s="379" t="str">
        <f>IFERROR(__xludf.DUMMYFUNCTION("GOOGLETRANSLATE(D58,""zh-tw"",""es-MX"")"),"-")</f>
        <v>-</v>
      </c>
      <c r="U58" s="197" t="str">
        <f>IFERROR(__xludf.DUMMYFUNCTION("GOOGLETRANSLATE(A58,""zh-tw"",""KO"")"),"사과")</f>
        <v>사과</v>
      </c>
      <c r="V58" s="198" t="str">
        <f>IFERROR(__xludf.DUMMYFUNCTION("GOOGLETRANSLATE(B58,""zh-tw"",""KO"")"),"사과")</f>
        <v>사과</v>
      </c>
      <c r="W58" s="198">
        <v>100.0</v>
      </c>
      <c r="X58" s="379" t="str">
        <f>IFERROR(__xludf.DUMMYFUNCTION("GOOGLETRANSLATE(D58,""zh-tw"",""KO"")"),"-")</f>
        <v>-</v>
      </c>
      <c r="Y58" s="153" t="s">
        <v>6910</v>
      </c>
      <c r="Z58" s="155" t="s">
        <v>6910</v>
      </c>
      <c r="AA58" s="155">
        <v>100.0</v>
      </c>
      <c r="AB58" s="379" t="s">
        <v>1243</v>
      </c>
      <c r="AC58" s="197" t="s">
        <v>6911</v>
      </c>
      <c r="AD58" s="198" t="s">
        <v>6911</v>
      </c>
      <c r="AE58" s="198">
        <v>100.0</v>
      </c>
      <c r="AF58" s="379" t="s">
        <v>1243</v>
      </c>
      <c r="AG58" s="187" t="s">
        <v>6912</v>
      </c>
      <c r="AH58" s="381" t="s">
        <v>6912</v>
      </c>
      <c r="AI58" s="381">
        <v>100.0</v>
      </c>
      <c r="AJ58" s="379" t="s">
        <v>1243</v>
      </c>
      <c r="AK58" s="197" t="s">
        <v>6913</v>
      </c>
      <c r="AL58" s="198" t="s">
        <v>6913</v>
      </c>
      <c r="AM58" s="198">
        <v>100.0</v>
      </c>
      <c r="AN58" s="379" t="s">
        <v>1243</v>
      </c>
      <c r="AO58" s="382" t="s">
        <v>6914</v>
      </c>
      <c r="AP58" s="202" t="s">
        <v>6914</v>
      </c>
      <c r="AQ58" s="202" t="s">
        <v>6259</v>
      </c>
      <c r="AR58" s="386" t="s">
        <v>1243</v>
      </c>
      <c r="AS58" s="386"/>
      <c r="AT58" s="386"/>
    </row>
    <row r="59">
      <c r="A59" s="197" t="s">
        <v>6915</v>
      </c>
      <c r="B59" s="198" t="s">
        <v>6916</v>
      </c>
      <c r="C59" s="198" t="s">
        <v>6917</v>
      </c>
      <c r="D59" s="379" t="s">
        <v>6918</v>
      </c>
      <c r="E59" s="197" t="str">
        <f>IFERROR(__xludf.DUMMYFUNCTION("GOOGLETRANSLATE(A59,""zh-tw"",""ja"")"),"イチゴの苗")</f>
        <v>イチゴの苗</v>
      </c>
      <c r="F59" s="198" t="str">
        <f>IFERROR(__xludf.DUMMYFUNCTION("GOOGLETRANSLATE(B59,""zh-tw"",""ja"")"),"いちご")</f>
        <v>いちご</v>
      </c>
      <c r="G59" s="198" t="s">
        <v>6917</v>
      </c>
      <c r="H59" s="379" t="str">
        <f>IFERROR(__xludf.DUMMYFUNCTION("GOOGLETRANSLATE(D59,""zh-tw"",""ja"")"),"2個のアイテムをドロップする確率は40%、3個のアイテムをドロップする確率は8%です。")</f>
        <v>2個のアイテムをドロップする確率は40%、3個のアイテムをドロップする確率は8%です。</v>
      </c>
      <c r="I59" s="197" t="s">
        <v>6919</v>
      </c>
      <c r="J59" s="198" t="s">
        <v>6920</v>
      </c>
      <c r="K59" s="198" t="s">
        <v>6917</v>
      </c>
      <c r="L59" s="379" t="str">
        <f>IFERROR(__xludf.DUMMYFUNCTION("GOOGLETRANSLATE(D59,""zh-tw"",""en"")"),"There is a 40% chance of dropping 2 items, and an 8% chance of dropping 3 items.")</f>
        <v>There is a 40% chance of dropping 2 items, and an 8% chance of dropping 3 items.</v>
      </c>
      <c r="M59" s="197" t="str">
        <f>IFERROR(__xludf.DUMMYFUNCTION("GOOGLETRANSLATE(A59,""zh-tw"",""zh"")"),"草莓苗")</f>
        <v>草莓苗</v>
      </c>
      <c r="N59" s="198" t="str">
        <f>IFERROR(__xludf.DUMMYFUNCTION("GOOGLETRANSLATE(B59,""zh-tw"",""zh"")"),"草莓")</f>
        <v>草莓</v>
      </c>
      <c r="O59" s="198" t="s">
        <v>6917</v>
      </c>
      <c r="P59" s="379" t="str">
        <f>IFERROR(__xludf.DUMMYFUNCTION("GOOGLETRANSLATE(D59,""zh-tw"",""zh"")"),"有40%机率掉落2个，8%机率掉落3个")</f>
        <v>有40%机率掉落2个，8%机率掉落3个</v>
      </c>
      <c r="Q59" s="197" t="str">
        <f>IFERROR(__xludf.DUMMYFUNCTION("GOOGLETRANSLATE(A59,""zh-tw"",""es-MX"")"),"plántulas de fresa")</f>
        <v>plántulas de fresa</v>
      </c>
      <c r="R59" s="198" t="str">
        <f>IFERROR(__xludf.DUMMYFUNCTION("GOOGLETRANSLATE(B59,""zh-tw"",""es-MX"")"),"fresa")</f>
        <v>fresa</v>
      </c>
      <c r="S59" s="198" t="s">
        <v>6917</v>
      </c>
      <c r="T59" s="379" t="str">
        <f>IFERROR(__xludf.DUMMYFUNCTION("GOOGLETRANSLATE(D59,""zh-tw"",""es-MX"")"),"Existe un 40% de probabilidad de obtener 2 objetos y un 8% de probabilidad de obtener 3 objetos.")</f>
        <v>Existe un 40% de probabilidad de obtener 2 objetos y un 8% de probabilidad de obtener 3 objetos.</v>
      </c>
      <c r="U59" s="197" t="s">
        <v>6921</v>
      </c>
      <c r="V59" s="198" t="str">
        <f>IFERROR(__xludf.DUMMYFUNCTION("GOOGLETRANSLATE(B59,""zh-tw"",""KO"")"),"딸기")</f>
        <v>딸기</v>
      </c>
      <c r="W59" s="198" t="s">
        <v>6917</v>
      </c>
      <c r="X59" s="379" t="str">
        <f>IFERROR(__xludf.DUMMYFUNCTION("GOOGLETRANSLATE(D59,""zh-tw"",""KO"")"),"아이템 2개가 드롭될 확률은 40%, 아이템 3개가 드롭될 확률은 8%입니다.")</f>
        <v>아이템 2개가 드롭될 확률은 40%, 아이템 3개가 드롭될 확률은 8%입니다.</v>
      </c>
      <c r="Y59" s="153" t="s">
        <v>6922</v>
      </c>
      <c r="Z59" s="155" t="s">
        <v>6923</v>
      </c>
      <c r="AA59" s="155" t="s">
        <v>6917</v>
      </c>
      <c r="AB59" s="379" t="s">
        <v>6924</v>
      </c>
      <c r="AC59" s="197" t="s">
        <v>6925</v>
      </c>
      <c r="AD59" s="198" t="s">
        <v>6926</v>
      </c>
      <c r="AE59" s="198" t="s">
        <v>6917</v>
      </c>
      <c r="AF59" s="379" t="s">
        <v>6927</v>
      </c>
      <c r="AG59" s="187" t="s">
        <v>6928</v>
      </c>
      <c r="AH59" s="381" t="s">
        <v>6929</v>
      </c>
      <c r="AI59" s="381" t="s">
        <v>6917</v>
      </c>
      <c r="AJ59" s="379" t="s">
        <v>6930</v>
      </c>
      <c r="AK59" s="197" t="s">
        <v>6931</v>
      </c>
      <c r="AL59" s="198" t="s">
        <v>6932</v>
      </c>
      <c r="AM59" s="198" t="s">
        <v>6917</v>
      </c>
      <c r="AN59" s="379" t="s">
        <v>6933</v>
      </c>
      <c r="AO59" s="382" t="s">
        <v>6934</v>
      </c>
      <c r="AP59" s="202" t="s">
        <v>6935</v>
      </c>
      <c r="AQ59" s="202" t="s">
        <v>6917</v>
      </c>
      <c r="AR59" s="383" t="s">
        <v>6936</v>
      </c>
      <c r="AS59" s="383"/>
      <c r="AT59" s="383"/>
    </row>
    <row r="60">
      <c r="A60" s="197" t="s">
        <v>6937</v>
      </c>
      <c r="B60" s="198" t="s">
        <v>6938</v>
      </c>
      <c r="C60" s="198" t="s">
        <v>6917</v>
      </c>
      <c r="D60" s="379" t="s">
        <v>6918</v>
      </c>
      <c r="E60" s="197" t="str">
        <f>IFERROR(__xludf.DUMMYFUNCTION("GOOGLETRANSLATE(A60,""zh-tw"",""ja"")"),"ジャガイモの芽")</f>
        <v>ジャガイモの芽</v>
      </c>
      <c r="F60" s="198" t="str">
        <f>IFERROR(__xludf.DUMMYFUNCTION("GOOGLETRANSLATE(B60,""zh-tw"",""ja"")"),"じゃがいも")</f>
        <v>じゃがいも</v>
      </c>
      <c r="G60" s="198" t="s">
        <v>6917</v>
      </c>
      <c r="H60" s="379"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197" t="s">
        <v>6939</v>
      </c>
      <c r="J60" s="198" t="s">
        <v>6940</v>
      </c>
      <c r="K60" s="198" t="s">
        <v>6917</v>
      </c>
      <c r="L60" s="379" t="str">
        <f>IFERROR(__xludf.DUMMYFUNCTION("GOOGLETRANSLATE(D60,""zh-tw"",""en"")"),"There is a 40% chance of dropping 2 items, and an 8% chance of dropping 3 items.")</f>
        <v>There is a 40% chance of dropping 2 items, and an 8% chance of dropping 3 items.</v>
      </c>
      <c r="M60" s="197" t="str">
        <f>IFERROR(__xludf.DUMMYFUNCTION("GOOGLETRANSLATE(A60,""zh-tw"",""zh"")"),"土豆苗")</f>
        <v>土豆苗</v>
      </c>
      <c r="N60" s="198" t="str">
        <f>IFERROR(__xludf.DUMMYFUNCTION("GOOGLETRANSLATE(B60,""zh-tw"",""zh"")"),"土豆")</f>
        <v>土豆</v>
      </c>
      <c r="O60" s="198" t="s">
        <v>6917</v>
      </c>
      <c r="P60" s="379" t="str">
        <f>IFERROR(__xludf.DUMMYFUNCTION("GOOGLETRANSLATE(D60,""zh-tw"",""zh"")"),"有40%机率掉落2个，8%机率掉落3个")</f>
        <v>有40%机率掉落2个，8%机率掉落3个</v>
      </c>
      <c r="Q60" s="197" t="str">
        <f>IFERROR(__xludf.DUMMYFUNCTION("GOOGLETRANSLATE(A60,""zh-tw"",""es-MX"")"),"brotes de patata")</f>
        <v>brotes de patata</v>
      </c>
      <c r="R60" s="198" t="str">
        <f>IFERROR(__xludf.DUMMYFUNCTION("GOOGLETRANSLATE(B60,""zh-tw"",""es-MX"")"),"Papa")</f>
        <v>Papa</v>
      </c>
      <c r="S60" s="198" t="s">
        <v>6917</v>
      </c>
      <c r="T60" s="379" t="str">
        <f>IFERROR(__xludf.DUMMYFUNCTION("GOOGLETRANSLATE(D60,""zh-tw"",""es-MX"")"),"Existe un 40% de probabilidad de obtener 2 objetos y un 8% de probabilidad de obtener 3 objetos.")</f>
        <v>Existe un 40% de probabilidad de obtener 2 objetos y un 8% de probabilidad de obtener 3 objetos.</v>
      </c>
      <c r="U60" s="197" t="s">
        <v>6941</v>
      </c>
      <c r="V60" s="198" t="str">
        <f>IFERROR(__xludf.DUMMYFUNCTION("GOOGLETRANSLATE(B60,""zh-tw"",""KO"")"),"감자")</f>
        <v>감자</v>
      </c>
      <c r="W60" s="198" t="s">
        <v>6917</v>
      </c>
      <c r="X60" s="379" t="str">
        <f>IFERROR(__xludf.DUMMYFUNCTION("GOOGLETRANSLATE(D60,""zh-tw"",""KO"")"),"아이템 2개가 드롭될 확률은 40%, 아이템 3개가 드롭될 확률은 8%입니다.")</f>
        <v>아이템 2개가 드롭될 확률은 40%, 아이템 3개가 드롭될 확률은 8%입니다.</v>
      </c>
      <c r="Y60" s="153" t="s">
        <v>6942</v>
      </c>
      <c r="Z60" s="155" t="s">
        <v>6943</v>
      </c>
      <c r="AA60" s="155" t="s">
        <v>6917</v>
      </c>
      <c r="AB60" s="379" t="s">
        <v>6924</v>
      </c>
      <c r="AC60" s="197" t="s">
        <v>6944</v>
      </c>
      <c r="AD60" s="198" t="s">
        <v>6945</v>
      </c>
      <c r="AE60" s="198" t="s">
        <v>6917</v>
      </c>
      <c r="AF60" s="379" t="s">
        <v>6927</v>
      </c>
      <c r="AG60" s="187" t="s">
        <v>6946</v>
      </c>
      <c r="AH60" s="381" t="s">
        <v>6947</v>
      </c>
      <c r="AI60" s="381" t="s">
        <v>6917</v>
      </c>
      <c r="AJ60" s="379" t="s">
        <v>6930</v>
      </c>
      <c r="AK60" s="197" t="s">
        <v>6948</v>
      </c>
      <c r="AL60" s="198" t="s">
        <v>6949</v>
      </c>
      <c r="AM60" s="198" t="s">
        <v>6917</v>
      </c>
      <c r="AN60" s="379" t="s">
        <v>6933</v>
      </c>
      <c r="AO60" s="382" t="s">
        <v>6950</v>
      </c>
      <c r="AP60" s="202" t="s">
        <v>6951</v>
      </c>
      <c r="AQ60" s="202" t="s">
        <v>6917</v>
      </c>
      <c r="AR60" s="383" t="s">
        <v>6936</v>
      </c>
      <c r="AS60" s="383"/>
      <c r="AT60" s="383"/>
    </row>
    <row r="61">
      <c r="A61" s="197" t="s">
        <v>6952</v>
      </c>
      <c r="B61" s="198" t="s">
        <v>6953</v>
      </c>
      <c r="C61" s="198" t="s">
        <v>6917</v>
      </c>
      <c r="D61" s="379" t="s">
        <v>6918</v>
      </c>
      <c r="E61" s="197" t="str">
        <f>IFERROR(__xludf.DUMMYFUNCTION("GOOGLETRANSLATE(A61,""zh-tw"",""ja"")"),"トマトの苗")</f>
        <v>トマトの苗</v>
      </c>
      <c r="F61" s="198" t="str">
        <f>IFERROR(__xludf.DUMMYFUNCTION("GOOGLETRANSLATE(B61,""zh-tw"",""ja"")"),"トマト")</f>
        <v>トマト</v>
      </c>
      <c r="G61" s="198" t="s">
        <v>6917</v>
      </c>
      <c r="H61" s="379"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197" t="s">
        <v>6954</v>
      </c>
      <c r="J61" s="198" t="s">
        <v>6955</v>
      </c>
      <c r="K61" s="198" t="s">
        <v>6917</v>
      </c>
      <c r="L61" s="379" t="str">
        <f>IFERROR(__xludf.DUMMYFUNCTION("GOOGLETRANSLATE(D61,""zh-tw"",""en"")"),"There is a 40% chance of dropping 2 items, and an 8% chance of dropping 3 items.")</f>
        <v>There is a 40% chance of dropping 2 items, and an 8% chance of dropping 3 items.</v>
      </c>
      <c r="M61" s="197" t="str">
        <f>IFERROR(__xludf.DUMMYFUNCTION("GOOGLETRANSLATE(A61,""zh-tw"",""zh"")"),"番茄苗")</f>
        <v>番茄苗</v>
      </c>
      <c r="N61" s="198" t="str">
        <f>IFERROR(__xludf.DUMMYFUNCTION("GOOGLETRANSLATE(B61,""zh-tw"",""zh"")"),"番茄")</f>
        <v>番茄</v>
      </c>
      <c r="O61" s="198" t="s">
        <v>6917</v>
      </c>
      <c r="P61" s="379" t="str">
        <f>IFERROR(__xludf.DUMMYFUNCTION("GOOGLETRANSLATE(D61,""zh-tw"",""zh"")"),"有40%机率掉落2个，8%机率掉落3个")</f>
        <v>有40%机率掉落2个，8%机率掉落3个</v>
      </c>
      <c r="Q61" s="197" t="str">
        <f>IFERROR(__xludf.DUMMYFUNCTION("GOOGLETRANSLATE(A61,""zh-tw"",""es-MX"")"),"Plántulas de tomate")</f>
        <v>Plántulas de tomate</v>
      </c>
      <c r="R61" s="198" t="str">
        <f>IFERROR(__xludf.DUMMYFUNCTION("GOOGLETRANSLATE(B61,""zh-tw"",""es-MX"")"),"tomate")</f>
        <v>tomate</v>
      </c>
      <c r="S61" s="198" t="s">
        <v>6917</v>
      </c>
      <c r="T61" s="379" t="str">
        <f>IFERROR(__xludf.DUMMYFUNCTION("GOOGLETRANSLATE(D61,""zh-tw"",""es-MX"")"),"Existe un 40% de probabilidad de obtener 2 objetos y un 8% de probabilidad de obtener 3 objetos.")</f>
        <v>Existe un 40% de probabilidad de obtener 2 objetos y un 8% de probabilidad de obtener 3 objetos.</v>
      </c>
      <c r="U61" s="197" t="str">
        <f>IFERROR(__xludf.DUMMYFUNCTION("GOOGLETRANSLATE(A61,""zh-tw"",""KO"")"),"토마토 모종")</f>
        <v>토마토 모종</v>
      </c>
      <c r="V61" s="198" t="str">
        <f>IFERROR(__xludf.DUMMYFUNCTION("GOOGLETRANSLATE(B61,""zh-tw"",""KO"")"),"토마토")</f>
        <v>토마토</v>
      </c>
      <c r="W61" s="198" t="s">
        <v>6917</v>
      </c>
      <c r="X61" s="379" t="str">
        <f>IFERROR(__xludf.DUMMYFUNCTION("GOOGLETRANSLATE(D61,""zh-tw"",""KO"")"),"아이템 2개가 드롭될 확률은 40%, 아이템 3개가 드롭될 확률은 8%입니다.")</f>
        <v>아이템 2개가 드롭될 확률은 40%, 아이템 3개가 드롭될 확률은 8%입니다.</v>
      </c>
      <c r="Y61" s="153" t="s">
        <v>6956</v>
      </c>
      <c r="Z61" s="155" t="s">
        <v>6957</v>
      </c>
      <c r="AA61" s="155" t="s">
        <v>6917</v>
      </c>
      <c r="AB61" s="379" t="s">
        <v>6924</v>
      </c>
      <c r="AC61" s="197" t="s">
        <v>6958</v>
      </c>
      <c r="AD61" s="198" t="s">
        <v>6959</v>
      </c>
      <c r="AE61" s="198" t="s">
        <v>6917</v>
      </c>
      <c r="AF61" s="379" t="s">
        <v>6927</v>
      </c>
      <c r="AG61" s="187" t="s">
        <v>6960</v>
      </c>
      <c r="AH61" s="381" t="s">
        <v>6961</v>
      </c>
      <c r="AI61" s="381" t="s">
        <v>6917</v>
      </c>
      <c r="AJ61" s="379" t="s">
        <v>6930</v>
      </c>
      <c r="AK61" s="197" t="s">
        <v>6962</v>
      </c>
      <c r="AL61" s="198" t="s">
        <v>6963</v>
      </c>
      <c r="AM61" s="198" t="s">
        <v>6917</v>
      </c>
      <c r="AN61" s="379" t="s">
        <v>6933</v>
      </c>
      <c r="AO61" s="382" t="s">
        <v>6964</v>
      </c>
      <c r="AP61" s="202" t="s">
        <v>6965</v>
      </c>
      <c r="AQ61" s="202" t="s">
        <v>6917</v>
      </c>
      <c r="AR61" s="383" t="s">
        <v>6936</v>
      </c>
      <c r="AS61" s="383"/>
      <c r="AT61" s="383"/>
    </row>
    <row r="62">
      <c r="A62" s="197" t="s">
        <v>6966</v>
      </c>
      <c r="B62" s="198" t="s">
        <v>6967</v>
      </c>
      <c r="C62" s="198" t="s">
        <v>6917</v>
      </c>
      <c r="D62" s="379" t="s">
        <v>6918</v>
      </c>
      <c r="E62" s="197" t="str">
        <f>IFERROR(__xludf.DUMMYFUNCTION("GOOGLETRANSLATE(A62,""zh-tw"",""ja"")"),"唐辛子の苗")</f>
        <v>唐辛子の苗</v>
      </c>
      <c r="F62" s="198" t="str">
        <f>IFERROR(__xludf.DUMMYFUNCTION("GOOGLETRANSLATE(B62,""zh-tw"",""ja"")"),"チリ")</f>
        <v>チリ</v>
      </c>
      <c r="G62" s="198" t="s">
        <v>6917</v>
      </c>
      <c r="H62" s="379"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197" t="s">
        <v>6968</v>
      </c>
      <c r="J62" s="198" t="s">
        <v>6969</v>
      </c>
      <c r="K62" s="198" t="s">
        <v>6917</v>
      </c>
      <c r="L62" s="379" t="str">
        <f>IFERROR(__xludf.DUMMYFUNCTION("GOOGLETRANSLATE(D62,""zh-tw"",""en"")"),"There is a 40% chance of dropping 2 items, and an 8% chance of dropping 3 items.")</f>
        <v>There is a 40% chance of dropping 2 items, and an 8% chance of dropping 3 items.</v>
      </c>
      <c r="M62" s="197" t="str">
        <f>IFERROR(__xludf.DUMMYFUNCTION("GOOGLETRANSLATE(A62,""zh-tw"",""zh"")"),"辣椒苗")</f>
        <v>辣椒苗</v>
      </c>
      <c r="N62" s="198" t="str">
        <f>IFERROR(__xludf.DUMMYFUNCTION("GOOGLETRANSLATE(B62,""zh-tw"",""zh"")"),"辣椒")</f>
        <v>辣椒</v>
      </c>
      <c r="O62" s="198" t="s">
        <v>6917</v>
      </c>
      <c r="P62" s="379" t="str">
        <f>IFERROR(__xludf.DUMMYFUNCTION("GOOGLETRANSLATE(D62,""zh-tw"",""zh"")"),"有40%机率掉落2个，8%机率掉落3个")</f>
        <v>有40%机率掉落2个，8%机率掉落3个</v>
      </c>
      <c r="Q62" s="197" t="str">
        <f>IFERROR(__xludf.DUMMYFUNCTION("GOOGLETRANSLATE(A62,""zh-tw"",""es-MX"")"),"Plántulas de chile")</f>
        <v>Plántulas de chile</v>
      </c>
      <c r="R62" s="198" t="str">
        <f>IFERROR(__xludf.DUMMYFUNCTION("GOOGLETRANSLATE(B62,""zh-tw"",""es-MX"")"),"chile")</f>
        <v>chile</v>
      </c>
      <c r="S62" s="198">
        <v>35.0</v>
      </c>
      <c r="T62" s="379" t="str">
        <f>IFERROR(__xludf.DUMMYFUNCTION("GOOGLETRANSLATE(D62,""zh-tw"",""es-MX"")"),"Existe un 40% de probabilidad de obtener 2 objetos y un 8% de probabilidad de obtener 3 objetos.")</f>
        <v>Existe un 40% de probabilidad de obtener 2 objetos y un 8% de probabilidad de obtener 3 objetos.</v>
      </c>
      <c r="U62" s="197" t="str">
        <f>IFERROR(__xludf.DUMMYFUNCTION("GOOGLETRANSLATE(A62,""zh-tw"",""KO"")"),"고추 모종")</f>
        <v>고추 모종</v>
      </c>
      <c r="V62" s="198" t="str">
        <f>IFERROR(__xludf.DUMMYFUNCTION("GOOGLETRANSLATE(B62,""zh-tw"",""KO"")"),"칠리")</f>
        <v>칠리</v>
      </c>
      <c r="W62" s="198" t="s">
        <v>6917</v>
      </c>
      <c r="X62" s="379" t="str">
        <f>IFERROR(__xludf.DUMMYFUNCTION("GOOGLETRANSLATE(D62,""zh-tw"",""KO"")"),"아이템 2개가 드롭될 확률은 40%, 아이템 3개가 드롭될 확률은 8%입니다.")</f>
        <v>아이템 2개가 드롭될 확률은 40%, 아이템 3개가 드롭될 확률은 8%입니다.</v>
      </c>
      <c r="Y62" s="153" t="s">
        <v>6970</v>
      </c>
      <c r="Z62" s="155" t="s">
        <v>6971</v>
      </c>
      <c r="AA62" s="155" t="s">
        <v>6917</v>
      </c>
      <c r="AB62" s="379" t="s">
        <v>6924</v>
      </c>
      <c r="AC62" s="197" t="s">
        <v>6972</v>
      </c>
      <c r="AD62" s="198" t="s">
        <v>6973</v>
      </c>
      <c r="AE62" s="198" t="s">
        <v>6917</v>
      </c>
      <c r="AF62" s="379" t="s">
        <v>6927</v>
      </c>
      <c r="AG62" s="187" t="s">
        <v>6974</v>
      </c>
      <c r="AH62" s="381" t="s">
        <v>6975</v>
      </c>
      <c r="AI62" s="381" t="s">
        <v>6917</v>
      </c>
      <c r="AJ62" s="379" t="s">
        <v>6930</v>
      </c>
      <c r="AK62" s="197" t="s">
        <v>6976</v>
      </c>
      <c r="AL62" s="198" t="s">
        <v>6977</v>
      </c>
      <c r="AM62" s="198" t="s">
        <v>6917</v>
      </c>
      <c r="AN62" s="379" t="s">
        <v>6933</v>
      </c>
      <c r="AO62" s="382" t="s">
        <v>6978</v>
      </c>
      <c r="AP62" s="202" t="s">
        <v>6979</v>
      </c>
      <c r="AQ62" s="202" t="s">
        <v>6917</v>
      </c>
      <c r="AR62" s="383" t="s">
        <v>6936</v>
      </c>
      <c r="AS62" s="383"/>
      <c r="AT62" s="383"/>
    </row>
    <row r="63">
      <c r="A63" s="376" t="s">
        <v>6980</v>
      </c>
      <c r="E63" s="376" t="str">
        <f>IFERROR(__xludf.DUMMYFUNCTION("GOOGLETRANSLATE(A63,""zh-tw"",""ja"")"),"火山溶岩関連")</f>
        <v>火山溶岩関連</v>
      </c>
      <c r="I63" s="376" t="s">
        <v>4791</v>
      </c>
      <c r="M63" s="376" t="str">
        <f>IFERROR(__xludf.DUMMYFUNCTION("GOOGLETRANSLATE(A63,""zh-tw"",""zh"")"),"火山熔岩相关")</f>
        <v>火山熔岩相关</v>
      </c>
      <c r="Q63" s="376" t="str">
        <f>IFERROR(__xludf.DUMMYFUNCTION("GOOGLETRANSLATE(A63,""zh-tw"",""es-MX"")"),"Lava volcánica relacionada")</f>
        <v>Lava volcánica relacionada</v>
      </c>
      <c r="U63" s="376" t="str">
        <f>IFERROR(__xludf.DUMMYFUNCTION("GOOGLETRANSLATE(A63,""zh-tw"",""KO"")"),"화산 용암 관련")</f>
        <v>화산 용암 관련</v>
      </c>
      <c r="Y63" s="375" t="s">
        <v>4799</v>
      </c>
      <c r="AC63" s="376" t="str">
        <f>IFERROR(__xludf.DUMMYFUNCTION("GOOGLETRANSLATE(A62,""zh-tw"",""DE"")"),"Chili-Setzlinge")</f>
        <v>Chili-Setzlinge</v>
      </c>
      <c r="AG63" s="378" t="s">
        <v>6981</v>
      </c>
      <c r="AK63" s="376" t="s">
        <v>4791</v>
      </c>
      <c r="AO63" s="387" t="s">
        <v>6982</v>
      </c>
      <c r="AS63" s="387"/>
      <c r="AT63" s="387"/>
    </row>
    <row r="64">
      <c r="A64" s="197" t="s">
        <v>6983</v>
      </c>
      <c r="B64" s="391" t="s">
        <v>6984</v>
      </c>
      <c r="C64" s="391" t="s">
        <v>6985</v>
      </c>
      <c r="D64" s="379" t="s">
        <v>1243</v>
      </c>
      <c r="E64" s="197" t="s">
        <v>6986</v>
      </c>
      <c r="F64" s="198" t="s">
        <v>6987</v>
      </c>
      <c r="G64" s="198">
        <v>35.0</v>
      </c>
      <c r="H64" s="379" t="str">
        <f>IFERROR(__xludf.DUMMYFUNCTION("GOOGLETRANSLATE(D64,""zh-tw"",""ja"")"),"-")</f>
        <v>-</v>
      </c>
      <c r="I64" s="197" t="s">
        <v>6988</v>
      </c>
      <c r="J64" s="167" t="s">
        <v>6989</v>
      </c>
      <c r="K64" s="167" t="s">
        <v>6985</v>
      </c>
      <c r="L64" s="379" t="str">
        <f>IFERROR(__xludf.DUMMYFUNCTION("GOOGLETRANSLATE(H64,""zh-tw"",""ja"")"),"-")</f>
        <v>-</v>
      </c>
      <c r="M64" s="197" t="str">
        <f>IFERROR(__xludf.DUMMYFUNCTION("GOOGLETRANSLATE(A64,""zh-tw"",""zh"")"),"火焰妖精")</f>
        <v>火焰妖精</v>
      </c>
      <c r="N64" s="198" t="str">
        <f>IFERROR(__xludf.DUMMYFUNCTION("GOOGLETRANSLATE(B64,""zh-tw"",""zh"")"),"熔岩杖
紫色品质物品")</f>
        <v>熔岩杖
紫色品质物品</v>
      </c>
      <c r="O64" s="167" t="s">
        <v>6985</v>
      </c>
      <c r="P64" s="379" t="str">
        <f>IFERROR(__xludf.DUMMYFUNCTION("GOOGLETRANSLATE(D64,""zh-tw"",""zh"")"),"-")</f>
        <v>-</v>
      </c>
      <c r="Q64" s="197" t="str">
        <f>IFERROR(__xludf.DUMMYFUNCTION("GOOGLETRANSLATE(A64,""zh-tw"",""es-MX"")"),"Hada de fuego")</f>
        <v>Hada de fuego</v>
      </c>
      <c r="R64" s="198" t="str">
        <f>IFERROR(__xludf.DUMMYFUNCTION("GOOGLETRANSLATE(B64,""zh-tw"",""es-MX"")"),"Bastón de lava
Artículo de calidad púrpura")</f>
        <v>Bastón de lava
Artículo de calidad púrpura</v>
      </c>
      <c r="S64" s="198">
        <v>35.0</v>
      </c>
      <c r="T64" s="379" t="str">
        <f>IFERROR(__xludf.DUMMYFUNCTION("GOOGLETRANSLATE(D64,""zh-tw"",""es-MX"")"),"-")</f>
        <v>-</v>
      </c>
      <c r="U64" s="197" t="str">
        <f>IFERROR(__xludf.DUMMYFUNCTION("GOOGLETRANSLATE(A64,""zh-tw"",""KO"")"),"불꽃 요정")</f>
        <v>불꽃 요정</v>
      </c>
      <c r="V64" s="198" t="s">
        <v>6990</v>
      </c>
      <c r="W64" s="198">
        <v>35.0</v>
      </c>
      <c r="X64" s="379" t="str">
        <f>IFERROR(__xludf.DUMMYFUNCTION("GOOGLETRANSLATE(D64,""zh-tw"",""KO"")"),"-")</f>
        <v>-</v>
      </c>
      <c r="Y64" s="153" t="s">
        <v>6991</v>
      </c>
      <c r="Z64" s="167" t="s">
        <v>6992</v>
      </c>
      <c r="AA64" s="167" t="s">
        <v>6985</v>
      </c>
      <c r="AB64" s="379" t="s">
        <v>1243</v>
      </c>
      <c r="AC64" s="197" t="s">
        <v>6993</v>
      </c>
      <c r="AD64" s="198" t="s">
        <v>6994</v>
      </c>
      <c r="AE64" s="198">
        <v>35.0</v>
      </c>
      <c r="AF64" s="379" t="s">
        <v>6995</v>
      </c>
      <c r="AG64" s="187" t="s">
        <v>6996</v>
      </c>
      <c r="AH64" s="49" t="s">
        <v>6997</v>
      </c>
      <c r="AI64" s="49" t="s">
        <v>6985</v>
      </c>
      <c r="AJ64" s="379" t="s">
        <v>1243</v>
      </c>
      <c r="AK64" s="197" t="s">
        <v>6998</v>
      </c>
      <c r="AL64" s="167" t="s">
        <v>6999</v>
      </c>
      <c r="AM64" s="167" t="s">
        <v>6985</v>
      </c>
      <c r="AN64" s="379" t="s">
        <v>1243</v>
      </c>
      <c r="AO64" s="382" t="s">
        <v>7000</v>
      </c>
      <c r="AP64" s="202" t="s">
        <v>7001</v>
      </c>
      <c r="AQ64" s="202" t="s">
        <v>7002</v>
      </c>
      <c r="AR64" s="383" t="s">
        <v>1243</v>
      </c>
      <c r="AS64" s="383"/>
      <c r="AT64" s="383"/>
    </row>
    <row r="65">
      <c r="A65" s="197" t="s">
        <v>7003</v>
      </c>
      <c r="B65" s="198" t="s">
        <v>7004</v>
      </c>
      <c r="C65" s="198" t="s">
        <v>7005</v>
      </c>
      <c r="D65" s="379" t="s">
        <v>1243</v>
      </c>
      <c r="E65" s="197" t="s">
        <v>7006</v>
      </c>
      <c r="F65" s="198" t="str">
        <f>IFERROR(__xludf.DUMMYFUNCTION("GOOGLETRANSLATE(B65,""zh-tw"",""ja"")"),"溶岩リング
紫色の高品質アイテム")</f>
        <v>溶岩リング
紫色の高品質アイテム</v>
      </c>
      <c r="G65" s="198" t="s">
        <v>7005</v>
      </c>
      <c r="H65" s="379" t="str">
        <f>IFERROR(__xludf.DUMMYFUNCTION("GOOGLETRANSLATE(D65,""zh-tw"",""ja"")"),"-")</f>
        <v>-</v>
      </c>
      <c r="I65" s="197" t="s">
        <v>7007</v>
      </c>
      <c r="J65" s="198" t="s">
        <v>7008</v>
      </c>
      <c r="K65" s="198" t="s">
        <v>7005</v>
      </c>
      <c r="L65" s="379" t="str">
        <f>IFERROR(__xludf.DUMMYFUNCTION("GOOGLETRANSLATE(H65,""zh-tw"",""ja"")"),"-")</f>
        <v>-</v>
      </c>
      <c r="M65" s="197" t="str">
        <f>IFERROR(__xludf.DUMMYFUNCTION("GOOGLETRANSLATE(A65,""zh-tw"",""zh"")"),"燃烧史莱姆")</f>
        <v>燃烧史莱姆</v>
      </c>
      <c r="N65" s="198" t="str">
        <f>IFERROR(__xludf.DUMMYFUNCTION("GOOGLETRANSLATE(B65,""zh-tw"",""zh"")"),"熔岩戒指
紫色品质物品")</f>
        <v>熔岩戒指
紫色品质物品</v>
      </c>
      <c r="O65" s="198" t="s">
        <v>7005</v>
      </c>
      <c r="P65" s="379" t="str">
        <f>IFERROR(__xludf.DUMMYFUNCTION("GOOGLETRANSLATE(D65,""zh-tw"",""zh"")"),"-")</f>
        <v>-</v>
      </c>
      <c r="Q65" s="197" t="str">
        <f>IFERROR(__xludf.DUMMYFUNCTION("GOOGLETRANSLATE(A65,""zh-tw"",""es-MX"")"),"Limo ardiente")</f>
        <v>Limo ardiente</v>
      </c>
      <c r="R65" s="198" t="str">
        <f>IFERROR(__xludf.DUMMYFUNCTION("GOOGLETRANSLATE(B65,""zh-tw"",""es-MX"")"),"Anillo de lava
Artículo de color púrpura de alta calidad")</f>
        <v>Anillo de lava
Artículo de color púrpura de alta calidad</v>
      </c>
      <c r="S65" s="198" t="s">
        <v>7005</v>
      </c>
      <c r="T65" s="379" t="str">
        <f>IFERROR(__xludf.DUMMYFUNCTION("GOOGLETRANSLATE(D65,""zh-tw"",""es-MX"")"),"-")</f>
        <v>-</v>
      </c>
      <c r="U65" s="197" t="str">
        <f>IFERROR(__xludf.DUMMYFUNCTION("GOOGLETRANSLATE(A65,""zh-tw"",""KO"")"),"불타는 슬라임")</f>
        <v>불타는 슬라임</v>
      </c>
      <c r="V65" s="198" t="s">
        <v>7009</v>
      </c>
      <c r="W65" s="198" t="s">
        <v>7005</v>
      </c>
      <c r="X65" s="379" t="str">
        <f>IFERROR(__xludf.DUMMYFUNCTION("GOOGLETRANSLATE(D65,""zh-tw"",""KO"")"),"-")</f>
        <v>-</v>
      </c>
      <c r="Y65" s="153" t="s">
        <v>7010</v>
      </c>
      <c r="Z65" s="167" t="s">
        <v>7011</v>
      </c>
      <c r="AA65" s="198" t="s">
        <v>7005</v>
      </c>
      <c r="AB65" s="379" t="s">
        <v>1243</v>
      </c>
      <c r="AC65" s="197" t="s">
        <v>7012</v>
      </c>
      <c r="AD65" s="198" t="s">
        <v>7013</v>
      </c>
      <c r="AE65" s="198" t="s">
        <v>7005</v>
      </c>
      <c r="AF65" s="379" t="s">
        <v>6995</v>
      </c>
      <c r="AG65" s="187" t="s">
        <v>7014</v>
      </c>
      <c r="AH65" s="381" t="s">
        <v>7015</v>
      </c>
      <c r="AI65" s="381" t="s">
        <v>7005</v>
      </c>
      <c r="AJ65" s="379" t="s">
        <v>1243</v>
      </c>
      <c r="AK65" s="197" t="s">
        <v>7016</v>
      </c>
      <c r="AL65" s="198" t="s">
        <v>7017</v>
      </c>
      <c r="AM65" s="198" t="s">
        <v>7005</v>
      </c>
      <c r="AN65" s="379" t="s">
        <v>1243</v>
      </c>
      <c r="AO65" s="382" t="s">
        <v>7018</v>
      </c>
      <c r="AP65" s="202" t="s">
        <v>7019</v>
      </c>
      <c r="AQ65" s="202" t="s">
        <v>7005</v>
      </c>
      <c r="AR65" s="383" t="s">
        <v>1243</v>
      </c>
      <c r="AS65" s="383"/>
      <c r="AT65" s="383"/>
    </row>
    <row r="66">
      <c r="A66" s="197" t="s">
        <v>7020</v>
      </c>
      <c r="B66" s="391" t="s">
        <v>7021</v>
      </c>
      <c r="C66" s="391" t="s">
        <v>7022</v>
      </c>
      <c r="D66" s="379" t="s">
        <v>1243</v>
      </c>
      <c r="E66" s="197" t="s">
        <v>7020</v>
      </c>
      <c r="F66" s="167" t="s">
        <v>7023</v>
      </c>
      <c r="G66" s="167" t="s">
        <v>7022</v>
      </c>
      <c r="H66" s="379" t="str">
        <f>IFERROR(__xludf.DUMMYFUNCTION("GOOGLETRANSLATE(D66,""zh-tw"",""ja"")"),"-")</f>
        <v>-</v>
      </c>
      <c r="I66" s="197" t="s">
        <v>7024</v>
      </c>
      <c r="J66" s="167" t="s">
        <v>7025</v>
      </c>
      <c r="K66" s="167" t="s">
        <v>7026</v>
      </c>
      <c r="L66" s="379" t="str">
        <f>IFERROR(__xludf.DUMMYFUNCTION("GOOGLETRANSLATE(H66,""zh-tw"",""ja"")"),"-")</f>
        <v>-</v>
      </c>
      <c r="M66" s="197" t="str">
        <f>IFERROR(__xludf.DUMMYFUNCTION("GOOGLETRANSLATE(A66,""zh-tw"",""zh"")"),"炎魔")</f>
        <v>炎魔</v>
      </c>
      <c r="N66" s="198" t="str">
        <f>IFERROR(__xludf.DUMMYFUNCTION("GOOGLETRANSLATE(B66,""zh-tw"",""zh"")"),"熔岩杖
阳炎
日轮
紫色品质物品
粉色品质物品")</f>
        <v>熔岩杖
阳炎
日轮
紫色品质物品
粉色品质物品</v>
      </c>
      <c r="O66" s="167" t="s">
        <v>7022</v>
      </c>
      <c r="P66" s="379" t="str">
        <f>IFERROR(__xludf.DUMMYFUNCTION("GOOGLETRANSLATE(D66,""zh-tw"",""zh"")"),"-")</f>
        <v>-</v>
      </c>
      <c r="Q66" s="197" t="str">
        <f>IFERROR(__xludf.DUMMYFUNCTION("GOOGLETRANSLATE(A66,""zh-tw"",""es-MX"")"),"Demonio de fuego")</f>
        <v>Demonio de fuego</v>
      </c>
      <c r="R66" s="198" t="str">
        <f>IFERROR(__xludf.DUMMYFUNCTION("GOOGLETRANSLATE(B66,""zh-tw"",""es-MX"")"),"Bastón de Lava
Fuego Solar
Rueda Solar
Objeto de Calidad Púrpura
Objeto de Calidad Rosa")</f>
        <v>Bastón de Lava
Fuego Solar
Rueda Solar
Objeto de Calidad Púrpura
Objeto de Calidad Rosa</v>
      </c>
      <c r="S66" s="198" t="s">
        <v>7027</v>
      </c>
      <c r="T66" s="379" t="str">
        <f>IFERROR(__xludf.DUMMYFUNCTION("GOOGLETRANSLATE(D66,""zh-tw"",""es-MX"")"),"-")</f>
        <v>-</v>
      </c>
      <c r="U66" s="197" t="str">
        <f>IFERROR(__xludf.DUMMYFUNCTION("GOOGLETRANSLATE(A66,""zh-tw"",""KO"")"),"불꽃 악마")</f>
        <v>불꽃 악마</v>
      </c>
      <c r="V66" s="198" t="str">
        <f>IFERROR(__xludf.DUMMYFUNCTION("GOOGLETRANSLATE(B66,""zh-tw"",""KO"")"),"용암 지팡이
선파이어
선 휠
보라색 고급 아이템
분홍색 고급 아이템")</f>
        <v>용암 지팡이
선파이어
선 휠
보라색 고급 아이템
분홍색 고급 아이템</v>
      </c>
      <c r="W66" s="198" t="s">
        <v>7027</v>
      </c>
      <c r="X66" s="379" t="str">
        <f>IFERROR(__xludf.DUMMYFUNCTION("GOOGLETRANSLATE(D66,""zh-tw"",""KO"")"),"-")</f>
        <v>-</v>
      </c>
      <c r="Y66" s="153" t="s">
        <v>7028</v>
      </c>
      <c r="Z66" s="167" t="s">
        <v>7029</v>
      </c>
      <c r="AA66" s="167" t="s">
        <v>7022</v>
      </c>
      <c r="AB66" s="379" t="s">
        <v>1243</v>
      </c>
      <c r="AC66" s="197" t="s">
        <v>7024</v>
      </c>
      <c r="AD66" s="198" t="s">
        <v>7030</v>
      </c>
      <c r="AE66" s="198" t="s">
        <v>7027</v>
      </c>
      <c r="AF66" s="379" t="s">
        <v>6995</v>
      </c>
      <c r="AG66" s="187" t="s">
        <v>7024</v>
      </c>
      <c r="AH66" s="49" t="s">
        <v>7031</v>
      </c>
      <c r="AI66" s="49" t="s">
        <v>7022</v>
      </c>
      <c r="AJ66" s="379" t="s">
        <v>1243</v>
      </c>
      <c r="AK66" s="197" t="s">
        <v>7024</v>
      </c>
      <c r="AL66" s="167" t="s">
        <v>7032</v>
      </c>
      <c r="AM66" s="167" t="s">
        <v>7022</v>
      </c>
      <c r="AN66" s="379" t="s">
        <v>1243</v>
      </c>
      <c r="AO66" s="382" t="s">
        <v>7024</v>
      </c>
      <c r="AP66" s="202" t="s">
        <v>7033</v>
      </c>
      <c r="AQ66" s="202" t="s">
        <v>7027</v>
      </c>
      <c r="AR66" s="383" t="s">
        <v>1243</v>
      </c>
      <c r="AS66" s="383"/>
      <c r="AT66" s="383"/>
    </row>
    <row r="67">
      <c r="A67" s="8"/>
      <c r="B67" s="8"/>
      <c r="C67" s="8"/>
      <c r="D67" s="8"/>
      <c r="E67" s="8"/>
      <c r="F67" s="8"/>
      <c r="G67" s="8"/>
      <c r="H67" s="8"/>
      <c r="I67" s="8"/>
      <c r="J67" s="8"/>
      <c r="K67" s="8"/>
      <c r="L67" s="8"/>
      <c r="M67" s="8"/>
      <c r="N67" s="8"/>
      <c r="O67" s="8"/>
      <c r="P67" s="8"/>
      <c r="Q67" s="8"/>
      <c r="R67" s="8"/>
      <c r="S67" s="8"/>
      <c r="T67" s="8"/>
      <c r="U67" s="8"/>
      <c r="V67" s="8"/>
      <c r="W67" s="8"/>
      <c r="X67" s="8"/>
      <c r="Y67" s="173"/>
      <c r="Z67" s="173"/>
      <c r="AA67" s="173"/>
      <c r="AB67" s="184"/>
      <c r="AC67" s="8"/>
      <c r="AD67" s="8"/>
      <c r="AE67" s="8"/>
      <c r="AF67" s="8"/>
      <c r="AG67" s="191"/>
      <c r="AH67" s="191"/>
      <c r="AI67" s="191"/>
      <c r="AJ67" s="8"/>
      <c r="AK67" s="8"/>
      <c r="AL67" s="8"/>
      <c r="AM67" s="8"/>
      <c r="AN67" s="8"/>
      <c r="AO67" s="8"/>
      <c r="AP67" s="8"/>
      <c r="AQ67" s="8"/>
      <c r="AR67" s="8"/>
      <c r="AS67" s="8"/>
      <c r="AT67" s="8"/>
    </row>
    <row r="68">
      <c r="A68" s="8"/>
      <c r="B68" s="8"/>
      <c r="C68" s="8"/>
      <c r="D68" s="8"/>
      <c r="E68" s="8"/>
      <c r="F68" s="8"/>
      <c r="G68" s="8"/>
      <c r="H68" s="8"/>
      <c r="I68" s="8"/>
      <c r="J68" s="8"/>
      <c r="K68" s="8"/>
      <c r="L68" s="8"/>
      <c r="M68" s="8"/>
      <c r="N68" s="8"/>
      <c r="O68" s="8"/>
      <c r="P68" s="8"/>
      <c r="Q68" s="8"/>
      <c r="R68" s="8"/>
      <c r="S68" s="8"/>
      <c r="T68" s="8"/>
      <c r="U68" s="8"/>
      <c r="V68" s="8"/>
      <c r="W68" s="8"/>
      <c r="X68" s="8"/>
      <c r="Y68" s="173"/>
      <c r="Z68" s="173"/>
      <c r="AA68" s="173"/>
      <c r="AB68" s="184"/>
      <c r="AC68" s="8"/>
      <c r="AD68" s="8"/>
      <c r="AE68" s="8"/>
      <c r="AF68" s="8"/>
      <c r="AG68" s="191"/>
      <c r="AH68" s="191"/>
      <c r="AI68" s="191"/>
      <c r="AJ68" s="8"/>
      <c r="AK68" s="8"/>
      <c r="AL68" s="8"/>
      <c r="AM68" s="8"/>
      <c r="AN68" s="8"/>
      <c r="AO68" s="8"/>
      <c r="AP68" s="8"/>
      <c r="AQ68" s="8"/>
      <c r="AR68" s="8"/>
      <c r="AS68" s="8"/>
      <c r="AT68" s="8"/>
    </row>
    <row r="69">
      <c r="A69" s="8"/>
      <c r="B69" s="8"/>
      <c r="C69" s="8"/>
      <c r="D69" s="8"/>
      <c r="E69" s="8"/>
      <c r="F69" s="8"/>
      <c r="G69" s="8"/>
      <c r="H69" s="8"/>
      <c r="I69" s="8"/>
      <c r="J69" s="8"/>
      <c r="K69" s="8"/>
      <c r="L69" s="8"/>
      <c r="M69" s="8"/>
      <c r="N69" s="8"/>
      <c r="O69" s="8"/>
      <c r="P69" s="8"/>
      <c r="Q69" s="8"/>
      <c r="R69" s="8"/>
      <c r="S69" s="8"/>
      <c r="T69" s="8"/>
      <c r="U69" s="8"/>
      <c r="V69" s="8"/>
      <c r="W69" s="8"/>
      <c r="X69" s="8"/>
      <c r="Y69" s="173"/>
      <c r="Z69" s="173"/>
      <c r="AA69" s="173"/>
      <c r="AB69" s="184"/>
      <c r="AC69" s="8"/>
      <c r="AD69" s="8"/>
      <c r="AE69" s="8"/>
      <c r="AF69" s="8"/>
      <c r="AG69" s="191"/>
      <c r="AH69" s="191"/>
      <c r="AI69" s="191"/>
      <c r="AJ69" s="8"/>
      <c r="AK69" s="8"/>
      <c r="AL69" s="8"/>
      <c r="AM69" s="8"/>
      <c r="AN69" s="8"/>
      <c r="AO69" s="8"/>
      <c r="AP69" s="8"/>
      <c r="AQ69" s="8"/>
      <c r="AR69" s="8"/>
      <c r="AS69" s="8"/>
      <c r="AT69" s="8"/>
    </row>
    <row r="70">
      <c r="A70" s="8"/>
      <c r="B70" s="8"/>
      <c r="C70" s="8"/>
      <c r="D70" s="8"/>
      <c r="E70" s="8"/>
      <c r="F70" s="8"/>
      <c r="G70" s="8"/>
      <c r="H70" s="8"/>
      <c r="I70" s="8"/>
      <c r="J70" s="8"/>
      <c r="K70" s="8"/>
      <c r="L70" s="8"/>
      <c r="M70" s="8"/>
      <c r="N70" s="8"/>
      <c r="O70" s="8"/>
      <c r="P70" s="8"/>
      <c r="Q70" s="8"/>
      <c r="R70" s="8"/>
      <c r="S70" s="8"/>
      <c r="T70" s="8"/>
      <c r="U70" s="8"/>
      <c r="V70" s="8"/>
      <c r="W70" s="8"/>
      <c r="X70" s="8"/>
      <c r="Y70" s="173"/>
      <c r="Z70" s="173"/>
      <c r="AA70" s="173"/>
      <c r="AB70" s="184"/>
      <c r="AC70" s="8"/>
      <c r="AD70" s="8"/>
      <c r="AE70" s="8"/>
      <c r="AF70" s="8"/>
      <c r="AG70" s="191"/>
      <c r="AH70" s="191"/>
      <c r="AI70" s="191"/>
      <c r="AJ70" s="8"/>
      <c r="AK70" s="8"/>
      <c r="AL70" s="8"/>
      <c r="AM70" s="8"/>
      <c r="AN70" s="8"/>
      <c r="AO70" s="8"/>
      <c r="AP70" s="8"/>
      <c r="AQ70" s="8"/>
      <c r="AR70" s="8"/>
      <c r="AS70" s="8"/>
      <c r="AT70" s="8"/>
    </row>
    <row r="71">
      <c r="A71" s="8"/>
      <c r="B71" s="8"/>
      <c r="C71" s="8"/>
      <c r="D71" s="8"/>
      <c r="E71" s="8"/>
      <c r="F71" s="8"/>
      <c r="G71" s="8"/>
      <c r="H71" s="8"/>
      <c r="I71" s="8"/>
      <c r="J71" s="8"/>
      <c r="K71" s="8"/>
      <c r="L71" s="8"/>
      <c r="M71" s="8"/>
      <c r="N71" s="8"/>
      <c r="O71" s="8"/>
      <c r="P71" s="8"/>
      <c r="Q71" s="8"/>
      <c r="R71" s="8"/>
      <c r="S71" s="8"/>
      <c r="T71" s="8"/>
      <c r="U71" s="8"/>
      <c r="V71" s="8"/>
      <c r="W71" s="8"/>
      <c r="X71" s="8"/>
      <c r="Y71" s="173"/>
      <c r="Z71" s="173"/>
      <c r="AA71" s="173"/>
      <c r="AB71" s="184"/>
      <c r="AC71" s="8"/>
      <c r="AD71" s="8"/>
      <c r="AE71" s="8"/>
      <c r="AF71" s="8"/>
      <c r="AG71" s="191"/>
      <c r="AH71" s="191"/>
      <c r="AI71" s="191"/>
      <c r="AJ71" s="8"/>
      <c r="AK71" s="8"/>
      <c r="AL71" s="8"/>
      <c r="AM71" s="8"/>
      <c r="AN71" s="8"/>
      <c r="AO71" s="8"/>
      <c r="AP71" s="8"/>
      <c r="AQ71" s="8"/>
      <c r="AR71" s="8"/>
      <c r="AS71" s="8"/>
      <c r="AT71" s="8"/>
    </row>
    <row r="72">
      <c r="A72" s="8"/>
      <c r="B72" s="8"/>
      <c r="C72" s="8"/>
      <c r="D72" s="8"/>
      <c r="E72" s="8"/>
      <c r="F72" s="8"/>
      <c r="G72" s="8"/>
      <c r="H72" s="8"/>
      <c r="I72" s="8"/>
      <c r="J72" s="8"/>
      <c r="K72" s="8"/>
      <c r="L72" s="8"/>
      <c r="M72" s="8"/>
      <c r="N72" s="8"/>
      <c r="O72" s="8"/>
      <c r="P72" s="8"/>
      <c r="Q72" s="8"/>
      <c r="R72" s="8"/>
      <c r="S72" s="8"/>
      <c r="T72" s="8"/>
      <c r="U72" s="8"/>
      <c r="V72" s="8"/>
      <c r="W72" s="8"/>
      <c r="X72" s="8"/>
      <c r="Y72" s="173"/>
      <c r="Z72" s="173"/>
      <c r="AA72" s="173"/>
      <c r="AB72" s="184"/>
      <c r="AC72" s="8"/>
      <c r="AD72" s="8"/>
      <c r="AE72" s="8"/>
      <c r="AF72" s="8"/>
      <c r="AG72" s="191"/>
      <c r="AH72" s="191"/>
      <c r="AI72" s="191"/>
      <c r="AJ72" s="8"/>
      <c r="AK72" s="8"/>
      <c r="AL72" s="8"/>
      <c r="AM72" s="8"/>
      <c r="AN72" s="8"/>
      <c r="AO72" s="8"/>
      <c r="AP72" s="8"/>
      <c r="AQ72" s="8"/>
      <c r="AR72" s="8"/>
      <c r="AS72" s="8"/>
      <c r="AT72" s="8"/>
    </row>
    <row r="73">
      <c r="A73" s="8"/>
      <c r="B73" s="8"/>
      <c r="C73" s="8"/>
      <c r="D73" s="8"/>
      <c r="E73" s="8"/>
      <c r="F73" s="8"/>
      <c r="G73" s="8"/>
      <c r="H73" s="8"/>
      <c r="I73" s="8"/>
      <c r="J73" s="8"/>
      <c r="K73" s="8"/>
      <c r="L73" s="8"/>
      <c r="M73" s="8"/>
      <c r="N73" s="8"/>
      <c r="O73" s="8"/>
      <c r="P73" s="8"/>
      <c r="Q73" s="8"/>
      <c r="R73" s="8"/>
      <c r="S73" s="8"/>
      <c r="T73" s="8"/>
      <c r="U73" s="8"/>
      <c r="V73" s="8"/>
      <c r="W73" s="8"/>
      <c r="X73" s="8"/>
      <c r="Y73" s="173"/>
      <c r="Z73" s="173"/>
      <c r="AA73" s="173"/>
      <c r="AB73" s="184"/>
      <c r="AC73" s="8"/>
      <c r="AD73" s="8"/>
      <c r="AE73" s="8"/>
      <c r="AF73" s="8"/>
      <c r="AG73" s="191"/>
      <c r="AH73" s="191"/>
      <c r="AI73" s="191"/>
      <c r="AJ73" s="8"/>
      <c r="AK73" s="8"/>
      <c r="AL73" s="8"/>
      <c r="AM73" s="8"/>
      <c r="AN73" s="8"/>
      <c r="AO73" s="8"/>
      <c r="AP73" s="8"/>
      <c r="AQ73" s="8"/>
      <c r="AR73" s="8"/>
      <c r="AS73" s="8"/>
      <c r="AT73" s="8"/>
    </row>
    <row r="74">
      <c r="A74" s="8"/>
      <c r="B74" s="8"/>
      <c r="C74" s="8"/>
      <c r="D74" s="8"/>
      <c r="E74" s="8"/>
      <c r="F74" s="8"/>
      <c r="G74" s="8"/>
      <c r="H74" s="8"/>
      <c r="I74" s="8"/>
      <c r="J74" s="8"/>
      <c r="K74" s="8"/>
      <c r="L74" s="8"/>
      <c r="M74" s="8"/>
      <c r="N74" s="8"/>
      <c r="O74" s="8"/>
      <c r="P74" s="8"/>
      <c r="Q74" s="8"/>
      <c r="R74" s="8"/>
      <c r="S74" s="8"/>
      <c r="T74" s="8"/>
      <c r="U74" s="8"/>
      <c r="V74" s="8"/>
      <c r="W74" s="8"/>
      <c r="X74" s="8"/>
      <c r="Y74" s="173"/>
      <c r="Z74" s="173"/>
      <c r="AA74" s="173"/>
      <c r="AB74" s="184"/>
      <c r="AC74" s="8"/>
      <c r="AD74" s="8"/>
      <c r="AE74" s="8"/>
      <c r="AF74" s="8"/>
      <c r="AG74" s="191"/>
      <c r="AH74" s="191"/>
      <c r="AI74" s="191"/>
      <c r="AJ74" s="8"/>
      <c r="AK74" s="8"/>
      <c r="AL74" s="8"/>
      <c r="AM74" s="8"/>
      <c r="AN74" s="8"/>
      <c r="AO74" s="8"/>
      <c r="AP74" s="8"/>
      <c r="AQ74" s="8"/>
      <c r="AR74" s="8"/>
      <c r="AS74" s="8"/>
      <c r="AT74" s="8"/>
    </row>
    <row r="75">
      <c r="A75" s="8"/>
      <c r="B75" s="8"/>
      <c r="C75" s="8"/>
      <c r="D75" s="8"/>
      <c r="E75" s="8"/>
      <c r="F75" s="8"/>
      <c r="G75" s="8"/>
      <c r="H75" s="8"/>
      <c r="I75" s="8"/>
      <c r="J75" s="8"/>
      <c r="K75" s="8"/>
      <c r="L75" s="8"/>
      <c r="M75" s="8"/>
      <c r="N75" s="8"/>
      <c r="O75" s="8"/>
      <c r="P75" s="8"/>
      <c r="Q75" s="8"/>
      <c r="R75" s="8"/>
      <c r="S75" s="8"/>
      <c r="T75" s="8"/>
      <c r="U75" s="8"/>
      <c r="V75" s="8"/>
      <c r="W75" s="8"/>
      <c r="X75" s="8"/>
      <c r="Y75" s="173"/>
      <c r="Z75" s="173"/>
      <c r="AA75" s="173"/>
      <c r="AB75" s="184"/>
      <c r="AC75" s="8"/>
      <c r="AD75" s="8"/>
      <c r="AE75" s="8"/>
      <c r="AF75" s="8"/>
      <c r="AG75" s="191"/>
      <c r="AH75" s="191"/>
      <c r="AI75" s="191"/>
      <c r="AJ75" s="8"/>
      <c r="AK75" s="8"/>
      <c r="AL75" s="8"/>
      <c r="AM75" s="8"/>
      <c r="AN75" s="8"/>
      <c r="AO75" s="8"/>
      <c r="AP75" s="8"/>
      <c r="AQ75" s="8"/>
      <c r="AR75" s="8"/>
      <c r="AS75" s="8"/>
      <c r="AT75" s="8"/>
    </row>
    <row r="76">
      <c r="A76" s="8"/>
      <c r="B76" s="8"/>
      <c r="C76" s="8"/>
      <c r="D76" s="8"/>
      <c r="E76" s="8"/>
      <c r="F76" s="8"/>
      <c r="G76" s="8"/>
      <c r="H76" s="8"/>
      <c r="I76" s="8"/>
      <c r="J76" s="8"/>
      <c r="K76" s="8"/>
      <c r="L76" s="8"/>
      <c r="M76" s="8"/>
      <c r="N76" s="8"/>
      <c r="O76" s="8"/>
      <c r="P76" s="8"/>
      <c r="Q76" s="8"/>
      <c r="R76" s="8"/>
      <c r="S76" s="8"/>
      <c r="T76" s="8"/>
      <c r="U76" s="8"/>
      <c r="V76" s="8"/>
      <c r="W76" s="8"/>
      <c r="X76" s="8"/>
      <c r="Y76" s="173"/>
      <c r="Z76" s="173"/>
      <c r="AA76" s="173"/>
      <c r="AB76" s="184"/>
      <c r="AC76" s="8"/>
      <c r="AD76" s="8"/>
      <c r="AE76" s="8"/>
      <c r="AF76" s="8"/>
      <c r="AG76" s="191"/>
      <c r="AH76" s="191"/>
      <c r="AI76" s="191"/>
      <c r="AJ76" s="8"/>
      <c r="AK76" s="8"/>
      <c r="AL76" s="8"/>
      <c r="AM76" s="8"/>
      <c r="AN76" s="8"/>
      <c r="AO76" s="8"/>
      <c r="AP76" s="8"/>
      <c r="AQ76" s="8"/>
      <c r="AR76" s="8"/>
      <c r="AS76" s="8"/>
      <c r="AT76" s="8"/>
    </row>
    <row r="77">
      <c r="A77" s="8"/>
      <c r="B77" s="8"/>
      <c r="C77" s="8"/>
      <c r="D77" s="8"/>
      <c r="E77" s="8"/>
      <c r="F77" s="8"/>
      <c r="G77" s="8"/>
      <c r="H77" s="8"/>
      <c r="I77" s="8"/>
      <c r="J77" s="8"/>
      <c r="K77" s="8"/>
      <c r="L77" s="8"/>
      <c r="M77" s="8"/>
      <c r="N77" s="8"/>
      <c r="O77" s="8"/>
      <c r="P77" s="8"/>
      <c r="Q77" s="8"/>
      <c r="R77" s="8"/>
      <c r="S77" s="8"/>
      <c r="T77" s="8"/>
      <c r="U77" s="8"/>
      <c r="V77" s="8"/>
      <c r="W77" s="8"/>
      <c r="X77" s="8"/>
      <c r="Y77" s="173"/>
      <c r="Z77" s="173"/>
      <c r="AA77" s="173"/>
      <c r="AB77" s="184"/>
      <c r="AC77" s="8"/>
      <c r="AD77" s="8"/>
      <c r="AE77" s="8"/>
      <c r="AF77" s="8"/>
      <c r="AG77" s="191"/>
      <c r="AH77" s="191"/>
      <c r="AI77" s="191"/>
      <c r="AJ77" s="8"/>
      <c r="AK77" s="8"/>
      <c r="AL77" s="8"/>
      <c r="AM77" s="8"/>
      <c r="AN77" s="8"/>
      <c r="AO77" s="8"/>
      <c r="AP77" s="8"/>
      <c r="AQ77" s="8"/>
      <c r="AR77" s="8"/>
      <c r="AS77" s="8"/>
      <c r="AT77" s="8"/>
    </row>
    <row r="78">
      <c r="A78" s="8"/>
      <c r="B78" s="8"/>
      <c r="C78" s="8"/>
      <c r="D78" s="8"/>
      <c r="E78" s="8"/>
      <c r="F78" s="8"/>
      <c r="G78" s="8"/>
      <c r="H78" s="8"/>
      <c r="I78" s="8"/>
      <c r="J78" s="8"/>
      <c r="K78" s="8"/>
      <c r="L78" s="8"/>
      <c r="M78" s="8"/>
      <c r="N78" s="8"/>
      <c r="O78" s="8"/>
      <c r="P78" s="8"/>
      <c r="Q78" s="8"/>
      <c r="R78" s="8"/>
      <c r="S78" s="8"/>
      <c r="T78" s="8"/>
      <c r="U78" s="8"/>
      <c r="V78" s="8"/>
      <c r="W78" s="8"/>
      <c r="X78" s="8"/>
      <c r="Y78" s="173"/>
      <c r="Z78" s="173"/>
      <c r="AA78" s="173"/>
      <c r="AB78" s="184"/>
      <c r="AC78" s="8"/>
      <c r="AD78" s="8"/>
      <c r="AE78" s="8"/>
      <c r="AF78" s="8"/>
      <c r="AG78" s="191"/>
      <c r="AH78" s="191"/>
      <c r="AI78" s="191"/>
      <c r="AJ78" s="8"/>
      <c r="AK78" s="8"/>
      <c r="AL78" s="8"/>
      <c r="AM78" s="8"/>
      <c r="AN78" s="8"/>
      <c r="AO78" s="8"/>
      <c r="AP78" s="8"/>
      <c r="AQ78" s="8"/>
      <c r="AR78" s="8"/>
      <c r="AS78" s="8"/>
      <c r="AT78" s="8"/>
    </row>
    <row r="79">
      <c r="A79" s="8"/>
      <c r="B79" s="8"/>
      <c r="C79" s="8"/>
      <c r="D79" s="8"/>
      <c r="E79" s="8"/>
      <c r="F79" s="8"/>
      <c r="G79" s="8"/>
      <c r="H79" s="8"/>
      <c r="I79" s="8"/>
      <c r="J79" s="8"/>
      <c r="K79" s="8"/>
      <c r="L79" s="8"/>
      <c r="M79" s="8"/>
      <c r="N79" s="8"/>
      <c r="O79" s="8"/>
      <c r="P79" s="8"/>
      <c r="Q79" s="8"/>
      <c r="R79" s="8"/>
      <c r="S79" s="8"/>
      <c r="T79" s="8"/>
      <c r="U79" s="8"/>
      <c r="V79" s="8"/>
      <c r="W79" s="8"/>
      <c r="X79" s="8"/>
      <c r="Y79" s="173"/>
      <c r="Z79" s="173"/>
      <c r="AA79" s="173"/>
      <c r="AB79" s="184"/>
      <c r="AC79" s="8"/>
      <c r="AD79" s="8"/>
      <c r="AE79" s="8"/>
      <c r="AF79" s="8"/>
      <c r="AG79" s="191"/>
      <c r="AH79" s="191"/>
      <c r="AI79" s="191"/>
      <c r="AJ79" s="8"/>
      <c r="AK79" s="8"/>
      <c r="AL79" s="8"/>
      <c r="AM79" s="8"/>
      <c r="AN79" s="8"/>
      <c r="AO79" s="8"/>
      <c r="AP79" s="8"/>
      <c r="AQ79" s="8"/>
      <c r="AR79" s="8"/>
      <c r="AS79" s="8"/>
      <c r="AT79" s="8"/>
    </row>
    <row r="80">
      <c r="A80" s="8"/>
      <c r="B80" s="8"/>
      <c r="C80" s="8"/>
      <c r="D80" s="8"/>
      <c r="E80" s="8"/>
      <c r="F80" s="8"/>
      <c r="G80" s="8"/>
      <c r="H80" s="8"/>
      <c r="I80" s="8"/>
      <c r="J80" s="8"/>
      <c r="K80" s="8"/>
      <c r="L80" s="8"/>
      <c r="M80" s="8"/>
      <c r="N80" s="8"/>
      <c r="O80" s="8"/>
      <c r="P80" s="8"/>
      <c r="Q80" s="8"/>
      <c r="R80" s="8"/>
      <c r="S80" s="8"/>
      <c r="T80" s="8"/>
      <c r="U80" s="8"/>
      <c r="V80" s="8"/>
      <c r="W80" s="8"/>
      <c r="X80" s="8"/>
      <c r="Y80" s="173"/>
      <c r="Z80" s="173"/>
      <c r="AA80" s="173"/>
      <c r="AB80" s="184"/>
      <c r="AC80" s="8"/>
      <c r="AD80" s="8"/>
      <c r="AE80" s="8"/>
      <c r="AF80" s="8"/>
      <c r="AG80" s="191"/>
      <c r="AH80" s="191"/>
      <c r="AI80" s="191"/>
      <c r="AJ80" s="8"/>
      <c r="AK80" s="8"/>
      <c r="AL80" s="8"/>
      <c r="AM80" s="8"/>
      <c r="AN80" s="8"/>
      <c r="AO80" s="8"/>
      <c r="AP80" s="8"/>
      <c r="AQ80" s="8"/>
      <c r="AR80" s="8"/>
      <c r="AS80" s="8"/>
      <c r="AT80" s="8"/>
    </row>
    <row r="81">
      <c r="A81" s="8"/>
      <c r="B81" s="8"/>
      <c r="C81" s="8"/>
      <c r="D81" s="8"/>
      <c r="E81" s="8"/>
      <c r="F81" s="8"/>
      <c r="G81" s="8"/>
      <c r="H81" s="8"/>
      <c r="I81" s="8"/>
      <c r="J81" s="8"/>
      <c r="K81" s="8"/>
      <c r="L81" s="8"/>
      <c r="M81" s="8"/>
      <c r="N81" s="8"/>
      <c r="O81" s="8"/>
      <c r="P81" s="8"/>
      <c r="Q81" s="8"/>
      <c r="R81" s="8"/>
      <c r="S81" s="8"/>
      <c r="T81" s="8"/>
      <c r="U81" s="8"/>
      <c r="V81" s="8"/>
      <c r="W81" s="8"/>
      <c r="X81" s="8"/>
      <c r="Y81" s="173"/>
      <c r="Z81" s="173"/>
      <c r="AA81" s="173"/>
      <c r="AB81" s="184"/>
      <c r="AC81" s="8"/>
      <c r="AD81" s="8"/>
      <c r="AE81" s="8"/>
      <c r="AF81" s="8"/>
      <c r="AG81" s="191"/>
      <c r="AH81" s="191"/>
      <c r="AI81" s="191"/>
      <c r="AJ81" s="8"/>
      <c r="AK81" s="8"/>
      <c r="AL81" s="8"/>
      <c r="AM81" s="8"/>
      <c r="AN81" s="8"/>
      <c r="AO81" s="8"/>
      <c r="AP81" s="8"/>
      <c r="AQ81" s="8"/>
      <c r="AR81" s="8"/>
      <c r="AS81" s="8"/>
      <c r="AT81" s="8"/>
    </row>
    <row r="82">
      <c r="A82" s="8"/>
      <c r="B82" s="8"/>
      <c r="C82" s="8"/>
      <c r="D82" s="8"/>
      <c r="E82" s="8"/>
      <c r="F82" s="8"/>
      <c r="G82" s="8"/>
      <c r="H82" s="8"/>
      <c r="I82" s="8"/>
      <c r="J82" s="8"/>
      <c r="K82" s="8"/>
      <c r="L82" s="8"/>
      <c r="M82" s="8"/>
      <c r="N82" s="8"/>
      <c r="O82" s="8"/>
      <c r="P82" s="8"/>
      <c r="Q82" s="8"/>
      <c r="R82" s="8"/>
      <c r="S82" s="8"/>
      <c r="T82" s="8"/>
      <c r="U82" s="8"/>
      <c r="V82" s="8"/>
      <c r="W82" s="8"/>
      <c r="X82" s="8"/>
      <c r="Y82" s="173"/>
      <c r="Z82" s="173"/>
      <c r="AA82" s="173"/>
      <c r="AB82" s="184"/>
      <c r="AC82" s="8"/>
      <c r="AD82" s="8"/>
      <c r="AE82" s="8"/>
      <c r="AF82" s="8"/>
      <c r="AG82" s="191"/>
      <c r="AH82" s="191"/>
      <c r="AI82" s="191"/>
      <c r="AJ82" s="8"/>
      <c r="AK82" s="8"/>
      <c r="AL82" s="8"/>
      <c r="AM82" s="8"/>
      <c r="AN82" s="8"/>
      <c r="AO82" s="8"/>
      <c r="AP82" s="8"/>
      <c r="AQ82" s="8"/>
      <c r="AR82" s="8"/>
      <c r="AS82" s="8"/>
      <c r="AT82" s="8"/>
    </row>
    <row r="83">
      <c r="A83" s="8"/>
      <c r="B83" s="8"/>
      <c r="C83" s="8"/>
      <c r="D83" s="8"/>
      <c r="E83" s="8"/>
      <c r="F83" s="8"/>
      <c r="G83" s="8"/>
      <c r="H83" s="8"/>
      <c r="I83" s="8"/>
      <c r="J83" s="8"/>
      <c r="K83" s="8"/>
      <c r="L83" s="8"/>
      <c r="M83" s="8"/>
      <c r="N83" s="8"/>
      <c r="O83" s="8"/>
      <c r="P83" s="8"/>
      <c r="Q83" s="8"/>
      <c r="R83" s="8"/>
      <c r="S83" s="8"/>
      <c r="T83" s="8"/>
      <c r="U83" s="8"/>
      <c r="V83" s="8"/>
      <c r="W83" s="8"/>
      <c r="X83" s="8"/>
      <c r="Y83" s="173"/>
      <c r="Z83" s="173"/>
      <c r="AA83" s="173"/>
      <c r="AB83" s="184"/>
      <c r="AC83" s="8"/>
      <c r="AD83" s="8"/>
      <c r="AE83" s="8"/>
      <c r="AF83" s="8"/>
      <c r="AG83" s="191"/>
      <c r="AH83" s="191"/>
      <c r="AI83" s="191"/>
      <c r="AJ83" s="8"/>
      <c r="AK83" s="8"/>
      <c r="AL83" s="8"/>
      <c r="AM83" s="8"/>
      <c r="AN83" s="8"/>
      <c r="AO83" s="8"/>
      <c r="AP83" s="8"/>
      <c r="AQ83" s="8"/>
      <c r="AR83" s="8"/>
      <c r="AS83" s="8"/>
      <c r="AT83" s="8"/>
    </row>
    <row r="84">
      <c r="A84" s="8"/>
      <c r="B84" s="8"/>
      <c r="C84" s="8"/>
      <c r="D84" s="8"/>
      <c r="E84" s="8"/>
      <c r="F84" s="8"/>
      <c r="G84" s="8"/>
      <c r="H84" s="8"/>
      <c r="I84" s="8"/>
      <c r="J84" s="8"/>
      <c r="K84" s="8"/>
      <c r="L84" s="8"/>
      <c r="M84" s="8"/>
      <c r="N84" s="8"/>
      <c r="O84" s="8"/>
      <c r="P84" s="8"/>
      <c r="Q84" s="8"/>
      <c r="R84" s="8"/>
      <c r="S84" s="8"/>
      <c r="T84" s="8"/>
      <c r="U84" s="8"/>
      <c r="V84" s="8"/>
      <c r="W84" s="8"/>
      <c r="X84" s="8"/>
      <c r="Y84" s="173"/>
      <c r="Z84" s="173"/>
      <c r="AA84" s="173"/>
      <c r="AB84" s="184"/>
      <c r="AC84" s="8"/>
      <c r="AD84" s="8"/>
      <c r="AE84" s="8"/>
      <c r="AF84" s="8"/>
      <c r="AG84" s="191"/>
      <c r="AH84" s="191"/>
      <c r="AI84" s="191"/>
      <c r="AJ84" s="8"/>
      <c r="AK84" s="8"/>
      <c r="AL84" s="8"/>
      <c r="AM84" s="8"/>
      <c r="AN84" s="8"/>
      <c r="AO84" s="8"/>
      <c r="AP84" s="8"/>
      <c r="AQ84" s="8"/>
      <c r="AR84" s="8"/>
      <c r="AS84" s="8"/>
      <c r="AT84" s="8"/>
    </row>
    <row r="85">
      <c r="A85" s="8"/>
      <c r="B85" s="8"/>
      <c r="C85" s="8"/>
      <c r="D85" s="8"/>
      <c r="E85" s="8"/>
      <c r="F85" s="8"/>
      <c r="G85" s="8"/>
      <c r="H85" s="8"/>
      <c r="I85" s="8"/>
      <c r="J85" s="8"/>
      <c r="K85" s="8"/>
      <c r="L85" s="8"/>
      <c r="M85" s="8"/>
      <c r="N85" s="8"/>
      <c r="O85" s="8"/>
      <c r="P85" s="8"/>
      <c r="Q85" s="8"/>
      <c r="R85" s="8"/>
      <c r="S85" s="8"/>
      <c r="T85" s="8"/>
      <c r="U85" s="8"/>
      <c r="V85" s="8"/>
      <c r="W85" s="8"/>
      <c r="X85" s="8"/>
      <c r="Y85" s="173"/>
      <c r="Z85" s="173"/>
      <c r="AA85" s="173"/>
      <c r="AB85" s="184"/>
      <c r="AC85" s="8"/>
      <c r="AD85" s="8"/>
      <c r="AE85" s="8"/>
      <c r="AF85" s="8"/>
      <c r="AG85" s="191"/>
      <c r="AH85" s="191"/>
      <c r="AI85" s="191"/>
      <c r="AJ85" s="8"/>
      <c r="AK85" s="8"/>
      <c r="AL85" s="8"/>
      <c r="AM85" s="8"/>
      <c r="AN85" s="8"/>
      <c r="AO85" s="8"/>
      <c r="AP85" s="8"/>
      <c r="AQ85" s="8"/>
      <c r="AR85" s="8"/>
      <c r="AS85" s="8"/>
      <c r="AT85" s="8"/>
    </row>
    <row r="86">
      <c r="A86" s="8"/>
      <c r="B86" s="8"/>
      <c r="C86" s="8"/>
      <c r="D86" s="8"/>
      <c r="E86" s="8"/>
      <c r="F86" s="8"/>
      <c r="G86" s="8"/>
      <c r="H86" s="8"/>
      <c r="I86" s="8"/>
      <c r="J86" s="8"/>
      <c r="K86" s="8"/>
      <c r="L86" s="8"/>
      <c r="M86" s="8"/>
      <c r="N86" s="8"/>
      <c r="O86" s="8"/>
      <c r="P86" s="8"/>
      <c r="Q86" s="8"/>
      <c r="R86" s="8"/>
      <c r="S86" s="8"/>
      <c r="T86" s="8"/>
      <c r="U86" s="8"/>
      <c r="V86" s="8"/>
      <c r="W86" s="8"/>
      <c r="X86" s="8"/>
      <c r="Y86" s="173"/>
      <c r="Z86" s="173"/>
      <c r="AA86" s="173"/>
      <c r="AB86" s="184"/>
      <c r="AC86" s="8"/>
      <c r="AD86" s="8"/>
      <c r="AE86" s="8"/>
      <c r="AF86" s="8"/>
      <c r="AG86" s="191"/>
      <c r="AH86" s="191"/>
      <c r="AI86" s="191"/>
      <c r="AJ86" s="8"/>
      <c r="AK86" s="8"/>
      <c r="AL86" s="8"/>
      <c r="AM86" s="8"/>
      <c r="AN86" s="8"/>
      <c r="AO86" s="8"/>
      <c r="AP86" s="8"/>
      <c r="AQ86" s="8"/>
      <c r="AR86" s="8"/>
      <c r="AS86" s="8"/>
      <c r="AT86" s="8"/>
    </row>
    <row r="87">
      <c r="A87" s="8"/>
      <c r="B87" s="8"/>
      <c r="C87" s="8"/>
      <c r="D87" s="8"/>
      <c r="E87" s="8"/>
      <c r="F87" s="8"/>
      <c r="G87" s="8"/>
      <c r="H87" s="8"/>
      <c r="I87" s="8"/>
      <c r="J87" s="8"/>
      <c r="K87" s="8"/>
      <c r="L87" s="8"/>
      <c r="M87" s="8"/>
      <c r="N87" s="8"/>
      <c r="O87" s="8"/>
      <c r="P87" s="8"/>
      <c r="Q87" s="8"/>
      <c r="R87" s="8"/>
      <c r="S87" s="8"/>
      <c r="T87" s="8"/>
      <c r="U87" s="8"/>
      <c r="V87" s="8"/>
      <c r="W87" s="8"/>
      <c r="X87" s="8"/>
      <c r="Y87" s="173"/>
      <c r="Z87" s="173"/>
      <c r="AA87" s="173"/>
      <c r="AB87" s="184"/>
      <c r="AC87" s="8"/>
      <c r="AD87" s="8"/>
      <c r="AE87" s="8"/>
      <c r="AF87" s="8"/>
      <c r="AG87" s="191"/>
      <c r="AH87" s="191"/>
      <c r="AI87" s="191"/>
      <c r="AJ87" s="8"/>
      <c r="AK87" s="8"/>
      <c r="AL87" s="8"/>
      <c r="AM87" s="8"/>
      <c r="AN87" s="8"/>
      <c r="AO87" s="8"/>
      <c r="AP87" s="8"/>
      <c r="AQ87" s="8"/>
      <c r="AR87" s="8"/>
      <c r="AS87" s="8"/>
      <c r="AT87" s="8"/>
    </row>
    <row r="88">
      <c r="A88" s="8"/>
      <c r="B88" s="8"/>
      <c r="C88" s="8"/>
      <c r="D88" s="8"/>
      <c r="E88" s="8"/>
      <c r="F88" s="8"/>
      <c r="G88" s="8"/>
      <c r="H88" s="8"/>
      <c r="I88" s="8"/>
      <c r="J88" s="8"/>
      <c r="K88" s="8"/>
      <c r="L88" s="8"/>
      <c r="M88" s="8"/>
      <c r="N88" s="8"/>
      <c r="O88" s="8"/>
      <c r="P88" s="8"/>
      <c r="Q88" s="8"/>
      <c r="R88" s="8"/>
      <c r="S88" s="8"/>
      <c r="T88" s="8"/>
      <c r="U88" s="8"/>
      <c r="V88" s="8"/>
      <c r="W88" s="8"/>
      <c r="X88" s="8"/>
      <c r="Y88" s="173"/>
      <c r="Z88" s="173"/>
      <c r="AA88" s="173"/>
      <c r="AB88" s="184"/>
      <c r="AC88" s="8"/>
      <c r="AD88" s="8"/>
      <c r="AE88" s="8"/>
      <c r="AF88" s="8"/>
      <c r="AG88" s="191"/>
      <c r="AH88" s="191"/>
      <c r="AI88" s="191"/>
      <c r="AJ88" s="8"/>
      <c r="AK88" s="8"/>
      <c r="AL88" s="8"/>
      <c r="AM88" s="8"/>
      <c r="AN88" s="8"/>
      <c r="AO88" s="8"/>
      <c r="AP88" s="8"/>
      <c r="AQ88" s="8"/>
      <c r="AR88" s="8"/>
      <c r="AS88" s="8"/>
      <c r="AT88" s="8"/>
    </row>
    <row r="89">
      <c r="A89" s="8"/>
      <c r="B89" s="8"/>
      <c r="C89" s="8"/>
      <c r="D89" s="8"/>
      <c r="E89" s="8"/>
      <c r="F89" s="8"/>
      <c r="G89" s="8"/>
      <c r="H89" s="8"/>
      <c r="I89" s="8"/>
      <c r="J89" s="8"/>
      <c r="K89" s="8"/>
      <c r="L89" s="8"/>
      <c r="M89" s="8"/>
      <c r="N89" s="8"/>
      <c r="O89" s="8"/>
      <c r="P89" s="8"/>
      <c r="Q89" s="8"/>
      <c r="R89" s="8"/>
      <c r="S89" s="8"/>
      <c r="T89" s="8"/>
      <c r="U89" s="8"/>
      <c r="V89" s="8"/>
      <c r="W89" s="8"/>
      <c r="X89" s="8"/>
      <c r="Y89" s="173"/>
      <c r="Z89" s="173"/>
      <c r="AA89" s="173"/>
      <c r="AB89" s="184"/>
      <c r="AC89" s="8"/>
      <c r="AD89" s="8"/>
      <c r="AE89" s="8"/>
      <c r="AF89" s="8"/>
      <c r="AG89" s="191"/>
      <c r="AH89" s="191"/>
      <c r="AI89" s="191"/>
      <c r="AJ89" s="8"/>
      <c r="AK89" s="8"/>
      <c r="AL89" s="8"/>
      <c r="AM89" s="8"/>
      <c r="AN89" s="8"/>
      <c r="AO89" s="8"/>
      <c r="AP89" s="8"/>
      <c r="AQ89" s="8"/>
      <c r="AR89" s="8"/>
      <c r="AS89" s="8"/>
      <c r="AT89" s="8"/>
    </row>
    <row r="90">
      <c r="A90" s="8"/>
      <c r="B90" s="8"/>
      <c r="C90" s="8"/>
      <c r="D90" s="8"/>
      <c r="E90" s="8"/>
      <c r="F90" s="8"/>
      <c r="G90" s="8"/>
      <c r="H90" s="8"/>
      <c r="I90" s="8"/>
      <c r="J90" s="8"/>
      <c r="K90" s="8"/>
      <c r="L90" s="8"/>
      <c r="M90" s="8"/>
      <c r="N90" s="8"/>
      <c r="O90" s="8"/>
      <c r="P90" s="8"/>
      <c r="Q90" s="8"/>
      <c r="R90" s="8"/>
      <c r="S90" s="8"/>
      <c r="T90" s="8"/>
      <c r="U90" s="8"/>
      <c r="V90" s="8"/>
      <c r="W90" s="8"/>
      <c r="X90" s="8"/>
      <c r="Y90" s="173"/>
      <c r="Z90" s="173"/>
      <c r="AA90" s="173"/>
      <c r="AB90" s="184"/>
      <c r="AC90" s="8"/>
      <c r="AD90" s="8"/>
      <c r="AE90" s="8"/>
      <c r="AF90" s="8"/>
      <c r="AG90" s="191"/>
      <c r="AH90" s="191"/>
      <c r="AI90" s="191"/>
      <c r="AJ90" s="8"/>
      <c r="AK90" s="8"/>
      <c r="AL90" s="8"/>
      <c r="AM90" s="8"/>
      <c r="AN90" s="8"/>
      <c r="AO90" s="8"/>
      <c r="AP90" s="8"/>
      <c r="AQ90" s="8"/>
      <c r="AR90" s="8"/>
      <c r="AS90" s="8"/>
      <c r="AT90" s="8"/>
    </row>
    <row r="91">
      <c r="A91" s="8"/>
      <c r="B91" s="8"/>
      <c r="C91" s="8"/>
      <c r="D91" s="8"/>
      <c r="E91" s="8"/>
      <c r="F91" s="8"/>
      <c r="G91" s="8"/>
      <c r="H91" s="8"/>
      <c r="I91" s="8"/>
      <c r="J91" s="8"/>
      <c r="K91" s="8"/>
      <c r="L91" s="8"/>
      <c r="M91" s="8"/>
      <c r="N91" s="8"/>
      <c r="O91" s="8"/>
      <c r="P91" s="8"/>
      <c r="Q91" s="8"/>
      <c r="R91" s="8"/>
      <c r="S91" s="8"/>
      <c r="T91" s="8"/>
      <c r="U91" s="8"/>
      <c r="V91" s="8"/>
      <c r="W91" s="8"/>
      <c r="X91" s="8"/>
      <c r="Y91" s="173"/>
      <c r="Z91" s="173"/>
      <c r="AA91" s="173"/>
      <c r="AB91" s="184"/>
      <c r="AC91" s="8"/>
      <c r="AD91" s="8"/>
      <c r="AE91" s="8"/>
      <c r="AF91" s="8"/>
      <c r="AG91" s="191"/>
      <c r="AH91" s="191"/>
      <c r="AI91" s="191"/>
      <c r="AJ91" s="8"/>
      <c r="AK91" s="8"/>
      <c r="AL91" s="8"/>
      <c r="AM91" s="8"/>
      <c r="AN91" s="8"/>
      <c r="AO91" s="8"/>
      <c r="AP91" s="8"/>
      <c r="AQ91" s="8"/>
      <c r="AR91" s="8"/>
      <c r="AS91" s="8"/>
      <c r="AT91" s="8"/>
    </row>
    <row r="92">
      <c r="A92" s="8"/>
      <c r="B92" s="8"/>
      <c r="C92" s="8"/>
      <c r="D92" s="8"/>
      <c r="E92" s="8"/>
      <c r="F92" s="8"/>
      <c r="G92" s="8"/>
      <c r="H92" s="8"/>
      <c r="I92" s="8"/>
      <c r="J92" s="8"/>
      <c r="K92" s="8"/>
      <c r="L92" s="8"/>
      <c r="M92" s="8"/>
      <c r="N92" s="8"/>
      <c r="O92" s="8"/>
      <c r="P92" s="8"/>
      <c r="Q92" s="8"/>
      <c r="R92" s="8"/>
      <c r="S92" s="8"/>
      <c r="T92" s="8"/>
      <c r="U92" s="8"/>
      <c r="V92" s="8"/>
      <c r="W92" s="8"/>
      <c r="X92" s="8"/>
      <c r="Y92" s="173"/>
      <c r="Z92" s="173"/>
      <c r="AA92" s="173"/>
      <c r="AB92" s="184"/>
      <c r="AC92" s="8"/>
      <c r="AD92" s="8"/>
      <c r="AE92" s="8"/>
      <c r="AF92" s="8"/>
      <c r="AG92" s="191"/>
      <c r="AH92" s="191"/>
      <c r="AI92" s="191"/>
      <c r="AJ92" s="8"/>
      <c r="AK92" s="8"/>
      <c r="AL92" s="8"/>
      <c r="AM92" s="8"/>
      <c r="AN92" s="8"/>
      <c r="AO92" s="8"/>
      <c r="AP92" s="8"/>
      <c r="AQ92" s="8"/>
      <c r="AR92" s="8"/>
      <c r="AS92" s="8"/>
      <c r="AT92" s="8"/>
    </row>
    <row r="93">
      <c r="A93" s="8"/>
      <c r="B93" s="8"/>
      <c r="C93" s="8"/>
      <c r="D93" s="8"/>
      <c r="E93" s="8"/>
      <c r="F93" s="8"/>
      <c r="G93" s="8"/>
      <c r="H93" s="8"/>
      <c r="I93" s="8"/>
      <c r="J93" s="8"/>
      <c r="K93" s="8"/>
      <c r="L93" s="8"/>
      <c r="M93" s="8"/>
      <c r="N93" s="8"/>
      <c r="O93" s="8"/>
      <c r="P93" s="8"/>
      <c r="Q93" s="8"/>
      <c r="R93" s="8"/>
      <c r="S93" s="8"/>
      <c r="T93" s="8"/>
      <c r="U93" s="8"/>
      <c r="V93" s="8"/>
      <c r="W93" s="8"/>
      <c r="X93" s="8"/>
      <c r="Y93" s="173"/>
      <c r="Z93" s="173"/>
      <c r="AA93" s="173"/>
      <c r="AB93" s="184"/>
      <c r="AC93" s="8"/>
      <c r="AD93" s="8"/>
      <c r="AE93" s="8"/>
      <c r="AF93" s="8"/>
      <c r="AG93" s="191"/>
      <c r="AH93" s="191"/>
      <c r="AI93" s="191"/>
      <c r="AJ93" s="8"/>
      <c r="AK93" s="8"/>
      <c r="AL93" s="8"/>
      <c r="AM93" s="8"/>
      <c r="AN93" s="8"/>
      <c r="AO93" s="8"/>
      <c r="AP93" s="8"/>
      <c r="AQ93" s="8"/>
      <c r="AR93" s="8"/>
      <c r="AS93" s="8"/>
      <c r="AT93" s="8"/>
    </row>
    <row r="94">
      <c r="A94" s="8"/>
      <c r="B94" s="8"/>
      <c r="C94" s="8"/>
      <c r="D94" s="8"/>
      <c r="E94" s="8"/>
      <c r="F94" s="8"/>
      <c r="G94" s="8"/>
      <c r="H94" s="8"/>
      <c r="I94" s="8"/>
      <c r="J94" s="8"/>
      <c r="K94" s="8"/>
      <c r="L94" s="8"/>
      <c r="M94" s="8"/>
      <c r="N94" s="8"/>
      <c r="O94" s="8"/>
      <c r="P94" s="8"/>
      <c r="Q94" s="8"/>
      <c r="R94" s="8"/>
      <c r="S94" s="8"/>
      <c r="T94" s="8"/>
      <c r="U94" s="8"/>
      <c r="V94" s="8"/>
      <c r="W94" s="8"/>
      <c r="X94" s="8"/>
      <c r="Y94" s="173"/>
      <c r="Z94" s="173"/>
      <c r="AA94" s="173"/>
      <c r="AB94" s="184"/>
      <c r="AC94" s="8"/>
      <c r="AD94" s="8"/>
      <c r="AE94" s="8"/>
      <c r="AF94" s="8"/>
      <c r="AG94" s="191"/>
      <c r="AH94" s="191"/>
      <c r="AI94" s="191"/>
      <c r="AJ94" s="8"/>
      <c r="AK94" s="8"/>
      <c r="AL94" s="8"/>
      <c r="AM94" s="8"/>
      <c r="AN94" s="8"/>
      <c r="AO94" s="8"/>
      <c r="AP94" s="8"/>
      <c r="AQ94" s="8"/>
      <c r="AR94" s="8"/>
      <c r="AS94" s="8"/>
      <c r="AT94" s="8"/>
    </row>
    <row r="95">
      <c r="A95" s="8"/>
      <c r="B95" s="8"/>
      <c r="C95" s="8"/>
      <c r="D95" s="8"/>
      <c r="E95" s="8"/>
      <c r="F95" s="8"/>
      <c r="G95" s="8"/>
      <c r="H95" s="8"/>
      <c r="I95" s="8"/>
      <c r="J95" s="8"/>
      <c r="K95" s="8"/>
      <c r="L95" s="8"/>
      <c r="M95" s="8"/>
      <c r="N95" s="8"/>
      <c r="O95" s="8"/>
      <c r="P95" s="8"/>
      <c r="Q95" s="8"/>
      <c r="R95" s="8"/>
      <c r="S95" s="8"/>
      <c r="T95" s="8"/>
      <c r="U95" s="8"/>
      <c r="V95" s="8"/>
      <c r="W95" s="8"/>
      <c r="X95" s="8"/>
      <c r="Y95" s="173"/>
      <c r="Z95" s="173"/>
      <c r="AA95" s="173"/>
      <c r="AB95" s="184"/>
      <c r="AC95" s="8"/>
      <c r="AD95" s="8"/>
      <c r="AE95" s="8"/>
      <c r="AF95" s="8"/>
      <c r="AG95" s="191"/>
      <c r="AH95" s="191"/>
      <c r="AI95" s="191"/>
      <c r="AJ95" s="8"/>
      <c r="AK95" s="8"/>
      <c r="AL95" s="8"/>
      <c r="AM95" s="8"/>
      <c r="AN95" s="8"/>
      <c r="AO95" s="8"/>
      <c r="AP95" s="8"/>
      <c r="AQ95" s="8"/>
      <c r="AR95" s="8"/>
      <c r="AS95" s="8"/>
      <c r="AT95" s="8"/>
    </row>
    <row r="96">
      <c r="A96" s="8"/>
      <c r="B96" s="8"/>
      <c r="C96" s="8"/>
      <c r="D96" s="8"/>
      <c r="E96" s="8"/>
      <c r="F96" s="8"/>
      <c r="G96" s="8"/>
      <c r="H96" s="8"/>
      <c r="I96" s="8"/>
      <c r="J96" s="8"/>
      <c r="K96" s="8"/>
      <c r="L96" s="8"/>
      <c r="M96" s="8"/>
      <c r="N96" s="8"/>
      <c r="O96" s="8"/>
      <c r="P96" s="8"/>
      <c r="Q96" s="8"/>
      <c r="R96" s="8"/>
      <c r="S96" s="8"/>
      <c r="T96" s="8"/>
      <c r="U96" s="8"/>
      <c r="V96" s="8"/>
      <c r="W96" s="8"/>
      <c r="X96" s="8"/>
      <c r="Y96" s="173"/>
      <c r="Z96" s="173"/>
      <c r="AA96" s="173"/>
      <c r="AB96" s="184"/>
      <c r="AC96" s="8"/>
      <c r="AD96" s="8"/>
      <c r="AE96" s="8"/>
      <c r="AF96" s="8"/>
      <c r="AG96" s="191"/>
      <c r="AH96" s="191"/>
      <c r="AI96" s="191"/>
      <c r="AJ96" s="8"/>
      <c r="AK96" s="8"/>
      <c r="AL96" s="8"/>
      <c r="AM96" s="8"/>
      <c r="AN96" s="8"/>
      <c r="AO96" s="8"/>
      <c r="AP96" s="8"/>
      <c r="AQ96" s="8"/>
      <c r="AR96" s="8"/>
      <c r="AS96" s="8"/>
      <c r="AT96" s="8"/>
    </row>
    <row r="97">
      <c r="A97" s="8"/>
      <c r="B97" s="8"/>
      <c r="C97" s="8"/>
      <c r="D97" s="8"/>
      <c r="E97" s="8"/>
      <c r="F97" s="8"/>
      <c r="G97" s="8"/>
      <c r="H97" s="8"/>
      <c r="I97" s="8"/>
      <c r="J97" s="8"/>
      <c r="K97" s="8"/>
      <c r="L97" s="8"/>
      <c r="M97" s="8"/>
      <c r="N97" s="8"/>
      <c r="O97" s="8"/>
      <c r="P97" s="8"/>
      <c r="Q97" s="8"/>
      <c r="R97" s="8"/>
      <c r="S97" s="8"/>
      <c r="T97" s="8"/>
      <c r="U97" s="8"/>
      <c r="V97" s="8"/>
      <c r="W97" s="8"/>
      <c r="X97" s="8"/>
      <c r="Y97" s="173"/>
      <c r="Z97" s="173"/>
      <c r="AA97" s="173"/>
      <c r="AB97" s="184"/>
      <c r="AC97" s="8"/>
      <c r="AD97" s="8"/>
      <c r="AE97" s="8"/>
      <c r="AF97" s="8"/>
      <c r="AG97" s="191"/>
      <c r="AH97" s="191"/>
      <c r="AI97" s="191"/>
      <c r="AJ97" s="8"/>
      <c r="AK97" s="8"/>
      <c r="AL97" s="8"/>
      <c r="AM97" s="8"/>
      <c r="AN97" s="8"/>
      <c r="AO97" s="8"/>
      <c r="AP97" s="8"/>
      <c r="AQ97" s="8"/>
      <c r="AR97" s="8"/>
      <c r="AS97" s="8"/>
      <c r="AT97" s="8"/>
    </row>
    <row r="98">
      <c r="A98" s="8"/>
      <c r="B98" s="8"/>
      <c r="C98" s="8"/>
      <c r="D98" s="8"/>
      <c r="E98" s="8"/>
      <c r="F98" s="8"/>
      <c r="G98" s="8"/>
      <c r="H98" s="8"/>
      <c r="I98" s="8"/>
      <c r="J98" s="8"/>
      <c r="K98" s="8"/>
      <c r="L98" s="8"/>
      <c r="M98" s="8"/>
      <c r="N98" s="8"/>
      <c r="O98" s="8"/>
      <c r="P98" s="8"/>
      <c r="Q98" s="8"/>
      <c r="R98" s="8"/>
      <c r="S98" s="8"/>
      <c r="T98" s="8"/>
      <c r="U98" s="8"/>
      <c r="V98" s="8"/>
      <c r="W98" s="8"/>
      <c r="X98" s="8"/>
      <c r="Y98" s="173"/>
      <c r="Z98" s="173"/>
      <c r="AA98" s="173"/>
      <c r="AB98" s="184"/>
      <c r="AC98" s="8"/>
      <c r="AD98" s="8"/>
      <c r="AE98" s="8"/>
      <c r="AF98" s="8"/>
      <c r="AG98" s="191"/>
      <c r="AH98" s="191"/>
      <c r="AI98" s="191"/>
      <c r="AJ98" s="8"/>
      <c r="AK98" s="8"/>
      <c r="AL98" s="8"/>
      <c r="AM98" s="8"/>
      <c r="AN98" s="8"/>
      <c r="AO98" s="8"/>
      <c r="AP98" s="8"/>
      <c r="AQ98" s="8"/>
      <c r="AR98" s="8"/>
      <c r="AS98" s="8"/>
      <c r="AT98" s="8"/>
    </row>
    <row r="99">
      <c r="A99" s="8"/>
      <c r="B99" s="8"/>
      <c r="C99" s="8"/>
      <c r="D99" s="8"/>
      <c r="E99" s="8"/>
      <c r="F99" s="8"/>
      <c r="G99" s="8"/>
      <c r="H99" s="8"/>
      <c r="I99" s="8"/>
      <c r="J99" s="8"/>
      <c r="K99" s="8"/>
      <c r="L99" s="8"/>
      <c r="M99" s="8"/>
      <c r="N99" s="8"/>
      <c r="O99" s="8"/>
      <c r="P99" s="8"/>
      <c r="Q99" s="8"/>
      <c r="R99" s="8"/>
      <c r="S99" s="8"/>
      <c r="T99" s="8"/>
      <c r="U99" s="8"/>
      <c r="V99" s="8"/>
      <c r="W99" s="8"/>
      <c r="X99" s="8"/>
      <c r="Y99" s="173"/>
      <c r="Z99" s="173"/>
      <c r="AA99" s="173"/>
      <c r="AB99" s="184"/>
      <c r="AC99" s="8"/>
      <c r="AD99" s="8"/>
      <c r="AE99" s="8"/>
      <c r="AF99" s="8"/>
      <c r="AG99" s="191"/>
      <c r="AH99" s="191"/>
      <c r="AI99" s="191"/>
      <c r="AJ99" s="8"/>
      <c r="AK99" s="8"/>
      <c r="AL99" s="8"/>
      <c r="AM99" s="8"/>
      <c r="AN99" s="8"/>
      <c r="AO99" s="8"/>
      <c r="AP99" s="8"/>
      <c r="AQ99" s="8"/>
      <c r="AR99" s="8"/>
      <c r="AS99" s="8"/>
      <c r="A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173"/>
      <c r="Z100" s="173"/>
      <c r="AA100" s="173"/>
      <c r="AB100" s="184"/>
      <c r="AC100" s="8"/>
      <c r="AD100" s="8"/>
      <c r="AE100" s="8"/>
      <c r="AF100" s="8"/>
      <c r="AG100" s="191"/>
      <c r="AH100" s="191"/>
      <c r="AI100" s="191"/>
      <c r="AJ100" s="8"/>
      <c r="AK100" s="8"/>
      <c r="AL100" s="8"/>
      <c r="AM100" s="8"/>
      <c r="AN100" s="8"/>
      <c r="AO100" s="8"/>
      <c r="AP100" s="8"/>
      <c r="AQ100" s="8"/>
      <c r="AR100" s="8"/>
      <c r="AS100" s="8"/>
      <c r="A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173"/>
      <c r="Z101" s="173"/>
      <c r="AA101" s="173"/>
      <c r="AB101" s="184"/>
      <c r="AC101" s="8"/>
      <c r="AD101" s="8"/>
      <c r="AE101" s="8"/>
      <c r="AF101" s="8"/>
      <c r="AG101" s="191"/>
      <c r="AH101" s="191"/>
      <c r="AI101" s="191"/>
      <c r="AJ101" s="8"/>
      <c r="AK101" s="8"/>
      <c r="AL101" s="8"/>
      <c r="AM101" s="8"/>
      <c r="AN101" s="8"/>
      <c r="AO101" s="8"/>
      <c r="AP101" s="8"/>
      <c r="AQ101" s="8"/>
      <c r="AR101" s="8"/>
      <c r="AS101" s="8"/>
      <c r="A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173"/>
      <c r="Z102" s="173"/>
      <c r="AA102" s="173"/>
      <c r="AB102" s="184"/>
      <c r="AC102" s="8"/>
      <c r="AD102" s="8"/>
      <c r="AE102" s="8"/>
      <c r="AF102" s="8"/>
      <c r="AG102" s="191"/>
      <c r="AH102" s="191"/>
      <c r="AI102" s="191"/>
      <c r="AJ102" s="8"/>
      <c r="AK102" s="8"/>
      <c r="AL102" s="8"/>
      <c r="AM102" s="8"/>
      <c r="AN102" s="8"/>
      <c r="AO102" s="8"/>
      <c r="AP102" s="8"/>
      <c r="AQ102" s="8"/>
      <c r="AR102" s="8"/>
      <c r="AS102" s="8"/>
      <c r="A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173"/>
      <c r="Z103" s="173"/>
      <c r="AA103" s="173"/>
      <c r="AB103" s="184"/>
      <c r="AC103" s="8"/>
      <c r="AD103" s="8"/>
      <c r="AE103" s="8"/>
      <c r="AF103" s="8"/>
      <c r="AG103" s="191"/>
      <c r="AH103" s="191"/>
      <c r="AI103" s="191"/>
      <c r="AJ103" s="8"/>
      <c r="AK103" s="8"/>
      <c r="AL103" s="8"/>
      <c r="AM103" s="8"/>
      <c r="AN103" s="8"/>
      <c r="AO103" s="8"/>
      <c r="AP103" s="8"/>
      <c r="AQ103" s="8"/>
      <c r="AR103" s="8"/>
      <c r="AS103" s="8"/>
      <c r="A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173"/>
      <c r="Z104" s="173"/>
      <c r="AA104" s="173"/>
      <c r="AB104" s="184"/>
      <c r="AC104" s="8"/>
      <c r="AD104" s="8"/>
      <c r="AE104" s="8"/>
      <c r="AF104" s="8"/>
      <c r="AG104" s="191"/>
      <c r="AH104" s="191"/>
      <c r="AI104" s="191"/>
      <c r="AJ104" s="8"/>
      <c r="AK104" s="8"/>
      <c r="AL104" s="8"/>
      <c r="AM104" s="8"/>
      <c r="AN104" s="8"/>
      <c r="AO104" s="8"/>
      <c r="AP104" s="8"/>
      <c r="AQ104" s="8"/>
      <c r="AR104" s="8"/>
      <c r="AS104" s="8"/>
      <c r="A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173"/>
      <c r="Z105" s="173"/>
      <c r="AA105" s="173"/>
      <c r="AB105" s="184"/>
      <c r="AC105" s="8"/>
      <c r="AD105" s="8"/>
      <c r="AE105" s="8"/>
      <c r="AF105" s="8"/>
      <c r="AG105" s="191"/>
      <c r="AH105" s="191"/>
      <c r="AI105" s="191"/>
      <c r="AJ105" s="8"/>
      <c r="AK105" s="8"/>
      <c r="AL105" s="8"/>
      <c r="AM105" s="8"/>
      <c r="AN105" s="8"/>
      <c r="AO105" s="8"/>
      <c r="AP105" s="8"/>
      <c r="AQ105" s="8"/>
      <c r="AR105" s="8"/>
      <c r="AS105" s="8"/>
      <c r="A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173"/>
      <c r="Z106" s="173"/>
      <c r="AA106" s="173"/>
      <c r="AB106" s="184"/>
      <c r="AC106" s="8"/>
      <c r="AD106" s="8"/>
      <c r="AE106" s="8"/>
      <c r="AF106" s="8"/>
      <c r="AG106" s="191"/>
      <c r="AH106" s="191"/>
      <c r="AI106" s="191"/>
      <c r="AJ106" s="8"/>
      <c r="AK106" s="8"/>
      <c r="AL106" s="8"/>
      <c r="AM106" s="8"/>
      <c r="AN106" s="8"/>
      <c r="AO106" s="8"/>
      <c r="AP106" s="8"/>
      <c r="AQ106" s="8"/>
      <c r="AR106" s="8"/>
      <c r="AS106" s="8"/>
      <c r="A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173"/>
      <c r="Z107" s="173"/>
      <c r="AA107" s="173"/>
      <c r="AB107" s="184"/>
      <c r="AC107" s="8"/>
      <c r="AD107" s="8"/>
      <c r="AE107" s="8"/>
      <c r="AF107" s="8"/>
      <c r="AG107" s="191"/>
      <c r="AH107" s="191"/>
      <c r="AI107" s="191"/>
      <c r="AJ107" s="8"/>
      <c r="AK107" s="8"/>
      <c r="AL107" s="8"/>
      <c r="AM107" s="8"/>
      <c r="AN107" s="8"/>
      <c r="AO107" s="8"/>
      <c r="AP107" s="8"/>
      <c r="AQ107" s="8"/>
      <c r="AR107" s="8"/>
      <c r="AS107" s="8"/>
      <c r="A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173"/>
      <c r="Z108" s="173"/>
      <c r="AA108" s="173"/>
      <c r="AB108" s="184"/>
      <c r="AC108" s="8"/>
      <c r="AD108" s="8"/>
      <c r="AE108" s="8"/>
      <c r="AF108" s="8"/>
      <c r="AG108" s="191"/>
      <c r="AH108" s="191"/>
      <c r="AI108" s="191"/>
      <c r="AJ108" s="8"/>
      <c r="AK108" s="8"/>
      <c r="AL108" s="8"/>
      <c r="AM108" s="8"/>
      <c r="AN108" s="8"/>
      <c r="AO108" s="8"/>
      <c r="AP108" s="8"/>
      <c r="AQ108" s="8"/>
      <c r="AR108" s="8"/>
      <c r="AS108" s="8"/>
      <c r="A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173"/>
      <c r="Z109" s="173"/>
      <c r="AA109" s="173"/>
      <c r="AB109" s="184"/>
      <c r="AC109" s="8"/>
      <c r="AD109" s="8"/>
      <c r="AE109" s="8"/>
      <c r="AF109" s="8"/>
      <c r="AG109" s="191"/>
      <c r="AH109" s="191"/>
      <c r="AI109" s="191"/>
      <c r="AJ109" s="8"/>
      <c r="AK109" s="8"/>
      <c r="AL109" s="8"/>
      <c r="AM109" s="8"/>
      <c r="AN109" s="8"/>
      <c r="AO109" s="8"/>
      <c r="AP109" s="8"/>
      <c r="AQ109" s="8"/>
      <c r="AR109" s="8"/>
      <c r="AS109" s="8"/>
      <c r="A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173"/>
      <c r="Z110" s="173"/>
      <c r="AA110" s="173"/>
      <c r="AB110" s="184"/>
      <c r="AC110" s="8"/>
      <c r="AD110" s="8"/>
      <c r="AE110" s="8"/>
      <c r="AF110" s="8"/>
      <c r="AG110" s="191"/>
      <c r="AH110" s="191"/>
      <c r="AI110" s="191"/>
      <c r="AJ110" s="8"/>
      <c r="AK110" s="8"/>
      <c r="AL110" s="8"/>
      <c r="AM110" s="8"/>
      <c r="AN110" s="8"/>
      <c r="AO110" s="8"/>
      <c r="AP110" s="8"/>
      <c r="AQ110" s="8"/>
      <c r="AR110" s="8"/>
      <c r="AS110" s="8"/>
      <c r="A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173"/>
      <c r="Z111" s="173"/>
      <c r="AA111" s="173"/>
      <c r="AB111" s="184"/>
      <c r="AC111" s="8"/>
      <c r="AD111" s="8"/>
      <c r="AE111" s="8"/>
      <c r="AF111" s="8"/>
      <c r="AG111" s="191"/>
      <c r="AH111" s="191"/>
      <c r="AI111" s="191"/>
      <c r="AJ111" s="8"/>
      <c r="AK111" s="8"/>
      <c r="AL111" s="8"/>
      <c r="AM111" s="8"/>
      <c r="AN111" s="8"/>
      <c r="AO111" s="8"/>
      <c r="AP111" s="8"/>
      <c r="AQ111" s="8"/>
      <c r="AR111" s="8"/>
      <c r="AS111" s="8"/>
      <c r="A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173"/>
      <c r="Z112" s="173"/>
      <c r="AA112" s="173"/>
      <c r="AB112" s="184"/>
      <c r="AC112" s="8"/>
      <c r="AD112" s="8"/>
      <c r="AE112" s="8"/>
      <c r="AF112" s="8"/>
      <c r="AG112" s="191"/>
      <c r="AH112" s="191"/>
      <c r="AI112" s="191"/>
      <c r="AJ112" s="8"/>
      <c r="AK112" s="8"/>
      <c r="AL112" s="8"/>
      <c r="AM112" s="8"/>
      <c r="AN112" s="8"/>
      <c r="AO112" s="8"/>
      <c r="AP112" s="8"/>
      <c r="AQ112" s="8"/>
      <c r="AR112" s="8"/>
      <c r="AS112" s="8"/>
      <c r="A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173"/>
      <c r="Z113" s="173"/>
      <c r="AA113" s="173"/>
      <c r="AB113" s="184"/>
      <c r="AC113" s="8"/>
      <c r="AD113" s="8"/>
      <c r="AE113" s="8"/>
      <c r="AF113" s="8"/>
      <c r="AG113" s="191"/>
      <c r="AH113" s="191"/>
      <c r="AI113" s="191"/>
      <c r="AJ113" s="8"/>
      <c r="AK113" s="8"/>
      <c r="AL113" s="8"/>
      <c r="AM113" s="8"/>
      <c r="AN113" s="8"/>
      <c r="AO113" s="8"/>
      <c r="AP113" s="8"/>
      <c r="AQ113" s="8"/>
      <c r="AR113" s="8"/>
      <c r="AS113" s="8"/>
      <c r="A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173"/>
      <c r="Z114" s="173"/>
      <c r="AA114" s="173"/>
      <c r="AB114" s="184"/>
      <c r="AC114" s="8"/>
      <c r="AD114" s="8"/>
      <c r="AE114" s="8"/>
      <c r="AF114" s="8"/>
      <c r="AG114" s="191"/>
      <c r="AH114" s="191"/>
      <c r="AI114" s="191"/>
      <c r="AJ114" s="8"/>
      <c r="AK114" s="8"/>
      <c r="AL114" s="8"/>
      <c r="AM114" s="8"/>
      <c r="AN114" s="8"/>
      <c r="AO114" s="8"/>
      <c r="AP114" s="8"/>
      <c r="AQ114" s="8"/>
      <c r="AR114" s="8"/>
      <c r="AS114" s="8"/>
      <c r="A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173"/>
      <c r="Z115" s="173"/>
      <c r="AA115" s="173"/>
      <c r="AB115" s="184"/>
      <c r="AC115" s="8"/>
      <c r="AD115" s="8"/>
      <c r="AE115" s="8"/>
      <c r="AF115" s="8"/>
      <c r="AG115" s="191"/>
      <c r="AH115" s="191"/>
      <c r="AI115" s="191"/>
      <c r="AJ115" s="8"/>
      <c r="AK115" s="8"/>
      <c r="AL115" s="8"/>
      <c r="AM115" s="8"/>
      <c r="AN115" s="8"/>
      <c r="AO115" s="8"/>
      <c r="AP115" s="8"/>
      <c r="AQ115" s="8"/>
      <c r="AR115" s="8"/>
      <c r="AS115" s="8"/>
      <c r="A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173"/>
      <c r="Z116" s="173"/>
      <c r="AA116" s="173"/>
      <c r="AB116" s="184"/>
      <c r="AC116" s="8"/>
      <c r="AD116" s="8"/>
      <c r="AE116" s="8"/>
      <c r="AF116" s="8"/>
      <c r="AG116" s="191"/>
      <c r="AH116" s="191"/>
      <c r="AI116" s="191"/>
      <c r="AJ116" s="8"/>
      <c r="AK116" s="8"/>
      <c r="AL116" s="8"/>
      <c r="AM116" s="8"/>
      <c r="AN116" s="8"/>
      <c r="AO116" s="8"/>
      <c r="AP116" s="8"/>
      <c r="AQ116" s="8"/>
      <c r="AR116" s="8"/>
      <c r="AS116" s="8"/>
      <c r="A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173"/>
      <c r="Z117" s="173"/>
      <c r="AA117" s="173"/>
      <c r="AB117" s="184"/>
      <c r="AC117" s="8"/>
      <c r="AD117" s="8"/>
      <c r="AE117" s="8"/>
      <c r="AF117" s="8"/>
      <c r="AG117" s="191"/>
      <c r="AH117" s="191"/>
      <c r="AI117" s="191"/>
      <c r="AJ117" s="8"/>
      <c r="AK117" s="8"/>
      <c r="AL117" s="8"/>
      <c r="AM117" s="8"/>
      <c r="AN117" s="8"/>
      <c r="AO117" s="8"/>
      <c r="AP117" s="8"/>
      <c r="AQ117" s="8"/>
      <c r="AR117" s="8"/>
      <c r="AS117" s="8"/>
      <c r="A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173"/>
      <c r="Z118" s="173"/>
      <c r="AA118" s="173"/>
      <c r="AB118" s="184"/>
      <c r="AC118" s="8"/>
      <c r="AD118" s="8"/>
      <c r="AE118" s="8"/>
      <c r="AF118" s="8"/>
      <c r="AG118" s="191"/>
      <c r="AH118" s="191"/>
      <c r="AI118" s="191"/>
      <c r="AJ118" s="8"/>
      <c r="AK118" s="8"/>
      <c r="AL118" s="8"/>
      <c r="AM118" s="8"/>
      <c r="AN118" s="8"/>
      <c r="AO118" s="8"/>
      <c r="AP118" s="8"/>
      <c r="AQ118" s="8"/>
      <c r="AR118" s="8"/>
      <c r="AS118" s="8"/>
      <c r="A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173"/>
      <c r="Z119" s="173"/>
      <c r="AA119" s="173"/>
      <c r="AB119" s="184"/>
      <c r="AC119" s="8"/>
      <c r="AD119" s="8"/>
      <c r="AE119" s="8"/>
      <c r="AF119" s="8"/>
      <c r="AG119" s="191"/>
      <c r="AH119" s="191"/>
      <c r="AI119" s="191"/>
      <c r="AJ119" s="8"/>
      <c r="AK119" s="8"/>
      <c r="AL119" s="8"/>
      <c r="AM119" s="8"/>
      <c r="AN119" s="8"/>
      <c r="AO119" s="8"/>
      <c r="AP119" s="8"/>
      <c r="AQ119" s="8"/>
      <c r="AR119" s="8"/>
      <c r="AS119" s="8"/>
      <c r="A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173"/>
      <c r="Z120" s="173"/>
      <c r="AA120" s="173"/>
      <c r="AB120" s="184"/>
      <c r="AC120" s="8"/>
      <c r="AD120" s="8"/>
      <c r="AE120" s="8"/>
      <c r="AF120" s="8"/>
      <c r="AG120" s="191"/>
      <c r="AH120" s="191"/>
      <c r="AI120" s="191"/>
      <c r="AJ120" s="8"/>
      <c r="AK120" s="8"/>
      <c r="AL120" s="8"/>
      <c r="AM120" s="8"/>
      <c r="AN120" s="8"/>
      <c r="AO120" s="8"/>
      <c r="AP120" s="8"/>
      <c r="AQ120" s="8"/>
      <c r="AR120" s="8"/>
      <c r="AS120" s="8"/>
      <c r="A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173"/>
      <c r="Z121" s="173"/>
      <c r="AA121" s="173"/>
      <c r="AB121" s="184"/>
      <c r="AC121" s="8"/>
      <c r="AD121" s="8"/>
      <c r="AE121" s="8"/>
      <c r="AF121" s="8"/>
      <c r="AG121" s="191"/>
      <c r="AH121" s="191"/>
      <c r="AI121" s="191"/>
      <c r="AJ121" s="8"/>
      <c r="AK121" s="8"/>
      <c r="AL121" s="8"/>
      <c r="AM121" s="8"/>
      <c r="AN121" s="8"/>
      <c r="AO121" s="8"/>
      <c r="AP121" s="8"/>
      <c r="AQ121" s="8"/>
      <c r="AR121" s="8"/>
      <c r="AS121" s="8"/>
      <c r="A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173"/>
      <c r="Z122" s="173"/>
      <c r="AA122" s="173"/>
      <c r="AB122" s="184"/>
      <c r="AC122" s="8"/>
      <c r="AD122" s="8"/>
      <c r="AE122" s="8"/>
      <c r="AF122" s="8"/>
      <c r="AG122" s="191"/>
      <c r="AH122" s="191"/>
      <c r="AI122" s="191"/>
      <c r="AJ122" s="8"/>
      <c r="AK122" s="8"/>
      <c r="AL122" s="8"/>
      <c r="AM122" s="8"/>
      <c r="AN122" s="8"/>
      <c r="AO122" s="8"/>
      <c r="AP122" s="8"/>
      <c r="AQ122" s="8"/>
      <c r="AR122" s="8"/>
      <c r="AS122" s="8"/>
      <c r="A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173"/>
      <c r="Z123" s="173"/>
      <c r="AA123" s="173"/>
      <c r="AB123" s="184"/>
      <c r="AC123" s="8"/>
      <c r="AD123" s="8"/>
      <c r="AE123" s="8"/>
      <c r="AF123" s="8"/>
      <c r="AG123" s="191"/>
      <c r="AH123" s="191"/>
      <c r="AI123" s="191"/>
      <c r="AJ123" s="8"/>
      <c r="AK123" s="8"/>
      <c r="AL123" s="8"/>
      <c r="AM123" s="8"/>
      <c r="AN123" s="8"/>
      <c r="AO123" s="8"/>
      <c r="AP123" s="8"/>
      <c r="AQ123" s="8"/>
      <c r="AR123" s="8"/>
      <c r="AS123" s="8"/>
      <c r="A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173"/>
      <c r="Z124" s="173"/>
      <c r="AA124" s="173"/>
      <c r="AB124" s="184"/>
      <c r="AC124" s="8"/>
      <c r="AD124" s="8"/>
      <c r="AE124" s="8"/>
      <c r="AF124" s="8"/>
      <c r="AG124" s="191"/>
      <c r="AH124" s="191"/>
      <c r="AI124" s="191"/>
      <c r="AJ124" s="8"/>
      <c r="AK124" s="8"/>
      <c r="AL124" s="8"/>
      <c r="AM124" s="8"/>
      <c r="AN124" s="8"/>
      <c r="AO124" s="8"/>
      <c r="AP124" s="8"/>
      <c r="AQ124" s="8"/>
      <c r="AR124" s="8"/>
      <c r="AS124" s="8"/>
      <c r="A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173"/>
      <c r="Z125" s="173"/>
      <c r="AA125" s="173"/>
      <c r="AB125" s="184"/>
      <c r="AC125" s="8"/>
      <c r="AD125" s="8"/>
      <c r="AE125" s="8"/>
      <c r="AF125" s="8"/>
      <c r="AG125" s="191"/>
      <c r="AH125" s="191"/>
      <c r="AI125" s="191"/>
      <c r="AJ125" s="8"/>
      <c r="AK125" s="8"/>
      <c r="AL125" s="8"/>
      <c r="AM125" s="8"/>
      <c r="AN125" s="8"/>
      <c r="AO125" s="8"/>
      <c r="AP125" s="8"/>
      <c r="AQ125" s="8"/>
      <c r="AR125" s="8"/>
      <c r="AS125" s="8"/>
      <c r="A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173"/>
      <c r="Z126" s="173"/>
      <c r="AA126" s="173"/>
      <c r="AB126" s="184"/>
      <c r="AC126" s="8"/>
      <c r="AD126" s="8"/>
      <c r="AE126" s="8"/>
      <c r="AF126" s="8"/>
      <c r="AG126" s="191"/>
      <c r="AH126" s="191"/>
      <c r="AI126" s="191"/>
      <c r="AJ126" s="8"/>
      <c r="AK126" s="8"/>
      <c r="AL126" s="8"/>
      <c r="AM126" s="8"/>
      <c r="AN126" s="8"/>
      <c r="AO126" s="8"/>
      <c r="AP126" s="8"/>
      <c r="AQ126" s="8"/>
      <c r="AR126" s="8"/>
      <c r="AS126" s="8"/>
      <c r="A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173"/>
      <c r="Z127" s="173"/>
      <c r="AA127" s="173"/>
      <c r="AB127" s="184"/>
      <c r="AC127" s="8"/>
      <c r="AD127" s="8"/>
      <c r="AE127" s="8"/>
      <c r="AF127" s="8"/>
      <c r="AG127" s="191"/>
      <c r="AH127" s="191"/>
      <c r="AI127" s="191"/>
      <c r="AJ127" s="8"/>
      <c r="AK127" s="8"/>
      <c r="AL127" s="8"/>
      <c r="AM127" s="8"/>
      <c r="AN127" s="8"/>
      <c r="AO127" s="8"/>
      <c r="AP127" s="8"/>
      <c r="AQ127" s="8"/>
      <c r="AR127" s="8"/>
      <c r="AS127" s="8"/>
      <c r="A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173"/>
      <c r="Z128" s="173"/>
      <c r="AA128" s="173"/>
      <c r="AB128" s="184"/>
      <c r="AC128" s="8"/>
      <c r="AD128" s="8"/>
      <c r="AE128" s="8"/>
      <c r="AF128" s="8"/>
      <c r="AG128" s="191"/>
      <c r="AH128" s="191"/>
      <c r="AI128" s="191"/>
      <c r="AJ128" s="8"/>
      <c r="AK128" s="8"/>
      <c r="AL128" s="8"/>
      <c r="AM128" s="8"/>
      <c r="AN128" s="8"/>
      <c r="AO128" s="8"/>
      <c r="AP128" s="8"/>
      <c r="AQ128" s="8"/>
      <c r="AR128" s="8"/>
      <c r="AS128" s="8"/>
      <c r="A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173"/>
      <c r="Z129" s="173"/>
      <c r="AA129" s="173"/>
      <c r="AB129" s="184"/>
      <c r="AC129" s="8"/>
      <c r="AD129" s="8"/>
      <c r="AE129" s="8"/>
      <c r="AF129" s="8"/>
      <c r="AG129" s="191"/>
      <c r="AH129" s="191"/>
      <c r="AI129" s="191"/>
      <c r="AJ129" s="8"/>
      <c r="AK129" s="8"/>
      <c r="AL129" s="8"/>
      <c r="AM129" s="8"/>
      <c r="AN129" s="8"/>
      <c r="AO129" s="8"/>
      <c r="AP129" s="8"/>
      <c r="AQ129" s="8"/>
      <c r="AR129" s="8"/>
      <c r="AS129" s="8"/>
      <c r="A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173"/>
      <c r="Z130" s="173"/>
      <c r="AA130" s="173"/>
      <c r="AB130" s="184"/>
      <c r="AC130" s="8"/>
      <c r="AD130" s="8"/>
      <c r="AE130" s="8"/>
      <c r="AF130" s="8"/>
      <c r="AG130" s="191"/>
      <c r="AH130" s="191"/>
      <c r="AI130" s="191"/>
      <c r="AJ130" s="8"/>
      <c r="AK130" s="8"/>
      <c r="AL130" s="8"/>
      <c r="AM130" s="8"/>
      <c r="AN130" s="8"/>
      <c r="AO130" s="8"/>
      <c r="AP130" s="8"/>
      <c r="AQ130" s="8"/>
      <c r="AR130" s="8"/>
      <c r="AS130" s="8"/>
      <c r="A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173"/>
      <c r="Z131" s="173"/>
      <c r="AA131" s="173"/>
      <c r="AB131" s="184"/>
      <c r="AC131" s="8"/>
      <c r="AD131" s="8"/>
      <c r="AE131" s="8"/>
      <c r="AF131" s="8"/>
      <c r="AG131" s="191"/>
      <c r="AH131" s="191"/>
      <c r="AI131" s="191"/>
      <c r="AJ131" s="8"/>
      <c r="AK131" s="8"/>
      <c r="AL131" s="8"/>
      <c r="AM131" s="8"/>
      <c r="AN131" s="8"/>
      <c r="AO131" s="8"/>
      <c r="AP131" s="8"/>
      <c r="AQ131" s="8"/>
      <c r="AR131" s="8"/>
      <c r="AS131" s="8"/>
      <c r="A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173"/>
      <c r="Z132" s="173"/>
      <c r="AA132" s="173"/>
      <c r="AB132" s="184"/>
      <c r="AC132" s="8"/>
      <c r="AD132" s="8"/>
      <c r="AE132" s="8"/>
      <c r="AF132" s="8"/>
      <c r="AG132" s="191"/>
      <c r="AH132" s="191"/>
      <c r="AI132" s="191"/>
      <c r="AJ132" s="8"/>
      <c r="AK132" s="8"/>
      <c r="AL132" s="8"/>
      <c r="AM132" s="8"/>
      <c r="AN132" s="8"/>
      <c r="AO132" s="8"/>
      <c r="AP132" s="8"/>
      <c r="AQ132" s="8"/>
      <c r="AR132" s="8"/>
      <c r="AS132" s="8"/>
      <c r="A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173"/>
      <c r="Z133" s="173"/>
      <c r="AA133" s="173"/>
      <c r="AB133" s="184"/>
      <c r="AC133" s="8"/>
      <c r="AD133" s="8"/>
      <c r="AE133" s="8"/>
      <c r="AF133" s="8"/>
      <c r="AG133" s="191"/>
      <c r="AH133" s="191"/>
      <c r="AI133" s="191"/>
      <c r="AJ133" s="8"/>
      <c r="AK133" s="8"/>
      <c r="AL133" s="8"/>
      <c r="AM133" s="8"/>
      <c r="AN133" s="8"/>
      <c r="AO133" s="8"/>
      <c r="AP133" s="8"/>
      <c r="AQ133" s="8"/>
      <c r="AR133" s="8"/>
      <c r="AS133" s="8"/>
      <c r="A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173"/>
      <c r="Z134" s="173"/>
      <c r="AA134" s="173"/>
      <c r="AB134" s="184"/>
      <c r="AC134" s="8"/>
      <c r="AD134" s="8"/>
      <c r="AE134" s="8"/>
      <c r="AF134" s="8"/>
      <c r="AG134" s="191"/>
      <c r="AH134" s="191"/>
      <c r="AI134" s="191"/>
      <c r="AJ134" s="8"/>
      <c r="AK134" s="8"/>
      <c r="AL134" s="8"/>
      <c r="AM134" s="8"/>
      <c r="AN134" s="8"/>
      <c r="AO134" s="8"/>
      <c r="AP134" s="8"/>
      <c r="AQ134" s="8"/>
      <c r="AR134" s="8"/>
      <c r="AS134" s="8"/>
      <c r="A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184"/>
      <c r="Z135" s="184"/>
      <c r="AA135" s="184"/>
      <c r="AB135" s="184"/>
      <c r="AC135" s="8"/>
      <c r="AD135" s="8"/>
      <c r="AE135" s="8"/>
      <c r="AF135" s="8"/>
      <c r="AG135" s="191"/>
      <c r="AH135" s="191"/>
      <c r="AI135" s="191"/>
      <c r="AJ135" s="8"/>
      <c r="AK135" s="8"/>
      <c r="AL135" s="8"/>
      <c r="AM135" s="8"/>
      <c r="AN135" s="8"/>
      <c r="AO135" s="8"/>
      <c r="AP135" s="8"/>
      <c r="AQ135" s="8"/>
      <c r="AR135" s="8"/>
      <c r="AS135" s="8"/>
      <c r="A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184"/>
      <c r="Z136" s="184"/>
      <c r="AA136" s="184"/>
      <c r="AB136" s="184"/>
      <c r="AC136" s="8"/>
      <c r="AD136" s="8"/>
      <c r="AE136" s="8"/>
      <c r="AF136" s="8"/>
      <c r="AG136" s="191"/>
      <c r="AH136" s="191"/>
      <c r="AI136" s="191"/>
      <c r="AJ136" s="8"/>
      <c r="AK136" s="8"/>
      <c r="AL136" s="8"/>
      <c r="AM136" s="8"/>
      <c r="AN136" s="8"/>
      <c r="AO136" s="8"/>
      <c r="AP136" s="8"/>
      <c r="AQ136" s="8"/>
      <c r="AR136" s="8"/>
      <c r="AS136" s="8"/>
      <c r="A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184"/>
      <c r="Z137" s="184"/>
      <c r="AA137" s="184"/>
      <c r="AB137" s="184"/>
      <c r="AC137" s="8"/>
      <c r="AD137" s="8"/>
      <c r="AE137" s="8"/>
      <c r="AF137" s="8"/>
      <c r="AG137" s="191"/>
      <c r="AH137" s="191"/>
      <c r="AI137" s="191"/>
      <c r="AJ137" s="8"/>
      <c r="AK137" s="8"/>
      <c r="AL137" s="8"/>
      <c r="AM137" s="8"/>
      <c r="AN137" s="8"/>
      <c r="AO137" s="8"/>
      <c r="AP137" s="8"/>
      <c r="AQ137" s="8"/>
      <c r="AR137" s="8"/>
      <c r="AS137" s="8"/>
      <c r="A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184"/>
      <c r="Z138" s="184"/>
      <c r="AA138" s="184"/>
      <c r="AB138" s="184"/>
      <c r="AC138" s="8"/>
      <c r="AD138" s="8"/>
      <c r="AE138" s="8"/>
      <c r="AF138" s="8"/>
      <c r="AG138" s="191"/>
      <c r="AH138" s="191"/>
      <c r="AI138" s="191"/>
      <c r="AJ138" s="8"/>
      <c r="AK138" s="8"/>
      <c r="AL138" s="8"/>
      <c r="AM138" s="8"/>
      <c r="AN138" s="8"/>
      <c r="AO138" s="8"/>
      <c r="AP138" s="8"/>
      <c r="AQ138" s="8"/>
      <c r="AR138" s="8"/>
      <c r="AS138" s="8"/>
      <c r="A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184"/>
      <c r="Z139" s="184"/>
      <c r="AA139" s="184"/>
      <c r="AB139" s="184"/>
      <c r="AC139" s="8"/>
      <c r="AD139" s="8"/>
      <c r="AE139" s="8"/>
      <c r="AF139" s="8"/>
      <c r="AG139" s="191"/>
      <c r="AH139" s="191"/>
      <c r="AI139" s="191"/>
      <c r="AJ139" s="8"/>
      <c r="AK139" s="8"/>
      <c r="AL139" s="8"/>
      <c r="AM139" s="8"/>
      <c r="AN139" s="8"/>
      <c r="AO139" s="8"/>
      <c r="AP139" s="8"/>
      <c r="AQ139" s="8"/>
      <c r="AR139" s="8"/>
      <c r="AS139" s="8"/>
      <c r="A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184"/>
      <c r="Z140" s="184"/>
      <c r="AA140" s="184"/>
      <c r="AB140" s="184"/>
      <c r="AC140" s="8"/>
      <c r="AD140" s="8"/>
      <c r="AE140" s="8"/>
      <c r="AF140" s="8"/>
      <c r="AG140" s="191"/>
      <c r="AH140" s="191"/>
      <c r="AI140" s="191"/>
      <c r="AJ140" s="8"/>
      <c r="AK140" s="8"/>
      <c r="AL140" s="8"/>
      <c r="AM140" s="8"/>
      <c r="AN140" s="8"/>
      <c r="AO140" s="8"/>
      <c r="AP140" s="8"/>
      <c r="AQ140" s="8"/>
      <c r="AR140" s="8"/>
      <c r="AS140" s="8"/>
      <c r="A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184"/>
      <c r="Z141" s="184"/>
      <c r="AA141" s="184"/>
      <c r="AB141" s="184"/>
      <c r="AC141" s="8"/>
      <c r="AD141" s="8"/>
      <c r="AE141" s="8"/>
      <c r="AF141" s="8"/>
      <c r="AG141" s="191"/>
      <c r="AH141" s="191"/>
      <c r="AI141" s="191"/>
      <c r="AJ141" s="8"/>
      <c r="AK141" s="8"/>
      <c r="AL141" s="8"/>
      <c r="AM141" s="8"/>
      <c r="AN141" s="8"/>
      <c r="AO141" s="8"/>
      <c r="AP141" s="8"/>
      <c r="AQ141" s="8"/>
      <c r="AR141" s="8"/>
      <c r="AS141" s="8"/>
      <c r="A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184"/>
      <c r="Z142" s="184"/>
      <c r="AA142" s="184"/>
      <c r="AB142" s="184"/>
      <c r="AC142" s="8"/>
      <c r="AD142" s="8"/>
      <c r="AE142" s="8"/>
      <c r="AF142" s="8"/>
      <c r="AG142" s="191"/>
      <c r="AH142" s="191"/>
      <c r="AI142" s="191"/>
      <c r="AJ142" s="8"/>
      <c r="AK142" s="8"/>
      <c r="AL142" s="8"/>
      <c r="AM142" s="8"/>
      <c r="AN142" s="8"/>
      <c r="AO142" s="8"/>
      <c r="AP142" s="8"/>
      <c r="AQ142" s="8"/>
      <c r="AR142" s="8"/>
      <c r="AS142" s="8"/>
      <c r="A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184"/>
      <c r="Z143" s="184"/>
      <c r="AA143" s="184"/>
      <c r="AB143" s="184"/>
      <c r="AC143" s="8"/>
      <c r="AD143" s="8"/>
      <c r="AE143" s="8"/>
      <c r="AF143" s="8"/>
      <c r="AG143" s="191"/>
      <c r="AH143" s="191"/>
      <c r="AI143" s="191"/>
      <c r="AJ143" s="8"/>
      <c r="AK143" s="8"/>
      <c r="AL143" s="8"/>
      <c r="AM143" s="8"/>
      <c r="AN143" s="8"/>
      <c r="AO143" s="8"/>
      <c r="AP143" s="8"/>
      <c r="AQ143" s="8"/>
      <c r="AR143" s="8"/>
      <c r="AS143" s="8"/>
      <c r="A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184"/>
      <c r="Z144" s="184"/>
      <c r="AA144" s="184"/>
      <c r="AB144" s="184"/>
      <c r="AC144" s="8"/>
      <c r="AD144" s="8"/>
      <c r="AE144" s="8"/>
      <c r="AF144" s="8"/>
      <c r="AG144" s="191"/>
      <c r="AH144" s="191"/>
      <c r="AI144" s="191"/>
      <c r="AJ144" s="8"/>
      <c r="AK144" s="8"/>
      <c r="AL144" s="8"/>
      <c r="AM144" s="8"/>
      <c r="AN144" s="8"/>
      <c r="AO144" s="8"/>
      <c r="AP144" s="8"/>
      <c r="AQ144" s="8"/>
      <c r="AR144" s="8"/>
      <c r="AS144" s="8"/>
      <c r="A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184"/>
      <c r="Z145" s="184"/>
      <c r="AA145" s="184"/>
      <c r="AB145" s="184"/>
      <c r="AC145" s="8"/>
      <c r="AD145" s="8"/>
      <c r="AE145" s="8"/>
      <c r="AF145" s="8"/>
      <c r="AG145" s="191"/>
      <c r="AH145" s="191"/>
      <c r="AI145" s="191"/>
      <c r="AJ145" s="8"/>
      <c r="AK145" s="8"/>
      <c r="AL145" s="8"/>
      <c r="AM145" s="8"/>
      <c r="AN145" s="8"/>
      <c r="AO145" s="8"/>
      <c r="AP145" s="8"/>
      <c r="AQ145" s="8"/>
      <c r="AR145" s="8"/>
      <c r="AS145" s="8"/>
      <c r="A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184"/>
      <c r="Z146" s="184"/>
      <c r="AA146" s="184"/>
      <c r="AB146" s="184"/>
      <c r="AC146" s="8"/>
      <c r="AD146" s="8"/>
      <c r="AE146" s="8"/>
      <c r="AF146" s="8"/>
      <c r="AG146" s="191"/>
      <c r="AH146" s="191"/>
      <c r="AI146" s="191"/>
      <c r="AJ146" s="8"/>
      <c r="AK146" s="8"/>
      <c r="AL146" s="8"/>
      <c r="AM146" s="8"/>
      <c r="AN146" s="8"/>
      <c r="AO146" s="8"/>
      <c r="AP146" s="8"/>
      <c r="AQ146" s="8"/>
      <c r="AR146" s="8"/>
      <c r="AS146" s="8"/>
      <c r="A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184"/>
      <c r="Z147" s="184"/>
      <c r="AA147" s="184"/>
      <c r="AB147" s="184"/>
      <c r="AC147" s="8"/>
      <c r="AD147" s="8"/>
      <c r="AE147" s="8"/>
      <c r="AF147" s="8"/>
      <c r="AG147" s="191"/>
      <c r="AH147" s="191"/>
      <c r="AI147" s="191"/>
      <c r="AJ147" s="8"/>
      <c r="AK147" s="8"/>
      <c r="AL147" s="8"/>
      <c r="AM147" s="8"/>
      <c r="AN147" s="8"/>
      <c r="AO147" s="8"/>
      <c r="AP147" s="8"/>
      <c r="AQ147" s="8"/>
      <c r="AR147" s="8"/>
      <c r="AS147" s="8"/>
      <c r="A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184"/>
      <c r="Z148" s="184"/>
      <c r="AA148" s="184"/>
      <c r="AB148" s="184"/>
      <c r="AC148" s="8"/>
      <c r="AD148" s="8"/>
      <c r="AE148" s="8"/>
      <c r="AF148" s="8"/>
      <c r="AG148" s="191"/>
      <c r="AH148" s="191"/>
      <c r="AI148" s="191"/>
      <c r="AJ148" s="8"/>
      <c r="AK148" s="8"/>
      <c r="AL148" s="8"/>
      <c r="AM148" s="8"/>
      <c r="AN148" s="8"/>
      <c r="AO148" s="8"/>
      <c r="AP148" s="8"/>
      <c r="AQ148" s="8"/>
      <c r="AR148" s="8"/>
      <c r="AS148" s="8"/>
      <c r="A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184"/>
      <c r="Z149" s="184"/>
      <c r="AA149" s="184"/>
      <c r="AB149" s="184"/>
      <c r="AC149" s="8"/>
      <c r="AD149" s="8"/>
      <c r="AE149" s="8"/>
      <c r="AF149" s="8"/>
      <c r="AG149" s="191"/>
      <c r="AH149" s="191"/>
      <c r="AI149" s="191"/>
      <c r="AJ149" s="8"/>
      <c r="AK149" s="8"/>
      <c r="AL149" s="8"/>
      <c r="AM149" s="8"/>
      <c r="AN149" s="8"/>
      <c r="AO149" s="8"/>
      <c r="AP149" s="8"/>
      <c r="AQ149" s="8"/>
      <c r="AR149" s="8"/>
      <c r="AS149" s="8"/>
      <c r="A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184"/>
      <c r="Z150" s="184"/>
      <c r="AA150" s="184"/>
      <c r="AB150" s="184"/>
      <c r="AC150" s="8"/>
      <c r="AD150" s="8"/>
      <c r="AE150" s="8"/>
      <c r="AF150" s="8"/>
      <c r="AG150" s="191"/>
      <c r="AH150" s="191"/>
      <c r="AI150" s="191"/>
      <c r="AJ150" s="8"/>
      <c r="AK150" s="8"/>
      <c r="AL150" s="8"/>
      <c r="AM150" s="8"/>
      <c r="AN150" s="8"/>
      <c r="AO150" s="8"/>
      <c r="AP150" s="8"/>
      <c r="AQ150" s="8"/>
      <c r="AR150" s="8"/>
      <c r="AS150" s="8"/>
      <c r="A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184"/>
      <c r="Z151" s="184"/>
      <c r="AA151" s="184"/>
      <c r="AB151" s="184"/>
      <c r="AC151" s="8"/>
      <c r="AD151" s="8"/>
      <c r="AE151" s="8"/>
      <c r="AF151" s="8"/>
      <c r="AG151" s="191"/>
      <c r="AH151" s="191"/>
      <c r="AI151" s="191"/>
      <c r="AJ151" s="8"/>
      <c r="AK151" s="8"/>
      <c r="AL151" s="8"/>
      <c r="AM151" s="8"/>
      <c r="AN151" s="8"/>
      <c r="AO151" s="8"/>
      <c r="AP151" s="8"/>
      <c r="AQ151" s="8"/>
      <c r="AR151" s="8"/>
      <c r="AS151" s="8"/>
      <c r="A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184"/>
      <c r="Z152" s="184"/>
      <c r="AA152" s="184"/>
      <c r="AB152" s="184"/>
      <c r="AC152" s="8"/>
      <c r="AD152" s="8"/>
      <c r="AE152" s="8"/>
      <c r="AF152" s="8"/>
      <c r="AG152" s="191"/>
      <c r="AH152" s="191"/>
      <c r="AI152" s="191"/>
      <c r="AJ152" s="8"/>
      <c r="AK152" s="8"/>
      <c r="AL152" s="8"/>
      <c r="AM152" s="8"/>
      <c r="AN152" s="8"/>
      <c r="AO152" s="8"/>
      <c r="AP152" s="8"/>
      <c r="AQ152" s="8"/>
      <c r="AR152" s="8"/>
      <c r="AS152" s="8"/>
      <c r="A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184"/>
      <c r="Z153" s="184"/>
      <c r="AA153" s="184"/>
      <c r="AB153" s="184"/>
      <c r="AC153" s="8"/>
      <c r="AD153" s="8"/>
      <c r="AE153" s="8"/>
      <c r="AF153" s="8"/>
      <c r="AG153" s="191"/>
      <c r="AH153" s="191"/>
      <c r="AI153" s="191"/>
      <c r="AJ153" s="8"/>
      <c r="AK153" s="8"/>
      <c r="AL153" s="8"/>
      <c r="AM153" s="8"/>
      <c r="AN153" s="8"/>
      <c r="AO153" s="8"/>
      <c r="AP153" s="8"/>
      <c r="AQ153" s="8"/>
      <c r="AR153" s="8"/>
      <c r="AS153" s="8"/>
      <c r="A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184"/>
      <c r="Z154" s="184"/>
      <c r="AA154" s="184"/>
      <c r="AB154" s="184"/>
      <c r="AC154" s="8"/>
      <c r="AD154" s="8"/>
      <c r="AE154" s="8"/>
      <c r="AF154" s="8"/>
      <c r="AG154" s="191"/>
      <c r="AH154" s="191"/>
      <c r="AI154" s="191"/>
      <c r="AJ154" s="8"/>
      <c r="AK154" s="8"/>
      <c r="AL154" s="8"/>
      <c r="AM154" s="8"/>
      <c r="AN154" s="8"/>
      <c r="AO154" s="8"/>
      <c r="AP154" s="8"/>
      <c r="AQ154" s="8"/>
      <c r="AR154" s="8"/>
      <c r="AS154" s="8"/>
      <c r="A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184"/>
      <c r="Z155" s="184"/>
      <c r="AA155" s="184"/>
      <c r="AB155" s="184"/>
      <c r="AC155" s="8"/>
      <c r="AD155" s="8"/>
      <c r="AE155" s="8"/>
      <c r="AF155" s="8"/>
      <c r="AG155" s="191"/>
      <c r="AH155" s="191"/>
      <c r="AI155" s="191"/>
      <c r="AJ155" s="8"/>
      <c r="AK155" s="8"/>
      <c r="AL155" s="8"/>
      <c r="AM155" s="8"/>
      <c r="AN155" s="8"/>
      <c r="AO155" s="8"/>
      <c r="AP155" s="8"/>
      <c r="AQ155" s="8"/>
      <c r="AR155" s="8"/>
      <c r="AS155" s="8"/>
      <c r="A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184"/>
      <c r="Z156" s="184"/>
      <c r="AA156" s="184"/>
      <c r="AB156" s="184"/>
      <c r="AC156" s="8"/>
      <c r="AD156" s="8"/>
      <c r="AE156" s="8"/>
      <c r="AF156" s="8"/>
      <c r="AG156" s="191"/>
      <c r="AH156" s="191"/>
      <c r="AI156" s="191"/>
      <c r="AJ156" s="8"/>
      <c r="AK156" s="8"/>
      <c r="AL156" s="8"/>
      <c r="AM156" s="8"/>
      <c r="AN156" s="8"/>
      <c r="AO156" s="8"/>
      <c r="AP156" s="8"/>
      <c r="AQ156" s="8"/>
      <c r="AR156" s="8"/>
      <c r="AS156" s="8"/>
      <c r="A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184"/>
      <c r="Z157" s="184"/>
      <c r="AA157" s="184"/>
      <c r="AB157" s="184"/>
      <c r="AC157" s="8"/>
      <c r="AD157" s="8"/>
      <c r="AE157" s="8"/>
      <c r="AF157" s="8"/>
      <c r="AG157" s="191"/>
      <c r="AH157" s="191"/>
      <c r="AI157" s="191"/>
      <c r="AJ157" s="8"/>
      <c r="AK157" s="8"/>
      <c r="AL157" s="8"/>
      <c r="AM157" s="8"/>
      <c r="AN157" s="8"/>
      <c r="AO157" s="8"/>
      <c r="AP157" s="8"/>
      <c r="AQ157" s="8"/>
      <c r="AR157" s="8"/>
      <c r="AS157" s="8"/>
      <c r="A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184"/>
      <c r="Z158" s="184"/>
      <c r="AA158" s="184"/>
      <c r="AB158" s="184"/>
      <c r="AC158" s="8"/>
      <c r="AD158" s="8"/>
      <c r="AE158" s="8"/>
      <c r="AF158" s="8"/>
      <c r="AG158" s="191"/>
      <c r="AH158" s="191"/>
      <c r="AI158" s="191"/>
      <c r="AJ158" s="8"/>
      <c r="AK158" s="8"/>
      <c r="AL158" s="8"/>
      <c r="AM158" s="8"/>
      <c r="AN158" s="8"/>
      <c r="AO158" s="8"/>
      <c r="AP158" s="8"/>
      <c r="AQ158" s="8"/>
      <c r="AR158" s="8"/>
      <c r="AS158" s="8"/>
      <c r="A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184"/>
      <c r="Z159" s="184"/>
      <c r="AA159" s="184"/>
      <c r="AB159" s="184"/>
      <c r="AC159" s="8"/>
      <c r="AD159" s="8"/>
      <c r="AE159" s="8"/>
      <c r="AF159" s="8"/>
      <c r="AG159" s="191"/>
      <c r="AH159" s="191"/>
      <c r="AI159" s="191"/>
      <c r="AJ159" s="8"/>
      <c r="AK159" s="8"/>
      <c r="AL159" s="8"/>
      <c r="AM159" s="8"/>
      <c r="AN159" s="8"/>
      <c r="AO159" s="8"/>
      <c r="AP159" s="8"/>
      <c r="AQ159" s="8"/>
      <c r="AR159" s="8"/>
      <c r="AS159" s="8"/>
      <c r="A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184"/>
      <c r="Z160" s="184"/>
      <c r="AA160" s="184"/>
      <c r="AB160" s="184"/>
      <c r="AC160" s="8"/>
      <c r="AD160" s="8"/>
      <c r="AE160" s="8"/>
      <c r="AF160" s="8"/>
      <c r="AG160" s="191"/>
      <c r="AH160" s="191"/>
      <c r="AI160" s="191"/>
      <c r="AJ160" s="8"/>
      <c r="AK160" s="8"/>
      <c r="AL160" s="8"/>
      <c r="AM160" s="8"/>
      <c r="AN160" s="8"/>
      <c r="AO160" s="8"/>
      <c r="AP160" s="8"/>
      <c r="AQ160" s="8"/>
      <c r="AR160" s="8"/>
      <c r="AS160" s="8"/>
      <c r="A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184"/>
      <c r="Z161" s="184"/>
      <c r="AA161" s="184"/>
      <c r="AB161" s="184"/>
      <c r="AC161" s="8"/>
      <c r="AD161" s="8"/>
      <c r="AE161" s="8"/>
      <c r="AF161" s="8"/>
      <c r="AG161" s="191"/>
      <c r="AH161" s="191"/>
      <c r="AI161" s="191"/>
      <c r="AJ161" s="8"/>
      <c r="AK161" s="8"/>
      <c r="AL161" s="8"/>
      <c r="AM161" s="8"/>
      <c r="AN161" s="8"/>
      <c r="AO161" s="8"/>
      <c r="AP161" s="8"/>
      <c r="AQ161" s="8"/>
      <c r="AR161" s="8"/>
      <c r="AS161" s="8"/>
      <c r="A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184"/>
      <c r="Z162" s="184"/>
      <c r="AA162" s="184"/>
      <c r="AB162" s="184"/>
      <c r="AC162" s="8"/>
      <c r="AD162" s="8"/>
      <c r="AE162" s="8"/>
      <c r="AF162" s="8"/>
      <c r="AG162" s="191"/>
      <c r="AH162" s="191"/>
      <c r="AI162" s="191"/>
      <c r="AJ162" s="8"/>
      <c r="AK162" s="8"/>
      <c r="AL162" s="8"/>
      <c r="AM162" s="8"/>
      <c r="AN162" s="8"/>
      <c r="AO162" s="8"/>
      <c r="AP162" s="8"/>
      <c r="AQ162" s="8"/>
      <c r="AR162" s="8"/>
      <c r="AS162" s="8"/>
      <c r="A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184"/>
      <c r="Z163" s="184"/>
      <c r="AA163" s="184"/>
      <c r="AB163" s="184"/>
      <c r="AC163" s="8"/>
      <c r="AD163" s="8"/>
      <c r="AE163" s="8"/>
      <c r="AF163" s="8"/>
      <c r="AG163" s="191"/>
      <c r="AH163" s="191"/>
      <c r="AI163" s="191"/>
      <c r="AJ163" s="8"/>
      <c r="AK163" s="8"/>
      <c r="AL163" s="8"/>
      <c r="AM163" s="8"/>
      <c r="AN163" s="8"/>
      <c r="AO163" s="8"/>
      <c r="AP163" s="8"/>
      <c r="AQ163" s="8"/>
      <c r="AR163" s="8"/>
      <c r="AS163" s="8"/>
      <c r="A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184"/>
      <c r="Z164" s="184"/>
      <c r="AA164" s="184"/>
      <c r="AB164" s="184"/>
      <c r="AC164" s="8"/>
      <c r="AD164" s="8"/>
      <c r="AE164" s="8"/>
      <c r="AF164" s="8"/>
      <c r="AG164" s="191"/>
      <c r="AH164" s="191"/>
      <c r="AI164" s="191"/>
      <c r="AJ164" s="8"/>
      <c r="AK164" s="8"/>
      <c r="AL164" s="8"/>
      <c r="AM164" s="8"/>
      <c r="AN164" s="8"/>
      <c r="AO164" s="8"/>
      <c r="AP164" s="8"/>
      <c r="AQ164" s="8"/>
      <c r="AR164" s="8"/>
      <c r="AS164" s="8"/>
      <c r="A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184"/>
      <c r="Z165" s="184"/>
      <c r="AA165" s="184"/>
      <c r="AB165" s="184"/>
      <c r="AC165" s="8"/>
      <c r="AD165" s="8"/>
      <c r="AE165" s="8"/>
      <c r="AF165" s="8"/>
      <c r="AG165" s="191"/>
      <c r="AH165" s="191"/>
      <c r="AI165" s="191"/>
      <c r="AJ165" s="8"/>
      <c r="AK165" s="8"/>
      <c r="AL165" s="8"/>
      <c r="AM165" s="8"/>
      <c r="AN165" s="8"/>
      <c r="AO165" s="8"/>
      <c r="AP165" s="8"/>
      <c r="AQ165" s="8"/>
      <c r="AR165" s="8"/>
      <c r="AS165" s="8"/>
      <c r="A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184"/>
      <c r="Z166" s="184"/>
      <c r="AA166" s="184"/>
      <c r="AB166" s="184"/>
      <c r="AC166" s="8"/>
      <c r="AD166" s="8"/>
      <c r="AE166" s="8"/>
      <c r="AF166" s="8"/>
      <c r="AG166" s="191"/>
      <c r="AH166" s="191"/>
      <c r="AI166" s="191"/>
      <c r="AJ166" s="8"/>
      <c r="AK166" s="8"/>
      <c r="AL166" s="8"/>
      <c r="AM166" s="8"/>
      <c r="AN166" s="8"/>
      <c r="AO166" s="8"/>
      <c r="AP166" s="8"/>
      <c r="AQ166" s="8"/>
      <c r="AR166" s="8"/>
      <c r="AS166" s="8"/>
      <c r="A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184"/>
      <c r="Z167" s="184"/>
      <c r="AA167" s="184"/>
      <c r="AB167" s="184"/>
      <c r="AC167" s="8"/>
      <c r="AD167" s="8"/>
      <c r="AE167" s="8"/>
      <c r="AF167" s="8"/>
      <c r="AG167" s="191"/>
      <c r="AH167" s="191"/>
      <c r="AI167" s="191"/>
      <c r="AJ167" s="8"/>
      <c r="AK167" s="8"/>
      <c r="AL167" s="8"/>
      <c r="AM167" s="8"/>
      <c r="AN167" s="8"/>
      <c r="AO167" s="8"/>
      <c r="AP167" s="8"/>
      <c r="AQ167" s="8"/>
      <c r="AR167" s="8"/>
      <c r="AS167" s="8"/>
      <c r="A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184"/>
      <c r="Z168" s="184"/>
      <c r="AA168" s="184"/>
      <c r="AB168" s="184"/>
      <c r="AC168" s="8"/>
      <c r="AD168" s="8"/>
      <c r="AE168" s="8"/>
      <c r="AF168" s="8"/>
      <c r="AG168" s="191"/>
      <c r="AH168" s="191"/>
      <c r="AI168" s="191"/>
      <c r="AJ168" s="8"/>
      <c r="AK168" s="8"/>
      <c r="AL168" s="8"/>
      <c r="AM168" s="8"/>
      <c r="AN168" s="8"/>
      <c r="AO168" s="8"/>
      <c r="AP168" s="8"/>
      <c r="AQ168" s="8"/>
      <c r="AR168" s="8"/>
      <c r="AS168" s="8"/>
      <c r="A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184"/>
      <c r="Z169" s="184"/>
      <c r="AA169" s="184"/>
      <c r="AB169" s="184"/>
      <c r="AC169" s="8"/>
      <c r="AD169" s="8"/>
      <c r="AE169" s="8"/>
      <c r="AF169" s="8"/>
      <c r="AG169" s="191"/>
      <c r="AH169" s="191"/>
      <c r="AI169" s="191"/>
      <c r="AJ169" s="8"/>
      <c r="AK169" s="8"/>
      <c r="AL169" s="8"/>
      <c r="AM169" s="8"/>
      <c r="AN169" s="8"/>
      <c r="AO169" s="8"/>
      <c r="AP169" s="8"/>
      <c r="AQ169" s="8"/>
      <c r="AR169" s="8"/>
      <c r="AS169" s="8"/>
      <c r="A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184"/>
      <c r="Z170" s="184"/>
      <c r="AA170" s="184"/>
      <c r="AB170" s="184"/>
      <c r="AC170" s="8"/>
      <c r="AD170" s="8"/>
      <c r="AE170" s="8"/>
      <c r="AF170" s="8"/>
      <c r="AG170" s="191"/>
      <c r="AH170" s="191"/>
      <c r="AI170" s="191"/>
      <c r="AJ170" s="8"/>
      <c r="AK170" s="8"/>
      <c r="AL170" s="8"/>
      <c r="AM170" s="8"/>
      <c r="AN170" s="8"/>
      <c r="AO170" s="8"/>
      <c r="AP170" s="8"/>
      <c r="AQ170" s="8"/>
      <c r="AR170" s="8"/>
      <c r="AS170" s="8"/>
      <c r="A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184"/>
      <c r="Z171" s="184"/>
      <c r="AA171" s="184"/>
      <c r="AB171" s="184"/>
      <c r="AC171" s="8"/>
      <c r="AD171" s="8"/>
      <c r="AE171" s="8"/>
      <c r="AF171" s="8"/>
      <c r="AG171" s="191"/>
      <c r="AH171" s="191"/>
      <c r="AI171" s="191"/>
      <c r="AJ171" s="8"/>
      <c r="AK171" s="8"/>
      <c r="AL171" s="8"/>
      <c r="AM171" s="8"/>
      <c r="AN171" s="8"/>
      <c r="AO171" s="8"/>
      <c r="AP171" s="8"/>
      <c r="AQ171" s="8"/>
      <c r="AR171" s="8"/>
      <c r="AS171" s="8"/>
      <c r="A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184"/>
      <c r="Z172" s="184"/>
      <c r="AA172" s="184"/>
      <c r="AB172" s="184"/>
      <c r="AC172" s="8"/>
      <c r="AD172" s="8"/>
      <c r="AE172" s="8"/>
      <c r="AF172" s="8"/>
      <c r="AG172" s="191"/>
      <c r="AH172" s="191"/>
      <c r="AI172" s="191"/>
      <c r="AJ172" s="8"/>
      <c r="AK172" s="8"/>
      <c r="AL172" s="8"/>
      <c r="AM172" s="8"/>
      <c r="AN172" s="8"/>
      <c r="AO172" s="8"/>
      <c r="AP172" s="8"/>
      <c r="AQ172" s="8"/>
      <c r="AR172" s="8"/>
      <c r="AS172" s="8"/>
      <c r="A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184"/>
      <c r="Z173" s="184"/>
      <c r="AA173" s="184"/>
      <c r="AB173" s="184"/>
      <c r="AC173" s="8"/>
      <c r="AD173" s="8"/>
      <c r="AE173" s="8"/>
      <c r="AF173" s="8"/>
      <c r="AG173" s="191"/>
      <c r="AH173" s="191"/>
      <c r="AI173" s="191"/>
      <c r="AJ173" s="8"/>
      <c r="AK173" s="8"/>
      <c r="AL173" s="8"/>
      <c r="AM173" s="8"/>
      <c r="AN173" s="8"/>
      <c r="AO173" s="8"/>
      <c r="AP173" s="8"/>
      <c r="AQ173" s="8"/>
      <c r="AR173" s="8"/>
      <c r="AS173" s="8"/>
      <c r="A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184"/>
      <c r="Z174" s="184"/>
      <c r="AA174" s="184"/>
      <c r="AB174" s="184"/>
      <c r="AC174" s="8"/>
      <c r="AD174" s="8"/>
      <c r="AE174" s="8"/>
      <c r="AF174" s="8"/>
      <c r="AG174" s="191"/>
      <c r="AH174" s="191"/>
      <c r="AI174" s="191"/>
      <c r="AJ174" s="8"/>
      <c r="AK174" s="8"/>
      <c r="AL174" s="8"/>
      <c r="AM174" s="8"/>
      <c r="AN174" s="8"/>
      <c r="AO174" s="8"/>
      <c r="AP174" s="8"/>
      <c r="AQ174" s="8"/>
      <c r="AR174" s="8"/>
      <c r="AS174" s="8"/>
      <c r="A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184"/>
      <c r="Z175" s="184"/>
      <c r="AA175" s="184"/>
      <c r="AB175" s="184"/>
      <c r="AC175" s="8"/>
      <c r="AD175" s="8"/>
      <c r="AE175" s="8"/>
      <c r="AF175" s="8"/>
      <c r="AG175" s="191"/>
      <c r="AH175" s="191"/>
      <c r="AI175" s="191"/>
      <c r="AJ175" s="8"/>
      <c r="AK175" s="8"/>
      <c r="AL175" s="8"/>
      <c r="AM175" s="8"/>
      <c r="AN175" s="8"/>
      <c r="AO175" s="8"/>
      <c r="AP175" s="8"/>
      <c r="AQ175" s="8"/>
      <c r="AR175" s="8"/>
      <c r="AS175" s="8"/>
      <c r="A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184"/>
      <c r="Z176" s="184"/>
      <c r="AA176" s="184"/>
      <c r="AB176" s="184"/>
      <c r="AC176" s="8"/>
      <c r="AD176" s="8"/>
      <c r="AE176" s="8"/>
      <c r="AF176" s="8"/>
      <c r="AG176" s="191"/>
      <c r="AH176" s="191"/>
      <c r="AI176" s="191"/>
      <c r="AJ176" s="8"/>
      <c r="AK176" s="8"/>
      <c r="AL176" s="8"/>
      <c r="AM176" s="8"/>
      <c r="AN176" s="8"/>
      <c r="AO176" s="8"/>
      <c r="AP176" s="8"/>
      <c r="AQ176" s="8"/>
      <c r="AR176" s="8"/>
      <c r="AS176" s="8"/>
      <c r="A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184"/>
      <c r="Z177" s="184"/>
      <c r="AA177" s="184"/>
      <c r="AB177" s="184"/>
      <c r="AC177" s="8"/>
      <c r="AD177" s="8"/>
      <c r="AE177" s="8"/>
      <c r="AF177" s="8"/>
      <c r="AG177" s="191"/>
      <c r="AH177" s="191"/>
      <c r="AI177" s="191"/>
      <c r="AJ177" s="8"/>
      <c r="AK177" s="8"/>
      <c r="AL177" s="8"/>
      <c r="AM177" s="8"/>
      <c r="AN177" s="8"/>
      <c r="AO177" s="8"/>
      <c r="AP177" s="8"/>
      <c r="AQ177" s="8"/>
      <c r="AR177" s="8"/>
      <c r="AS177" s="8"/>
      <c r="A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184"/>
      <c r="Z178" s="184"/>
      <c r="AA178" s="184"/>
      <c r="AB178" s="184"/>
      <c r="AC178" s="8"/>
      <c r="AD178" s="8"/>
      <c r="AE178" s="8"/>
      <c r="AF178" s="8"/>
      <c r="AG178" s="191"/>
      <c r="AH178" s="191"/>
      <c r="AI178" s="191"/>
      <c r="AJ178" s="8"/>
      <c r="AK178" s="8"/>
      <c r="AL178" s="8"/>
      <c r="AM178" s="8"/>
      <c r="AN178" s="8"/>
      <c r="AO178" s="8"/>
      <c r="AP178" s="8"/>
      <c r="AQ178" s="8"/>
      <c r="AR178" s="8"/>
      <c r="AS178" s="8"/>
      <c r="A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184"/>
      <c r="Z179" s="184"/>
      <c r="AA179" s="184"/>
      <c r="AB179" s="184"/>
      <c r="AC179" s="8"/>
      <c r="AD179" s="8"/>
      <c r="AE179" s="8"/>
      <c r="AF179" s="8"/>
      <c r="AG179" s="191"/>
      <c r="AH179" s="191"/>
      <c r="AI179" s="191"/>
      <c r="AJ179" s="8"/>
      <c r="AK179" s="8"/>
      <c r="AL179" s="8"/>
      <c r="AM179" s="8"/>
      <c r="AN179" s="8"/>
      <c r="AO179" s="8"/>
      <c r="AP179" s="8"/>
      <c r="AQ179" s="8"/>
      <c r="AR179" s="8"/>
      <c r="AS179" s="8"/>
      <c r="A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184"/>
      <c r="Z180" s="184"/>
      <c r="AA180" s="184"/>
      <c r="AB180" s="184"/>
      <c r="AC180" s="8"/>
      <c r="AD180" s="8"/>
      <c r="AE180" s="8"/>
      <c r="AF180" s="8"/>
      <c r="AG180" s="191"/>
      <c r="AH180" s="191"/>
      <c r="AI180" s="191"/>
      <c r="AJ180" s="8"/>
      <c r="AK180" s="8"/>
      <c r="AL180" s="8"/>
      <c r="AM180" s="8"/>
      <c r="AN180" s="8"/>
      <c r="AO180" s="8"/>
      <c r="AP180" s="8"/>
      <c r="AQ180" s="8"/>
      <c r="AR180" s="8"/>
      <c r="AS180" s="8"/>
      <c r="A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184"/>
      <c r="Z181" s="184"/>
      <c r="AA181" s="184"/>
      <c r="AB181" s="184"/>
      <c r="AC181" s="8"/>
      <c r="AD181" s="8"/>
      <c r="AE181" s="8"/>
      <c r="AF181" s="8"/>
      <c r="AG181" s="191"/>
      <c r="AH181" s="191"/>
      <c r="AI181" s="191"/>
      <c r="AJ181" s="8"/>
      <c r="AK181" s="8"/>
      <c r="AL181" s="8"/>
      <c r="AM181" s="8"/>
      <c r="AN181" s="8"/>
      <c r="AO181" s="8"/>
      <c r="AP181" s="8"/>
      <c r="AQ181" s="8"/>
      <c r="AR181" s="8"/>
      <c r="AS181" s="8"/>
      <c r="A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184"/>
      <c r="Z182" s="184"/>
      <c r="AA182" s="184"/>
      <c r="AB182" s="184"/>
      <c r="AC182" s="8"/>
      <c r="AD182" s="8"/>
      <c r="AE182" s="8"/>
      <c r="AF182" s="8"/>
      <c r="AG182" s="191"/>
      <c r="AH182" s="191"/>
      <c r="AI182" s="191"/>
      <c r="AJ182" s="8"/>
      <c r="AK182" s="8"/>
      <c r="AL182" s="8"/>
      <c r="AM182" s="8"/>
      <c r="AN182" s="8"/>
      <c r="AO182" s="8"/>
      <c r="AP182" s="8"/>
      <c r="AQ182" s="8"/>
      <c r="AR182" s="8"/>
      <c r="AS182" s="8"/>
      <c r="A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184"/>
      <c r="Z183" s="184"/>
      <c r="AA183" s="184"/>
      <c r="AB183" s="184"/>
      <c r="AC183" s="8"/>
      <c r="AD183" s="8"/>
      <c r="AE183" s="8"/>
      <c r="AF183" s="8"/>
      <c r="AG183" s="191"/>
      <c r="AH183" s="191"/>
      <c r="AI183" s="191"/>
      <c r="AJ183" s="8"/>
      <c r="AK183" s="8"/>
      <c r="AL183" s="8"/>
      <c r="AM183" s="8"/>
      <c r="AN183" s="8"/>
      <c r="AO183" s="8"/>
      <c r="AP183" s="8"/>
      <c r="AQ183" s="8"/>
      <c r="AR183" s="8"/>
      <c r="AS183" s="8"/>
      <c r="A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184"/>
      <c r="Z184" s="184"/>
      <c r="AA184" s="184"/>
      <c r="AB184" s="184"/>
      <c r="AC184" s="8"/>
      <c r="AD184" s="8"/>
      <c r="AE184" s="8"/>
      <c r="AF184" s="8"/>
      <c r="AG184" s="191"/>
      <c r="AH184" s="191"/>
      <c r="AI184" s="191"/>
      <c r="AJ184" s="8"/>
      <c r="AK184" s="8"/>
      <c r="AL184" s="8"/>
      <c r="AM184" s="8"/>
      <c r="AN184" s="8"/>
      <c r="AO184" s="8"/>
      <c r="AP184" s="8"/>
      <c r="AQ184" s="8"/>
      <c r="AR184" s="8"/>
      <c r="AS184" s="8"/>
      <c r="A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184"/>
      <c r="Z185" s="184"/>
      <c r="AA185" s="184"/>
      <c r="AB185" s="184"/>
      <c r="AC185" s="8"/>
      <c r="AD185" s="8"/>
      <c r="AE185" s="8"/>
      <c r="AF185" s="8"/>
      <c r="AG185" s="191"/>
      <c r="AH185" s="191"/>
      <c r="AI185" s="191"/>
      <c r="AJ185" s="8"/>
      <c r="AK185" s="8"/>
      <c r="AL185" s="8"/>
      <c r="AM185" s="8"/>
      <c r="AN185" s="8"/>
      <c r="AO185" s="8"/>
      <c r="AP185" s="8"/>
      <c r="AQ185" s="8"/>
      <c r="AR185" s="8"/>
      <c r="AS185" s="8"/>
      <c r="A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184"/>
      <c r="Z186" s="184"/>
      <c r="AA186" s="184"/>
      <c r="AB186" s="184"/>
      <c r="AC186" s="8"/>
      <c r="AD186" s="8"/>
      <c r="AE186" s="8"/>
      <c r="AF186" s="8"/>
      <c r="AG186" s="191"/>
      <c r="AH186" s="191"/>
      <c r="AI186" s="191"/>
      <c r="AJ186" s="8"/>
      <c r="AK186" s="8"/>
      <c r="AL186" s="8"/>
      <c r="AM186" s="8"/>
      <c r="AN186" s="8"/>
      <c r="AO186" s="8"/>
      <c r="AP186" s="8"/>
      <c r="AQ186" s="8"/>
      <c r="AR186" s="8"/>
      <c r="AS186" s="8"/>
      <c r="A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184"/>
      <c r="Z187" s="184"/>
      <c r="AA187" s="184"/>
      <c r="AB187" s="184"/>
      <c r="AC187" s="8"/>
      <c r="AD187" s="8"/>
      <c r="AE187" s="8"/>
      <c r="AF187" s="8"/>
      <c r="AG187" s="191"/>
      <c r="AH187" s="191"/>
      <c r="AI187" s="191"/>
      <c r="AJ187" s="8"/>
      <c r="AK187" s="8"/>
      <c r="AL187" s="8"/>
      <c r="AM187" s="8"/>
      <c r="AN187" s="8"/>
      <c r="AO187" s="8"/>
      <c r="AP187" s="8"/>
      <c r="AQ187" s="8"/>
      <c r="AR187" s="8"/>
      <c r="AS187" s="8"/>
      <c r="A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184"/>
      <c r="Z188" s="184"/>
      <c r="AA188" s="184"/>
      <c r="AB188" s="184"/>
      <c r="AC188" s="8"/>
      <c r="AD188" s="8"/>
      <c r="AE188" s="8"/>
      <c r="AF188" s="8"/>
      <c r="AG188" s="191"/>
      <c r="AH188" s="191"/>
      <c r="AI188" s="191"/>
      <c r="AJ188" s="8"/>
      <c r="AK188" s="8"/>
      <c r="AL188" s="8"/>
      <c r="AM188" s="8"/>
      <c r="AN188" s="8"/>
      <c r="AO188" s="8"/>
      <c r="AP188" s="8"/>
      <c r="AQ188" s="8"/>
      <c r="AR188" s="8"/>
      <c r="AS188" s="8"/>
      <c r="A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184"/>
      <c r="Z189" s="184"/>
      <c r="AA189" s="184"/>
      <c r="AB189" s="184"/>
      <c r="AC189" s="8"/>
      <c r="AD189" s="8"/>
      <c r="AE189" s="8"/>
      <c r="AF189" s="8"/>
      <c r="AG189" s="191"/>
      <c r="AH189" s="191"/>
      <c r="AI189" s="191"/>
      <c r="AJ189" s="8"/>
      <c r="AK189" s="8"/>
      <c r="AL189" s="8"/>
      <c r="AM189" s="8"/>
      <c r="AN189" s="8"/>
      <c r="AO189" s="8"/>
      <c r="AP189" s="8"/>
      <c r="AQ189" s="8"/>
      <c r="AR189" s="8"/>
      <c r="AS189" s="8"/>
      <c r="A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184"/>
      <c r="Z190" s="184"/>
      <c r="AA190" s="184"/>
      <c r="AB190" s="184"/>
      <c r="AC190" s="8"/>
      <c r="AD190" s="8"/>
      <c r="AE190" s="8"/>
      <c r="AF190" s="8"/>
      <c r="AG190" s="191"/>
      <c r="AH190" s="191"/>
      <c r="AI190" s="191"/>
      <c r="AJ190" s="8"/>
      <c r="AK190" s="8"/>
      <c r="AL190" s="8"/>
      <c r="AM190" s="8"/>
      <c r="AN190" s="8"/>
      <c r="AO190" s="8"/>
      <c r="AP190" s="8"/>
      <c r="AQ190" s="8"/>
      <c r="AR190" s="8"/>
      <c r="AS190" s="8"/>
      <c r="A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184"/>
      <c r="Z191" s="184"/>
      <c r="AA191" s="184"/>
      <c r="AB191" s="184"/>
      <c r="AC191" s="8"/>
      <c r="AD191" s="8"/>
      <c r="AE191" s="8"/>
      <c r="AF191" s="8"/>
      <c r="AG191" s="191"/>
      <c r="AH191" s="191"/>
      <c r="AI191" s="191"/>
      <c r="AJ191" s="8"/>
      <c r="AK191" s="8"/>
      <c r="AL191" s="8"/>
      <c r="AM191" s="8"/>
      <c r="AN191" s="8"/>
      <c r="AO191" s="8"/>
      <c r="AP191" s="8"/>
      <c r="AQ191" s="8"/>
      <c r="AR191" s="8"/>
      <c r="AS191" s="8"/>
      <c r="A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184"/>
      <c r="Z192" s="184"/>
      <c r="AA192" s="184"/>
      <c r="AB192" s="184"/>
      <c r="AC192" s="8"/>
      <c r="AD192" s="8"/>
      <c r="AE192" s="8"/>
      <c r="AF192" s="8"/>
      <c r="AG192" s="191"/>
      <c r="AH192" s="191"/>
      <c r="AI192" s="191"/>
      <c r="AJ192" s="8"/>
      <c r="AK192" s="8"/>
      <c r="AL192" s="8"/>
      <c r="AM192" s="8"/>
      <c r="AN192" s="8"/>
      <c r="AO192" s="8"/>
      <c r="AP192" s="8"/>
      <c r="AQ192" s="8"/>
      <c r="AR192" s="8"/>
      <c r="AS192" s="8"/>
      <c r="A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184"/>
      <c r="Z193" s="184"/>
      <c r="AA193" s="184"/>
      <c r="AB193" s="184"/>
      <c r="AC193" s="8"/>
      <c r="AD193" s="8"/>
      <c r="AE193" s="8"/>
      <c r="AF193" s="8"/>
      <c r="AG193" s="191"/>
      <c r="AH193" s="191"/>
      <c r="AI193" s="191"/>
      <c r="AJ193" s="8"/>
      <c r="AK193" s="8"/>
      <c r="AL193" s="8"/>
      <c r="AM193" s="8"/>
      <c r="AN193" s="8"/>
      <c r="AO193" s="8"/>
      <c r="AP193" s="8"/>
      <c r="AQ193" s="8"/>
      <c r="AR193" s="8"/>
      <c r="AS193" s="8"/>
      <c r="A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184"/>
      <c r="Z194" s="184"/>
      <c r="AA194" s="184"/>
      <c r="AB194" s="184"/>
      <c r="AC194" s="8"/>
      <c r="AD194" s="8"/>
      <c r="AE194" s="8"/>
      <c r="AF194" s="8"/>
      <c r="AG194" s="191"/>
      <c r="AH194" s="191"/>
      <c r="AI194" s="191"/>
      <c r="AJ194" s="8"/>
      <c r="AK194" s="8"/>
      <c r="AL194" s="8"/>
      <c r="AM194" s="8"/>
      <c r="AN194" s="8"/>
      <c r="AO194" s="8"/>
      <c r="AP194" s="8"/>
      <c r="AQ194" s="8"/>
      <c r="AR194" s="8"/>
      <c r="AS194" s="8"/>
      <c r="A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184"/>
      <c r="Z195" s="184"/>
      <c r="AA195" s="184"/>
      <c r="AB195" s="184"/>
      <c r="AC195" s="8"/>
      <c r="AD195" s="8"/>
      <c r="AE195" s="8"/>
      <c r="AF195" s="8"/>
      <c r="AG195" s="191"/>
      <c r="AH195" s="191"/>
      <c r="AI195" s="191"/>
      <c r="AJ195" s="8"/>
      <c r="AK195" s="8"/>
      <c r="AL195" s="8"/>
      <c r="AM195" s="8"/>
      <c r="AN195" s="8"/>
      <c r="AO195" s="8"/>
      <c r="AP195" s="8"/>
      <c r="AQ195" s="8"/>
      <c r="AR195" s="8"/>
      <c r="AS195" s="8"/>
      <c r="A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184"/>
      <c r="Z196" s="184"/>
      <c r="AA196" s="184"/>
      <c r="AB196" s="184"/>
      <c r="AC196" s="8"/>
      <c r="AD196" s="8"/>
      <c r="AE196" s="8"/>
      <c r="AF196" s="8"/>
      <c r="AG196" s="191"/>
      <c r="AH196" s="191"/>
      <c r="AI196" s="191"/>
      <c r="AJ196" s="8"/>
      <c r="AK196" s="8"/>
      <c r="AL196" s="8"/>
      <c r="AM196" s="8"/>
      <c r="AN196" s="8"/>
      <c r="AO196" s="8"/>
      <c r="AP196" s="8"/>
      <c r="AQ196" s="8"/>
      <c r="AR196" s="8"/>
      <c r="AS196" s="8"/>
      <c r="A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184"/>
      <c r="Z197" s="184"/>
      <c r="AA197" s="184"/>
      <c r="AB197" s="184"/>
      <c r="AC197" s="8"/>
      <c r="AD197" s="8"/>
      <c r="AE197" s="8"/>
      <c r="AF197" s="8"/>
      <c r="AG197" s="191"/>
      <c r="AH197" s="191"/>
      <c r="AI197" s="191"/>
      <c r="AJ197" s="8"/>
      <c r="AK197" s="8"/>
      <c r="AL197" s="8"/>
      <c r="AM197" s="8"/>
      <c r="AN197" s="8"/>
      <c r="AO197" s="8"/>
      <c r="AP197" s="8"/>
      <c r="AQ197" s="8"/>
      <c r="AR197" s="8"/>
      <c r="AS197" s="8"/>
      <c r="A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184"/>
      <c r="Z198" s="184"/>
      <c r="AA198" s="184"/>
      <c r="AB198" s="184"/>
      <c r="AC198" s="8"/>
      <c r="AD198" s="8"/>
      <c r="AE198" s="8"/>
      <c r="AF198" s="8"/>
      <c r="AG198" s="191"/>
      <c r="AH198" s="191"/>
      <c r="AI198" s="191"/>
      <c r="AJ198" s="8"/>
      <c r="AK198" s="8"/>
      <c r="AL198" s="8"/>
      <c r="AM198" s="8"/>
      <c r="AN198" s="8"/>
      <c r="AO198" s="8"/>
      <c r="AP198" s="8"/>
      <c r="AQ198" s="8"/>
      <c r="AR198" s="8"/>
      <c r="AS198" s="8"/>
      <c r="A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184"/>
      <c r="Z199" s="184"/>
      <c r="AA199" s="184"/>
      <c r="AB199" s="184"/>
      <c r="AC199" s="8"/>
      <c r="AD199" s="8"/>
      <c r="AE199" s="8"/>
      <c r="AF199" s="8"/>
      <c r="AG199" s="191"/>
      <c r="AH199" s="191"/>
      <c r="AI199" s="191"/>
      <c r="AJ199" s="8"/>
      <c r="AK199" s="8"/>
      <c r="AL199" s="8"/>
      <c r="AM199" s="8"/>
      <c r="AN199" s="8"/>
      <c r="AO199" s="8"/>
      <c r="AP199" s="8"/>
      <c r="AQ199" s="8"/>
      <c r="AR199" s="8"/>
      <c r="AS199" s="8"/>
      <c r="A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184"/>
      <c r="Z200" s="184"/>
      <c r="AA200" s="184"/>
      <c r="AB200" s="184"/>
      <c r="AC200" s="8"/>
      <c r="AD200" s="8"/>
      <c r="AE200" s="8"/>
      <c r="AF200" s="8"/>
      <c r="AG200" s="191"/>
      <c r="AH200" s="191"/>
      <c r="AI200" s="191"/>
      <c r="AJ200" s="8"/>
      <c r="AK200" s="8"/>
      <c r="AL200" s="8"/>
      <c r="AM200" s="8"/>
      <c r="AN200" s="8"/>
      <c r="AO200" s="8"/>
      <c r="AP200" s="8"/>
      <c r="AQ200" s="8"/>
      <c r="AR200" s="8"/>
      <c r="AS200" s="8"/>
      <c r="A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184"/>
      <c r="Z201" s="184"/>
      <c r="AA201" s="184"/>
      <c r="AB201" s="184"/>
      <c r="AC201" s="8"/>
      <c r="AD201" s="8"/>
      <c r="AE201" s="8"/>
      <c r="AF201" s="8"/>
      <c r="AG201" s="191"/>
      <c r="AH201" s="191"/>
      <c r="AI201" s="191"/>
      <c r="AJ201" s="8"/>
      <c r="AK201" s="8"/>
      <c r="AL201" s="8"/>
      <c r="AM201" s="8"/>
      <c r="AN201" s="8"/>
      <c r="AO201" s="8"/>
      <c r="AP201" s="8"/>
      <c r="AQ201" s="8"/>
      <c r="AR201" s="8"/>
      <c r="AS201" s="8"/>
      <c r="A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184"/>
      <c r="Z202" s="184"/>
      <c r="AA202" s="184"/>
      <c r="AB202" s="184"/>
      <c r="AC202" s="8"/>
      <c r="AD202" s="8"/>
      <c r="AE202" s="8"/>
      <c r="AF202" s="8"/>
      <c r="AG202" s="191"/>
      <c r="AH202" s="191"/>
      <c r="AI202" s="191"/>
      <c r="AJ202" s="8"/>
      <c r="AK202" s="8"/>
      <c r="AL202" s="8"/>
      <c r="AM202" s="8"/>
      <c r="AN202" s="8"/>
      <c r="AO202" s="8"/>
      <c r="AP202" s="8"/>
      <c r="AQ202" s="8"/>
      <c r="AR202" s="8"/>
      <c r="AS202" s="8"/>
      <c r="A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184"/>
      <c r="Z203" s="184"/>
      <c r="AA203" s="184"/>
      <c r="AB203" s="184"/>
      <c r="AC203" s="8"/>
      <c r="AD203" s="8"/>
      <c r="AE203" s="8"/>
      <c r="AF203" s="8"/>
      <c r="AG203" s="191"/>
      <c r="AH203" s="191"/>
      <c r="AI203" s="191"/>
      <c r="AJ203" s="8"/>
      <c r="AK203" s="8"/>
      <c r="AL203" s="8"/>
      <c r="AM203" s="8"/>
      <c r="AN203" s="8"/>
      <c r="AO203" s="8"/>
      <c r="AP203" s="8"/>
      <c r="AQ203" s="8"/>
      <c r="AR203" s="8"/>
      <c r="AS203" s="8"/>
      <c r="A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184"/>
      <c r="Z204" s="184"/>
      <c r="AA204" s="184"/>
      <c r="AB204" s="184"/>
      <c r="AC204" s="8"/>
      <c r="AD204" s="8"/>
      <c r="AE204" s="8"/>
      <c r="AF204" s="8"/>
      <c r="AG204" s="191"/>
      <c r="AH204" s="191"/>
      <c r="AI204" s="191"/>
      <c r="AJ204" s="8"/>
      <c r="AK204" s="8"/>
      <c r="AL204" s="8"/>
      <c r="AM204" s="8"/>
      <c r="AN204" s="8"/>
      <c r="AO204" s="8"/>
      <c r="AP204" s="8"/>
      <c r="AQ204" s="8"/>
      <c r="AR204" s="8"/>
      <c r="AS204" s="8"/>
      <c r="A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184"/>
      <c r="Z205" s="184"/>
      <c r="AA205" s="184"/>
      <c r="AB205" s="184"/>
      <c r="AC205" s="8"/>
      <c r="AD205" s="8"/>
      <c r="AE205" s="8"/>
      <c r="AF205" s="8"/>
      <c r="AG205" s="191"/>
      <c r="AH205" s="191"/>
      <c r="AI205" s="191"/>
      <c r="AJ205" s="8"/>
      <c r="AK205" s="8"/>
      <c r="AL205" s="8"/>
      <c r="AM205" s="8"/>
      <c r="AN205" s="8"/>
      <c r="AO205" s="8"/>
      <c r="AP205" s="8"/>
      <c r="AQ205" s="8"/>
      <c r="AR205" s="8"/>
      <c r="AS205" s="8"/>
      <c r="A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184"/>
      <c r="Z206" s="184"/>
      <c r="AA206" s="184"/>
      <c r="AB206" s="184"/>
      <c r="AC206" s="8"/>
      <c r="AD206" s="8"/>
      <c r="AE206" s="8"/>
      <c r="AF206" s="8"/>
      <c r="AG206" s="191"/>
      <c r="AH206" s="191"/>
      <c r="AI206" s="191"/>
      <c r="AJ206" s="8"/>
      <c r="AK206" s="8"/>
      <c r="AL206" s="8"/>
      <c r="AM206" s="8"/>
      <c r="AN206" s="8"/>
      <c r="AO206" s="8"/>
      <c r="AP206" s="8"/>
      <c r="AQ206" s="8"/>
      <c r="AR206" s="8"/>
      <c r="AS206" s="8"/>
      <c r="A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184"/>
      <c r="Z207" s="184"/>
      <c r="AA207" s="184"/>
      <c r="AB207" s="184"/>
      <c r="AC207" s="8"/>
      <c r="AD207" s="8"/>
      <c r="AE207" s="8"/>
      <c r="AF207" s="8"/>
      <c r="AG207" s="191"/>
      <c r="AH207" s="191"/>
      <c r="AI207" s="191"/>
      <c r="AJ207" s="8"/>
      <c r="AK207" s="8"/>
      <c r="AL207" s="8"/>
      <c r="AM207" s="8"/>
      <c r="AN207" s="8"/>
      <c r="AO207" s="8"/>
      <c r="AP207" s="8"/>
      <c r="AQ207" s="8"/>
      <c r="AR207" s="8"/>
      <c r="AS207" s="8"/>
      <c r="A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184"/>
      <c r="Z208" s="184"/>
      <c r="AA208" s="184"/>
      <c r="AB208" s="184"/>
      <c r="AC208" s="8"/>
      <c r="AD208" s="8"/>
      <c r="AE208" s="8"/>
      <c r="AF208" s="8"/>
      <c r="AG208" s="191"/>
      <c r="AH208" s="191"/>
      <c r="AI208" s="191"/>
      <c r="AJ208" s="8"/>
      <c r="AK208" s="8"/>
      <c r="AL208" s="8"/>
      <c r="AM208" s="8"/>
      <c r="AN208" s="8"/>
      <c r="AO208" s="8"/>
      <c r="AP208" s="8"/>
      <c r="AQ208" s="8"/>
      <c r="AR208" s="8"/>
      <c r="AS208" s="8"/>
      <c r="A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184"/>
      <c r="Z209" s="184"/>
      <c r="AA209" s="184"/>
      <c r="AB209" s="184"/>
      <c r="AC209" s="8"/>
      <c r="AD209" s="8"/>
      <c r="AE209" s="8"/>
      <c r="AF209" s="8"/>
      <c r="AG209" s="191"/>
      <c r="AH209" s="191"/>
      <c r="AI209" s="191"/>
      <c r="AJ209" s="8"/>
      <c r="AK209" s="8"/>
      <c r="AL209" s="8"/>
      <c r="AM209" s="8"/>
      <c r="AN209" s="8"/>
      <c r="AO209" s="8"/>
      <c r="AP209" s="8"/>
      <c r="AQ209" s="8"/>
      <c r="AR209" s="8"/>
      <c r="AS209" s="8"/>
      <c r="A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184"/>
      <c r="Z210" s="184"/>
      <c r="AA210" s="184"/>
      <c r="AB210" s="184"/>
      <c r="AC210" s="8"/>
      <c r="AD210" s="8"/>
      <c r="AE210" s="8"/>
      <c r="AF210" s="8"/>
      <c r="AG210" s="191"/>
      <c r="AH210" s="191"/>
      <c r="AI210" s="191"/>
      <c r="AJ210" s="8"/>
      <c r="AK210" s="8"/>
      <c r="AL210" s="8"/>
      <c r="AM210" s="8"/>
      <c r="AN210" s="8"/>
      <c r="AO210" s="8"/>
      <c r="AP210" s="8"/>
      <c r="AQ210" s="8"/>
      <c r="AR210" s="8"/>
      <c r="AS210" s="8"/>
      <c r="A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184"/>
      <c r="Z211" s="184"/>
      <c r="AA211" s="184"/>
      <c r="AB211" s="184"/>
      <c r="AC211" s="8"/>
      <c r="AD211" s="8"/>
      <c r="AE211" s="8"/>
      <c r="AF211" s="8"/>
      <c r="AG211" s="191"/>
      <c r="AH211" s="191"/>
      <c r="AI211" s="191"/>
      <c r="AJ211" s="8"/>
      <c r="AK211" s="8"/>
      <c r="AL211" s="8"/>
      <c r="AM211" s="8"/>
      <c r="AN211" s="8"/>
      <c r="AO211" s="8"/>
      <c r="AP211" s="8"/>
      <c r="AQ211" s="8"/>
      <c r="AR211" s="8"/>
      <c r="AS211" s="8"/>
      <c r="A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184"/>
      <c r="Z212" s="184"/>
      <c r="AA212" s="184"/>
      <c r="AB212" s="184"/>
      <c r="AC212" s="8"/>
      <c r="AD212" s="8"/>
      <c r="AE212" s="8"/>
      <c r="AF212" s="8"/>
      <c r="AG212" s="191"/>
      <c r="AH212" s="191"/>
      <c r="AI212" s="191"/>
      <c r="AJ212" s="8"/>
      <c r="AK212" s="8"/>
      <c r="AL212" s="8"/>
      <c r="AM212" s="8"/>
      <c r="AN212" s="8"/>
      <c r="AO212" s="8"/>
      <c r="AP212" s="8"/>
      <c r="AQ212" s="8"/>
      <c r="AR212" s="8"/>
      <c r="AS212" s="8"/>
      <c r="A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184"/>
      <c r="Z213" s="184"/>
      <c r="AA213" s="184"/>
      <c r="AB213" s="184"/>
      <c r="AC213" s="8"/>
      <c r="AD213" s="8"/>
      <c r="AE213" s="8"/>
      <c r="AF213" s="8"/>
      <c r="AG213" s="191"/>
      <c r="AH213" s="191"/>
      <c r="AI213" s="191"/>
      <c r="AJ213" s="8"/>
      <c r="AK213" s="8"/>
      <c r="AL213" s="8"/>
      <c r="AM213" s="8"/>
      <c r="AN213" s="8"/>
      <c r="AO213" s="8"/>
      <c r="AP213" s="8"/>
      <c r="AQ213" s="8"/>
      <c r="AR213" s="8"/>
      <c r="AS213" s="8"/>
      <c r="A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184"/>
      <c r="Z214" s="184"/>
      <c r="AA214" s="184"/>
      <c r="AB214" s="184"/>
      <c r="AC214" s="8"/>
      <c r="AD214" s="8"/>
      <c r="AE214" s="8"/>
      <c r="AF214" s="8"/>
      <c r="AG214" s="191"/>
      <c r="AH214" s="191"/>
      <c r="AI214" s="191"/>
      <c r="AJ214" s="8"/>
      <c r="AK214" s="8"/>
      <c r="AL214" s="8"/>
      <c r="AM214" s="8"/>
      <c r="AN214" s="8"/>
      <c r="AO214" s="8"/>
      <c r="AP214" s="8"/>
      <c r="AQ214" s="8"/>
      <c r="AR214" s="8"/>
      <c r="AS214" s="8"/>
      <c r="A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184"/>
      <c r="Z215" s="184"/>
      <c r="AA215" s="184"/>
      <c r="AB215" s="184"/>
      <c r="AC215" s="8"/>
      <c r="AD215" s="8"/>
      <c r="AE215" s="8"/>
      <c r="AF215" s="8"/>
      <c r="AG215" s="191"/>
      <c r="AH215" s="191"/>
      <c r="AI215" s="191"/>
      <c r="AJ215" s="8"/>
      <c r="AK215" s="8"/>
      <c r="AL215" s="8"/>
      <c r="AM215" s="8"/>
      <c r="AN215" s="8"/>
      <c r="AO215" s="8"/>
      <c r="AP215" s="8"/>
      <c r="AQ215" s="8"/>
      <c r="AR215" s="8"/>
      <c r="AS215" s="8"/>
      <c r="A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184"/>
      <c r="Z216" s="184"/>
      <c r="AA216" s="184"/>
      <c r="AB216" s="184"/>
      <c r="AC216" s="8"/>
      <c r="AD216" s="8"/>
      <c r="AE216" s="8"/>
      <c r="AF216" s="8"/>
      <c r="AG216" s="191"/>
      <c r="AH216" s="191"/>
      <c r="AI216" s="191"/>
      <c r="AJ216" s="8"/>
      <c r="AK216" s="8"/>
      <c r="AL216" s="8"/>
      <c r="AM216" s="8"/>
      <c r="AN216" s="8"/>
      <c r="AO216" s="8"/>
      <c r="AP216" s="8"/>
      <c r="AQ216" s="8"/>
      <c r="AR216" s="8"/>
      <c r="AS216" s="8"/>
      <c r="A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184"/>
      <c r="Z217" s="184"/>
      <c r="AA217" s="184"/>
      <c r="AB217" s="184"/>
      <c r="AC217" s="8"/>
      <c r="AD217" s="8"/>
      <c r="AE217" s="8"/>
      <c r="AF217" s="8"/>
      <c r="AG217" s="191"/>
      <c r="AH217" s="191"/>
      <c r="AI217" s="191"/>
      <c r="AJ217" s="8"/>
      <c r="AK217" s="8"/>
      <c r="AL217" s="8"/>
      <c r="AM217" s="8"/>
      <c r="AN217" s="8"/>
      <c r="AO217" s="8"/>
      <c r="AP217" s="8"/>
      <c r="AQ217" s="8"/>
      <c r="AR217" s="8"/>
      <c r="AS217" s="8"/>
      <c r="A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184"/>
      <c r="Z218" s="184"/>
      <c r="AA218" s="184"/>
      <c r="AB218" s="184"/>
      <c r="AC218" s="8"/>
      <c r="AD218" s="8"/>
      <c r="AE218" s="8"/>
      <c r="AF218" s="8"/>
      <c r="AG218" s="191"/>
      <c r="AH218" s="191"/>
      <c r="AI218" s="191"/>
      <c r="AJ218" s="8"/>
      <c r="AK218" s="8"/>
      <c r="AL218" s="8"/>
      <c r="AM218" s="8"/>
      <c r="AN218" s="8"/>
      <c r="AO218" s="8"/>
      <c r="AP218" s="8"/>
      <c r="AQ218" s="8"/>
      <c r="AR218" s="8"/>
      <c r="AS218" s="8"/>
      <c r="A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184"/>
      <c r="Z219" s="184"/>
      <c r="AA219" s="184"/>
      <c r="AB219" s="184"/>
      <c r="AC219" s="8"/>
      <c r="AD219" s="8"/>
      <c r="AE219" s="8"/>
      <c r="AF219" s="8"/>
      <c r="AG219" s="191"/>
      <c r="AH219" s="191"/>
      <c r="AI219" s="191"/>
      <c r="AJ219" s="8"/>
      <c r="AK219" s="8"/>
      <c r="AL219" s="8"/>
      <c r="AM219" s="8"/>
      <c r="AN219" s="8"/>
      <c r="AO219" s="8"/>
      <c r="AP219" s="8"/>
      <c r="AQ219" s="8"/>
      <c r="AR219" s="8"/>
      <c r="AS219" s="8"/>
      <c r="A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184"/>
      <c r="Z220" s="184"/>
      <c r="AA220" s="184"/>
      <c r="AB220" s="184"/>
      <c r="AC220" s="8"/>
      <c r="AD220" s="8"/>
      <c r="AE220" s="8"/>
      <c r="AF220" s="8"/>
      <c r="AG220" s="191"/>
      <c r="AH220" s="191"/>
      <c r="AI220" s="191"/>
      <c r="AJ220" s="8"/>
      <c r="AK220" s="8"/>
      <c r="AL220" s="8"/>
      <c r="AM220" s="8"/>
      <c r="AN220" s="8"/>
      <c r="AO220" s="8"/>
      <c r="AP220" s="8"/>
      <c r="AQ220" s="8"/>
      <c r="AR220" s="8"/>
      <c r="AS220" s="8"/>
      <c r="A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184"/>
      <c r="Z221" s="184"/>
      <c r="AA221" s="184"/>
      <c r="AB221" s="184"/>
      <c r="AC221" s="8"/>
      <c r="AD221" s="8"/>
      <c r="AE221" s="8"/>
      <c r="AF221" s="8"/>
      <c r="AG221" s="191"/>
      <c r="AH221" s="191"/>
      <c r="AI221" s="191"/>
      <c r="AJ221" s="8"/>
      <c r="AK221" s="8"/>
      <c r="AL221" s="8"/>
      <c r="AM221" s="8"/>
      <c r="AN221" s="8"/>
      <c r="AO221" s="8"/>
      <c r="AP221" s="8"/>
      <c r="AQ221" s="8"/>
      <c r="AR221" s="8"/>
      <c r="AS221" s="8"/>
      <c r="A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184"/>
      <c r="Z222" s="184"/>
      <c r="AA222" s="184"/>
      <c r="AB222" s="184"/>
      <c r="AC222" s="8"/>
      <c r="AD222" s="8"/>
      <c r="AE222" s="8"/>
      <c r="AF222" s="8"/>
      <c r="AG222" s="191"/>
      <c r="AH222" s="191"/>
      <c r="AI222" s="191"/>
      <c r="AJ222" s="8"/>
      <c r="AK222" s="8"/>
      <c r="AL222" s="8"/>
      <c r="AM222" s="8"/>
      <c r="AN222" s="8"/>
      <c r="AO222" s="8"/>
      <c r="AP222" s="8"/>
      <c r="AQ222" s="8"/>
      <c r="AR222" s="8"/>
      <c r="AS222" s="8"/>
      <c r="A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184"/>
      <c r="Z223" s="184"/>
      <c r="AA223" s="184"/>
      <c r="AB223" s="184"/>
      <c r="AC223" s="8"/>
      <c r="AD223" s="8"/>
      <c r="AE223" s="8"/>
      <c r="AF223" s="8"/>
      <c r="AG223" s="191"/>
      <c r="AH223" s="191"/>
      <c r="AI223" s="191"/>
      <c r="AJ223" s="8"/>
      <c r="AK223" s="8"/>
      <c r="AL223" s="8"/>
      <c r="AM223" s="8"/>
      <c r="AN223" s="8"/>
      <c r="AO223" s="8"/>
      <c r="AP223" s="8"/>
      <c r="AQ223" s="8"/>
      <c r="AR223" s="8"/>
      <c r="AS223" s="8"/>
      <c r="A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184"/>
      <c r="Z224" s="184"/>
      <c r="AA224" s="184"/>
      <c r="AB224" s="184"/>
      <c r="AC224" s="8"/>
      <c r="AD224" s="8"/>
      <c r="AE224" s="8"/>
      <c r="AF224" s="8"/>
      <c r="AG224" s="191"/>
      <c r="AH224" s="191"/>
      <c r="AI224" s="191"/>
      <c r="AJ224" s="8"/>
      <c r="AK224" s="8"/>
      <c r="AL224" s="8"/>
      <c r="AM224" s="8"/>
      <c r="AN224" s="8"/>
      <c r="AO224" s="8"/>
      <c r="AP224" s="8"/>
      <c r="AQ224" s="8"/>
      <c r="AR224" s="8"/>
      <c r="AS224" s="8"/>
      <c r="A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184"/>
      <c r="Z225" s="184"/>
      <c r="AA225" s="184"/>
      <c r="AB225" s="184"/>
      <c r="AC225" s="8"/>
      <c r="AD225" s="8"/>
      <c r="AE225" s="8"/>
      <c r="AF225" s="8"/>
      <c r="AG225" s="191"/>
      <c r="AH225" s="191"/>
      <c r="AI225" s="191"/>
      <c r="AJ225" s="8"/>
      <c r="AK225" s="8"/>
      <c r="AL225" s="8"/>
      <c r="AM225" s="8"/>
      <c r="AN225" s="8"/>
      <c r="AO225" s="8"/>
      <c r="AP225" s="8"/>
      <c r="AQ225" s="8"/>
      <c r="AR225" s="8"/>
      <c r="AS225" s="8"/>
      <c r="A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184"/>
      <c r="Z226" s="184"/>
      <c r="AA226" s="184"/>
      <c r="AB226" s="184"/>
      <c r="AC226" s="8"/>
      <c r="AD226" s="8"/>
      <c r="AE226" s="8"/>
      <c r="AF226" s="8"/>
      <c r="AG226" s="191"/>
      <c r="AH226" s="191"/>
      <c r="AI226" s="191"/>
      <c r="AJ226" s="8"/>
      <c r="AK226" s="8"/>
      <c r="AL226" s="8"/>
      <c r="AM226" s="8"/>
      <c r="AN226" s="8"/>
      <c r="AO226" s="8"/>
      <c r="AP226" s="8"/>
      <c r="AQ226" s="8"/>
      <c r="AR226" s="8"/>
      <c r="AS226" s="8"/>
      <c r="A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184"/>
      <c r="Z227" s="184"/>
      <c r="AA227" s="184"/>
      <c r="AB227" s="184"/>
      <c r="AC227" s="8"/>
      <c r="AD227" s="8"/>
      <c r="AE227" s="8"/>
      <c r="AF227" s="8"/>
      <c r="AG227" s="191"/>
      <c r="AH227" s="191"/>
      <c r="AI227" s="191"/>
      <c r="AJ227" s="8"/>
      <c r="AK227" s="8"/>
      <c r="AL227" s="8"/>
      <c r="AM227" s="8"/>
      <c r="AN227" s="8"/>
      <c r="AO227" s="8"/>
      <c r="AP227" s="8"/>
      <c r="AQ227" s="8"/>
      <c r="AR227" s="8"/>
      <c r="AS227" s="8"/>
      <c r="A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184"/>
      <c r="Z228" s="184"/>
      <c r="AA228" s="184"/>
      <c r="AB228" s="184"/>
      <c r="AC228" s="8"/>
      <c r="AD228" s="8"/>
      <c r="AE228" s="8"/>
      <c r="AF228" s="8"/>
      <c r="AG228" s="191"/>
      <c r="AH228" s="191"/>
      <c r="AI228" s="191"/>
      <c r="AJ228" s="8"/>
      <c r="AK228" s="8"/>
      <c r="AL228" s="8"/>
      <c r="AM228" s="8"/>
      <c r="AN228" s="8"/>
      <c r="AO228" s="8"/>
      <c r="AP228" s="8"/>
      <c r="AQ228" s="8"/>
      <c r="AR228" s="8"/>
      <c r="AS228" s="8"/>
      <c r="A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184"/>
      <c r="Z229" s="184"/>
      <c r="AA229" s="184"/>
      <c r="AB229" s="184"/>
      <c r="AC229" s="8"/>
      <c r="AD229" s="8"/>
      <c r="AE229" s="8"/>
      <c r="AF229" s="8"/>
      <c r="AG229" s="191"/>
      <c r="AH229" s="191"/>
      <c r="AI229" s="191"/>
      <c r="AJ229" s="8"/>
      <c r="AK229" s="8"/>
      <c r="AL229" s="8"/>
      <c r="AM229" s="8"/>
      <c r="AN229" s="8"/>
      <c r="AO229" s="8"/>
      <c r="AP229" s="8"/>
      <c r="AQ229" s="8"/>
      <c r="AR229" s="8"/>
      <c r="AS229" s="8"/>
      <c r="A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184"/>
      <c r="Z230" s="184"/>
      <c r="AA230" s="184"/>
      <c r="AB230" s="184"/>
      <c r="AC230" s="8"/>
      <c r="AD230" s="8"/>
      <c r="AE230" s="8"/>
      <c r="AF230" s="8"/>
      <c r="AG230" s="191"/>
      <c r="AH230" s="191"/>
      <c r="AI230" s="191"/>
      <c r="AJ230" s="8"/>
      <c r="AK230" s="8"/>
      <c r="AL230" s="8"/>
      <c r="AM230" s="8"/>
      <c r="AN230" s="8"/>
      <c r="AO230" s="8"/>
      <c r="AP230" s="8"/>
      <c r="AQ230" s="8"/>
      <c r="AR230" s="8"/>
      <c r="AS230" s="8"/>
      <c r="A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184"/>
      <c r="Z231" s="184"/>
      <c r="AA231" s="184"/>
      <c r="AB231" s="184"/>
      <c r="AC231" s="8"/>
      <c r="AD231" s="8"/>
      <c r="AE231" s="8"/>
      <c r="AF231" s="8"/>
      <c r="AG231" s="191"/>
      <c r="AH231" s="191"/>
      <c r="AI231" s="191"/>
      <c r="AJ231" s="8"/>
      <c r="AK231" s="8"/>
      <c r="AL231" s="8"/>
      <c r="AM231" s="8"/>
      <c r="AN231" s="8"/>
      <c r="AO231" s="8"/>
      <c r="AP231" s="8"/>
      <c r="AQ231" s="8"/>
      <c r="AR231" s="8"/>
      <c r="AS231" s="8"/>
      <c r="A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184"/>
      <c r="Z232" s="184"/>
      <c r="AA232" s="184"/>
      <c r="AB232" s="184"/>
      <c r="AC232" s="8"/>
      <c r="AD232" s="8"/>
      <c r="AE232" s="8"/>
      <c r="AF232" s="8"/>
      <c r="AG232" s="191"/>
      <c r="AH232" s="191"/>
      <c r="AI232" s="191"/>
      <c r="AJ232" s="8"/>
      <c r="AK232" s="8"/>
      <c r="AL232" s="8"/>
      <c r="AM232" s="8"/>
      <c r="AN232" s="8"/>
      <c r="AO232" s="8"/>
      <c r="AP232" s="8"/>
      <c r="AQ232" s="8"/>
      <c r="AR232" s="8"/>
      <c r="AS232" s="8"/>
      <c r="A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184"/>
      <c r="Z233" s="184"/>
      <c r="AA233" s="184"/>
      <c r="AB233" s="184"/>
      <c r="AC233" s="8"/>
      <c r="AD233" s="8"/>
      <c r="AE233" s="8"/>
      <c r="AF233" s="8"/>
      <c r="AG233" s="191"/>
      <c r="AH233" s="191"/>
      <c r="AI233" s="191"/>
      <c r="AJ233" s="8"/>
      <c r="AK233" s="8"/>
      <c r="AL233" s="8"/>
      <c r="AM233" s="8"/>
      <c r="AN233" s="8"/>
      <c r="AO233" s="8"/>
      <c r="AP233" s="8"/>
      <c r="AQ233" s="8"/>
      <c r="AR233" s="8"/>
      <c r="AS233" s="8"/>
      <c r="A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184"/>
      <c r="Z234" s="184"/>
      <c r="AA234" s="184"/>
      <c r="AB234" s="184"/>
      <c r="AC234" s="8"/>
      <c r="AD234" s="8"/>
      <c r="AE234" s="8"/>
      <c r="AF234" s="8"/>
      <c r="AG234" s="191"/>
      <c r="AH234" s="191"/>
      <c r="AI234" s="191"/>
      <c r="AJ234" s="8"/>
      <c r="AK234" s="8"/>
      <c r="AL234" s="8"/>
      <c r="AM234" s="8"/>
      <c r="AN234" s="8"/>
      <c r="AO234" s="8"/>
      <c r="AP234" s="8"/>
      <c r="AQ234" s="8"/>
      <c r="AR234" s="8"/>
      <c r="AS234" s="8"/>
      <c r="A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184"/>
      <c r="Z235" s="184"/>
      <c r="AA235" s="184"/>
      <c r="AB235" s="184"/>
      <c r="AC235" s="8"/>
      <c r="AD235" s="8"/>
      <c r="AE235" s="8"/>
      <c r="AF235" s="8"/>
      <c r="AG235" s="191"/>
      <c r="AH235" s="191"/>
      <c r="AI235" s="191"/>
      <c r="AJ235" s="8"/>
      <c r="AK235" s="8"/>
      <c r="AL235" s="8"/>
      <c r="AM235" s="8"/>
      <c r="AN235" s="8"/>
      <c r="AO235" s="8"/>
      <c r="AP235" s="8"/>
      <c r="AQ235" s="8"/>
      <c r="AR235" s="8"/>
      <c r="AS235" s="8"/>
      <c r="A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184"/>
      <c r="Z236" s="184"/>
      <c r="AA236" s="184"/>
      <c r="AB236" s="184"/>
      <c r="AC236" s="8"/>
      <c r="AD236" s="8"/>
      <c r="AE236" s="8"/>
      <c r="AF236" s="8"/>
      <c r="AG236" s="191"/>
      <c r="AH236" s="191"/>
      <c r="AI236" s="191"/>
      <c r="AJ236" s="8"/>
      <c r="AK236" s="8"/>
      <c r="AL236" s="8"/>
      <c r="AM236" s="8"/>
      <c r="AN236" s="8"/>
      <c r="AO236" s="8"/>
      <c r="AP236" s="8"/>
      <c r="AQ236" s="8"/>
      <c r="AR236" s="8"/>
      <c r="AS236" s="8"/>
      <c r="A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184"/>
      <c r="Z237" s="184"/>
      <c r="AA237" s="184"/>
      <c r="AB237" s="184"/>
      <c r="AC237" s="8"/>
      <c r="AD237" s="8"/>
      <c r="AE237" s="8"/>
      <c r="AF237" s="8"/>
      <c r="AG237" s="191"/>
      <c r="AH237" s="191"/>
      <c r="AI237" s="191"/>
      <c r="AJ237" s="8"/>
      <c r="AK237" s="8"/>
      <c r="AL237" s="8"/>
      <c r="AM237" s="8"/>
      <c r="AN237" s="8"/>
      <c r="AO237" s="8"/>
      <c r="AP237" s="8"/>
      <c r="AQ237" s="8"/>
      <c r="AR237" s="8"/>
      <c r="AS237" s="8"/>
      <c r="A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184"/>
      <c r="Z238" s="184"/>
      <c r="AA238" s="184"/>
      <c r="AB238" s="184"/>
      <c r="AC238" s="8"/>
      <c r="AD238" s="8"/>
      <c r="AE238" s="8"/>
      <c r="AF238" s="8"/>
      <c r="AG238" s="191"/>
      <c r="AH238" s="191"/>
      <c r="AI238" s="191"/>
      <c r="AJ238" s="8"/>
      <c r="AK238" s="8"/>
      <c r="AL238" s="8"/>
      <c r="AM238" s="8"/>
      <c r="AN238" s="8"/>
      <c r="AO238" s="8"/>
      <c r="AP238" s="8"/>
      <c r="AQ238" s="8"/>
      <c r="AR238" s="8"/>
      <c r="AS238" s="8"/>
      <c r="A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184"/>
      <c r="Z239" s="184"/>
      <c r="AA239" s="184"/>
      <c r="AB239" s="184"/>
      <c r="AC239" s="8"/>
      <c r="AD239" s="8"/>
      <c r="AE239" s="8"/>
      <c r="AF239" s="8"/>
      <c r="AG239" s="191"/>
      <c r="AH239" s="191"/>
      <c r="AI239" s="191"/>
      <c r="AJ239" s="8"/>
      <c r="AK239" s="8"/>
      <c r="AL239" s="8"/>
      <c r="AM239" s="8"/>
      <c r="AN239" s="8"/>
      <c r="AO239" s="8"/>
      <c r="AP239" s="8"/>
      <c r="AQ239" s="8"/>
      <c r="AR239" s="8"/>
      <c r="AS239" s="8"/>
      <c r="A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184"/>
      <c r="Z240" s="184"/>
      <c r="AA240" s="184"/>
      <c r="AB240" s="184"/>
      <c r="AC240" s="8"/>
      <c r="AD240" s="8"/>
      <c r="AE240" s="8"/>
      <c r="AF240" s="8"/>
      <c r="AG240" s="191"/>
      <c r="AH240" s="191"/>
      <c r="AI240" s="191"/>
      <c r="AJ240" s="8"/>
      <c r="AK240" s="8"/>
      <c r="AL240" s="8"/>
      <c r="AM240" s="8"/>
      <c r="AN240" s="8"/>
      <c r="AO240" s="8"/>
      <c r="AP240" s="8"/>
      <c r="AQ240" s="8"/>
      <c r="AR240" s="8"/>
      <c r="AS240" s="8"/>
      <c r="A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184"/>
      <c r="Z241" s="184"/>
      <c r="AA241" s="184"/>
      <c r="AB241" s="184"/>
      <c r="AC241" s="8"/>
      <c r="AD241" s="8"/>
      <c r="AE241" s="8"/>
      <c r="AF241" s="8"/>
      <c r="AG241" s="191"/>
      <c r="AH241" s="191"/>
      <c r="AI241" s="191"/>
      <c r="AJ241" s="8"/>
      <c r="AK241" s="8"/>
      <c r="AL241" s="8"/>
      <c r="AM241" s="8"/>
      <c r="AN241" s="8"/>
      <c r="AO241" s="8"/>
      <c r="AP241" s="8"/>
      <c r="AQ241" s="8"/>
      <c r="AR241" s="8"/>
      <c r="AS241" s="8"/>
      <c r="A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184"/>
      <c r="Z242" s="184"/>
      <c r="AA242" s="184"/>
      <c r="AB242" s="184"/>
      <c r="AC242" s="8"/>
      <c r="AD242" s="8"/>
      <c r="AE242" s="8"/>
      <c r="AF242" s="8"/>
      <c r="AG242" s="191"/>
      <c r="AH242" s="191"/>
      <c r="AI242" s="191"/>
      <c r="AJ242" s="8"/>
      <c r="AK242" s="8"/>
      <c r="AL242" s="8"/>
      <c r="AM242" s="8"/>
      <c r="AN242" s="8"/>
      <c r="AO242" s="8"/>
      <c r="AP242" s="8"/>
      <c r="AQ242" s="8"/>
      <c r="AR242" s="8"/>
      <c r="AS242" s="8"/>
      <c r="A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184"/>
      <c r="Z243" s="184"/>
      <c r="AA243" s="184"/>
      <c r="AB243" s="184"/>
      <c r="AC243" s="8"/>
      <c r="AD243" s="8"/>
      <c r="AE243" s="8"/>
      <c r="AF243" s="8"/>
      <c r="AG243" s="191"/>
      <c r="AH243" s="191"/>
      <c r="AI243" s="191"/>
      <c r="AJ243" s="8"/>
      <c r="AK243" s="8"/>
      <c r="AL243" s="8"/>
      <c r="AM243" s="8"/>
      <c r="AN243" s="8"/>
      <c r="AO243" s="8"/>
      <c r="AP243" s="8"/>
      <c r="AQ243" s="8"/>
      <c r="AR243" s="8"/>
      <c r="AS243" s="8"/>
      <c r="A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184"/>
      <c r="Z244" s="184"/>
      <c r="AA244" s="184"/>
      <c r="AB244" s="184"/>
      <c r="AC244" s="8"/>
      <c r="AD244" s="8"/>
      <c r="AE244" s="8"/>
      <c r="AF244" s="8"/>
      <c r="AG244" s="191"/>
      <c r="AH244" s="191"/>
      <c r="AI244" s="191"/>
      <c r="AJ244" s="8"/>
      <c r="AK244" s="8"/>
      <c r="AL244" s="8"/>
      <c r="AM244" s="8"/>
      <c r="AN244" s="8"/>
      <c r="AO244" s="8"/>
      <c r="AP244" s="8"/>
      <c r="AQ244" s="8"/>
      <c r="AR244" s="8"/>
      <c r="AS244" s="8"/>
      <c r="A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184"/>
      <c r="Z245" s="184"/>
      <c r="AA245" s="184"/>
      <c r="AB245" s="184"/>
      <c r="AC245" s="8"/>
      <c r="AD245" s="8"/>
      <c r="AE245" s="8"/>
      <c r="AF245" s="8"/>
      <c r="AG245" s="191"/>
      <c r="AH245" s="191"/>
      <c r="AI245" s="191"/>
      <c r="AJ245" s="8"/>
      <c r="AK245" s="8"/>
      <c r="AL245" s="8"/>
      <c r="AM245" s="8"/>
      <c r="AN245" s="8"/>
      <c r="AO245" s="8"/>
      <c r="AP245" s="8"/>
      <c r="AQ245" s="8"/>
      <c r="AR245" s="8"/>
      <c r="AS245" s="8"/>
      <c r="A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184"/>
      <c r="Z246" s="184"/>
      <c r="AA246" s="184"/>
      <c r="AB246" s="184"/>
      <c r="AC246" s="8"/>
      <c r="AD246" s="8"/>
      <c r="AE246" s="8"/>
      <c r="AF246" s="8"/>
      <c r="AG246" s="191"/>
      <c r="AH246" s="191"/>
      <c r="AI246" s="191"/>
      <c r="AJ246" s="8"/>
      <c r="AK246" s="8"/>
      <c r="AL246" s="8"/>
      <c r="AM246" s="8"/>
      <c r="AN246" s="8"/>
      <c r="AO246" s="8"/>
      <c r="AP246" s="8"/>
      <c r="AQ246" s="8"/>
      <c r="AR246" s="8"/>
      <c r="AS246" s="8"/>
      <c r="A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184"/>
      <c r="Z247" s="184"/>
      <c r="AA247" s="184"/>
      <c r="AB247" s="184"/>
      <c r="AC247" s="8"/>
      <c r="AD247" s="8"/>
      <c r="AE247" s="8"/>
      <c r="AF247" s="8"/>
      <c r="AG247" s="191"/>
      <c r="AH247" s="191"/>
      <c r="AI247" s="191"/>
      <c r="AJ247" s="8"/>
      <c r="AK247" s="8"/>
      <c r="AL247" s="8"/>
      <c r="AM247" s="8"/>
      <c r="AN247" s="8"/>
      <c r="AO247" s="8"/>
      <c r="AP247" s="8"/>
      <c r="AQ247" s="8"/>
      <c r="AR247" s="8"/>
      <c r="AS247" s="8"/>
      <c r="A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184"/>
      <c r="Z248" s="184"/>
      <c r="AA248" s="184"/>
      <c r="AB248" s="184"/>
      <c r="AC248" s="8"/>
      <c r="AD248" s="8"/>
      <c r="AE248" s="8"/>
      <c r="AF248" s="8"/>
      <c r="AG248" s="191"/>
      <c r="AH248" s="191"/>
      <c r="AI248" s="191"/>
      <c r="AJ248" s="8"/>
      <c r="AK248" s="8"/>
      <c r="AL248" s="8"/>
      <c r="AM248" s="8"/>
      <c r="AN248" s="8"/>
      <c r="AO248" s="8"/>
      <c r="AP248" s="8"/>
      <c r="AQ248" s="8"/>
      <c r="AR248" s="8"/>
      <c r="AS248" s="8"/>
      <c r="A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184"/>
      <c r="Z249" s="184"/>
      <c r="AA249" s="184"/>
      <c r="AB249" s="184"/>
      <c r="AC249" s="8"/>
      <c r="AD249" s="8"/>
      <c r="AE249" s="8"/>
      <c r="AF249" s="8"/>
      <c r="AG249" s="191"/>
      <c r="AH249" s="191"/>
      <c r="AI249" s="191"/>
      <c r="AJ249" s="8"/>
      <c r="AK249" s="8"/>
      <c r="AL249" s="8"/>
      <c r="AM249" s="8"/>
      <c r="AN249" s="8"/>
      <c r="AO249" s="8"/>
      <c r="AP249" s="8"/>
      <c r="AQ249" s="8"/>
      <c r="AR249" s="8"/>
      <c r="AS249" s="8"/>
      <c r="A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184"/>
      <c r="Z250" s="184"/>
      <c r="AA250" s="184"/>
      <c r="AB250" s="184"/>
      <c r="AC250" s="8"/>
      <c r="AD250" s="8"/>
      <c r="AE250" s="8"/>
      <c r="AF250" s="8"/>
      <c r="AG250" s="191"/>
      <c r="AH250" s="191"/>
      <c r="AI250" s="191"/>
      <c r="AJ250" s="8"/>
      <c r="AK250" s="8"/>
      <c r="AL250" s="8"/>
      <c r="AM250" s="8"/>
      <c r="AN250" s="8"/>
      <c r="AO250" s="8"/>
      <c r="AP250" s="8"/>
      <c r="AQ250" s="8"/>
      <c r="AR250" s="8"/>
      <c r="AS250" s="8"/>
      <c r="A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184"/>
      <c r="Z251" s="184"/>
      <c r="AA251" s="184"/>
      <c r="AB251" s="184"/>
      <c r="AC251" s="8"/>
      <c r="AD251" s="8"/>
      <c r="AE251" s="8"/>
      <c r="AF251" s="8"/>
      <c r="AG251" s="191"/>
      <c r="AH251" s="191"/>
      <c r="AI251" s="191"/>
      <c r="AJ251" s="8"/>
      <c r="AK251" s="8"/>
      <c r="AL251" s="8"/>
      <c r="AM251" s="8"/>
      <c r="AN251" s="8"/>
      <c r="AO251" s="8"/>
      <c r="AP251" s="8"/>
      <c r="AQ251" s="8"/>
      <c r="AR251" s="8"/>
      <c r="AS251" s="8"/>
      <c r="A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184"/>
      <c r="Z252" s="184"/>
      <c r="AA252" s="184"/>
      <c r="AB252" s="184"/>
      <c r="AC252" s="8"/>
      <c r="AD252" s="8"/>
      <c r="AE252" s="8"/>
      <c r="AF252" s="8"/>
      <c r="AG252" s="191"/>
      <c r="AH252" s="191"/>
      <c r="AI252" s="191"/>
      <c r="AJ252" s="8"/>
      <c r="AK252" s="8"/>
      <c r="AL252" s="8"/>
      <c r="AM252" s="8"/>
      <c r="AN252" s="8"/>
      <c r="AO252" s="8"/>
      <c r="AP252" s="8"/>
      <c r="AQ252" s="8"/>
      <c r="AR252" s="8"/>
      <c r="AS252" s="8"/>
      <c r="A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184"/>
      <c r="Z253" s="184"/>
      <c r="AA253" s="184"/>
      <c r="AB253" s="184"/>
      <c r="AC253" s="8"/>
      <c r="AD253" s="8"/>
      <c r="AE253" s="8"/>
      <c r="AF253" s="8"/>
      <c r="AG253" s="191"/>
      <c r="AH253" s="191"/>
      <c r="AI253" s="191"/>
      <c r="AJ253" s="8"/>
      <c r="AK253" s="8"/>
      <c r="AL253" s="8"/>
      <c r="AM253" s="8"/>
      <c r="AN253" s="8"/>
      <c r="AO253" s="8"/>
      <c r="AP253" s="8"/>
      <c r="AQ253" s="8"/>
      <c r="AR253" s="8"/>
      <c r="AS253" s="8"/>
      <c r="A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184"/>
      <c r="Z254" s="184"/>
      <c r="AA254" s="184"/>
      <c r="AB254" s="184"/>
      <c r="AC254" s="8"/>
      <c r="AD254" s="8"/>
      <c r="AE254" s="8"/>
      <c r="AF254" s="8"/>
      <c r="AG254" s="191"/>
      <c r="AH254" s="191"/>
      <c r="AI254" s="191"/>
      <c r="AJ254" s="8"/>
      <c r="AK254" s="8"/>
      <c r="AL254" s="8"/>
      <c r="AM254" s="8"/>
      <c r="AN254" s="8"/>
      <c r="AO254" s="8"/>
      <c r="AP254" s="8"/>
      <c r="AQ254" s="8"/>
      <c r="AR254" s="8"/>
      <c r="AS254" s="8"/>
      <c r="A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184"/>
      <c r="Z255" s="184"/>
      <c r="AA255" s="184"/>
      <c r="AB255" s="184"/>
      <c r="AC255" s="8"/>
      <c r="AD255" s="8"/>
      <c r="AE255" s="8"/>
      <c r="AF255" s="8"/>
      <c r="AG255" s="191"/>
      <c r="AH255" s="191"/>
      <c r="AI255" s="191"/>
      <c r="AJ255" s="8"/>
      <c r="AK255" s="8"/>
      <c r="AL255" s="8"/>
      <c r="AM255" s="8"/>
      <c r="AN255" s="8"/>
      <c r="AO255" s="8"/>
      <c r="AP255" s="8"/>
      <c r="AQ255" s="8"/>
      <c r="AR255" s="8"/>
      <c r="AS255" s="8"/>
      <c r="A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184"/>
      <c r="Z256" s="184"/>
      <c r="AA256" s="184"/>
      <c r="AB256" s="184"/>
      <c r="AC256" s="8"/>
      <c r="AD256" s="8"/>
      <c r="AE256" s="8"/>
      <c r="AF256" s="8"/>
      <c r="AG256" s="191"/>
      <c r="AH256" s="191"/>
      <c r="AI256" s="191"/>
      <c r="AJ256" s="8"/>
      <c r="AK256" s="8"/>
      <c r="AL256" s="8"/>
      <c r="AM256" s="8"/>
      <c r="AN256" s="8"/>
      <c r="AO256" s="8"/>
      <c r="AP256" s="8"/>
      <c r="AQ256" s="8"/>
      <c r="AR256" s="8"/>
      <c r="AS256" s="8"/>
      <c r="A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184"/>
      <c r="Z257" s="184"/>
      <c r="AA257" s="184"/>
      <c r="AB257" s="184"/>
      <c r="AC257" s="8"/>
      <c r="AD257" s="8"/>
      <c r="AE257" s="8"/>
      <c r="AF257" s="8"/>
      <c r="AG257" s="191"/>
      <c r="AH257" s="191"/>
      <c r="AI257" s="191"/>
      <c r="AJ257" s="8"/>
      <c r="AK257" s="8"/>
      <c r="AL257" s="8"/>
      <c r="AM257" s="8"/>
      <c r="AN257" s="8"/>
      <c r="AO257" s="8"/>
      <c r="AP257" s="8"/>
      <c r="AQ257" s="8"/>
      <c r="AR257" s="8"/>
      <c r="AS257" s="8"/>
      <c r="A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184"/>
      <c r="Z258" s="184"/>
      <c r="AA258" s="184"/>
      <c r="AB258" s="184"/>
      <c r="AC258" s="8"/>
      <c r="AD258" s="8"/>
      <c r="AE258" s="8"/>
      <c r="AF258" s="8"/>
      <c r="AG258" s="191"/>
      <c r="AH258" s="191"/>
      <c r="AI258" s="191"/>
      <c r="AJ258" s="8"/>
      <c r="AK258" s="8"/>
      <c r="AL258" s="8"/>
      <c r="AM258" s="8"/>
      <c r="AN258" s="8"/>
      <c r="AO258" s="8"/>
      <c r="AP258" s="8"/>
      <c r="AQ258" s="8"/>
      <c r="AR258" s="8"/>
      <c r="AS258" s="8"/>
      <c r="A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184"/>
      <c r="Z259" s="184"/>
      <c r="AA259" s="184"/>
      <c r="AB259" s="184"/>
      <c r="AC259" s="8"/>
      <c r="AD259" s="8"/>
      <c r="AE259" s="8"/>
      <c r="AF259" s="8"/>
      <c r="AG259" s="191"/>
      <c r="AH259" s="191"/>
      <c r="AI259" s="191"/>
      <c r="AJ259" s="8"/>
      <c r="AK259" s="8"/>
      <c r="AL259" s="8"/>
      <c r="AM259" s="8"/>
      <c r="AN259" s="8"/>
      <c r="AO259" s="8"/>
      <c r="AP259" s="8"/>
      <c r="AQ259" s="8"/>
      <c r="AR259" s="8"/>
      <c r="AS259" s="8"/>
      <c r="A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184"/>
      <c r="Z260" s="184"/>
      <c r="AA260" s="184"/>
      <c r="AB260" s="184"/>
      <c r="AC260" s="8"/>
      <c r="AD260" s="8"/>
      <c r="AE260" s="8"/>
      <c r="AF260" s="8"/>
      <c r="AG260" s="191"/>
      <c r="AH260" s="191"/>
      <c r="AI260" s="191"/>
      <c r="AJ260" s="8"/>
      <c r="AK260" s="8"/>
      <c r="AL260" s="8"/>
      <c r="AM260" s="8"/>
      <c r="AN260" s="8"/>
      <c r="AO260" s="8"/>
      <c r="AP260" s="8"/>
      <c r="AQ260" s="8"/>
      <c r="AR260" s="8"/>
      <c r="AS260" s="8"/>
      <c r="A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184"/>
      <c r="Z261" s="184"/>
      <c r="AA261" s="184"/>
      <c r="AB261" s="184"/>
      <c r="AC261" s="8"/>
      <c r="AD261" s="8"/>
      <c r="AE261" s="8"/>
      <c r="AF261" s="8"/>
      <c r="AG261" s="191"/>
      <c r="AH261" s="191"/>
      <c r="AI261" s="191"/>
      <c r="AJ261" s="8"/>
      <c r="AK261" s="8"/>
      <c r="AL261" s="8"/>
      <c r="AM261" s="8"/>
      <c r="AN261" s="8"/>
      <c r="AO261" s="8"/>
      <c r="AP261" s="8"/>
      <c r="AQ261" s="8"/>
      <c r="AR261" s="8"/>
      <c r="AS261" s="8"/>
      <c r="A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184"/>
      <c r="Z262" s="184"/>
      <c r="AA262" s="184"/>
      <c r="AB262" s="184"/>
      <c r="AC262" s="8"/>
      <c r="AD262" s="8"/>
      <c r="AE262" s="8"/>
      <c r="AF262" s="8"/>
      <c r="AG262" s="191"/>
      <c r="AH262" s="191"/>
      <c r="AI262" s="191"/>
      <c r="AJ262" s="8"/>
      <c r="AK262" s="8"/>
      <c r="AL262" s="8"/>
      <c r="AM262" s="8"/>
      <c r="AN262" s="8"/>
      <c r="AO262" s="8"/>
      <c r="AP262" s="8"/>
      <c r="AQ262" s="8"/>
      <c r="AR262" s="8"/>
      <c r="AS262" s="8"/>
      <c r="A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184"/>
      <c r="Z263" s="184"/>
      <c r="AA263" s="184"/>
      <c r="AB263" s="184"/>
      <c r="AC263" s="8"/>
      <c r="AD263" s="8"/>
      <c r="AE263" s="8"/>
      <c r="AF263" s="8"/>
      <c r="AG263" s="191"/>
      <c r="AH263" s="191"/>
      <c r="AI263" s="191"/>
      <c r="AJ263" s="8"/>
      <c r="AK263" s="8"/>
      <c r="AL263" s="8"/>
      <c r="AM263" s="8"/>
      <c r="AN263" s="8"/>
      <c r="AO263" s="8"/>
      <c r="AP263" s="8"/>
      <c r="AQ263" s="8"/>
      <c r="AR263" s="8"/>
      <c r="AS263" s="8"/>
      <c r="A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184"/>
      <c r="Z264" s="184"/>
      <c r="AA264" s="184"/>
      <c r="AB264" s="184"/>
      <c r="AC264" s="8"/>
      <c r="AD264" s="8"/>
      <c r="AE264" s="8"/>
      <c r="AF264" s="8"/>
      <c r="AG264" s="191"/>
      <c r="AH264" s="191"/>
      <c r="AI264" s="191"/>
      <c r="AJ264" s="8"/>
      <c r="AK264" s="8"/>
      <c r="AL264" s="8"/>
      <c r="AM264" s="8"/>
      <c r="AN264" s="8"/>
      <c r="AO264" s="8"/>
      <c r="AP264" s="8"/>
      <c r="AQ264" s="8"/>
      <c r="AR264" s="8"/>
      <c r="AS264" s="8"/>
      <c r="A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184"/>
      <c r="Z265" s="184"/>
      <c r="AA265" s="184"/>
      <c r="AB265" s="184"/>
      <c r="AC265" s="8"/>
      <c r="AD265" s="8"/>
      <c r="AE265" s="8"/>
      <c r="AF265" s="8"/>
      <c r="AG265" s="191"/>
      <c r="AH265" s="191"/>
      <c r="AI265" s="191"/>
      <c r="AJ265" s="8"/>
      <c r="AK265" s="8"/>
      <c r="AL265" s="8"/>
      <c r="AM265" s="8"/>
      <c r="AN265" s="8"/>
      <c r="AO265" s="8"/>
      <c r="AP265" s="8"/>
      <c r="AQ265" s="8"/>
      <c r="AR265" s="8"/>
      <c r="AS265" s="8"/>
      <c r="A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184"/>
      <c r="Z266" s="184"/>
      <c r="AA266" s="184"/>
      <c r="AB266" s="184"/>
      <c r="AC266" s="8"/>
      <c r="AD266" s="8"/>
      <c r="AE266" s="8"/>
      <c r="AF266" s="8"/>
      <c r="AG266" s="191"/>
      <c r="AH266" s="191"/>
      <c r="AI266" s="191"/>
      <c r="AJ266" s="8"/>
      <c r="AK266" s="8"/>
      <c r="AL266" s="8"/>
      <c r="AM266" s="8"/>
      <c r="AN266" s="8"/>
      <c r="AO266" s="8"/>
      <c r="AP266" s="8"/>
      <c r="AQ266" s="8"/>
      <c r="AR266" s="8"/>
      <c r="AS266" s="8"/>
      <c r="A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184"/>
      <c r="Z267" s="184"/>
      <c r="AA267" s="184"/>
      <c r="AB267" s="184"/>
      <c r="AC267" s="8"/>
      <c r="AD267" s="8"/>
      <c r="AE267" s="8"/>
      <c r="AF267" s="8"/>
      <c r="AG267" s="191"/>
      <c r="AH267" s="191"/>
      <c r="AI267" s="191"/>
      <c r="AJ267" s="8"/>
      <c r="AK267" s="8"/>
      <c r="AL267" s="8"/>
      <c r="AM267" s="8"/>
      <c r="AN267" s="8"/>
      <c r="AO267" s="8"/>
      <c r="AP267" s="8"/>
      <c r="AQ267" s="8"/>
      <c r="AR267" s="8"/>
      <c r="AS267" s="8"/>
      <c r="A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184"/>
      <c r="Z268" s="184"/>
      <c r="AA268" s="184"/>
      <c r="AB268" s="184"/>
      <c r="AC268" s="8"/>
      <c r="AD268" s="8"/>
      <c r="AE268" s="8"/>
      <c r="AF268" s="8"/>
      <c r="AG268" s="191"/>
      <c r="AH268" s="191"/>
      <c r="AI268" s="191"/>
      <c r="AJ268" s="8"/>
      <c r="AK268" s="8"/>
      <c r="AL268" s="8"/>
      <c r="AM268" s="8"/>
      <c r="AN268" s="8"/>
      <c r="AO268" s="8"/>
      <c r="AP268" s="8"/>
      <c r="AQ268" s="8"/>
      <c r="AR268" s="8"/>
      <c r="AS268" s="8"/>
      <c r="A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184"/>
      <c r="Z269" s="184"/>
      <c r="AA269" s="184"/>
      <c r="AB269" s="184"/>
      <c r="AC269" s="8"/>
      <c r="AD269" s="8"/>
      <c r="AE269" s="8"/>
      <c r="AF269" s="8"/>
      <c r="AG269" s="191"/>
      <c r="AH269" s="191"/>
      <c r="AI269" s="191"/>
      <c r="AJ269" s="8"/>
      <c r="AK269" s="8"/>
      <c r="AL269" s="8"/>
      <c r="AM269" s="8"/>
      <c r="AN269" s="8"/>
      <c r="AO269" s="8"/>
      <c r="AP269" s="8"/>
      <c r="AQ269" s="8"/>
      <c r="AR269" s="8"/>
      <c r="AS269" s="8"/>
      <c r="A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184"/>
      <c r="Z270" s="184"/>
      <c r="AA270" s="184"/>
      <c r="AB270" s="184"/>
      <c r="AC270" s="8"/>
      <c r="AD270" s="8"/>
      <c r="AE270" s="8"/>
      <c r="AF270" s="8"/>
      <c r="AG270" s="191"/>
      <c r="AH270" s="191"/>
      <c r="AI270" s="191"/>
      <c r="AJ270" s="8"/>
      <c r="AK270" s="8"/>
      <c r="AL270" s="8"/>
      <c r="AM270" s="8"/>
      <c r="AN270" s="8"/>
      <c r="AO270" s="8"/>
      <c r="AP270" s="8"/>
      <c r="AQ270" s="8"/>
      <c r="AR270" s="8"/>
      <c r="AS270" s="8"/>
      <c r="A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184"/>
      <c r="Z271" s="184"/>
      <c r="AA271" s="184"/>
      <c r="AB271" s="184"/>
      <c r="AC271" s="8"/>
      <c r="AD271" s="8"/>
      <c r="AE271" s="8"/>
      <c r="AF271" s="8"/>
      <c r="AG271" s="191"/>
      <c r="AH271" s="191"/>
      <c r="AI271" s="191"/>
      <c r="AJ271" s="8"/>
      <c r="AK271" s="8"/>
      <c r="AL271" s="8"/>
      <c r="AM271" s="8"/>
      <c r="AN271" s="8"/>
      <c r="AO271" s="8"/>
      <c r="AP271" s="8"/>
      <c r="AQ271" s="8"/>
      <c r="AR271" s="8"/>
      <c r="AS271" s="8"/>
      <c r="A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184"/>
      <c r="Z272" s="184"/>
      <c r="AA272" s="184"/>
      <c r="AB272" s="184"/>
      <c r="AC272" s="8"/>
      <c r="AD272" s="8"/>
      <c r="AE272" s="8"/>
      <c r="AF272" s="8"/>
      <c r="AG272" s="191"/>
      <c r="AH272" s="191"/>
      <c r="AI272" s="191"/>
      <c r="AJ272" s="8"/>
      <c r="AK272" s="8"/>
      <c r="AL272" s="8"/>
      <c r="AM272" s="8"/>
      <c r="AN272" s="8"/>
      <c r="AO272" s="8"/>
      <c r="AP272" s="8"/>
      <c r="AQ272" s="8"/>
      <c r="AR272" s="8"/>
      <c r="AS272" s="8"/>
      <c r="A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184"/>
      <c r="Z273" s="184"/>
      <c r="AA273" s="184"/>
      <c r="AB273" s="184"/>
      <c r="AC273" s="8"/>
      <c r="AD273" s="8"/>
      <c r="AE273" s="8"/>
      <c r="AF273" s="8"/>
      <c r="AG273" s="191"/>
      <c r="AH273" s="191"/>
      <c r="AI273" s="191"/>
      <c r="AJ273" s="8"/>
      <c r="AK273" s="8"/>
      <c r="AL273" s="8"/>
      <c r="AM273" s="8"/>
      <c r="AN273" s="8"/>
      <c r="AO273" s="8"/>
      <c r="AP273" s="8"/>
      <c r="AQ273" s="8"/>
      <c r="AR273" s="8"/>
      <c r="AS273" s="8"/>
      <c r="A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184"/>
      <c r="Z274" s="184"/>
      <c r="AA274" s="184"/>
      <c r="AB274" s="184"/>
      <c r="AC274" s="8"/>
      <c r="AD274" s="8"/>
      <c r="AE274" s="8"/>
      <c r="AF274" s="8"/>
      <c r="AG274" s="191"/>
      <c r="AH274" s="191"/>
      <c r="AI274" s="191"/>
      <c r="AJ274" s="8"/>
      <c r="AK274" s="8"/>
      <c r="AL274" s="8"/>
      <c r="AM274" s="8"/>
      <c r="AN274" s="8"/>
      <c r="AO274" s="8"/>
      <c r="AP274" s="8"/>
      <c r="AQ274" s="8"/>
      <c r="AR274" s="8"/>
      <c r="AS274" s="8"/>
      <c r="A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184"/>
      <c r="Z275" s="184"/>
      <c r="AA275" s="184"/>
      <c r="AB275" s="184"/>
      <c r="AC275" s="8"/>
      <c r="AD275" s="8"/>
      <c r="AE275" s="8"/>
      <c r="AF275" s="8"/>
      <c r="AG275" s="191"/>
      <c r="AH275" s="191"/>
      <c r="AI275" s="191"/>
      <c r="AJ275" s="8"/>
      <c r="AK275" s="8"/>
      <c r="AL275" s="8"/>
      <c r="AM275" s="8"/>
      <c r="AN275" s="8"/>
      <c r="AO275" s="8"/>
      <c r="AP275" s="8"/>
      <c r="AQ275" s="8"/>
      <c r="AR275" s="8"/>
      <c r="AS275" s="8"/>
      <c r="A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184"/>
      <c r="Z276" s="184"/>
      <c r="AA276" s="184"/>
      <c r="AB276" s="184"/>
      <c r="AC276" s="8"/>
      <c r="AD276" s="8"/>
      <c r="AE276" s="8"/>
      <c r="AF276" s="8"/>
      <c r="AG276" s="191"/>
      <c r="AH276" s="191"/>
      <c r="AI276" s="191"/>
      <c r="AJ276" s="8"/>
      <c r="AK276" s="8"/>
      <c r="AL276" s="8"/>
      <c r="AM276" s="8"/>
      <c r="AN276" s="8"/>
      <c r="AO276" s="8"/>
      <c r="AP276" s="8"/>
      <c r="AQ276" s="8"/>
      <c r="AR276" s="8"/>
      <c r="AS276" s="8"/>
      <c r="A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184"/>
      <c r="Z277" s="184"/>
      <c r="AA277" s="184"/>
      <c r="AB277" s="184"/>
      <c r="AC277" s="8"/>
      <c r="AD277" s="8"/>
      <c r="AE277" s="8"/>
      <c r="AF277" s="8"/>
      <c r="AG277" s="191"/>
      <c r="AH277" s="191"/>
      <c r="AI277" s="191"/>
      <c r="AJ277" s="8"/>
      <c r="AK277" s="8"/>
      <c r="AL277" s="8"/>
      <c r="AM277" s="8"/>
      <c r="AN277" s="8"/>
      <c r="AO277" s="8"/>
      <c r="AP277" s="8"/>
      <c r="AQ277" s="8"/>
      <c r="AR277" s="8"/>
      <c r="AS277" s="8"/>
      <c r="A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184"/>
      <c r="Z278" s="184"/>
      <c r="AA278" s="184"/>
      <c r="AB278" s="184"/>
      <c r="AC278" s="8"/>
      <c r="AD278" s="8"/>
      <c r="AE278" s="8"/>
      <c r="AF278" s="8"/>
      <c r="AG278" s="191"/>
      <c r="AH278" s="191"/>
      <c r="AI278" s="191"/>
      <c r="AJ278" s="8"/>
      <c r="AK278" s="8"/>
      <c r="AL278" s="8"/>
      <c r="AM278" s="8"/>
      <c r="AN278" s="8"/>
      <c r="AO278" s="8"/>
      <c r="AP278" s="8"/>
      <c r="AQ278" s="8"/>
      <c r="AR278" s="8"/>
      <c r="AS278" s="8"/>
      <c r="A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184"/>
      <c r="Z279" s="184"/>
      <c r="AA279" s="184"/>
      <c r="AB279" s="184"/>
      <c r="AC279" s="8"/>
      <c r="AD279" s="8"/>
      <c r="AE279" s="8"/>
      <c r="AF279" s="8"/>
      <c r="AG279" s="191"/>
      <c r="AH279" s="191"/>
      <c r="AI279" s="191"/>
      <c r="AJ279" s="8"/>
      <c r="AK279" s="8"/>
      <c r="AL279" s="8"/>
      <c r="AM279" s="8"/>
      <c r="AN279" s="8"/>
      <c r="AO279" s="8"/>
      <c r="AP279" s="8"/>
      <c r="AQ279" s="8"/>
      <c r="AR279" s="8"/>
      <c r="AS279" s="8"/>
      <c r="A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184"/>
      <c r="Z280" s="184"/>
      <c r="AA280" s="184"/>
      <c r="AB280" s="184"/>
      <c r="AC280" s="8"/>
      <c r="AD280" s="8"/>
      <c r="AE280" s="8"/>
      <c r="AF280" s="8"/>
      <c r="AG280" s="191"/>
      <c r="AH280" s="191"/>
      <c r="AI280" s="191"/>
      <c r="AJ280" s="8"/>
      <c r="AK280" s="8"/>
      <c r="AL280" s="8"/>
      <c r="AM280" s="8"/>
      <c r="AN280" s="8"/>
      <c r="AO280" s="8"/>
      <c r="AP280" s="8"/>
      <c r="AQ280" s="8"/>
      <c r="AR280" s="8"/>
      <c r="AS280" s="8"/>
      <c r="A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184"/>
      <c r="Z281" s="184"/>
      <c r="AA281" s="184"/>
      <c r="AB281" s="184"/>
      <c r="AC281" s="8"/>
      <c r="AD281" s="8"/>
      <c r="AE281" s="8"/>
      <c r="AF281" s="8"/>
      <c r="AG281" s="191"/>
      <c r="AH281" s="191"/>
      <c r="AI281" s="191"/>
      <c r="AJ281" s="8"/>
      <c r="AK281" s="8"/>
      <c r="AL281" s="8"/>
      <c r="AM281" s="8"/>
      <c r="AN281" s="8"/>
      <c r="AO281" s="8"/>
      <c r="AP281" s="8"/>
      <c r="AQ281" s="8"/>
      <c r="AR281" s="8"/>
      <c r="AS281" s="8"/>
      <c r="A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184"/>
      <c r="Z282" s="184"/>
      <c r="AA282" s="184"/>
      <c r="AB282" s="184"/>
      <c r="AC282" s="8"/>
      <c r="AD282" s="8"/>
      <c r="AE282" s="8"/>
      <c r="AF282" s="8"/>
      <c r="AG282" s="191"/>
      <c r="AH282" s="191"/>
      <c r="AI282" s="191"/>
      <c r="AJ282" s="8"/>
      <c r="AK282" s="8"/>
      <c r="AL282" s="8"/>
      <c r="AM282" s="8"/>
      <c r="AN282" s="8"/>
      <c r="AO282" s="8"/>
      <c r="AP282" s="8"/>
      <c r="AQ282" s="8"/>
      <c r="AR282" s="8"/>
      <c r="AS282" s="8"/>
      <c r="A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184"/>
      <c r="Z283" s="184"/>
      <c r="AA283" s="184"/>
      <c r="AB283" s="184"/>
      <c r="AC283" s="8"/>
      <c r="AD283" s="8"/>
      <c r="AE283" s="8"/>
      <c r="AF283" s="8"/>
      <c r="AG283" s="191"/>
      <c r="AH283" s="191"/>
      <c r="AI283" s="191"/>
      <c r="AJ283" s="8"/>
      <c r="AK283" s="8"/>
      <c r="AL283" s="8"/>
      <c r="AM283" s="8"/>
      <c r="AN283" s="8"/>
      <c r="AO283" s="8"/>
      <c r="AP283" s="8"/>
      <c r="AQ283" s="8"/>
      <c r="AR283" s="8"/>
      <c r="AS283" s="8"/>
      <c r="A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184"/>
      <c r="Z284" s="184"/>
      <c r="AA284" s="184"/>
      <c r="AB284" s="184"/>
      <c r="AC284" s="8"/>
      <c r="AD284" s="8"/>
      <c r="AE284" s="8"/>
      <c r="AF284" s="8"/>
      <c r="AG284" s="191"/>
      <c r="AH284" s="191"/>
      <c r="AI284" s="191"/>
      <c r="AJ284" s="8"/>
      <c r="AK284" s="8"/>
      <c r="AL284" s="8"/>
      <c r="AM284" s="8"/>
      <c r="AN284" s="8"/>
      <c r="AO284" s="8"/>
      <c r="AP284" s="8"/>
      <c r="AQ284" s="8"/>
      <c r="AR284" s="8"/>
      <c r="AS284" s="8"/>
      <c r="A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184"/>
      <c r="Z285" s="184"/>
      <c r="AA285" s="184"/>
      <c r="AB285" s="184"/>
      <c r="AC285" s="8"/>
      <c r="AD285" s="8"/>
      <c r="AE285" s="8"/>
      <c r="AF285" s="8"/>
      <c r="AG285" s="191"/>
      <c r="AH285" s="191"/>
      <c r="AI285" s="191"/>
      <c r="AJ285" s="8"/>
      <c r="AK285" s="8"/>
      <c r="AL285" s="8"/>
      <c r="AM285" s="8"/>
      <c r="AN285" s="8"/>
      <c r="AO285" s="8"/>
      <c r="AP285" s="8"/>
      <c r="AQ285" s="8"/>
      <c r="AR285" s="8"/>
      <c r="AS285" s="8"/>
      <c r="A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184"/>
      <c r="Z286" s="184"/>
      <c r="AA286" s="184"/>
      <c r="AB286" s="184"/>
      <c r="AC286" s="8"/>
      <c r="AD286" s="8"/>
      <c r="AE286" s="8"/>
      <c r="AF286" s="8"/>
      <c r="AG286" s="191"/>
      <c r="AH286" s="191"/>
      <c r="AI286" s="191"/>
      <c r="AJ286" s="8"/>
      <c r="AK286" s="8"/>
      <c r="AL286" s="8"/>
      <c r="AM286" s="8"/>
      <c r="AN286" s="8"/>
      <c r="AO286" s="8"/>
      <c r="AP286" s="8"/>
      <c r="AQ286" s="8"/>
      <c r="AR286" s="8"/>
      <c r="AS286" s="8"/>
      <c r="A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184"/>
      <c r="Z287" s="184"/>
      <c r="AA287" s="184"/>
      <c r="AB287" s="184"/>
      <c r="AC287" s="8"/>
      <c r="AD287" s="8"/>
      <c r="AE287" s="8"/>
      <c r="AF287" s="8"/>
      <c r="AG287" s="191"/>
      <c r="AH287" s="191"/>
      <c r="AI287" s="191"/>
      <c r="AJ287" s="8"/>
      <c r="AK287" s="8"/>
      <c r="AL287" s="8"/>
      <c r="AM287" s="8"/>
      <c r="AN287" s="8"/>
      <c r="AO287" s="8"/>
      <c r="AP287" s="8"/>
      <c r="AQ287" s="8"/>
      <c r="AR287" s="8"/>
      <c r="AS287" s="8"/>
      <c r="A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184"/>
      <c r="Z288" s="184"/>
      <c r="AA288" s="184"/>
      <c r="AB288" s="184"/>
      <c r="AC288" s="8"/>
      <c r="AD288" s="8"/>
      <c r="AE288" s="8"/>
      <c r="AF288" s="8"/>
      <c r="AG288" s="191"/>
      <c r="AH288" s="191"/>
      <c r="AI288" s="191"/>
      <c r="AJ288" s="8"/>
      <c r="AK288" s="8"/>
      <c r="AL288" s="8"/>
      <c r="AM288" s="8"/>
      <c r="AN288" s="8"/>
      <c r="AO288" s="8"/>
      <c r="AP288" s="8"/>
      <c r="AQ288" s="8"/>
      <c r="AR288" s="8"/>
      <c r="AS288" s="8"/>
      <c r="A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184"/>
      <c r="Z289" s="184"/>
      <c r="AA289" s="184"/>
      <c r="AB289" s="184"/>
      <c r="AC289" s="8"/>
      <c r="AD289" s="8"/>
      <c r="AE289" s="8"/>
      <c r="AF289" s="8"/>
      <c r="AG289" s="191"/>
      <c r="AH289" s="191"/>
      <c r="AI289" s="191"/>
      <c r="AJ289" s="8"/>
      <c r="AK289" s="8"/>
      <c r="AL289" s="8"/>
      <c r="AM289" s="8"/>
      <c r="AN289" s="8"/>
      <c r="AO289" s="8"/>
      <c r="AP289" s="8"/>
      <c r="AQ289" s="8"/>
      <c r="AR289" s="8"/>
      <c r="AS289" s="8"/>
      <c r="A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184"/>
      <c r="Z290" s="184"/>
      <c r="AA290" s="184"/>
      <c r="AB290" s="184"/>
      <c r="AC290" s="8"/>
      <c r="AD290" s="8"/>
      <c r="AE290" s="8"/>
      <c r="AF290" s="8"/>
      <c r="AG290" s="191"/>
      <c r="AH290" s="191"/>
      <c r="AI290" s="191"/>
      <c r="AJ290" s="8"/>
      <c r="AK290" s="8"/>
      <c r="AL290" s="8"/>
      <c r="AM290" s="8"/>
      <c r="AN290" s="8"/>
      <c r="AO290" s="8"/>
      <c r="AP290" s="8"/>
      <c r="AQ290" s="8"/>
      <c r="AR290" s="8"/>
      <c r="AS290" s="8"/>
      <c r="A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184"/>
      <c r="Z291" s="184"/>
      <c r="AA291" s="184"/>
      <c r="AB291" s="184"/>
      <c r="AC291" s="8"/>
      <c r="AD291" s="8"/>
      <c r="AE291" s="8"/>
      <c r="AF291" s="8"/>
      <c r="AG291" s="191"/>
      <c r="AH291" s="191"/>
      <c r="AI291" s="191"/>
      <c r="AJ291" s="8"/>
      <c r="AK291" s="8"/>
      <c r="AL291" s="8"/>
      <c r="AM291" s="8"/>
      <c r="AN291" s="8"/>
      <c r="AO291" s="8"/>
      <c r="AP291" s="8"/>
      <c r="AQ291" s="8"/>
      <c r="AR291" s="8"/>
      <c r="AS291" s="8"/>
      <c r="A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184"/>
      <c r="Z292" s="184"/>
      <c r="AA292" s="184"/>
      <c r="AB292" s="184"/>
      <c r="AC292" s="8"/>
      <c r="AD292" s="8"/>
      <c r="AE292" s="8"/>
      <c r="AF292" s="8"/>
      <c r="AG292" s="191"/>
      <c r="AH292" s="191"/>
      <c r="AI292" s="191"/>
      <c r="AJ292" s="8"/>
      <c r="AK292" s="8"/>
      <c r="AL292" s="8"/>
      <c r="AM292" s="8"/>
      <c r="AN292" s="8"/>
      <c r="AO292" s="8"/>
      <c r="AP292" s="8"/>
      <c r="AQ292" s="8"/>
      <c r="AR292" s="8"/>
      <c r="AS292" s="8"/>
      <c r="A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184"/>
      <c r="Z293" s="184"/>
      <c r="AA293" s="184"/>
      <c r="AB293" s="184"/>
      <c r="AC293" s="8"/>
      <c r="AD293" s="8"/>
      <c r="AE293" s="8"/>
      <c r="AF293" s="8"/>
      <c r="AG293" s="191"/>
      <c r="AH293" s="191"/>
      <c r="AI293" s="191"/>
      <c r="AJ293" s="8"/>
      <c r="AK293" s="8"/>
      <c r="AL293" s="8"/>
      <c r="AM293" s="8"/>
      <c r="AN293" s="8"/>
      <c r="AO293" s="8"/>
      <c r="AP293" s="8"/>
      <c r="AQ293" s="8"/>
      <c r="AR293" s="8"/>
      <c r="AS293" s="8"/>
      <c r="A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184"/>
      <c r="Z294" s="184"/>
      <c r="AA294" s="184"/>
      <c r="AB294" s="184"/>
      <c r="AC294" s="8"/>
      <c r="AD294" s="8"/>
      <c r="AE294" s="8"/>
      <c r="AF294" s="8"/>
      <c r="AG294" s="191"/>
      <c r="AH294" s="191"/>
      <c r="AI294" s="191"/>
      <c r="AJ294" s="8"/>
      <c r="AK294" s="8"/>
      <c r="AL294" s="8"/>
      <c r="AM294" s="8"/>
      <c r="AN294" s="8"/>
      <c r="AO294" s="8"/>
      <c r="AP294" s="8"/>
      <c r="AQ294" s="8"/>
      <c r="AR294" s="8"/>
      <c r="AS294" s="8"/>
      <c r="A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184"/>
      <c r="Z295" s="184"/>
      <c r="AA295" s="184"/>
      <c r="AB295" s="184"/>
      <c r="AC295" s="8"/>
      <c r="AD295" s="8"/>
      <c r="AE295" s="8"/>
      <c r="AF295" s="8"/>
      <c r="AG295" s="191"/>
      <c r="AH295" s="191"/>
      <c r="AI295" s="191"/>
      <c r="AJ295" s="8"/>
      <c r="AK295" s="8"/>
      <c r="AL295" s="8"/>
      <c r="AM295" s="8"/>
      <c r="AN295" s="8"/>
      <c r="AO295" s="8"/>
      <c r="AP295" s="8"/>
      <c r="AQ295" s="8"/>
      <c r="AR295" s="8"/>
      <c r="AS295" s="8"/>
      <c r="A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184"/>
      <c r="Z296" s="184"/>
      <c r="AA296" s="184"/>
      <c r="AB296" s="184"/>
      <c r="AC296" s="8"/>
      <c r="AD296" s="8"/>
      <c r="AE296" s="8"/>
      <c r="AF296" s="8"/>
      <c r="AG296" s="191"/>
      <c r="AH296" s="191"/>
      <c r="AI296" s="191"/>
      <c r="AJ296" s="8"/>
      <c r="AK296" s="8"/>
      <c r="AL296" s="8"/>
      <c r="AM296" s="8"/>
      <c r="AN296" s="8"/>
      <c r="AO296" s="8"/>
      <c r="AP296" s="8"/>
      <c r="AQ296" s="8"/>
      <c r="AR296" s="8"/>
      <c r="AS296" s="8"/>
      <c r="A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184"/>
      <c r="Z297" s="184"/>
      <c r="AA297" s="184"/>
      <c r="AB297" s="184"/>
      <c r="AC297" s="8"/>
      <c r="AD297" s="8"/>
      <c r="AE297" s="8"/>
      <c r="AF297" s="8"/>
      <c r="AG297" s="191"/>
      <c r="AH297" s="191"/>
      <c r="AI297" s="191"/>
      <c r="AJ297" s="8"/>
      <c r="AK297" s="8"/>
      <c r="AL297" s="8"/>
      <c r="AM297" s="8"/>
      <c r="AN297" s="8"/>
      <c r="AO297" s="8"/>
      <c r="AP297" s="8"/>
      <c r="AQ297" s="8"/>
      <c r="AR297" s="8"/>
      <c r="AS297" s="8"/>
      <c r="A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184"/>
      <c r="Z298" s="184"/>
      <c r="AA298" s="184"/>
      <c r="AB298" s="184"/>
      <c r="AC298" s="8"/>
      <c r="AD298" s="8"/>
      <c r="AE298" s="8"/>
      <c r="AF298" s="8"/>
      <c r="AG298" s="191"/>
      <c r="AH298" s="191"/>
      <c r="AI298" s="191"/>
      <c r="AJ298" s="8"/>
      <c r="AK298" s="8"/>
      <c r="AL298" s="8"/>
      <c r="AM298" s="8"/>
      <c r="AN298" s="8"/>
      <c r="AO298" s="8"/>
      <c r="AP298" s="8"/>
      <c r="AQ298" s="8"/>
      <c r="AR298" s="8"/>
      <c r="AS298" s="8"/>
      <c r="A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184"/>
      <c r="Z299" s="184"/>
      <c r="AA299" s="184"/>
      <c r="AB299" s="184"/>
      <c r="AC299" s="8"/>
      <c r="AD299" s="8"/>
      <c r="AE299" s="8"/>
      <c r="AF299" s="8"/>
      <c r="AG299" s="191"/>
      <c r="AH299" s="191"/>
      <c r="AI299" s="191"/>
      <c r="AJ299" s="8"/>
      <c r="AK299" s="8"/>
      <c r="AL299" s="8"/>
      <c r="AM299" s="8"/>
      <c r="AN299" s="8"/>
      <c r="AO299" s="8"/>
      <c r="AP299" s="8"/>
      <c r="AQ299" s="8"/>
      <c r="AR299" s="8"/>
      <c r="AS299" s="8"/>
      <c r="A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184"/>
      <c r="Z300" s="184"/>
      <c r="AA300" s="184"/>
      <c r="AB300" s="184"/>
      <c r="AC300" s="8"/>
      <c r="AD300" s="8"/>
      <c r="AE300" s="8"/>
      <c r="AF300" s="8"/>
      <c r="AG300" s="191"/>
      <c r="AH300" s="191"/>
      <c r="AI300" s="191"/>
      <c r="AJ300" s="8"/>
      <c r="AK300" s="8"/>
      <c r="AL300" s="8"/>
      <c r="AM300" s="8"/>
      <c r="AN300" s="8"/>
      <c r="AO300" s="8"/>
      <c r="AP300" s="8"/>
      <c r="AQ300" s="8"/>
      <c r="AR300" s="8"/>
      <c r="AS300" s="8"/>
      <c r="A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184"/>
      <c r="Z301" s="184"/>
      <c r="AA301" s="184"/>
      <c r="AB301" s="184"/>
      <c r="AC301" s="8"/>
      <c r="AD301" s="8"/>
      <c r="AE301" s="8"/>
      <c r="AF301" s="8"/>
      <c r="AG301" s="191"/>
      <c r="AH301" s="191"/>
      <c r="AI301" s="191"/>
      <c r="AJ301" s="8"/>
      <c r="AK301" s="8"/>
      <c r="AL301" s="8"/>
      <c r="AM301" s="8"/>
      <c r="AN301" s="8"/>
      <c r="AO301" s="8"/>
      <c r="AP301" s="8"/>
      <c r="AQ301" s="8"/>
      <c r="AR301" s="8"/>
      <c r="AS301" s="8"/>
      <c r="A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184"/>
      <c r="Z302" s="184"/>
      <c r="AA302" s="184"/>
      <c r="AB302" s="184"/>
      <c r="AC302" s="8"/>
      <c r="AD302" s="8"/>
      <c r="AE302" s="8"/>
      <c r="AF302" s="8"/>
      <c r="AG302" s="191"/>
      <c r="AH302" s="191"/>
      <c r="AI302" s="191"/>
      <c r="AJ302" s="8"/>
      <c r="AK302" s="8"/>
      <c r="AL302" s="8"/>
      <c r="AM302" s="8"/>
      <c r="AN302" s="8"/>
      <c r="AO302" s="8"/>
      <c r="AP302" s="8"/>
      <c r="AQ302" s="8"/>
      <c r="AR302" s="8"/>
      <c r="AS302" s="8"/>
      <c r="A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184"/>
      <c r="Z303" s="184"/>
      <c r="AA303" s="184"/>
      <c r="AB303" s="184"/>
      <c r="AC303" s="8"/>
      <c r="AD303" s="8"/>
      <c r="AE303" s="8"/>
      <c r="AF303" s="8"/>
      <c r="AG303" s="191"/>
      <c r="AH303" s="191"/>
      <c r="AI303" s="191"/>
      <c r="AJ303" s="8"/>
      <c r="AK303" s="8"/>
      <c r="AL303" s="8"/>
      <c r="AM303" s="8"/>
      <c r="AN303" s="8"/>
      <c r="AO303" s="8"/>
      <c r="AP303" s="8"/>
      <c r="AQ303" s="8"/>
      <c r="AR303" s="8"/>
      <c r="AS303" s="8"/>
      <c r="A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184"/>
      <c r="Z304" s="184"/>
      <c r="AA304" s="184"/>
      <c r="AB304" s="184"/>
      <c r="AC304" s="8"/>
      <c r="AD304" s="8"/>
      <c r="AE304" s="8"/>
      <c r="AF304" s="8"/>
      <c r="AG304" s="191"/>
      <c r="AH304" s="191"/>
      <c r="AI304" s="191"/>
      <c r="AJ304" s="8"/>
      <c r="AK304" s="8"/>
      <c r="AL304" s="8"/>
      <c r="AM304" s="8"/>
      <c r="AN304" s="8"/>
      <c r="AO304" s="8"/>
      <c r="AP304" s="8"/>
      <c r="AQ304" s="8"/>
      <c r="AR304" s="8"/>
      <c r="AS304" s="8"/>
      <c r="A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184"/>
      <c r="Z305" s="184"/>
      <c r="AA305" s="184"/>
      <c r="AB305" s="184"/>
      <c r="AC305" s="8"/>
      <c r="AD305" s="8"/>
      <c r="AE305" s="8"/>
      <c r="AF305" s="8"/>
      <c r="AG305" s="191"/>
      <c r="AH305" s="191"/>
      <c r="AI305" s="191"/>
      <c r="AJ305" s="8"/>
      <c r="AK305" s="8"/>
      <c r="AL305" s="8"/>
      <c r="AM305" s="8"/>
      <c r="AN305" s="8"/>
      <c r="AO305" s="8"/>
      <c r="AP305" s="8"/>
      <c r="AQ305" s="8"/>
      <c r="AR305" s="8"/>
      <c r="AS305" s="8"/>
      <c r="A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184"/>
      <c r="Z306" s="184"/>
      <c r="AA306" s="184"/>
      <c r="AB306" s="184"/>
      <c r="AC306" s="8"/>
      <c r="AD306" s="8"/>
      <c r="AE306" s="8"/>
      <c r="AF306" s="8"/>
      <c r="AG306" s="191"/>
      <c r="AH306" s="191"/>
      <c r="AI306" s="191"/>
      <c r="AJ306" s="8"/>
      <c r="AK306" s="8"/>
      <c r="AL306" s="8"/>
      <c r="AM306" s="8"/>
      <c r="AN306" s="8"/>
      <c r="AO306" s="8"/>
      <c r="AP306" s="8"/>
      <c r="AQ306" s="8"/>
      <c r="AR306" s="8"/>
      <c r="AS306" s="8"/>
      <c r="A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184"/>
      <c r="Z307" s="184"/>
      <c r="AA307" s="184"/>
      <c r="AB307" s="184"/>
      <c r="AC307" s="8"/>
      <c r="AD307" s="8"/>
      <c r="AE307" s="8"/>
      <c r="AF307" s="8"/>
      <c r="AG307" s="191"/>
      <c r="AH307" s="191"/>
      <c r="AI307" s="191"/>
      <c r="AJ307" s="8"/>
      <c r="AK307" s="8"/>
      <c r="AL307" s="8"/>
      <c r="AM307" s="8"/>
      <c r="AN307" s="8"/>
      <c r="AO307" s="8"/>
      <c r="AP307" s="8"/>
      <c r="AQ307" s="8"/>
      <c r="AR307" s="8"/>
      <c r="AS307" s="8"/>
      <c r="A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184"/>
      <c r="Z308" s="184"/>
      <c r="AA308" s="184"/>
      <c r="AB308" s="184"/>
      <c r="AC308" s="8"/>
      <c r="AD308" s="8"/>
      <c r="AE308" s="8"/>
      <c r="AF308" s="8"/>
      <c r="AG308" s="191"/>
      <c r="AH308" s="191"/>
      <c r="AI308" s="191"/>
      <c r="AJ308" s="8"/>
      <c r="AK308" s="8"/>
      <c r="AL308" s="8"/>
      <c r="AM308" s="8"/>
      <c r="AN308" s="8"/>
      <c r="AO308" s="8"/>
      <c r="AP308" s="8"/>
      <c r="AQ308" s="8"/>
      <c r="AR308" s="8"/>
      <c r="AS308" s="8"/>
      <c r="A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184"/>
      <c r="Z309" s="184"/>
      <c r="AA309" s="184"/>
      <c r="AB309" s="184"/>
      <c r="AC309" s="8"/>
      <c r="AD309" s="8"/>
      <c r="AE309" s="8"/>
      <c r="AF309" s="8"/>
      <c r="AG309" s="191"/>
      <c r="AH309" s="191"/>
      <c r="AI309" s="191"/>
      <c r="AJ309" s="8"/>
      <c r="AK309" s="8"/>
      <c r="AL309" s="8"/>
      <c r="AM309" s="8"/>
      <c r="AN309" s="8"/>
      <c r="AO309" s="8"/>
      <c r="AP309" s="8"/>
      <c r="AQ309" s="8"/>
      <c r="AR309" s="8"/>
      <c r="AS309" s="8"/>
      <c r="A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184"/>
      <c r="Z310" s="184"/>
      <c r="AA310" s="184"/>
      <c r="AB310" s="184"/>
      <c r="AC310" s="8"/>
      <c r="AD310" s="8"/>
      <c r="AE310" s="8"/>
      <c r="AF310" s="8"/>
      <c r="AG310" s="191"/>
      <c r="AH310" s="191"/>
      <c r="AI310" s="191"/>
      <c r="AJ310" s="8"/>
      <c r="AK310" s="8"/>
      <c r="AL310" s="8"/>
      <c r="AM310" s="8"/>
      <c r="AN310" s="8"/>
      <c r="AO310" s="8"/>
      <c r="AP310" s="8"/>
      <c r="AQ310" s="8"/>
      <c r="AR310" s="8"/>
      <c r="AS310" s="8"/>
      <c r="A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184"/>
      <c r="Z311" s="184"/>
      <c r="AA311" s="184"/>
      <c r="AB311" s="184"/>
      <c r="AC311" s="8"/>
      <c r="AD311" s="8"/>
      <c r="AE311" s="8"/>
      <c r="AF311" s="8"/>
      <c r="AG311" s="191"/>
      <c r="AH311" s="191"/>
      <c r="AI311" s="191"/>
      <c r="AJ311" s="8"/>
      <c r="AK311" s="8"/>
      <c r="AL311" s="8"/>
      <c r="AM311" s="8"/>
      <c r="AN311" s="8"/>
      <c r="AO311" s="8"/>
      <c r="AP311" s="8"/>
      <c r="AQ311" s="8"/>
      <c r="AR311" s="8"/>
      <c r="AS311" s="8"/>
      <c r="A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184"/>
      <c r="Z312" s="184"/>
      <c r="AA312" s="184"/>
      <c r="AB312" s="184"/>
      <c r="AC312" s="8"/>
      <c r="AD312" s="8"/>
      <c r="AE312" s="8"/>
      <c r="AF312" s="8"/>
      <c r="AG312" s="191"/>
      <c r="AH312" s="191"/>
      <c r="AI312" s="191"/>
      <c r="AJ312" s="8"/>
      <c r="AK312" s="8"/>
      <c r="AL312" s="8"/>
      <c r="AM312" s="8"/>
      <c r="AN312" s="8"/>
      <c r="AO312" s="8"/>
      <c r="AP312" s="8"/>
      <c r="AQ312" s="8"/>
      <c r="AR312" s="8"/>
      <c r="AS312" s="8"/>
      <c r="A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184"/>
      <c r="Z313" s="184"/>
      <c r="AA313" s="184"/>
      <c r="AB313" s="184"/>
      <c r="AC313" s="8"/>
      <c r="AD313" s="8"/>
      <c r="AE313" s="8"/>
      <c r="AF313" s="8"/>
      <c r="AG313" s="191"/>
      <c r="AH313" s="191"/>
      <c r="AI313" s="191"/>
      <c r="AJ313" s="8"/>
      <c r="AK313" s="8"/>
      <c r="AL313" s="8"/>
      <c r="AM313" s="8"/>
      <c r="AN313" s="8"/>
      <c r="AO313" s="8"/>
      <c r="AP313" s="8"/>
      <c r="AQ313" s="8"/>
      <c r="AR313" s="8"/>
      <c r="AS313" s="8"/>
      <c r="A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184"/>
      <c r="Z314" s="184"/>
      <c r="AA314" s="184"/>
      <c r="AB314" s="184"/>
      <c r="AC314" s="8"/>
      <c r="AD314" s="8"/>
      <c r="AE314" s="8"/>
      <c r="AF314" s="8"/>
      <c r="AG314" s="191"/>
      <c r="AH314" s="191"/>
      <c r="AI314" s="191"/>
      <c r="AJ314" s="8"/>
      <c r="AK314" s="8"/>
      <c r="AL314" s="8"/>
      <c r="AM314" s="8"/>
      <c r="AN314" s="8"/>
      <c r="AO314" s="8"/>
      <c r="AP314" s="8"/>
      <c r="AQ314" s="8"/>
      <c r="AR314" s="8"/>
      <c r="AS314" s="8"/>
      <c r="A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184"/>
      <c r="Z315" s="184"/>
      <c r="AA315" s="184"/>
      <c r="AB315" s="184"/>
      <c r="AC315" s="8"/>
      <c r="AD315" s="8"/>
      <c r="AE315" s="8"/>
      <c r="AF315" s="8"/>
      <c r="AG315" s="191"/>
      <c r="AH315" s="191"/>
      <c r="AI315" s="191"/>
      <c r="AJ315" s="8"/>
      <c r="AK315" s="8"/>
      <c r="AL315" s="8"/>
      <c r="AM315" s="8"/>
      <c r="AN315" s="8"/>
      <c r="AO315" s="8"/>
      <c r="AP315" s="8"/>
      <c r="AQ315" s="8"/>
      <c r="AR315" s="8"/>
      <c r="AS315" s="8"/>
      <c r="A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184"/>
      <c r="Z316" s="184"/>
      <c r="AA316" s="184"/>
      <c r="AB316" s="184"/>
      <c r="AC316" s="8"/>
      <c r="AD316" s="8"/>
      <c r="AE316" s="8"/>
      <c r="AF316" s="8"/>
      <c r="AG316" s="191"/>
      <c r="AH316" s="191"/>
      <c r="AI316" s="191"/>
      <c r="AJ316" s="8"/>
      <c r="AK316" s="8"/>
      <c r="AL316" s="8"/>
      <c r="AM316" s="8"/>
      <c r="AN316" s="8"/>
      <c r="AO316" s="8"/>
      <c r="AP316" s="8"/>
      <c r="AQ316" s="8"/>
      <c r="AR316" s="8"/>
      <c r="AS316" s="8"/>
      <c r="A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184"/>
      <c r="Z317" s="184"/>
      <c r="AA317" s="184"/>
      <c r="AB317" s="184"/>
      <c r="AC317" s="8"/>
      <c r="AD317" s="8"/>
      <c r="AE317" s="8"/>
      <c r="AF317" s="8"/>
      <c r="AG317" s="191"/>
      <c r="AH317" s="191"/>
      <c r="AI317" s="191"/>
      <c r="AJ317" s="8"/>
      <c r="AK317" s="8"/>
      <c r="AL317" s="8"/>
      <c r="AM317" s="8"/>
      <c r="AN317" s="8"/>
      <c r="AO317" s="8"/>
      <c r="AP317" s="8"/>
      <c r="AQ317" s="8"/>
      <c r="AR317" s="8"/>
      <c r="AS317" s="8"/>
      <c r="A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184"/>
      <c r="Z318" s="184"/>
      <c r="AA318" s="184"/>
      <c r="AB318" s="184"/>
      <c r="AC318" s="8"/>
      <c r="AD318" s="8"/>
      <c r="AE318" s="8"/>
      <c r="AF318" s="8"/>
      <c r="AG318" s="191"/>
      <c r="AH318" s="191"/>
      <c r="AI318" s="191"/>
      <c r="AJ318" s="8"/>
      <c r="AK318" s="8"/>
      <c r="AL318" s="8"/>
      <c r="AM318" s="8"/>
      <c r="AN318" s="8"/>
      <c r="AO318" s="8"/>
      <c r="AP318" s="8"/>
      <c r="AQ318" s="8"/>
      <c r="AR318" s="8"/>
      <c r="AS318" s="8"/>
      <c r="A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184"/>
      <c r="Z319" s="184"/>
      <c r="AA319" s="184"/>
      <c r="AB319" s="184"/>
      <c r="AC319" s="8"/>
      <c r="AD319" s="8"/>
      <c r="AE319" s="8"/>
      <c r="AF319" s="8"/>
      <c r="AG319" s="191"/>
      <c r="AH319" s="191"/>
      <c r="AI319" s="191"/>
      <c r="AJ319" s="8"/>
      <c r="AK319" s="8"/>
      <c r="AL319" s="8"/>
      <c r="AM319" s="8"/>
      <c r="AN319" s="8"/>
      <c r="AO319" s="8"/>
      <c r="AP319" s="8"/>
      <c r="AQ319" s="8"/>
      <c r="AR319" s="8"/>
      <c r="AS319" s="8"/>
      <c r="A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184"/>
      <c r="Z320" s="184"/>
      <c r="AA320" s="184"/>
      <c r="AB320" s="184"/>
      <c r="AC320" s="8"/>
      <c r="AD320" s="8"/>
      <c r="AE320" s="8"/>
      <c r="AF320" s="8"/>
      <c r="AG320" s="191"/>
      <c r="AH320" s="191"/>
      <c r="AI320" s="191"/>
      <c r="AJ320" s="8"/>
      <c r="AK320" s="8"/>
      <c r="AL320" s="8"/>
      <c r="AM320" s="8"/>
      <c r="AN320" s="8"/>
      <c r="AO320" s="8"/>
      <c r="AP320" s="8"/>
      <c r="AQ320" s="8"/>
      <c r="AR320" s="8"/>
      <c r="AS320" s="8"/>
      <c r="A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184"/>
      <c r="Z321" s="184"/>
      <c r="AA321" s="184"/>
      <c r="AB321" s="184"/>
      <c r="AC321" s="8"/>
      <c r="AD321" s="8"/>
      <c r="AE321" s="8"/>
      <c r="AF321" s="8"/>
      <c r="AG321" s="191"/>
      <c r="AH321" s="191"/>
      <c r="AI321" s="191"/>
      <c r="AJ321" s="8"/>
      <c r="AK321" s="8"/>
      <c r="AL321" s="8"/>
      <c r="AM321" s="8"/>
      <c r="AN321" s="8"/>
      <c r="AO321" s="8"/>
      <c r="AP321" s="8"/>
      <c r="AQ321" s="8"/>
      <c r="AR321" s="8"/>
      <c r="AS321" s="8"/>
      <c r="A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184"/>
      <c r="Z322" s="184"/>
      <c r="AA322" s="184"/>
      <c r="AB322" s="184"/>
      <c r="AC322" s="8"/>
      <c r="AD322" s="8"/>
      <c r="AE322" s="8"/>
      <c r="AF322" s="8"/>
      <c r="AG322" s="191"/>
      <c r="AH322" s="191"/>
      <c r="AI322" s="191"/>
      <c r="AJ322" s="8"/>
      <c r="AK322" s="8"/>
      <c r="AL322" s="8"/>
      <c r="AM322" s="8"/>
      <c r="AN322" s="8"/>
      <c r="AO322" s="8"/>
      <c r="AP322" s="8"/>
      <c r="AQ322" s="8"/>
      <c r="AR322" s="8"/>
      <c r="AS322" s="8"/>
      <c r="A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184"/>
      <c r="Z323" s="184"/>
      <c r="AA323" s="184"/>
      <c r="AB323" s="184"/>
      <c r="AC323" s="8"/>
      <c r="AD323" s="8"/>
      <c r="AE323" s="8"/>
      <c r="AF323" s="8"/>
      <c r="AG323" s="191"/>
      <c r="AH323" s="191"/>
      <c r="AI323" s="191"/>
      <c r="AJ323" s="8"/>
      <c r="AK323" s="8"/>
      <c r="AL323" s="8"/>
      <c r="AM323" s="8"/>
      <c r="AN323" s="8"/>
      <c r="AO323" s="8"/>
      <c r="AP323" s="8"/>
      <c r="AQ323" s="8"/>
      <c r="AR323" s="8"/>
      <c r="AS323" s="8"/>
      <c r="A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184"/>
      <c r="Z324" s="184"/>
      <c r="AA324" s="184"/>
      <c r="AB324" s="184"/>
      <c r="AC324" s="8"/>
      <c r="AD324" s="8"/>
      <c r="AE324" s="8"/>
      <c r="AF324" s="8"/>
      <c r="AG324" s="191"/>
      <c r="AH324" s="191"/>
      <c r="AI324" s="191"/>
      <c r="AJ324" s="8"/>
      <c r="AK324" s="8"/>
      <c r="AL324" s="8"/>
      <c r="AM324" s="8"/>
      <c r="AN324" s="8"/>
      <c r="AO324" s="8"/>
      <c r="AP324" s="8"/>
      <c r="AQ324" s="8"/>
      <c r="AR324" s="8"/>
      <c r="AS324" s="8"/>
      <c r="A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184"/>
      <c r="Z325" s="184"/>
      <c r="AA325" s="184"/>
      <c r="AB325" s="184"/>
      <c r="AC325" s="8"/>
      <c r="AD325" s="8"/>
      <c r="AE325" s="8"/>
      <c r="AF325" s="8"/>
      <c r="AG325" s="191"/>
      <c r="AH325" s="191"/>
      <c r="AI325" s="191"/>
      <c r="AJ325" s="8"/>
      <c r="AK325" s="8"/>
      <c r="AL325" s="8"/>
      <c r="AM325" s="8"/>
      <c r="AN325" s="8"/>
      <c r="AO325" s="8"/>
      <c r="AP325" s="8"/>
      <c r="AQ325" s="8"/>
      <c r="AR325" s="8"/>
      <c r="AS325" s="8"/>
      <c r="A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184"/>
      <c r="Z326" s="184"/>
      <c r="AA326" s="184"/>
      <c r="AB326" s="184"/>
      <c r="AC326" s="8"/>
      <c r="AD326" s="8"/>
      <c r="AE326" s="8"/>
      <c r="AF326" s="8"/>
      <c r="AG326" s="191"/>
      <c r="AH326" s="191"/>
      <c r="AI326" s="191"/>
      <c r="AJ326" s="8"/>
      <c r="AK326" s="8"/>
      <c r="AL326" s="8"/>
      <c r="AM326" s="8"/>
      <c r="AN326" s="8"/>
      <c r="AO326" s="8"/>
      <c r="AP326" s="8"/>
      <c r="AQ326" s="8"/>
      <c r="AR326" s="8"/>
      <c r="AS326" s="8"/>
      <c r="A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184"/>
      <c r="Z327" s="184"/>
      <c r="AA327" s="184"/>
      <c r="AB327" s="184"/>
      <c r="AC327" s="8"/>
      <c r="AD327" s="8"/>
      <c r="AE327" s="8"/>
      <c r="AF327" s="8"/>
      <c r="AG327" s="191"/>
      <c r="AH327" s="191"/>
      <c r="AI327" s="191"/>
      <c r="AJ327" s="8"/>
      <c r="AK327" s="8"/>
      <c r="AL327" s="8"/>
      <c r="AM327" s="8"/>
      <c r="AN327" s="8"/>
      <c r="AO327" s="8"/>
      <c r="AP327" s="8"/>
      <c r="AQ327" s="8"/>
      <c r="AR327" s="8"/>
      <c r="AS327" s="8"/>
      <c r="A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184"/>
      <c r="Z328" s="184"/>
      <c r="AA328" s="184"/>
      <c r="AB328" s="184"/>
      <c r="AC328" s="8"/>
      <c r="AD328" s="8"/>
      <c r="AE328" s="8"/>
      <c r="AF328" s="8"/>
      <c r="AG328" s="191"/>
      <c r="AH328" s="191"/>
      <c r="AI328" s="191"/>
      <c r="AJ328" s="8"/>
      <c r="AK328" s="8"/>
      <c r="AL328" s="8"/>
      <c r="AM328" s="8"/>
      <c r="AN328" s="8"/>
      <c r="AO328" s="8"/>
      <c r="AP328" s="8"/>
      <c r="AQ328" s="8"/>
      <c r="AR328" s="8"/>
      <c r="AS328" s="8"/>
      <c r="A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184"/>
      <c r="Z329" s="184"/>
      <c r="AA329" s="184"/>
      <c r="AB329" s="184"/>
      <c r="AC329" s="8"/>
      <c r="AD329" s="8"/>
      <c r="AE329" s="8"/>
      <c r="AF329" s="8"/>
      <c r="AG329" s="191"/>
      <c r="AH329" s="191"/>
      <c r="AI329" s="191"/>
      <c r="AJ329" s="8"/>
      <c r="AK329" s="8"/>
      <c r="AL329" s="8"/>
      <c r="AM329" s="8"/>
      <c r="AN329" s="8"/>
      <c r="AO329" s="8"/>
      <c r="AP329" s="8"/>
      <c r="AQ329" s="8"/>
      <c r="AR329" s="8"/>
      <c r="AS329" s="8"/>
      <c r="A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184"/>
      <c r="Z330" s="184"/>
      <c r="AA330" s="184"/>
      <c r="AB330" s="184"/>
      <c r="AC330" s="8"/>
      <c r="AD330" s="8"/>
      <c r="AE330" s="8"/>
      <c r="AF330" s="8"/>
      <c r="AG330" s="191"/>
      <c r="AH330" s="191"/>
      <c r="AI330" s="191"/>
      <c r="AJ330" s="8"/>
      <c r="AK330" s="8"/>
      <c r="AL330" s="8"/>
      <c r="AM330" s="8"/>
      <c r="AN330" s="8"/>
      <c r="AO330" s="8"/>
      <c r="AP330" s="8"/>
      <c r="AQ330" s="8"/>
      <c r="AR330" s="8"/>
      <c r="AS330" s="8"/>
      <c r="A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184"/>
      <c r="Z331" s="184"/>
      <c r="AA331" s="184"/>
      <c r="AB331" s="184"/>
      <c r="AC331" s="8"/>
      <c r="AD331" s="8"/>
      <c r="AE331" s="8"/>
      <c r="AF331" s="8"/>
      <c r="AG331" s="191"/>
      <c r="AH331" s="191"/>
      <c r="AI331" s="191"/>
      <c r="AJ331" s="8"/>
      <c r="AK331" s="8"/>
      <c r="AL331" s="8"/>
      <c r="AM331" s="8"/>
      <c r="AN331" s="8"/>
      <c r="AO331" s="8"/>
      <c r="AP331" s="8"/>
      <c r="AQ331" s="8"/>
      <c r="AR331" s="8"/>
      <c r="AS331" s="8"/>
      <c r="A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184"/>
      <c r="Z332" s="184"/>
      <c r="AA332" s="184"/>
      <c r="AB332" s="184"/>
      <c r="AC332" s="8"/>
      <c r="AD332" s="8"/>
      <c r="AE332" s="8"/>
      <c r="AF332" s="8"/>
      <c r="AG332" s="191"/>
      <c r="AH332" s="191"/>
      <c r="AI332" s="191"/>
      <c r="AJ332" s="8"/>
      <c r="AK332" s="8"/>
      <c r="AL332" s="8"/>
      <c r="AM332" s="8"/>
      <c r="AN332" s="8"/>
      <c r="AO332" s="8"/>
      <c r="AP332" s="8"/>
      <c r="AQ332" s="8"/>
      <c r="AR332" s="8"/>
      <c r="AS332" s="8"/>
      <c r="A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184"/>
      <c r="Z333" s="184"/>
      <c r="AA333" s="184"/>
      <c r="AB333" s="184"/>
      <c r="AC333" s="8"/>
      <c r="AD333" s="8"/>
      <c r="AE333" s="8"/>
      <c r="AF333" s="8"/>
      <c r="AG333" s="191"/>
      <c r="AH333" s="191"/>
      <c r="AI333" s="191"/>
      <c r="AJ333" s="8"/>
      <c r="AK333" s="8"/>
      <c r="AL333" s="8"/>
      <c r="AM333" s="8"/>
      <c r="AN333" s="8"/>
      <c r="AO333" s="8"/>
      <c r="AP333" s="8"/>
      <c r="AQ333" s="8"/>
      <c r="AR333" s="8"/>
      <c r="AS333" s="8"/>
      <c r="A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184"/>
      <c r="Z334" s="184"/>
      <c r="AA334" s="184"/>
      <c r="AB334" s="184"/>
      <c r="AC334" s="8"/>
      <c r="AD334" s="8"/>
      <c r="AE334" s="8"/>
      <c r="AF334" s="8"/>
      <c r="AG334" s="191"/>
      <c r="AH334" s="191"/>
      <c r="AI334" s="191"/>
      <c r="AJ334" s="8"/>
      <c r="AK334" s="8"/>
      <c r="AL334" s="8"/>
      <c r="AM334" s="8"/>
      <c r="AN334" s="8"/>
      <c r="AO334" s="8"/>
      <c r="AP334" s="8"/>
      <c r="AQ334" s="8"/>
      <c r="AR334" s="8"/>
      <c r="AS334" s="8"/>
      <c r="A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184"/>
      <c r="Z335" s="184"/>
      <c r="AA335" s="184"/>
      <c r="AB335" s="184"/>
      <c r="AC335" s="8"/>
      <c r="AD335" s="8"/>
      <c r="AE335" s="8"/>
      <c r="AF335" s="8"/>
      <c r="AG335" s="191"/>
      <c r="AH335" s="191"/>
      <c r="AI335" s="191"/>
      <c r="AJ335" s="8"/>
      <c r="AK335" s="8"/>
      <c r="AL335" s="8"/>
      <c r="AM335" s="8"/>
      <c r="AN335" s="8"/>
      <c r="AO335" s="8"/>
      <c r="AP335" s="8"/>
      <c r="AQ335" s="8"/>
      <c r="AR335" s="8"/>
      <c r="AS335" s="8"/>
      <c r="A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184"/>
      <c r="Z336" s="184"/>
      <c r="AA336" s="184"/>
      <c r="AB336" s="184"/>
      <c r="AC336" s="8"/>
      <c r="AD336" s="8"/>
      <c r="AE336" s="8"/>
      <c r="AF336" s="8"/>
      <c r="AG336" s="191"/>
      <c r="AH336" s="191"/>
      <c r="AI336" s="191"/>
      <c r="AJ336" s="8"/>
      <c r="AK336" s="8"/>
      <c r="AL336" s="8"/>
      <c r="AM336" s="8"/>
      <c r="AN336" s="8"/>
      <c r="AO336" s="8"/>
      <c r="AP336" s="8"/>
      <c r="AQ336" s="8"/>
      <c r="AR336" s="8"/>
      <c r="AS336" s="8"/>
      <c r="A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184"/>
      <c r="Z337" s="184"/>
      <c r="AA337" s="184"/>
      <c r="AB337" s="184"/>
      <c r="AC337" s="8"/>
      <c r="AD337" s="8"/>
      <c r="AE337" s="8"/>
      <c r="AF337" s="8"/>
      <c r="AG337" s="191"/>
      <c r="AH337" s="191"/>
      <c r="AI337" s="191"/>
      <c r="AJ337" s="8"/>
      <c r="AK337" s="8"/>
      <c r="AL337" s="8"/>
      <c r="AM337" s="8"/>
      <c r="AN337" s="8"/>
      <c r="AO337" s="8"/>
      <c r="AP337" s="8"/>
      <c r="AQ337" s="8"/>
      <c r="AR337" s="8"/>
      <c r="AS337" s="8"/>
      <c r="A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184"/>
      <c r="Z338" s="184"/>
      <c r="AA338" s="184"/>
      <c r="AB338" s="184"/>
      <c r="AC338" s="8"/>
      <c r="AD338" s="8"/>
      <c r="AE338" s="8"/>
      <c r="AF338" s="8"/>
      <c r="AG338" s="191"/>
      <c r="AH338" s="191"/>
      <c r="AI338" s="191"/>
      <c r="AJ338" s="8"/>
      <c r="AK338" s="8"/>
      <c r="AL338" s="8"/>
      <c r="AM338" s="8"/>
      <c r="AN338" s="8"/>
      <c r="AO338" s="8"/>
      <c r="AP338" s="8"/>
      <c r="AQ338" s="8"/>
      <c r="AR338" s="8"/>
      <c r="AS338" s="8"/>
      <c r="A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184"/>
      <c r="Z339" s="184"/>
      <c r="AA339" s="184"/>
      <c r="AB339" s="184"/>
      <c r="AC339" s="8"/>
      <c r="AD339" s="8"/>
      <c r="AE339" s="8"/>
      <c r="AF339" s="8"/>
      <c r="AG339" s="191"/>
      <c r="AH339" s="191"/>
      <c r="AI339" s="191"/>
      <c r="AJ339" s="8"/>
      <c r="AK339" s="8"/>
      <c r="AL339" s="8"/>
      <c r="AM339" s="8"/>
      <c r="AN339" s="8"/>
      <c r="AO339" s="8"/>
      <c r="AP339" s="8"/>
      <c r="AQ339" s="8"/>
      <c r="AR339" s="8"/>
      <c r="AS339" s="8"/>
      <c r="A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184"/>
      <c r="Z340" s="184"/>
      <c r="AA340" s="184"/>
      <c r="AB340" s="184"/>
      <c r="AC340" s="8"/>
      <c r="AD340" s="8"/>
      <c r="AE340" s="8"/>
      <c r="AF340" s="8"/>
      <c r="AG340" s="191"/>
      <c r="AH340" s="191"/>
      <c r="AI340" s="191"/>
      <c r="AJ340" s="8"/>
      <c r="AK340" s="8"/>
      <c r="AL340" s="8"/>
      <c r="AM340" s="8"/>
      <c r="AN340" s="8"/>
      <c r="AO340" s="8"/>
      <c r="AP340" s="8"/>
      <c r="AQ340" s="8"/>
      <c r="AR340" s="8"/>
      <c r="AS340" s="8"/>
      <c r="A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184"/>
      <c r="Z341" s="184"/>
      <c r="AA341" s="184"/>
      <c r="AB341" s="184"/>
      <c r="AC341" s="8"/>
      <c r="AD341" s="8"/>
      <c r="AE341" s="8"/>
      <c r="AF341" s="8"/>
      <c r="AG341" s="191"/>
      <c r="AH341" s="191"/>
      <c r="AI341" s="191"/>
      <c r="AJ341" s="8"/>
      <c r="AK341" s="8"/>
      <c r="AL341" s="8"/>
      <c r="AM341" s="8"/>
      <c r="AN341" s="8"/>
      <c r="AO341" s="8"/>
      <c r="AP341" s="8"/>
      <c r="AQ341" s="8"/>
      <c r="AR341" s="8"/>
      <c r="AS341" s="8"/>
      <c r="A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184"/>
      <c r="Z342" s="184"/>
      <c r="AA342" s="184"/>
      <c r="AB342" s="184"/>
      <c r="AC342" s="8"/>
      <c r="AD342" s="8"/>
      <c r="AE342" s="8"/>
      <c r="AF342" s="8"/>
      <c r="AG342" s="191"/>
      <c r="AH342" s="191"/>
      <c r="AI342" s="191"/>
      <c r="AJ342" s="8"/>
      <c r="AK342" s="8"/>
      <c r="AL342" s="8"/>
      <c r="AM342" s="8"/>
      <c r="AN342" s="8"/>
      <c r="AO342" s="8"/>
      <c r="AP342" s="8"/>
      <c r="AQ342" s="8"/>
      <c r="AR342" s="8"/>
      <c r="AS342" s="8"/>
      <c r="A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184"/>
      <c r="Z343" s="184"/>
      <c r="AA343" s="184"/>
      <c r="AB343" s="184"/>
      <c r="AC343" s="8"/>
      <c r="AD343" s="8"/>
      <c r="AE343" s="8"/>
      <c r="AF343" s="8"/>
      <c r="AG343" s="191"/>
      <c r="AH343" s="191"/>
      <c r="AI343" s="191"/>
      <c r="AJ343" s="8"/>
      <c r="AK343" s="8"/>
      <c r="AL343" s="8"/>
      <c r="AM343" s="8"/>
      <c r="AN343" s="8"/>
      <c r="AO343" s="8"/>
      <c r="AP343" s="8"/>
      <c r="AQ343" s="8"/>
      <c r="AR343" s="8"/>
      <c r="AS343" s="8"/>
      <c r="A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184"/>
      <c r="Z344" s="184"/>
      <c r="AA344" s="184"/>
      <c r="AB344" s="184"/>
      <c r="AC344" s="8"/>
      <c r="AD344" s="8"/>
      <c r="AE344" s="8"/>
      <c r="AF344" s="8"/>
      <c r="AG344" s="191"/>
      <c r="AH344" s="191"/>
      <c r="AI344" s="191"/>
      <c r="AJ344" s="8"/>
      <c r="AK344" s="8"/>
      <c r="AL344" s="8"/>
      <c r="AM344" s="8"/>
      <c r="AN344" s="8"/>
      <c r="AO344" s="8"/>
      <c r="AP344" s="8"/>
      <c r="AQ344" s="8"/>
      <c r="AR344" s="8"/>
      <c r="AS344" s="8"/>
      <c r="A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184"/>
      <c r="Z345" s="184"/>
      <c r="AA345" s="184"/>
      <c r="AB345" s="184"/>
      <c r="AC345" s="8"/>
      <c r="AD345" s="8"/>
      <c r="AE345" s="8"/>
      <c r="AF345" s="8"/>
      <c r="AG345" s="191"/>
      <c r="AH345" s="191"/>
      <c r="AI345" s="191"/>
      <c r="AJ345" s="8"/>
      <c r="AK345" s="8"/>
      <c r="AL345" s="8"/>
      <c r="AM345" s="8"/>
      <c r="AN345" s="8"/>
      <c r="AO345" s="8"/>
      <c r="AP345" s="8"/>
      <c r="AQ345" s="8"/>
      <c r="AR345" s="8"/>
      <c r="AS345" s="8"/>
      <c r="A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184"/>
      <c r="Z346" s="184"/>
      <c r="AA346" s="184"/>
      <c r="AB346" s="184"/>
      <c r="AC346" s="8"/>
      <c r="AD346" s="8"/>
      <c r="AE346" s="8"/>
      <c r="AF346" s="8"/>
      <c r="AG346" s="191"/>
      <c r="AH346" s="191"/>
      <c r="AI346" s="191"/>
      <c r="AJ346" s="8"/>
      <c r="AK346" s="8"/>
      <c r="AL346" s="8"/>
      <c r="AM346" s="8"/>
      <c r="AN346" s="8"/>
      <c r="AO346" s="8"/>
      <c r="AP346" s="8"/>
      <c r="AQ346" s="8"/>
      <c r="AR346" s="8"/>
      <c r="AS346" s="8"/>
      <c r="A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184"/>
      <c r="Z347" s="184"/>
      <c r="AA347" s="184"/>
      <c r="AB347" s="184"/>
      <c r="AC347" s="8"/>
      <c r="AD347" s="8"/>
      <c r="AE347" s="8"/>
      <c r="AF347" s="8"/>
      <c r="AG347" s="191"/>
      <c r="AH347" s="191"/>
      <c r="AI347" s="191"/>
      <c r="AJ347" s="8"/>
      <c r="AK347" s="8"/>
      <c r="AL347" s="8"/>
      <c r="AM347" s="8"/>
      <c r="AN347" s="8"/>
      <c r="AO347" s="8"/>
      <c r="AP347" s="8"/>
      <c r="AQ347" s="8"/>
      <c r="AR347" s="8"/>
      <c r="AS347" s="8"/>
      <c r="A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184"/>
      <c r="Z348" s="184"/>
      <c r="AA348" s="184"/>
      <c r="AB348" s="184"/>
      <c r="AC348" s="8"/>
      <c r="AD348" s="8"/>
      <c r="AE348" s="8"/>
      <c r="AF348" s="8"/>
      <c r="AG348" s="191"/>
      <c r="AH348" s="191"/>
      <c r="AI348" s="191"/>
      <c r="AJ348" s="8"/>
      <c r="AK348" s="8"/>
      <c r="AL348" s="8"/>
      <c r="AM348" s="8"/>
      <c r="AN348" s="8"/>
      <c r="AO348" s="8"/>
      <c r="AP348" s="8"/>
      <c r="AQ348" s="8"/>
      <c r="AR348" s="8"/>
      <c r="AS348" s="8"/>
      <c r="A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184"/>
      <c r="Z349" s="184"/>
      <c r="AA349" s="184"/>
      <c r="AB349" s="184"/>
      <c r="AC349" s="8"/>
      <c r="AD349" s="8"/>
      <c r="AE349" s="8"/>
      <c r="AF349" s="8"/>
      <c r="AG349" s="191"/>
      <c r="AH349" s="191"/>
      <c r="AI349" s="191"/>
      <c r="AJ349" s="8"/>
      <c r="AK349" s="8"/>
      <c r="AL349" s="8"/>
      <c r="AM349" s="8"/>
      <c r="AN349" s="8"/>
      <c r="AO349" s="8"/>
      <c r="AP349" s="8"/>
      <c r="AQ349" s="8"/>
      <c r="AR349" s="8"/>
      <c r="AS349" s="8"/>
      <c r="A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184"/>
      <c r="Z350" s="184"/>
      <c r="AA350" s="184"/>
      <c r="AB350" s="184"/>
      <c r="AC350" s="8"/>
      <c r="AD350" s="8"/>
      <c r="AE350" s="8"/>
      <c r="AF350" s="8"/>
      <c r="AG350" s="191"/>
      <c r="AH350" s="191"/>
      <c r="AI350" s="191"/>
      <c r="AJ350" s="8"/>
      <c r="AK350" s="8"/>
      <c r="AL350" s="8"/>
      <c r="AM350" s="8"/>
      <c r="AN350" s="8"/>
      <c r="AO350" s="8"/>
      <c r="AP350" s="8"/>
      <c r="AQ350" s="8"/>
      <c r="AR350" s="8"/>
      <c r="AS350" s="8"/>
      <c r="A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184"/>
      <c r="Z351" s="184"/>
      <c r="AA351" s="184"/>
      <c r="AB351" s="184"/>
      <c r="AC351" s="8"/>
      <c r="AD351" s="8"/>
      <c r="AE351" s="8"/>
      <c r="AF351" s="8"/>
      <c r="AG351" s="191"/>
      <c r="AH351" s="191"/>
      <c r="AI351" s="191"/>
      <c r="AJ351" s="8"/>
      <c r="AK351" s="8"/>
      <c r="AL351" s="8"/>
      <c r="AM351" s="8"/>
      <c r="AN351" s="8"/>
      <c r="AO351" s="8"/>
      <c r="AP351" s="8"/>
      <c r="AQ351" s="8"/>
      <c r="AR351" s="8"/>
      <c r="AS351" s="8"/>
      <c r="A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184"/>
      <c r="Z352" s="184"/>
      <c r="AA352" s="184"/>
      <c r="AB352" s="184"/>
      <c r="AC352" s="8"/>
      <c r="AD352" s="8"/>
      <c r="AE352" s="8"/>
      <c r="AF352" s="8"/>
      <c r="AG352" s="191"/>
      <c r="AH352" s="191"/>
      <c r="AI352" s="191"/>
      <c r="AJ352" s="8"/>
      <c r="AK352" s="8"/>
      <c r="AL352" s="8"/>
      <c r="AM352" s="8"/>
      <c r="AN352" s="8"/>
      <c r="AO352" s="8"/>
      <c r="AP352" s="8"/>
      <c r="AQ352" s="8"/>
      <c r="AR352" s="8"/>
      <c r="AS352" s="8"/>
      <c r="A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184"/>
      <c r="Z353" s="184"/>
      <c r="AA353" s="184"/>
      <c r="AB353" s="184"/>
      <c r="AC353" s="8"/>
      <c r="AD353" s="8"/>
      <c r="AE353" s="8"/>
      <c r="AF353" s="8"/>
      <c r="AG353" s="191"/>
      <c r="AH353" s="191"/>
      <c r="AI353" s="191"/>
      <c r="AJ353" s="8"/>
      <c r="AK353" s="8"/>
      <c r="AL353" s="8"/>
      <c r="AM353" s="8"/>
      <c r="AN353" s="8"/>
      <c r="AO353" s="8"/>
      <c r="AP353" s="8"/>
      <c r="AQ353" s="8"/>
      <c r="AR353" s="8"/>
      <c r="AS353" s="8"/>
      <c r="A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184"/>
      <c r="Z354" s="184"/>
      <c r="AA354" s="184"/>
      <c r="AB354" s="184"/>
      <c r="AC354" s="8"/>
      <c r="AD354" s="8"/>
      <c r="AE354" s="8"/>
      <c r="AF354" s="8"/>
      <c r="AG354" s="191"/>
      <c r="AH354" s="191"/>
      <c r="AI354" s="191"/>
      <c r="AJ354" s="8"/>
      <c r="AK354" s="8"/>
      <c r="AL354" s="8"/>
      <c r="AM354" s="8"/>
      <c r="AN354" s="8"/>
      <c r="AO354" s="8"/>
      <c r="AP354" s="8"/>
      <c r="AQ354" s="8"/>
      <c r="AR354" s="8"/>
      <c r="AS354" s="8"/>
      <c r="A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184"/>
      <c r="Z355" s="184"/>
      <c r="AA355" s="184"/>
      <c r="AB355" s="184"/>
      <c r="AC355" s="8"/>
      <c r="AD355" s="8"/>
      <c r="AE355" s="8"/>
      <c r="AF355" s="8"/>
      <c r="AG355" s="191"/>
      <c r="AH355" s="191"/>
      <c r="AI355" s="191"/>
      <c r="AJ355" s="8"/>
      <c r="AK355" s="8"/>
      <c r="AL355" s="8"/>
      <c r="AM355" s="8"/>
      <c r="AN355" s="8"/>
      <c r="AO355" s="8"/>
      <c r="AP355" s="8"/>
      <c r="AQ355" s="8"/>
      <c r="AR355" s="8"/>
      <c r="AS355" s="8"/>
      <c r="A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184"/>
      <c r="Z356" s="184"/>
      <c r="AA356" s="184"/>
      <c r="AB356" s="184"/>
      <c r="AC356" s="8"/>
      <c r="AD356" s="8"/>
      <c r="AE356" s="8"/>
      <c r="AF356" s="8"/>
      <c r="AG356" s="191"/>
      <c r="AH356" s="191"/>
      <c r="AI356" s="191"/>
      <c r="AJ356" s="8"/>
      <c r="AK356" s="8"/>
      <c r="AL356" s="8"/>
      <c r="AM356" s="8"/>
      <c r="AN356" s="8"/>
      <c r="AO356" s="8"/>
      <c r="AP356" s="8"/>
      <c r="AQ356" s="8"/>
      <c r="AR356" s="8"/>
      <c r="AS356" s="8"/>
      <c r="A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184"/>
      <c r="Z357" s="184"/>
      <c r="AA357" s="184"/>
      <c r="AB357" s="184"/>
      <c r="AC357" s="8"/>
      <c r="AD357" s="8"/>
      <c r="AE357" s="8"/>
      <c r="AF357" s="8"/>
      <c r="AG357" s="191"/>
      <c r="AH357" s="191"/>
      <c r="AI357" s="191"/>
      <c r="AJ357" s="8"/>
      <c r="AK357" s="8"/>
      <c r="AL357" s="8"/>
      <c r="AM357" s="8"/>
      <c r="AN357" s="8"/>
      <c r="AO357" s="8"/>
      <c r="AP357" s="8"/>
      <c r="AQ357" s="8"/>
      <c r="AR357" s="8"/>
      <c r="AS357" s="8"/>
      <c r="A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184"/>
      <c r="Z358" s="184"/>
      <c r="AA358" s="184"/>
      <c r="AB358" s="184"/>
      <c r="AC358" s="8"/>
      <c r="AD358" s="8"/>
      <c r="AE358" s="8"/>
      <c r="AF358" s="8"/>
      <c r="AG358" s="191"/>
      <c r="AH358" s="191"/>
      <c r="AI358" s="191"/>
      <c r="AJ358" s="8"/>
      <c r="AK358" s="8"/>
      <c r="AL358" s="8"/>
      <c r="AM358" s="8"/>
      <c r="AN358" s="8"/>
      <c r="AO358" s="8"/>
      <c r="AP358" s="8"/>
      <c r="AQ358" s="8"/>
      <c r="AR358" s="8"/>
      <c r="AS358" s="8"/>
      <c r="A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184"/>
      <c r="Z359" s="184"/>
      <c r="AA359" s="184"/>
      <c r="AB359" s="184"/>
      <c r="AC359" s="8"/>
      <c r="AD359" s="8"/>
      <c r="AE359" s="8"/>
      <c r="AF359" s="8"/>
      <c r="AG359" s="191"/>
      <c r="AH359" s="191"/>
      <c r="AI359" s="191"/>
      <c r="AJ359" s="8"/>
      <c r="AK359" s="8"/>
      <c r="AL359" s="8"/>
      <c r="AM359" s="8"/>
      <c r="AN359" s="8"/>
      <c r="AO359" s="8"/>
      <c r="AP359" s="8"/>
      <c r="AQ359" s="8"/>
      <c r="AR359" s="8"/>
      <c r="AS359" s="8"/>
      <c r="A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184"/>
      <c r="Z360" s="184"/>
      <c r="AA360" s="184"/>
      <c r="AB360" s="184"/>
      <c r="AC360" s="8"/>
      <c r="AD360" s="8"/>
      <c r="AE360" s="8"/>
      <c r="AF360" s="8"/>
      <c r="AG360" s="191"/>
      <c r="AH360" s="191"/>
      <c r="AI360" s="191"/>
      <c r="AJ360" s="8"/>
      <c r="AK360" s="8"/>
      <c r="AL360" s="8"/>
      <c r="AM360" s="8"/>
      <c r="AN360" s="8"/>
      <c r="AO360" s="8"/>
      <c r="AP360" s="8"/>
      <c r="AQ360" s="8"/>
      <c r="AR360" s="8"/>
      <c r="AS360" s="8"/>
      <c r="A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184"/>
      <c r="Z361" s="184"/>
      <c r="AA361" s="184"/>
      <c r="AB361" s="184"/>
      <c r="AC361" s="8"/>
      <c r="AD361" s="8"/>
      <c r="AE361" s="8"/>
      <c r="AF361" s="8"/>
      <c r="AG361" s="191"/>
      <c r="AH361" s="191"/>
      <c r="AI361" s="191"/>
      <c r="AJ361" s="8"/>
      <c r="AK361" s="8"/>
      <c r="AL361" s="8"/>
      <c r="AM361" s="8"/>
      <c r="AN361" s="8"/>
      <c r="AO361" s="8"/>
      <c r="AP361" s="8"/>
      <c r="AQ361" s="8"/>
      <c r="AR361" s="8"/>
      <c r="AS361" s="8"/>
      <c r="A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184"/>
      <c r="Z362" s="184"/>
      <c r="AA362" s="184"/>
      <c r="AB362" s="184"/>
      <c r="AC362" s="8"/>
      <c r="AD362" s="8"/>
      <c r="AE362" s="8"/>
      <c r="AF362" s="8"/>
      <c r="AG362" s="191"/>
      <c r="AH362" s="191"/>
      <c r="AI362" s="191"/>
      <c r="AJ362" s="8"/>
      <c r="AK362" s="8"/>
      <c r="AL362" s="8"/>
      <c r="AM362" s="8"/>
      <c r="AN362" s="8"/>
      <c r="AO362" s="8"/>
      <c r="AP362" s="8"/>
      <c r="AQ362" s="8"/>
      <c r="AR362" s="8"/>
      <c r="AS362" s="8"/>
      <c r="A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184"/>
      <c r="Z363" s="184"/>
      <c r="AA363" s="184"/>
      <c r="AB363" s="184"/>
      <c r="AC363" s="8"/>
      <c r="AD363" s="8"/>
      <c r="AE363" s="8"/>
      <c r="AF363" s="8"/>
      <c r="AG363" s="191"/>
      <c r="AH363" s="191"/>
      <c r="AI363" s="191"/>
      <c r="AJ363" s="8"/>
      <c r="AK363" s="8"/>
      <c r="AL363" s="8"/>
      <c r="AM363" s="8"/>
      <c r="AN363" s="8"/>
      <c r="AO363" s="8"/>
      <c r="AP363" s="8"/>
      <c r="AQ363" s="8"/>
      <c r="AR363" s="8"/>
      <c r="AS363" s="8"/>
      <c r="A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184"/>
      <c r="Z364" s="184"/>
      <c r="AA364" s="184"/>
      <c r="AB364" s="184"/>
      <c r="AC364" s="8"/>
      <c r="AD364" s="8"/>
      <c r="AE364" s="8"/>
      <c r="AF364" s="8"/>
      <c r="AG364" s="191"/>
      <c r="AH364" s="191"/>
      <c r="AI364" s="191"/>
      <c r="AJ364" s="8"/>
      <c r="AK364" s="8"/>
      <c r="AL364" s="8"/>
      <c r="AM364" s="8"/>
      <c r="AN364" s="8"/>
      <c r="AO364" s="8"/>
      <c r="AP364" s="8"/>
      <c r="AQ364" s="8"/>
      <c r="AR364" s="8"/>
      <c r="AS364" s="8"/>
      <c r="A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184"/>
      <c r="Z365" s="184"/>
      <c r="AA365" s="184"/>
      <c r="AB365" s="184"/>
      <c r="AC365" s="8"/>
      <c r="AD365" s="8"/>
      <c r="AE365" s="8"/>
      <c r="AF365" s="8"/>
      <c r="AG365" s="191"/>
      <c r="AH365" s="191"/>
      <c r="AI365" s="191"/>
      <c r="AJ365" s="8"/>
      <c r="AK365" s="8"/>
      <c r="AL365" s="8"/>
      <c r="AM365" s="8"/>
      <c r="AN365" s="8"/>
      <c r="AO365" s="8"/>
      <c r="AP365" s="8"/>
      <c r="AQ365" s="8"/>
      <c r="AR365" s="8"/>
      <c r="AS365" s="8"/>
      <c r="A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184"/>
      <c r="Z366" s="184"/>
      <c r="AA366" s="184"/>
      <c r="AB366" s="184"/>
      <c r="AC366" s="8"/>
      <c r="AD366" s="8"/>
      <c r="AE366" s="8"/>
      <c r="AF366" s="8"/>
      <c r="AG366" s="191"/>
      <c r="AH366" s="191"/>
      <c r="AI366" s="191"/>
      <c r="AJ366" s="8"/>
      <c r="AK366" s="8"/>
      <c r="AL366" s="8"/>
      <c r="AM366" s="8"/>
      <c r="AN366" s="8"/>
      <c r="AO366" s="8"/>
      <c r="AP366" s="8"/>
      <c r="AQ366" s="8"/>
      <c r="AR366" s="8"/>
      <c r="AS366" s="8"/>
      <c r="A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184"/>
      <c r="Z367" s="184"/>
      <c r="AA367" s="184"/>
      <c r="AB367" s="184"/>
      <c r="AC367" s="8"/>
      <c r="AD367" s="8"/>
      <c r="AE367" s="8"/>
      <c r="AF367" s="8"/>
      <c r="AG367" s="191"/>
      <c r="AH367" s="191"/>
      <c r="AI367" s="191"/>
      <c r="AJ367" s="8"/>
      <c r="AK367" s="8"/>
      <c r="AL367" s="8"/>
      <c r="AM367" s="8"/>
      <c r="AN367" s="8"/>
      <c r="AO367" s="8"/>
      <c r="AP367" s="8"/>
      <c r="AQ367" s="8"/>
      <c r="AR367" s="8"/>
      <c r="AS367" s="8"/>
      <c r="A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184"/>
      <c r="Z368" s="184"/>
      <c r="AA368" s="184"/>
      <c r="AB368" s="184"/>
      <c r="AC368" s="8"/>
      <c r="AD368" s="8"/>
      <c r="AE368" s="8"/>
      <c r="AF368" s="8"/>
      <c r="AG368" s="191"/>
      <c r="AH368" s="191"/>
      <c r="AI368" s="191"/>
      <c r="AJ368" s="8"/>
      <c r="AK368" s="8"/>
      <c r="AL368" s="8"/>
      <c r="AM368" s="8"/>
      <c r="AN368" s="8"/>
      <c r="AO368" s="8"/>
      <c r="AP368" s="8"/>
      <c r="AQ368" s="8"/>
      <c r="AR368" s="8"/>
      <c r="AS368" s="8"/>
      <c r="A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184"/>
      <c r="Z369" s="184"/>
      <c r="AA369" s="184"/>
      <c r="AB369" s="184"/>
      <c r="AC369" s="8"/>
      <c r="AD369" s="8"/>
      <c r="AE369" s="8"/>
      <c r="AF369" s="8"/>
      <c r="AG369" s="191"/>
      <c r="AH369" s="191"/>
      <c r="AI369" s="191"/>
      <c r="AJ369" s="8"/>
      <c r="AK369" s="8"/>
      <c r="AL369" s="8"/>
      <c r="AM369" s="8"/>
      <c r="AN369" s="8"/>
      <c r="AO369" s="8"/>
      <c r="AP369" s="8"/>
      <c r="AQ369" s="8"/>
      <c r="AR369" s="8"/>
      <c r="AS369" s="8"/>
      <c r="A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184"/>
      <c r="Z370" s="184"/>
      <c r="AA370" s="184"/>
      <c r="AB370" s="184"/>
      <c r="AC370" s="8"/>
      <c r="AD370" s="8"/>
      <c r="AE370" s="8"/>
      <c r="AF370" s="8"/>
      <c r="AG370" s="191"/>
      <c r="AH370" s="191"/>
      <c r="AI370" s="191"/>
      <c r="AJ370" s="8"/>
      <c r="AK370" s="8"/>
      <c r="AL370" s="8"/>
      <c r="AM370" s="8"/>
      <c r="AN370" s="8"/>
      <c r="AO370" s="8"/>
      <c r="AP370" s="8"/>
      <c r="AQ370" s="8"/>
      <c r="AR370" s="8"/>
      <c r="AS370" s="8"/>
      <c r="A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184"/>
      <c r="Z371" s="184"/>
      <c r="AA371" s="184"/>
      <c r="AB371" s="184"/>
      <c r="AC371" s="8"/>
      <c r="AD371" s="8"/>
      <c r="AE371" s="8"/>
      <c r="AF371" s="8"/>
      <c r="AG371" s="191"/>
      <c r="AH371" s="191"/>
      <c r="AI371" s="191"/>
      <c r="AJ371" s="8"/>
      <c r="AK371" s="8"/>
      <c r="AL371" s="8"/>
      <c r="AM371" s="8"/>
      <c r="AN371" s="8"/>
      <c r="AO371" s="8"/>
      <c r="AP371" s="8"/>
      <c r="AQ371" s="8"/>
      <c r="AR371" s="8"/>
      <c r="AS371" s="8"/>
      <c r="A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184"/>
      <c r="Z372" s="184"/>
      <c r="AA372" s="184"/>
      <c r="AB372" s="184"/>
      <c r="AC372" s="8"/>
      <c r="AD372" s="8"/>
      <c r="AE372" s="8"/>
      <c r="AF372" s="8"/>
      <c r="AG372" s="191"/>
      <c r="AH372" s="191"/>
      <c r="AI372" s="191"/>
      <c r="AJ372" s="8"/>
      <c r="AK372" s="8"/>
      <c r="AL372" s="8"/>
      <c r="AM372" s="8"/>
      <c r="AN372" s="8"/>
      <c r="AO372" s="8"/>
      <c r="AP372" s="8"/>
      <c r="AQ372" s="8"/>
      <c r="AR372" s="8"/>
      <c r="AS372" s="8"/>
      <c r="A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184"/>
      <c r="Z373" s="184"/>
      <c r="AA373" s="184"/>
      <c r="AB373" s="184"/>
      <c r="AC373" s="8"/>
      <c r="AD373" s="8"/>
      <c r="AE373" s="8"/>
      <c r="AF373" s="8"/>
      <c r="AG373" s="191"/>
      <c r="AH373" s="191"/>
      <c r="AI373" s="191"/>
      <c r="AJ373" s="8"/>
      <c r="AK373" s="8"/>
      <c r="AL373" s="8"/>
      <c r="AM373" s="8"/>
      <c r="AN373" s="8"/>
      <c r="AO373" s="8"/>
      <c r="AP373" s="8"/>
      <c r="AQ373" s="8"/>
      <c r="AR373" s="8"/>
      <c r="AS373" s="8"/>
      <c r="A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184"/>
      <c r="Z374" s="184"/>
      <c r="AA374" s="184"/>
      <c r="AB374" s="184"/>
      <c r="AC374" s="8"/>
      <c r="AD374" s="8"/>
      <c r="AE374" s="8"/>
      <c r="AF374" s="8"/>
      <c r="AG374" s="191"/>
      <c r="AH374" s="191"/>
      <c r="AI374" s="191"/>
      <c r="AJ374" s="8"/>
      <c r="AK374" s="8"/>
      <c r="AL374" s="8"/>
      <c r="AM374" s="8"/>
      <c r="AN374" s="8"/>
      <c r="AO374" s="8"/>
      <c r="AP374" s="8"/>
      <c r="AQ374" s="8"/>
      <c r="AR374" s="8"/>
      <c r="AS374" s="8"/>
      <c r="A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184"/>
      <c r="Z375" s="184"/>
      <c r="AA375" s="184"/>
      <c r="AB375" s="184"/>
      <c r="AC375" s="8"/>
      <c r="AD375" s="8"/>
      <c r="AE375" s="8"/>
      <c r="AF375" s="8"/>
      <c r="AG375" s="191"/>
      <c r="AH375" s="191"/>
      <c r="AI375" s="191"/>
      <c r="AJ375" s="8"/>
      <c r="AK375" s="8"/>
      <c r="AL375" s="8"/>
      <c r="AM375" s="8"/>
      <c r="AN375" s="8"/>
      <c r="AO375" s="8"/>
      <c r="AP375" s="8"/>
      <c r="AQ375" s="8"/>
      <c r="AR375" s="8"/>
      <c r="AS375" s="8"/>
      <c r="A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184"/>
      <c r="Z376" s="184"/>
      <c r="AA376" s="184"/>
      <c r="AB376" s="184"/>
      <c r="AC376" s="8"/>
      <c r="AD376" s="8"/>
      <c r="AE376" s="8"/>
      <c r="AF376" s="8"/>
      <c r="AG376" s="191"/>
      <c r="AH376" s="191"/>
      <c r="AI376" s="191"/>
      <c r="AJ376" s="8"/>
      <c r="AK376" s="8"/>
      <c r="AL376" s="8"/>
      <c r="AM376" s="8"/>
      <c r="AN376" s="8"/>
      <c r="AO376" s="8"/>
      <c r="AP376" s="8"/>
      <c r="AQ376" s="8"/>
      <c r="AR376" s="8"/>
      <c r="AS376" s="8"/>
      <c r="A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184"/>
      <c r="Z377" s="184"/>
      <c r="AA377" s="184"/>
      <c r="AB377" s="184"/>
      <c r="AC377" s="8"/>
      <c r="AD377" s="8"/>
      <c r="AE377" s="8"/>
      <c r="AF377" s="8"/>
      <c r="AG377" s="191"/>
      <c r="AH377" s="191"/>
      <c r="AI377" s="191"/>
      <c r="AJ377" s="8"/>
      <c r="AK377" s="8"/>
      <c r="AL377" s="8"/>
      <c r="AM377" s="8"/>
      <c r="AN377" s="8"/>
      <c r="AO377" s="8"/>
      <c r="AP377" s="8"/>
      <c r="AQ377" s="8"/>
      <c r="AR377" s="8"/>
      <c r="AS377" s="8"/>
      <c r="A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184"/>
      <c r="Z378" s="184"/>
      <c r="AA378" s="184"/>
      <c r="AB378" s="184"/>
      <c r="AC378" s="8"/>
      <c r="AD378" s="8"/>
      <c r="AE378" s="8"/>
      <c r="AF378" s="8"/>
      <c r="AG378" s="191"/>
      <c r="AH378" s="191"/>
      <c r="AI378" s="191"/>
      <c r="AJ378" s="8"/>
      <c r="AK378" s="8"/>
      <c r="AL378" s="8"/>
      <c r="AM378" s="8"/>
      <c r="AN378" s="8"/>
      <c r="AO378" s="8"/>
      <c r="AP378" s="8"/>
      <c r="AQ378" s="8"/>
      <c r="AR378" s="8"/>
      <c r="AS378" s="8"/>
      <c r="A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184"/>
      <c r="Z379" s="184"/>
      <c r="AA379" s="184"/>
      <c r="AB379" s="184"/>
      <c r="AC379" s="8"/>
      <c r="AD379" s="8"/>
      <c r="AE379" s="8"/>
      <c r="AF379" s="8"/>
      <c r="AG379" s="191"/>
      <c r="AH379" s="191"/>
      <c r="AI379" s="191"/>
      <c r="AJ379" s="8"/>
      <c r="AK379" s="8"/>
      <c r="AL379" s="8"/>
      <c r="AM379" s="8"/>
      <c r="AN379" s="8"/>
      <c r="AO379" s="8"/>
      <c r="AP379" s="8"/>
      <c r="AQ379" s="8"/>
      <c r="AR379" s="8"/>
      <c r="AS379" s="8"/>
      <c r="A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184"/>
      <c r="Z380" s="184"/>
      <c r="AA380" s="184"/>
      <c r="AB380" s="184"/>
      <c r="AC380" s="8"/>
      <c r="AD380" s="8"/>
      <c r="AE380" s="8"/>
      <c r="AF380" s="8"/>
      <c r="AG380" s="191"/>
      <c r="AH380" s="191"/>
      <c r="AI380" s="191"/>
      <c r="AJ380" s="8"/>
      <c r="AK380" s="8"/>
      <c r="AL380" s="8"/>
      <c r="AM380" s="8"/>
      <c r="AN380" s="8"/>
      <c r="AO380" s="8"/>
      <c r="AP380" s="8"/>
      <c r="AQ380" s="8"/>
      <c r="AR380" s="8"/>
      <c r="AS380" s="8"/>
      <c r="A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184"/>
      <c r="Z381" s="184"/>
      <c r="AA381" s="184"/>
      <c r="AB381" s="184"/>
      <c r="AC381" s="8"/>
      <c r="AD381" s="8"/>
      <c r="AE381" s="8"/>
      <c r="AF381" s="8"/>
      <c r="AG381" s="191"/>
      <c r="AH381" s="191"/>
      <c r="AI381" s="191"/>
      <c r="AJ381" s="8"/>
      <c r="AK381" s="8"/>
      <c r="AL381" s="8"/>
      <c r="AM381" s="8"/>
      <c r="AN381" s="8"/>
      <c r="AO381" s="8"/>
      <c r="AP381" s="8"/>
      <c r="AQ381" s="8"/>
      <c r="AR381" s="8"/>
      <c r="AS381" s="8"/>
      <c r="A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184"/>
      <c r="Z382" s="184"/>
      <c r="AA382" s="184"/>
      <c r="AB382" s="184"/>
      <c r="AC382" s="8"/>
      <c r="AD382" s="8"/>
      <c r="AE382" s="8"/>
      <c r="AF382" s="8"/>
      <c r="AG382" s="191"/>
      <c r="AH382" s="191"/>
      <c r="AI382" s="191"/>
      <c r="AJ382" s="8"/>
      <c r="AK382" s="8"/>
      <c r="AL382" s="8"/>
      <c r="AM382" s="8"/>
      <c r="AN382" s="8"/>
      <c r="AO382" s="8"/>
      <c r="AP382" s="8"/>
      <c r="AQ382" s="8"/>
      <c r="AR382" s="8"/>
      <c r="AS382" s="8"/>
      <c r="A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184"/>
      <c r="Z383" s="184"/>
      <c r="AA383" s="184"/>
      <c r="AB383" s="184"/>
      <c r="AC383" s="8"/>
      <c r="AD383" s="8"/>
      <c r="AE383" s="8"/>
      <c r="AF383" s="8"/>
      <c r="AG383" s="191"/>
      <c r="AH383" s="191"/>
      <c r="AI383" s="191"/>
      <c r="AJ383" s="8"/>
      <c r="AK383" s="8"/>
      <c r="AL383" s="8"/>
      <c r="AM383" s="8"/>
      <c r="AN383" s="8"/>
      <c r="AO383" s="8"/>
      <c r="AP383" s="8"/>
      <c r="AQ383" s="8"/>
      <c r="AR383" s="8"/>
      <c r="AS383" s="8"/>
      <c r="A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184"/>
      <c r="Z384" s="184"/>
      <c r="AA384" s="184"/>
      <c r="AB384" s="184"/>
      <c r="AC384" s="8"/>
      <c r="AD384" s="8"/>
      <c r="AE384" s="8"/>
      <c r="AF384" s="8"/>
      <c r="AG384" s="191"/>
      <c r="AH384" s="191"/>
      <c r="AI384" s="191"/>
      <c r="AJ384" s="8"/>
      <c r="AK384" s="8"/>
      <c r="AL384" s="8"/>
      <c r="AM384" s="8"/>
      <c r="AN384" s="8"/>
      <c r="AO384" s="8"/>
      <c r="AP384" s="8"/>
      <c r="AQ384" s="8"/>
      <c r="AR384" s="8"/>
      <c r="AS384" s="8"/>
      <c r="A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184"/>
      <c r="Z385" s="184"/>
      <c r="AA385" s="184"/>
      <c r="AB385" s="184"/>
      <c r="AC385" s="8"/>
      <c r="AD385" s="8"/>
      <c r="AE385" s="8"/>
      <c r="AF385" s="8"/>
      <c r="AG385" s="191"/>
      <c r="AH385" s="191"/>
      <c r="AI385" s="191"/>
      <c r="AJ385" s="8"/>
      <c r="AK385" s="8"/>
      <c r="AL385" s="8"/>
      <c r="AM385" s="8"/>
      <c r="AN385" s="8"/>
      <c r="AO385" s="8"/>
      <c r="AP385" s="8"/>
      <c r="AQ385" s="8"/>
      <c r="AR385" s="8"/>
      <c r="AS385" s="8"/>
      <c r="A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184"/>
      <c r="Z386" s="184"/>
      <c r="AA386" s="184"/>
      <c r="AB386" s="184"/>
      <c r="AC386" s="8"/>
      <c r="AD386" s="8"/>
      <c r="AE386" s="8"/>
      <c r="AF386" s="8"/>
      <c r="AG386" s="191"/>
      <c r="AH386" s="191"/>
      <c r="AI386" s="191"/>
      <c r="AJ386" s="8"/>
      <c r="AK386" s="8"/>
      <c r="AL386" s="8"/>
      <c r="AM386" s="8"/>
      <c r="AN386" s="8"/>
      <c r="AO386" s="8"/>
      <c r="AP386" s="8"/>
      <c r="AQ386" s="8"/>
      <c r="AR386" s="8"/>
      <c r="AS386" s="8"/>
      <c r="A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184"/>
      <c r="Z387" s="184"/>
      <c r="AA387" s="184"/>
      <c r="AB387" s="184"/>
      <c r="AC387" s="8"/>
      <c r="AD387" s="8"/>
      <c r="AE387" s="8"/>
      <c r="AF387" s="8"/>
      <c r="AG387" s="191"/>
      <c r="AH387" s="191"/>
      <c r="AI387" s="191"/>
      <c r="AJ387" s="8"/>
      <c r="AK387" s="8"/>
      <c r="AL387" s="8"/>
      <c r="AM387" s="8"/>
      <c r="AN387" s="8"/>
      <c r="AO387" s="8"/>
      <c r="AP387" s="8"/>
      <c r="AQ387" s="8"/>
      <c r="AR387" s="8"/>
      <c r="AS387" s="8"/>
      <c r="A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184"/>
      <c r="Z388" s="184"/>
      <c r="AA388" s="184"/>
      <c r="AB388" s="184"/>
      <c r="AC388" s="8"/>
      <c r="AD388" s="8"/>
      <c r="AE388" s="8"/>
      <c r="AF388" s="8"/>
      <c r="AG388" s="191"/>
      <c r="AH388" s="191"/>
      <c r="AI388" s="191"/>
      <c r="AJ388" s="8"/>
      <c r="AK388" s="8"/>
      <c r="AL388" s="8"/>
      <c r="AM388" s="8"/>
      <c r="AN388" s="8"/>
      <c r="AO388" s="8"/>
      <c r="AP388" s="8"/>
      <c r="AQ388" s="8"/>
      <c r="AR388" s="8"/>
      <c r="AS388" s="8"/>
      <c r="A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184"/>
      <c r="Z389" s="184"/>
      <c r="AA389" s="184"/>
      <c r="AB389" s="184"/>
      <c r="AC389" s="8"/>
      <c r="AD389" s="8"/>
      <c r="AE389" s="8"/>
      <c r="AF389" s="8"/>
      <c r="AG389" s="191"/>
      <c r="AH389" s="191"/>
      <c r="AI389" s="191"/>
      <c r="AJ389" s="8"/>
      <c r="AK389" s="8"/>
      <c r="AL389" s="8"/>
      <c r="AM389" s="8"/>
      <c r="AN389" s="8"/>
      <c r="AO389" s="8"/>
      <c r="AP389" s="8"/>
      <c r="AQ389" s="8"/>
      <c r="AR389" s="8"/>
      <c r="AS389" s="8"/>
      <c r="A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184"/>
      <c r="Z390" s="184"/>
      <c r="AA390" s="184"/>
      <c r="AB390" s="184"/>
      <c r="AC390" s="8"/>
      <c r="AD390" s="8"/>
      <c r="AE390" s="8"/>
      <c r="AF390" s="8"/>
      <c r="AG390" s="191"/>
      <c r="AH390" s="191"/>
      <c r="AI390" s="191"/>
      <c r="AJ390" s="8"/>
      <c r="AK390" s="8"/>
      <c r="AL390" s="8"/>
      <c r="AM390" s="8"/>
      <c r="AN390" s="8"/>
      <c r="AO390" s="8"/>
      <c r="AP390" s="8"/>
      <c r="AQ390" s="8"/>
      <c r="AR390" s="8"/>
      <c r="AS390" s="8"/>
      <c r="A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184"/>
      <c r="Z391" s="184"/>
      <c r="AA391" s="184"/>
      <c r="AB391" s="184"/>
      <c r="AC391" s="8"/>
      <c r="AD391" s="8"/>
      <c r="AE391" s="8"/>
      <c r="AF391" s="8"/>
      <c r="AG391" s="191"/>
      <c r="AH391" s="191"/>
      <c r="AI391" s="191"/>
      <c r="AJ391" s="8"/>
      <c r="AK391" s="8"/>
      <c r="AL391" s="8"/>
      <c r="AM391" s="8"/>
      <c r="AN391" s="8"/>
      <c r="AO391" s="8"/>
      <c r="AP391" s="8"/>
      <c r="AQ391" s="8"/>
      <c r="AR391" s="8"/>
      <c r="AS391" s="8"/>
      <c r="A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184"/>
      <c r="Z392" s="184"/>
      <c r="AA392" s="184"/>
      <c r="AB392" s="184"/>
      <c r="AC392" s="8"/>
      <c r="AD392" s="8"/>
      <c r="AE392" s="8"/>
      <c r="AF392" s="8"/>
      <c r="AG392" s="191"/>
      <c r="AH392" s="191"/>
      <c r="AI392" s="191"/>
      <c r="AJ392" s="8"/>
      <c r="AK392" s="8"/>
      <c r="AL392" s="8"/>
      <c r="AM392" s="8"/>
      <c r="AN392" s="8"/>
      <c r="AO392" s="8"/>
      <c r="AP392" s="8"/>
      <c r="AQ392" s="8"/>
      <c r="AR392" s="8"/>
      <c r="AS392" s="8"/>
      <c r="A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184"/>
      <c r="Z393" s="184"/>
      <c r="AA393" s="184"/>
      <c r="AB393" s="184"/>
      <c r="AC393" s="8"/>
      <c r="AD393" s="8"/>
      <c r="AE393" s="8"/>
      <c r="AF393" s="8"/>
      <c r="AG393" s="191"/>
      <c r="AH393" s="191"/>
      <c r="AI393" s="191"/>
      <c r="AJ393" s="8"/>
      <c r="AK393" s="8"/>
      <c r="AL393" s="8"/>
      <c r="AM393" s="8"/>
      <c r="AN393" s="8"/>
      <c r="AO393" s="8"/>
      <c r="AP393" s="8"/>
      <c r="AQ393" s="8"/>
      <c r="AR393" s="8"/>
      <c r="AS393" s="8"/>
      <c r="A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184"/>
      <c r="Z394" s="184"/>
      <c r="AA394" s="184"/>
      <c r="AB394" s="184"/>
      <c r="AC394" s="8"/>
      <c r="AD394" s="8"/>
      <c r="AE394" s="8"/>
      <c r="AF394" s="8"/>
      <c r="AG394" s="191"/>
      <c r="AH394" s="191"/>
      <c r="AI394" s="191"/>
      <c r="AJ394" s="8"/>
      <c r="AK394" s="8"/>
      <c r="AL394" s="8"/>
      <c r="AM394" s="8"/>
      <c r="AN394" s="8"/>
      <c r="AO394" s="8"/>
      <c r="AP394" s="8"/>
      <c r="AQ394" s="8"/>
      <c r="AR394" s="8"/>
      <c r="AS394" s="8"/>
      <c r="A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184"/>
      <c r="Z395" s="184"/>
      <c r="AA395" s="184"/>
      <c r="AB395" s="184"/>
      <c r="AC395" s="8"/>
      <c r="AD395" s="8"/>
      <c r="AE395" s="8"/>
      <c r="AF395" s="8"/>
      <c r="AG395" s="191"/>
      <c r="AH395" s="191"/>
      <c r="AI395" s="191"/>
      <c r="AJ395" s="8"/>
      <c r="AK395" s="8"/>
      <c r="AL395" s="8"/>
      <c r="AM395" s="8"/>
      <c r="AN395" s="8"/>
      <c r="AO395" s="8"/>
      <c r="AP395" s="8"/>
      <c r="AQ395" s="8"/>
      <c r="AR395" s="8"/>
      <c r="AS395" s="8"/>
      <c r="A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184"/>
      <c r="Z396" s="184"/>
      <c r="AA396" s="184"/>
      <c r="AB396" s="184"/>
      <c r="AC396" s="8"/>
      <c r="AD396" s="8"/>
      <c r="AE396" s="8"/>
      <c r="AF396" s="8"/>
      <c r="AG396" s="191"/>
      <c r="AH396" s="191"/>
      <c r="AI396" s="191"/>
      <c r="AJ396" s="8"/>
      <c r="AK396" s="8"/>
      <c r="AL396" s="8"/>
      <c r="AM396" s="8"/>
      <c r="AN396" s="8"/>
      <c r="AO396" s="8"/>
      <c r="AP396" s="8"/>
      <c r="AQ396" s="8"/>
      <c r="AR396" s="8"/>
      <c r="AS396" s="8"/>
      <c r="A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184"/>
      <c r="Z397" s="184"/>
      <c r="AA397" s="184"/>
      <c r="AB397" s="184"/>
      <c r="AC397" s="8"/>
      <c r="AD397" s="8"/>
      <c r="AE397" s="8"/>
      <c r="AF397" s="8"/>
      <c r="AG397" s="191"/>
      <c r="AH397" s="191"/>
      <c r="AI397" s="191"/>
      <c r="AJ397" s="8"/>
      <c r="AK397" s="8"/>
      <c r="AL397" s="8"/>
      <c r="AM397" s="8"/>
      <c r="AN397" s="8"/>
      <c r="AO397" s="8"/>
      <c r="AP397" s="8"/>
      <c r="AQ397" s="8"/>
      <c r="AR397" s="8"/>
      <c r="AS397" s="8"/>
      <c r="A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184"/>
      <c r="Z398" s="184"/>
      <c r="AA398" s="184"/>
      <c r="AB398" s="184"/>
      <c r="AC398" s="8"/>
      <c r="AD398" s="8"/>
      <c r="AE398" s="8"/>
      <c r="AF398" s="8"/>
      <c r="AG398" s="191"/>
      <c r="AH398" s="191"/>
      <c r="AI398" s="191"/>
      <c r="AJ398" s="8"/>
      <c r="AK398" s="8"/>
      <c r="AL398" s="8"/>
      <c r="AM398" s="8"/>
      <c r="AN398" s="8"/>
      <c r="AO398" s="8"/>
      <c r="AP398" s="8"/>
      <c r="AQ398" s="8"/>
      <c r="AR398" s="8"/>
      <c r="AS398" s="8"/>
      <c r="A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184"/>
      <c r="Z399" s="184"/>
      <c r="AA399" s="184"/>
      <c r="AB399" s="184"/>
      <c r="AC399" s="8"/>
      <c r="AD399" s="8"/>
      <c r="AE399" s="8"/>
      <c r="AF399" s="8"/>
      <c r="AG399" s="191"/>
      <c r="AH399" s="191"/>
      <c r="AI399" s="191"/>
      <c r="AJ399" s="8"/>
      <c r="AK399" s="8"/>
      <c r="AL399" s="8"/>
      <c r="AM399" s="8"/>
      <c r="AN399" s="8"/>
      <c r="AO399" s="8"/>
      <c r="AP399" s="8"/>
      <c r="AQ399" s="8"/>
      <c r="AR399" s="8"/>
      <c r="AS399" s="8"/>
      <c r="A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184"/>
      <c r="Z400" s="184"/>
      <c r="AA400" s="184"/>
      <c r="AB400" s="184"/>
      <c r="AC400" s="8"/>
      <c r="AD400" s="8"/>
      <c r="AE400" s="8"/>
      <c r="AF400" s="8"/>
      <c r="AG400" s="191"/>
      <c r="AH400" s="191"/>
      <c r="AI400" s="191"/>
      <c r="AJ400" s="8"/>
      <c r="AK400" s="8"/>
      <c r="AL400" s="8"/>
      <c r="AM400" s="8"/>
      <c r="AN400" s="8"/>
      <c r="AO400" s="8"/>
      <c r="AP400" s="8"/>
      <c r="AQ400" s="8"/>
      <c r="AR400" s="8"/>
      <c r="AS400" s="8"/>
      <c r="A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184"/>
      <c r="Z401" s="184"/>
      <c r="AA401" s="184"/>
      <c r="AB401" s="184"/>
      <c r="AC401" s="8"/>
      <c r="AD401" s="8"/>
      <c r="AE401" s="8"/>
      <c r="AF401" s="8"/>
      <c r="AG401" s="191"/>
      <c r="AH401" s="191"/>
      <c r="AI401" s="191"/>
      <c r="AJ401" s="8"/>
      <c r="AK401" s="8"/>
      <c r="AL401" s="8"/>
      <c r="AM401" s="8"/>
      <c r="AN401" s="8"/>
      <c r="AO401" s="8"/>
      <c r="AP401" s="8"/>
      <c r="AQ401" s="8"/>
      <c r="AR401" s="8"/>
      <c r="AS401" s="8"/>
      <c r="A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184"/>
      <c r="Z402" s="184"/>
      <c r="AA402" s="184"/>
      <c r="AB402" s="184"/>
      <c r="AC402" s="8"/>
      <c r="AD402" s="8"/>
      <c r="AE402" s="8"/>
      <c r="AF402" s="8"/>
      <c r="AG402" s="191"/>
      <c r="AH402" s="191"/>
      <c r="AI402" s="191"/>
      <c r="AJ402" s="8"/>
      <c r="AK402" s="8"/>
      <c r="AL402" s="8"/>
      <c r="AM402" s="8"/>
      <c r="AN402" s="8"/>
      <c r="AO402" s="8"/>
      <c r="AP402" s="8"/>
      <c r="AQ402" s="8"/>
      <c r="AR402" s="8"/>
      <c r="AS402" s="8"/>
      <c r="A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184"/>
      <c r="Z403" s="184"/>
      <c r="AA403" s="184"/>
      <c r="AB403" s="184"/>
      <c r="AC403" s="8"/>
      <c r="AD403" s="8"/>
      <c r="AE403" s="8"/>
      <c r="AF403" s="8"/>
      <c r="AG403" s="191"/>
      <c r="AH403" s="191"/>
      <c r="AI403" s="191"/>
      <c r="AJ403" s="8"/>
      <c r="AK403" s="8"/>
      <c r="AL403" s="8"/>
      <c r="AM403" s="8"/>
      <c r="AN403" s="8"/>
      <c r="AO403" s="8"/>
      <c r="AP403" s="8"/>
      <c r="AQ403" s="8"/>
      <c r="AR403" s="8"/>
      <c r="AS403" s="8"/>
      <c r="A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184"/>
      <c r="Z404" s="184"/>
      <c r="AA404" s="184"/>
      <c r="AB404" s="184"/>
      <c r="AC404" s="8"/>
      <c r="AD404" s="8"/>
      <c r="AE404" s="8"/>
      <c r="AF404" s="8"/>
      <c r="AG404" s="191"/>
      <c r="AH404" s="191"/>
      <c r="AI404" s="191"/>
      <c r="AJ404" s="8"/>
      <c r="AK404" s="8"/>
      <c r="AL404" s="8"/>
      <c r="AM404" s="8"/>
      <c r="AN404" s="8"/>
      <c r="AO404" s="8"/>
      <c r="AP404" s="8"/>
      <c r="AQ404" s="8"/>
      <c r="AR404" s="8"/>
      <c r="AS404" s="8"/>
      <c r="A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184"/>
      <c r="Z405" s="184"/>
      <c r="AA405" s="184"/>
      <c r="AB405" s="184"/>
      <c r="AC405" s="8"/>
      <c r="AD405" s="8"/>
      <c r="AE405" s="8"/>
      <c r="AF405" s="8"/>
      <c r="AG405" s="191"/>
      <c r="AH405" s="191"/>
      <c r="AI405" s="191"/>
      <c r="AJ405" s="8"/>
      <c r="AK405" s="8"/>
      <c r="AL405" s="8"/>
      <c r="AM405" s="8"/>
      <c r="AN405" s="8"/>
      <c r="AO405" s="8"/>
      <c r="AP405" s="8"/>
      <c r="AQ405" s="8"/>
      <c r="AR405" s="8"/>
      <c r="AS405" s="8"/>
      <c r="A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184"/>
      <c r="Z406" s="184"/>
      <c r="AA406" s="184"/>
      <c r="AB406" s="184"/>
      <c r="AC406" s="8"/>
      <c r="AD406" s="8"/>
      <c r="AE406" s="8"/>
      <c r="AF406" s="8"/>
      <c r="AG406" s="191"/>
      <c r="AH406" s="191"/>
      <c r="AI406" s="191"/>
      <c r="AJ406" s="8"/>
      <c r="AK406" s="8"/>
      <c r="AL406" s="8"/>
      <c r="AM406" s="8"/>
      <c r="AN406" s="8"/>
      <c r="AO406" s="8"/>
      <c r="AP406" s="8"/>
      <c r="AQ406" s="8"/>
      <c r="AR406" s="8"/>
      <c r="AS406" s="8"/>
      <c r="A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184"/>
      <c r="Z407" s="184"/>
      <c r="AA407" s="184"/>
      <c r="AB407" s="184"/>
      <c r="AC407" s="8"/>
      <c r="AD407" s="8"/>
      <c r="AE407" s="8"/>
      <c r="AF407" s="8"/>
      <c r="AG407" s="191"/>
      <c r="AH407" s="191"/>
      <c r="AI407" s="191"/>
      <c r="AJ407" s="8"/>
      <c r="AK407" s="8"/>
      <c r="AL407" s="8"/>
      <c r="AM407" s="8"/>
      <c r="AN407" s="8"/>
      <c r="AO407" s="8"/>
      <c r="AP407" s="8"/>
      <c r="AQ407" s="8"/>
      <c r="AR407" s="8"/>
      <c r="AS407" s="8"/>
      <c r="A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184"/>
      <c r="Z408" s="184"/>
      <c r="AA408" s="184"/>
      <c r="AB408" s="184"/>
      <c r="AC408" s="8"/>
      <c r="AD408" s="8"/>
      <c r="AE408" s="8"/>
      <c r="AF408" s="8"/>
      <c r="AG408" s="191"/>
      <c r="AH408" s="191"/>
      <c r="AI408" s="191"/>
      <c r="AJ408" s="8"/>
      <c r="AK408" s="8"/>
      <c r="AL408" s="8"/>
      <c r="AM408" s="8"/>
      <c r="AN408" s="8"/>
      <c r="AO408" s="8"/>
      <c r="AP408" s="8"/>
      <c r="AQ408" s="8"/>
      <c r="AR408" s="8"/>
      <c r="AS408" s="8"/>
      <c r="A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184"/>
      <c r="Z409" s="184"/>
      <c r="AA409" s="184"/>
      <c r="AB409" s="184"/>
      <c r="AC409" s="8"/>
      <c r="AD409" s="8"/>
      <c r="AE409" s="8"/>
      <c r="AF409" s="8"/>
      <c r="AG409" s="191"/>
      <c r="AH409" s="191"/>
      <c r="AI409" s="191"/>
      <c r="AJ409" s="8"/>
      <c r="AK409" s="8"/>
      <c r="AL409" s="8"/>
      <c r="AM409" s="8"/>
      <c r="AN409" s="8"/>
      <c r="AO409" s="8"/>
      <c r="AP409" s="8"/>
      <c r="AQ409" s="8"/>
      <c r="AR409" s="8"/>
      <c r="AS409" s="8"/>
      <c r="A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184"/>
      <c r="Z410" s="184"/>
      <c r="AA410" s="184"/>
      <c r="AB410" s="184"/>
      <c r="AC410" s="8"/>
      <c r="AD410" s="8"/>
      <c r="AE410" s="8"/>
      <c r="AF410" s="8"/>
      <c r="AG410" s="191"/>
      <c r="AH410" s="191"/>
      <c r="AI410" s="191"/>
      <c r="AJ410" s="8"/>
      <c r="AK410" s="8"/>
      <c r="AL410" s="8"/>
      <c r="AM410" s="8"/>
      <c r="AN410" s="8"/>
      <c r="AO410" s="8"/>
      <c r="AP410" s="8"/>
      <c r="AQ410" s="8"/>
      <c r="AR410" s="8"/>
      <c r="AS410" s="8"/>
      <c r="A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184"/>
      <c r="Z411" s="184"/>
      <c r="AA411" s="184"/>
      <c r="AB411" s="184"/>
      <c r="AC411" s="8"/>
      <c r="AD411" s="8"/>
      <c r="AE411" s="8"/>
      <c r="AF411" s="8"/>
      <c r="AG411" s="191"/>
      <c r="AH411" s="191"/>
      <c r="AI411" s="191"/>
      <c r="AJ411" s="8"/>
      <c r="AK411" s="8"/>
      <c r="AL411" s="8"/>
      <c r="AM411" s="8"/>
      <c r="AN411" s="8"/>
      <c r="AO411" s="8"/>
      <c r="AP411" s="8"/>
      <c r="AQ411" s="8"/>
      <c r="AR411" s="8"/>
      <c r="AS411" s="8"/>
      <c r="A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184"/>
      <c r="Z412" s="184"/>
      <c r="AA412" s="184"/>
      <c r="AB412" s="184"/>
      <c r="AC412" s="8"/>
      <c r="AD412" s="8"/>
      <c r="AE412" s="8"/>
      <c r="AF412" s="8"/>
      <c r="AG412" s="191"/>
      <c r="AH412" s="191"/>
      <c r="AI412" s="191"/>
      <c r="AJ412" s="8"/>
      <c r="AK412" s="8"/>
      <c r="AL412" s="8"/>
      <c r="AM412" s="8"/>
      <c r="AN412" s="8"/>
      <c r="AO412" s="8"/>
      <c r="AP412" s="8"/>
      <c r="AQ412" s="8"/>
      <c r="AR412" s="8"/>
      <c r="AS412" s="8"/>
      <c r="A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184"/>
      <c r="Z413" s="184"/>
      <c r="AA413" s="184"/>
      <c r="AB413" s="184"/>
      <c r="AC413" s="8"/>
      <c r="AD413" s="8"/>
      <c r="AE413" s="8"/>
      <c r="AF413" s="8"/>
      <c r="AG413" s="191"/>
      <c r="AH413" s="191"/>
      <c r="AI413" s="191"/>
      <c r="AJ413" s="8"/>
      <c r="AK413" s="8"/>
      <c r="AL413" s="8"/>
      <c r="AM413" s="8"/>
      <c r="AN413" s="8"/>
      <c r="AO413" s="8"/>
      <c r="AP413" s="8"/>
      <c r="AQ413" s="8"/>
      <c r="AR413" s="8"/>
      <c r="AS413" s="8"/>
      <c r="A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184"/>
      <c r="Z414" s="184"/>
      <c r="AA414" s="184"/>
      <c r="AB414" s="184"/>
      <c r="AC414" s="8"/>
      <c r="AD414" s="8"/>
      <c r="AE414" s="8"/>
      <c r="AF414" s="8"/>
      <c r="AG414" s="191"/>
      <c r="AH414" s="191"/>
      <c r="AI414" s="191"/>
      <c r="AJ414" s="8"/>
      <c r="AK414" s="8"/>
      <c r="AL414" s="8"/>
      <c r="AM414" s="8"/>
      <c r="AN414" s="8"/>
      <c r="AO414" s="8"/>
      <c r="AP414" s="8"/>
      <c r="AQ414" s="8"/>
      <c r="AR414" s="8"/>
      <c r="AS414" s="8"/>
      <c r="A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184"/>
      <c r="Z415" s="184"/>
      <c r="AA415" s="184"/>
      <c r="AB415" s="184"/>
      <c r="AC415" s="8"/>
      <c r="AD415" s="8"/>
      <c r="AE415" s="8"/>
      <c r="AF415" s="8"/>
      <c r="AG415" s="191"/>
      <c r="AH415" s="191"/>
      <c r="AI415" s="191"/>
      <c r="AJ415" s="8"/>
      <c r="AK415" s="8"/>
      <c r="AL415" s="8"/>
      <c r="AM415" s="8"/>
      <c r="AN415" s="8"/>
      <c r="AO415" s="8"/>
      <c r="AP415" s="8"/>
      <c r="AQ415" s="8"/>
      <c r="AR415" s="8"/>
      <c r="AS415" s="8"/>
      <c r="A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184"/>
      <c r="Z416" s="184"/>
      <c r="AA416" s="184"/>
      <c r="AB416" s="184"/>
      <c r="AC416" s="8"/>
      <c r="AD416" s="8"/>
      <c r="AE416" s="8"/>
      <c r="AF416" s="8"/>
      <c r="AG416" s="191"/>
      <c r="AH416" s="191"/>
      <c r="AI416" s="191"/>
      <c r="AJ416" s="8"/>
      <c r="AK416" s="8"/>
      <c r="AL416" s="8"/>
      <c r="AM416" s="8"/>
      <c r="AN416" s="8"/>
      <c r="AO416" s="8"/>
      <c r="AP416" s="8"/>
      <c r="AQ416" s="8"/>
      <c r="AR416" s="8"/>
      <c r="AS416" s="8"/>
      <c r="A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184"/>
      <c r="Z417" s="184"/>
      <c r="AA417" s="184"/>
      <c r="AB417" s="184"/>
      <c r="AC417" s="8"/>
      <c r="AD417" s="8"/>
      <c r="AE417" s="8"/>
      <c r="AF417" s="8"/>
      <c r="AG417" s="191"/>
      <c r="AH417" s="191"/>
      <c r="AI417" s="191"/>
      <c r="AJ417" s="8"/>
      <c r="AK417" s="8"/>
      <c r="AL417" s="8"/>
      <c r="AM417" s="8"/>
      <c r="AN417" s="8"/>
      <c r="AO417" s="8"/>
      <c r="AP417" s="8"/>
      <c r="AQ417" s="8"/>
      <c r="AR417" s="8"/>
      <c r="AS417" s="8"/>
      <c r="A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184"/>
      <c r="Z418" s="184"/>
      <c r="AA418" s="184"/>
      <c r="AB418" s="184"/>
      <c r="AC418" s="8"/>
      <c r="AD418" s="8"/>
      <c r="AE418" s="8"/>
      <c r="AF418" s="8"/>
      <c r="AG418" s="191"/>
      <c r="AH418" s="191"/>
      <c r="AI418" s="191"/>
      <c r="AJ418" s="8"/>
      <c r="AK418" s="8"/>
      <c r="AL418" s="8"/>
      <c r="AM418" s="8"/>
      <c r="AN418" s="8"/>
      <c r="AO418" s="8"/>
      <c r="AP418" s="8"/>
      <c r="AQ418" s="8"/>
      <c r="AR418" s="8"/>
      <c r="AS418" s="8"/>
      <c r="A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184"/>
      <c r="Z419" s="184"/>
      <c r="AA419" s="184"/>
      <c r="AB419" s="184"/>
      <c r="AC419" s="8"/>
      <c r="AD419" s="8"/>
      <c r="AE419" s="8"/>
      <c r="AF419" s="8"/>
      <c r="AG419" s="191"/>
      <c r="AH419" s="191"/>
      <c r="AI419" s="191"/>
      <c r="AJ419" s="8"/>
      <c r="AK419" s="8"/>
      <c r="AL419" s="8"/>
      <c r="AM419" s="8"/>
      <c r="AN419" s="8"/>
      <c r="AO419" s="8"/>
      <c r="AP419" s="8"/>
      <c r="AQ419" s="8"/>
      <c r="AR419" s="8"/>
      <c r="AS419" s="8"/>
      <c r="A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184"/>
      <c r="Z420" s="184"/>
      <c r="AA420" s="184"/>
      <c r="AB420" s="184"/>
      <c r="AC420" s="8"/>
      <c r="AD420" s="8"/>
      <c r="AE420" s="8"/>
      <c r="AF420" s="8"/>
      <c r="AG420" s="191"/>
      <c r="AH420" s="191"/>
      <c r="AI420" s="191"/>
      <c r="AJ420" s="8"/>
      <c r="AK420" s="8"/>
      <c r="AL420" s="8"/>
      <c r="AM420" s="8"/>
      <c r="AN420" s="8"/>
      <c r="AO420" s="8"/>
      <c r="AP420" s="8"/>
      <c r="AQ420" s="8"/>
      <c r="AR420" s="8"/>
      <c r="AS420" s="8"/>
      <c r="A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184"/>
      <c r="Z421" s="184"/>
      <c r="AA421" s="184"/>
      <c r="AB421" s="184"/>
      <c r="AC421" s="8"/>
      <c r="AD421" s="8"/>
      <c r="AE421" s="8"/>
      <c r="AF421" s="8"/>
      <c r="AG421" s="191"/>
      <c r="AH421" s="191"/>
      <c r="AI421" s="191"/>
      <c r="AJ421" s="8"/>
      <c r="AK421" s="8"/>
      <c r="AL421" s="8"/>
      <c r="AM421" s="8"/>
      <c r="AN421" s="8"/>
      <c r="AO421" s="8"/>
      <c r="AP421" s="8"/>
      <c r="AQ421" s="8"/>
      <c r="AR421" s="8"/>
      <c r="AS421" s="8"/>
      <c r="A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184"/>
      <c r="Z422" s="184"/>
      <c r="AA422" s="184"/>
      <c r="AB422" s="184"/>
      <c r="AC422" s="8"/>
      <c r="AD422" s="8"/>
      <c r="AE422" s="8"/>
      <c r="AF422" s="8"/>
      <c r="AG422" s="191"/>
      <c r="AH422" s="191"/>
      <c r="AI422" s="191"/>
      <c r="AJ422" s="8"/>
      <c r="AK422" s="8"/>
      <c r="AL422" s="8"/>
      <c r="AM422" s="8"/>
      <c r="AN422" s="8"/>
      <c r="AO422" s="8"/>
      <c r="AP422" s="8"/>
      <c r="AQ422" s="8"/>
      <c r="AR422" s="8"/>
      <c r="AS422" s="8"/>
      <c r="A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184"/>
      <c r="Z423" s="184"/>
      <c r="AA423" s="184"/>
      <c r="AB423" s="184"/>
      <c r="AC423" s="8"/>
      <c r="AD423" s="8"/>
      <c r="AE423" s="8"/>
      <c r="AF423" s="8"/>
      <c r="AG423" s="191"/>
      <c r="AH423" s="191"/>
      <c r="AI423" s="191"/>
      <c r="AJ423" s="8"/>
      <c r="AK423" s="8"/>
      <c r="AL423" s="8"/>
      <c r="AM423" s="8"/>
      <c r="AN423" s="8"/>
      <c r="AO423" s="8"/>
      <c r="AP423" s="8"/>
      <c r="AQ423" s="8"/>
      <c r="AR423" s="8"/>
      <c r="AS423" s="8"/>
      <c r="A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184"/>
      <c r="Z424" s="184"/>
      <c r="AA424" s="184"/>
      <c r="AB424" s="184"/>
      <c r="AC424" s="8"/>
      <c r="AD424" s="8"/>
      <c r="AE424" s="8"/>
      <c r="AF424" s="8"/>
      <c r="AG424" s="191"/>
      <c r="AH424" s="191"/>
      <c r="AI424" s="191"/>
      <c r="AJ424" s="8"/>
      <c r="AK424" s="8"/>
      <c r="AL424" s="8"/>
      <c r="AM424" s="8"/>
      <c r="AN424" s="8"/>
      <c r="AO424" s="8"/>
      <c r="AP424" s="8"/>
      <c r="AQ424" s="8"/>
      <c r="AR424" s="8"/>
      <c r="AS424" s="8"/>
      <c r="A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184"/>
      <c r="Z425" s="184"/>
      <c r="AA425" s="184"/>
      <c r="AB425" s="184"/>
      <c r="AC425" s="8"/>
      <c r="AD425" s="8"/>
      <c r="AE425" s="8"/>
      <c r="AF425" s="8"/>
      <c r="AG425" s="191"/>
      <c r="AH425" s="191"/>
      <c r="AI425" s="191"/>
      <c r="AJ425" s="8"/>
      <c r="AK425" s="8"/>
      <c r="AL425" s="8"/>
      <c r="AM425" s="8"/>
      <c r="AN425" s="8"/>
      <c r="AO425" s="8"/>
      <c r="AP425" s="8"/>
      <c r="AQ425" s="8"/>
      <c r="AR425" s="8"/>
      <c r="AS425" s="8"/>
      <c r="A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184"/>
      <c r="Z426" s="184"/>
      <c r="AA426" s="184"/>
      <c r="AB426" s="184"/>
      <c r="AC426" s="8"/>
      <c r="AD426" s="8"/>
      <c r="AE426" s="8"/>
      <c r="AF426" s="8"/>
      <c r="AG426" s="191"/>
      <c r="AH426" s="191"/>
      <c r="AI426" s="191"/>
      <c r="AJ426" s="8"/>
      <c r="AK426" s="8"/>
      <c r="AL426" s="8"/>
      <c r="AM426" s="8"/>
      <c r="AN426" s="8"/>
      <c r="AO426" s="8"/>
      <c r="AP426" s="8"/>
      <c r="AQ426" s="8"/>
      <c r="AR426" s="8"/>
      <c r="AS426" s="8"/>
      <c r="A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184"/>
      <c r="Z427" s="184"/>
      <c r="AA427" s="184"/>
      <c r="AB427" s="184"/>
      <c r="AC427" s="8"/>
      <c r="AD427" s="8"/>
      <c r="AE427" s="8"/>
      <c r="AF427" s="8"/>
      <c r="AG427" s="191"/>
      <c r="AH427" s="191"/>
      <c r="AI427" s="191"/>
      <c r="AJ427" s="8"/>
      <c r="AK427" s="8"/>
      <c r="AL427" s="8"/>
      <c r="AM427" s="8"/>
      <c r="AN427" s="8"/>
      <c r="AO427" s="8"/>
      <c r="AP427" s="8"/>
      <c r="AQ427" s="8"/>
      <c r="AR427" s="8"/>
      <c r="AS427" s="8"/>
      <c r="A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184"/>
      <c r="Z428" s="184"/>
      <c r="AA428" s="184"/>
      <c r="AB428" s="184"/>
      <c r="AC428" s="8"/>
      <c r="AD428" s="8"/>
      <c r="AE428" s="8"/>
      <c r="AF428" s="8"/>
      <c r="AG428" s="191"/>
      <c r="AH428" s="191"/>
      <c r="AI428" s="191"/>
      <c r="AJ428" s="8"/>
      <c r="AK428" s="8"/>
      <c r="AL428" s="8"/>
      <c r="AM428" s="8"/>
      <c r="AN428" s="8"/>
      <c r="AO428" s="8"/>
      <c r="AP428" s="8"/>
      <c r="AQ428" s="8"/>
      <c r="AR428" s="8"/>
      <c r="AS428" s="8"/>
      <c r="A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184"/>
      <c r="Z429" s="184"/>
      <c r="AA429" s="184"/>
      <c r="AB429" s="184"/>
      <c r="AC429" s="8"/>
      <c r="AD429" s="8"/>
      <c r="AE429" s="8"/>
      <c r="AF429" s="8"/>
      <c r="AG429" s="191"/>
      <c r="AH429" s="191"/>
      <c r="AI429" s="191"/>
      <c r="AJ429" s="8"/>
      <c r="AK429" s="8"/>
      <c r="AL429" s="8"/>
      <c r="AM429" s="8"/>
      <c r="AN429" s="8"/>
      <c r="AO429" s="8"/>
      <c r="AP429" s="8"/>
      <c r="AQ429" s="8"/>
      <c r="AR429" s="8"/>
      <c r="AS429" s="8"/>
      <c r="A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184"/>
      <c r="Z430" s="184"/>
      <c r="AA430" s="184"/>
      <c r="AB430" s="184"/>
      <c r="AC430" s="8"/>
      <c r="AD430" s="8"/>
      <c r="AE430" s="8"/>
      <c r="AF430" s="8"/>
      <c r="AG430" s="191"/>
      <c r="AH430" s="191"/>
      <c r="AI430" s="191"/>
      <c r="AJ430" s="8"/>
      <c r="AK430" s="8"/>
      <c r="AL430" s="8"/>
      <c r="AM430" s="8"/>
      <c r="AN430" s="8"/>
      <c r="AO430" s="8"/>
      <c r="AP430" s="8"/>
      <c r="AQ430" s="8"/>
      <c r="AR430" s="8"/>
      <c r="AS430" s="8"/>
      <c r="A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184"/>
      <c r="Z431" s="184"/>
      <c r="AA431" s="184"/>
      <c r="AB431" s="184"/>
      <c r="AC431" s="8"/>
      <c r="AD431" s="8"/>
      <c r="AE431" s="8"/>
      <c r="AF431" s="8"/>
      <c r="AG431" s="191"/>
      <c r="AH431" s="191"/>
      <c r="AI431" s="191"/>
      <c r="AJ431" s="8"/>
      <c r="AK431" s="8"/>
      <c r="AL431" s="8"/>
      <c r="AM431" s="8"/>
      <c r="AN431" s="8"/>
      <c r="AO431" s="8"/>
      <c r="AP431" s="8"/>
      <c r="AQ431" s="8"/>
      <c r="AR431" s="8"/>
      <c r="AS431" s="8"/>
      <c r="A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184"/>
      <c r="Z432" s="184"/>
      <c r="AA432" s="184"/>
      <c r="AB432" s="184"/>
      <c r="AC432" s="8"/>
      <c r="AD432" s="8"/>
      <c r="AE432" s="8"/>
      <c r="AF432" s="8"/>
      <c r="AG432" s="191"/>
      <c r="AH432" s="191"/>
      <c r="AI432" s="191"/>
      <c r="AJ432" s="8"/>
      <c r="AK432" s="8"/>
      <c r="AL432" s="8"/>
      <c r="AM432" s="8"/>
      <c r="AN432" s="8"/>
      <c r="AO432" s="8"/>
      <c r="AP432" s="8"/>
      <c r="AQ432" s="8"/>
      <c r="AR432" s="8"/>
      <c r="AS432" s="8"/>
      <c r="A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184"/>
      <c r="Z433" s="184"/>
      <c r="AA433" s="184"/>
      <c r="AB433" s="184"/>
      <c r="AC433" s="8"/>
      <c r="AD433" s="8"/>
      <c r="AE433" s="8"/>
      <c r="AF433" s="8"/>
      <c r="AG433" s="191"/>
      <c r="AH433" s="191"/>
      <c r="AI433" s="191"/>
      <c r="AJ433" s="8"/>
      <c r="AK433" s="8"/>
      <c r="AL433" s="8"/>
      <c r="AM433" s="8"/>
      <c r="AN433" s="8"/>
      <c r="AO433" s="8"/>
      <c r="AP433" s="8"/>
      <c r="AQ433" s="8"/>
      <c r="AR433" s="8"/>
      <c r="AS433" s="8"/>
      <c r="A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184"/>
      <c r="Z434" s="184"/>
      <c r="AA434" s="184"/>
      <c r="AB434" s="184"/>
      <c r="AC434" s="8"/>
      <c r="AD434" s="8"/>
      <c r="AE434" s="8"/>
      <c r="AF434" s="8"/>
      <c r="AG434" s="191"/>
      <c r="AH434" s="191"/>
      <c r="AI434" s="191"/>
      <c r="AJ434" s="8"/>
      <c r="AK434" s="8"/>
      <c r="AL434" s="8"/>
      <c r="AM434" s="8"/>
      <c r="AN434" s="8"/>
      <c r="AO434" s="8"/>
      <c r="AP434" s="8"/>
      <c r="AQ434" s="8"/>
      <c r="AR434" s="8"/>
      <c r="AS434" s="8"/>
      <c r="A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184"/>
      <c r="Z435" s="184"/>
      <c r="AA435" s="184"/>
      <c r="AB435" s="184"/>
      <c r="AC435" s="8"/>
      <c r="AD435" s="8"/>
      <c r="AE435" s="8"/>
      <c r="AF435" s="8"/>
      <c r="AG435" s="191"/>
      <c r="AH435" s="191"/>
      <c r="AI435" s="191"/>
      <c r="AJ435" s="8"/>
      <c r="AK435" s="8"/>
      <c r="AL435" s="8"/>
      <c r="AM435" s="8"/>
      <c r="AN435" s="8"/>
      <c r="AO435" s="8"/>
      <c r="AP435" s="8"/>
      <c r="AQ435" s="8"/>
      <c r="AR435" s="8"/>
      <c r="AS435" s="8"/>
      <c r="A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184"/>
      <c r="Z436" s="184"/>
      <c r="AA436" s="184"/>
      <c r="AB436" s="184"/>
      <c r="AC436" s="8"/>
      <c r="AD436" s="8"/>
      <c r="AE436" s="8"/>
      <c r="AF436" s="8"/>
      <c r="AG436" s="191"/>
      <c r="AH436" s="191"/>
      <c r="AI436" s="191"/>
      <c r="AJ436" s="8"/>
      <c r="AK436" s="8"/>
      <c r="AL436" s="8"/>
      <c r="AM436" s="8"/>
      <c r="AN436" s="8"/>
      <c r="AO436" s="8"/>
      <c r="AP436" s="8"/>
      <c r="AQ436" s="8"/>
      <c r="AR436" s="8"/>
      <c r="AS436" s="8"/>
      <c r="A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184"/>
      <c r="Z437" s="184"/>
      <c r="AA437" s="184"/>
      <c r="AB437" s="184"/>
      <c r="AC437" s="8"/>
      <c r="AD437" s="8"/>
      <c r="AE437" s="8"/>
      <c r="AF437" s="8"/>
      <c r="AG437" s="191"/>
      <c r="AH437" s="191"/>
      <c r="AI437" s="191"/>
      <c r="AJ437" s="8"/>
      <c r="AK437" s="8"/>
      <c r="AL437" s="8"/>
      <c r="AM437" s="8"/>
      <c r="AN437" s="8"/>
      <c r="AO437" s="8"/>
      <c r="AP437" s="8"/>
      <c r="AQ437" s="8"/>
      <c r="AR437" s="8"/>
      <c r="AS437" s="8"/>
      <c r="A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184"/>
      <c r="Z438" s="184"/>
      <c r="AA438" s="184"/>
      <c r="AB438" s="184"/>
      <c r="AC438" s="8"/>
      <c r="AD438" s="8"/>
      <c r="AE438" s="8"/>
      <c r="AF438" s="8"/>
      <c r="AG438" s="191"/>
      <c r="AH438" s="191"/>
      <c r="AI438" s="191"/>
      <c r="AJ438" s="8"/>
      <c r="AK438" s="8"/>
      <c r="AL438" s="8"/>
      <c r="AM438" s="8"/>
      <c r="AN438" s="8"/>
      <c r="AO438" s="8"/>
      <c r="AP438" s="8"/>
      <c r="AQ438" s="8"/>
      <c r="AR438" s="8"/>
      <c r="AS438" s="8"/>
      <c r="A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184"/>
      <c r="Z439" s="184"/>
      <c r="AA439" s="184"/>
      <c r="AB439" s="184"/>
      <c r="AC439" s="8"/>
      <c r="AD439" s="8"/>
      <c r="AE439" s="8"/>
      <c r="AF439" s="8"/>
      <c r="AG439" s="191"/>
      <c r="AH439" s="191"/>
      <c r="AI439" s="191"/>
      <c r="AJ439" s="8"/>
      <c r="AK439" s="8"/>
      <c r="AL439" s="8"/>
      <c r="AM439" s="8"/>
      <c r="AN439" s="8"/>
      <c r="AO439" s="8"/>
      <c r="AP439" s="8"/>
      <c r="AQ439" s="8"/>
      <c r="AR439" s="8"/>
      <c r="AS439" s="8"/>
      <c r="A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184"/>
      <c r="Z440" s="184"/>
      <c r="AA440" s="184"/>
      <c r="AB440" s="184"/>
      <c r="AC440" s="8"/>
      <c r="AD440" s="8"/>
      <c r="AE440" s="8"/>
      <c r="AF440" s="8"/>
      <c r="AG440" s="191"/>
      <c r="AH440" s="191"/>
      <c r="AI440" s="191"/>
      <c r="AJ440" s="8"/>
      <c r="AK440" s="8"/>
      <c r="AL440" s="8"/>
      <c r="AM440" s="8"/>
      <c r="AN440" s="8"/>
      <c r="AO440" s="8"/>
      <c r="AP440" s="8"/>
      <c r="AQ440" s="8"/>
      <c r="AR440" s="8"/>
      <c r="AS440" s="8"/>
      <c r="A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184"/>
      <c r="Z441" s="184"/>
      <c r="AA441" s="184"/>
      <c r="AB441" s="184"/>
      <c r="AC441" s="8"/>
      <c r="AD441" s="8"/>
      <c r="AE441" s="8"/>
      <c r="AF441" s="8"/>
      <c r="AG441" s="191"/>
      <c r="AH441" s="191"/>
      <c r="AI441" s="191"/>
      <c r="AJ441" s="8"/>
      <c r="AK441" s="8"/>
      <c r="AL441" s="8"/>
      <c r="AM441" s="8"/>
      <c r="AN441" s="8"/>
      <c r="AO441" s="8"/>
      <c r="AP441" s="8"/>
      <c r="AQ441" s="8"/>
      <c r="AR441" s="8"/>
      <c r="AS441" s="8"/>
      <c r="A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184"/>
      <c r="Z442" s="184"/>
      <c r="AA442" s="184"/>
      <c r="AB442" s="184"/>
      <c r="AC442" s="8"/>
      <c r="AD442" s="8"/>
      <c r="AE442" s="8"/>
      <c r="AF442" s="8"/>
      <c r="AG442" s="191"/>
      <c r="AH442" s="191"/>
      <c r="AI442" s="191"/>
      <c r="AJ442" s="8"/>
      <c r="AK442" s="8"/>
      <c r="AL442" s="8"/>
      <c r="AM442" s="8"/>
      <c r="AN442" s="8"/>
      <c r="AO442" s="8"/>
      <c r="AP442" s="8"/>
      <c r="AQ442" s="8"/>
      <c r="AR442" s="8"/>
      <c r="AS442" s="8"/>
      <c r="A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184"/>
      <c r="Z443" s="184"/>
      <c r="AA443" s="184"/>
      <c r="AB443" s="184"/>
      <c r="AC443" s="8"/>
      <c r="AD443" s="8"/>
      <c r="AE443" s="8"/>
      <c r="AF443" s="8"/>
      <c r="AG443" s="191"/>
      <c r="AH443" s="191"/>
      <c r="AI443" s="191"/>
      <c r="AJ443" s="8"/>
      <c r="AK443" s="8"/>
      <c r="AL443" s="8"/>
      <c r="AM443" s="8"/>
      <c r="AN443" s="8"/>
      <c r="AO443" s="8"/>
      <c r="AP443" s="8"/>
      <c r="AQ443" s="8"/>
      <c r="AR443" s="8"/>
      <c r="AS443" s="8"/>
      <c r="A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184"/>
      <c r="Z444" s="184"/>
      <c r="AA444" s="184"/>
      <c r="AB444" s="184"/>
      <c r="AC444" s="8"/>
      <c r="AD444" s="8"/>
      <c r="AE444" s="8"/>
      <c r="AF444" s="8"/>
      <c r="AG444" s="191"/>
      <c r="AH444" s="191"/>
      <c r="AI444" s="191"/>
      <c r="AJ444" s="8"/>
      <c r="AK444" s="8"/>
      <c r="AL444" s="8"/>
      <c r="AM444" s="8"/>
      <c r="AN444" s="8"/>
      <c r="AO444" s="8"/>
      <c r="AP444" s="8"/>
      <c r="AQ444" s="8"/>
      <c r="AR444" s="8"/>
      <c r="AS444" s="8"/>
      <c r="A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184"/>
      <c r="Z445" s="184"/>
      <c r="AA445" s="184"/>
      <c r="AB445" s="184"/>
      <c r="AC445" s="8"/>
      <c r="AD445" s="8"/>
      <c r="AE445" s="8"/>
      <c r="AF445" s="8"/>
      <c r="AG445" s="191"/>
      <c r="AH445" s="191"/>
      <c r="AI445" s="191"/>
      <c r="AJ445" s="8"/>
      <c r="AK445" s="8"/>
      <c r="AL445" s="8"/>
      <c r="AM445" s="8"/>
      <c r="AN445" s="8"/>
      <c r="AO445" s="8"/>
      <c r="AP445" s="8"/>
      <c r="AQ445" s="8"/>
      <c r="AR445" s="8"/>
      <c r="AS445" s="8"/>
      <c r="A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184"/>
      <c r="Z446" s="184"/>
      <c r="AA446" s="184"/>
      <c r="AB446" s="184"/>
      <c r="AC446" s="8"/>
      <c r="AD446" s="8"/>
      <c r="AE446" s="8"/>
      <c r="AF446" s="8"/>
      <c r="AG446" s="191"/>
      <c r="AH446" s="191"/>
      <c r="AI446" s="191"/>
      <c r="AJ446" s="8"/>
      <c r="AK446" s="8"/>
      <c r="AL446" s="8"/>
      <c r="AM446" s="8"/>
      <c r="AN446" s="8"/>
      <c r="AO446" s="8"/>
      <c r="AP446" s="8"/>
      <c r="AQ446" s="8"/>
      <c r="AR446" s="8"/>
      <c r="AS446" s="8"/>
      <c r="A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184"/>
      <c r="Z447" s="184"/>
      <c r="AA447" s="184"/>
      <c r="AB447" s="184"/>
      <c r="AC447" s="8"/>
      <c r="AD447" s="8"/>
      <c r="AE447" s="8"/>
      <c r="AF447" s="8"/>
      <c r="AG447" s="191"/>
      <c r="AH447" s="191"/>
      <c r="AI447" s="191"/>
      <c r="AJ447" s="8"/>
      <c r="AK447" s="8"/>
      <c r="AL447" s="8"/>
      <c r="AM447" s="8"/>
      <c r="AN447" s="8"/>
      <c r="AO447" s="8"/>
      <c r="AP447" s="8"/>
      <c r="AQ447" s="8"/>
      <c r="AR447" s="8"/>
      <c r="AS447" s="8"/>
      <c r="A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184"/>
      <c r="Z448" s="184"/>
      <c r="AA448" s="184"/>
      <c r="AB448" s="184"/>
      <c r="AC448" s="8"/>
      <c r="AD448" s="8"/>
      <c r="AE448" s="8"/>
      <c r="AF448" s="8"/>
      <c r="AG448" s="191"/>
      <c r="AH448" s="191"/>
      <c r="AI448" s="191"/>
      <c r="AJ448" s="8"/>
      <c r="AK448" s="8"/>
      <c r="AL448" s="8"/>
      <c r="AM448" s="8"/>
      <c r="AN448" s="8"/>
      <c r="AO448" s="8"/>
      <c r="AP448" s="8"/>
      <c r="AQ448" s="8"/>
      <c r="AR448" s="8"/>
      <c r="AS448" s="8"/>
      <c r="A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184"/>
      <c r="Z449" s="184"/>
      <c r="AA449" s="184"/>
      <c r="AB449" s="184"/>
      <c r="AC449" s="8"/>
      <c r="AD449" s="8"/>
      <c r="AE449" s="8"/>
      <c r="AF449" s="8"/>
      <c r="AG449" s="191"/>
      <c r="AH449" s="191"/>
      <c r="AI449" s="191"/>
      <c r="AJ449" s="8"/>
      <c r="AK449" s="8"/>
      <c r="AL449" s="8"/>
      <c r="AM449" s="8"/>
      <c r="AN449" s="8"/>
      <c r="AO449" s="8"/>
      <c r="AP449" s="8"/>
      <c r="AQ449" s="8"/>
      <c r="AR449" s="8"/>
      <c r="AS449" s="8"/>
      <c r="A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184"/>
      <c r="Z450" s="184"/>
      <c r="AA450" s="184"/>
      <c r="AB450" s="184"/>
      <c r="AC450" s="8"/>
      <c r="AD450" s="8"/>
      <c r="AE450" s="8"/>
      <c r="AF450" s="8"/>
      <c r="AG450" s="191"/>
      <c r="AH450" s="191"/>
      <c r="AI450" s="191"/>
      <c r="AJ450" s="8"/>
      <c r="AK450" s="8"/>
      <c r="AL450" s="8"/>
      <c r="AM450" s="8"/>
      <c r="AN450" s="8"/>
      <c r="AO450" s="8"/>
      <c r="AP450" s="8"/>
      <c r="AQ450" s="8"/>
      <c r="AR450" s="8"/>
      <c r="AS450" s="8"/>
      <c r="A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184"/>
      <c r="Z451" s="184"/>
      <c r="AA451" s="184"/>
      <c r="AB451" s="184"/>
      <c r="AC451" s="8"/>
      <c r="AD451" s="8"/>
      <c r="AE451" s="8"/>
      <c r="AF451" s="8"/>
      <c r="AG451" s="191"/>
      <c r="AH451" s="191"/>
      <c r="AI451" s="191"/>
      <c r="AJ451" s="8"/>
      <c r="AK451" s="8"/>
      <c r="AL451" s="8"/>
      <c r="AM451" s="8"/>
      <c r="AN451" s="8"/>
      <c r="AO451" s="8"/>
      <c r="AP451" s="8"/>
      <c r="AQ451" s="8"/>
      <c r="AR451" s="8"/>
      <c r="AS451" s="8"/>
      <c r="A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184"/>
      <c r="Z452" s="184"/>
      <c r="AA452" s="184"/>
      <c r="AB452" s="184"/>
      <c r="AC452" s="8"/>
      <c r="AD452" s="8"/>
      <c r="AE452" s="8"/>
      <c r="AF452" s="8"/>
      <c r="AG452" s="191"/>
      <c r="AH452" s="191"/>
      <c r="AI452" s="191"/>
      <c r="AJ452" s="8"/>
      <c r="AK452" s="8"/>
      <c r="AL452" s="8"/>
      <c r="AM452" s="8"/>
      <c r="AN452" s="8"/>
      <c r="AO452" s="8"/>
      <c r="AP452" s="8"/>
      <c r="AQ452" s="8"/>
      <c r="AR452" s="8"/>
      <c r="AS452" s="8"/>
      <c r="A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184"/>
      <c r="Z453" s="184"/>
      <c r="AA453" s="184"/>
      <c r="AB453" s="184"/>
      <c r="AC453" s="8"/>
      <c r="AD453" s="8"/>
      <c r="AE453" s="8"/>
      <c r="AF453" s="8"/>
      <c r="AG453" s="191"/>
      <c r="AH453" s="191"/>
      <c r="AI453" s="191"/>
      <c r="AJ453" s="8"/>
      <c r="AK453" s="8"/>
      <c r="AL453" s="8"/>
      <c r="AM453" s="8"/>
      <c r="AN453" s="8"/>
      <c r="AO453" s="8"/>
      <c r="AP453" s="8"/>
      <c r="AQ453" s="8"/>
      <c r="AR453" s="8"/>
      <c r="AS453" s="8"/>
      <c r="A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184"/>
      <c r="Z454" s="184"/>
      <c r="AA454" s="184"/>
      <c r="AB454" s="184"/>
      <c r="AC454" s="8"/>
      <c r="AD454" s="8"/>
      <c r="AE454" s="8"/>
      <c r="AF454" s="8"/>
      <c r="AG454" s="191"/>
      <c r="AH454" s="191"/>
      <c r="AI454" s="191"/>
      <c r="AJ454" s="8"/>
      <c r="AK454" s="8"/>
      <c r="AL454" s="8"/>
      <c r="AM454" s="8"/>
      <c r="AN454" s="8"/>
      <c r="AO454" s="8"/>
      <c r="AP454" s="8"/>
      <c r="AQ454" s="8"/>
      <c r="AR454" s="8"/>
      <c r="AS454" s="8"/>
      <c r="A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184"/>
      <c r="Z455" s="184"/>
      <c r="AA455" s="184"/>
      <c r="AB455" s="184"/>
      <c r="AC455" s="8"/>
      <c r="AD455" s="8"/>
      <c r="AE455" s="8"/>
      <c r="AF455" s="8"/>
      <c r="AG455" s="191"/>
      <c r="AH455" s="191"/>
      <c r="AI455" s="191"/>
      <c r="AJ455" s="8"/>
      <c r="AK455" s="8"/>
      <c r="AL455" s="8"/>
      <c r="AM455" s="8"/>
      <c r="AN455" s="8"/>
      <c r="AO455" s="8"/>
      <c r="AP455" s="8"/>
      <c r="AQ455" s="8"/>
      <c r="AR455" s="8"/>
      <c r="AS455" s="8"/>
      <c r="A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184"/>
      <c r="Z456" s="184"/>
      <c r="AA456" s="184"/>
      <c r="AB456" s="184"/>
      <c r="AC456" s="8"/>
      <c r="AD456" s="8"/>
      <c r="AE456" s="8"/>
      <c r="AF456" s="8"/>
      <c r="AG456" s="191"/>
      <c r="AH456" s="191"/>
      <c r="AI456" s="191"/>
      <c r="AJ456" s="8"/>
      <c r="AK456" s="8"/>
      <c r="AL456" s="8"/>
      <c r="AM456" s="8"/>
      <c r="AN456" s="8"/>
      <c r="AO456" s="8"/>
      <c r="AP456" s="8"/>
      <c r="AQ456" s="8"/>
      <c r="AR456" s="8"/>
      <c r="AS456" s="8"/>
      <c r="A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184"/>
      <c r="Z457" s="184"/>
      <c r="AA457" s="184"/>
      <c r="AB457" s="184"/>
      <c r="AC457" s="8"/>
      <c r="AD457" s="8"/>
      <c r="AE457" s="8"/>
      <c r="AF457" s="8"/>
      <c r="AG457" s="191"/>
      <c r="AH457" s="191"/>
      <c r="AI457" s="191"/>
      <c r="AJ457" s="8"/>
      <c r="AK457" s="8"/>
      <c r="AL457" s="8"/>
      <c r="AM457" s="8"/>
      <c r="AN457" s="8"/>
      <c r="AO457" s="8"/>
      <c r="AP457" s="8"/>
      <c r="AQ457" s="8"/>
      <c r="AR457" s="8"/>
      <c r="AS457" s="8"/>
      <c r="A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184"/>
      <c r="Z458" s="184"/>
      <c r="AA458" s="184"/>
      <c r="AB458" s="184"/>
      <c r="AC458" s="8"/>
      <c r="AD458" s="8"/>
      <c r="AE458" s="8"/>
      <c r="AF458" s="8"/>
      <c r="AG458" s="191"/>
      <c r="AH458" s="191"/>
      <c r="AI458" s="191"/>
      <c r="AJ458" s="8"/>
      <c r="AK458" s="8"/>
      <c r="AL458" s="8"/>
      <c r="AM458" s="8"/>
      <c r="AN458" s="8"/>
      <c r="AO458" s="8"/>
      <c r="AP458" s="8"/>
      <c r="AQ458" s="8"/>
      <c r="AR458" s="8"/>
      <c r="AS458" s="8"/>
      <c r="A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184"/>
      <c r="Z459" s="184"/>
      <c r="AA459" s="184"/>
      <c r="AB459" s="184"/>
      <c r="AC459" s="8"/>
      <c r="AD459" s="8"/>
      <c r="AE459" s="8"/>
      <c r="AF459" s="8"/>
      <c r="AG459" s="191"/>
      <c r="AH459" s="191"/>
      <c r="AI459" s="191"/>
      <c r="AJ459" s="8"/>
      <c r="AK459" s="8"/>
      <c r="AL459" s="8"/>
      <c r="AM459" s="8"/>
      <c r="AN459" s="8"/>
      <c r="AO459" s="8"/>
      <c r="AP459" s="8"/>
      <c r="AQ459" s="8"/>
      <c r="AR459" s="8"/>
      <c r="AS459" s="8"/>
      <c r="A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184"/>
      <c r="Z460" s="184"/>
      <c r="AA460" s="184"/>
      <c r="AB460" s="184"/>
      <c r="AC460" s="8"/>
      <c r="AD460" s="8"/>
      <c r="AE460" s="8"/>
      <c r="AF460" s="8"/>
      <c r="AG460" s="191"/>
      <c r="AH460" s="191"/>
      <c r="AI460" s="191"/>
      <c r="AJ460" s="8"/>
      <c r="AK460" s="8"/>
      <c r="AL460" s="8"/>
      <c r="AM460" s="8"/>
      <c r="AN460" s="8"/>
      <c r="AO460" s="8"/>
      <c r="AP460" s="8"/>
      <c r="AQ460" s="8"/>
      <c r="AR460" s="8"/>
      <c r="AS460" s="8"/>
      <c r="A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184"/>
      <c r="Z461" s="184"/>
      <c r="AA461" s="184"/>
      <c r="AB461" s="184"/>
      <c r="AC461" s="8"/>
      <c r="AD461" s="8"/>
      <c r="AE461" s="8"/>
      <c r="AF461" s="8"/>
      <c r="AG461" s="191"/>
      <c r="AH461" s="191"/>
      <c r="AI461" s="191"/>
      <c r="AJ461" s="8"/>
      <c r="AK461" s="8"/>
      <c r="AL461" s="8"/>
      <c r="AM461" s="8"/>
      <c r="AN461" s="8"/>
      <c r="AO461" s="8"/>
      <c r="AP461" s="8"/>
      <c r="AQ461" s="8"/>
      <c r="AR461" s="8"/>
      <c r="AS461" s="8"/>
      <c r="A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184"/>
      <c r="Z462" s="184"/>
      <c r="AA462" s="184"/>
      <c r="AB462" s="184"/>
      <c r="AC462" s="8"/>
      <c r="AD462" s="8"/>
      <c r="AE462" s="8"/>
      <c r="AF462" s="8"/>
      <c r="AG462" s="191"/>
      <c r="AH462" s="191"/>
      <c r="AI462" s="191"/>
      <c r="AJ462" s="8"/>
      <c r="AK462" s="8"/>
      <c r="AL462" s="8"/>
      <c r="AM462" s="8"/>
      <c r="AN462" s="8"/>
      <c r="AO462" s="8"/>
      <c r="AP462" s="8"/>
      <c r="AQ462" s="8"/>
      <c r="AR462" s="8"/>
      <c r="AS462" s="8"/>
      <c r="A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184"/>
      <c r="Z463" s="184"/>
      <c r="AA463" s="184"/>
      <c r="AB463" s="184"/>
      <c r="AC463" s="8"/>
      <c r="AD463" s="8"/>
      <c r="AE463" s="8"/>
      <c r="AF463" s="8"/>
      <c r="AG463" s="191"/>
      <c r="AH463" s="191"/>
      <c r="AI463" s="191"/>
      <c r="AJ463" s="8"/>
      <c r="AK463" s="8"/>
      <c r="AL463" s="8"/>
      <c r="AM463" s="8"/>
      <c r="AN463" s="8"/>
      <c r="AO463" s="8"/>
      <c r="AP463" s="8"/>
      <c r="AQ463" s="8"/>
      <c r="AR463" s="8"/>
      <c r="AS463" s="8"/>
      <c r="A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184"/>
      <c r="Z464" s="184"/>
      <c r="AA464" s="184"/>
      <c r="AB464" s="184"/>
      <c r="AC464" s="8"/>
      <c r="AD464" s="8"/>
      <c r="AE464" s="8"/>
      <c r="AF464" s="8"/>
      <c r="AG464" s="191"/>
      <c r="AH464" s="191"/>
      <c r="AI464" s="191"/>
      <c r="AJ464" s="8"/>
      <c r="AK464" s="8"/>
      <c r="AL464" s="8"/>
      <c r="AM464" s="8"/>
      <c r="AN464" s="8"/>
      <c r="AO464" s="8"/>
      <c r="AP464" s="8"/>
      <c r="AQ464" s="8"/>
      <c r="AR464" s="8"/>
      <c r="AS464" s="8"/>
      <c r="A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184"/>
      <c r="Z465" s="184"/>
      <c r="AA465" s="184"/>
      <c r="AB465" s="184"/>
      <c r="AC465" s="8"/>
      <c r="AD465" s="8"/>
      <c r="AE465" s="8"/>
      <c r="AF465" s="8"/>
      <c r="AG465" s="191"/>
      <c r="AH465" s="191"/>
      <c r="AI465" s="191"/>
      <c r="AJ465" s="8"/>
      <c r="AK465" s="8"/>
      <c r="AL465" s="8"/>
      <c r="AM465" s="8"/>
      <c r="AN465" s="8"/>
      <c r="AO465" s="8"/>
      <c r="AP465" s="8"/>
      <c r="AQ465" s="8"/>
      <c r="AR465" s="8"/>
      <c r="AS465" s="8"/>
      <c r="A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184"/>
      <c r="Z466" s="184"/>
      <c r="AA466" s="184"/>
      <c r="AB466" s="184"/>
      <c r="AC466" s="8"/>
      <c r="AD466" s="8"/>
      <c r="AE466" s="8"/>
      <c r="AF466" s="8"/>
      <c r="AG466" s="191"/>
      <c r="AH466" s="191"/>
      <c r="AI466" s="191"/>
      <c r="AJ466" s="8"/>
      <c r="AK466" s="8"/>
      <c r="AL466" s="8"/>
      <c r="AM466" s="8"/>
      <c r="AN466" s="8"/>
      <c r="AO466" s="8"/>
      <c r="AP466" s="8"/>
      <c r="AQ466" s="8"/>
      <c r="AR466" s="8"/>
      <c r="AS466" s="8"/>
      <c r="A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184"/>
      <c r="Z467" s="184"/>
      <c r="AA467" s="184"/>
      <c r="AB467" s="184"/>
      <c r="AC467" s="8"/>
      <c r="AD467" s="8"/>
      <c r="AE467" s="8"/>
      <c r="AF467" s="8"/>
      <c r="AG467" s="191"/>
      <c r="AH467" s="191"/>
      <c r="AI467" s="191"/>
      <c r="AJ467" s="8"/>
      <c r="AK467" s="8"/>
      <c r="AL467" s="8"/>
      <c r="AM467" s="8"/>
      <c r="AN467" s="8"/>
      <c r="AO467" s="8"/>
      <c r="AP467" s="8"/>
      <c r="AQ467" s="8"/>
      <c r="AR467" s="8"/>
      <c r="AS467" s="8"/>
      <c r="A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184"/>
      <c r="Z468" s="184"/>
      <c r="AA468" s="184"/>
      <c r="AB468" s="184"/>
      <c r="AC468" s="8"/>
      <c r="AD468" s="8"/>
      <c r="AE468" s="8"/>
      <c r="AF468" s="8"/>
      <c r="AG468" s="191"/>
      <c r="AH468" s="191"/>
      <c r="AI468" s="191"/>
      <c r="AJ468" s="8"/>
      <c r="AK468" s="8"/>
      <c r="AL468" s="8"/>
      <c r="AM468" s="8"/>
      <c r="AN468" s="8"/>
      <c r="AO468" s="8"/>
      <c r="AP468" s="8"/>
      <c r="AQ468" s="8"/>
      <c r="AR468" s="8"/>
      <c r="AS468" s="8"/>
      <c r="A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184"/>
      <c r="Z469" s="184"/>
      <c r="AA469" s="184"/>
      <c r="AB469" s="184"/>
      <c r="AC469" s="8"/>
      <c r="AD469" s="8"/>
      <c r="AE469" s="8"/>
      <c r="AF469" s="8"/>
      <c r="AG469" s="191"/>
      <c r="AH469" s="191"/>
      <c r="AI469" s="191"/>
      <c r="AJ469" s="8"/>
      <c r="AK469" s="8"/>
      <c r="AL469" s="8"/>
      <c r="AM469" s="8"/>
      <c r="AN469" s="8"/>
      <c r="AO469" s="8"/>
      <c r="AP469" s="8"/>
      <c r="AQ469" s="8"/>
      <c r="AR469" s="8"/>
      <c r="AS469" s="8"/>
      <c r="A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184"/>
      <c r="Z470" s="184"/>
      <c r="AA470" s="184"/>
      <c r="AB470" s="184"/>
      <c r="AC470" s="8"/>
      <c r="AD470" s="8"/>
      <c r="AE470" s="8"/>
      <c r="AF470" s="8"/>
      <c r="AG470" s="191"/>
      <c r="AH470" s="191"/>
      <c r="AI470" s="191"/>
      <c r="AJ470" s="8"/>
      <c r="AK470" s="8"/>
      <c r="AL470" s="8"/>
      <c r="AM470" s="8"/>
      <c r="AN470" s="8"/>
      <c r="AO470" s="8"/>
      <c r="AP470" s="8"/>
      <c r="AQ470" s="8"/>
      <c r="AR470" s="8"/>
      <c r="AS470" s="8"/>
      <c r="A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184"/>
      <c r="Z471" s="184"/>
      <c r="AA471" s="184"/>
      <c r="AB471" s="184"/>
      <c r="AC471" s="8"/>
      <c r="AD471" s="8"/>
      <c r="AE471" s="8"/>
      <c r="AF471" s="8"/>
      <c r="AG471" s="191"/>
      <c r="AH471" s="191"/>
      <c r="AI471" s="191"/>
      <c r="AJ471" s="8"/>
      <c r="AK471" s="8"/>
      <c r="AL471" s="8"/>
      <c r="AM471" s="8"/>
      <c r="AN471" s="8"/>
      <c r="AO471" s="8"/>
      <c r="AP471" s="8"/>
      <c r="AQ471" s="8"/>
      <c r="AR471" s="8"/>
      <c r="AS471" s="8"/>
      <c r="A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184"/>
      <c r="Z472" s="184"/>
      <c r="AA472" s="184"/>
      <c r="AB472" s="184"/>
      <c r="AC472" s="8"/>
      <c r="AD472" s="8"/>
      <c r="AE472" s="8"/>
      <c r="AF472" s="8"/>
      <c r="AG472" s="191"/>
      <c r="AH472" s="191"/>
      <c r="AI472" s="191"/>
      <c r="AJ472" s="8"/>
      <c r="AK472" s="8"/>
      <c r="AL472" s="8"/>
      <c r="AM472" s="8"/>
      <c r="AN472" s="8"/>
      <c r="AO472" s="8"/>
      <c r="AP472" s="8"/>
      <c r="AQ472" s="8"/>
      <c r="AR472" s="8"/>
      <c r="AS472" s="8"/>
      <c r="A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184"/>
      <c r="Z473" s="184"/>
      <c r="AA473" s="184"/>
      <c r="AB473" s="184"/>
      <c r="AC473" s="8"/>
      <c r="AD473" s="8"/>
      <c r="AE473" s="8"/>
      <c r="AF473" s="8"/>
      <c r="AG473" s="191"/>
      <c r="AH473" s="191"/>
      <c r="AI473" s="191"/>
      <c r="AJ473" s="8"/>
      <c r="AK473" s="8"/>
      <c r="AL473" s="8"/>
      <c r="AM473" s="8"/>
      <c r="AN473" s="8"/>
      <c r="AO473" s="8"/>
      <c r="AP473" s="8"/>
      <c r="AQ473" s="8"/>
      <c r="AR473" s="8"/>
      <c r="AS473" s="8"/>
      <c r="A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184"/>
      <c r="Z474" s="184"/>
      <c r="AA474" s="184"/>
      <c r="AB474" s="184"/>
      <c r="AC474" s="8"/>
      <c r="AD474" s="8"/>
      <c r="AE474" s="8"/>
      <c r="AF474" s="8"/>
      <c r="AG474" s="191"/>
      <c r="AH474" s="191"/>
      <c r="AI474" s="191"/>
      <c r="AJ474" s="8"/>
      <c r="AK474" s="8"/>
      <c r="AL474" s="8"/>
      <c r="AM474" s="8"/>
      <c r="AN474" s="8"/>
      <c r="AO474" s="8"/>
      <c r="AP474" s="8"/>
      <c r="AQ474" s="8"/>
      <c r="AR474" s="8"/>
      <c r="AS474" s="8"/>
      <c r="A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184"/>
      <c r="Z475" s="184"/>
      <c r="AA475" s="184"/>
      <c r="AB475" s="184"/>
      <c r="AC475" s="8"/>
      <c r="AD475" s="8"/>
      <c r="AE475" s="8"/>
      <c r="AF475" s="8"/>
      <c r="AG475" s="191"/>
      <c r="AH475" s="191"/>
      <c r="AI475" s="191"/>
      <c r="AJ475" s="8"/>
      <c r="AK475" s="8"/>
      <c r="AL475" s="8"/>
      <c r="AM475" s="8"/>
      <c r="AN475" s="8"/>
      <c r="AO475" s="8"/>
      <c r="AP475" s="8"/>
      <c r="AQ475" s="8"/>
      <c r="AR475" s="8"/>
      <c r="AS475" s="8"/>
      <c r="A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184"/>
      <c r="Z476" s="184"/>
      <c r="AA476" s="184"/>
      <c r="AB476" s="184"/>
      <c r="AC476" s="8"/>
      <c r="AD476" s="8"/>
      <c r="AE476" s="8"/>
      <c r="AF476" s="8"/>
      <c r="AG476" s="191"/>
      <c r="AH476" s="191"/>
      <c r="AI476" s="191"/>
      <c r="AJ476" s="8"/>
      <c r="AK476" s="8"/>
      <c r="AL476" s="8"/>
      <c r="AM476" s="8"/>
      <c r="AN476" s="8"/>
      <c r="AO476" s="8"/>
      <c r="AP476" s="8"/>
      <c r="AQ476" s="8"/>
      <c r="AR476" s="8"/>
      <c r="AS476" s="8"/>
      <c r="A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184"/>
      <c r="Z477" s="184"/>
      <c r="AA477" s="184"/>
      <c r="AB477" s="184"/>
      <c r="AC477" s="8"/>
      <c r="AD477" s="8"/>
      <c r="AE477" s="8"/>
      <c r="AF477" s="8"/>
      <c r="AG477" s="191"/>
      <c r="AH477" s="191"/>
      <c r="AI477" s="191"/>
      <c r="AJ477" s="8"/>
      <c r="AK477" s="8"/>
      <c r="AL477" s="8"/>
      <c r="AM477" s="8"/>
      <c r="AN477" s="8"/>
      <c r="AO477" s="8"/>
      <c r="AP477" s="8"/>
      <c r="AQ477" s="8"/>
      <c r="AR477" s="8"/>
      <c r="AS477" s="8"/>
      <c r="A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184"/>
      <c r="Z478" s="184"/>
      <c r="AA478" s="184"/>
      <c r="AB478" s="184"/>
      <c r="AC478" s="8"/>
      <c r="AD478" s="8"/>
      <c r="AE478" s="8"/>
      <c r="AF478" s="8"/>
      <c r="AG478" s="191"/>
      <c r="AH478" s="191"/>
      <c r="AI478" s="191"/>
      <c r="AJ478" s="8"/>
      <c r="AK478" s="8"/>
      <c r="AL478" s="8"/>
      <c r="AM478" s="8"/>
      <c r="AN478" s="8"/>
      <c r="AO478" s="8"/>
      <c r="AP478" s="8"/>
      <c r="AQ478" s="8"/>
      <c r="AR478" s="8"/>
      <c r="AS478" s="8"/>
      <c r="A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184"/>
      <c r="Z479" s="184"/>
      <c r="AA479" s="184"/>
      <c r="AB479" s="184"/>
      <c r="AC479" s="8"/>
      <c r="AD479" s="8"/>
      <c r="AE479" s="8"/>
      <c r="AF479" s="8"/>
      <c r="AG479" s="191"/>
      <c r="AH479" s="191"/>
      <c r="AI479" s="191"/>
      <c r="AJ479" s="8"/>
      <c r="AK479" s="8"/>
      <c r="AL479" s="8"/>
      <c r="AM479" s="8"/>
      <c r="AN479" s="8"/>
      <c r="AO479" s="8"/>
      <c r="AP479" s="8"/>
      <c r="AQ479" s="8"/>
      <c r="AR479" s="8"/>
      <c r="AS479" s="8"/>
      <c r="A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184"/>
      <c r="Z480" s="184"/>
      <c r="AA480" s="184"/>
      <c r="AB480" s="184"/>
      <c r="AC480" s="8"/>
      <c r="AD480" s="8"/>
      <c r="AE480" s="8"/>
      <c r="AF480" s="8"/>
      <c r="AG480" s="191"/>
      <c r="AH480" s="191"/>
      <c r="AI480" s="191"/>
      <c r="AJ480" s="8"/>
      <c r="AK480" s="8"/>
      <c r="AL480" s="8"/>
      <c r="AM480" s="8"/>
      <c r="AN480" s="8"/>
      <c r="AO480" s="8"/>
      <c r="AP480" s="8"/>
      <c r="AQ480" s="8"/>
      <c r="AR480" s="8"/>
      <c r="AS480" s="8"/>
      <c r="A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184"/>
      <c r="Z481" s="184"/>
      <c r="AA481" s="184"/>
      <c r="AB481" s="184"/>
      <c r="AC481" s="8"/>
      <c r="AD481" s="8"/>
      <c r="AE481" s="8"/>
      <c r="AF481" s="8"/>
      <c r="AG481" s="191"/>
      <c r="AH481" s="191"/>
      <c r="AI481" s="191"/>
      <c r="AJ481" s="8"/>
      <c r="AK481" s="8"/>
      <c r="AL481" s="8"/>
      <c r="AM481" s="8"/>
      <c r="AN481" s="8"/>
      <c r="AO481" s="8"/>
      <c r="AP481" s="8"/>
      <c r="AQ481" s="8"/>
      <c r="AR481" s="8"/>
      <c r="AS481" s="8"/>
      <c r="A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184"/>
      <c r="Z482" s="184"/>
      <c r="AA482" s="184"/>
      <c r="AB482" s="184"/>
      <c r="AC482" s="8"/>
      <c r="AD482" s="8"/>
      <c r="AE482" s="8"/>
      <c r="AF482" s="8"/>
      <c r="AG482" s="191"/>
      <c r="AH482" s="191"/>
      <c r="AI482" s="191"/>
      <c r="AJ482" s="8"/>
      <c r="AK482" s="8"/>
      <c r="AL482" s="8"/>
      <c r="AM482" s="8"/>
      <c r="AN482" s="8"/>
      <c r="AO482" s="8"/>
      <c r="AP482" s="8"/>
      <c r="AQ482" s="8"/>
      <c r="AR482" s="8"/>
      <c r="AS482" s="8"/>
      <c r="A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184"/>
      <c r="Z483" s="184"/>
      <c r="AA483" s="184"/>
      <c r="AB483" s="184"/>
      <c r="AC483" s="8"/>
      <c r="AD483" s="8"/>
      <c r="AE483" s="8"/>
      <c r="AF483" s="8"/>
      <c r="AG483" s="191"/>
      <c r="AH483" s="191"/>
      <c r="AI483" s="191"/>
      <c r="AJ483" s="8"/>
      <c r="AK483" s="8"/>
      <c r="AL483" s="8"/>
      <c r="AM483" s="8"/>
      <c r="AN483" s="8"/>
      <c r="AO483" s="8"/>
      <c r="AP483" s="8"/>
      <c r="AQ483" s="8"/>
      <c r="AR483" s="8"/>
      <c r="AS483" s="8"/>
      <c r="A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184"/>
      <c r="Z484" s="184"/>
      <c r="AA484" s="184"/>
      <c r="AB484" s="184"/>
      <c r="AC484" s="8"/>
      <c r="AD484" s="8"/>
      <c r="AE484" s="8"/>
      <c r="AF484" s="8"/>
      <c r="AG484" s="191"/>
      <c r="AH484" s="191"/>
      <c r="AI484" s="191"/>
      <c r="AJ484" s="8"/>
      <c r="AK484" s="8"/>
      <c r="AL484" s="8"/>
      <c r="AM484" s="8"/>
      <c r="AN484" s="8"/>
      <c r="AO484" s="8"/>
      <c r="AP484" s="8"/>
      <c r="AQ484" s="8"/>
      <c r="AR484" s="8"/>
      <c r="AS484" s="8"/>
      <c r="A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184"/>
      <c r="Z485" s="184"/>
      <c r="AA485" s="184"/>
      <c r="AB485" s="184"/>
      <c r="AC485" s="8"/>
      <c r="AD485" s="8"/>
      <c r="AE485" s="8"/>
      <c r="AF485" s="8"/>
      <c r="AG485" s="191"/>
      <c r="AH485" s="191"/>
      <c r="AI485" s="191"/>
      <c r="AJ485" s="8"/>
      <c r="AK485" s="8"/>
      <c r="AL485" s="8"/>
      <c r="AM485" s="8"/>
      <c r="AN485" s="8"/>
      <c r="AO485" s="8"/>
      <c r="AP485" s="8"/>
      <c r="AQ485" s="8"/>
      <c r="AR485" s="8"/>
      <c r="AS485" s="8"/>
      <c r="AT485" s="8"/>
    </row>
    <row r="486">
      <c r="A486" s="197"/>
      <c r="B486" s="198"/>
      <c r="C486" s="379"/>
      <c r="D486" s="197"/>
      <c r="E486" s="198"/>
      <c r="F486" s="379"/>
      <c r="G486" s="197"/>
      <c r="H486" s="198"/>
      <c r="I486" s="379"/>
      <c r="J486" s="197"/>
      <c r="K486" s="198"/>
      <c r="L486" s="379"/>
      <c r="M486" s="197"/>
      <c r="N486" s="198"/>
      <c r="O486" s="379"/>
      <c r="P486" s="197"/>
      <c r="Q486" s="198"/>
      <c r="R486" s="379"/>
      <c r="S486" s="197"/>
      <c r="T486" s="198"/>
      <c r="U486" s="379"/>
      <c r="V486" s="197"/>
      <c r="W486" s="198"/>
      <c r="X486" s="379"/>
      <c r="Y486" s="184"/>
      <c r="Z486" s="184"/>
      <c r="AA486" s="184"/>
      <c r="AB486" s="184"/>
      <c r="AC486" s="8"/>
      <c r="AD486" s="8"/>
      <c r="AE486" s="8"/>
      <c r="AF486" s="8"/>
      <c r="AG486" s="191"/>
      <c r="AH486" s="191"/>
      <c r="AI486" s="191"/>
      <c r="AJ486" s="8"/>
      <c r="AK486" s="8"/>
      <c r="AL486" s="8"/>
      <c r="AM486" s="8"/>
      <c r="AN486" s="8"/>
      <c r="AO486" s="8"/>
      <c r="AP486" s="8"/>
      <c r="AQ486" s="8"/>
      <c r="AR486" s="8"/>
      <c r="AS486" s="8"/>
      <c r="AT486" s="8"/>
    </row>
    <row r="487">
      <c r="A487" s="197"/>
      <c r="B487" s="198"/>
      <c r="C487" s="379"/>
      <c r="D487" s="197"/>
      <c r="E487" s="198"/>
      <c r="F487" s="379"/>
      <c r="G487" s="197"/>
      <c r="H487" s="198"/>
      <c r="I487" s="379"/>
      <c r="J487" s="197"/>
      <c r="K487" s="198"/>
      <c r="L487" s="379"/>
      <c r="M487" s="197"/>
      <c r="N487" s="198"/>
      <c r="O487" s="379"/>
      <c r="P487" s="197"/>
      <c r="Q487" s="198"/>
      <c r="R487" s="379"/>
      <c r="S487" s="197"/>
      <c r="T487" s="198"/>
      <c r="U487" s="379"/>
      <c r="V487" s="197"/>
      <c r="W487" s="198"/>
      <c r="X487" s="379"/>
      <c r="Y487" s="184"/>
      <c r="Z487" s="184"/>
      <c r="AA487" s="184"/>
      <c r="AB487" s="184"/>
      <c r="AC487" s="8"/>
      <c r="AD487" s="8"/>
      <c r="AE487" s="8"/>
      <c r="AF487" s="8"/>
      <c r="AG487" s="191"/>
      <c r="AH487" s="191"/>
      <c r="AI487" s="191"/>
      <c r="AJ487" s="8"/>
      <c r="AK487" s="8"/>
      <c r="AL487" s="8"/>
      <c r="AM487" s="8"/>
      <c r="AN487" s="8"/>
      <c r="AO487" s="8"/>
      <c r="AP487" s="8"/>
      <c r="AQ487" s="8"/>
      <c r="AR487" s="8"/>
      <c r="AS487" s="8"/>
      <c r="AT487" s="8"/>
    </row>
    <row r="488">
      <c r="A488" s="197"/>
      <c r="B488" s="198"/>
      <c r="C488" s="379"/>
      <c r="D488" s="197"/>
      <c r="E488" s="198"/>
      <c r="F488" s="379"/>
      <c r="G488" s="197"/>
      <c r="H488" s="198"/>
      <c r="I488" s="379"/>
      <c r="J488" s="197"/>
      <c r="K488" s="198"/>
      <c r="L488" s="379"/>
      <c r="M488" s="197"/>
      <c r="N488" s="198"/>
      <c r="O488" s="379"/>
      <c r="P488" s="197"/>
      <c r="Q488" s="198"/>
      <c r="R488" s="379"/>
      <c r="S488" s="197"/>
      <c r="T488" s="198"/>
      <c r="U488" s="379"/>
      <c r="V488" s="197"/>
      <c r="W488" s="198"/>
      <c r="X488" s="379"/>
      <c r="Y488" s="184"/>
      <c r="Z488" s="184"/>
      <c r="AA488" s="184"/>
      <c r="AB488" s="184"/>
      <c r="AC488" s="8"/>
      <c r="AD488" s="8"/>
      <c r="AE488" s="8"/>
      <c r="AF488" s="8"/>
      <c r="AG488" s="191"/>
      <c r="AH488" s="191"/>
      <c r="AI488" s="191"/>
      <c r="AJ488" s="8"/>
      <c r="AK488" s="8"/>
      <c r="AL488" s="8"/>
      <c r="AM488" s="8"/>
      <c r="AN488" s="8"/>
      <c r="AO488" s="8"/>
      <c r="AP488" s="8"/>
      <c r="AQ488" s="8"/>
      <c r="AR488" s="8"/>
      <c r="AS488" s="8"/>
      <c r="AT488" s="8"/>
    </row>
    <row r="489">
      <c r="A489" s="197"/>
      <c r="B489" s="198"/>
      <c r="C489" s="379"/>
      <c r="D489" s="197"/>
      <c r="E489" s="198"/>
      <c r="F489" s="379"/>
      <c r="G489" s="197"/>
      <c r="H489" s="198"/>
      <c r="I489" s="379"/>
      <c r="J489" s="197"/>
      <c r="K489" s="198"/>
      <c r="L489" s="379"/>
      <c r="M489" s="197"/>
      <c r="N489" s="198"/>
      <c r="O489" s="379"/>
      <c r="P489" s="197"/>
      <c r="Q489" s="198"/>
      <c r="R489" s="379"/>
      <c r="S489" s="197"/>
      <c r="T489" s="198"/>
      <c r="U489" s="379"/>
      <c r="V489" s="197"/>
      <c r="W489" s="198"/>
      <c r="X489" s="379"/>
      <c r="Y489" s="184"/>
      <c r="Z489" s="184"/>
      <c r="AA489" s="184"/>
      <c r="AB489" s="184"/>
      <c r="AC489" s="8"/>
      <c r="AD489" s="8"/>
      <c r="AE489" s="8"/>
      <c r="AF489" s="8"/>
      <c r="AG489" s="191"/>
      <c r="AH489" s="191"/>
      <c r="AI489" s="191"/>
      <c r="AJ489" s="8"/>
      <c r="AK489" s="8"/>
      <c r="AL489" s="8"/>
      <c r="AM489" s="8"/>
      <c r="AN489" s="8"/>
      <c r="AO489" s="8"/>
      <c r="AP489" s="8"/>
      <c r="AQ489" s="8"/>
      <c r="AR489" s="8"/>
      <c r="AS489" s="8"/>
      <c r="AT489" s="8"/>
    </row>
    <row r="490">
      <c r="A490" s="197"/>
      <c r="B490" s="198"/>
      <c r="C490" s="379"/>
      <c r="D490" s="197"/>
      <c r="E490" s="198"/>
      <c r="F490" s="379"/>
      <c r="G490" s="197"/>
      <c r="H490" s="198"/>
      <c r="I490" s="379"/>
      <c r="J490" s="197"/>
      <c r="K490" s="198"/>
      <c r="L490" s="379"/>
      <c r="M490" s="197"/>
      <c r="N490" s="198"/>
      <c r="O490" s="379"/>
      <c r="P490" s="197"/>
      <c r="Q490" s="198"/>
      <c r="R490" s="379"/>
      <c r="S490" s="197"/>
      <c r="T490" s="198"/>
      <c r="U490" s="379"/>
      <c r="V490" s="197"/>
      <c r="W490" s="198"/>
      <c r="X490" s="379"/>
      <c r="Y490" s="184"/>
      <c r="Z490" s="184"/>
      <c r="AA490" s="184"/>
      <c r="AB490" s="184"/>
      <c r="AC490" s="8"/>
      <c r="AD490" s="8"/>
      <c r="AE490" s="8"/>
      <c r="AF490" s="8"/>
      <c r="AG490" s="191"/>
      <c r="AH490" s="191"/>
      <c r="AI490" s="191"/>
      <c r="AJ490" s="8"/>
      <c r="AK490" s="8"/>
      <c r="AL490" s="8"/>
      <c r="AM490" s="8"/>
      <c r="AN490" s="8"/>
      <c r="AO490" s="8"/>
      <c r="AP490" s="8"/>
      <c r="AQ490" s="8"/>
      <c r="AR490" s="8"/>
      <c r="AS490" s="8"/>
      <c r="AT490" s="8"/>
    </row>
    <row r="491">
      <c r="A491" s="197"/>
      <c r="B491" s="198"/>
      <c r="C491" s="379"/>
      <c r="D491" s="197"/>
      <c r="E491" s="198"/>
      <c r="F491" s="379"/>
      <c r="G491" s="197"/>
      <c r="H491" s="198"/>
      <c r="I491" s="379"/>
      <c r="J491" s="197"/>
      <c r="K491" s="198"/>
      <c r="L491" s="379"/>
      <c r="M491" s="197"/>
      <c r="N491" s="198"/>
      <c r="O491" s="379"/>
      <c r="P491" s="197"/>
      <c r="Q491" s="198"/>
      <c r="R491" s="379"/>
      <c r="S491" s="197"/>
      <c r="T491" s="198"/>
      <c r="U491" s="379"/>
      <c r="V491" s="197"/>
      <c r="W491" s="198"/>
      <c r="X491" s="379"/>
      <c r="Y491" s="184"/>
      <c r="Z491" s="184"/>
      <c r="AA491" s="184"/>
      <c r="AB491" s="184"/>
      <c r="AC491" s="8"/>
      <c r="AD491" s="8"/>
      <c r="AE491" s="8"/>
      <c r="AF491" s="8"/>
      <c r="AG491" s="191"/>
      <c r="AH491" s="191"/>
      <c r="AI491" s="191"/>
      <c r="AJ491" s="8"/>
      <c r="AK491" s="8"/>
      <c r="AL491" s="8"/>
      <c r="AM491" s="8"/>
      <c r="AN491" s="8"/>
      <c r="AO491" s="8"/>
      <c r="AP491" s="8"/>
      <c r="AQ491" s="8"/>
      <c r="AR491" s="8"/>
      <c r="AS491" s="8"/>
      <c r="AT491" s="8"/>
    </row>
    <row r="492">
      <c r="A492" s="197"/>
      <c r="B492" s="198"/>
      <c r="C492" s="379"/>
      <c r="D492" s="197"/>
      <c r="E492" s="198"/>
      <c r="F492" s="379"/>
      <c r="G492" s="197"/>
      <c r="H492" s="198"/>
      <c r="I492" s="379"/>
      <c r="J492" s="197"/>
      <c r="K492" s="198"/>
      <c r="L492" s="379"/>
      <c r="M492" s="197"/>
      <c r="N492" s="198"/>
      <c r="O492" s="379"/>
      <c r="P492" s="197"/>
      <c r="Q492" s="198"/>
      <c r="R492" s="379"/>
      <c r="S492" s="197"/>
      <c r="T492" s="198"/>
      <c r="U492" s="379"/>
      <c r="V492" s="197"/>
      <c r="W492" s="198"/>
      <c r="X492" s="379"/>
      <c r="Y492" s="184"/>
      <c r="Z492" s="184"/>
      <c r="AA492" s="184"/>
      <c r="AB492" s="184"/>
      <c r="AC492" s="8"/>
      <c r="AD492" s="8"/>
      <c r="AE492" s="8"/>
      <c r="AF492" s="8"/>
      <c r="AG492" s="191"/>
      <c r="AH492" s="191"/>
      <c r="AI492" s="191"/>
      <c r="AJ492" s="8"/>
      <c r="AK492" s="8"/>
      <c r="AL492" s="8"/>
      <c r="AM492" s="8"/>
      <c r="AN492" s="8"/>
      <c r="AO492" s="8"/>
      <c r="AP492" s="8"/>
      <c r="AQ492" s="8"/>
      <c r="AR492" s="8"/>
      <c r="AS492" s="8"/>
      <c r="AT492" s="8"/>
    </row>
    <row r="493">
      <c r="A493" s="197"/>
      <c r="B493" s="198"/>
      <c r="C493" s="379"/>
      <c r="D493" s="197"/>
      <c r="E493" s="198"/>
      <c r="F493" s="379"/>
      <c r="G493" s="197"/>
      <c r="H493" s="198"/>
      <c r="I493" s="379"/>
      <c r="J493" s="197"/>
      <c r="K493" s="198"/>
      <c r="L493" s="379"/>
      <c r="M493" s="197"/>
      <c r="N493" s="198"/>
      <c r="O493" s="379"/>
      <c r="P493" s="197"/>
      <c r="Q493" s="198"/>
      <c r="R493" s="379"/>
      <c r="S493" s="197"/>
      <c r="T493" s="198"/>
      <c r="U493" s="379"/>
      <c r="V493" s="197"/>
      <c r="W493" s="198"/>
      <c r="X493" s="379"/>
      <c r="Y493" s="184"/>
      <c r="Z493" s="184"/>
      <c r="AA493" s="184"/>
      <c r="AB493" s="184"/>
      <c r="AC493" s="8"/>
      <c r="AD493" s="8"/>
      <c r="AE493" s="8"/>
      <c r="AF493" s="8"/>
      <c r="AG493" s="191"/>
      <c r="AH493" s="191"/>
      <c r="AI493" s="191"/>
      <c r="AJ493" s="8"/>
      <c r="AK493" s="8"/>
      <c r="AL493" s="8"/>
      <c r="AM493" s="8"/>
      <c r="AN493" s="8"/>
      <c r="AO493" s="8"/>
      <c r="AP493" s="8"/>
      <c r="AQ493" s="8"/>
      <c r="AR493" s="8"/>
      <c r="AS493" s="8"/>
      <c r="AT493" s="8"/>
    </row>
    <row r="494">
      <c r="A494" s="197"/>
      <c r="B494" s="198"/>
      <c r="C494" s="379"/>
      <c r="D494" s="197"/>
      <c r="E494" s="198"/>
      <c r="F494" s="379"/>
      <c r="G494" s="197"/>
      <c r="H494" s="198"/>
      <c r="I494" s="379"/>
      <c r="J494" s="197"/>
      <c r="K494" s="198"/>
      <c r="L494" s="379"/>
      <c r="M494" s="197"/>
      <c r="N494" s="198"/>
      <c r="O494" s="379"/>
      <c r="P494" s="197"/>
      <c r="Q494" s="198"/>
      <c r="R494" s="379"/>
      <c r="S494" s="197"/>
      <c r="T494" s="198"/>
      <c r="U494" s="379"/>
      <c r="V494" s="197"/>
      <c r="W494" s="198"/>
      <c r="X494" s="379"/>
      <c r="Y494" s="184"/>
      <c r="Z494" s="184"/>
      <c r="AA494" s="184"/>
      <c r="AB494" s="184"/>
      <c r="AC494" s="8"/>
      <c r="AD494" s="8"/>
      <c r="AE494" s="8"/>
      <c r="AF494" s="8"/>
      <c r="AG494" s="191"/>
      <c r="AH494" s="191"/>
      <c r="AI494" s="191"/>
      <c r="AJ494" s="8"/>
      <c r="AK494" s="8"/>
      <c r="AL494" s="8"/>
      <c r="AM494" s="8"/>
      <c r="AN494" s="8"/>
      <c r="AO494" s="8"/>
      <c r="AP494" s="8"/>
      <c r="AQ494" s="8"/>
      <c r="AR494" s="8"/>
      <c r="AS494" s="8"/>
      <c r="AT494" s="8"/>
    </row>
    <row r="495">
      <c r="A495" s="197"/>
      <c r="B495" s="198"/>
      <c r="C495" s="379"/>
      <c r="D495" s="197"/>
      <c r="E495" s="198"/>
      <c r="F495" s="379"/>
      <c r="G495" s="197"/>
      <c r="H495" s="198"/>
      <c r="I495" s="379"/>
      <c r="J495" s="197"/>
      <c r="K495" s="198"/>
      <c r="L495" s="379"/>
      <c r="M495" s="197"/>
      <c r="N495" s="198"/>
      <c r="O495" s="379"/>
      <c r="P495" s="197"/>
      <c r="Q495" s="198"/>
      <c r="R495" s="379"/>
      <c r="S495" s="197"/>
      <c r="T495" s="198"/>
      <c r="U495" s="379"/>
      <c r="V495" s="197"/>
      <c r="W495" s="198"/>
      <c r="X495" s="379"/>
      <c r="Y495" s="184"/>
      <c r="Z495" s="184"/>
      <c r="AA495" s="184"/>
      <c r="AB495" s="184"/>
      <c r="AC495" s="8"/>
      <c r="AD495" s="8"/>
      <c r="AE495" s="8"/>
      <c r="AF495" s="8"/>
      <c r="AG495" s="191"/>
      <c r="AH495" s="191"/>
      <c r="AI495" s="191"/>
      <c r="AJ495" s="8"/>
      <c r="AK495" s="8"/>
      <c r="AL495" s="8"/>
      <c r="AM495" s="8"/>
      <c r="AN495" s="8"/>
      <c r="AO495" s="8"/>
      <c r="AP495" s="8"/>
      <c r="AQ495" s="8"/>
      <c r="AR495" s="8"/>
      <c r="AS495" s="8"/>
      <c r="AT495" s="8"/>
    </row>
    <row r="496">
      <c r="A496" s="197"/>
      <c r="B496" s="198"/>
      <c r="C496" s="379"/>
      <c r="D496" s="197"/>
      <c r="E496" s="198"/>
      <c r="F496" s="379"/>
      <c r="G496" s="197"/>
      <c r="H496" s="198"/>
      <c r="I496" s="379"/>
      <c r="J496" s="197"/>
      <c r="K496" s="198"/>
      <c r="L496" s="379"/>
      <c r="M496" s="197"/>
      <c r="N496" s="198"/>
      <c r="O496" s="379"/>
      <c r="P496" s="197"/>
      <c r="Q496" s="198"/>
      <c r="R496" s="379"/>
      <c r="S496" s="197"/>
      <c r="T496" s="198"/>
      <c r="U496" s="379"/>
      <c r="V496" s="197"/>
      <c r="W496" s="198"/>
      <c r="X496" s="379"/>
      <c r="Y496" s="184"/>
      <c r="Z496" s="184"/>
      <c r="AA496" s="184"/>
      <c r="AB496" s="184"/>
      <c r="AC496" s="8"/>
      <c r="AD496" s="8"/>
      <c r="AE496" s="8"/>
      <c r="AF496" s="8"/>
      <c r="AG496" s="191"/>
      <c r="AH496" s="191"/>
      <c r="AI496" s="191"/>
      <c r="AJ496" s="8"/>
      <c r="AK496" s="8"/>
      <c r="AL496" s="8"/>
      <c r="AM496" s="8"/>
      <c r="AN496" s="8"/>
      <c r="AO496" s="8"/>
      <c r="AP496" s="8"/>
      <c r="AQ496" s="8"/>
      <c r="AR496" s="8"/>
      <c r="AS496" s="8"/>
      <c r="AT496" s="8"/>
    </row>
    <row r="497">
      <c r="A497" s="197"/>
      <c r="B497" s="198"/>
      <c r="C497" s="379"/>
      <c r="D497" s="197"/>
      <c r="E497" s="198"/>
      <c r="F497" s="379"/>
      <c r="G497" s="197"/>
      <c r="H497" s="198"/>
      <c r="I497" s="379"/>
      <c r="J497" s="197"/>
      <c r="K497" s="198"/>
      <c r="L497" s="379"/>
      <c r="M497" s="197"/>
      <c r="N497" s="198"/>
      <c r="O497" s="379"/>
      <c r="P497" s="197"/>
      <c r="Q497" s="198"/>
      <c r="R497" s="379"/>
      <c r="S497" s="197"/>
      <c r="T497" s="198"/>
      <c r="U497" s="379"/>
      <c r="V497" s="197"/>
      <c r="W497" s="198"/>
      <c r="X497" s="379"/>
      <c r="Y497" s="184"/>
      <c r="Z497" s="184"/>
      <c r="AA497" s="184"/>
      <c r="AB497" s="184"/>
      <c r="AC497" s="8"/>
      <c r="AD497" s="8"/>
      <c r="AE497" s="8"/>
      <c r="AF497" s="8"/>
      <c r="AG497" s="191"/>
      <c r="AH497" s="191"/>
      <c r="AI497" s="191"/>
      <c r="AJ497" s="8"/>
      <c r="AK497" s="8"/>
      <c r="AL497" s="8"/>
      <c r="AM497" s="8"/>
      <c r="AN497" s="8"/>
      <c r="AO497" s="8"/>
      <c r="AP497" s="8"/>
      <c r="AQ497" s="8"/>
      <c r="AR497" s="8"/>
      <c r="AS497" s="8"/>
      <c r="AT497" s="8"/>
    </row>
    <row r="498">
      <c r="A498" s="197"/>
      <c r="B498" s="198"/>
      <c r="C498" s="379"/>
      <c r="D498" s="197"/>
      <c r="E498" s="198"/>
      <c r="F498" s="379"/>
      <c r="G498" s="197"/>
      <c r="H498" s="198"/>
      <c r="I498" s="379"/>
      <c r="J498" s="197"/>
      <c r="K498" s="198"/>
      <c r="L498" s="379"/>
      <c r="M498" s="197"/>
      <c r="N498" s="198"/>
      <c r="O498" s="379"/>
      <c r="P498" s="197"/>
      <c r="Q498" s="198"/>
      <c r="R498" s="379"/>
      <c r="S498" s="197"/>
      <c r="T498" s="198"/>
      <c r="U498" s="379"/>
      <c r="V498" s="197"/>
      <c r="W498" s="198"/>
      <c r="X498" s="379"/>
      <c r="Y498" s="184"/>
      <c r="Z498" s="184"/>
      <c r="AA498" s="184"/>
      <c r="AB498" s="184"/>
      <c r="AC498" s="8"/>
      <c r="AD498" s="8"/>
      <c r="AE498" s="8"/>
      <c r="AF498" s="8"/>
      <c r="AG498" s="191"/>
      <c r="AH498" s="191"/>
      <c r="AI498" s="191"/>
      <c r="AJ498" s="8"/>
      <c r="AK498" s="8"/>
      <c r="AL498" s="8"/>
      <c r="AM498" s="8"/>
      <c r="AN498" s="8"/>
      <c r="AO498" s="8"/>
      <c r="AP498" s="8"/>
      <c r="AQ498" s="8"/>
      <c r="AR498" s="8"/>
      <c r="AS498" s="8"/>
      <c r="AT498" s="8"/>
    </row>
    <row r="499">
      <c r="A499" s="197"/>
      <c r="B499" s="198"/>
      <c r="C499" s="379"/>
      <c r="D499" s="197"/>
      <c r="E499" s="198"/>
      <c r="F499" s="379"/>
      <c r="G499" s="197"/>
      <c r="H499" s="198"/>
      <c r="I499" s="379"/>
      <c r="J499" s="197"/>
      <c r="K499" s="198"/>
      <c r="L499" s="379"/>
      <c r="M499" s="197"/>
      <c r="N499" s="198"/>
      <c r="O499" s="379"/>
      <c r="P499" s="197"/>
      <c r="Q499" s="198"/>
      <c r="R499" s="379"/>
      <c r="S499" s="197"/>
      <c r="T499" s="198"/>
      <c r="U499" s="379"/>
      <c r="V499" s="197"/>
      <c r="W499" s="198"/>
      <c r="X499" s="379"/>
      <c r="Y499" s="184"/>
      <c r="Z499" s="184"/>
      <c r="AA499" s="184"/>
      <c r="AB499" s="184"/>
      <c r="AC499" s="8"/>
      <c r="AD499" s="8"/>
      <c r="AE499" s="8"/>
      <c r="AF499" s="8"/>
      <c r="AG499" s="191"/>
      <c r="AH499" s="191"/>
      <c r="AI499" s="191"/>
      <c r="AJ499" s="8"/>
      <c r="AK499" s="8"/>
      <c r="AL499" s="8"/>
      <c r="AM499" s="8"/>
      <c r="AN499" s="8"/>
      <c r="AO499" s="8"/>
      <c r="AP499" s="8"/>
      <c r="AQ499" s="8"/>
      <c r="AR499" s="8"/>
      <c r="AS499" s="8"/>
      <c r="AT499" s="8"/>
    </row>
    <row r="500">
      <c r="A500" s="197"/>
      <c r="B500" s="198"/>
      <c r="C500" s="379"/>
      <c r="D500" s="197"/>
      <c r="E500" s="198"/>
      <c r="F500" s="379"/>
      <c r="G500" s="197"/>
      <c r="H500" s="198"/>
      <c r="I500" s="379"/>
      <c r="J500" s="197"/>
      <c r="K500" s="198"/>
      <c r="L500" s="379"/>
      <c r="M500" s="197"/>
      <c r="N500" s="198"/>
      <c r="O500" s="379"/>
      <c r="P500" s="197"/>
      <c r="Q500" s="198"/>
      <c r="R500" s="379"/>
      <c r="S500" s="197"/>
      <c r="T500" s="198"/>
      <c r="U500" s="379"/>
      <c r="V500" s="197"/>
      <c r="W500" s="198"/>
      <c r="X500" s="379"/>
      <c r="Y500" s="184"/>
      <c r="Z500" s="184"/>
      <c r="AA500" s="184"/>
      <c r="AB500" s="184"/>
      <c r="AC500" s="8"/>
      <c r="AD500" s="8"/>
      <c r="AE500" s="8"/>
      <c r="AF500" s="8"/>
      <c r="AG500" s="191"/>
      <c r="AH500" s="191"/>
      <c r="AI500" s="191"/>
      <c r="AJ500" s="8"/>
      <c r="AK500" s="8"/>
      <c r="AL500" s="8"/>
      <c r="AM500" s="8"/>
      <c r="AN500" s="8"/>
      <c r="AO500" s="8"/>
      <c r="AP500" s="8"/>
      <c r="AQ500" s="8"/>
      <c r="AR500" s="8"/>
      <c r="AS500" s="8"/>
      <c r="AT500" s="8"/>
    </row>
    <row r="501">
      <c r="A501" s="197"/>
      <c r="B501" s="198"/>
      <c r="C501" s="379"/>
      <c r="D501" s="197"/>
      <c r="E501" s="198"/>
      <c r="F501" s="379"/>
      <c r="G501" s="197"/>
      <c r="H501" s="198"/>
      <c r="I501" s="379"/>
      <c r="J501" s="197"/>
      <c r="K501" s="198"/>
      <c r="L501" s="379"/>
      <c r="M501" s="197"/>
      <c r="N501" s="198"/>
      <c r="O501" s="379"/>
      <c r="P501" s="197"/>
      <c r="Q501" s="198"/>
      <c r="R501" s="379"/>
      <c r="S501" s="197"/>
      <c r="T501" s="198"/>
      <c r="U501" s="379"/>
      <c r="V501" s="197"/>
      <c r="W501" s="198"/>
      <c r="X501" s="379"/>
      <c r="Y501" s="184"/>
      <c r="Z501" s="184"/>
      <c r="AA501" s="184"/>
      <c r="AB501" s="184"/>
      <c r="AC501" s="8"/>
      <c r="AD501" s="8"/>
      <c r="AE501" s="8"/>
      <c r="AF501" s="8"/>
      <c r="AG501" s="191"/>
      <c r="AH501" s="191"/>
      <c r="AI501" s="191"/>
      <c r="AJ501" s="8"/>
      <c r="AK501" s="8"/>
      <c r="AL501" s="8"/>
      <c r="AM501" s="8"/>
      <c r="AN501" s="8"/>
      <c r="AO501" s="8"/>
      <c r="AP501" s="8"/>
      <c r="AQ501" s="8"/>
      <c r="AR501" s="8"/>
      <c r="AS501" s="8"/>
      <c r="AT501" s="8"/>
    </row>
    <row r="502">
      <c r="A502" s="197"/>
      <c r="B502" s="198"/>
      <c r="C502" s="379"/>
      <c r="D502" s="197"/>
      <c r="E502" s="198"/>
      <c r="F502" s="379"/>
      <c r="G502" s="197"/>
      <c r="H502" s="198"/>
      <c r="I502" s="379"/>
      <c r="J502" s="197"/>
      <c r="K502" s="198"/>
      <c r="L502" s="379"/>
      <c r="M502" s="197"/>
      <c r="N502" s="198"/>
      <c r="O502" s="379"/>
      <c r="P502" s="197"/>
      <c r="Q502" s="198"/>
      <c r="R502" s="379"/>
      <c r="S502" s="197"/>
      <c r="T502" s="198"/>
      <c r="U502" s="379"/>
      <c r="V502" s="197"/>
      <c r="W502" s="198"/>
      <c r="X502" s="379"/>
      <c r="Y502" s="184"/>
      <c r="Z502" s="184"/>
      <c r="AA502" s="184"/>
      <c r="AB502" s="184"/>
      <c r="AC502" s="8"/>
      <c r="AD502" s="8"/>
      <c r="AE502" s="8"/>
      <c r="AF502" s="8"/>
      <c r="AG502" s="191"/>
      <c r="AH502" s="191"/>
      <c r="AI502" s="191"/>
      <c r="AJ502" s="8"/>
      <c r="AK502" s="8"/>
      <c r="AL502" s="8"/>
      <c r="AM502" s="8"/>
      <c r="AN502" s="8"/>
      <c r="AO502" s="8"/>
      <c r="AP502" s="8"/>
      <c r="AQ502" s="8"/>
      <c r="AR502" s="8"/>
      <c r="AS502" s="8"/>
      <c r="AT502" s="8"/>
    </row>
    <row r="503">
      <c r="A503" s="197"/>
      <c r="B503" s="198"/>
      <c r="C503" s="379"/>
      <c r="D503" s="197"/>
      <c r="E503" s="198"/>
      <c r="F503" s="379"/>
      <c r="G503" s="197"/>
      <c r="H503" s="198"/>
      <c r="I503" s="379"/>
      <c r="J503" s="197"/>
      <c r="K503" s="198"/>
      <c r="L503" s="379"/>
      <c r="M503" s="197"/>
      <c r="N503" s="198"/>
      <c r="O503" s="379"/>
      <c r="P503" s="197"/>
      <c r="Q503" s="198"/>
      <c r="R503" s="379"/>
      <c r="S503" s="197"/>
      <c r="T503" s="198"/>
      <c r="U503" s="379"/>
      <c r="V503" s="197"/>
      <c r="W503" s="198"/>
      <c r="X503" s="379"/>
      <c r="Y503" s="184"/>
      <c r="Z503" s="184"/>
      <c r="AA503" s="184"/>
      <c r="AB503" s="184"/>
      <c r="AC503" s="8"/>
      <c r="AD503" s="8"/>
      <c r="AE503" s="8"/>
      <c r="AF503" s="8"/>
      <c r="AG503" s="191"/>
      <c r="AH503" s="191"/>
      <c r="AI503" s="191"/>
      <c r="AJ503" s="8"/>
      <c r="AK503" s="8"/>
      <c r="AL503" s="8"/>
      <c r="AM503" s="8"/>
      <c r="AN503" s="8"/>
      <c r="AO503" s="8"/>
      <c r="AP503" s="8"/>
      <c r="AQ503" s="8"/>
      <c r="AR503" s="8"/>
      <c r="AS503" s="8"/>
      <c r="AT503" s="8"/>
    </row>
    <row r="504">
      <c r="A504" s="197"/>
      <c r="B504" s="198"/>
      <c r="C504" s="379"/>
      <c r="D504" s="197"/>
      <c r="E504" s="198"/>
      <c r="F504" s="379"/>
      <c r="G504" s="197"/>
      <c r="H504" s="198"/>
      <c r="I504" s="379"/>
      <c r="J504" s="197"/>
      <c r="K504" s="198"/>
      <c r="L504" s="379"/>
      <c r="M504" s="197"/>
      <c r="N504" s="198"/>
      <c r="O504" s="379"/>
      <c r="P504" s="197"/>
      <c r="Q504" s="198"/>
      <c r="R504" s="379"/>
      <c r="S504" s="197"/>
      <c r="T504" s="198"/>
      <c r="U504" s="379"/>
      <c r="V504" s="197"/>
      <c r="W504" s="198"/>
      <c r="X504" s="379"/>
      <c r="Y504" s="184"/>
      <c r="Z504" s="184"/>
      <c r="AA504" s="184"/>
      <c r="AB504" s="184"/>
      <c r="AC504" s="8"/>
      <c r="AD504" s="8"/>
      <c r="AE504" s="8"/>
      <c r="AF504" s="8"/>
      <c r="AG504" s="191"/>
      <c r="AH504" s="191"/>
      <c r="AI504" s="191"/>
      <c r="AJ504" s="8"/>
      <c r="AK504" s="8"/>
      <c r="AL504" s="8"/>
      <c r="AM504" s="8"/>
      <c r="AN504" s="8"/>
      <c r="AO504" s="8"/>
      <c r="AP504" s="8"/>
      <c r="AQ504" s="8"/>
      <c r="AR504" s="8"/>
      <c r="AS504" s="8"/>
      <c r="AT504" s="8"/>
    </row>
    <row r="505">
      <c r="A505" s="197"/>
      <c r="B505" s="198"/>
      <c r="C505" s="379"/>
      <c r="D505" s="197"/>
      <c r="E505" s="198"/>
      <c r="F505" s="379"/>
      <c r="G505" s="197"/>
      <c r="H505" s="198"/>
      <c r="I505" s="379"/>
      <c r="J505" s="197"/>
      <c r="K505" s="198"/>
      <c r="L505" s="379"/>
      <c r="M505" s="197"/>
      <c r="N505" s="198"/>
      <c r="O505" s="379"/>
      <c r="P505" s="197"/>
      <c r="Q505" s="198"/>
      <c r="R505" s="379"/>
      <c r="S505" s="197"/>
      <c r="T505" s="198"/>
      <c r="U505" s="379"/>
      <c r="V505" s="197"/>
      <c r="W505" s="198"/>
      <c r="X505" s="379"/>
      <c r="Y505" s="184"/>
      <c r="Z505" s="184"/>
      <c r="AA505" s="184"/>
      <c r="AB505" s="184"/>
      <c r="AC505" s="8"/>
      <c r="AD505" s="8"/>
      <c r="AE505" s="8"/>
      <c r="AF505" s="8"/>
      <c r="AG505" s="191"/>
      <c r="AH505" s="191"/>
      <c r="AI505" s="191"/>
      <c r="AJ505" s="8"/>
      <c r="AK505" s="8"/>
      <c r="AL505" s="8"/>
      <c r="AM505" s="8"/>
      <c r="AN505" s="8"/>
      <c r="AO505" s="8"/>
      <c r="AP505" s="8"/>
      <c r="AQ505" s="8"/>
      <c r="AR505" s="8"/>
      <c r="AS505" s="8"/>
      <c r="AT505" s="8"/>
    </row>
    <row r="506">
      <c r="A506" s="197"/>
      <c r="B506" s="198"/>
      <c r="C506" s="379"/>
      <c r="D506" s="197"/>
      <c r="E506" s="198"/>
      <c r="F506" s="379"/>
      <c r="G506" s="197"/>
      <c r="H506" s="198"/>
      <c r="I506" s="379"/>
      <c r="J506" s="197"/>
      <c r="K506" s="198"/>
      <c r="L506" s="379"/>
      <c r="M506" s="197"/>
      <c r="N506" s="198"/>
      <c r="O506" s="379"/>
      <c r="P506" s="197"/>
      <c r="Q506" s="198"/>
      <c r="R506" s="379"/>
      <c r="S506" s="197"/>
      <c r="T506" s="198"/>
      <c r="U506" s="379"/>
      <c r="V506" s="197"/>
      <c r="W506" s="198"/>
      <c r="X506" s="379"/>
      <c r="Y506" s="184"/>
      <c r="Z506" s="184"/>
      <c r="AA506" s="184"/>
      <c r="AB506" s="184"/>
      <c r="AC506" s="8"/>
      <c r="AD506" s="8"/>
      <c r="AE506" s="8"/>
      <c r="AF506" s="8"/>
      <c r="AG506" s="191"/>
      <c r="AH506" s="191"/>
      <c r="AI506" s="191"/>
      <c r="AJ506" s="8"/>
      <c r="AK506" s="8"/>
      <c r="AL506" s="8"/>
      <c r="AM506" s="8"/>
      <c r="AN506" s="8"/>
      <c r="AO506" s="8"/>
      <c r="AP506" s="8"/>
      <c r="AQ506" s="8"/>
      <c r="AR506" s="8"/>
      <c r="AS506" s="8"/>
      <c r="AT506" s="8"/>
    </row>
    <row r="507">
      <c r="A507" s="197"/>
      <c r="B507" s="198"/>
      <c r="C507" s="379"/>
      <c r="D507" s="197"/>
      <c r="E507" s="198"/>
      <c r="F507" s="379"/>
      <c r="G507" s="197"/>
      <c r="H507" s="198"/>
      <c r="I507" s="379"/>
      <c r="J507" s="197"/>
      <c r="K507" s="198"/>
      <c r="L507" s="379"/>
      <c r="M507" s="197"/>
      <c r="N507" s="198"/>
      <c r="O507" s="379"/>
      <c r="P507" s="197"/>
      <c r="Q507" s="198"/>
      <c r="R507" s="379"/>
      <c r="S507" s="197"/>
      <c r="T507" s="198"/>
      <c r="U507" s="379"/>
      <c r="V507" s="197"/>
      <c r="W507" s="198"/>
      <c r="X507" s="379"/>
      <c r="Y507" s="184"/>
      <c r="Z507" s="184"/>
      <c r="AA507" s="184"/>
      <c r="AB507" s="184"/>
      <c r="AC507" s="8"/>
      <c r="AD507" s="8"/>
      <c r="AE507" s="8"/>
      <c r="AF507" s="8"/>
      <c r="AG507" s="191"/>
      <c r="AH507" s="191"/>
      <c r="AI507" s="191"/>
      <c r="AJ507" s="8"/>
      <c r="AK507" s="8"/>
      <c r="AL507" s="8"/>
      <c r="AM507" s="8"/>
      <c r="AN507" s="8"/>
      <c r="AO507" s="8"/>
      <c r="AP507" s="8"/>
      <c r="AQ507" s="8"/>
      <c r="AR507" s="8"/>
      <c r="AS507" s="8"/>
      <c r="AT507" s="8"/>
    </row>
    <row r="508">
      <c r="A508" s="197"/>
      <c r="B508" s="198"/>
      <c r="C508" s="379"/>
      <c r="D508" s="197"/>
      <c r="E508" s="198"/>
      <c r="F508" s="379"/>
      <c r="G508" s="197"/>
      <c r="H508" s="198"/>
      <c r="I508" s="379"/>
      <c r="J508" s="197"/>
      <c r="K508" s="198"/>
      <c r="L508" s="379"/>
      <c r="M508" s="197"/>
      <c r="N508" s="198"/>
      <c r="O508" s="379"/>
      <c r="P508" s="197"/>
      <c r="Q508" s="198"/>
      <c r="R508" s="379"/>
      <c r="S508" s="197"/>
      <c r="T508" s="198"/>
      <c r="U508" s="379"/>
      <c r="V508" s="197"/>
      <c r="W508" s="198"/>
      <c r="X508" s="379"/>
      <c r="Y508" s="184"/>
      <c r="Z508" s="184"/>
      <c r="AA508" s="184"/>
      <c r="AB508" s="184"/>
      <c r="AC508" s="8"/>
      <c r="AD508" s="8"/>
      <c r="AE508" s="8"/>
      <c r="AF508" s="8"/>
      <c r="AG508" s="191"/>
      <c r="AH508" s="191"/>
      <c r="AI508" s="191"/>
      <c r="AJ508" s="8"/>
      <c r="AK508" s="8"/>
      <c r="AL508" s="8"/>
      <c r="AM508" s="8"/>
      <c r="AN508" s="8"/>
      <c r="AO508" s="8"/>
      <c r="AP508" s="8"/>
      <c r="AQ508" s="8"/>
      <c r="AR508" s="8"/>
      <c r="AS508" s="8"/>
      <c r="AT508" s="8"/>
    </row>
    <row r="509">
      <c r="A509" s="197"/>
      <c r="B509" s="198"/>
      <c r="C509" s="379"/>
      <c r="D509" s="197"/>
      <c r="E509" s="198"/>
      <c r="F509" s="379"/>
      <c r="G509" s="197"/>
      <c r="H509" s="198"/>
      <c r="I509" s="379"/>
      <c r="J509" s="197"/>
      <c r="K509" s="198"/>
      <c r="L509" s="379"/>
      <c r="M509" s="197"/>
      <c r="N509" s="198"/>
      <c r="O509" s="379"/>
      <c r="P509" s="197"/>
      <c r="Q509" s="198"/>
      <c r="R509" s="379"/>
      <c r="S509" s="197"/>
      <c r="T509" s="198"/>
      <c r="U509" s="379"/>
      <c r="V509" s="197"/>
      <c r="W509" s="198"/>
      <c r="X509" s="379"/>
      <c r="Y509" s="184"/>
      <c r="Z509" s="184"/>
      <c r="AA509" s="184"/>
      <c r="AB509" s="184"/>
      <c r="AC509" s="8"/>
      <c r="AD509" s="8"/>
      <c r="AE509" s="8"/>
      <c r="AF509" s="8"/>
      <c r="AG509" s="191"/>
      <c r="AH509" s="191"/>
      <c r="AI509" s="191"/>
      <c r="AJ509" s="8"/>
      <c r="AK509" s="8"/>
      <c r="AL509" s="8"/>
      <c r="AM509" s="8"/>
      <c r="AN509" s="8"/>
      <c r="AO509" s="8"/>
      <c r="AP509" s="8"/>
      <c r="AQ509" s="8"/>
      <c r="AR509" s="8"/>
      <c r="AS509" s="8"/>
      <c r="AT509" s="8"/>
    </row>
    <row r="510">
      <c r="A510" s="197"/>
      <c r="B510" s="198"/>
      <c r="C510" s="379"/>
      <c r="D510" s="197"/>
      <c r="E510" s="198"/>
      <c r="F510" s="379"/>
      <c r="G510" s="197"/>
      <c r="H510" s="198"/>
      <c r="I510" s="379"/>
      <c r="J510" s="197"/>
      <c r="K510" s="198"/>
      <c r="L510" s="379"/>
      <c r="M510" s="197"/>
      <c r="N510" s="198"/>
      <c r="O510" s="379"/>
      <c r="P510" s="197"/>
      <c r="Q510" s="198"/>
      <c r="R510" s="379"/>
      <c r="S510" s="197"/>
      <c r="T510" s="198"/>
      <c r="U510" s="379"/>
      <c r="V510" s="197"/>
      <c r="W510" s="198"/>
      <c r="X510" s="379"/>
      <c r="Y510" s="184"/>
      <c r="Z510" s="184"/>
      <c r="AA510" s="184"/>
      <c r="AB510" s="184"/>
      <c r="AC510" s="8"/>
      <c r="AD510" s="8"/>
      <c r="AE510" s="8"/>
      <c r="AF510" s="8"/>
      <c r="AG510" s="191"/>
      <c r="AH510" s="191"/>
      <c r="AI510" s="191"/>
      <c r="AJ510" s="8"/>
      <c r="AK510" s="8"/>
      <c r="AL510" s="8"/>
      <c r="AM510" s="8"/>
      <c r="AN510" s="8"/>
      <c r="AO510" s="8"/>
      <c r="AP510" s="8"/>
      <c r="AQ510" s="8"/>
      <c r="AR510" s="8"/>
      <c r="AS510" s="8"/>
      <c r="AT510" s="8"/>
    </row>
    <row r="511">
      <c r="A511" s="197"/>
      <c r="B511" s="198"/>
      <c r="C511" s="379"/>
      <c r="D511" s="197"/>
      <c r="E511" s="198"/>
      <c r="F511" s="379"/>
      <c r="G511" s="197"/>
      <c r="H511" s="198"/>
      <c r="I511" s="379"/>
      <c r="J511" s="197"/>
      <c r="K511" s="198"/>
      <c r="L511" s="379"/>
      <c r="M511" s="197"/>
      <c r="N511" s="198"/>
      <c r="O511" s="379"/>
      <c r="P511" s="197"/>
      <c r="Q511" s="198"/>
      <c r="R511" s="379"/>
      <c r="S511" s="197"/>
      <c r="T511" s="198"/>
      <c r="U511" s="379"/>
      <c r="V511" s="197"/>
      <c r="W511" s="198"/>
      <c r="X511" s="379"/>
      <c r="Y511" s="184"/>
      <c r="Z511" s="184"/>
      <c r="AA511" s="184"/>
      <c r="AB511" s="184"/>
      <c r="AC511" s="8"/>
      <c r="AD511" s="8"/>
      <c r="AE511" s="8"/>
      <c r="AF511" s="8"/>
      <c r="AG511" s="191"/>
      <c r="AH511" s="191"/>
      <c r="AI511" s="191"/>
      <c r="AJ511" s="8"/>
      <c r="AK511" s="8"/>
      <c r="AL511" s="8"/>
      <c r="AM511" s="8"/>
      <c r="AN511" s="8"/>
      <c r="AO511" s="8"/>
      <c r="AP511" s="8"/>
      <c r="AQ511" s="8"/>
      <c r="AR511" s="8"/>
      <c r="AS511" s="8"/>
      <c r="AT511" s="8"/>
    </row>
    <row r="512">
      <c r="A512" s="197"/>
      <c r="B512" s="198"/>
      <c r="C512" s="379"/>
      <c r="D512" s="197"/>
      <c r="E512" s="198"/>
      <c r="F512" s="379"/>
      <c r="G512" s="197"/>
      <c r="H512" s="198"/>
      <c r="I512" s="379"/>
      <c r="J512" s="197"/>
      <c r="K512" s="198"/>
      <c r="L512" s="379"/>
      <c r="M512" s="197"/>
      <c r="N512" s="198"/>
      <c r="O512" s="379"/>
      <c r="P512" s="197"/>
      <c r="Q512" s="198"/>
      <c r="R512" s="379"/>
      <c r="S512" s="197"/>
      <c r="T512" s="198"/>
      <c r="U512" s="379"/>
      <c r="V512" s="197"/>
      <c r="W512" s="198"/>
      <c r="X512" s="379"/>
      <c r="Y512" s="184"/>
      <c r="Z512" s="184"/>
      <c r="AA512" s="184"/>
      <c r="AB512" s="184"/>
      <c r="AC512" s="8"/>
      <c r="AD512" s="8"/>
      <c r="AE512" s="8"/>
      <c r="AF512" s="8"/>
      <c r="AG512" s="191"/>
      <c r="AH512" s="191"/>
      <c r="AI512" s="191"/>
      <c r="AJ512" s="8"/>
      <c r="AK512" s="8"/>
      <c r="AL512" s="8"/>
      <c r="AM512" s="8"/>
      <c r="AN512" s="8"/>
      <c r="AO512" s="8"/>
      <c r="AP512" s="8"/>
      <c r="AQ512" s="8"/>
      <c r="AR512" s="8"/>
      <c r="AS512" s="8"/>
      <c r="AT512" s="8"/>
    </row>
    <row r="513">
      <c r="A513" s="197"/>
      <c r="B513" s="198"/>
      <c r="C513" s="379"/>
      <c r="D513" s="197"/>
      <c r="E513" s="198"/>
      <c r="F513" s="379"/>
      <c r="G513" s="197"/>
      <c r="H513" s="198"/>
      <c r="I513" s="379"/>
      <c r="J513" s="197"/>
      <c r="K513" s="198"/>
      <c r="L513" s="379"/>
      <c r="M513" s="197"/>
      <c r="N513" s="198"/>
      <c r="O513" s="379"/>
      <c r="P513" s="197"/>
      <c r="Q513" s="198"/>
      <c r="R513" s="379"/>
      <c r="S513" s="197"/>
      <c r="T513" s="198"/>
      <c r="U513" s="379"/>
      <c r="V513" s="197"/>
      <c r="W513" s="198"/>
      <c r="X513" s="379"/>
      <c r="Y513" s="184"/>
      <c r="Z513" s="184"/>
      <c r="AA513" s="184"/>
      <c r="AB513" s="184"/>
      <c r="AC513" s="8"/>
      <c r="AD513" s="8"/>
      <c r="AE513" s="8"/>
      <c r="AF513" s="8"/>
      <c r="AG513" s="191"/>
      <c r="AH513" s="191"/>
      <c r="AI513" s="191"/>
      <c r="AJ513" s="8"/>
      <c r="AK513" s="8"/>
      <c r="AL513" s="8"/>
      <c r="AM513" s="8"/>
      <c r="AN513" s="8"/>
      <c r="AO513" s="8"/>
      <c r="AP513" s="8"/>
      <c r="AQ513" s="8"/>
      <c r="AR513" s="8"/>
      <c r="AS513" s="8"/>
      <c r="AT513" s="8"/>
    </row>
    <row r="514">
      <c r="A514" s="197"/>
      <c r="B514" s="198"/>
      <c r="C514" s="379"/>
      <c r="D514" s="197"/>
      <c r="E514" s="198"/>
      <c r="F514" s="379"/>
      <c r="G514" s="197"/>
      <c r="H514" s="198"/>
      <c r="I514" s="379"/>
      <c r="J514" s="197"/>
      <c r="K514" s="198"/>
      <c r="L514" s="379"/>
      <c r="M514" s="197"/>
      <c r="N514" s="198"/>
      <c r="O514" s="379"/>
      <c r="P514" s="197"/>
      <c r="Q514" s="198"/>
      <c r="R514" s="379"/>
      <c r="S514" s="197"/>
      <c r="T514" s="198"/>
      <c r="U514" s="379"/>
      <c r="V514" s="197"/>
      <c r="W514" s="198"/>
      <c r="X514" s="379"/>
      <c r="Y514" s="184"/>
      <c r="Z514" s="184"/>
      <c r="AA514" s="184"/>
      <c r="AB514" s="184"/>
      <c r="AC514" s="8"/>
      <c r="AD514" s="8"/>
      <c r="AE514" s="8"/>
      <c r="AF514" s="8"/>
      <c r="AG514" s="191"/>
      <c r="AH514" s="191"/>
      <c r="AI514" s="191"/>
      <c r="AJ514" s="8"/>
      <c r="AK514" s="8"/>
      <c r="AL514" s="8"/>
      <c r="AM514" s="8"/>
      <c r="AN514" s="8"/>
      <c r="AO514" s="8"/>
      <c r="AP514" s="8"/>
      <c r="AQ514" s="8"/>
      <c r="AR514" s="8"/>
      <c r="AS514" s="8"/>
      <c r="AT514" s="8"/>
    </row>
    <row r="515">
      <c r="A515" s="197"/>
      <c r="B515" s="198"/>
      <c r="C515" s="379"/>
      <c r="D515" s="197"/>
      <c r="E515" s="198"/>
      <c r="F515" s="379"/>
      <c r="G515" s="197"/>
      <c r="H515" s="198"/>
      <c r="I515" s="379"/>
      <c r="J515" s="197"/>
      <c r="K515" s="198"/>
      <c r="L515" s="379"/>
      <c r="M515" s="197"/>
      <c r="N515" s="198"/>
      <c r="O515" s="379"/>
      <c r="P515" s="197"/>
      <c r="Q515" s="198"/>
      <c r="R515" s="379"/>
      <c r="S515" s="197"/>
      <c r="T515" s="198"/>
      <c r="U515" s="379"/>
      <c r="V515" s="197"/>
      <c r="W515" s="198"/>
      <c r="X515" s="379"/>
      <c r="Y515" s="184"/>
      <c r="Z515" s="184"/>
      <c r="AA515" s="184"/>
      <c r="AB515" s="184"/>
      <c r="AC515" s="8"/>
      <c r="AD515" s="8"/>
      <c r="AE515" s="8"/>
      <c r="AF515" s="8"/>
      <c r="AG515" s="191"/>
      <c r="AH515" s="191"/>
      <c r="AI515" s="191"/>
      <c r="AJ515" s="8"/>
      <c r="AK515" s="8"/>
      <c r="AL515" s="8"/>
      <c r="AM515" s="8"/>
      <c r="AN515" s="8"/>
      <c r="AO515" s="8"/>
      <c r="AP515" s="8"/>
      <c r="AQ515" s="8"/>
      <c r="AR515" s="8"/>
      <c r="AS515" s="8"/>
      <c r="AT515" s="8"/>
    </row>
    <row r="516">
      <c r="A516" s="197"/>
      <c r="B516" s="198"/>
      <c r="C516" s="379"/>
      <c r="D516" s="197"/>
      <c r="E516" s="198"/>
      <c r="F516" s="379"/>
      <c r="G516" s="197"/>
      <c r="H516" s="198"/>
      <c r="I516" s="379"/>
      <c r="J516" s="197"/>
      <c r="K516" s="198"/>
      <c r="L516" s="379"/>
      <c r="M516" s="197"/>
      <c r="N516" s="198"/>
      <c r="O516" s="379"/>
      <c r="P516" s="197"/>
      <c r="Q516" s="198"/>
      <c r="R516" s="379"/>
      <c r="S516" s="197"/>
      <c r="T516" s="198"/>
      <c r="U516" s="379"/>
      <c r="V516" s="197"/>
      <c r="W516" s="198"/>
      <c r="X516" s="379"/>
      <c r="Y516" s="184"/>
      <c r="Z516" s="184"/>
      <c r="AA516" s="184"/>
      <c r="AB516" s="184"/>
      <c r="AC516" s="8"/>
      <c r="AD516" s="8"/>
      <c r="AE516" s="8"/>
      <c r="AF516" s="8"/>
      <c r="AG516" s="191"/>
      <c r="AH516" s="191"/>
      <c r="AI516" s="191"/>
      <c r="AJ516" s="8"/>
      <c r="AK516" s="8"/>
      <c r="AL516" s="8"/>
      <c r="AM516" s="8"/>
      <c r="AN516" s="8"/>
      <c r="AO516" s="8"/>
      <c r="AP516" s="8"/>
      <c r="AQ516" s="8"/>
      <c r="AR516" s="8"/>
      <c r="AS516" s="8"/>
      <c r="AT516" s="8"/>
    </row>
    <row r="517">
      <c r="A517" s="197"/>
      <c r="B517" s="198"/>
      <c r="C517" s="379"/>
      <c r="D517" s="197"/>
      <c r="E517" s="198"/>
      <c r="F517" s="379"/>
      <c r="G517" s="197"/>
      <c r="H517" s="198"/>
      <c r="I517" s="379"/>
      <c r="J517" s="197"/>
      <c r="K517" s="198"/>
      <c r="L517" s="379"/>
      <c r="M517" s="197"/>
      <c r="N517" s="198"/>
      <c r="O517" s="379"/>
      <c r="P517" s="197"/>
      <c r="Q517" s="198"/>
      <c r="R517" s="379"/>
      <c r="S517" s="197"/>
      <c r="T517" s="198"/>
      <c r="U517" s="379"/>
      <c r="V517" s="197"/>
      <c r="W517" s="198"/>
      <c r="X517" s="379"/>
      <c r="Y517" s="184"/>
      <c r="Z517" s="184"/>
      <c r="AA517" s="184"/>
      <c r="AB517" s="184"/>
      <c r="AC517" s="8"/>
      <c r="AD517" s="8"/>
      <c r="AE517" s="8"/>
      <c r="AF517" s="8"/>
      <c r="AG517" s="191"/>
      <c r="AH517" s="191"/>
      <c r="AI517" s="191"/>
      <c r="AJ517" s="8"/>
      <c r="AK517" s="8"/>
      <c r="AL517" s="8"/>
      <c r="AM517" s="8"/>
      <c r="AN517" s="8"/>
      <c r="AO517" s="8"/>
      <c r="AP517" s="8"/>
      <c r="AQ517" s="8"/>
      <c r="AR517" s="8"/>
      <c r="AS517" s="8"/>
      <c r="AT517" s="8"/>
    </row>
    <row r="518">
      <c r="A518" s="197"/>
      <c r="B518" s="198"/>
      <c r="C518" s="379"/>
      <c r="D518" s="197"/>
      <c r="E518" s="198"/>
      <c r="F518" s="379"/>
      <c r="G518" s="197"/>
      <c r="H518" s="198"/>
      <c r="I518" s="379"/>
      <c r="J518" s="197"/>
      <c r="K518" s="198"/>
      <c r="L518" s="379"/>
      <c r="M518" s="197"/>
      <c r="N518" s="198"/>
      <c r="O518" s="379"/>
      <c r="P518" s="197"/>
      <c r="Q518" s="198"/>
      <c r="R518" s="379"/>
      <c r="S518" s="197"/>
      <c r="T518" s="198"/>
      <c r="U518" s="379"/>
      <c r="V518" s="197"/>
      <c r="W518" s="198"/>
      <c r="X518" s="379"/>
      <c r="Y518" s="184"/>
      <c r="Z518" s="184"/>
      <c r="AA518" s="184"/>
      <c r="AB518" s="184"/>
      <c r="AC518" s="8"/>
      <c r="AD518" s="8"/>
      <c r="AE518" s="8"/>
      <c r="AF518" s="8"/>
      <c r="AG518" s="191"/>
      <c r="AH518" s="191"/>
      <c r="AI518" s="191"/>
      <c r="AJ518" s="8"/>
      <c r="AK518" s="8"/>
      <c r="AL518" s="8"/>
      <c r="AM518" s="8"/>
      <c r="AN518" s="8"/>
      <c r="AO518" s="8"/>
      <c r="AP518" s="8"/>
      <c r="AQ518" s="8"/>
      <c r="AR518" s="8"/>
      <c r="AS518" s="8"/>
      <c r="AT518" s="8"/>
    </row>
    <row r="519">
      <c r="A519" s="197"/>
      <c r="B519" s="198"/>
      <c r="C519" s="379"/>
      <c r="D519" s="197"/>
      <c r="E519" s="198"/>
      <c r="F519" s="379"/>
      <c r="G519" s="197"/>
      <c r="H519" s="198"/>
      <c r="I519" s="379"/>
      <c r="J519" s="197"/>
      <c r="K519" s="198"/>
      <c r="L519" s="379"/>
      <c r="M519" s="197"/>
      <c r="N519" s="198"/>
      <c r="O519" s="379"/>
      <c r="P519" s="197"/>
      <c r="Q519" s="198"/>
      <c r="R519" s="379"/>
      <c r="S519" s="197"/>
      <c r="T519" s="198"/>
      <c r="U519" s="379"/>
      <c r="V519" s="197"/>
      <c r="W519" s="198"/>
      <c r="X519" s="379"/>
      <c r="Y519" s="184"/>
      <c r="Z519" s="184"/>
      <c r="AA519" s="184"/>
      <c r="AB519" s="184"/>
      <c r="AC519" s="8"/>
      <c r="AD519" s="8"/>
      <c r="AE519" s="8"/>
      <c r="AF519" s="8"/>
      <c r="AG519" s="191"/>
      <c r="AH519" s="191"/>
      <c r="AI519" s="191"/>
      <c r="AJ519" s="8"/>
      <c r="AK519" s="8"/>
      <c r="AL519" s="8"/>
      <c r="AM519" s="8"/>
      <c r="AN519" s="8"/>
      <c r="AO519" s="8"/>
      <c r="AP519" s="8"/>
      <c r="AQ519" s="8"/>
      <c r="AR519" s="8"/>
      <c r="AS519" s="8"/>
      <c r="AT519" s="8"/>
    </row>
    <row r="520">
      <c r="A520" s="197"/>
      <c r="B520" s="198"/>
      <c r="C520" s="379"/>
      <c r="D520" s="197"/>
      <c r="E520" s="198"/>
      <c r="F520" s="379"/>
      <c r="G520" s="197"/>
      <c r="H520" s="198"/>
      <c r="I520" s="379"/>
      <c r="J520" s="197"/>
      <c r="K520" s="198"/>
      <c r="L520" s="379"/>
      <c r="M520" s="197"/>
      <c r="N520" s="198"/>
      <c r="O520" s="379"/>
      <c r="P520" s="197"/>
      <c r="Q520" s="198"/>
      <c r="R520" s="379"/>
      <c r="S520" s="197"/>
      <c r="T520" s="198"/>
      <c r="U520" s="379"/>
      <c r="V520" s="197"/>
      <c r="W520" s="198"/>
      <c r="X520" s="379"/>
      <c r="Y520" s="184"/>
      <c r="Z520" s="184"/>
      <c r="AA520" s="184"/>
      <c r="AB520" s="184"/>
      <c r="AC520" s="8"/>
      <c r="AD520" s="8"/>
      <c r="AE520" s="8"/>
      <c r="AF520" s="8"/>
      <c r="AG520" s="191"/>
      <c r="AH520" s="191"/>
      <c r="AI520" s="191"/>
      <c r="AJ520" s="8"/>
      <c r="AK520" s="8"/>
      <c r="AL520" s="8"/>
      <c r="AM520" s="8"/>
      <c r="AN520" s="8"/>
      <c r="AO520" s="8"/>
      <c r="AP520" s="8"/>
      <c r="AQ520" s="8"/>
      <c r="AR520" s="8"/>
      <c r="AS520" s="8"/>
      <c r="AT520" s="8"/>
    </row>
    <row r="521">
      <c r="A521" s="197"/>
      <c r="B521" s="198"/>
      <c r="C521" s="379"/>
      <c r="D521" s="197"/>
      <c r="E521" s="198"/>
      <c r="F521" s="379"/>
      <c r="G521" s="197"/>
      <c r="H521" s="198"/>
      <c r="I521" s="379"/>
      <c r="J521" s="197"/>
      <c r="K521" s="198"/>
      <c r="L521" s="379"/>
      <c r="M521" s="197"/>
      <c r="N521" s="198"/>
      <c r="O521" s="379"/>
      <c r="P521" s="197"/>
      <c r="Q521" s="198"/>
      <c r="R521" s="379"/>
      <c r="S521" s="197"/>
      <c r="T521" s="198"/>
      <c r="U521" s="379"/>
      <c r="V521" s="197"/>
      <c r="W521" s="198"/>
      <c r="X521" s="379"/>
      <c r="Y521" s="184"/>
      <c r="Z521" s="184"/>
      <c r="AA521" s="184"/>
      <c r="AB521" s="184"/>
      <c r="AC521" s="8"/>
      <c r="AD521" s="8"/>
      <c r="AE521" s="8"/>
      <c r="AF521" s="8"/>
      <c r="AG521" s="191"/>
      <c r="AH521" s="191"/>
      <c r="AI521" s="191"/>
      <c r="AJ521" s="8"/>
      <c r="AK521" s="8"/>
      <c r="AL521" s="8"/>
      <c r="AM521" s="8"/>
      <c r="AN521" s="8"/>
      <c r="AO521" s="8"/>
      <c r="AP521" s="8"/>
      <c r="AQ521" s="8"/>
      <c r="AR521" s="8"/>
      <c r="AS521" s="8"/>
      <c r="AT521" s="8"/>
    </row>
    <row r="522">
      <c r="A522" s="197"/>
      <c r="B522" s="198"/>
      <c r="C522" s="379"/>
      <c r="D522" s="197"/>
      <c r="E522" s="198"/>
      <c r="F522" s="379"/>
      <c r="G522" s="197"/>
      <c r="H522" s="198"/>
      <c r="I522" s="379"/>
      <c r="J522" s="197"/>
      <c r="K522" s="198"/>
      <c r="L522" s="379"/>
      <c r="M522" s="197"/>
      <c r="N522" s="198"/>
      <c r="O522" s="379"/>
      <c r="P522" s="197"/>
      <c r="Q522" s="198"/>
      <c r="R522" s="379"/>
      <c r="S522" s="197"/>
      <c r="T522" s="198"/>
      <c r="U522" s="379"/>
      <c r="V522" s="197"/>
      <c r="W522" s="198"/>
      <c r="X522" s="379"/>
      <c r="Y522" s="184"/>
      <c r="Z522" s="184"/>
      <c r="AA522" s="184"/>
      <c r="AB522" s="184"/>
      <c r="AC522" s="8"/>
      <c r="AD522" s="8"/>
      <c r="AE522" s="8"/>
      <c r="AF522" s="8"/>
      <c r="AG522" s="191"/>
      <c r="AH522" s="191"/>
      <c r="AI522" s="191"/>
      <c r="AJ522" s="8"/>
      <c r="AK522" s="8"/>
      <c r="AL522" s="8"/>
      <c r="AM522" s="8"/>
      <c r="AN522" s="8"/>
      <c r="AO522" s="8"/>
      <c r="AP522" s="8"/>
      <c r="AQ522" s="8"/>
      <c r="AR522" s="8"/>
      <c r="AS522" s="8"/>
      <c r="AT522" s="8"/>
    </row>
    <row r="523">
      <c r="A523" s="197"/>
      <c r="B523" s="198"/>
      <c r="C523" s="379"/>
      <c r="D523" s="197"/>
      <c r="E523" s="198"/>
      <c r="F523" s="379"/>
      <c r="G523" s="197"/>
      <c r="H523" s="198"/>
      <c r="I523" s="379"/>
      <c r="J523" s="197"/>
      <c r="K523" s="198"/>
      <c r="L523" s="379"/>
      <c r="M523" s="197"/>
      <c r="N523" s="198"/>
      <c r="O523" s="379"/>
      <c r="P523" s="197"/>
      <c r="Q523" s="198"/>
      <c r="R523" s="379"/>
      <c r="S523" s="197"/>
      <c r="T523" s="198"/>
      <c r="U523" s="379"/>
      <c r="V523" s="197"/>
      <c r="W523" s="198"/>
      <c r="X523" s="379"/>
      <c r="Y523" s="184"/>
      <c r="Z523" s="184"/>
      <c r="AA523" s="184"/>
      <c r="AB523" s="184"/>
      <c r="AC523" s="8"/>
      <c r="AD523" s="8"/>
      <c r="AE523" s="8"/>
      <c r="AF523" s="8"/>
      <c r="AG523" s="191"/>
      <c r="AH523" s="191"/>
      <c r="AI523" s="191"/>
      <c r="AJ523" s="8"/>
      <c r="AK523" s="8"/>
      <c r="AL523" s="8"/>
      <c r="AM523" s="8"/>
      <c r="AN523" s="8"/>
      <c r="AO523" s="8"/>
      <c r="AP523" s="8"/>
      <c r="AQ523" s="8"/>
      <c r="AR523" s="8"/>
      <c r="AS523" s="8"/>
      <c r="AT523" s="8"/>
    </row>
    <row r="524">
      <c r="A524" s="197"/>
      <c r="B524" s="198"/>
      <c r="C524" s="379"/>
      <c r="D524" s="197"/>
      <c r="E524" s="198"/>
      <c r="F524" s="379"/>
      <c r="G524" s="197"/>
      <c r="H524" s="198"/>
      <c r="I524" s="379"/>
      <c r="J524" s="197"/>
      <c r="K524" s="198"/>
      <c r="L524" s="379"/>
      <c r="M524" s="197"/>
      <c r="N524" s="198"/>
      <c r="O524" s="379"/>
      <c r="P524" s="197"/>
      <c r="Q524" s="198"/>
      <c r="R524" s="379"/>
      <c r="S524" s="197"/>
      <c r="T524" s="198"/>
      <c r="U524" s="379"/>
      <c r="V524" s="197"/>
      <c r="W524" s="198"/>
      <c r="X524" s="379"/>
      <c r="Y524" s="184"/>
      <c r="Z524" s="184"/>
      <c r="AA524" s="184"/>
      <c r="AB524" s="184"/>
      <c r="AC524" s="8"/>
      <c r="AD524" s="8"/>
      <c r="AE524" s="8"/>
      <c r="AF524" s="8"/>
      <c r="AG524" s="191"/>
      <c r="AH524" s="191"/>
      <c r="AI524" s="191"/>
      <c r="AJ524" s="8"/>
      <c r="AK524" s="8"/>
      <c r="AL524" s="8"/>
      <c r="AM524" s="8"/>
      <c r="AN524" s="8"/>
      <c r="AO524" s="8"/>
      <c r="AP524" s="8"/>
      <c r="AQ524" s="8"/>
      <c r="AR524" s="8"/>
      <c r="AS524" s="8"/>
      <c r="AT524" s="8"/>
    </row>
    <row r="525">
      <c r="A525" s="197"/>
      <c r="B525" s="198"/>
      <c r="C525" s="379"/>
      <c r="D525" s="197"/>
      <c r="E525" s="198"/>
      <c r="F525" s="379"/>
      <c r="G525" s="197"/>
      <c r="H525" s="198"/>
      <c r="I525" s="379"/>
      <c r="J525" s="197"/>
      <c r="K525" s="198"/>
      <c r="L525" s="379"/>
      <c r="M525" s="197"/>
      <c r="N525" s="198"/>
      <c r="O525" s="379"/>
      <c r="P525" s="197"/>
      <c r="Q525" s="198"/>
      <c r="R525" s="379"/>
      <c r="S525" s="197"/>
      <c r="T525" s="198"/>
      <c r="U525" s="379"/>
      <c r="V525" s="197"/>
      <c r="W525" s="198"/>
      <c r="X525" s="379"/>
      <c r="Y525" s="184"/>
      <c r="Z525" s="184"/>
      <c r="AA525" s="184"/>
      <c r="AB525" s="184"/>
      <c r="AC525" s="8"/>
      <c r="AD525" s="8"/>
      <c r="AE525" s="8"/>
      <c r="AF525" s="8"/>
      <c r="AG525" s="191"/>
      <c r="AH525" s="191"/>
      <c r="AI525" s="191"/>
      <c r="AJ525" s="8"/>
      <c r="AK525" s="8"/>
      <c r="AL525" s="8"/>
      <c r="AM525" s="8"/>
      <c r="AN525" s="8"/>
      <c r="AO525" s="8"/>
      <c r="AP525" s="8"/>
      <c r="AQ525" s="8"/>
      <c r="AR525" s="8"/>
      <c r="AS525" s="8"/>
      <c r="AT525" s="8"/>
    </row>
    <row r="526">
      <c r="A526" s="197"/>
      <c r="B526" s="198"/>
      <c r="C526" s="379"/>
      <c r="D526" s="197"/>
      <c r="E526" s="198"/>
      <c r="F526" s="379"/>
      <c r="G526" s="197"/>
      <c r="H526" s="198"/>
      <c r="I526" s="379"/>
      <c r="J526" s="197"/>
      <c r="K526" s="198"/>
      <c r="L526" s="379"/>
      <c r="M526" s="197"/>
      <c r="N526" s="198"/>
      <c r="O526" s="379"/>
      <c r="P526" s="197"/>
      <c r="Q526" s="198"/>
      <c r="R526" s="379"/>
      <c r="S526" s="197"/>
      <c r="T526" s="198"/>
      <c r="U526" s="379"/>
      <c r="V526" s="197"/>
      <c r="W526" s="198"/>
      <c r="X526" s="379"/>
      <c r="Y526" s="184"/>
      <c r="Z526" s="184"/>
      <c r="AA526" s="184"/>
      <c r="AB526" s="184"/>
      <c r="AC526" s="8"/>
      <c r="AD526" s="8"/>
      <c r="AE526" s="8"/>
      <c r="AF526" s="8"/>
      <c r="AG526" s="191"/>
      <c r="AH526" s="191"/>
      <c r="AI526" s="191"/>
      <c r="AJ526" s="8"/>
      <c r="AK526" s="8"/>
      <c r="AL526" s="8"/>
      <c r="AM526" s="8"/>
      <c r="AN526" s="8"/>
      <c r="AO526" s="8"/>
      <c r="AP526" s="8"/>
      <c r="AQ526" s="8"/>
      <c r="AR526" s="8"/>
      <c r="AS526" s="8"/>
      <c r="AT526" s="8"/>
    </row>
    <row r="527">
      <c r="A527" s="197"/>
      <c r="B527" s="198"/>
      <c r="C527" s="379"/>
      <c r="D527" s="197"/>
      <c r="E527" s="198"/>
      <c r="F527" s="379"/>
      <c r="G527" s="197"/>
      <c r="H527" s="198"/>
      <c r="I527" s="379"/>
      <c r="J527" s="197"/>
      <c r="K527" s="198"/>
      <c r="L527" s="379"/>
      <c r="M527" s="197"/>
      <c r="N527" s="198"/>
      <c r="O527" s="379"/>
      <c r="P527" s="197"/>
      <c r="Q527" s="198"/>
      <c r="R527" s="379"/>
      <c r="S527" s="197"/>
      <c r="T527" s="198"/>
      <c r="U527" s="379"/>
      <c r="V527" s="197"/>
      <c r="W527" s="198"/>
      <c r="X527" s="379"/>
      <c r="Y527" s="184"/>
      <c r="Z527" s="184"/>
      <c r="AA527" s="184"/>
      <c r="AB527" s="184"/>
      <c r="AC527" s="8"/>
      <c r="AD527" s="8"/>
      <c r="AE527" s="8"/>
      <c r="AF527" s="8"/>
      <c r="AG527" s="191"/>
      <c r="AH527" s="191"/>
      <c r="AI527" s="191"/>
      <c r="AJ527" s="8"/>
      <c r="AK527" s="8"/>
      <c r="AL527" s="8"/>
      <c r="AM527" s="8"/>
      <c r="AN527" s="8"/>
      <c r="AO527" s="8"/>
      <c r="AP527" s="8"/>
      <c r="AQ527" s="8"/>
      <c r="AR527" s="8"/>
      <c r="AS527" s="8"/>
      <c r="AT527" s="8"/>
    </row>
    <row r="528">
      <c r="A528" s="197"/>
      <c r="B528" s="198"/>
      <c r="C528" s="379"/>
      <c r="D528" s="197"/>
      <c r="E528" s="198"/>
      <c r="F528" s="379"/>
      <c r="G528" s="197"/>
      <c r="H528" s="198"/>
      <c r="I528" s="379"/>
      <c r="J528" s="197"/>
      <c r="K528" s="198"/>
      <c r="L528" s="379"/>
      <c r="M528" s="197"/>
      <c r="N528" s="198"/>
      <c r="O528" s="379"/>
      <c r="P528" s="197"/>
      <c r="Q528" s="198"/>
      <c r="R528" s="379"/>
      <c r="S528" s="197"/>
      <c r="T528" s="198"/>
      <c r="U528" s="379"/>
      <c r="V528" s="197"/>
      <c r="W528" s="198"/>
      <c r="X528" s="379"/>
      <c r="Y528" s="184"/>
      <c r="Z528" s="184"/>
      <c r="AA528" s="184"/>
      <c r="AB528" s="184"/>
      <c r="AC528" s="8"/>
      <c r="AD528" s="8"/>
      <c r="AE528" s="8"/>
      <c r="AF528" s="8"/>
      <c r="AG528" s="191"/>
      <c r="AH528" s="191"/>
      <c r="AI528" s="191"/>
      <c r="AJ528" s="8"/>
      <c r="AK528" s="8"/>
      <c r="AL528" s="8"/>
      <c r="AM528" s="8"/>
      <c r="AN528" s="8"/>
      <c r="AO528" s="8"/>
      <c r="AP528" s="8"/>
      <c r="AQ528" s="8"/>
      <c r="AR528" s="8"/>
      <c r="AS528" s="8"/>
      <c r="AT528" s="8"/>
    </row>
    <row r="529">
      <c r="A529" s="197"/>
      <c r="B529" s="198"/>
      <c r="C529" s="379"/>
      <c r="D529" s="197"/>
      <c r="E529" s="198"/>
      <c r="F529" s="379"/>
      <c r="G529" s="197"/>
      <c r="H529" s="198"/>
      <c r="I529" s="379"/>
      <c r="J529" s="197"/>
      <c r="K529" s="198"/>
      <c r="L529" s="379"/>
      <c r="M529" s="197"/>
      <c r="N529" s="198"/>
      <c r="O529" s="379"/>
      <c r="P529" s="197"/>
      <c r="Q529" s="198"/>
      <c r="R529" s="379"/>
      <c r="S529" s="197"/>
      <c r="T529" s="198"/>
      <c r="U529" s="379"/>
      <c r="V529" s="197"/>
      <c r="W529" s="198"/>
      <c r="X529" s="379"/>
      <c r="Y529" s="184"/>
      <c r="Z529" s="184"/>
      <c r="AA529" s="184"/>
      <c r="AB529" s="184"/>
      <c r="AC529" s="8"/>
      <c r="AD529" s="8"/>
      <c r="AE529" s="8"/>
      <c r="AF529" s="8"/>
      <c r="AG529" s="191"/>
      <c r="AH529" s="191"/>
      <c r="AI529" s="191"/>
      <c r="AJ529" s="8"/>
      <c r="AK529" s="8"/>
      <c r="AL529" s="8"/>
      <c r="AM529" s="8"/>
      <c r="AN529" s="8"/>
      <c r="AO529" s="8"/>
      <c r="AP529" s="8"/>
      <c r="AQ529" s="8"/>
      <c r="AR529" s="8"/>
      <c r="AS529" s="8"/>
      <c r="AT529" s="8"/>
    </row>
    <row r="530">
      <c r="A530" s="197"/>
      <c r="B530" s="198"/>
      <c r="C530" s="379"/>
      <c r="D530" s="197"/>
      <c r="E530" s="198"/>
      <c r="F530" s="379"/>
      <c r="G530" s="197"/>
      <c r="H530" s="198"/>
      <c r="I530" s="379"/>
      <c r="J530" s="197"/>
      <c r="K530" s="198"/>
      <c r="L530" s="379"/>
      <c r="M530" s="197"/>
      <c r="N530" s="198"/>
      <c r="O530" s="379"/>
      <c r="P530" s="197"/>
      <c r="Q530" s="198"/>
      <c r="R530" s="379"/>
      <c r="S530" s="197"/>
      <c r="T530" s="198"/>
      <c r="U530" s="379"/>
      <c r="V530" s="197"/>
      <c r="W530" s="198"/>
      <c r="X530" s="379"/>
      <c r="Y530" s="184"/>
      <c r="Z530" s="184"/>
      <c r="AA530" s="184"/>
      <c r="AB530" s="184"/>
      <c r="AC530" s="8"/>
      <c r="AD530" s="8"/>
      <c r="AE530" s="8"/>
      <c r="AF530" s="8"/>
      <c r="AG530" s="191"/>
      <c r="AH530" s="191"/>
      <c r="AI530" s="191"/>
      <c r="AJ530" s="8"/>
      <c r="AK530" s="8"/>
      <c r="AL530" s="8"/>
      <c r="AM530" s="8"/>
      <c r="AN530" s="8"/>
      <c r="AO530" s="8"/>
      <c r="AP530" s="8"/>
      <c r="AQ530" s="8"/>
      <c r="AR530" s="8"/>
      <c r="AS530" s="8"/>
      <c r="AT530" s="8"/>
    </row>
    <row r="531">
      <c r="A531" s="197"/>
      <c r="B531" s="198"/>
      <c r="C531" s="379"/>
      <c r="D531" s="197"/>
      <c r="E531" s="198"/>
      <c r="F531" s="379"/>
      <c r="G531" s="197"/>
      <c r="H531" s="198"/>
      <c r="I531" s="379"/>
      <c r="J531" s="197"/>
      <c r="K531" s="198"/>
      <c r="L531" s="379"/>
      <c r="M531" s="197"/>
      <c r="N531" s="198"/>
      <c r="O531" s="379"/>
      <c r="P531" s="197"/>
      <c r="Q531" s="198"/>
      <c r="R531" s="379"/>
      <c r="S531" s="197"/>
      <c r="T531" s="198"/>
      <c r="U531" s="379"/>
      <c r="V531" s="197"/>
      <c r="W531" s="198"/>
      <c r="X531" s="379"/>
      <c r="Y531" s="184"/>
      <c r="Z531" s="184"/>
      <c r="AA531" s="184"/>
      <c r="AB531" s="184"/>
      <c r="AC531" s="8"/>
      <c r="AD531" s="8"/>
      <c r="AE531" s="8"/>
      <c r="AF531" s="8"/>
      <c r="AG531" s="191"/>
      <c r="AH531" s="191"/>
      <c r="AI531" s="191"/>
      <c r="AJ531" s="8"/>
      <c r="AK531" s="8"/>
      <c r="AL531" s="8"/>
      <c r="AM531" s="8"/>
      <c r="AN531" s="8"/>
      <c r="AO531" s="8"/>
      <c r="AP531" s="8"/>
      <c r="AQ531" s="8"/>
      <c r="AR531" s="8"/>
      <c r="AS531" s="8"/>
      <c r="AT531" s="8"/>
    </row>
    <row r="532">
      <c r="A532" s="197"/>
      <c r="B532" s="198"/>
      <c r="C532" s="379"/>
      <c r="D532" s="197"/>
      <c r="E532" s="198"/>
      <c r="F532" s="379"/>
      <c r="G532" s="197"/>
      <c r="H532" s="198"/>
      <c r="I532" s="379"/>
      <c r="J532" s="197"/>
      <c r="K532" s="198"/>
      <c r="L532" s="379"/>
      <c r="M532" s="197"/>
      <c r="N532" s="198"/>
      <c r="O532" s="379"/>
      <c r="P532" s="197"/>
      <c r="Q532" s="198"/>
      <c r="R532" s="379"/>
      <c r="S532" s="197"/>
      <c r="T532" s="198"/>
      <c r="U532" s="379"/>
      <c r="V532" s="197"/>
      <c r="W532" s="198"/>
      <c r="X532" s="379"/>
      <c r="Y532" s="184"/>
      <c r="Z532" s="184"/>
      <c r="AA532" s="184"/>
      <c r="AB532" s="184"/>
      <c r="AC532" s="8"/>
      <c r="AD532" s="8"/>
      <c r="AE532" s="8"/>
      <c r="AF532" s="8"/>
      <c r="AG532" s="191"/>
      <c r="AH532" s="191"/>
      <c r="AI532" s="191"/>
      <c r="AJ532" s="8"/>
      <c r="AK532" s="8"/>
      <c r="AL532" s="8"/>
      <c r="AM532" s="8"/>
      <c r="AN532" s="8"/>
      <c r="AO532" s="8"/>
      <c r="AP532" s="8"/>
      <c r="AQ532" s="8"/>
      <c r="AR532" s="8"/>
      <c r="AS532" s="8"/>
      <c r="AT532" s="8"/>
    </row>
    <row r="533">
      <c r="A533" s="197"/>
      <c r="B533" s="198"/>
      <c r="C533" s="379"/>
      <c r="D533" s="197"/>
      <c r="E533" s="198"/>
      <c r="F533" s="379"/>
      <c r="G533" s="197"/>
      <c r="H533" s="198"/>
      <c r="I533" s="379"/>
      <c r="J533" s="197"/>
      <c r="K533" s="198"/>
      <c r="L533" s="379"/>
      <c r="M533" s="197"/>
      <c r="N533" s="198"/>
      <c r="O533" s="379"/>
      <c r="P533" s="197"/>
      <c r="Q533" s="198"/>
      <c r="R533" s="379"/>
      <c r="S533" s="197"/>
      <c r="T533" s="198"/>
      <c r="U533" s="379"/>
      <c r="V533" s="197"/>
      <c r="W533" s="198"/>
      <c r="X533" s="379"/>
      <c r="Y533" s="184"/>
      <c r="Z533" s="184"/>
      <c r="AA533" s="184"/>
      <c r="AB533" s="184"/>
      <c r="AC533" s="8"/>
      <c r="AD533" s="8"/>
      <c r="AE533" s="8"/>
      <c r="AF533" s="8"/>
      <c r="AG533" s="191"/>
      <c r="AH533" s="191"/>
      <c r="AI533" s="191"/>
      <c r="AJ533" s="8"/>
      <c r="AK533" s="8"/>
      <c r="AL533" s="8"/>
      <c r="AM533" s="8"/>
      <c r="AN533" s="8"/>
      <c r="AO533" s="8"/>
      <c r="AP533" s="8"/>
      <c r="AQ533" s="8"/>
      <c r="AR533" s="8"/>
      <c r="AS533" s="8"/>
      <c r="AT533" s="8"/>
    </row>
    <row r="534">
      <c r="A534" s="197"/>
      <c r="B534" s="198"/>
      <c r="C534" s="379"/>
      <c r="D534" s="197"/>
      <c r="E534" s="198"/>
      <c r="F534" s="379"/>
      <c r="G534" s="197"/>
      <c r="H534" s="198"/>
      <c r="I534" s="379"/>
      <c r="J534" s="197"/>
      <c r="K534" s="198"/>
      <c r="L534" s="379"/>
      <c r="M534" s="197"/>
      <c r="N534" s="198"/>
      <c r="O534" s="379"/>
      <c r="P534" s="197"/>
      <c r="Q534" s="198"/>
      <c r="R534" s="379"/>
      <c r="S534" s="197"/>
      <c r="T534" s="198"/>
      <c r="U534" s="379"/>
      <c r="V534" s="197"/>
      <c r="W534" s="198"/>
      <c r="X534" s="379"/>
      <c r="Y534" s="184"/>
      <c r="Z534" s="184"/>
      <c r="AA534" s="184"/>
      <c r="AB534" s="184"/>
      <c r="AC534" s="8"/>
      <c r="AD534" s="8"/>
      <c r="AE534" s="8"/>
      <c r="AF534" s="8"/>
      <c r="AG534" s="191"/>
      <c r="AH534" s="191"/>
      <c r="AI534" s="191"/>
      <c r="AJ534" s="8"/>
      <c r="AK534" s="8"/>
      <c r="AL534" s="8"/>
      <c r="AM534" s="8"/>
      <c r="AN534" s="8"/>
      <c r="AO534" s="8"/>
      <c r="AP534" s="8"/>
      <c r="AQ534" s="8"/>
      <c r="AR534" s="8"/>
      <c r="AS534" s="8"/>
      <c r="AT534" s="8"/>
    </row>
    <row r="535">
      <c r="A535" s="197"/>
      <c r="B535" s="198"/>
      <c r="C535" s="379"/>
      <c r="D535" s="197"/>
      <c r="E535" s="198"/>
      <c r="F535" s="379"/>
      <c r="G535" s="197"/>
      <c r="H535" s="198"/>
      <c r="I535" s="379"/>
      <c r="J535" s="197"/>
      <c r="K535" s="198"/>
      <c r="L535" s="379"/>
      <c r="M535" s="197"/>
      <c r="N535" s="198"/>
      <c r="O535" s="379"/>
      <c r="P535" s="197"/>
      <c r="Q535" s="198"/>
      <c r="R535" s="379"/>
      <c r="S535" s="197"/>
      <c r="T535" s="198"/>
      <c r="U535" s="379"/>
      <c r="V535" s="197"/>
      <c r="W535" s="198"/>
      <c r="X535" s="379"/>
      <c r="Y535" s="184"/>
      <c r="Z535" s="184"/>
      <c r="AA535" s="184"/>
      <c r="AB535" s="184"/>
      <c r="AC535" s="8"/>
      <c r="AD535" s="8"/>
      <c r="AE535" s="8"/>
      <c r="AF535" s="8"/>
      <c r="AG535" s="191"/>
      <c r="AH535" s="191"/>
      <c r="AI535" s="191"/>
      <c r="AJ535" s="8"/>
      <c r="AK535" s="8"/>
      <c r="AL535" s="8"/>
      <c r="AM535" s="8"/>
      <c r="AN535" s="8"/>
      <c r="AO535" s="8"/>
      <c r="AP535" s="8"/>
      <c r="AQ535" s="8"/>
      <c r="AR535" s="8"/>
      <c r="AS535" s="8"/>
      <c r="AT535" s="8"/>
    </row>
    <row r="536">
      <c r="A536" s="197"/>
      <c r="B536" s="198"/>
      <c r="C536" s="379"/>
      <c r="D536" s="197"/>
      <c r="E536" s="198"/>
      <c r="F536" s="379"/>
      <c r="G536" s="197"/>
      <c r="H536" s="198"/>
      <c r="I536" s="379"/>
      <c r="J536" s="197"/>
      <c r="K536" s="198"/>
      <c r="L536" s="379"/>
      <c r="M536" s="197"/>
      <c r="N536" s="198"/>
      <c r="O536" s="379"/>
      <c r="P536" s="197"/>
      <c r="Q536" s="198"/>
      <c r="R536" s="379"/>
      <c r="S536" s="197"/>
      <c r="T536" s="198"/>
      <c r="U536" s="379"/>
      <c r="V536" s="197"/>
      <c r="W536" s="198"/>
      <c r="X536" s="379"/>
      <c r="Y536" s="184"/>
      <c r="Z536" s="184"/>
      <c r="AA536" s="184"/>
      <c r="AB536" s="184"/>
      <c r="AC536" s="8"/>
      <c r="AD536" s="8"/>
      <c r="AE536" s="8"/>
      <c r="AF536" s="8"/>
      <c r="AG536" s="191"/>
      <c r="AH536" s="191"/>
      <c r="AI536" s="191"/>
      <c r="AJ536" s="8"/>
      <c r="AK536" s="8"/>
      <c r="AL536" s="8"/>
      <c r="AM536" s="8"/>
      <c r="AN536" s="8"/>
      <c r="AO536" s="8"/>
      <c r="AP536" s="8"/>
      <c r="AQ536" s="8"/>
      <c r="AR536" s="8"/>
      <c r="AS536" s="8"/>
      <c r="AT536" s="8"/>
    </row>
    <row r="537">
      <c r="A537" s="197"/>
      <c r="B537" s="198"/>
      <c r="C537" s="379"/>
      <c r="D537" s="197"/>
      <c r="E537" s="198"/>
      <c r="F537" s="379"/>
      <c r="G537" s="197"/>
      <c r="H537" s="198"/>
      <c r="I537" s="379"/>
      <c r="J537" s="197"/>
      <c r="K537" s="198"/>
      <c r="L537" s="379"/>
      <c r="M537" s="197"/>
      <c r="N537" s="198"/>
      <c r="O537" s="379"/>
      <c r="P537" s="197"/>
      <c r="Q537" s="198"/>
      <c r="R537" s="379"/>
      <c r="S537" s="197"/>
      <c r="T537" s="198"/>
      <c r="U537" s="379"/>
      <c r="V537" s="197"/>
      <c r="W537" s="198"/>
      <c r="X537" s="379"/>
      <c r="Y537" s="184"/>
      <c r="Z537" s="184"/>
      <c r="AA537" s="184"/>
      <c r="AB537" s="184"/>
      <c r="AC537" s="8"/>
      <c r="AD537" s="8"/>
      <c r="AE537" s="8"/>
      <c r="AF537" s="8"/>
      <c r="AG537" s="191"/>
      <c r="AH537" s="191"/>
      <c r="AI537" s="191"/>
      <c r="AJ537" s="8"/>
      <c r="AK537" s="8"/>
      <c r="AL537" s="8"/>
      <c r="AM537" s="8"/>
      <c r="AN537" s="8"/>
      <c r="AO537" s="8"/>
      <c r="AP537" s="8"/>
      <c r="AQ537" s="8"/>
      <c r="AR537" s="8"/>
      <c r="AS537" s="8"/>
      <c r="AT537" s="8"/>
    </row>
    <row r="538">
      <c r="A538" s="197"/>
      <c r="B538" s="198"/>
      <c r="C538" s="379"/>
      <c r="D538" s="197"/>
      <c r="E538" s="198"/>
      <c r="F538" s="379"/>
      <c r="G538" s="197"/>
      <c r="H538" s="198"/>
      <c r="I538" s="379"/>
      <c r="J538" s="197"/>
      <c r="K538" s="198"/>
      <c r="L538" s="379"/>
      <c r="M538" s="197"/>
      <c r="N538" s="198"/>
      <c r="O538" s="379"/>
      <c r="P538" s="197"/>
      <c r="Q538" s="198"/>
      <c r="R538" s="379"/>
      <c r="S538" s="197"/>
      <c r="T538" s="198"/>
      <c r="U538" s="379"/>
      <c r="V538" s="197"/>
      <c r="W538" s="198"/>
      <c r="X538" s="379"/>
      <c r="Y538" s="184"/>
      <c r="Z538" s="184"/>
      <c r="AA538" s="184"/>
      <c r="AB538" s="184"/>
      <c r="AC538" s="8"/>
      <c r="AD538" s="8"/>
      <c r="AE538" s="8"/>
      <c r="AF538" s="8"/>
      <c r="AG538" s="191"/>
      <c r="AH538" s="191"/>
      <c r="AI538" s="191"/>
      <c r="AJ538" s="8"/>
      <c r="AK538" s="8"/>
      <c r="AL538" s="8"/>
      <c r="AM538" s="8"/>
      <c r="AN538" s="8"/>
      <c r="AO538" s="8"/>
      <c r="AP538" s="8"/>
      <c r="AQ538" s="8"/>
      <c r="AR538" s="8"/>
      <c r="AS538" s="8"/>
      <c r="AT538" s="8"/>
    </row>
    <row r="539">
      <c r="A539" s="197"/>
      <c r="B539" s="198"/>
      <c r="C539" s="379"/>
      <c r="D539" s="197"/>
      <c r="E539" s="198"/>
      <c r="F539" s="379"/>
      <c r="G539" s="197"/>
      <c r="H539" s="198"/>
      <c r="I539" s="379"/>
      <c r="J539" s="197"/>
      <c r="K539" s="198"/>
      <c r="L539" s="379"/>
      <c r="M539" s="197"/>
      <c r="N539" s="198"/>
      <c r="O539" s="379"/>
      <c r="P539" s="197"/>
      <c r="Q539" s="198"/>
      <c r="R539" s="379"/>
      <c r="S539" s="197"/>
      <c r="T539" s="198"/>
      <c r="U539" s="379"/>
      <c r="V539" s="197"/>
      <c r="W539" s="198"/>
      <c r="X539" s="379"/>
      <c r="Y539" s="184"/>
      <c r="Z539" s="184"/>
      <c r="AA539" s="184"/>
      <c r="AB539" s="184"/>
      <c r="AC539" s="8"/>
      <c r="AD539" s="8"/>
      <c r="AE539" s="8"/>
      <c r="AF539" s="8"/>
      <c r="AG539" s="191"/>
      <c r="AH539" s="191"/>
      <c r="AI539" s="191"/>
      <c r="AJ539" s="8"/>
      <c r="AK539" s="8"/>
      <c r="AL539" s="8"/>
      <c r="AM539" s="8"/>
      <c r="AN539" s="8"/>
      <c r="AO539" s="8"/>
      <c r="AP539" s="8"/>
      <c r="AQ539" s="8"/>
      <c r="AR539" s="8"/>
      <c r="AS539" s="8"/>
      <c r="AT539" s="8"/>
    </row>
    <row r="540">
      <c r="A540" s="197"/>
      <c r="B540" s="198"/>
      <c r="C540" s="379"/>
      <c r="D540" s="197"/>
      <c r="E540" s="198"/>
      <c r="F540" s="379"/>
      <c r="G540" s="197"/>
      <c r="H540" s="198"/>
      <c r="I540" s="379"/>
      <c r="J540" s="197"/>
      <c r="K540" s="198"/>
      <c r="L540" s="379"/>
      <c r="M540" s="197"/>
      <c r="N540" s="198"/>
      <c r="O540" s="379"/>
      <c r="P540" s="197"/>
      <c r="Q540" s="198"/>
      <c r="R540" s="379"/>
      <c r="S540" s="197"/>
      <c r="T540" s="198"/>
      <c r="U540" s="379"/>
      <c r="V540" s="197"/>
      <c r="W540" s="198"/>
      <c r="X540" s="379"/>
      <c r="Y540" s="184"/>
      <c r="Z540" s="184"/>
      <c r="AA540" s="184"/>
      <c r="AB540" s="184"/>
      <c r="AC540" s="8"/>
      <c r="AD540" s="8"/>
      <c r="AE540" s="8"/>
      <c r="AF540" s="8"/>
      <c r="AG540" s="191"/>
      <c r="AH540" s="191"/>
      <c r="AI540" s="191"/>
      <c r="AJ540" s="8"/>
      <c r="AK540" s="8"/>
      <c r="AL540" s="8"/>
      <c r="AM540" s="8"/>
      <c r="AN540" s="8"/>
      <c r="AO540" s="8"/>
      <c r="AP540" s="8"/>
      <c r="AQ540" s="8"/>
      <c r="AR540" s="8"/>
      <c r="AS540" s="8"/>
      <c r="AT540" s="8"/>
    </row>
    <row r="541">
      <c r="A541" s="197"/>
      <c r="B541" s="198"/>
      <c r="C541" s="379"/>
      <c r="D541" s="197"/>
      <c r="E541" s="198"/>
      <c r="F541" s="379"/>
      <c r="G541" s="197"/>
      <c r="H541" s="198"/>
      <c r="I541" s="379"/>
      <c r="J541" s="197"/>
      <c r="K541" s="198"/>
      <c r="L541" s="379"/>
      <c r="M541" s="197"/>
      <c r="N541" s="198"/>
      <c r="O541" s="379"/>
      <c r="P541" s="197"/>
      <c r="Q541" s="198"/>
      <c r="R541" s="379"/>
      <c r="S541" s="197"/>
      <c r="T541" s="198"/>
      <c r="U541" s="379"/>
      <c r="V541" s="197"/>
      <c r="W541" s="198"/>
      <c r="X541" s="379"/>
      <c r="Y541" s="184"/>
      <c r="Z541" s="184"/>
      <c r="AA541" s="184"/>
      <c r="AB541" s="184"/>
      <c r="AC541" s="8"/>
      <c r="AD541" s="8"/>
      <c r="AE541" s="8"/>
      <c r="AF541" s="8"/>
      <c r="AG541" s="191"/>
      <c r="AH541" s="191"/>
      <c r="AI541" s="191"/>
      <c r="AJ541" s="8"/>
      <c r="AK541" s="8"/>
      <c r="AL541" s="8"/>
      <c r="AM541" s="8"/>
      <c r="AN541" s="8"/>
      <c r="AO541" s="8"/>
      <c r="AP541" s="8"/>
      <c r="AQ541" s="8"/>
      <c r="AR541" s="8"/>
      <c r="AS541" s="8"/>
      <c r="AT541" s="8"/>
    </row>
    <row r="542">
      <c r="A542" s="197"/>
      <c r="B542" s="198"/>
      <c r="C542" s="379"/>
      <c r="D542" s="197"/>
      <c r="E542" s="198"/>
      <c r="F542" s="379"/>
      <c r="G542" s="197"/>
      <c r="H542" s="198"/>
      <c r="I542" s="379"/>
      <c r="J542" s="197"/>
      <c r="K542" s="198"/>
      <c r="L542" s="379"/>
      <c r="M542" s="197"/>
      <c r="N542" s="198"/>
      <c r="O542" s="379"/>
      <c r="P542" s="197"/>
      <c r="Q542" s="198"/>
      <c r="R542" s="379"/>
      <c r="S542" s="197"/>
      <c r="T542" s="198"/>
      <c r="U542" s="379"/>
      <c r="V542" s="197"/>
      <c r="W542" s="198"/>
      <c r="X542" s="379"/>
      <c r="Y542" s="184"/>
      <c r="Z542" s="184"/>
      <c r="AA542" s="184"/>
      <c r="AB542" s="184"/>
      <c r="AC542" s="8"/>
      <c r="AD542" s="8"/>
      <c r="AE542" s="8"/>
      <c r="AF542" s="8"/>
      <c r="AG542" s="191"/>
      <c r="AH542" s="191"/>
      <c r="AI542" s="191"/>
      <c r="AJ542" s="8"/>
      <c r="AK542" s="8"/>
      <c r="AL542" s="8"/>
      <c r="AM542" s="8"/>
      <c r="AN542" s="8"/>
      <c r="AO542" s="8"/>
      <c r="AP542" s="8"/>
      <c r="AQ542" s="8"/>
      <c r="AR542" s="8"/>
      <c r="AS542" s="8"/>
      <c r="AT542" s="8"/>
    </row>
    <row r="543">
      <c r="A543" s="197"/>
      <c r="B543" s="198"/>
      <c r="C543" s="379"/>
      <c r="D543" s="197"/>
      <c r="E543" s="198"/>
      <c r="F543" s="379"/>
      <c r="G543" s="197"/>
      <c r="H543" s="198"/>
      <c r="I543" s="379"/>
      <c r="J543" s="197"/>
      <c r="K543" s="198"/>
      <c r="L543" s="379"/>
      <c r="M543" s="197"/>
      <c r="N543" s="198"/>
      <c r="O543" s="379"/>
      <c r="P543" s="197"/>
      <c r="Q543" s="198"/>
      <c r="R543" s="379"/>
      <c r="S543" s="197"/>
      <c r="T543" s="198"/>
      <c r="U543" s="379"/>
      <c r="V543" s="197"/>
      <c r="W543" s="198"/>
      <c r="X543" s="379"/>
      <c r="Y543" s="184"/>
      <c r="Z543" s="184"/>
      <c r="AA543" s="184"/>
      <c r="AB543" s="184"/>
      <c r="AC543" s="8"/>
      <c r="AD543" s="8"/>
      <c r="AE543" s="8"/>
      <c r="AF543" s="8"/>
      <c r="AG543" s="191"/>
      <c r="AH543" s="191"/>
      <c r="AI543" s="191"/>
      <c r="AJ543" s="8"/>
      <c r="AK543" s="8"/>
      <c r="AL543" s="8"/>
      <c r="AM543" s="8"/>
      <c r="AN543" s="8"/>
      <c r="AO543" s="8"/>
      <c r="AP543" s="8"/>
      <c r="AQ543" s="8"/>
      <c r="AR543" s="8"/>
      <c r="AS543" s="8"/>
      <c r="AT543" s="8"/>
    </row>
    <row r="544">
      <c r="A544" s="197"/>
      <c r="B544" s="198"/>
      <c r="C544" s="379"/>
      <c r="D544" s="197"/>
      <c r="E544" s="198"/>
      <c r="F544" s="379"/>
      <c r="G544" s="197"/>
      <c r="H544" s="198"/>
      <c r="I544" s="379"/>
      <c r="J544" s="197"/>
      <c r="K544" s="198"/>
      <c r="L544" s="379"/>
      <c r="M544" s="197"/>
      <c r="N544" s="198"/>
      <c r="O544" s="379"/>
      <c r="P544" s="197"/>
      <c r="Q544" s="198"/>
      <c r="R544" s="379"/>
      <c r="S544" s="197"/>
      <c r="T544" s="198"/>
      <c r="U544" s="379"/>
      <c r="V544" s="197"/>
      <c r="W544" s="198"/>
      <c r="X544" s="379"/>
      <c r="Y544" s="184"/>
      <c r="Z544" s="184"/>
      <c r="AA544" s="184"/>
      <c r="AB544" s="184"/>
      <c r="AC544" s="8"/>
      <c r="AD544" s="8"/>
      <c r="AE544" s="8"/>
      <c r="AF544" s="8"/>
      <c r="AG544" s="191"/>
      <c r="AH544" s="191"/>
      <c r="AI544" s="191"/>
      <c r="AJ544" s="8"/>
      <c r="AK544" s="8"/>
      <c r="AL544" s="8"/>
      <c r="AM544" s="8"/>
      <c r="AN544" s="8"/>
      <c r="AO544" s="8"/>
      <c r="AP544" s="8"/>
      <c r="AQ544" s="8"/>
      <c r="AR544" s="8"/>
      <c r="AS544" s="8"/>
      <c r="AT544" s="8"/>
    </row>
    <row r="545">
      <c r="A545" s="197"/>
      <c r="B545" s="198"/>
      <c r="C545" s="379"/>
      <c r="D545" s="197"/>
      <c r="E545" s="198"/>
      <c r="F545" s="379"/>
      <c r="G545" s="197"/>
      <c r="H545" s="198"/>
      <c r="I545" s="379"/>
      <c r="J545" s="197"/>
      <c r="K545" s="198"/>
      <c r="L545" s="379"/>
      <c r="M545" s="197"/>
      <c r="N545" s="198"/>
      <c r="O545" s="379"/>
      <c r="P545" s="197"/>
      <c r="Q545" s="198"/>
      <c r="R545" s="379"/>
      <c r="S545" s="197"/>
      <c r="T545" s="198"/>
      <c r="U545" s="379"/>
      <c r="V545" s="197"/>
      <c r="W545" s="198"/>
      <c r="X545" s="379"/>
      <c r="Y545" s="184"/>
      <c r="Z545" s="184"/>
      <c r="AA545" s="184"/>
      <c r="AB545" s="184"/>
      <c r="AC545" s="8"/>
      <c r="AD545" s="8"/>
      <c r="AE545" s="8"/>
      <c r="AF545" s="8"/>
      <c r="AG545" s="191"/>
      <c r="AH545" s="191"/>
      <c r="AI545" s="191"/>
      <c r="AJ545" s="8"/>
      <c r="AK545" s="8"/>
      <c r="AL545" s="8"/>
      <c r="AM545" s="8"/>
      <c r="AN545" s="8"/>
      <c r="AO545" s="8"/>
      <c r="AP545" s="8"/>
      <c r="AQ545" s="8"/>
      <c r="AR545" s="8"/>
      <c r="AS545" s="8"/>
      <c r="AT545" s="8"/>
    </row>
    <row r="546">
      <c r="A546" s="197"/>
      <c r="B546" s="198"/>
      <c r="C546" s="379"/>
      <c r="D546" s="197"/>
      <c r="E546" s="198"/>
      <c r="F546" s="379"/>
      <c r="G546" s="197"/>
      <c r="H546" s="198"/>
      <c r="I546" s="379"/>
      <c r="J546" s="197"/>
      <c r="K546" s="198"/>
      <c r="L546" s="379"/>
      <c r="M546" s="197"/>
      <c r="N546" s="198"/>
      <c r="O546" s="379"/>
      <c r="P546" s="197"/>
      <c r="Q546" s="198"/>
      <c r="R546" s="379"/>
      <c r="S546" s="197"/>
      <c r="T546" s="198"/>
      <c r="U546" s="379"/>
      <c r="V546" s="197"/>
      <c r="W546" s="198"/>
      <c r="X546" s="379"/>
      <c r="Y546" s="184"/>
      <c r="Z546" s="184"/>
      <c r="AA546" s="184"/>
      <c r="AB546" s="184"/>
      <c r="AC546" s="8"/>
      <c r="AD546" s="8"/>
      <c r="AE546" s="8"/>
      <c r="AF546" s="8"/>
      <c r="AG546" s="191"/>
      <c r="AH546" s="191"/>
      <c r="AI546" s="191"/>
      <c r="AJ546" s="8"/>
      <c r="AK546" s="8"/>
      <c r="AL546" s="8"/>
      <c r="AM546" s="8"/>
      <c r="AN546" s="8"/>
      <c r="AO546" s="8"/>
      <c r="AP546" s="8"/>
      <c r="AQ546" s="8"/>
      <c r="AR546" s="8"/>
      <c r="AS546" s="8"/>
      <c r="AT546" s="8"/>
    </row>
    <row r="547">
      <c r="A547" s="197"/>
      <c r="B547" s="198"/>
      <c r="C547" s="379"/>
      <c r="D547" s="197"/>
      <c r="E547" s="198"/>
      <c r="F547" s="379"/>
      <c r="G547" s="197"/>
      <c r="H547" s="198"/>
      <c r="I547" s="379"/>
      <c r="J547" s="197"/>
      <c r="K547" s="198"/>
      <c r="L547" s="379"/>
      <c r="M547" s="197"/>
      <c r="N547" s="198"/>
      <c r="O547" s="379"/>
      <c r="P547" s="197"/>
      <c r="Q547" s="198"/>
      <c r="R547" s="379"/>
      <c r="S547" s="197"/>
      <c r="T547" s="198"/>
      <c r="U547" s="379"/>
      <c r="V547" s="197"/>
      <c r="W547" s="198"/>
      <c r="X547" s="379"/>
      <c r="Y547" s="184"/>
      <c r="Z547" s="184"/>
      <c r="AA547" s="184"/>
      <c r="AB547" s="184"/>
      <c r="AC547" s="8"/>
      <c r="AD547" s="8"/>
      <c r="AE547" s="8"/>
      <c r="AF547" s="8"/>
      <c r="AG547" s="191"/>
      <c r="AH547" s="191"/>
      <c r="AI547" s="191"/>
      <c r="AJ547" s="8"/>
      <c r="AK547" s="8"/>
      <c r="AL547" s="8"/>
      <c r="AM547" s="8"/>
      <c r="AN547" s="8"/>
      <c r="AO547" s="8"/>
      <c r="AP547" s="8"/>
      <c r="AQ547" s="8"/>
      <c r="AR547" s="8"/>
      <c r="AS547" s="8"/>
      <c r="AT547" s="8"/>
    </row>
    <row r="548">
      <c r="A548" s="197"/>
      <c r="B548" s="198"/>
      <c r="C548" s="379"/>
      <c r="D548" s="197"/>
      <c r="E548" s="198"/>
      <c r="F548" s="379"/>
      <c r="G548" s="197"/>
      <c r="H548" s="198"/>
      <c r="I548" s="379"/>
      <c r="J548" s="197"/>
      <c r="K548" s="198"/>
      <c r="L548" s="379"/>
      <c r="M548" s="197"/>
      <c r="N548" s="198"/>
      <c r="O548" s="379"/>
      <c r="P548" s="197"/>
      <c r="Q548" s="198"/>
      <c r="R548" s="379"/>
      <c r="S548" s="197"/>
      <c r="T548" s="198"/>
      <c r="U548" s="379"/>
      <c r="V548" s="197"/>
      <c r="W548" s="198"/>
      <c r="X548" s="379"/>
      <c r="Y548" s="184"/>
      <c r="Z548" s="184"/>
      <c r="AA548" s="184"/>
      <c r="AB548" s="184"/>
      <c r="AC548" s="8"/>
      <c r="AD548" s="8"/>
      <c r="AE548" s="8"/>
      <c r="AF548" s="8"/>
      <c r="AG548" s="191"/>
      <c r="AH548" s="191"/>
      <c r="AI548" s="191"/>
      <c r="AJ548" s="8"/>
      <c r="AK548" s="8"/>
      <c r="AL548" s="8"/>
      <c r="AM548" s="8"/>
      <c r="AN548" s="8"/>
      <c r="AO548" s="8"/>
      <c r="AP548" s="8"/>
      <c r="AQ548" s="8"/>
      <c r="AR548" s="8"/>
      <c r="AS548" s="8"/>
      <c r="AT548" s="8"/>
    </row>
    <row r="549">
      <c r="A549" s="197"/>
      <c r="B549" s="198"/>
      <c r="C549" s="379"/>
      <c r="D549" s="197"/>
      <c r="E549" s="198"/>
      <c r="F549" s="379"/>
      <c r="G549" s="197"/>
      <c r="H549" s="198"/>
      <c r="I549" s="379"/>
      <c r="J549" s="197"/>
      <c r="K549" s="198"/>
      <c r="L549" s="379"/>
      <c r="M549" s="197"/>
      <c r="N549" s="198"/>
      <c r="O549" s="379"/>
      <c r="P549" s="197"/>
      <c r="Q549" s="198"/>
      <c r="R549" s="379"/>
      <c r="S549" s="197"/>
      <c r="T549" s="198"/>
      <c r="U549" s="379"/>
      <c r="V549" s="197"/>
      <c r="W549" s="198"/>
      <c r="X549" s="379"/>
      <c r="Y549" s="184"/>
      <c r="Z549" s="184"/>
      <c r="AA549" s="184"/>
      <c r="AB549" s="184"/>
      <c r="AC549" s="8"/>
      <c r="AD549" s="8"/>
      <c r="AE549" s="8"/>
      <c r="AF549" s="8"/>
      <c r="AG549" s="191"/>
      <c r="AH549" s="191"/>
      <c r="AI549" s="191"/>
      <c r="AJ549" s="8"/>
      <c r="AK549" s="8"/>
      <c r="AL549" s="8"/>
      <c r="AM549" s="8"/>
      <c r="AN549" s="8"/>
      <c r="AO549" s="8"/>
      <c r="AP549" s="8"/>
      <c r="AQ549" s="8"/>
      <c r="AR549" s="8"/>
      <c r="AS549" s="8"/>
      <c r="AT549" s="8"/>
    </row>
    <row r="550">
      <c r="A550" s="197"/>
      <c r="B550" s="198"/>
      <c r="C550" s="379"/>
      <c r="D550" s="197"/>
      <c r="E550" s="198"/>
      <c r="F550" s="379"/>
      <c r="G550" s="197"/>
      <c r="H550" s="198"/>
      <c r="I550" s="379"/>
      <c r="J550" s="197"/>
      <c r="K550" s="198"/>
      <c r="L550" s="379"/>
      <c r="M550" s="197"/>
      <c r="N550" s="198"/>
      <c r="O550" s="379"/>
      <c r="P550" s="197"/>
      <c r="Q550" s="198"/>
      <c r="R550" s="379"/>
      <c r="S550" s="197"/>
      <c r="T550" s="198"/>
      <c r="U550" s="379"/>
      <c r="V550" s="197"/>
      <c r="W550" s="198"/>
      <c r="X550" s="379"/>
      <c r="Y550" s="184"/>
      <c r="Z550" s="184"/>
      <c r="AA550" s="184"/>
      <c r="AB550" s="184"/>
      <c r="AC550" s="8"/>
      <c r="AD550" s="8"/>
      <c r="AE550" s="8"/>
      <c r="AF550" s="8"/>
      <c r="AG550" s="191"/>
      <c r="AH550" s="191"/>
      <c r="AI550" s="191"/>
      <c r="AJ550" s="8"/>
      <c r="AK550" s="8"/>
      <c r="AL550" s="8"/>
      <c r="AM550" s="8"/>
      <c r="AN550" s="8"/>
      <c r="AO550" s="8"/>
      <c r="AP550" s="8"/>
      <c r="AQ550" s="8"/>
      <c r="AR550" s="8"/>
      <c r="AS550" s="8"/>
      <c r="AT550" s="8"/>
    </row>
    <row r="551">
      <c r="A551" s="197"/>
      <c r="B551" s="198"/>
      <c r="C551" s="379"/>
      <c r="D551" s="197"/>
      <c r="E551" s="198"/>
      <c r="F551" s="379"/>
      <c r="G551" s="197"/>
      <c r="H551" s="198"/>
      <c r="I551" s="379"/>
      <c r="J551" s="197"/>
      <c r="K551" s="198"/>
      <c r="L551" s="379"/>
      <c r="M551" s="197"/>
      <c r="N551" s="198"/>
      <c r="O551" s="379"/>
      <c r="P551" s="197"/>
      <c r="Q551" s="198"/>
      <c r="R551" s="379"/>
      <c r="S551" s="197"/>
      <c r="T551" s="198"/>
      <c r="U551" s="379"/>
      <c r="V551" s="197"/>
      <c r="W551" s="198"/>
      <c r="X551" s="379"/>
      <c r="Y551" s="184"/>
      <c r="Z551" s="184"/>
      <c r="AA551" s="184"/>
      <c r="AB551" s="184"/>
      <c r="AC551" s="8"/>
      <c r="AD551" s="8"/>
      <c r="AE551" s="8"/>
      <c r="AF551" s="8"/>
      <c r="AG551" s="191"/>
      <c r="AH551" s="191"/>
      <c r="AI551" s="191"/>
      <c r="AJ551" s="8"/>
      <c r="AK551" s="8"/>
      <c r="AL551" s="8"/>
      <c r="AM551" s="8"/>
      <c r="AN551" s="8"/>
      <c r="AO551" s="8"/>
      <c r="AP551" s="8"/>
      <c r="AQ551" s="8"/>
      <c r="AR551" s="8"/>
      <c r="AS551" s="8"/>
      <c r="AT551" s="8"/>
    </row>
    <row r="552">
      <c r="A552" s="197"/>
      <c r="B552" s="198"/>
      <c r="C552" s="379"/>
      <c r="D552" s="197"/>
      <c r="E552" s="198"/>
      <c r="F552" s="379"/>
      <c r="G552" s="197"/>
      <c r="H552" s="198"/>
      <c r="I552" s="379"/>
      <c r="J552" s="197"/>
      <c r="K552" s="198"/>
      <c r="L552" s="379"/>
      <c r="M552" s="197"/>
      <c r="N552" s="198"/>
      <c r="O552" s="379"/>
      <c r="P552" s="197"/>
      <c r="Q552" s="198"/>
      <c r="R552" s="379"/>
      <c r="S552" s="197"/>
      <c r="T552" s="198"/>
      <c r="U552" s="379"/>
      <c r="V552" s="197"/>
      <c r="W552" s="198"/>
      <c r="X552" s="379"/>
      <c r="Y552" s="184"/>
      <c r="Z552" s="184"/>
      <c r="AA552" s="184"/>
      <c r="AB552" s="184"/>
      <c r="AC552" s="8"/>
      <c r="AD552" s="8"/>
      <c r="AE552" s="8"/>
      <c r="AF552" s="8"/>
      <c r="AG552" s="191"/>
      <c r="AH552" s="191"/>
      <c r="AI552" s="191"/>
      <c r="AJ552" s="8"/>
      <c r="AK552" s="8"/>
      <c r="AL552" s="8"/>
      <c r="AM552" s="8"/>
      <c r="AN552" s="8"/>
      <c r="AO552" s="8"/>
      <c r="AP552" s="8"/>
      <c r="AQ552" s="8"/>
      <c r="AR552" s="8"/>
      <c r="AS552" s="8"/>
      <c r="AT552" s="8"/>
    </row>
    <row r="553">
      <c r="A553" s="197"/>
      <c r="B553" s="198"/>
      <c r="C553" s="379"/>
      <c r="D553" s="197"/>
      <c r="E553" s="198"/>
      <c r="F553" s="379"/>
      <c r="G553" s="197"/>
      <c r="H553" s="198"/>
      <c r="I553" s="379"/>
      <c r="J553" s="197"/>
      <c r="K553" s="198"/>
      <c r="L553" s="379"/>
      <c r="M553" s="197"/>
      <c r="N553" s="198"/>
      <c r="O553" s="379"/>
      <c r="P553" s="197"/>
      <c r="Q553" s="198"/>
      <c r="R553" s="379"/>
      <c r="S553" s="197"/>
      <c r="T553" s="198"/>
      <c r="U553" s="379"/>
      <c r="V553" s="197"/>
      <c r="W553" s="198"/>
      <c r="X553" s="379"/>
      <c r="Y553" s="184"/>
      <c r="Z553" s="184"/>
      <c r="AA553" s="184"/>
      <c r="AB553" s="184"/>
      <c r="AC553" s="8"/>
      <c r="AD553" s="8"/>
      <c r="AE553" s="8"/>
      <c r="AF553" s="8"/>
      <c r="AG553" s="191"/>
      <c r="AH553" s="191"/>
      <c r="AI553" s="191"/>
      <c r="AJ553" s="8"/>
      <c r="AK553" s="8"/>
      <c r="AL553" s="8"/>
      <c r="AM553" s="8"/>
      <c r="AN553" s="8"/>
      <c r="AO553" s="8"/>
      <c r="AP553" s="8"/>
      <c r="AQ553" s="8"/>
      <c r="AR553" s="8"/>
      <c r="AS553" s="8"/>
      <c r="AT553" s="8"/>
    </row>
    <row r="554">
      <c r="A554" s="197"/>
      <c r="B554" s="198"/>
      <c r="C554" s="379"/>
      <c r="D554" s="197"/>
      <c r="E554" s="198"/>
      <c r="F554" s="379"/>
      <c r="G554" s="197"/>
      <c r="H554" s="198"/>
      <c r="I554" s="379"/>
      <c r="J554" s="197"/>
      <c r="K554" s="198"/>
      <c r="L554" s="379"/>
      <c r="M554" s="197"/>
      <c r="N554" s="198"/>
      <c r="O554" s="379"/>
      <c r="P554" s="197"/>
      <c r="Q554" s="198"/>
      <c r="R554" s="379"/>
      <c r="S554" s="197"/>
      <c r="T554" s="198"/>
      <c r="U554" s="379"/>
      <c r="V554" s="197"/>
      <c r="W554" s="198"/>
      <c r="X554" s="379"/>
      <c r="Y554" s="184"/>
      <c r="Z554" s="184"/>
      <c r="AA554" s="184"/>
      <c r="AB554" s="184"/>
      <c r="AC554" s="8"/>
      <c r="AD554" s="8"/>
      <c r="AE554" s="8"/>
      <c r="AF554" s="8"/>
      <c r="AG554" s="191"/>
      <c r="AH554" s="191"/>
      <c r="AI554" s="191"/>
      <c r="AJ554" s="8"/>
      <c r="AK554" s="8"/>
      <c r="AL554" s="8"/>
      <c r="AM554" s="8"/>
      <c r="AN554" s="8"/>
      <c r="AO554" s="8"/>
      <c r="AP554" s="8"/>
      <c r="AQ554" s="8"/>
      <c r="AR554" s="8"/>
      <c r="AS554" s="8"/>
      <c r="AT554" s="8"/>
    </row>
    <row r="555">
      <c r="A555" s="197"/>
      <c r="B555" s="198"/>
      <c r="C555" s="379"/>
      <c r="D555" s="197"/>
      <c r="E555" s="198"/>
      <c r="F555" s="379"/>
      <c r="G555" s="197"/>
      <c r="H555" s="198"/>
      <c r="I555" s="379"/>
      <c r="J555" s="197"/>
      <c r="K555" s="198"/>
      <c r="L555" s="379"/>
      <c r="M555" s="197"/>
      <c r="N555" s="198"/>
      <c r="O555" s="379"/>
      <c r="P555" s="197"/>
      <c r="Q555" s="198"/>
      <c r="R555" s="379"/>
      <c r="S555" s="197"/>
      <c r="T555" s="198"/>
      <c r="U555" s="379"/>
      <c r="V555" s="197"/>
      <c r="W555" s="198"/>
      <c r="X555" s="379"/>
      <c r="Y555" s="184"/>
      <c r="Z555" s="184"/>
      <c r="AA555" s="184"/>
      <c r="AB555" s="184"/>
      <c r="AC555" s="8"/>
      <c r="AD555" s="8"/>
      <c r="AE555" s="8"/>
      <c r="AF555" s="8"/>
      <c r="AG555" s="191"/>
      <c r="AH555" s="191"/>
      <c r="AI555" s="191"/>
      <c r="AJ555" s="8"/>
      <c r="AK555" s="8"/>
      <c r="AL555" s="8"/>
      <c r="AM555" s="8"/>
      <c r="AN555" s="8"/>
      <c r="AO555" s="8"/>
      <c r="AP555" s="8"/>
      <c r="AQ555" s="8"/>
      <c r="AR555" s="8"/>
      <c r="AS555" s="8"/>
      <c r="AT555" s="8"/>
    </row>
    <row r="556">
      <c r="A556" s="197"/>
      <c r="B556" s="198"/>
      <c r="C556" s="379"/>
      <c r="D556" s="197"/>
      <c r="E556" s="198"/>
      <c r="F556" s="379"/>
      <c r="G556" s="197"/>
      <c r="H556" s="198"/>
      <c r="I556" s="379"/>
      <c r="J556" s="197"/>
      <c r="K556" s="198"/>
      <c r="L556" s="379"/>
      <c r="M556" s="197"/>
      <c r="N556" s="198"/>
      <c r="O556" s="379"/>
      <c r="P556" s="197"/>
      <c r="Q556" s="198"/>
      <c r="R556" s="379"/>
      <c r="S556" s="197"/>
      <c r="T556" s="198"/>
      <c r="U556" s="379"/>
      <c r="V556" s="197"/>
      <c r="W556" s="198"/>
      <c r="X556" s="379"/>
      <c r="Y556" s="184"/>
      <c r="Z556" s="184"/>
      <c r="AA556" s="184"/>
      <c r="AB556" s="184"/>
      <c r="AC556" s="8"/>
      <c r="AD556" s="8"/>
      <c r="AE556" s="8"/>
      <c r="AF556" s="8"/>
      <c r="AG556" s="191"/>
      <c r="AH556" s="191"/>
      <c r="AI556" s="191"/>
      <c r="AJ556" s="8"/>
      <c r="AK556" s="8"/>
      <c r="AL556" s="8"/>
      <c r="AM556" s="8"/>
      <c r="AN556" s="8"/>
      <c r="AO556" s="8"/>
      <c r="AP556" s="8"/>
      <c r="AQ556" s="8"/>
      <c r="AR556" s="8"/>
      <c r="AS556" s="8"/>
      <c r="AT556" s="8"/>
    </row>
    <row r="557">
      <c r="A557" s="197"/>
      <c r="B557" s="198"/>
      <c r="C557" s="379"/>
      <c r="D557" s="197"/>
      <c r="E557" s="198"/>
      <c r="F557" s="379"/>
      <c r="G557" s="197"/>
      <c r="H557" s="198"/>
      <c r="I557" s="379"/>
      <c r="J557" s="197"/>
      <c r="K557" s="198"/>
      <c r="L557" s="379"/>
      <c r="M557" s="197"/>
      <c r="N557" s="198"/>
      <c r="O557" s="379"/>
      <c r="P557" s="197"/>
      <c r="Q557" s="198"/>
      <c r="R557" s="379"/>
      <c r="S557" s="197"/>
      <c r="T557" s="198"/>
      <c r="U557" s="379"/>
      <c r="V557" s="197"/>
      <c r="W557" s="198"/>
      <c r="X557" s="379"/>
      <c r="Y557" s="184"/>
      <c r="Z557" s="184"/>
      <c r="AA557" s="184"/>
      <c r="AB557" s="184"/>
      <c r="AC557" s="8"/>
      <c r="AD557" s="8"/>
      <c r="AE557" s="8"/>
      <c r="AF557" s="8"/>
      <c r="AG557" s="191"/>
      <c r="AH557" s="191"/>
      <c r="AI557" s="191"/>
      <c r="AJ557" s="8"/>
      <c r="AK557" s="8"/>
      <c r="AL557" s="8"/>
      <c r="AM557" s="8"/>
      <c r="AN557" s="8"/>
      <c r="AO557" s="8"/>
      <c r="AP557" s="8"/>
      <c r="AQ557" s="8"/>
      <c r="AR557" s="8"/>
      <c r="AS557" s="8"/>
      <c r="AT557" s="8"/>
    </row>
    <row r="558">
      <c r="A558" s="197"/>
      <c r="B558" s="198"/>
      <c r="C558" s="379"/>
      <c r="D558" s="197"/>
      <c r="E558" s="198"/>
      <c r="F558" s="379"/>
      <c r="G558" s="197"/>
      <c r="H558" s="198"/>
      <c r="I558" s="379"/>
      <c r="J558" s="197"/>
      <c r="K558" s="198"/>
      <c r="L558" s="379"/>
      <c r="M558" s="197"/>
      <c r="N558" s="198"/>
      <c r="O558" s="379"/>
      <c r="P558" s="197"/>
      <c r="Q558" s="198"/>
      <c r="R558" s="379"/>
      <c r="S558" s="197"/>
      <c r="T558" s="198"/>
      <c r="U558" s="379"/>
      <c r="V558" s="197"/>
      <c r="W558" s="198"/>
      <c r="X558" s="379"/>
      <c r="Y558" s="184"/>
      <c r="Z558" s="184"/>
      <c r="AA558" s="184"/>
      <c r="AB558" s="184"/>
      <c r="AC558" s="8"/>
      <c r="AD558" s="8"/>
      <c r="AE558" s="8"/>
      <c r="AF558" s="8"/>
      <c r="AG558" s="191"/>
      <c r="AH558" s="191"/>
      <c r="AI558" s="191"/>
      <c r="AJ558" s="8"/>
      <c r="AK558" s="8"/>
      <c r="AL558" s="8"/>
      <c r="AM558" s="8"/>
      <c r="AN558" s="8"/>
      <c r="AO558" s="8"/>
      <c r="AP558" s="8"/>
      <c r="AQ558" s="8"/>
      <c r="AR558" s="8"/>
      <c r="AS558" s="8"/>
      <c r="AT558" s="8"/>
    </row>
    <row r="559">
      <c r="A559" s="197"/>
      <c r="B559" s="198"/>
      <c r="C559" s="379"/>
      <c r="D559" s="197"/>
      <c r="E559" s="198"/>
      <c r="F559" s="379"/>
      <c r="G559" s="197"/>
      <c r="H559" s="198"/>
      <c r="I559" s="379"/>
      <c r="J559" s="197"/>
      <c r="K559" s="198"/>
      <c r="L559" s="379"/>
      <c r="M559" s="197"/>
      <c r="N559" s="198"/>
      <c r="O559" s="379"/>
      <c r="P559" s="197"/>
      <c r="Q559" s="198"/>
      <c r="R559" s="379"/>
      <c r="S559" s="197"/>
      <c r="T559" s="198"/>
      <c r="U559" s="379"/>
      <c r="V559" s="197"/>
      <c r="W559" s="198"/>
      <c r="X559" s="379"/>
      <c r="Y559" s="184"/>
      <c r="Z559" s="184"/>
      <c r="AA559" s="184"/>
      <c r="AB559" s="184"/>
      <c r="AC559" s="8"/>
      <c r="AD559" s="8"/>
      <c r="AE559" s="8"/>
      <c r="AF559" s="8"/>
      <c r="AG559" s="191"/>
      <c r="AH559" s="191"/>
      <c r="AI559" s="191"/>
      <c r="AJ559" s="8"/>
      <c r="AK559" s="8"/>
      <c r="AL559" s="8"/>
      <c r="AM559" s="8"/>
      <c r="AN559" s="8"/>
      <c r="AO559" s="8"/>
      <c r="AP559" s="8"/>
      <c r="AQ559" s="8"/>
      <c r="AR559" s="8"/>
      <c r="AS559" s="8"/>
      <c r="AT559" s="8"/>
    </row>
    <row r="560">
      <c r="A560" s="197"/>
      <c r="B560" s="198"/>
      <c r="C560" s="379"/>
      <c r="D560" s="197"/>
      <c r="E560" s="198"/>
      <c r="F560" s="379"/>
      <c r="G560" s="197"/>
      <c r="H560" s="198"/>
      <c r="I560" s="379"/>
      <c r="J560" s="197"/>
      <c r="K560" s="198"/>
      <c r="L560" s="379"/>
      <c r="M560" s="197"/>
      <c r="N560" s="198"/>
      <c r="O560" s="379"/>
      <c r="P560" s="197"/>
      <c r="Q560" s="198"/>
      <c r="R560" s="379"/>
      <c r="S560" s="197"/>
      <c r="T560" s="198"/>
      <c r="U560" s="379"/>
      <c r="V560" s="197"/>
      <c r="W560" s="198"/>
      <c r="X560" s="379"/>
      <c r="Y560" s="184"/>
      <c r="Z560" s="184"/>
      <c r="AA560" s="184"/>
      <c r="AB560" s="184"/>
      <c r="AC560" s="8"/>
      <c r="AD560" s="8"/>
      <c r="AE560" s="8"/>
      <c r="AF560" s="8"/>
      <c r="AG560" s="191"/>
      <c r="AH560" s="191"/>
      <c r="AI560" s="191"/>
      <c r="AJ560" s="8"/>
      <c r="AK560" s="8"/>
      <c r="AL560" s="8"/>
      <c r="AM560" s="8"/>
      <c r="AN560" s="8"/>
      <c r="AO560" s="8"/>
      <c r="AP560" s="8"/>
      <c r="AQ560" s="8"/>
      <c r="AR560" s="8"/>
      <c r="AS560" s="8"/>
      <c r="AT560" s="8"/>
    </row>
    <row r="561">
      <c r="A561" s="197"/>
      <c r="B561" s="198"/>
      <c r="C561" s="379"/>
      <c r="D561" s="197"/>
      <c r="E561" s="198"/>
      <c r="F561" s="379"/>
      <c r="G561" s="197"/>
      <c r="H561" s="198"/>
      <c r="I561" s="379"/>
      <c r="J561" s="197"/>
      <c r="K561" s="198"/>
      <c r="L561" s="379"/>
      <c r="M561" s="197"/>
      <c r="N561" s="198"/>
      <c r="O561" s="379"/>
      <c r="P561" s="197"/>
      <c r="Q561" s="198"/>
      <c r="R561" s="379"/>
      <c r="S561" s="197"/>
      <c r="T561" s="198"/>
      <c r="U561" s="379"/>
      <c r="V561" s="197"/>
      <c r="W561" s="198"/>
      <c r="X561" s="379"/>
      <c r="Y561" s="184"/>
      <c r="Z561" s="184"/>
      <c r="AA561" s="184"/>
      <c r="AB561" s="184"/>
      <c r="AC561" s="8"/>
      <c r="AD561" s="8"/>
      <c r="AE561" s="8"/>
      <c r="AF561" s="8"/>
      <c r="AG561" s="191"/>
      <c r="AH561" s="191"/>
      <c r="AI561" s="191"/>
      <c r="AJ561" s="8"/>
      <c r="AK561" s="8"/>
      <c r="AL561" s="8"/>
      <c r="AM561" s="8"/>
      <c r="AN561" s="8"/>
      <c r="AO561" s="8"/>
      <c r="AP561" s="8"/>
      <c r="AQ561" s="8"/>
      <c r="AR561" s="8"/>
      <c r="AS561" s="8"/>
      <c r="AT561" s="8"/>
    </row>
    <row r="562">
      <c r="A562" s="197"/>
      <c r="B562" s="198"/>
      <c r="C562" s="379"/>
      <c r="D562" s="197"/>
      <c r="E562" s="198"/>
      <c r="F562" s="379"/>
      <c r="G562" s="197"/>
      <c r="H562" s="198"/>
      <c r="I562" s="379"/>
      <c r="J562" s="197"/>
      <c r="K562" s="198"/>
      <c r="L562" s="379"/>
      <c r="M562" s="197"/>
      <c r="N562" s="198"/>
      <c r="O562" s="379"/>
      <c r="P562" s="197"/>
      <c r="Q562" s="198"/>
      <c r="R562" s="379"/>
      <c r="S562" s="197"/>
      <c r="T562" s="198"/>
      <c r="U562" s="379"/>
      <c r="V562" s="197"/>
      <c r="W562" s="198"/>
      <c r="X562" s="379"/>
      <c r="Y562" s="184"/>
      <c r="Z562" s="184"/>
      <c r="AA562" s="184"/>
      <c r="AB562" s="184"/>
      <c r="AC562" s="8"/>
      <c r="AD562" s="8"/>
      <c r="AE562" s="8"/>
      <c r="AF562" s="8"/>
      <c r="AG562" s="191"/>
      <c r="AH562" s="191"/>
      <c r="AI562" s="191"/>
      <c r="AJ562" s="8"/>
      <c r="AK562" s="8"/>
      <c r="AL562" s="8"/>
      <c r="AM562" s="8"/>
      <c r="AN562" s="8"/>
      <c r="AO562" s="8"/>
      <c r="AP562" s="8"/>
      <c r="AQ562" s="8"/>
      <c r="AR562" s="8"/>
      <c r="AS562" s="8"/>
      <c r="AT562" s="8"/>
    </row>
    <row r="563">
      <c r="A563" s="197"/>
      <c r="B563" s="198"/>
      <c r="C563" s="379"/>
      <c r="D563" s="197"/>
      <c r="E563" s="198"/>
      <c r="F563" s="379"/>
      <c r="G563" s="197"/>
      <c r="H563" s="198"/>
      <c r="I563" s="379"/>
      <c r="J563" s="197"/>
      <c r="K563" s="198"/>
      <c r="L563" s="379"/>
      <c r="M563" s="197"/>
      <c r="N563" s="198"/>
      <c r="O563" s="379"/>
      <c r="P563" s="197"/>
      <c r="Q563" s="198"/>
      <c r="R563" s="379"/>
      <c r="S563" s="197"/>
      <c r="T563" s="198"/>
      <c r="U563" s="379"/>
      <c r="V563" s="197"/>
      <c r="W563" s="198"/>
      <c r="X563" s="379"/>
      <c r="Y563" s="184"/>
      <c r="Z563" s="184"/>
      <c r="AA563" s="184"/>
      <c r="AB563" s="184"/>
      <c r="AC563" s="8"/>
      <c r="AD563" s="8"/>
      <c r="AE563" s="8"/>
      <c r="AF563" s="8"/>
      <c r="AG563" s="191"/>
      <c r="AH563" s="191"/>
      <c r="AI563" s="191"/>
      <c r="AJ563" s="8"/>
      <c r="AK563" s="8"/>
      <c r="AL563" s="8"/>
      <c r="AM563" s="8"/>
      <c r="AN563" s="8"/>
      <c r="AO563" s="8"/>
      <c r="AP563" s="8"/>
      <c r="AQ563" s="8"/>
      <c r="AR563" s="8"/>
      <c r="AS563" s="8"/>
      <c r="AT563" s="8"/>
    </row>
    <row r="564">
      <c r="A564" s="197"/>
      <c r="B564" s="198"/>
      <c r="C564" s="379"/>
      <c r="D564" s="197"/>
      <c r="E564" s="198"/>
      <c r="F564" s="379"/>
      <c r="G564" s="197"/>
      <c r="H564" s="198"/>
      <c r="I564" s="379"/>
      <c r="J564" s="197"/>
      <c r="K564" s="198"/>
      <c r="L564" s="379"/>
      <c r="M564" s="197"/>
      <c r="N564" s="198"/>
      <c r="O564" s="379"/>
      <c r="P564" s="197"/>
      <c r="Q564" s="198"/>
      <c r="R564" s="379"/>
      <c r="S564" s="197"/>
      <c r="T564" s="198"/>
      <c r="U564" s="379"/>
      <c r="V564" s="197"/>
      <c r="W564" s="198"/>
      <c r="X564" s="379"/>
      <c r="Y564" s="184"/>
      <c r="Z564" s="184"/>
      <c r="AA564" s="184"/>
      <c r="AB564" s="184"/>
      <c r="AC564" s="8"/>
      <c r="AD564" s="8"/>
      <c r="AE564" s="8"/>
      <c r="AF564" s="8"/>
      <c r="AG564" s="191"/>
      <c r="AH564" s="191"/>
      <c r="AI564" s="191"/>
      <c r="AJ564" s="8"/>
      <c r="AK564" s="8"/>
      <c r="AL564" s="8"/>
      <c r="AM564" s="8"/>
      <c r="AN564" s="8"/>
      <c r="AO564" s="8"/>
      <c r="AP564" s="8"/>
      <c r="AQ564" s="8"/>
      <c r="AR564" s="8"/>
      <c r="AS564" s="8"/>
      <c r="AT564" s="8"/>
    </row>
    <row r="565">
      <c r="A565" s="197"/>
      <c r="B565" s="198"/>
      <c r="C565" s="379"/>
      <c r="D565" s="197"/>
      <c r="E565" s="198"/>
      <c r="F565" s="379"/>
      <c r="G565" s="197"/>
      <c r="H565" s="198"/>
      <c r="I565" s="379"/>
      <c r="J565" s="197"/>
      <c r="K565" s="198"/>
      <c r="L565" s="379"/>
      <c r="M565" s="197"/>
      <c r="N565" s="198"/>
      <c r="O565" s="379"/>
      <c r="P565" s="197"/>
      <c r="Q565" s="198"/>
      <c r="R565" s="379"/>
      <c r="S565" s="197"/>
      <c r="T565" s="198"/>
      <c r="U565" s="379"/>
      <c r="V565" s="197"/>
      <c r="W565" s="198"/>
      <c r="X565" s="379"/>
      <c r="Y565" s="184"/>
      <c r="Z565" s="184"/>
      <c r="AA565" s="184"/>
      <c r="AB565" s="184"/>
      <c r="AC565" s="8"/>
      <c r="AD565" s="8"/>
      <c r="AE565" s="8"/>
      <c r="AF565" s="8"/>
      <c r="AG565" s="191"/>
      <c r="AH565" s="191"/>
      <c r="AI565" s="191"/>
      <c r="AJ565" s="8"/>
      <c r="AK565" s="8"/>
      <c r="AL565" s="8"/>
      <c r="AM565" s="8"/>
      <c r="AN565" s="8"/>
      <c r="AO565" s="8"/>
      <c r="AP565" s="8"/>
      <c r="AQ565" s="8"/>
      <c r="AR565" s="8"/>
      <c r="AS565" s="8"/>
      <c r="AT565" s="8"/>
    </row>
    <row r="566">
      <c r="A566" s="197"/>
      <c r="B566" s="198"/>
      <c r="C566" s="379"/>
      <c r="D566" s="197"/>
      <c r="E566" s="198"/>
      <c r="F566" s="379"/>
      <c r="G566" s="197"/>
      <c r="H566" s="198"/>
      <c r="I566" s="379"/>
      <c r="J566" s="197"/>
      <c r="K566" s="198"/>
      <c r="L566" s="379"/>
      <c r="M566" s="197"/>
      <c r="N566" s="198"/>
      <c r="O566" s="379"/>
      <c r="P566" s="197"/>
      <c r="Q566" s="198"/>
      <c r="R566" s="379"/>
      <c r="S566" s="197"/>
      <c r="T566" s="198"/>
      <c r="U566" s="379"/>
      <c r="V566" s="197"/>
      <c r="W566" s="198"/>
      <c r="X566" s="379"/>
      <c r="Y566" s="184"/>
      <c r="Z566" s="184"/>
      <c r="AA566" s="184"/>
      <c r="AB566" s="184"/>
      <c r="AC566" s="8"/>
      <c r="AD566" s="8"/>
      <c r="AE566" s="8"/>
      <c r="AF566" s="8"/>
      <c r="AG566" s="191"/>
      <c r="AH566" s="191"/>
      <c r="AI566" s="191"/>
      <c r="AJ566" s="8"/>
      <c r="AK566" s="8"/>
      <c r="AL566" s="8"/>
      <c r="AM566" s="8"/>
      <c r="AN566" s="8"/>
      <c r="AO566" s="8"/>
      <c r="AP566" s="8"/>
      <c r="AQ566" s="8"/>
      <c r="AR566" s="8"/>
      <c r="AS566" s="8"/>
      <c r="AT566" s="8"/>
    </row>
    <row r="567">
      <c r="A567" s="197"/>
      <c r="B567" s="198"/>
      <c r="C567" s="379"/>
      <c r="D567" s="197"/>
      <c r="E567" s="198"/>
      <c r="F567" s="379"/>
      <c r="G567" s="197"/>
      <c r="H567" s="198"/>
      <c r="I567" s="379"/>
      <c r="J567" s="197"/>
      <c r="K567" s="198"/>
      <c r="L567" s="379"/>
      <c r="M567" s="197"/>
      <c r="N567" s="198"/>
      <c r="O567" s="379"/>
      <c r="P567" s="197"/>
      <c r="Q567" s="198"/>
      <c r="R567" s="379"/>
      <c r="S567" s="197"/>
      <c r="T567" s="198"/>
      <c r="U567" s="379"/>
      <c r="V567" s="197"/>
      <c r="W567" s="198"/>
      <c r="X567" s="379"/>
      <c r="Y567" s="184"/>
      <c r="Z567" s="184"/>
      <c r="AA567" s="184"/>
      <c r="AB567" s="184"/>
      <c r="AC567" s="8"/>
      <c r="AD567" s="8"/>
      <c r="AE567" s="8"/>
      <c r="AF567" s="8"/>
      <c r="AG567" s="191"/>
      <c r="AH567" s="191"/>
      <c r="AI567" s="191"/>
      <c r="AJ567" s="8"/>
      <c r="AK567" s="8"/>
      <c r="AL567" s="8"/>
      <c r="AM567" s="8"/>
      <c r="AN567" s="8"/>
      <c r="AO567" s="8"/>
      <c r="AP567" s="8"/>
      <c r="AQ567" s="8"/>
      <c r="AR567" s="8"/>
      <c r="AS567" s="8"/>
      <c r="AT567" s="8"/>
    </row>
    <row r="568">
      <c r="A568" s="197"/>
      <c r="B568" s="198"/>
      <c r="C568" s="379"/>
      <c r="D568" s="197"/>
      <c r="E568" s="198"/>
      <c r="F568" s="379"/>
      <c r="G568" s="197"/>
      <c r="H568" s="198"/>
      <c r="I568" s="379"/>
      <c r="J568" s="197"/>
      <c r="K568" s="198"/>
      <c r="L568" s="379"/>
      <c r="M568" s="197"/>
      <c r="N568" s="198"/>
      <c r="O568" s="379"/>
      <c r="P568" s="197"/>
      <c r="Q568" s="198"/>
      <c r="R568" s="379"/>
      <c r="S568" s="197"/>
      <c r="T568" s="198"/>
      <c r="U568" s="379"/>
      <c r="V568" s="197"/>
      <c r="W568" s="198"/>
      <c r="X568" s="379"/>
      <c r="Y568" s="184"/>
      <c r="Z568" s="184"/>
      <c r="AA568" s="184"/>
      <c r="AB568" s="184"/>
      <c r="AC568" s="8"/>
      <c r="AD568" s="8"/>
      <c r="AE568" s="8"/>
      <c r="AF568" s="8"/>
      <c r="AG568" s="191"/>
      <c r="AH568" s="191"/>
      <c r="AI568" s="191"/>
      <c r="AJ568" s="8"/>
      <c r="AK568" s="8"/>
      <c r="AL568" s="8"/>
      <c r="AM568" s="8"/>
      <c r="AN568" s="8"/>
      <c r="AO568" s="8"/>
      <c r="AP568" s="8"/>
      <c r="AQ568" s="8"/>
      <c r="AR568" s="8"/>
      <c r="AS568" s="8"/>
      <c r="AT568" s="8"/>
    </row>
    <row r="569">
      <c r="A569" s="197"/>
      <c r="B569" s="198"/>
      <c r="C569" s="379"/>
      <c r="D569" s="197"/>
      <c r="E569" s="198"/>
      <c r="F569" s="379"/>
      <c r="G569" s="197"/>
      <c r="H569" s="198"/>
      <c r="I569" s="379"/>
      <c r="J569" s="197"/>
      <c r="K569" s="198"/>
      <c r="L569" s="379"/>
      <c r="M569" s="197"/>
      <c r="N569" s="198"/>
      <c r="O569" s="379"/>
      <c r="P569" s="197"/>
      <c r="Q569" s="198"/>
      <c r="R569" s="379"/>
      <c r="S569" s="197"/>
      <c r="T569" s="198"/>
      <c r="U569" s="379"/>
      <c r="V569" s="197"/>
      <c r="W569" s="198"/>
      <c r="X569" s="379"/>
      <c r="Y569" s="184"/>
      <c r="Z569" s="184"/>
      <c r="AA569" s="184"/>
      <c r="AB569" s="184"/>
      <c r="AC569" s="8"/>
      <c r="AD569" s="8"/>
      <c r="AE569" s="8"/>
      <c r="AF569" s="8"/>
      <c r="AG569" s="191"/>
      <c r="AH569" s="191"/>
      <c r="AI569" s="191"/>
      <c r="AJ569" s="8"/>
      <c r="AK569" s="8"/>
      <c r="AL569" s="8"/>
      <c r="AM569" s="8"/>
      <c r="AN569" s="8"/>
      <c r="AO569" s="8"/>
      <c r="AP569" s="8"/>
      <c r="AQ569" s="8"/>
      <c r="AR569" s="8"/>
      <c r="AS569" s="8"/>
      <c r="AT569" s="8"/>
    </row>
    <row r="570">
      <c r="A570" s="197"/>
      <c r="B570" s="198"/>
      <c r="C570" s="379"/>
      <c r="D570" s="197"/>
      <c r="E570" s="198"/>
      <c r="F570" s="379"/>
      <c r="G570" s="197"/>
      <c r="H570" s="198"/>
      <c r="I570" s="379"/>
      <c r="J570" s="197"/>
      <c r="K570" s="198"/>
      <c r="L570" s="379"/>
      <c r="M570" s="197"/>
      <c r="N570" s="198"/>
      <c r="O570" s="379"/>
      <c r="P570" s="197"/>
      <c r="Q570" s="198"/>
      <c r="R570" s="379"/>
      <c r="S570" s="197"/>
      <c r="T570" s="198"/>
      <c r="U570" s="379"/>
      <c r="V570" s="197"/>
      <c r="W570" s="198"/>
      <c r="X570" s="379"/>
      <c r="Y570" s="184"/>
      <c r="Z570" s="184"/>
      <c r="AA570" s="184"/>
      <c r="AB570" s="184"/>
      <c r="AC570" s="8"/>
      <c r="AD570" s="8"/>
      <c r="AE570" s="8"/>
      <c r="AF570" s="8"/>
      <c r="AG570" s="191"/>
      <c r="AH570" s="191"/>
      <c r="AI570" s="191"/>
      <c r="AJ570" s="8"/>
      <c r="AK570" s="8"/>
      <c r="AL570" s="8"/>
      <c r="AM570" s="8"/>
      <c r="AN570" s="8"/>
      <c r="AO570" s="8"/>
      <c r="AP570" s="8"/>
      <c r="AQ570" s="8"/>
      <c r="AR570" s="8"/>
      <c r="AS570" s="8"/>
      <c r="AT570" s="8"/>
    </row>
    <row r="571">
      <c r="A571" s="197"/>
      <c r="B571" s="198"/>
      <c r="C571" s="379"/>
      <c r="D571" s="197"/>
      <c r="E571" s="198"/>
      <c r="F571" s="379"/>
      <c r="G571" s="197"/>
      <c r="H571" s="198"/>
      <c r="I571" s="379"/>
      <c r="J571" s="197"/>
      <c r="K571" s="198"/>
      <c r="L571" s="379"/>
      <c r="M571" s="197"/>
      <c r="N571" s="198"/>
      <c r="O571" s="379"/>
      <c r="P571" s="197"/>
      <c r="Q571" s="198"/>
      <c r="R571" s="379"/>
      <c r="S571" s="197"/>
      <c r="T571" s="198"/>
      <c r="U571" s="379"/>
      <c r="V571" s="197"/>
      <c r="W571" s="198"/>
      <c r="X571" s="379"/>
      <c r="Y571" s="184"/>
      <c r="Z571" s="184"/>
      <c r="AA571" s="184"/>
      <c r="AB571" s="184"/>
      <c r="AC571" s="8"/>
      <c r="AD571" s="8"/>
      <c r="AE571" s="8"/>
      <c r="AF571" s="8"/>
      <c r="AG571" s="191"/>
      <c r="AH571" s="191"/>
      <c r="AI571" s="191"/>
      <c r="AJ571" s="8"/>
      <c r="AK571" s="8"/>
      <c r="AL571" s="8"/>
      <c r="AM571" s="8"/>
      <c r="AN571" s="8"/>
      <c r="AO571" s="8"/>
      <c r="AP571" s="8"/>
      <c r="AQ571" s="8"/>
      <c r="AR571" s="8"/>
      <c r="AS571" s="8"/>
      <c r="AT571" s="8"/>
    </row>
    <row r="572">
      <c r="A572" s="197"/>
      <c r="B572" s="198"/>
      <c r="C572" s="379"/>
      <c r="D572" s="197"/>
      <c r="E572" s="198"/>
      <c r="F572" s="379"/>
      <c r="G572" s="197"/>
      <c r="H572" s="198"/>
      <c r="I572" s="379"/>
      <c r="J572" s="197"/>
      <c r="K572" s="198"/>
      <c r="L572" s="379"/>
      <c r="M572" s="197"/>
      <c r="N572" s="198"/>
      <c r="O572" s="379"/>
      <c r="P572" s="197"/>
      <c r="Q572" s="198"/>
      <c r="R572" s="379"/>
      <c r="S572" s="197"/>
      <c r="T572" s="198"/>
      <c r="U572" s="379"/>
      <c r="V572" s="197"/>
      <c r="W572" s="198"/>
      <c r="X572" s="379"/>
      <c r="Y572" s="184"/>
      <c r="Z572" s="184"/>
      <c r="AA572" s="184"/>
      <c r="AB572" s="184"/>
      <c r="AC572" s="8"/>
      <c r="AD572" s="8"/>
      <c r="AE572" s="8"/>
      <c r="AF572" s="8"/>
      <c r="AG572" s="191"/>
      <c r="AH572" s="191"/>
      <c r="AI572" s="191"/>
      <c r="AJ572" s="8"/>
      <c r="AK572" s="8"/>
      <c r="AL572" s="8"/>
      <c r="AM572" s="8"/>
      <c r="AN572" s="8"/>
      <c r="AO572" s="8"/>
      <c r="AP572" s="8"/>
      <c r="AQ572" s="8"/>
      <c r="AR572" s="8"/>
      <c r="AS572" s="8"/>
      <c r="AT572" s="8"/>
    </row>
    <row r="573">
      <c r="A573" s="197"/>
      <c r="B573" s="198"/>
      <c r="C573" s="379"/>
      <c r="D573" s="197"/>
      <c r="E573" s="198"/>
      <c r="F573" s="379"/>
      <c r="G573" s="197"/>
      <c r="H573" s="198"/>
      <c r="I573" s="379"/>
      <c r="J573" s="197"/>
      <c r="K573" s="198"/>
      <c r="L573" s="379"/>
      <c r="M573" s="197"/>
      <c r="N573" s="198"/>
      <c r="O573" s="379"/>
      <c r="P573" s="197"/>
      <c r="Q573" s="198"/>
      <c r="R573" s="379"/>
      <c r="S573" s="197"/>
      <c r="T573" s="198"/>
      <c r="U573" s="379"/>
      <c r="V573" s="197"/>
      <c r="W573" s="198"/>
      <c r="X573" s="379"/>
      <c r="Y573" s="184"/>
      <c r="Z573" s="184"/>
      <c r="AA573" s="184"/>
      <c r="AB573" s="184"/>
      <c r="AC573" s="8"/>
      <c r="AD573" s="8"/>
      <c r="AE573" s="8"/>
      <c r="AF573" s="8"/>
      <c r="AG573" s="191"/>
      <c r="AH573" s="191"/>
      <c r="AI573" s="191"/>
      <c r="AJ573" s="8"/>
      <c r="AK573" s="8"/>
      <c r="AL573" s="8"/>
      <c r="AM573" s="8"/>
      <c r="AN573" s="8"/>
      <c r="AO573" s="8"/>
      <c r="AP573" s="8"/>
      <c r="AQ573" s="8"/>
      <c r="AR573" s="8"/>
      <c r="AS573" s="8"/>
      <c r="AT573" s="8"/>
    </row>
    <row r="574">
      <c r="A574" s="197"/>
      <c r="B574" s="198"/>
      <c r="C574" s="379"/>
      <c r="D574" s="197"/>
      <c r="E574" s="198"/>
      <c r="F574" s="379"/>
      <c r="G574" s="197"/>
      <c r="H574" s="198"/>
      <c r="I574" s="379"/>
      <c r="J574" s="197"/>
      <c r="K574" s="198"/>
      <c r="L574" s="379"/>
      <c r="M574" s="197"/>
      <c r="N574" s="198"/>
      <c r="O574" s="379"/>
      <c r="P574" s="197"/>
      <c r="Q574" s="198"/>
      <c r="R574" s="379"/>
      <c r="S574" s="197"/>
      <c r="T574" s="198"/>
      <c r="U574" s="379"/>
      <c r="V574" s="197"/>
      <c r="W574" s="198"/>
      <c r="X574" s="379"/>
      <c r="Y574" s="184"/>
      <c r="Z574" s="184"/>
      <c r="AA574" s="184"/>
      <c r="AB574" s="184"/>
      <c r="AC574" s="8"/>
      <c r="AD574" s="8"/>
      <c r="AE574" s="8"/>
      <c r="AF574" s="8"/>
      <c r="AG574" s="191"/>
      <c r="AH574" s="191"/>
      <c r="AI574" s="191"/>
      <c r="AJ574" s="8"/>
      <c r="AK574" s="8"/>
      <c r="AL574" s="8"/>
      <c r="AM574" s="8"/>
      <c r="AN574" s="8"/>
      <c r="AO574" s="8"/>
      <c r="AP574" s="8"/>
      <c r="AQ574" s="8"/>
      <c r="AR574" s="8"/>
      <c r="AS574" s="8"/>
      <c r="AT574" s="8"/>
    </row>
    <row r="575">
      <c r="A575" s="197"/>
      <c r="B575" s="198"/>
      <c r="C575" s="379"/>
      <c r="D575" s="197"/>
      <c r="E575" s="198"/>
      <c r="F575" s="379"/>
      <c r="G575" s="197"/>
      <c r="H575" s="198"/>
      <c r="I575" s="379"/>
      <c r="J575" s="197"/>
      <c r="K575" s="198"/>
      <c r="L575" s="379"/>
      <c r="M575" s="197"/>
      <c r="N575" s="198"/>
      <c r="O575" s="379"/>
      <c r="P575" s="197"/>
      <c r="Q575" s="198"/>
      <c r="R575" s="379"/>
      <c r="S575" s="197"/>
      <c r="T575" s="198"/>
      <c r="U575" s="379"/>
      <c r="V575" s="197"/>
      <c r="W575" s="198"/>
      <c r="X575" s="379"/>
      <c r="Y575" s="184"/>
      <c r="Z575" s="184"/>
      <c r="AA575" s="184"/>
      <c r="AB575" s="184"/>
      <c r="AC575" s="8"/>
      <c r="AD575" s="8"/>
      <c r="AE575" s="8"/>
      <c r="AF575" s="8"/>
      <c r="AG575" s="191"/>
      <c r="AH575" s="191"/>
      <c r="AI575" s="191"/>
      <c r="AJ575" s="8"/>
      <c r="AK575" s="8"/>
      <c r="AL575" s="8"/>
      <c r="AM575" s="8"/>
      <c r="AN575" s="8"/>
      <c r="AO575" s="8"/>
      <c r="AP575" s="8"/>
      <c r="AQ575" s="8"/>
      <c r="AR575" s="8"/>
      <c r="AS575" s="8"/>
      <c r="AT575" s="8"/>
    </row>
    <row r="576">
      <c r="A576" s="197"/>
      <c r="B576" s="198"/>
      <c r="C576" s="379"/>
      <c r="D576" s="197"/>
      <c r="E576" s="198"/>
      <c r="F576" s="379"/>
      <c r="G576" s="197"/>
      <c r="H576" s="198"/>
      <c r="I576" s="379"/>
      <c r="J576" s="197"/>
      <c r="K576" s="198"/>
      <c r="L576" s="379"/>
      <c r="M576" s="197"/>
      <c r="N576" s="198"/>
      <c r="O576" s="379"/>
      <c r="P576" s="197"/>
      <c r="Q576" s="198"/>
      <c r="R576" s="379"/>
      <c r="S576" s="197"/>
      <c r="T576" s="198"/>
      <c r="U576" s="379"/>
      <c r="V576" s="197"/>
      <c r="W576" s="198"/>
      <c r="X576" s="379"/>
      <c r="Y576" s="184"/>
      <c r="Z576" s="184"/>
      <c r="AA576" s="184"/>
      <c r="AB576" s="184"/>
      <c r="AC576" s="8"/>
      <c r="AD576" s="8"/>
      <c r="AE576" s="8"/>
      <c r="AF576" s="8"/>
      <c r="AG576" s="191"/>
      <c r="AH576" s="191"/>
      <c r="AI576" s="191"/>
      <c r="AJ576" s="8"/>
      <c r="AK576" s="8"/>
      <c r="AL576" s="8"/>
      <c r="AM576" s="8"/>
      <c r="AN576" s="8"/>
      <c r="AO576" s="8"/>
      <c r="AP576" s="8"/>
      <c r="AQ576" s="8"/>
      <c r="AR576" s="8"/>
      <c r="AS576" s="8"/>
      <c r="AT576" s="8"/>
    </row>
    <row r="577">
      <c r="A577" s="197"/>
      <c r="B577" s="198"/>
      <c r="C577" s="379"/>
      <c r="D577" s="197"/>
      <c r="E577" s="198"/>
      <c r="F577" s="379"/>
      <c r="G577" s="197"/>
      <c r="H577" s="198"/>
      <c r="I577" s="379"/>
      <c r="J577" s="197"/>
      <c r="K577" s="198"/>
      <c r="L577" s="379"/>
      <c r="M577" s="197"/>
      <c r="N577" s="198"/>
      <c r="O577" s="379"/>
      <c r="P577" s="197"/>
      <c r="Q577" s="198"/>
      <c r="R577" s="379"/>
      <c r="S577" s="197"/>
      <c r="T577" s="198"/>
      <c r="U577" s="379"/>
      <c r="V577" s="197"/>
      <c r="W577" s="198"/>
      <c r="X577" s="379"/>
      <c r="Y577" s="184"/>
      <c r="Z577" s="184"/>
      <c r="AA577" s="184"/>
      <c r="AB577" s="184"/>
      <c r="AC577" s="8"/>
      <c r="AD577" s="8"/>
      <c r="AE577" s="8"/>
      <c r="AF577" s="8"/>
      <c r="AG577" s="191"/>
      <c r="AH577" s="191"/>
      <c r="AI577" s="191"/>
      <c r="AJ577" s="8"/>
      <c r="AK577" s="8"/>
      <c r="AL577" s="8"/>
      <c r="AM577" s="8"/>
      <c r="AN577" s="8"/>
      <c r="AO577" s="8"/>
      <c r="AP577" s="8"/>
      <c r="AQ577" s="8"/>
      <c r="AR577" s="8"/>
      <c r="AS577" s="8"/>
      <c r="AT577" s="8"/>
    </row>
    <row r="578">
      <c r="A578" s="197"/>
      <c r="B578" s="198"/>
      <c r="C578" s="379"/>
      <c r="D578" s="197"/>
      <c r="E578" s="198"/>
      <c r="F578" s="379"/>
      <c r="G578" s="197"/>
      <c r="H578" s="198"/>
      <c r="I578" s="379"/>
      <c r="J578" s="197"/>
      <c r="K578" s="198"/>
      <c r="L578" s="379"/>
      <c r="M578" s="197"/>
      <c r="N578" s="198"/>
      <c r="O578" s="379"/>
      <c r="P578" s="197"/>
      <c r="Q578" s="198"/>
      <c r="R578" s="379"/>
      <c r="S578" s="197"/>
      <c r="T578" s="198"/>
      <c r="U578" s="379"/>
      <c r="V578" s="197"/>
      <c r="W578" s="198"/>
      <c r="X578" s="379"/>
      <c r="Y578" s="184"/>
      <c r="Z578" s="184"/>
      <c r="AA578" s="184"/>
      <c r="AB578" s="184"/>
      <c r="AC578" s="8"/>
      <c r="AD578" s="8"/>
      <c r="AE578" s="8"/>
      <c r="AF578" s="8"/>
      <c r="AG578" s="191"/>
      <c r="AH578" s="191"/>
      <c r="AI578" s="191"/>
      <c r="AJ578" s="8"/>
      <c r="AK578" s="8"/>
      <c r="AL578" s="8"/>
      <c r="AM578" s="8"/>
      <c r="AN578" s="8"/>
      <c r="AO578" s="8"/>
      <c r="AP578" s="8"/>
      <c r="AQ578" s="8"/>
      <c r="AR578" s="8"/>
      <c r="AS578" s="8"/>
      <c r="AT578" s="8"/>
    </row>
    <row r="579">
      <c r="A579" s="197"/>
      <c r="B579" s="198"/>
      <c r="C579" s="379"/>
      <c r="D579" s="197"/>
      <c r="E579" s="198"/>
      <c r="F579" s="379"/>
      <c r="G579" s="197"/>
      <c r="H579" s="198"/>
      <c r="I579" s="379"/>
      <c r="J579" s="197"/>
      <c r="K579" s="198"/>
      <c r="L579" s="379"/>
      <c r="M579" s="197"/>
      <c r="N579" s="198"/>
      <c r="O579" s="379"/>
      <c r="P579" s="197"/>
      <c r="Q579" s="198"/>
      <c r="R579" s="379"/>
      <c r="S579" s="197"/>
      <c r="T579" s="198"/>
      <c r="U579" s="379"/>
      <c r="V579" s="197"/>
      <c r="W579" s="198"/>
      <c r="X579" s="379"/>
      <c r="Y579" s="184"/>
      <c r="Z579" s="184"/>
      <c r="AA579" s="184"/>
      <c r="AB579" s="184"/>
      <c r="AC579" s="8"/>
      <c r="AD579" s="8"/>
      <c r="AE579" s="8"/>
      <c r="AF579" s="8"/>
      <c r="AG579" s="191"/>
      <c r="AH579" s="191"/>
      <c r="AI579" s="191"/>
      <c r="AJ579" s="8"/>
      <c r="AK579" s="8"/>
      <c r="AL579" s="8"/>
      <c r="AM579" s="8"/>
      <c r="AN579" s="8"/>
      <c r="AO579" s="8"/>
      <c r="AP579" s="8"/>
      <c r="AQ579" s="8"/>
      <c r="AR579" s="8"/>
      <c r="AS579" s="8"/>
      <c r="AT579" s="8"/>
    </row>
    <row r="580">
      <c r="A580" s="197"/>
      <c r="B580" s="198"/>
      <c r="C580" s="379"/>
      <c r="D580" s="197"/>
      <c r="E580" s="198"/>
      <c r="F580" s="379"/>
      <c r="G580" s="197"/>
      <c r="H580" s="198"/>
      <c r="I580" s="379"/>
      <c r="J580" s="197"/>
      <c r="K580" s="198"/>
      <c r="L580" s="379"/>
      <c r="M580" s="197"/>
      <c r="N580" s="198"/>
      <c r="O580" s="379"/>
      <c r="P580" s="197"/>
      <c r="Q580" s="198"/>
      <c r="R580" s="379"/>
      <c r="S580" s="197"/>
      <c r="T580" s="198"/>
      <c r="U580" s="379"/>
      <c r="V580" s="197"/>
      <c r="W580" s="198"/>
      <c r="X580" s="379"/>
      <c r="Y580" s="184"/>
      <c r="Z580" s="184"/>
      <c r="AA580" s="184"/>
      <c r="AB580" s="184"/>
      <c r="AC580" s="8"/>
      <c r="AD580" s="8"/>
      <c r="AE580" s="8"/>
      <c r="AF580" s="8"/>
      <c r="AG580" s="191"/>
      <c r="AH580" s="191"/>
      <c r="AI580" s="191"/>
      <c r="AJ580" s="8"/>
      <c r="AK580" s="8"/>
      <c r="AL580" s="8"/>
      <c r="AM580" s="8"/>
      <c r="AN580" s="8"/>
      <c r="AO580" s="8"/>
      <c r="AP580" s="8"/>
      <c r="AQ580" s="8"/>
      <c r="AR580" s="8"/>
      <c r="AS580" s="8"/>
      <c r="AT580" s="8"/>
    </row>
    <row r="581">
      <c r="A581" s="197"/>
      <c r="B581" s="198"/>
      <c r="C581" s="379"/>
      <c r="D581" s="197"/>
      <c r="E581" s="198"/>
      <c r="F581" s="379"/>
      <c r="G581" s="197"/>
      <c r="H581" s="198"/>
      <c r="I581" s="379"/>
      <c r="J581" s="197"/>
      <c r="K581" s="198"/>
      <c r="L581" s="379"/>
      <c r="M581" s="197"/>
      <c r="N581" s="198"/>
      <c r="O581" s="379"/>
      <c r="P581" s="197"/>
      <c r="Q581" s="198"/>
      <c r="R581" s="379"/>
      <c r="S581" s="197"/>
      <c r="T581" s="198"/>
      <c r="U581" s="379"/>
      <c r="V581" s="197"/>
      <c r="W581" s="198"/>
      <c r="X581" s="379"/>
      <c r="Y581" s="184"/>
      <c r="Z581" s="184"/>
      <c r="AA581" s="184"/>
      <c r="AB581" s="184"/>
      <c r="AC581" s="8"/>
      <c r="AD581" s="8"/>
      <c r="AE581" s="8"/>
      <c r="AF581" s="8"/>
      <c r="AG581" s="191"/>
      <c r="AH581" s="191"/>
      <c r="AI581" s="191"/>
      <c r="AJ581" s="8"/>
      <c r="AK581" s="8"/>
      <c r="AL581" s="8"/>
      <c r="AM581" s="8"/>
      <c r="AN581" s="8"/>
      <c r="AO581" s="8"/>
      <c r="AP581" s="8"/>
      <c r="AQ581" s="8"/>
      <c r="AR581" s="8"/>
      <c r="AS581" s="8"/>
      <c r="AT581" s="8"/>
    </row>
    <row r="582">
      <c r="A582" s="197"/>
      <c r="B582" s="198"/>
      <c r="C582" s="379"/>
      <c r="D582" s="197"/>
      <c r="E582" s="198"/>
      <c r="F582" s="379"/>
      <c r="G582" s="197"/>
      <c r="H582" s="198"/>
      <c r="I582" s="379"/>
      <c r="J582" s="197"/>
      <c r="K582" s="198"/>
      <c r="L582" s="379"/>
      <c r="M582" s="197"/>
      <c r="N582" s="198"/>
      <c r="O582" s="379"/>
      <c r="P582" s="197"/>
      <c r="Q582" s="198"/>
      <c r="R582" s="379"/>
      <c r="S582" s="197"/>
      <c r="T582" s="198"/>
      <c r="U582" s="379"/>
      <c r="V582" s="197"/>
      <c r="W582" s="198"/>
      <c r="X582" s="379"/>
      <c r="Y582" s="184"/>
      <c r="Z582" s="184"/>
      <c r="AA582" s="184"/>
      <c r="AB582" s="184"/>
      <c r="AC582" s="8"/>
      <c r="AD582" s="8"/>
      <c r="AE582" s="8"/>
      <c r="AF582" s="8"/>
      <c r="AG582" s="191"/>
      <c r="AH582" s="191"/>
      <c r="AI582" s="191"/>
      <c r="AJ582" s="8"/>
      <c r="AK582" s="8"/>
      <c r="AL582" s="8"/>
      <c r="AM582" s="8"/>
      <c r="AN582" s="8"/>
      <c r="AO582" s="8"/>
      <c r="AP582" s="8"/>
      <c r="AQ582" s="8"/>
      <c r="AR582" s="8"/>
      <c r="AS582" s="8"/>
      <c r="AT582" s="8"/>
    </row>
    <row r="583">
      <c r="A583" s="197"/>
      <c r="B583" s="198"/>
      <c r="C583" s="379"/>
      <c r="D583" s="197"/>
      <c r="E583" s="198"/>
      <c r="F583" s="379"/>
      <c r="G583" s="197"/>
      <c r="H583" s="198"/>
      <c r="I583" s="379"/>
      <c r="J583" s="197"/>
      <c r="K583" s="198"/>
      <c r="L583" s="379"/>
      <c r="M583" s="197"/>
      <c r="N583" s="198"/>
      <c r="O583" s="379"/>
      <c r="P583" s="197"/>
      <c r="Q583" s="198"/>
      <c r="R583" s="379"/>
      <c r="S583" s="197"/>
      <c r="T583" s="198"/>
      <c r="U583" s="379"/>
      <c r="V583" s="197"/>
      <c r="W583" s="198"/>
      <c r="X583" s="379"/>
      <c r="Y583" s="184"/>
      <c r="Z583" s="184"/>
      <c r="AA583" s="184"/>
      <c r="AB583" s="184"/>
      <c r="AC583" s="8"/>
      <c r="AD583" s="8"/>
      <c r="AE583" s="8"/>
      <c r="AF583" s="8"/>
      <c r="AG583" s="191"/>
      <c r="AH583" s="191"/>
      <c r="AI583" s="191"/>
      <c r="AJ583" s="8"/>
      <c r="AK583" s="8"/>
      <c r="AL583" s="8"/>
      <c r="AM583" s="8"/>
      <c r="AN583" s="8"/>
      <c r="AO583" s="8"/>
      <c r="AP583" s="8"/>
      <c r="AQ583" s="8"/>
      <c r="AR583" s="8"/>
      <c r="AS583" s="8"/>
      <c r="AT583" s="8"/>
    </row>
    <row r="584">
      <c r="A584" s="197"/>
      <c r="B584" s="198"/>
      <c r="C584" s="379"/>
      <c r="D584" s="197"/>
      <c r="E584" s="198"/>
      <c r="F584" s="379"/>
      <c r="G584" s="197"/>
      <c r="H584" s="198"/>
      <c r="I584" s="379"/>
      <c r="J584" s="197"/>
      <c r="K584" s="198"/>
      <c r="L584" s="379"/>
      <c r="M584" s="197"/>
      <c r="N584" s="198"/>
      <c r="O584" s="379"/>
      <c r="P584" s="197"/>
      <c r="Q584" s="198"/>
      <c r="R584" s="379"/>
      <c r="S584" s="197"/>
      <c r="T584" s="198"/>
      <c r="U584" s="379"/>
      <c r="V584" s="197"/>
      <c r="W584" s="198"/>
      <c r="X584" s="379"/>
      <c r="Y584" s="184"/>
      <c r="Z584" s="184"/>
      <c r="AA584" s="184"/>
      <c r="AB584" s="184"/>
      <c r="AC584" s="8"/>
      <c r="AD584" s="8"/>
      <c r="AE584" s="8"/>
      <c r="AF584" s="8"/>
      <c r="AG584" s="191"/>
      <c r="AH584" s="191"/>
      <c r="AI584" s="191"/>
      <c r="AJ584" s="8"/>
      <c r="AK584" s="8"/>
      <c r="AL584" s="8"/>
      <c r="AM584" s="8"/>
      <c r="AN584" s="8"/>
      <c r="AO584" s="8"/>
      <c r="AP584" s="8"/>
      <c r="AQ584" s="8"/>
      <c r="AR584" s="8"/>
      <c r="AS584" s="8"/>
      <c r="AT584" s="8"/>
    </row>
    <row r="585">
      <c r="A585" s="197"/>
      <c r="B585" s="198"/>
      <c r="C585" s="379"/>
      <c r="D585" s="197"/>
      <c r="E585" s="198"/>
      <c r="F585" s="379"/>
      <c r="G585" s="197"/>
      <c r="H585" s="198"/>
      <c r="I585" s="379"/>
      <c r="J585" s="197"/>
      <c r="K585" s="198"/>
      <c r="L585" s="379"/>
      <c r="M585" s="197"/>
      <c r="N585" s="198"/>
      <c r="O585" s="379"/>
      <c r="P585" s="197"/>
      <c r="Q585" s="198"/>
      <c r="R585" s="379"/>
      <c r="S585" s="197"/>
      <c r="T585" s="198"/>
      <c r="U585" s="379"/>
      <c r="V585" s="197"/>
      <c r="W585" s="198"/>
      <c r="X585" s="379"/>
      <c r="Y585" s="184"/>
      <c r="Z585" s="184"/>
      <c r="AA585" s="184"/>
      <c r="AB585" s="184"/>
      <c r="AC585" s="8"/>
      <c r="AD585" s="8"/>
      <c r="AE585" s="8"/>
      <c r="AF585" s="8"/>
      <c r="AG585" s="191"/>
      <c r="AH585" s="191"/>
      <c r="AI585" s="191"/>
      <c r="AJ585" s="8"/>
      <c r="AK585" s="8"/>
      <c r="AL585" s="8"/>
      <c r="AM585" s="8"/>
      <c r="AN585" s="8"/>
      <c r="AO585" s="8"/>
      <c r="AP585" s="8"/>
      <c r="AQ585" s="8"/>
      <c r="AR585" s="8"/>
      <c r="AS585" s="8"/>
      <c r="AT585" s="8"/>
    </row>
    <row r="586">
      <c r="A586" s="197"/>
      <c r="B586" s="198"/>
      <c r="C586" s="379"/>
      <c r="D586" s="197"/>
      <c r="E586" s="198"/>
      <c r="F586" s="379"/>
      <c r="G586" s="197"/>
      <c r="H586" s="198"/>
      <c r="I586" s="379"/>
      <c r="J586" s="197"/>
      <c r="K586" s="198"/>
      <c r="L586" s="379"/>
      <c r="M586" s="197"/>
      <c r="N586" s="198"/>
      <c r="O586" s="379"/>
      <c r="P586" s="197"/>
      <c r="Q586" s="198"/>
      <c r="R586" s="379"/>
      <c r="S586" s="197"/>
      <c r="T586" s="198"/>
      <c r="U586" s="379"/>
      <c r="V586" s="197"/>
      <c r="W586" s="198"/>
      <c r="X586" s="379"/>
      <c r="Y586" s="184"/>
      <c r="Z586" s="184"/>
      <c r="AA586" s="184"/>
      <c r="AB586" s="184"/>
      <c r="AC586" s="8"/>
      <c r="AD586" s="8"/>
      <c r="AE586" s="8"/>
      <c r="AF586" s="8"/>
      <c r="AG586" s="191"/>
      <c r="AH586" s="191"/>
      <c r="AI586" s="191"/>
      <c r="AJ586" s="8"/>
      <c r="AK586" s="8"/>
      <c r="AL586" s="8"/>
      <c r="AM586" s="8"/>
      <c r="AN586" s="8"/>
      <c r="AO586" s="8"/>
      <c r="AP586" s="8"/>
      <c r="AQ586" s="8"/>
      <c r="AR586" s="8"/>
      <c r="AS586" s="8"/>
      <c r="AT586" s="8"/>
    </row>
    <row r="587">
      <c r="A587" s="197"/>
      <c r="B587" s="198"/>
      <c r="C587" s="379"/>
      <c r="D587" s="197"/>
      <c r="E587" s="198"/>
      <c r="F587" s="379"/>
      <c r="G587" s="197"/>
      <c r="H587" s="198"/>
      <c r="I587" s="379"/>
      <c r="J587" s="197"/>
      <c r="K587" s="198"/>
      <c r="L587" s="379"/>
      <c r="M587" s="197"/>
      <c r="N587" s="198"/>
      <c r="O587" s="379"/>
      <c r="P587" s="197"/>
      <c r="Q587" s="198"/>
      <c r="R587" s="379"/>
      <c r="S587" s="197"/>
      <c r="T587" s="198"/>
      <c r="U587" s="379"/>
      <c r="V587" s="197"/>
      <c r="W587" s="198"/>
      <c r="X587" s="379"/>
      <c r="Y587" s="184"/>
      <c r="Z587" s="184"/>
      <c r="AA587" s="184"/>
      <c r="AB587" s="184"/>
      <c r="AC587" s="8"/>
      <c r="AD587" s="8"/>
      <c r="AE587" s="8"/>
      <c r="AF587" s="8"/>
      <c r="AG587" s="191"/>
      <c r="AH587" s="191"/>
      <c r="AI587" s="191"/>
      <c r="AJ587" s="8"/>
      <c r="AK587" s="8"/>
      <c r="AL587" s="8"/>
      <c r="AM587" s="8"/>
      <c r="AN587" s="8"/>
      <c r="AO587" s="8"/>
      <c r="AP587" s="8"/>
      <c r="AQ587" s="8"/>
      <c r="AR587" s="8"/>
      <c r="AS587" s="8"/>
      <c r="AT587" s="8"/>
    </row>
    <row r="588">
      <c r="A588" s="197"/>
      <c r="B588" s="198"/>
      <c r="C588" s="379"/>
      <c r="D588" s="197"/>
      <c r="E588" s="198"/>
      <c r="F588" s="379"/>
      <c r="G588" s="197"/>
      <c r="H588" s="198"/>
      <c r="I588" s="379"/>
      <c r="J588" s="197"/>
      <c r="K588" s="198"/>
      <c r="L588" s="379"/>
      <c r="M588" s="197"/>
      <c r="N588" s="198"/>
      <c r="O588" s="379"/>
      <c r="P588" s="197"/>
      <c r="Q588" s="198"/>
      <c r="R588" s="379"/>
      <c r="S588" s="197"/>
      <c r="T588" s="198"/>
      <c r="U588" s="379"/>
      <c r="V588" s="197"/>
      <c r="W588" s="198"/>
      <c r="X588" s="379"/>
      <c r="Y588" s="184"/>
      <c r="Z588" s="184"/>
      <c r="AA588" s="184"/>
      <c r="AB588" s="184"/>
      <c r="AC588" s="8"/>
      <c r="AD588" s="8"/>
      <c r="AE588" s="8"/>
      <c r="AF588" s="8"/>
      <c r="AG588" s="191"/>
      <c r="AH588" s="191"/>
      <c r="AI588" s="191"/>
      <c r="AJ588" s="8"/>
      <c r="AK588" s="8"/>
      <c r="AL588" s="8"/>
      <c r="AM588" s="8"/>
      <c r="AN588" s="8"/>
      <c r="AO588" s="8"/>
      <c r="AP588" s="8"/>
      <c r="AQ588" s="8"/>
      <c r="AR588" s="8"/>
      <c r="AS588" s="8"/>
      <c r="AT588" s="8"/>
    </row>
    <row r="589">
      <c r="A589" s="197"/>
      <c r="B589" s="198"/>
      <c r="C589" s="379"/>
      <c r="D589" s="197"/>
      <c r="E589" s="198"/>
      <c r="F589" s="379"/>
      <c r="G589" s="197"/>
      <c r="H589" s="198"/>
      <c r="I589" s="379"/>
      <c r="J589" s="197"/>
      <c r="K589" s="198"/>
      <c r="L589" s="379"/>
      <c r="M589" s="197"/>
      <c r="N589" s="198"/>
      <c r="O589" s="379"/>
      <c r="P589" s="197"/>
      <c r="Q589" s="198"/>
      <c r="R589" s="379"/>
      <c r="S589" s="197"/>
      <c r="T589" s="198"/>
      <c r="U589" s="379"/>
      <c r="V589" s="197"/>
      <c r="W589" s="198"/>
      <c r="X589" s="379"/>
      <c r="Y589" s="184"/>
      <c r="Z589" s="184"/>
      <c r="AA589" s="184"/>
      <c r="AB589" s="184"/>
      <c r="AC589" s="8"/>
      <c r="AD589" s="8"/>
      <c r="AE589" s="8"/>
      <c r="AF589" s="8"/>
      <c r="AG589" s="191"/>
      <c r="AH589" s="191"/>
      <c r="AI589" s="191"/>
      <c r="AJ589" s="8"/>
      <c r="AK589" s="8"/>
      <c r="AL589" s="8"/>
      <c r="AM589" s="8"/>
      <c r="AN589" s="8"/>
      <c r="AO589" s="8"/>
      <c r="AP589" s="8"/>
      <c r="AQ589" s="8"/>
      <c r="AR589" s="8"/>
      <c r="AS589" s="8"/>
      <c r="AT589" s="8"/>
    </row>
    <row r="590">
      <c r="A590" s="197"/>
      <c r="B590" s="198"/>
      <c r="C590" s="379"/>
      <c r="D590" s="197"/>
      <c r="E590" s="198"/>
      <c r="F590" s="379"/>
      <c r="G590" s="197"/>
      <c r="H590" s="198"/>
      <c r="I590" s="379"/>
      <c r="J590" s="197"/>
      <c r="K590" s="198"/>
      <c r="L590" s="379"/>
      <c r="M590" s="197"/>
      <c r="N590" s="198"/>
      <c r="O590" s="379"/>
      <c r="P590" s="197"/>
      <c r="Q590" s="198"/>
      <c r="R590" s="379"/>
      <c r="S590" s="197"/>
      <c r="T590" s="198"/>
      <c r="U590" s="379"/>
      <c r="V590" s="197"/>
      <c r="W590" s="198"/>
      <c r="X590" s="379"/>
      <c r="Y590" s="184"/>
      <c r="Z590" s="184"/>
      <c r="AA590" s="184"/>
      <c r="AB590" s="184"/>
      <c r="AC590" s="8"/>
      <c r="AD590" s="8"/>
      <c r="AE590" s="8"/>
      <c r="AF590" s="8"/>
      <c r="AG590" s="191"/>
      <c r="AH590" s="191"/>
      <c r="AI590" s="191"/>
      <c r="AJ590" s="8"/>
      <c r="AK590" s="8"/>
      <c r="AL590" s="8"/>
      <c r="AM590" s="8"/>
      <c r="AN590" s="8"/>
      <c r="AO590" s="8"/>
      <c r="AP590" s="8"/>
      <c r="AQ590" s="8"/>
      <c r="AR590" s="8"/>
      <c r="AS590" s="8"/>
      <c r="AT590" s="8"/>
    </row>
    <row r="591">
      <c r="A591" s="197"/>
      <c r="B591" s="198"/>
      <c r="C591" s="379"/>
      <c r="D591" s="197"/>
      <c r="E591" s="198"/>
      <c r="F591" s="379"/>
      <c r="G591" s="197"/>
      <c r="H591" s="198"/>
      <c r="I591" s="379"/>
      <c r="J591" s="197"/>
      <c r="K591" s="198"/>
      <c r="L591" s="379"/>
      <c r="M591" s="197"/>
      <c r="N591" s="198"/>
      <c r="O591" s="379"/>
      <c r="P591" s="197"/>
      <c r="Q591" s="198"/>
      <c r="R591" s="379"/>
      <c r="S591" s="197"/>
      <c r="T591" s="198"/>
      <c r="U591" s="379"/>
      <c r="V591" s="197"/>
      <c r="W591" s="198"/>
      <c r="X591" s="379"/>
      <c r="Y591" s="184"/>
      <c r="Z591" s="184"/>
      <c r="AA591" s="184"/>
      <c r="AB591" s="184"/>
      <c r="AC591" s="8"/>
      <c r="AD591" s="8"/>
      <c r="AE591" s="8"/>
      <c r="AF591" s="8"/>
      <c r="AG591" s="191"/>
      <c r="AH591" s="191"/>
      <c r="AI591" s="191"/>
      <c r="AJ591" s="8"/>
      <c r="AK591" s="8"/>
      <c r="AL591" s="8"/>
      <c r="AM591" s="8"/>
      <c r="AN591" s="8"/>
      <c r="AO591" s="8"/>
      <c r="AP591" s="8"/>
      <c r="AQ591" s="8"/>
      <c r="AR591" s="8"/>
      <c r="AS591" s="8"/>
      <c r="AT591" s="8"/>
    </row>
    <row r="592">
      <c r="A592" s="197"/>
      <c r="B592" s="198"/>
      <c r="C592" s="379"/>
      <c r="D592" s="197"/>
      <c r="E592" s="198"/>
      <c r="F592" s="379"/>
      <c r="G592" s="197"/>
      <c r="H592" s="198"/>
      <c r="I592" s="379"/>
      <c r="J592" s="197"/>
      <c r="K592" s="198"/>
      <c r="L592" s="379"/>
      <c r="M592" s="197"/>
      <c r="N592" s="198"/>
      <c r="O592" s="379"/>
      <c r="P592" s="197"/>
      <c r="Q592" s="198"/>
      <c r="R592" s="379"/>
      <c r="S592" s="197"/>
      <c r="T592" s="198"/>
      <c r="U592" s="379"/>
      <c r="V592" s="197"/>
      <c r="W592" s="198"/>
      <c r="X592" s="379"/>
      <c r="Y592" s="184"/>
      <c r="Z592" s="184"/>
      <c r="AA592" s="184"/>
      <c r="AB592" s="184"/>
      <c r="AC592" s="8"/>
      <c r="AD592" s="8"/>
      <c r="AE592" s="8"/>
      <c r="AF592" s="8"/>
      <c r="AG592" s="191"/>
      <c r="AH592" s="191"/>
      <c r="AI592" s="191"/>
      <c r="AJ592" s="8"/>
      <c r="AK592" s="8"/>
      <c r="AL592" s="8"/>
      <c r="AM592" s="8"/>
      <c r="AN592" s="8"/>
      <c r="AO592" s="8"/>
      <c r="AP592" s="8"/>
      <c r="AQ592" s="8"/>
      <c r="AR592" s="8"/>
      <c r="AS592" s="8"/>
      <c r="AT592" s="8"/>
    </row>
    <row r="593">
      <c r="A593" s="197"/>
      <c r="B593" s="198"/>
      <c r="C593" s="379"/>
      <c r="D593" s="197"/>
      <c r="E593" s="198"/>
      <c r="F593" s="379"/>
      <c r="G593" s="197"/>
      <c r="H593" s="198"/>
      <c r="I593" s="379"/>
      <c r="J593" s="197"/>
      <c r="K593" s="198"/>
      <c r="L593" s="379"/>
      <c r="M593" s="197"/>
      <c r="N593" s="198"/>
      <c r="O593" s="379"/>
      <c r="P593" s="197"/>
      <c r="Q593" s="198"/>
      <c r="R593" s="379"/>
      <c r="S593" s="197"/>
      <c r="T593" s="198"/>
      <c r="U593" s="379"/>
      <c r="V593" s="197"/>
      <c r="W593" s="198"/>
      <c r="X593" s="379"/>
      <c r="Y593" s="184"/>
      <c r="Z593" s="184"/>
      <c r="AA593" s="184"/>
      <c r="AB593" s="184"/>
      <c r="AC593" s="8"/>
      <c r="AD593" s="8"/>
      <c r="AE593" s="8"/>
      <c r="AF593" s="8"/>
      <c r="AG593" s="191"/>
      <c r="AH593" s="191"/>
      <c r="AI593" s="191"/>
      <c r="AJ593" s="8"/>
      <c r="AK593" s="8"/>
      <c r="AL593" s="8"/>
      <c r="AM593" s="8"/>
      <c r="AN593" s="8"/>
      <c r="AO593" s="8"/>
      <c r="AP593" s="8"/>
      <c r="AQ593" s="8"/>
      <c r="AR593" s="8"/>
      <c r="AS593" s="8"/>
      <c r="AT593" s="8"/>
    </row>
    <row r="594">
      <c r="A594" s="197"/>
      <c r="B594" s="198"/>
      <c r="C594" s="379"/>
      <c r="D594" s="197"/>
      <c r="E594" s="198"/>
      <c r="F594" s="379"/>
      <c r="G594" s="197"/>
      <c r="H594" s="198"/>
      <c r="I594" s="379"/>
      <c r="J594" s="197"/>
      <c r="K594" s="198"/>
      <c r="L594" s="379"/>
      <c r="M594" s="197"/>
      <c r="N594" s="198"/>
      <c r="O594" s="379"/>
      <c r="P594" s="197"/>
      <c r="Q594" s="198"/>
      <c r="R594" s="379"/>
      <c r="S594" s="197"/>
      <c r="T594" s="198"/>
      <c r="U594" s="379"/>
      <c r="V594" s="197"/>
      <c r="W594" s="198"/>
      <c r="X594" s="379"/>
      <c r="Y594" s="184"/>
      <c r="Z594" s="184"/>
      <c r="AA594" s="184"/>
      <c r="AB594" s="184"/>
      <c r="AC594" s="8"/>
      <c r="AD594" s="8"/>
      <c r="AE594" s="8"/>
      <c r="AF594" s="8"/>
      <c r="AG594" s="191"/>
      <c r="AH594" s="191"/>
      <c r="AI594" s="191"/>
      <c r="AJ594" s="8"/>
      <c r="AK594" s="8"/>
      <c r="AL594" s="8"/>
      <c r="AM594" s="8"/>
      <c r="AN594" s="8"/>
      <c r="AO594" s="8"/>
      <c r="AP594" s="8"/>
      <c r="AQ594" s="8"/>
      <c r="AR594" s="8"/>
      <c r="AS594" s="8"/>
      <c r="AT594" s="8"/>
    </row>
    <row r="595">
      <c r="A595" s="197"/>
      <c r="B595" s="198"/>
      <c r="C595" s="379"/>
      <c r="D595" s="197"/>
      <c r="E595" s="198"/>
      <c r="F595" s="379"/>
      <c r="G595" s="197"/>
      <c r="H595" s="198"/>
      <c r="I595" s="379"/>
      <c r="J595" s="197"/>
      <c r="K595" s="198"/>
      <c r="L595" s="379"/>
      <c r="M595" s="197"/>
      <c r="N595" s="198"/>
      <c r="O595" s="379"/>
      <c r="P595" s="197"/>
      <c r="Q595" s="198"/>
      <c r="R595" s="379"/>
      <c r="S595" s="197"/>
      <c r="T595" s="198"/>
      <c r="U595" s="379"/>
      <c r="V595" s="197"/>
      <c r="W595" s="198"/>
      <c r="X595" s="379"/>
      <c r="Y595" s="184"/>
      <c r="Z595" s="184"/>
      <c r="AA595" s="184"/>
      <c r="AB595" s="184"/>
      <c r="AC595" s="8"/>
      <c r="AD595" s="8"/>
      <c r="AE595" s="8"/>
      <c r="AF595" s="8"/>
      <c r="AG595" s="191"/>
      <c r="AH595" s="191"/>
      <c r="AI595" s="191"/>
      <c r="AJ595" s="8"/>
      <c r="AK595" s="8"/>
      <c r="AL595" s="8"/>
      <c r="AM595" s="8"/>
      <c r="AN595" s="8"/>
      <c r="AO595" s="8"/>
      <c r="AP595" s="8"/>
      <c r="AQ595" s="8"/>
      <c r="AR595" s="8"/>
      <c r="AS595" s="8"/>
      <c r="AT595" s="8"/>
    </row>
    <row r="596">
      <c r="A596" s="197"/>
      <c r="B596" s="198"/>
      <c r="C596" s="379"/>
      <c r="D596" s="197"/>
      <c r="E596" s="198"/>
      <c r="F596" s="379"/>
      <c r="G596" s="197"/>
      <c r="H596" s="198"/>
      <c r="I596" s="379"/>
      <c r="J596" s="197"/>
      <c r="K596" s="198"/>
      <c r="L596" s="379"/>
      <c r="M596" s="197"/>
      <c r="N596" s="198"/>
      <c r="O596" s="379"/>
      <c r="P596" s="197"/>
      <c r="Q596" s="198"/>
      <c r="R596" s="379"/>
      <c r="S596" s="197"/>
      <c r="T596" s="198"/>
      <c r="U596" s="379"/>
      <c r="V596" s="197"/>
      <c r="W596" s="198"/>
      <c r="X596" s="379"/>
      <c r="Y596" s="184"/>
      <c r="Z596" s="184"/>
      <c r="AA596" s="184"/>
      <c r="AB596" s="184"/>
      <c r="AC596" s="8"/>
      <c r="AD596" s="8"/>
      <c r="AE596" s="8"/>
      <c r="AF596" s="8"/>
      <c r="AG596" s="191"/>
      <c r="AH596" s="191"/>
      <c r="AI596" s="191"/>
      <c r="AJ596" s="8"/>
      <c r="AK596" s="8"/>
      <c r="AL596" s="8"/>
      <c r="AM596" s="8"/>
      <c r="AN596" s="8"/>
      <c r="AO596" s="8"/>
      <c r="AP596" s="8"/>
      <c r="AQ596" s="8"/>
      <c r="AR596" s="8"/>
      <c r="AS596" s="8"/>
      <c r="AT596" s="8"/>
    </row>
    <row r="597">
      <c r="A597" s="197"/>
      <c r="B597" s="198"/>
      <c r="C597" s="379"/>
      <c r="D597" s="197"/>
      <c r="E597" s="198"/>
      <c r="F597" s="379"/>
      <c r="G597" s="197"/>
      <c r="H597" s="198"/>
      <c r="I597" s="379"/>
      <c r="J597" s="197"/>
      <c r="K597" s="198"/>
      <c r="L597" s="379"/>
      <c r="M597" s="197"/>
      <c r="N597" s="198"/>
      <c r="O597" s="379"/>
      <c r="P597" s="197"/>
      <c r="Q597" s="198"/>
      <c r="R597" s="379"/>
      <c r="S597" s="197"/>
      <c r="T597" s="198"/>
      <c r="U597" s="379"/>
      <c r="V597" s="197"/>
      <c r="W597" s="198"/>
      <c r="X597" s="379"/>
      <c r="Y597" s="184"/>
      <c r="Z597" s="184"/>
      <c r="AA597" s="184"/>
      <c r="AB597" s="184"/>
      <c r="AC597" s="8"/>
      <c r="AD597" s="8"/>
      <c r="AE597" s="8"/>
      <c r="AF597" s="8"/>
      <c r="AG597" s="191"/>
      <c r="AH597" s="191"/>
      <c r="AI597" s="191"/>
      <c r="AJ597" s="8"/>
      <c r="AK597" s="8"/>
      <c r="AL597" s="8"/>
      <c r="AM597" s="8"/>
      <c r="AN597" s="8"/>
      <c r="AO597" s="8"/>
      <c r="AP597" s="8"/>
      <c r="AQ597" s="8"/>
      <c r="AR597" s="8"/>
      <c r="AS597" s="8"/>
      <c r="AT597" s="8"/>
    </row>
    <row r="598">
      <c r="A598" s="197"/>
      <c r="B598" s="198"/>
      <c r="C598" s="379"/>
      <c r="D598" s="197"/>
      <c r="E598" s="198"/>
      <c r="F598" s="379"/>
      <c r="G598" s="197"/>
      <c r="H598" s="198"/>
      <c r="I598" s="379"/>
      <c r="J598" s="197"/>
      <c r="K598" s="198"/>
      <c r="L598" s="379"/>
      <c r="M598" s="197"/>
      <c r="N598" s="198"/>
      <c r="O598" s="379"/>
      <c r="P598" s="197"/>
      <c r="Q598" s="198"/>
      <c r="R598" s="379"/>
      <c r="S598" s="197"/>
      <c r="T598" s="198"/>
      <c r="U598" s="379"/>
      <c r="V598" s="197"/>
      <c r="W598" s="198"/>
      <c r="X598" s="379"/>
      <c r="Y598" s="184"/>
      <c r="Z598" s="184"/>
      <c r="AA598" s="184"/>
      <c r="AB598" s="184"/>
      <c r="AC598" s="8"/>
      <c r="AD598" s="8"/>
      <c r="AE598" s="8"/>
      <c r="AF598" s="8"/>
      <c r="AG598" s="191"/>
      <c r="AH598" s="191"/>
      <c r="AI598" s="191"/>
      <c r="AJ598" s="8"/>
      <c r="AK598" s="8"/>
      <c r="AL598" s="8"/>
      <c r="AM598" s="8"/>
      <c r="AN598" s="8"/>
      <c r="AO598" s="8"/>
      <c r="AP598" s="8"/>
      <c r="AQ598" s="8"/>
      <c r="AR598" s="8"/>
      <c r="AS598" s="8"/>
      <c r="AT598" s="8"/>
    </row>
    <row r="599">
      <c r="A599" s="197"/>
      <c r="B599" s="198"/>
      <c r="C599" s="379"/>
      <c r="D599" s="197"/>
      <c r="E599" s="198"/>
      <c r="F599" s="379"/>
      <c r="G599" s="197"/>
      <c r="H599" s="198"/>
      <c r="I599" s="379"/>
      <c r="J599" s="197"/>
      <c r="K599" s="198"/>
      <c r="L599" s="379"/>
      <c r="M599" s="197"/>
      <c r="N599" s="198"/>
      <c r="O599" s="379"/>
      <c r="P599" s="197"/>
      <c r="Q599" s="198"/>
      <c r="R599" s="379"/>
      <c r="S599" s="197"/>
      <c r="T599" s="198"/>
      <c r="U599" s="379"/>
      <c r="V599" s="197"/>
      <c r="W599" s="198"/>
      <c r="X599" s="379"/>
      <c r="Y599" s="184"/>
      <c r="Z599" s="184"/>
      <c r="AA599" s="184"/>
      <c r="AB599" s="184"/>
      <c r="AC599" s="8"/>
      <c r="AD599" s="8"/>
      <c r="AE599" s="8"/>
      <c r="AF599" s="8"/>
      <c r="AG599" s="191"/>
      <c r="AH599" s="191"/>
      <c r="AI599" s="191"/>
      <c r="AJ599" s="8"/>
      <c r="AK599" s="8"/>
      <c r="AL599" s="8"/>
      <c r="AM599" s="8"/>
      <c r="AN599" s="8"/>
      <c r="AO599" s="8"/>
      <c r="AP599" s="8"/>
      <c r="AQ599" s="8"/>
      <c r="AR599" s="8"/>
      <c r="AS599" s="8"/>
      <c r="AT599" s="8"/>
    </row>
    <row r="600">
      <c r="A600" s="197"/>
      <c r="B600" s="198"/>
      <c r="C600" s="379"/>
      <c r="D600" s="197"/>
      <c r="E600" s="198"/>
      <c r="F600" s="379"/>
      <c r="G600" s="197"/>
      <c r="H600" s="198"/>
      <c r="I600" s="379"/>
      <c r="J600" s="197"/>
      <c r="K600" s="198"/>
      <c r="L600" s="379"/>
      <c r="M600" s="197"/>
      <c r="N600" s="198"/>
      <c r="O600" s="379"/>
      <c r="P600" s="197"/>
      <c r="Q600" s="198"/>
      <c r="R600" s="379"/>
      <c r="S600" s="197"/>
      <c r="T600" s="198"/>
      <c r="U600" s="379"/>
      <c r="V600" s="197"/>
      <c r="W600" s="198"/>
      <c r="X600" s="379"/>
      <c r="Y600" s="184"/>
      <c r="Z600" s="184"/>
      <c r="AA600" s="184"/>
      <c r="AB600" s="184"/>
      <c r="AC600" s="8"/>
      <c r="AD600" s="8"/>
      <c r="AE600" s="8"/>
      <c r="AF600" s="8"/>
      <c r="AG600" s="191"/>
      <c r="AH600" s="191"/>
      <c r="AI600" s="191"/>
      <c r="AJ600" s="8"/>
      <c r="AK600" s="8"/>
      <c r="AL600" s="8"/>
      <c r="AM600" s="8"/>
      <c r="AN600" s="8"/>
      <c r="AO600" s="8"/>
      <c r="AP600" s="8"/>
      <c r="AQ600" s="8"/>
      <c r="AR600" s="8"/>
      <c r="AS600" s="8"/>
      <c r="AT600" s="8"/>
    </row>
    <row r="601">
      <c r="A601" s="197"/>
      <c r="B601" s="198"/>
      <c r="C601" s="379"/>
      <c r="D601" s="197"/>
      <c r="E601" s="198"/>
      <c r="F601" s="379"/>
      <c r="G601" s="197"/>
      <c r="H601" s="198"/>
      <c r="I601" s="379"/>
      <c r="J601" s="197"/>
      <c r="K601" s="198"/>
      <c r="L601" s="379"/>
      <c r="M601" s="197"/>
      <c r="N601" s="198"/>
      <c r="O601" s="379"/>
      <c r="P601" s="197"/>
      <c r="Q601" s="198"/>
      <c r="R601" s="379"/>
      <c r="S601" s="197"/>
      <c r="T601" s="198"/>
      <c r="U601" s="379"/>
      <c r="V601" s="197"/>
      <c r="W601" s="198"/>
      <c r="X601" s="379"/>
      <c r="Y601" s="184"/>
      <c r="Z601" s="184"/>
      <c r="AA601" s="184"/>
      <c r="AB601" s="184"/>
      <c r="AC601" s="8"/>
      <c r="AD601" s="8"/>
      <c r="AE601" s="8"/>
      <c r="AF601" s="8"/>
      <c r="AG601" s="191"/>
      <c r="AH601" s="191"/>
      <c r="AI601" s="191"/>
      <c r="AJ601" s="8"/>
      <c r="AK601" s="8"/>
      <c r="AL601" s="8"/>
      <c r="AM601" s="8"/>
      <c r="AN601" s="8"/>
      <c r="AO601" s="8"/>
      <c r="AP601" s="8"/>
      <c r="AQ601" s="8"/>
      <c r="AR601" s="8"/>
      <c r="AS601" s="8"/>
      <c r="AT601" s="8"/>
    </row>
    <row r="602">
      <c r="A602" s="197"/>
      <c r="B602" s="198"/>
      <c r="C602" s="379"/>
      <c r="D602" s="197"/>
      <c r="E602" s="198"/>
      <c r="F602" s="379"/>
      <c r="G602" s="197"/>
      <c r="H602" s="198"/>
      <c r="I602" s="379"/>
      <c r="J602" s="197"/>
      <c r="K602" s="198"/>
      <c r="L602" s="379"/>
      <c r="M602" s="197"/>
      <c r="N602" s="198"/>
      <c r="O602" s="379"/>
      <c r="P602" s="197"/>
      <c r="Q602" s="198"/>
      <c r="R602" s="379"/>
      <c r="S602" s="197"/>
      <c r="T602" s="198"/>
      <c r="U602" s="379"/>
      <c r="V602" s="197"/>
      <c r="W602" s="198"/>
      <c r="X602" s="379"/>
      <c r="Y602" s="184"/>
      <c r="Z602" s="184"/>
      <c r="AA602" s="184"/>
      <c r="AB602" s="184"/>
      <c r="AC602" s="8"/>
      <c r="AD602" s="8"/>
      <c r="AE602" s="8"/>
      <c r="AF602" s="8"/>
      <c r="AG602" s="191"/>
      <c r="AH602" s="191"/>
      <c r="AI602" s="191"/>
      <c r="AJ602" s="8"/>
      <c r="AK602" s="8"/>
      <c r="AL602" s="8"/>
      <c r="AM602" s="8"/>
      <c r="AN602" s="8"/>
      <c r="AO602" s="8"/>
      <c r="AP602" s="8"/>
      <c r="AQ602" s="8"/>
      <c r="AR602" s="8"/>
      <c r="AS602" s="8"/>
      <c r="AT602" s="8"/>
    </row>
    <row r="603">
      <c r="A603" s="197"/>
      <c r="B603" s="198"/>
      <c r="C603" s="379"/>
      <c r="D603" s="197"/>
      <c r="E603" s="198"/>
      <c r="F603" s="379"/>
      <c r="G603" s="197"/>
      <c r="H603" s="198"/>
      <c r="I603" s="379"/>
      <c r="J603" s="197"/>
      <c r="K603" s="198"/>
      <c r="L603" s="379"/>
      <c r="M603" s="197"/>
      <c r="N603" s="198"/>
      <c r="O603" s="379"/>
      <c r="P603" s="197"/>
      <c r="Q603" s="198"/>
      <c r="R603" s="379"/>
      <c r="S603" s="197"/>
      <c r="T603" s="198"/>
      <c r="U603" s="379"/>
      <c r="V603" s="197"/>
      <c r="W603" s="198"/>
      <c r="X603" s="379"/>
      <c r="Y603" s="184"/>
      <c r="Z603" s="184"/>
      <c r="AA603" s="184"/>
      <c r="AB603" s="184"/>
      <c r="AC603" s="8"/>
      <c r="AD603" s="8"/>
      <c r="AE603" s="8"/>
      <c r="AF603" s="8"/>
      <c r="AG603" s="191"/>
      <c r="AH603" s="191"/>
      <c r="AI603" s="191"/>
      <c r="AJ603" s="8"/>
      <c r="AK603" s="8"/>
      <c r="AL603" s="8"/>
      <c r="AM603" s="8"/>
      <c r="AN603" s="8"/>
      <c r="AO603" s="8"/>
      <c r="AP603" s="8"/>
      <c r="AQ603" s="8"/>
      <c r="AR603" s="8"/>
      <c r="AS603" s="8"/>
      <c r="AT603" s="8"/>
    </row>
    <row r="604">
      <c r="A604" s="197"/>
      <c r="B604" s="198"/>
      <c r="C604" s="379"/>
      <c r="D604" s="197"/>
      <c r="E604" s="198"/>
      <c r="F604" s="379"/>
      <c r="G604" s="197"/>
      <c r="H604" s="198"/>
      <c r="I604" s="379"/>
      <c r="J604" s="197"/>
      <c r="K604" s="198"/>
      <c r="L604" s="379"/>
      <c r="M604" s="197"/>
      <c r="N604" s="198"/>
      <c r="O604" s="379"/>
      <c r="P604" s="197"/>
      <c r="Q604" s="198"/>
      <c r="R604" s="379"/>
      <c r="S604" s="197"/>
      <c r="T604" s="198"/>
      <c r="U604" s="379"/>
      <c r="V604" s="197"/>
      <c r="W604" s="198"/>
      <c r="X604" s="379"/>
      <c r="Y604" s="184"/>
      <c r="Z604" s="184"/>
      <c r="AA604" s="184"/>
      <c r="AB604" s="184"/>
      <c r="AC604" s="8"/>
      <c r="AD604" s="8"/>
      <c r="AE604" s="8"/>
      <c r="AF604" s="8"/>
      <c r="AG604" s="191"/>
      <c r="AH604" s="191"/>
      <c r="AI604" s="191"/>
      <c r="AJ604" s="8"/>
      <c r="AK604" s="8"/>
      <c r="AL604" s="8"/>
      <c r="AM604" s="8"/>
      <c r="AN604" s="8"/>
      <c r="AO604" s="8"/>
      <c r="AP604" s="8"/>
      <c r="AQ604" s="8"/>
      <c r="AR604" s="8"/>
      <c r="AS604" s="8"/>
      <c r="AT604" s="8"/>
    </row>
    <row r="605">
      <c r="A605" s="197"/>
      <c r="B605" s="198"/>
      <c r="C605" s="379"/>
      <c r="D605" s="197"/>
      <c r="E605" s="198"/>
      <c r="F605" s="379"/>
      <c r="G605" s="197"/>
      <c r="H605" s="198"/>
      <c r="I605" s="379"/>
      <c r="J605" s="197"/>
      <c r="K605" s="198"/>
      <c r="L605" s="379"/>
      <c r="M605" s="197"/>
      <c r="N605" s="198"/>
      <c r="O605" s="379"/>
      <c r="P605" s="197"/>
      <c r="Q605" s="198"/>
      <c r="R605" s="379"/>
      <c r="S605" s="197"/>
      <c r="T605" s="198"/>
      <c r="U605" s="379"/>
      <c r="V605" s="197"/>
      <c r="W605" s="198"/>
      <c r="X605" s="379"/>
      <c r="Y605" s="184"/>
      <c r="Z605" s="184"/>
      <c r="AA605" s="184"/>
      <c r="AB605" s="184"/>
      <c r="AC605" s="8"/>
      <c r="AD605" s="8"/>
      <c r="AE605" s="8"/>
      <c r="AF605" s="8"/>
      <c r="AG605" s="191"/>
      <c r="AH605" s="191"/>
      <c r="AI605" s="191"/>
      <c r="AJ605" s="8"/>
      <c r="AK605" s="8"/>
      <c r="AL605" s="8"/>
      <c r="AM605" s="8"/>
      <c r="AN605" s="8"/>
      <c r="AO605" s="8"/>
      <c r="AP605" s="8"/>
      <c r="AQ605" s="8"/>
      <c r="AR605" s="8"/>
      <c r="AS605" s="8"/>
      <c r="AT605" s="8"/>
    </row>
    <row r="606">
      <c r="A606" s="197"/>
      <c r="B606" s="198"/>
      <c r="C606" s="379"/>
      <c r="D606" s="197"/>
      <c r="E606" s="198"/>
      <c r="F606" s="379"/>
      <c r="G606" s="197"/>
      <c r="H606" s="198"/>
      <c r="I606" s="379"/>
      <c r="J606" s="197"/>
      <c r="K606" s="198"/>
      <c r="L606" s="379"/>
      <c r="M606" s="197"/>
      <c r="N606" s="198"/>
      <c r="O606" s="379"/>
      <c r="P606" s="197"/>
      <c r="Q606" s="198"/>
      <c r="R606" s="379"/>
      <c r="S606" s="197"/>
      <c r="T606" s="198"/>
      <c r="U606" s="379"/>
      <c r="V606" s="197"/>
      <c r="W606" s="198"/>
      <c r="X606" s="379"/>
      <c r="Y606" s="184"/>
      <c r="Z606" s="184"/>
      <c r="AA606" s="184"/>
      <c r="AB606" s="184"/>
      <c r="AC606" s="8"/>
      <c r="AD606" s="8"/>
      <c r="AE606" s="8"/>
      <c r="AF606" s="8"/>
      <c r="AG606" s="191"/>
      <c r="AH606" s="191"/>
      <c r="AI606" s="191"/>
      <c r="AJ606" s="8"/>
      <c r="AK606" s="8"/>
      <c r="AL606" s="8"/>
      <c r="AM606" s="8"/>
      <c r="AN606" s="8"/>
      <c r="AO606" s="8"/>
      <c r="AP606" s="8"/>
      <c r="AQ606" s="8"/>
      <c r="AR606" s="8"/>
      <c r="AS606" s="8"/>
      <c r="AT606" s="8"/>
    </row>
    <row r="607">
      <c r="A607" s="197"/>
      <c r="B607" s="198"/>
      <c r="C607" s="379"/>
      <c r="D607" s="197"/>
      <c r="E607" s="198"/>
      <c r="F607" s="379"/>
      <c r="G607" s="197"/>
      <c r="H607" s="198"/>
      <c r="I607" s="379"/>
      <c r="J607" s="197"/>
      <c r="K607" s="198"/>
      <c r="L607" s="379"/>
      <c r="M607" s="197"/>
      <c r="N607" s="198"/>
      <c r="O607" s="379"/>
      <c r="P607" s="197"/>
      <c r="Q607" s="198"/>
      <c r="R607" s="379"/>
      <c r="S607" s="197"/>
      <c r="T607" s="198"/>
      <c r="U607" s="379"/>
      <c r="V607" s="197"/>
      <c r="W607" s="198"/>
      <c r="X607" s="379"/>
      <c r="Y607" s="184"/>
      <c r="Z607" s="184"/>
      <c r="AA607" s="184"/>
      <c r="AB607" s="184"/>
      <c r="AC607" s="8"/>
      <c r="AD607" s="8"/>
      <c r="AE607" s="8"/>
      <c r="AF607" s="8"/>
      <c r="AG607" s="191"/>
      <c r="AH607" s="191"/>
      <c r="AI607" s="191"/>
      <c r="AJ607" s="8"/>
      <c r="AK607" s="8"/>
      <c r="AL607" s="8"/>
      <c r="AM607" s="8"/>
      <c r="AN607" s="8"/>
      <c r="AO607" s="8"/>
      <c r="AP607" s="8"/>
      <c r="AQ607" s="8"/>
      <c r="AR607" s="8"/>
      <c r="AS607" s="8"/>
      <c r="AT607" s="8"/>
    </row>
    <row r="608">
      <c r="A608" s="197"/>
      <c r="B608" s="198"/>
      <c r="C608" s="379"/>
      <c r="D608" s="197"/>
      <c r="E608" s="198"/>
      <c r="F608" s="379"/>
      <c r="G608" s="197"/>
      <c r="H608" s="198"/>
      <c r="I608" s="379"/>
      <c r="J608" s="197"/>
      <c r="K608" s="198"/>
      <c r="L608" s="379"/>
      <c r="M608" s="197"/>
      <c r="N608" s="198"/>
      <c r="O608" s="379"/>
      <c r="P608" s="197"/>
      <c r="Q608" s="198"/>
      <c r="R608" s="379"/>
      <c r="S608" s="197"/>
      <c r="T608" s="198"/>
      <c r="U608" s="379"/>
      <c r="V608" s="197"/>
      <c r="W608" s="198"/>
      <c r="X608" s="379"/>
      <c r="Y608" s="184"/>
      <c r="Z608" s="184"/>
      <c r="AA608" s="184"/>
      <c r="AB608" s="184"/>
      <c r="AC608" s="8"/>
      <c r="AD608" s="8"/>
      <c r="AE608" s="8"/>
      <c r="AF608" s="8"/>
      <c r="AG608" s="191"/>
      <c r="AH608" s="191"/>
      <c r="AI608" s="191"/>
      <c r="AJ608" s="8"/>
      <c r="AK608" s="8"/>
      <c r="AL608" s="8"/>
      <c r="AM608" s="8"/>
      <c r="AN608" s="8"/>
      <c r="AO608" s="8"/>
      <c r="AP608" s="8"/>
      <c r="AQ608" s="8"/>
      <c r="AR608" s="8"/>
      <c r="AS608" s="8"/>
      <c r="AT608" s="8"/>
    </row>
    <row r="609">
      <c r="A609" s="197"/>
      <c r="B609" s="198"/>
      <c r="C609" s="379"/>
      <c r="D609" s="197"/>
      <c r="E609" s="198"/>
      <c r="F609" s="379"/>
      <c r="G609" s="197"/>
      <c r="H609" s="198"/>
      <c r="I609" s="379"/>
      <c r="J609" s="197"/>
      <c r="K609" s="198"/>
      <c r="L609" s="379"/>
      <c r="M609" s="197"/>
      <c r="N609" s="198"/>
      <c r="O609" s="379"/>
      <c r="P609" s="197"/>
      <c r="Q609" s="198"/>
      <c r="R609" s="379"/>
      <c r="S609" s="197"/>
      <c r="T609" s="198"/>
      <c r="U609" s="379"/>
      <c r="V609" s="197"/>
      <c r="W609" s="198"/>
      <c r="X609" s="379"/>
      <c r="Y609" s="184"/>
      <c r="Z609" s="184"/>
      <c r="AA609" s="184"/>
      <c r="AB609" s="184"/>
      <c r="AC609" s="8"/>
      <c r="AD609" s="8"/>
      <c r="AE609" s="8"/>
      <c r="AF609" s="8"/>
      <c r="AG609" s="191"/>
      <c r="AH609" s="191"/>
      <c r="AI609" s="191"/>
      <c r="AJ609" s="8"/>
      <c r="AK609" s="8"/>
      <c r="AL609" s="8"/>
      <c r="AM609" s="8"/>
      <c r="AN609" s="8"/>
      <c r="AO609" s="8"/>
      <c r="AP609" s="8"/>
      <c r="AQ609" s="8"/>
      <c r="AR609" s="8"/>
      <c r="AS609" s="8"/>
      <c r="AT609" s="8"/>
    </row>
    <row r="610">
      <c r="A610" s="197"/>
      <c r="B610" s="198"/>
      <c r="C610" s="379"/>
      <c r="D610" s="197"/>
      <c r="E610" s="198"/>
      <c r="F610" s="379"/>
      <c r="G610" s="197"/>
      <c r="H610" s="198"/>
      <c r="I610" s="379"/>
      <c r="J610" s="197"/>
      <c r="K610" s="198"/>
      <c r="L610" s="379"/>
      <c r="M610" s="197"/>
      <c r="N610" s="198"/>
      <c r="O610" s="379"/>
      <c r="P610" s="197"/>
      <c r="Q610" s="198"/>
      <c r="R610" s="379"/>
      <c r="S610" s="197"/>
      <c r="T610" s="198"/>
      <c r="U610" s="379"/>
      <c r="V610" s="197"/>
      <c r="W610" s="198"/>
      <c r="X610" s="379"/>
      <c r="Y610" s="184"/>
      <c r="Z610" s="184"/>
      <c r="AA610" s="184"/>
      <c r="AB610" s="184"/>
      <c r="AC610" s="8"/>
      <c r="AD610" s="8"/>
      <c r="AE610" s="8"/>
      <c r="AF610" s="8"/>
      <c r="AG610" s="191"/>
      <c r="AH610" s="191"/>
      <c r="AI610" s="191"/>
      <c r="AJ610" s="8"/>
      <c r="AK610" s="8"/>
      <c r="AL610" s="8"/>
      <c r="AM610" s="8"/>
      <c r="AN610" s="8"/>
      <c r="AO610" s="8"/>
      <c r="AP610" s="8"/>
      <c r="AQ610" s="8"/>
      <c r="AR610" s="8"/>
      <c r="AS610" s="8"/>
      <c r="AT610" s="8"/>
    </row>
    <row r="611">
      <c r="A611" s="197"/>
      <c r="B611" s="198"/>
      <c r="C611" s="379"/>
      <c r="D611" s="197"/>
      <c r="E611" s="198"/>
      <c r="F611" s="379"/>
      <c r="G611" s="197"/>
      <c r="H611" s="198"/>
      <c r="I611" s="379"/>
      <c r="J611" s="197"/>
      <c r="K611" s="198"/>
      <c r="L611" s="379"/>
      <c r="M611" s="197"/>
      <c r="N611" s="198"/>
      <c r="O611" s="379"/>
      <c r="P611" s="197"/>
      <c r="Q611" s="198"/>
      <c r="R611" s="379"/>
      <c r="S611" s="197"/>
      <c r="T611" s="198"/>
      <c r="U611" s="379"/>
      <c r="V611" s="197"/>
      <c r="W611" s="198"/>
      <c r="X611" s="379"/>
      <c r="Y611" s="184"/>
      <c r="Z611" s="184"/>
      <c r="AA611" s="184"/>
      <c r="AB611" s="184"/>
      <c r="AC611" s="8"/>
      <c r="AD611" s="8"/>
      <c r="AE611" s="8"/>
      <c r="AF611" s="8"/>
      <c r="AG611" s="191"/>
      <c r="AH611" s="191"/>
      <c r="AI611" s="191"/>
      <c r="AJ611" s="8"/>
      <c r="AK611" s="8"/>
      <c r="AL611" s="8"/>
      <c r="AM611" s="8"/>
      <c r="AN611" s="8"/>
      <c r="AO611" s="8"/>
      <c r="AP611" s="8"/>
      <c r="AQ611" s="8"/>
      <c r="AR611" s="8"/>
      <c r="AS611" s="8"/>
      <c r="AT611" s="8"/>
    </row>
    <row r="612">
      <c r="A612" s="197"/>
      <c r="B612" s="198"/>
      <c r="C612" s="379"/>
      <c r="D612" s="197"/>
      <c r="E612" s="198"/>
      <c r="F612" s="379"/>
      <c r="G612" s="197"/>
      <c r="H612" s="198"/>
      <c r="I612" s="379"/>
      <c r="J612" s="197"/>
      <c r="K612" s="198"/>
      <c r="L612" s="379"/>
      <c r="M612" s="197"/>
      <c r="N612" s="198"/>
      <c r="O612" s="379"/>
      <c r="P612" s="197"/>
      <c r="Q612" s="198"/>
      <c r="R612" s="379"/>
      <c r="S612" s="197"/>
      <c r="T612" s="198"/>
      <c r="U612" s="379"/>
      <c r="V612" s="197"/>
      <c r="W612" s="198"/>
      <c r="X612" s="379"/>
      <c r="Y612" s="184"/>
      <c r="Z612" s="184"/>
      <c r="AA612" s="184"/>
      <c r="AB612" s="184"/>
      <c r="AC612" s="8"/>
      <c r="AD612" s="8"/>
      <c r="AE612" s="8"/>
      <c r="AF612" s="8"/>
      <c r="AG612" s="191"/>
      <c r="AH612" s="191"/>
      <c r="AI612" s="191"/>
      <c r="AJ612" s="8"/>
      <c r="AK612" s="8"/>
      <c r="AL612" s="8"/>
      <c r="AM612" s="8"/>
      <c r="AN612" s="8"/>
      <c r="AO612" s="8"/>
      <c r="AP612" s="8"/>
      <c r="AQ612" s="8"/>
      <c r="AR612" s="8"/>
      <c r="AS612" s="8"/>
      <c r="AT612" s="8"/>
    </row>
    <row r="613">
      <c r="A613" s="197"/>
      <c r="B613" s="198"/>
      <c r="C613" s="379"/>
      <c r="D613" s="197"/>
      <c r="E613" s="198"/>
      <c r="F613" s="379"/>
      <c r="G613" s="197"/>
      <c r="H613" s="198"/>
      <c r="I613" s="379"/>
      <c r="J613" s="197"/>
      <c r="K613" s="198"/>
      <c r="L613" s="379"/>
      <c r="M613" s="197"/>
      <c r="N613" s="198"/>
      <c r="O613" s="379"/>
      <c r="P613" s="197"/>
      <c r="Q613" s="198"/>
      <c r="R613" s="379"/>
      <c r="S613" s="197"/>
      <c r="T613" s="198"/>
      <c r="U613" s="379"/>
      <c r="V613" s="197"/>
      <c r="W613" s="198"/>
      <c r="X613" s="379"/>
      <c r="Y613" s="184"/>
      <c r="Z613" s="184"/>
      <c r="AA613" s="184"/>
      <c r="AB613" s="184"/>
      <c r="AC613" s="8"/>
      <c r="AD613" s="8"/>
      <c r="AE613" s="8"/>
      <c r="AF613" s="8"/>
      <c r="AG613" s="191"/>
      <c r="AH613" s="191"/>
      <c r="AI613" s="191"/>
      <c r="AJ613" s="8"/>
      <c r="AK613" s="8"/>
      <c r="AL613" s="8"/>
      <c r="AM613" s="8"/>
      <c r="AN613" s="8"/>
      <c r="AO613" s="8"/>
      <c r="AP613" s="8"/>
      <c r="AQ613" s="8"/>
      <c r="AR613" s="8"/>
      <c r="AS613" s="8"/>
      <c r="AT613" s="8"/>
    </row>
    <row r="614">
      <c r="A614" s="197"/>
      <c r="B614" s="198"/>
      <c r="C614" s="379"/>
      <c r="D614" s="197"/>
      <c r="E614" s="198"/>
      <c r="F614" s="379"/>
      <c r="G614" s="197"/>
      <c r="H614" s="198"/>
      <c r="I614" s="379"/>
      <c r="J614" s="197"/>
      <c r="K614" s="198"/>
      <c r="L614" s="379"/>
      <c r="M614" s="197"/>
      <c r="N614" s="198"/>
      <c r="O614" s="379"/>
      <c r="P614" s="197"/>
      <c r="Q614" s="198"/>
      <c r="R614" s="379"/>
      <c r="S614" s="197"/>
      <c r="T614" s="198"/>
      <c r="U614" s="379"/>
      <c r="V614" s="197"/>
      <c r="W614" s="198"/>
      <c r="X614" s="379"/>
      <c r="Y614" s="184"/>
      <c r="Z614" s="184"/>
      <c r="AA614" s="184"/>
      <c r="AB614" s="184"/>
      <c r="AC614" s="8"/>
      <c r="AD614" s="8"/>
      <c r="AE614" s="8"/>
      <c r="AF614" s="8"/>
      <c r="AG614" s="191"/>
      <c r="AH614" s="191"/>
      <c r="AI614" s="191"/>
      <c r="AJ614" s="8"/>
      <c r="AK614" s="8"/>
      <c r="AL614" s="8"/>
      <c r="AM614" s="8"/>
      <c r="AN614" s="8"/>
      <c r="AO614" s="8"/>
      <c r="AP614" s="8"/>
      <c r="AQ614" s="8"/>
      <c r="AR614" s="8"/>
      <c r="AS614" s="8"/>
      <c r="AT614" s="8"/>
    </row>
    <row r="615">
      <c r="A615" s="197"/>
      <c r="B615" s="198"/>
      <c r="C615" s="379"/>
      <c r="D615" s="197"/>
      <c r="E615" s="198"/>
      <c r="F615" s="379"/>
      <c r="G615" s="197"/>
      <c r="H615" s="198"/>
      <c r="I615" s="379"/>
      <c r="J615" s="197"/>
      <c r="K615" s="198"/>
      <c r="L615" s="379"/>
      <c r="M615" s="197"/>
      <c r="N615" s="198"/>
      <c r="O615" s="379"/>
      <c r="P615" s="197"/>
      <c r="Q615" s="198"/>
      <c r="R615" s="379"/>
      <c r="S615" s="197"/>
      <c r="T615" s="198"/>
      <c r="U615" s="379"/>
      <c r="V615" s="197"/>
      <c r="W615" s="198"/>
      <c r="X615" s="379"/>
      <c r="Y615" s="184"/>
      <c r="Z615" s="184"/>
      <c r="AA615" s="184"/>
      <c r="AB615" s="184"/>
      <c r="AC615" s="8"/>
      <c r="AD615" s="8"/>
      <c r="AE615" s="8"/>
      <c r="AF615" s="8"/>
      <c r="AG615" s="191"/>
      <c r="AH615" s="191"/>
      <c r="AI615" s="191"/>
      <c r="AJ615" s="8"/>
      <c r="AK615" s="8"/>
      <c r="AL615" s="8"/>
      <c r="AM615" s="8"/>
      <c r="AN615" s="8"/>
      <c r="AO615" s="8"/>
      <c r="AP615" s="8"/>
      <c r="AQ615" s="8"/>
      <c r="AR615" s="8"/>
      <c r="AS615" s="8"/>
      <c r="AT615" s="8"/>
    </row>
    <row r="616">
      <c r="A616" s="197"/>
      <c r="B616" s="198"/>
      <c r="C616" s="379"/>
      <c r="D616" s="197"/>
      <c r="E616" s="198"/>
      <c r="F616" s="379"/>
      <c r="G616" s="197"/>
      <c r="H616" s="198"/>
      <c r="I616" s="379"/>
      <c r="J616" s="197"/>
      <c r="K616" s="198"/>
      <c r="L616" s="379"/>
      <c r="M616" s="197"/>
      <c r="N616" s="198"/>
      <c r="O616" s="379"/>
      <c r="P616" s="197"/>
      <c r="Q616" s="198"/>
      <c r="R616" s="379"/>
      <c r="S616" s="197"/>
      <c r="T616" s="198"/>
      <c r="U616" s="379"/>
      <c r="V616" s="197"/>
      <c r="W616" s="198"/>
      <c r="X616" s="379"/>
      <c r="Y616" s="184"/>
      <c r="Z616" s="184"/>
      <c r="AA616" s="184"/>
      <c r="AB616" s="184"/>
      <c r="AC616" s="8"/>
      <c r="AD616" s="8"/>
      <c r="AE616" s="8"/>
      <c r="AF616" s="8"/>
      <c r="AG616" s="191"/>
      <c r="AH616" s="191"/>
      <c r="AI616" s="191"/>
      <c r="AJ616" s="8"/>
      <c r="AK616" s="8"/>
      <c r="AL616" s="8"/>
      <c r="AM616" s="8"/>
      <c r="AN616" s="8"/>
      <c r="AO616" s="8"/>
      <c r="AP616" s="8"/>
      <c r="AQ616" s="8"/>
      <c r="AR616" s="8"/>
      <c r="AS616" s="8"/>
      <c r="AT616" s="8"/>
    </row>
    <row r="617">
      <c r="A617" s="197"/>
      <c r="B617" s="198"/>
      <c r="C617" s="379"/>
      <c r="D617" s="197"/>
      <c r="E617" s="198"/>
      <c r="F617" s="379"/>
      <c r="G617" s="197"/>
      <c r="H617" s="198"/>
      <c r="I617" s="379"/>
      <c r="J617" s="197"/>
      <c r="K617" s="198"/>
      <c r="L617" s="379"/>
      <c r="M617" s="197"/>
      <c r="N617" s="198"/>
      <c r="O617" s="379"/>
      <c r="P617" s="197"/>
      <c r="Q617" s="198"/>
      <c r="R617" s="379"/>
      <c r="S617" s="197"/>
      <c r="T617" s="198"/>
      <c r="U617" s="379"/>
      <c r="V617" s="197"/>
      <c r="W617" s="198"/>
      <c r="X617" s="379"/>
      <c r="Y617" s="184"/>
      <c r="Z617" s="184"/>
      <c r="AA617" s="184"/>
      <c r="AB617" s="184"/>
      <c r="AC617" s="8"/>
      <c r="AD617" s="8"/>
      <c r="AE617" s="8"/>
      <c r="AF617" s="8"/>
      <c r="AG617" s="191"/>
      <c r="AH617" s="191"/>
      <c r="AI617" s="191"/>
      <c r="AJ617" s="8"/>
      <c r="AK617" s="8"/>
      <c r="AL617" s="8"/>
      <c r="AM617" s="8"/>
      <c r="AN617" s="8"/>
      <c r="AO617" s="8"/>
      <c r="AP617" s="8"/>
      <c r="AQ617" s="8"/>
      <c r="AR617" s="8"/>
      <c r="AS617" s="8"/>
      <c r="AT617" s="8"/>
    </row>
    <row r="618">
      <c r="A618" s="197"/>
      <c r="B618" s="198"/>
      <c r="C618" s="379"/>
      <c r="D618" s="197"/>
      <c r="E618" s="198"/>
      <c r="F618" s="379"/>
      <c r="G618" s="197"/>
      <c r="H618" s="198"/>
      <c r="I618" s="379"/>
      <c r="J618" s="197"/>
      <c r="K618" s="198"/>
      <c r="L618" s="379"/>
      <c r="M618" s="197"/>
      <c r="N618" s="198"/>
      <c r="O618" s="379"/>
      <c r="P618" s="197"/>
      <c r="Q618" s="198"/>
      <c r="R618" s="379"/>
      <c r="S618" s="197"/>
      <c r="T618" s="198"/>
      <c r="U618" s="379"/>
      <c r="V618" s="197"/>
      <c r="W618" s="198"/>
      <c r="X618" s="379"/>
      <c r="Y618" s="184"/>
      <c r="Z618" s="184"/>
      <c r="AA618" s="184"/>
      <c r="AB618" s="184"/>
      <c r="AC618" s="8"/>
      <c r="AD618" s="8"/>
      <c r="AE618" s="8"/>
      <c r="AF618" s="8"/>
      <c r="AG618" s="191"/>
      <c r="AH618" s="191"/>
      <c r="AI618" s="191"/>
      <c r="AJ618" s="8"/>
      <c r="AK618" s="8"/>
      <c r="AL618" s="8"/>
      <c r="AM618" s="8"/>
      <c r="AN618" s="8"/>
      <c r="AO618" s="8"/>
      <c r="AP618" s="8"/>
      <c r="AQ618" s="8"/>
      <c r="AR618" s="8"/>
      <c r="AS618" s="8"/>
      <c r="AT618" s="8"/>
    </row>
    <row r="619">
      <c r="A619" s="197"/>
      <c r="B619" s="198"/>
      <c r="C619" s="379"/>
      <c r="D619" s="197"/>
      <c r="E619" s="198"/>
      <c r="F619" s="379"/>
      <c r="G619" s="197"/>
      <c r="H619" s="198"/>
      <c r="I619" s="379"/>
      <c r="J619" s="197"/>
      <c r="K619" s="198"/>
      <c r="L619" s="379"/>
      <c r="M619" s="197"/>
      <c r="N619" s="198"/>
      <c r="O619" s="379"/>
      <c r="P619" s="197"/>
      <c r="Q619" s="198"/>
      <c r="R619" s="379"/>
      <c r="S619" s="197"/>
      <c r="T619" s="198"/>
      <c r="U619" s="379"/>
      <c r="V619" s="197"/>
      <c r="W619" s="198"/>
      <c r="X619" s="379"/>
      <c r="Y619" s="184"/>
      <c r="Z619" s="184"/>
      <c r="AA619" s="184"/>
      <c r="AB619" s="184"/>
      <c r="AC619" s="8"/>
      <c r="AD619" s="8"/>
      <c r="AE619" s="8"/>
      <c r="AF619" s="8"/>
      <c r="AG619" s="191"/>
      <c r="AH619" s="191"/>
      <c r="AI619" s="191"/>
      <c r="AJ619" s="8"/>
      <c r="AK619" s="8"/>
      <c r="AL619" s="8"/>
      <c r="AM619" s="8"/>
      <c r="AN619" s="8"/>
      <c r="AO619" s="8"/>
      <c r="AP619" s="8"/>
      <c r="AQ619" s="8"/>
      <c r="AR619" s="8"/>
      <c r="AS619" s="8"/>
      <c r="AT619" s="8"/>
    </row>
    <row r="620">
      <c r="A620" s="197"/>
      <c r="B620" s="198"/>
      <c r="C620" s="379"/>
      <c r="D620" s="197"/>
      <c r="E620" s="198"/>
      <c r="F620" s="379"/>
      <c r="G620" s="197"/>
      <c r="H620" s="198"/>
      <c r="I620" s="379"/>
      <c r="J620" s="197"/>
      <c r="K620" s="198"/>
      <c r="L620" s="379"/>
      <c r="M620" s="197"/>
      <c r="N620" s="198"/>
      <c r="O620" s="379"/>
      <c r="P620" s="197"/>
      <c r="Q620" s="198"/>
      <c r="R620" s="379"/>
      <c r="S620" s="197"/>
      <c r="T620" s="198"/>
      <c r="U620" s="379"/>
      <c r="V620" s="197"/>
      <c r="W620" s="198"/>
      <c r="X620" s="379"/>
      <c r="Y620" s="184"/>
      <c r="Z620" s="184"/>
      <c r="AA620" s="184"/>
      <c r="AB620" s="184"/>
      <c r="AC620" s="8"/>
      <c r="AD620" s="8"/>
      <c r="AE620" s="8"/>
      <c r="AF620" s="8"/>
      <c r="AG620" s="191"/>
      <c r="AH620" s="191"/>
      <c r="AI620" s="191"/>
      <c r="AJ620" s="8"/>
      <c r="AK620" s="8"/>
      <c r="AL620" s="8"/>
      <c r="AM620" s="8"/>
      <c r="AN620" s="8"/>
      <c r="AO620" s="8"/>
      <c r="AP620" s="8"/>
      <c r="AQ620" s="8"/>
      <c r="AR620" s="8"/>
      <c r="AS620" s="8"/>
      <c r="AT620" s="8"/>
    </row>
    <row r="621">
      <c r="A621" s="197"/>
      <c r="B621" s="198"/>
      <c r="C621" s="379"/>
      <c r="D621" s="197"/>
      <c r="E621" s="198"/>
      <c r="F621" s="379"/>
      <c r="G621" s="197"/>
      <c r="H621" s="198"/>
      <c r="I621" s="379"/>
      <c r="J621" s="197"/>
      <c r="K621" s="198"/>
      <c r="L621" s="379"/>
      <c r="M621" s="197"/>
      <c r="N621" s="198"/>
      <c r="O621" s="379"/>
      <c r="P621" s="197"/>
      <c r="Q621" s="198"/>
      <c r="R621" s="379"/>
      <c r="S621" s="197"/>
      <c r="T621" s="198"/>
      <c r="U621" s="379"/>
      <c r="V621" s="197"/>
      <c r="W621" s="198"/>
      <c r="X621" s="379"/>
      <c r="Y621" s="184"/>
      <c r="Z621" s="184"/>
      <c r="AA621" s="184"/>
      <c r="AB621" s="184"/>
      <c r="AC621" s="8"/>
      <c r="AD621" s="8"/>
      <c r="AE621" s="8"/>
      <c r="AF621" s="8"/>
      <c r="AG621" s="191"/>
      <c r="AH621" s="191"/>
      <c r="AI621" s="191"/>
      <c r="AJ621" s="8"/>
      <c r="AK621" s="8"/>
      <c r="AL621" s="8"/>
      <c r="AM621" s="8"/>
      <c r="AN621" s="8"/>
      <c r="AO621" s="8"/>
      <c r="AP621" s="8"/>
      <c r="AQ621" s="8"/>
      <c r="AR621" s="8"/>
      <c r="AS621" s="8"/>
      <c r="AT621" s="8"/>
    </row>
    <row r="622">
      <c r="A622" s="197"/>
      <c r="B622" s="198"/>
      <c r="C622" s="379"/>
      <c r="D622" s="197"/>
      <c r="E622" s="198"/>
      <c r="F622" s="379"/>
      <c r="G622" s="197"/>
      <c r="H622" s="198"/>
      <c r="I622" s="379"/>
      <c r="J622" s="197"/>
      <c r="K622" s="198"/>
      <c r="L622" s="379"/>
      <c r="M622" s="197"/>
      <c r="N622" s="198"/>
      <c r="O622" s="379"/>
      <c r="P622" s="197"/>
      <c r="Q622" s="198"/>
      <c r="R622" s="379"/>
      <c r="S622" s="197"/>
      <c r="T622" s="198"/>
      <c r="U622" s="379"/>
      <c r="V622" s="197"/>
      <c r="W622" s="198"/>
      <c r="X622" s="379"/>
      <c r="Y622" s="184"/>
      <c r="Z622" s="184"/>
      <c r="AA622" s="184"/>
      <c r="AB622" s="184"/>
      <c r="AC622" s="8"/>
      <c r="AD622" s="8"/>
      <c r="AE622" s="8"/>
      <c r="AF622" s="8"/>
      <c r="AG622" s="191"/>
      <c r="AH622" s="191"/>
      <c r="AI622" s="191"/>
      <c r="AJ622" s="8"/>
      <c r="AK622" s="8"/>
      <c r="AL622" s="8"/>
      <c r="AM622" s="8"/>
      <c r="AN622" s="8"/>
      <c r="AO622" s="8"/>
      <c r="AP622" s="8"/>
      <c r="AQ622" s="8"/>
      <c r="AR622" s="8"/>
      <c r="AS622" s="8"/>
      <c r="AT622" s="8"/>
    </row>
    <row r="623">
      <c r="A623" s="197"/>
      <c r="B623" s="198"/>
      <c r="C623" s="379"/>
      <c r="D623" s="197"/>
      <c r="E623" s="198"/>
      <c r="F623" s="379"/>
      <c r="G623" s="197"/>
      <c r="H623" s="198"/>
      <c r="I623" s="379"/>
      <c r="J623" s="197"/>
      <c r="K623" s="198"/>
      <c r="L623" s="379"/>
      <c r="M623" s="197"/>
      <c r="N623" s="198"/>
      <c r="O623" s="379"/>
      <c r="P623" s="197"/>
      <c r="Q623" s="198"/>
      <c r="R623" s="379"/>
      <c r="S623" s="197"/>
      <c r="T623" s="198"/>
      <c r="U623" s="379"/>
      <c r="V623" s="197"/>
      <c r="W623" s="198"/>
      <c r="X623" s="379"/>
      <c r="Y623" s="184"/>
      <c r="Z623" s="184"/>
      <c r="AA623" s="184"/>
      <c r="AB623" s="184"/>
      <c r="AC623" s="8"/>
      <c r="AD623" s="8"/>
      <c r="AE623" s="8"/>
      <c r="AF623" s="8"/>
      <c r="AG623" s="191"/>
      <c r="AH623" s="191"/>
      <c r="AI623" s="191"/>
      <c r="AJ623" s="8"/>
      <c r="AK623" s="8"/>
      <c r="AL623" s="8"/>
      <c r="AM623" s="8"/>
      <c r="AN623" s="8"/>
      <c r="AO623" s="8"/>
      <c r="AP623" s="8"/>
      <c r="AQ623" s="8"/>
      <c r="AR623" s="8"/>
      <c r="AS623" s="8"/>
      <c r="AT623" s="8"/>
    </row>
    <row r="624">
      <c r="A624" s="197"/>
      <c r="B624" s="198"/>
      <c r="C624" s="379"/>
      <c r="D624" s="197"/>
      <c r="E624" s="198"/>
      <c r="F624" s="379"/>
      <c r="G624" s="197"/>
      <c r="H624" s="198"/>
      <c r="I624" s="379"/>
      <c r="J624" s="197"/>
      <c r="K624" s="198"/>
      <c r="L624" s="379"/>
      <c r="M624" s="197"/>
      <c r="N624" s="198"/>
      <c r="O624" s="379"/>
      <c r="P624" s="197"/>
      <c r="Q624" s="198"/>
      <c r="R624" s="379"/>
      <c r="S624" s="197"/>
      <c r="T624" s="198"/>
      <c r="U624" s="379"/>
      <c r="V624" s="197"/>
      <c r="W624" s="198"/>
      <c r="X624" s="379"/>
      <c r="Y624" s="184"/>
      <c r="Z624" s="184"/>
      <c r="AA624" s="184"/>
      <c r="AB624" s="184"/>
      <c r="AC624" s="8"/>
      <c r="AD624" s="8"/>
      <c r="AE624" s="8"/>
      <c r="AF624" s="8"/>
      <c r="AG624" s="191"/>
      <c r="AH624" s="191"/>
      <c r="AI624" s="191"/>
      <c r="AJ624" s="8"/>
      <c r="AK624" s="8"/>
      <c r="AL624" s="8"/>
      <c r="AM624" s="8"/>
      <c r="AN624" s="8"/>
      <c r="AO624" s="8"/>
      <c r="AP624" s="8"/>
      <c r="AQ624" s="8"/>
      <c r="AR624" s="8"/>
      <c r="AS624" s="8"/>
      <c r="AT624" s="8"/>
    </row>
    <row r="625">
      <c r="A625" s="197"/>
      <c r="B625" s="198"/>
      <c r="C625" s="379"/>
      <c r="D625" s="197"/>
      <c r="E625" s="198"/>
      <c r="F625" s="379"/>
      <c r="G625" s="197"/>
      <c r="H625" s="198"/>
      <c r="I625" s="379"/>
      <c r="J625" s="197"/>
      <c r="K625" s="198"/>
      <c r="L625" s="379"/>
      <c r="M625" s="197"/>
      <c r="N625" s="198"/>
      <c r="O625" s="379"/>
      <c r="P625" s="197"/>
      <c r="Q625" s="198"/>
      <c r="R625" s="379"/>
      <c r="S625" s="197"/>
      <c r="T625" s="198"/>
      <c r="U625" s="379"/>
      <c r="V625" s="197"/>
      <c r="W625" s="198"/>
      <c r="X625" s="379"/>
      <c r="Y625" s="184"/>
      <c r="Z625" s="184"/>
      <c r="AA625" s="184"/>
      <c r="AB625" s="184"/>
      <c r="AC625" s="8"/>
      <c r="AD625" s="8"/>
      <c r="AE625" s="8"/>
      <c r="AF625" s="8"/>
      <c r="AG625" s="191"/>
      <c r="AH625" s="191"/>
      <c r="AI625" s="191"/>
      <c r="AJ625" s="8"/>
      <c r="AK625" s="8"/>
      <c r="AL625" s="8"/>
      <c r="AM625" s="8"/>
      <c r="AN625" s="8"/>
      <c r="AO625" s="8"/>
      <c r="AP625" s="8"/>
      <c r="AQ625" s="8"/>
      <c r="AR625" s="8"/>
      <c r="AS625" s="8"/>
      <c r="AT625" s="8"/>
    </row>
    <row r="626">
      <c r="A626" s="197"/>
      <c r="B626" s="198"/>
      <c r="C626" s="379"/>
      <c r="D626" s="197"/>
      <c r="E626" s="198"/>
      <c r="F626" s="379"/>
      <c r="G626" s="197"/>
      <c r="H626" s="198"/>
      <c r="I626" s="379"/>
      <c r="J626" s="197"/>
      <c r="K626" s="198"/>
      <c r="L626" s="379"/>
      <c r="M626" s="197"/>
      <c r="N626" s="198"/>
      <c r="O626" s="379"/>
      <c r="P626" s="197"/>
      <c r="Q626" s="198"/>
      <c r="R626" s="379"/>
      <c r="S626" s="197"/>
      <c r="T626" s="198"/>
      <c r="U626" s="379"/>
      <c r="V626" s="197"/>
      <c r="W626" s="198"/>
      <c r="X626" s="379"/>
      <c r="Y626" s="184"/>
      <c r="Z626" s="184"/>
      <c r="AA626" s="184"/>
      <c r="AB626" s="184"/>
      <c r="AC626" s="8"/>
      <c r="AD626" s="8"/>
      <c r="AE626" s="8"/>
      <c r="AF626" s="8"/>
      <c r="AG626" s="191"/>
      <c r="AH626" s="191"/>
      <c r="AI626" s="191"/>
      <c r="AJ626" s="8"/>
      <c r="AK626" s="8"/>
      <c r="AL626" s="8"/>
      <c r="AM626" s="8"/>
      <c r="AN626" s="8"/>
      <c r="AO626" s="8"/>
      <c r="AP626" s="8"/>
      <c r="AQ626" s="8"/>
      <c r="AR626" s="8"/>
      <c r="AS626" s="8"/>
      <c r="AT626" s="8"/>
    </row>
    <row r="627">
      <c r="A627" s="197"/>
      <c r="B627" s="198"/>
      <c r="C627" s="379"/>
      <c r="D627" s="197"/>
      <c r="E627" s="198"/>
      <c r="F627" s="379"/>
      <c r="G627" s="197"/>
      <c r="H627" s="198"/>
      <c r="I627" s="379"/>
      <c r="J627" s="197"/>
      <c r="K627" s="198"/>
      <c r="L627" s="379"/>
      <c r="M627" s="197"/>
      <c r="N627" s="198"/>
      <c r="O627" s="379"/>
      <c r="P627" s="197"/>
      <c r="Q627" s="198"/>
      <c r="R627" s="379"/>
      <c r="S627" s="197"/>
      <c r="T627" s="198"/>
      <c r="U627" s="379"/>
      <c r="V627" s="197"/>
      <c r="W627" s="198"/>
      <c r="X627" s="379"/>
      <c r="Y627" s="184"/>
      <c r="Z627" s="184"/>
      <c r="AA627" s="184"/>
      <c r="AB627" s="184"/>
      <c r="AC627" s="8"/>
      <c r="AD627" s="8"/>
      <c r="AE627" s="8"/>
      <c r="AF627" s="8"/>
      <c r="AG627" s="191"/>
      <c r="AH627" s="191"/>
      <c r="AI627" s="191"/>
      <c r="AJ627" s="8"/>
      <c r="AK627" s="8"/>
      <c r="AL627" s="8"/>
      <c r="AM627" s="8"/>
      <c r="AN627" s="8"/>
      <c r="AO627" s="8"/>
      <c r="AP627" s="8"/>
      <c r="AQ627" s="8"/>
      <c r="AR627" s="8"/>
      <c r="AS627" s="8"/>
      <c r="AT627" s="8"/>
    </row>
    <row r="628">
      <c r="A628" s="197"/>
      <c r="B628" s="198"/>
      <c r="C628" s="379"/>
      <c r="D628" s="197"/>
      <c r="E628" s="198"/>
      <c r="F628" s="379"/>
      <c r="G628" s="197"/>
      <c r="H628" s="198"/>
      <c r="I628" s="379"/>
      <c r="J628" s="197"/>
      <c r="K628" s="198"/>
      <c r="L628" s="379"/>
      <c r="M628" s="197"/>
      <c r="N628" s="198"/>
      <c r="O628" s="379"/>
      <c r="P628" s="197"/>
      <c r="Q628" s="198"/>
      <c r="R628" s="379"/>
      <c r="S628" s="197"/>
      <c r="T628" s="198"/>
      <c r="U628" s="379"/>
      <c r="V628" s="197"/>
      <c r="W628" s="198"/>
      <c r="X628" s="379"/>
      <c r="Y628" s="184"/>
      <c r="Z628" s="184"/>
      <c r="AA628" s="184"/>
      <c r="AB628" s="184"/>
      <c r="AC628" s="8"/>
      <c r="AD628" s="8"/>
      <c r="AE628" s="8"/>
      <c r="AF628" s="8"/>
      <c r="AG628" s="191"/>
      <c r="AH628" s="191"/>
      <c r="AI628" s="191"/>
      <c r="AJ628" s="8"/>
      <c r="AK628" s="8"/>
      <c r="AL628" s="8"/>
      <c r="AM628" s="8"/>
      <c r="AN628" s="8"/>
      <c r="AO628" s="8"/>
      <c r="AP628" s="8"/>
      <c r="AQ628" s="8"/>
      <c r="AR628" s="8"/>
      <c r="AS628" s="8"/>
      <c r="AT628" s="8"/>
    </row>
    <row r="629">
      <c r="A629" s="197"/>
      <c r="B629" s="198"/>
      <c r="C629" s="379"/>
      <c r="D629" s="197"/>
      <c r="E629" s="198"/>
      <c r="F629" s="379"/>
      <c r="G629" s="197"/>
      <c r="H629" s="198"/>
      <c r="I629" s="379"/>
      <c r="J629" s="197"/>
      <c r="K629" s="198"/>
      <c r="L629" s="379"/>
      <c r="M629" s="197"/>
      <c r="N629" s="198"/>
      <c r="O629" s="379"/>
      <c r="P629" s="197"/>
      <c r="Q629" s="198"/>
      <c r="R629" s="379"/>
      <c r="S629" s="197"/>
      <c r="T629" s="198"/>
      <c r="U629" s="379"/>
      <c r="V629" s="197"/>
      <c r="W629" s="198"/>
      <c r="X629" s="379"/>
      <c r="Y629" s="184"/>
      <c r="Z629" s="184"/>
      <c r="AA629" s="184"/>
      <c r="AB629" s="184"/>
      <c r="AC629" s="8"/>
      <c r="AD629" s="8"/>
      <c r="AE629" s="8"/>
      <c r="AF629" s="8"/>
      <c r="AG629" s="191"/>
      <c r="AH629" s="191"/>
      <c r="AI629" s="191"/>
      <c r="AJ629" s="8"/>
      <c r="AK629" s="8"/>
      <c r="AL629" s="8"/>
      <c r="AM629" s="8"/>
      <c r="AN629" s="8"/>
      <c r="AO629" s="8"/>
      <c r="AP629" s="8"/>
      <c r="AQ629" s="8"/>
      <c r="AR629" s="8"/>
      <c r="AS629" s="8"/>
      <c r="AT629" s="8"/>
    </row>
    <row r="630">
      <c r="A630" s="197"/>
      <c r="B630" s="198"/>
      <c r="C630" s="379"/>
      <c r="D630" s="197"/>
      <c r="E630" s="198"/>
      <c r="F630" s="379"/>
      <c r="G630" s="197"/>
      <c r="H630" s="198"/>
      <c r="I630" s="379"/>
      <c r="J630" s="197"/>
      <c r="K630" s="198"/>
      <c r="L630" s="379"/>
      <c r="M630" s="197"/>
      <c r="N630" s="198"/>
      <c r="O630" s="379"/>
      <c r="P630" s="197"/>
      <c r="Q630" s="198"/>
      <c r="R630" s="379"/>
      <c r="S630" s="197"/>
      <c r="T630" s="198"/>
      <c r="U630" s="379"/>
      <c r="V630" s="197"/>
      <c r="W630" s="198"/>
      <c r="X630" s="379"/>
      <c r="Y630" s="184"/>
      <c r="Z630" s="184"/>
      <c r="AA630" s="184"/>
      <c r="AB630" s="184"/>
      <c r="AC630" s="8"/>
      <c r="AD630" s="8"/>
      <c r="AE630" s="8"/>
      <c r="AF630" s="8"/>
      <c r="AG630" s="191"/>
      <c r="AH630" s="191"/>
      <c r="AI630" s="191"/>
      <c r="AJ630" s="8"/>
      <c r="AK630" s="8"/>
      <c r="AL630" s="8"/>
      <c r="AM630" s="8"/>
      <c r="AN630" s="8"/>
      <c r="AO630" s="8"/>
      <c r="AP630" s="8"/>
      <c r="AQ630" s="8"/>
      <c r="AR630" s="8"/>
      <c r="AS630" s="8"/>
      <c r="AT630" s="8"/>
    </row>
    <row r="631">
      <c r="A631" s="197"/>
      <c r="B631" s="198"/>
      <c r="C631" s="379"/>
      <c r="D631" s="197"/>
      <c r="E631" s="198"/>
      <c r="F631" s="379"/>
      <c r="G631" s="197"/>
      <c r="H631" s="198"/>
      <c r="I631" s="379"/>
      <c r="J631" s="197"/>
      <c r="K631" s="198"/>
      <c r="L631" s="379"/>
      <c r="M631" s="197"/>
      <c r="N631" s="198"/>
      <c r="O631" s="379"/>
      <c r="P631" s="197"/>
      <c r="Q631" s="198"/>
      <c r="R631" s="379"/>
      <c r="S631" s="197"/>
      <c r="T631" s="198"/>
      <c r="U631" s="379"/>
      <c r="V631" s="197"/>
      <c r="W631" s="198"/>
      <c r="X631" s="379"/>
      <c r="Y631" s="184"/>
      <c r="Z631" s="184"/>
      <c r="AA631" s="184"/>
      <c r="AB631" s="184"/>
      <c r="AC631" s="8"/>
      <c r="AD631" s="8"/>
      <c r="AE631" s="8"/>
      <c r="AF631" s="8"/>
      <c r="AG631" s="191"/>
      <c r="AH631" s="191"/>
      <c r="AI631" s="191"/>
      <c r="AJ631" s="8"/>
      <c r="AK631" s="8"/>
      <c r="AL631" s="8"/>
      <c r="AM631" s="8"/>
      <c r="AN631" s="8"/>
      <c r="AO631" s="8"/>
      <c r="AP631" s="8"/>
      <c r="AQ631" s="8"/>
      <c r="AR631" s="8"/>
      <c r="AS631" s="8"/>
      <c r="AT631" s="8"/>
    </row>
    <row r="632">
      <c r="A632" s="197"/>
      <c r="B632" s="198"/>
      <c r="C632" s="379"/>
      <c r="D632" s="197"/>
      <c r="E632" s="198"/>
      <c r="F632" s="379"/>
      <c r="G632" s="197"/>
      <c r="H632" s="198"/>
      <c r="I632" s="379"/>
      <c r="J632" s="197"/>
      <c r="K632" s="198"/>
      <c r="L632" s="379"/>
      <c r="M632" s="197"/>
      <c r="N632" s="198"/>
      <c r="O632" s="379"/>
      <c r="P632" s="197"/>
      <c r="Q632" s="198"/>
      <c r="R632" s="379"/>
      <c r="S632" s="197"/>
      <c r="T632" s="198"/>
      <c r="U632" s="379"/>
      <c r="V632" s="197"/>
      <c r="W632" s="198"/>
      <c r="X632" s="379"/>
      <c r="Y632" s="184"/>
      <c r="Z632" s="184"/>
      <c r="AA632" s="184"/>
      <c r="AB632" s="184"/>
      <c r="AC632" s="8"/>
      <c r="AD632" s="8"/>
      <c r="AE632" s="8"/>
      <c r="AF632" s="8"/>
      <c r="AG632" s="191"/>
      <c r="AH632" s="191"/>
      <c r="AI632" s="191"/>
      <c r="AJ632" s="8"/>
      <c r="AK632" s="8"/>
      <c r="AL632" s="8"/>
      <c r="AM632" s="8"/>
      <c r="AN632" s="8"/>
      <c r="AO632" s="8"/>
      <c r="AP632" s="8"/>
      <c r="AQ632" s="8"/>
      <c r="AR632" s="8"/>
      <c r="AS632" s="8"/>
      <c r="AT632" s="8"/>
    </row>
    <row r="633">
      <c r="A633" s="197"/>
      <c r="B633" s="198"/>
      <c r="C633" s="379"/>
      <c r="D633" s="197"/>
      <c r="E633" s="198"/>
      <c r="F633" s="379"/>
      <c r="G633" s="197"/>
      <c r="H633" s="198"/>
      <c r="I633" s="379"/>
      <c r="J633" s="197"/>
      <c r="K633" s="198"/>
      <c r="L633" s="379"/>
      <c r="M633" s="197"/>
      <c r="N633" s="198"/>
      <c r="O633" s="379"/>
      <c r="P633" s="197"/>
      <c r="Q633" s="198"/>
      <c r="R633" s="379"/>
      <c r="S633" s="197"/>
      <c r="T633" s="198"/>
      <c r="U633" s="379"/>
      <c r="V633" s="197"/>
      <c r="W633" s="198"/>
      <c r="X633" s="379"/>
      <c r="Y633" s="184"/>
      <c r="Z633" s="184"/>
      <c r="AA633" s="184"/>
      <c r="AB633" s="184"/>
      <c r="AC633" s="8"/>
      <c r="AD633" s="8"/>
      <c r="AE633" s="8"/>
      <c r="AF633" s="8"/>
      <c r="AG633" s="191"/>
      <c r="AH633" s="191"/>
      <c r="AI633" s="191"/>
      <c r="AJ633" s="8"/>
      <c r="AK633" s="8"/>
      <c r="AL633" s="8"/>
      <c r="AM633" s="8"/>
      <c r="AN633" s="8"/>
      <c r="AO633" s="8"/>
      <c r="AP633" s="8"/>
      <c r="AQ633" s="8"/>
      <c r="AR633" s="8"/>
      <c r="AS633" s="8"/>
      <c r="AT633" s="8"/>
    </row>
    <row r="634">
      <c r="A634" s="197"/>
      <c r="B634" s="198"/>
      <c r="C634" s="379"/>
      <c r="D634" s="197"/>
      <c r="E634" s="198"/>
      <c r="F634" s="379"/>
      <c r="G634" s="197"/>
      <c r="H634" s="198"/>
      <c r="I634" s="379"/>
      <c r="J634" s="197"/>
      <c r="K634" s="198"/>
      <c r="L634" s="379"/>
      <c r="M634" s="197"/>
      <c r="N634" s="198"/>
      <c r="O634" s="379"/>
      <c r="P634" s="197"/>
      <c r="Q634" s="198"/>
      <c r="R634" s="379"/>
      <c r="S634" s="197"/>
      <c r="T634" s="198"/>
      <c r="U634" s="379"/>
      <c r="V634" s="197"/>
      <c r="W634" s="198"/>
      <c r="X634" s="379"/>
      <c r="Y634" s="184"/>
      <c r="Z634" s="184"/>
      <c r="AA634" s="184"/>
      <c r="AB634" s="184"/>
      <c r="AC634" s="8"/>
      <c r="AD634" s="8"/>
      <c r="AE634" s="8"/>
      <c r="AF634" s="8"/>
      <c r="AG634" s="191"/>
      <c r="AH634" s="191"/>
      <c r="AI634" s="191"/>
      <c r="AJ634" s="8"/>
      <c r="AK634" s="8"/>
      <c r="AL634" s="8"/>
      <c r="AM634" s="8"/>
      <c r="AN634" s="8"/>
      <c r="AO634" s="8"/>
      <c r="AP634" s="8"/>
      <c r="AQ634" s="8"/>
      <c r="AR634" s="8"/>
      <c r="AS634" s="8"/>
      <c r="AT634" s="8"/>
    </row>
    <row r="635">
      <c r="A635" s="197"/>
      <c r="B635" s="198"/>
      <c r="C635" s="379"/>
      <c r="D635" s="197"/>
      <c r="E635" s="198"/>
      <c r="F635" s="379"/>
      <c r="G635" s="197"/>
      <c r="H635" s="198"/>
      <c r="I635" s="379"/>
      <c r="J635" s="197"/>
      <c r="K635" s="198"/>
      <c r="L635" s="379"/>
      <c r="M635" s="197"/>
      <c r="N635" s="198"/>
      <c r="O635" s="379"/>
      <c r="P635" s="197"/>
      <c r="Q635" s="198"/>
      <c r="R635" s="379"/>
      <c r="S635" s="197"/>
      <c r="T635" s="198"/>
      <c r="U635" s="379"/>
      <c r="V635" s="197"/>
      <c r="W635" s="198"/>
      <c r="X635" s="379"/>
      <c r="Y635" s="184"/>
      <c r="Z635" s="184"/>
      <c r="AA635" s="184"/>
      <c r="AB635" s="184"/>
      <c r="AC635" s="8"/>
      <c r="AD635" s="8"/>
      <c r="AE635" s="8"/>
      <c r="AF635" s="8"/>
      <c r="AG635" s="191"/>
      <c r="AH635" s="191"/>
      <c r="AI635" s="191"/>
      <c r="AJ635" s="8"/>
      <c r="AK635" s="8"/>
      <c r="AL635" s="8"/>
      <c r="AM635" s="8"/>
      <c r="AN635" s="8"/>
      <c r="AO635" s="8"/>
      <c r="AP635" s="8"/>
      <c r="AQ635" s="8"/>
      <c r="AR635" s="8"/>
      <c r="AS635" s="8"/>
      <c r="AT635" s="8"/>
    </row>
    <row r="636">
      <c r="A636" s="197"/>
      <c r="B636" s="198"/>
      <c r="C636" s="379"/>
      <c r="D636" s="197"/>
      <c r="E636" s="198"/>
      <c r="F636" s="379"/>
      <c r="G636" s="197"/>
      <c r="H636" s="198"/>
      <c r="I636" s="379"/>
      <c r="J636" s="197"/>
      <c r="K636" s="198"/>
      <c r="L636" s="379"/>
      <c r="M636" s="197"/>
      <c r="N636" s="198"/>
      <c r="O636" s="379"/>
      <c r="P636" s="197"/>
      <c r="Q636" s="198"/>
      <c r="R636" s="379"/>
      <c r="S636" s="197"/>
      <c r="T636" s="198"/>
      <c r="U636" s="379"/>
      <c r="V636" s="197"/>
      <c r="W636" s="198"/>
      <c r="X636" s="379"/>
      <c r="Y636" s="184"/>
      <c r="Z636" s="184"/>
      <c r="AA636" s="184"/>
      <c r="AB636" s="184"/>
      <c r="AC636" s="8"/>
      <c r="AD636" s="8"/>
      <c r="AE636" s="8"/>
      <c r="AF636" s="8"/>
      <c r="AG636" s="191"/>
      <c r="AH636" s="191"/>
      <c r="AI636" s="191"/>
      <c r="AJ636" s="8"/>
      <c r="AK636" s="8"/>
      <c r="AL636" s="8"/>
      <c r="AM636" s="8"/>
      <c r="AN636" s="8"/>
      <c r="AO636" s="8"/>
      <c r="AP636" s="8"/>
      <c r="AQ636" s="8"/>
      <c r="AR636" s="8"/>
      <c r="AS636" s="8"/>
      <c r="AT636" s="8"/>
    </row>
    <row r="637">
      <c r="A637" s="197"/>
      <c r="B637" s="198"/>
      <c r="C637" s="379"/>
      <c r="D637" s="197"/>
      <c r="E637" s="198"/>
      <c r="F637" s="379"/>
      <c r="G637" s="197"/>
      <c r="H637" s="198"/>
      <c r="I637" s="379"/>
      <c r="J637" s="197"/>
      <c r="K637" s="198"/>
      <c r="L637" s="379"/>
      <c r="M637" s="197"/>
      <c r="N637" s="198"/>
      <c r="O637" s="379"/>
      <c r="P637" s="197"/>
      <c r="Q637" s="198"/>
      <c r="R637" s="379"/>
      <c r="S637" s="197"/>
      <c r="T637" s="198"/>
      <c r="U637" s="379"/>
      <c r="V637" s="197"/>
      <c r="W637" s="198"/>
      <c r="X637" s="379"/>
      <c r="Y637" s="184"/>
      <c r="Z637" s="184"/>
      <c r="AA637" s="184"/>
      <c r="AB637" s="184"/>
      <c r="AC637" s="8"/>
      <c r="AD637" s="8"/>
      <c r="AE637" s="8"/>
      <c r="AF637" s="8"/>
      <c r="AG637" s="191"/>
      <c r="AH637" s="191"/>
      <c r="AI637" s="191"/>
      <c r="AJ637" s="8"/>
      <c r="AK637" s="8"/>
      <c r="AL637" s="8"/>
      <c r="AM637" s="8"/>
      <c r="AN637" s="8"/>
      <c r="AO637" s="8"/>
      <c r="AP637" s="8"/>
      <c r="AQ637" s="8"/>
      <c r="AR637" s="8"/>
      <c r="AS637" s="8"/>
      <c r="AT637" s="8"/>
    </row>
    <row r="638">
      <c r="A638" s="197"/>
      <c r="B638" s="198"/>
      <c r="C638" s="379"/>
      <c r="D638" s="197"/>
      <c r="E638" s="198"/>
      <c r="F638" s="379"/>
      <c r="G638" s="197"/>
      <c r="H638" s="198"/>
      <c r="I638" s="379"/>
      <c r="J638" s="197"/>
      <c r="K638" s="198"/>
      <c r="L638" s="379"/>
      <c r="M638" s="197"/>
      <c r="N638" s="198"/>
      <c r="O638" s="379"/>
      <c r="P638" s="197"/>
      <c r="Q638" s="198"/>
      <c r="R638" s="379"/>
      <c r="S638" s="197"/>
      <c r="T638" s="198"/>
      <c r="U638" s="379"/>
      <c r="V638" s="197"/>
      <c r="W638" s="198"/>
      <c r="X638" s="379"/>
      <c r="Y638" s="184"/>
      <c r="Z638" s="184"/>
      <c r="AA638" s="184"/>
      <c r="AB638" s="184"/>
      <c r="AC638" s="8"/>
      <c r="AD638" s="8"/>
      <c r="AE638" s="8"/>
      <c r="AF638" s="8"/>
      <c r="AG638" s="191"/>
      <c r="AH638" s="191"/>
      <c r="AI638" s="191"/>
      <c r="AJ638" s="8"/>
      <c r="AK638" s="8"/>
      <c r="AL638" s="8"/>
      <c r="AM638" s="8"/>
      <c r="AN638" s="8"/>
      <c r="AO638" s="8"/>
      <c r="AP638" s="8"/>
      <c r="AQ638" s="8"/>
      <c r="AR638" s="8"/>
      <c r="AS638" s="8"/>
      <c r="AT638" s="8"/>
    </row>
    <row r="639">
      <c r="A639" s="197"/>
      <c r="B639" s="198"/>
      <c r="C639" s="379"/>
      <c r="D639" s="197"/>
      <c r="E639" s="198"/>
      <c r="F639" s="379"/>
      <c r="G639" s="197"/>
      <c r="H639" s="198"/>
      <c r="I639" s="379"/>
      <c r="J639" s="197"/>
      <c r="K639" s="198"/>
      <c r="L639" s="379"/>
      <c r="M639" s="197"/>
      <c r="N639" s="198"/>
      <c r="O639" s="379"/>
      <c r="P639" s="197"/>
      <c r="Q639" s="198"/>
      <c r="R639" s="379"/>
      <c r="S639" s="197"/>
      <c r="T639" s="198"/>
      <c r="U639" s="379"/>
      <c r="V639" s="197"/>
      <c r="W639" s="198"/>
      <c r="X639" s="379"/>
      <c r="Y639" s="184"/>
      <c r="Z639" s="184"/>
      <c r="AA639" s="184"/>
      <c r="AB639" s="184"/>
      <c r="AC639" s="8"/>
      <c r="AD639" s="8"/>
      <c r="AE639" s="8"/>
      <c r="AF639" s="8"/>
      <c r="AG639" s="191"/>
      <c r="AH639" s="191"/>
      <c r="AI639" s="191"/>
      <c r="AJ639" s="8"/>
      <c r="AK639" s="8"/>
      <c r="AL639" s="8"/>
      <c r="AM639" s="8"/>
      <c r="AN639" s="8"/>
      <c r="AO639" s="8"/>
      <c r="AP639" s="8"/>
      <c r="AQ639" s="8"/>
      <c r="AR639" s="8"/>
      <c r="AS639" s="8"/>
      <c r="AT639" s="8"/>
    </row>
    <row r="640">
      <c r="A640" s="197"/>
      <c r="B640" s="198"/>
      <c r="C640" s="379"/>
      <c r="D640" s="197"/>
      <c r="E640" s="198"/>
      <c r="F640" s="379"/>
      <c r="G640" s="197"/>
      <c r="H640" s="198"/>
      <c r="I640" s="379"/>
      <c r="J640" s="197"/>
      <c r="K640" s="198"/>
      <c r="L640" s="379"/>
      <c r="M640" s="197"/>
      <c r="N640" s="198"/>
      <c r="O640" s="379"/>
      <c r="P640" s="197"/>
      <c r="Q640" s="198"/>
      <c r="R640" s="379"/>
      <c r="S640" s="197"/>
      <c r="T640" s="198"/>
      <c r="U640" s="379"/>
      <c r="V640" s="197"/>
      <c r="W640" s="198"/>
      <c r="X640" s="379"/>
      <c r="Y640" s="184"/>
      <c r="Z640" s="184"/>
      <c r="AA640" s="184"/>
      <c r="AB640" s="184"/>
      <c r="AC640" s="8"/>
      <c r="AD640" s="8"/>
      <c r="AE640" s="8"/>
      <c r="AF640" s="8"/>
      <c r="AG640" s="191"/>
      <c r="AH640" s="191"/>
      <c r="AI640" s="191"/>
      <c r="AJ640" s="8"/>
      <c r="AK640" s="8"/>
      <c r="AL640" s="8"/>
      <c r="AM640" s="8"/>
      <c r="AN640" s="8"/>
      <c r="AO640" s="8"/>
      <c r="AP640" s="8"/>
      <c r="AQ640" s="8"/>
      <c r="AR640" s="8"/>
      <c r="AS640" s="8"/>
      <c r="AT640" s="8"/>
    </row>
    <row r="641">
      <c r="A641" s="197"/>
      <c r="B641" s="198"/>
      <c r="C641" s="379"/>
      <c r="D641" s="197"/>
      <c r="E641" s="198"/>
      <c r="F641" s="379"/>
      <c r="G641" s="197"/>
      <c r="H641" s="198"/>
      <c r="I641" s="379"/>
      <c r="J641" s="197"/>
      <c r="K641" s="198"/>
      <c r="L641" s="379"/>
      <c r="M641" s="197"/>
      <c r="N641" s="198"/>
      <c r="O641" s="379"/>
      <c r="P641" s="197"/>
      <c r="Q641" s="198"/>
      <c r="R641" s="379"/>
      <c r="S641" s="197"/>
      <c r="T641" s="198"/>
      <c r="U641" s="379"/>
      <c r="V641" s="197"/>
      <c r="W641" s="198"/>
      <c r="X641" s="379"/>
      <c r="Y641" s="184"/>
      <c r="Z641" s="184"/>
      <c r="AA641" s="184"/>
      <c r="AB641" s="184"/>
      <c r="AC641" s="8"/>
      <c r="AD641" s="8"/>
      <c r="AE641" s="8"/>
      <c r="AF641" s="8"/>
      <c r="AG641" s="191"/>
      <c r="AH641" s="191"/>
      <c r="AI641" s="191"/>
      <c r="AJ641" s="8"/>
      <c r="AK641" s="8"/>
      <c r="AL641" s="8"/>
      <c r="AM641" s="8"/>
      <c r="AN641" s="8"/>
      <c r="AO641" s="8"/>
      <c r="AP641" s="8"/>
      <c r="AQ641" s="8"/>
      <c r="AR641" s="8"/>
      <c r="AS641" s="8"/>
      <c r="AT641" s="8"/>
    </row>
    <row r="642">
      <c r="A642" s="197"/>
      <c r="B642" s="198"/>
      <c r="C642" s="379"/>
      <c r="D642" s="197"/>
      <c r="E642" s="198"/>
      <c r="F642" s="379"/>
      <c r="G642" s="197"/>
      <c r="H642" s="198"/>
      <c r="I642" s="379"/>
      <c r="J642" s="197"/>
      <c r="K642" s="198"/>
      <c r="L642" s="379"/>
      <c r="M642" s="197"/>
      <c r="N642" s="198"/>
      <c r="O642" s="379"/>
      <c r="P642" s="197"/>
      <c r="Q642" s="198"/>
      <c r="R642" s="379"/>
      <c r="S642" s="197"/>
      <c r="T642" s="198"/>
      <c r="U642" s="379"/>
      <c r="V642" s="197"/>
      <c r="W642" s="198"/>
      <c r="X642" s="379"/>
      <c r="Y642" s="184"/>
      <c r="Z642" s="184"/>
      <c r="AA642" s="184"/>
      <c r="AB642" s="184"/>
      <c r="AC642" s="8"/>
      <c r="AD642" s="8"/>
      <c r="AE642" s="8"/>
      <c r="AF642" s="8"/>
      <c r="AG642" s="191"/>
      <c r="AH642" s="191"/>
      <c r="AI642" s="191"/>
      <c r="AJ642" s="8"/>
      <c r="AK642" s="8"/>
      <c r="AL642" s="8"/>
      <c r="AM642" s="8"/>
      <c r="AN642" s="8"/>
      <c r="AO642" s="8"/>
      <c r="AP642" s="8"/>
      <c r="AQ642" s="8"/>
      <c r="AR642" s="8"/>
      <c r="AS642" s="8"/>
      <c r="AT642" s="8"/>
    </row>
    <row r="643">
      <c r="A643" s="197"/>
      <c r="B643" s="198"/>
      <c r="C643" s="379"/>
      <c r="D643" s="197"/>
      <c r="E643" s="198"/>
      <c r="F643" s="379"/>
      <c r="G643" s="197"/>
      <c r="H643" s="198"/>
      <c r="I643" s="379"/>
      <c r="J643" s="197"/>
      <c r="K643" s="198"/>
      <c r="L643" s="379"/>
      <c r="M643" s="197"/>
      <c r="N643" s="198"/>
      <c r="O643" s="379"/>
      <c r="P643" s="197"/>
      <c r="Q643" s="198"/>
      <c r="R643" s="379"/>
      <c r="S643" s="197"/>
      <c r="T643" s="198"/>
      <c r="U643" s="379"/>
      <c r="V643" s="197"/>
      <c r="W643" s="198"/>
      <c r="X643" s="379"/>
      <c r="Y643" s="184"/>
      <c r="Z643" s="184"/>
      <c r="AA643" s="184"/>
      <c r="AB643" s="184"/>
      <c r="AC643" s="8"/>
      <c r="AD643" s="8"/>
      <c r="AE643" s="8"/>
      <c r="AF643" s="8"/>
      <c r="AG643" s="191"/>
      <c r="AH643" s="191"/>
      <c r="AI643" s="191"/>
      <c r="AJ643" s="8"/>
      <c r="AK643" s="8"/>
      <c r="AL643" s="8"/>
      <c r="AM643" s="8"/>
      <c r="AN643" s="8"/>
      <c r="AO643" s="8"/>
      <c r="AP643" s="8"/>
      <c r="AQ643" s="8"/>
      <c r="AR643" s="8"/>
      <c r="AS643" s="8"/>
      <c r="AT643" s="8"/>
    </row>
    <row r="644">
      <c r="A644" s="197"/>
      <c r="B644" s="198"/>
      <c r="C644" s="379"/>
      <c r="D644" s="197"/>
      <c r="E644" s="198"/>
      <c r="F644" s="379"/>
      <c r="G644" s="197"/>
      <c r="H644" s="198"/>
      <c r="I644" s="379"/>
      <c r="J644" s="197"/>
      <c r="K644" s="198"/>
      <c r="L644" s="379"/>
      <c r="M644" s="197"/>
      <c r="N644" s="198"/>
      <c r="O644" s="379"/>
      <c r="P644" s="197"/>
      <c r="Q644" s="198"/>
      <c r="R644" s="379"/>
      <c r="S644" s="197"/>
      <c r="T644" s="198"/>
      <c r="U644" s="379"/>
      <c r="V644" s="197"/>
      <c r="W644" s="198"/>
      <c r="X644" s="379"/>
      <c r="Y644" s="184"/>
      <c r="Z644" s="184"/>
      <c r="AA644" s="184"/>
      <c r="AB644" s="184"/>
      <c r="AC644" s="8"/>
      <c r="AD644" s="8"/>
      <c r="AE644" s="8"/>
      <c r="AF644" s="8"/>
      <c r="AG644" s="191"/>
      <c r="AH644" s="191"/>
      <c r="AI644" s="191"/>
      <c r="AJ644" s="8"/>
      <c r="AK644" s="8"/>
      <c r="AL644" s="8"/>
      <c r="AM644" s="8"/>
      <c r="AN644" s="8"/>
      <c r="AO644" s="8"/>
      <c r="AP644" s="8"/>
      <c r="AQ644" s="8"/>
      <c r="AR644" s="8"/>
      <c r="AS644" s="8"/>
      <c r="AT644" s="8"/>
    </row>
    <row r="645">
      <c r="A645" s="197"/>
      <c r="B645" s="198"/>
      <c r="C645" s="379"/>
      <c r="D645" s="197"/>
      <c r="E645" s="198"/>
      <c r="F645" s="379"/>
      <c r="G645" s="197"/>
      <c r="H645" s="198"/>
      <c r="I645" s="379"/>
      <c r="J645" s="197"/>
      <c r="K645" s="198"/>
      <c r="L645" s="379"/>
      <c r="M645" s="197"/>
      <c r="N645" s="198"/>
      <c r="O645" s="379"/>
      <c r="P645" s="197"/>
      <c r="Q645" s="198"/>
      <c r="R645" s="379"/>
      <c r="S645" s="197"/>
      <c r="T645" s="198"/>
      <c r="U645" s="379"/>
      <c r="V645" s="197"/>
      <c r="W645" s="198"/>
      <c r="X645" s="379"/>
      <c r="Y645" s="184"/>
      <c r="Z645" s="184"/>
      <c r="AA645" s="184"/>
      <c r="AB645" s="184"/>
      <c r="AC645" s="8"/>
      <c r="AD645" s="8"/>
      <c r="AE645" s="8"/>
      <c r="AF645" s="8"/>
      <c r="AG645" s="191"/>
      <c r="AH645" s="191"/>
      <c r="AI645" s="191"/>
      <c r="AJ645" s="8"/>
      <c r="AK645" s="8"/>
      <c r="AL645" s="8"/>
      <c r="AM645" s="8"/>
      <c r="AN645" s="8"/>
      <c r="AO645" s="8"/>
      <c r="AP645" s="8"/>
      <c r="AQ645" s="8"/>
      <c r="AR645" s="8"/>
      <c r="AS645" s="8"/>
      <c r="AT645" s="8"/>
    </row>
    <row r="646">
      <c r="A646" s="197"/>
      <c r="B646" s="198"/>
      <c r="C646" s="379"/>
      <c r="D646" s="197"/>
      <c r="E646" s="198"/>
      <c r="F646" s="379"/>
      <c r="G646" s="197"/>
      <c r="H646" s="198"/>
      <c r="I646" s="379"/>
      <c r="J646" s="197"/>
      <c r="K646" s="198"/>
      <c r="L646" s="379"/>
      <c r="M646" s="197"/>
      <c r="N646" s="198"/>
      <c r="O646" s="379"/>
      <c r="P646" s="197"/>
      <c r="Q646" s="198"/>
      <c r="R646" s="379"/>
      <c r="S646" s="197"/>
      <c r="T646" s="198"/>
      <c r="U646" s="379"/>
      <c r="V646" s="197"/>
      <c r="W646" s="198"/>
      <c r="X646" s="379"/>
      <c r="Y646" s="184"/>
      <c r="Z646" s="184"/>
      <c r="AA646" s="184"/>
      <c r="AB646" s="184"/>
      <c r="AC646" s="8"/>
      <c r="AD646" s="8"/>
      <c r="AE646" s="8"/>
      <c r="AF646" s="8"/>
      <c r="AG646" s="191"/>
      <c r="AH646" s="191"/>
      <c r="AI646" s="191"/>
      <c r="AJ646" s="8"/>
      <c r="AK646" s="8"/>
      <c r="AL646" s="8"/>
      <c r="AM646" s="8"/>
      <c r="AN646" s="8"/>
      <c r="AO646" s="8"/>
      <c r="AP646" s="8"/>
      <c r="AQ646" s="8"/>
      <c r="AR646" s="8"/>
      <c r="AS646" s="8"/>
      <c r="AT646" s="8"/>
    </row>
    <row r="647">
      <c r="A647" s="197"/>
      <c r="B647" s="198"/>
      <c r="C647" s="379"/>
      <c r="D647" s="197"/>
      <c r="E647" s="198"/>
      <c r="F647" s="379"/>
      <c r="G647" s="197"/>
      <c r="H647" s="198"/>
      <c r="I647" s="379"/>
      <c r="J647" s="197"/>
      <c r="K647" s="198"/>
      <c r="L647" s="379"/>
      <c r="M647" s="197"/>
      <c r="N647" s="198"/>
      <c r="O647" s="379"/>
      <c r="P647" s="197"/>
      <c r="Q647" s="198"/>
      <c r="R647" s="379"/>
      <c r="S647" s="197"/>
      <c r="T647" s="198"/>
      <c r="U647" s="379"/>
      <c r="V647" s="197"/>
      <c r="W647" s="198"/>
      <c r="X647" s="379"/>
      <c r="Y647" s="184"/>
      <c r="Z647" s="184"/>
      <c r="AA647" s="184"/>
      <c r="AB647" s="184"/>
      <c r="AC647" s="8"/>
      <c r="AD647" s="8"/>
      <c r="AE647" s="8"/>
      <c r="AF647" s="8"/>
      <c r="AG647" s="191"/>
      <c r="AH647" s="191"/>
      <c r="AI647" s="191"/>
      <c r="AJ647" s="8"/>
      <c r="AK647" s="8"/>
      <c r="AL647" s="8"/>
      <c r="AM647" s="8"/>
      <c r="AN647" s="8"/>
      <c r="AO647" s="8"/>
      <c r="AP647" s="8"/>
      <c r="AQ647" s="8"/>
      <c r="AR647" s="8"/>
      <c r="AS647" s="8"/>
      <c r="AT647" s="8"/>
    </row>
    <row r="648">
      <c r="A648" s="197"/>
      <c r="B648" s="198"/>
      <c r="C648" s="379"/>
      <c r="D648" s="197"/>
      <c r="E648" s="198"/>
      <c r="F648" s="379"/>
      <c r="G648" s="197"/>
      <c r="H648" s="198"/>
      <c r="I648" s="379"/>
      <c r="J648" s="197"/>
      <c r="K648" s="198"/>
      <c r="L648" s="379"/>
      <c r="M648" s="197"/>
      <c r="N648" s="198"/>
      <c r="O648" s="379"/>
      <c r="P648" s="197"/>
      <c r="Q648" s="198"/>
      <c r="R648" s="379"/>
      <c r="S648" s="197"/>
      <c r="T648" s="198"/>
      <c r="U648" s="379"/>
      <c r="V648" s="197"/>
      <c r="W648" s="198"/>
      <c r="X648" s="379"/>
      <c r="Y648" s="184"/>
      <c r="Z648" s="184"/>
      <c r="AA648" s="184"/>
      <c r="AB648" s="184"/>
      <c r="AC648" s="8"/>
      <c r="AD648" s="8"/>
      <c r="AE648" s="8"/>
      <c r="AF648" s="8"/>
      <c r="AG648" s="191"/>
      <c r="AH648" s="191"/>
      <c r="AI648" s="191"/>
      <c r="AJ648" s="8"/>
      <c r="AK648" s="8"/>
      <c r="AL648" s="8"/>
      <c r="AM648" s="8"/>
      <c r="AN648" s="8"/>
      <c r="AO648" s="8"/>
      <c r="AP648" s="8"/>
      <c r="AQ648" s="8"/>
      <c r="AR648" s="8"/>
      <c r="AS648" s="8"/>
      <c r="AT648" s="8"/>
    </row>
    <row r="649">
      <c r="A649" s="197"/>
      <c r="B649" s="198"/>
      <c r="C649" s="379"/>
      <c r="D649" s="197"/>
      <c r="E649" s="198"/>
      <c r="F649" s="379"/>
      <c r="G649" s="197"/>
      <c r="H649" s="198"/>
      <c r="I649" s="379"/>
      <c r="J649" s="197"/>
      <c r="K649" s="198"/>
      <c r="L649" s="379"/>
      <c r="M649" s="197"/>
      <c r="N649" s="198"/>
      <c r="O649" s="379"/>
      <c r="P649" s="197"/>
      <c r="Q649" s="198"/>
      <c r="R649" s="379"/>
      <c r="S649" s="197"/>
      <c r="T649" s="198"/>
      <c r="U649" s="379"/>
      <c r="V649" s="197"/>
      <c r="W649" s="198"/>
      <c r="X649" s="379"/>
      <c r="Y649" s="184"/>
      <c r="Z649" s="184"/>
      <c r="AA649" s="184"/>
      <c r="AB649" s="184"/>
      <c r="AC649" s="8"/>
      <c r="AD649" s="8"/>
      <c r="AE649" s="8"/>
      <c r="AF649" s="8"/>
      <c r="AG649" s="191"/>
      <c r="AH649" s="191"/>
      <c r="AI649" s="191"/>
      <c r="AJ649" s="8"/>
      <c r="AK649" s="8"/>
      <c r="AL649" s="8"/>
      <c r="AM649" s="8"/>
      <c r="AN649" s="8"/>
      <c r="AO649" s="8"/>
      <c r="AP649" s="8"/>
      <c r="AQ649" s="8"/>
      <c r="AR649" s="8"/>
      <c r="AS649" s="8"/>
      <c r="AT649" s="8"/>
    </row>
    <row r="650">
      <c r="A650" s="197"/>
      <c r="B650" s="198"/>
      <c r="C650" s="379"/>
      <c r="D650" s="197"/>
      <c r="E650" s="198"/>
      <c r="F650" s="379"/>
      <c r="G650" s="197"/>
      <c r="H650" s="198"/>
      <c r="I650" s="379"/>
      <c r="J650" s="197"/>
      <c r="K650" s="198"/>
      <c r="L650" s="379"/>
      <c r="M650" s="197"/>
      <c r="N650" s="198"/>
      <c r="O650" s="379"/>
      <c r="P650" s="197"/>
      <c r="Q650" s="198"/>
      <c r="R650" s="379"/>
      <c r="S650" s="197"/>
      <c r="T650" s="198"/>
      <c r="U650" s="379"/>
      <c r="V650" s="197"/>
      <c r="W650" s="198"/>
      <c r="X650" s="379"/>
      <c r="Y650" s="184"/>
      <c r="Z650" s="184"/>
      <c r="AA650" s="184"/>
      <c r="AB650" s="184"/>
      <c r="AC650" s="8"/>
      <c r="AD650" s="8"/>
      <c r="AE650" s="8"/>
      <c r="AF650" s="8"/>
      <c r="AG650" s="191"/>
      <c r="AH650" s="191"/>
      <c r="AI650" s="191"/>
      <c r="AJ650" s="8"/>
      <c r="AK650" s="8"/>
      <c r="AL650" s="8"/>
      <c r="AM650" s="8"/>
      <c r="AN650" s="8"/>
      <c r="AO650" s="8"/>
      <c r="AP650" s="8"/>
      <c r="AQ650" s="8"/>
      <c r="AR650" s="8"/>
      <c r="AS650" s="8"/>
      <c r="AT650" s="8"/>
    </row>
    <row r="651">
      <c r="A651" s="197"/>
      <c r="B651" s="198"/>
      <c r="C651" s="379"/>
      <c r="D651" s="197"/>
      <c r="E651" s="198"/>
      <c r="F651" s="379"/>
      <c r="G651" s="197"/>
      <c r="H651" s="198"/>
      <c r="I651" s="379"/>
      <c r="J651" s="197"/>
      <c r="K651" s="198"/>
      <c r="L651" s="379"/>
      <c r="M651" s="197"/>
      <c r="N651" s="198"/>
      <c r="O651" s="379"/>
      <c r="P651" s="197"/>
      <c r="Q651" s="198"/>
      <c r="R651" s="379"/>
      <c r="S651" s="197"/>
      <c r="T651" s="198"/>
      <c r="U651" s="379"/>
      <c r="V651" s="197"/>
      <c r="W651" s="198"/>
      <c r="X651" s="379"/>
      <c r="Y651" s="184"/>
      <c r="Z651" s="184"/>
      <c r="AA651" s="184"/>
      <c r="AB651" s="184"/>
      <c r="AC651" s="8"/>
      <c r="AD651" s="8"/>
      <c r="AE651" s="8"/>
      <c r="AF651" s="8"/>
      <c r="AG651" s="191"/>
      <c r="AH651" s="191"/>
      <c r="AI651" s="191"/>
      <c r="AJ651" s="8"/>
      <c r="AK651" s="8"/>
      <c r="AL651" s="8"/>
      <c r="AM651" s="8"/>
      <c r="AN651" s="8"/>
      <c r="AO651" s="8"/>
      <c r="AP651" s="8"/>
      <c r="AQ651" s="8"/>
      <c r="AR651" s="8"/>
      <c r="AS651" s="8"/>
      <c r="AT651" s="8"/>
    </row>
    <row r="652">
      <c r="A652" s="197"/>
      <c r="B652" s="198"/>
      <c r="C652" s="379"/>
      <c r="D652" s="197"/>
      <c r="E652" s="198"/>
      <c r="F652" s="379"/>
      <c r="G652" s="197"/>
      <c r="H652" s="198"/>
      <c r="I652" s="379"/>
      <c r="J652" s="197"/>
      <c r="K652" s="198"/>
      <c r="L652" s="379"/>
      <c r="M652" s="197"/>
      <c r="N652" s="198"/>
      <c r="O652" s="379"/>
      <c r="P652" s="197"/>
      <c r="Q652" s="198"/>
      <c r="R652" s="379"/>
      <c r="S652" s="197"/>
      <c r="T652" s="198"/>
      <c r="U652" s="379"/>
      <c r="V652" s="197"/>
      <c r="W652" s="198"/>
      <c r="X652" s="379"/>
      <c r="Y652" s="184"/>
      <c r="Z652" s="184"/>
      <c r="AA652" s="184"/>
      <c r="AB652" s="184"/>
      <c r="AC652" s="8"/>
      <c r="AD652" s="8"/>
      <c r="AE652" s="8"/>
      <c r="AF652" s="8"/>
      <c r="AG652" s="191"/>
      <c r="AH652" s="191"/>
      <c r="AI652" s="191"/>
      <c r="AJ652" s="8"/>
      <c r="AK652" s="8"/>
      <c r="AL652" s="8"/>
      <c r="AM652" s="8"/>
      <c r="AN652" s="8"/>
      <c r="AO652" s="8"/>
      <c r="AP652" s="8"/>
      <c r="AQ652" s="8"/>
      <c r="AR652" s="8"/>
      <c r="AS652" s="8"/>
      <c r="AT652" s="8"/>
    </row>
    <row r="653">
      <c r="A653" s="197"/>
      <c r="B653" s="198"/>
      <c r="C653" s="379"/>
      <c r="D653" s="197"/>
      <c r="E653" s="198"/>
      <c r="F653" s="379"/>
      <c r="G653" s="197"/>
      <c r="H653" s="198"/>
      <c r="I653" s="379"/>
      <c r="J653" s="197"/>
      <c r="K653" s="198"/>
      <c r="L653" s="379"/>
      <c r="M653" s="197"/>
      <c r="N653" s="198"/>
      <c r="O653" s="379"/>
      <c r="P653" s="197"/>
      <c r="Q653" s="198"/>
      <c r="R653" s="379"/>
      <c r="S653" s="197"/>
      <c r="T653" s="198"/>
      <c r="U653" s="379"/>
      <c r="V653" s="197"/>
      <c r="W653" s="198"/>
      <c r="X653" s="379"/>
      <c r="Y653" s="184"/>
      <c r="Z653" s="184"/>
      <c r="AA653" s="184"/>
      <c r="AB653" s="184"/>
      <c r="AC653" s="8"/>
      <c r="AD653" s="8"/>
      <c r="AE653" s="8"/>
      <c r="AF653" s="8"/>
      <c r="AG653" s="191"/>
      <c r="AH653" s="191"/>
      <c r="AI653" s="191"/>
      <c r="AJ653" s="8"/>
      <c r="AK653" s="8"/>
      <c r="AL653" s="8"/>
      <c r="AM653" s="8"/>
      <c r="AN653" s="8"/>
      <c r="AO653" s="8"/>
      <c r="AP653" s="8"/>
      <c r="AQ653" s="8"/>
      <c r="AR653" s="8"/>
      <c r="AS653" s="8"/>
      <c r="AT653" s="8"/>
    </row>
    <row r="654">
      <c r="A654" s="197"/>
      <c r="B654" s="198"/>
      <c r="C654" s="379"/>
      <c r="D654" s="197"/>
      <c r="E654" s="198"/>
      <c r="F654" s="379"/>
      <c r="G654" s="197"/>
      <c r="H654" s="198"/>
      <c r="I654" s="379"/>
      <c r="J654" s="197"/>
      <c r="K654" s="198"/>
      <c r="L654" s="379"/>
      <c r="M654" s="197"/>
      <c r="N654" s="198"/>
      <c r="O654" s="379"/>
      <c r="P654" s="197"/>
      <c r="Q654" s="198"/>
      <c r="R654" s="379"/>
      <c r="S654" s="197"/>
      <c r="T654" s="198"/>
      <c r="U654" s="379"/>
      <c r="V654" s="197"/>
      <c r="W654" s="198"/>
      <c r="X654" s="379"/>
      <c r="Y654" s="184"/>
      <c r="Z654" s="184"/>
      <c r="AA654" s="184"/>
      <c r="AB654" s="184"/>
      <c r="AC654" s="8"/>
      <c r="AD654" s="8"/>
      <c r="AE654" s="8"/>
      <c r="AF654" s="8"/>
      <c r="AG654" s="191"/>
      <c r="AH654" s="191"/>
      <c r="AI654" s="191"/>
      <c r="AJ654" s="8"/>
      <c r="AK654" s="8"/>
      <c r="AL654" s="8"/>
      <c r="AM654" s="8"/>
      <c r="AN654" s="8"/>
      <c r="AO654" s="8"/>
      <c r="AP654" s="8"/>
      <c r="AQ654" s="8"/>
      <c r="AR654" s="8"/>
      <c r="AS654" s="8"/>
      <c r="AT654" s="8"/>
    </row>
    <row r="655">
      <c r="A655" s="197"/>
      <c r="B655" s="198"/>
      <c r="C655" s="379"/>
      <c r="D655" s="197"/>
      <c r="E655" s="198"/>
      <c r="F655" s="379"/>
      <c r="G655" s="197"/>
      <c r="H655" s="198"/>
      <c r="I655" s="379"/>
      <c r="J655" s="197"/>
      <c r="K655" s="198"/>
      <c r="L655" s="379"/>
      <c r="M655" s="197"/>
      <c r="N655" s="198"/>
      <c r="O655" s="379"/>
      <c r="P655" s="197"/>
      <c r="Q655" s="198"/>
      <c r="R655" s="379"/>
      <c r="S655" s="197"/>
      <c r="T655" s="198"/>
      <c r="U655" s="379"/>
      <c r="V655" s="197"/>
      <c r="W655" s="198"/>
      <c r="X655" s="379"/>
      <c r="Y655" s="184"/>
      <c r="Z655" s="184"/>
      <c r="AA655" s="184"/>
      <c r="AB655" s="184"/>
      <c r="AC655" s="8"/>
      <c r="AD655" s="8"/>
      <c r="AE655" s="8"/>
      <c r="AF655" s="8"/>
      <c r="AG655" s="191"/>
      <c r="AH655" s="191"/>
      <c r="AI655" s="191"/>
      <c r="AJ655" s="8"/>
      <c r="AK655" s="8"/>
      <c r="AL655" s="8"/>
      <c r="AM655" s="8"/>
      <c r="AN655" s="8"/>
      <c r="AO655" s="8"/>
      <c r="AP655" s="8"/>
      <c r="AQ655" s="8"/>
      <c r="AR655" s="8"/>
      <c r="AS655" s="8"/>
      <c r="AT655" s="8"/>
    </row>
    <row r="656">
      <c r="A656" s="197"/>
      <c r="B656" s="198"/>
      <c r="C656" s="379"/>
      <c r="D656" s="197"/>
      <c r="E656" s="198"/>
      <c r="F656" s="379"/>
      <c r="G656" s="197"/>
      <c r="H656" s="198"/>
      <c r="I656" s="379"/>
      <c r="J656" s="197"/>
      <c r="K656" s="198"/>
      <c r="L656" s="379"/>
      <c r="M656" s="197"/>
      <c r="N656" s="198"/>
      <c r="O656" s="379"/>
      <c r="P656" s="197"/>
      <c r="Q656" s="198"/>
      <c r="R656" s="379"/>
      <c r="S656" s="197"/>
      <c r="T656" s="198"/>
      <c r="U656" s="379"/>
      <c r="V656" s="197"/>
      <c r="W656" s="198"/>
      <c r="X656" s="379"/>
      <c r="Y656" s="184"/>
      <c r="Z656" s="184"/>
      <c r="AA656" s="184"/>
      <c r="AB656" s="184"/>
      <c r="AC656" s="8"/>
      <c r="AD656" s="8"/>
      <c r="AE656" s="8"/>
      <c r="AF656" s="8"/>
      <c r="AG656" s="191"/>
      <c r="AH656" s="191"/>
      <c r="AI656" s="191"/>
      <c r="AJ656" s="8"/>
      <c r="AK656" s="8"/>
      <c r="AL656" s="8"/>
      <c r="AM656" s="8"/>
      <c r="AN656" s="8"/>
      <c r="AO656" s="8"/>
      <c r="AP656" s="8"/>
      <c r="AQ656" s="8"/>
      <c r="AR656" s="8"/>
      <c r="AS656" s="8"/>
      <c r="AT656" s="8"/>
    </row>
    <row r="657">
      <c r="A657" s="197"/>
      <c r="B657" s="198"/>
      <c r="C657" s="379"/>
      <c r="D657" s="197"/>
      <c r="E657" s="198"/>
      <c r="F657" s="379"/>
      <c r="G657" s="197"/>
      <c r="H657" s="198"/>
      <c r="I657" s="379"/>
      <c r="J657" s="197"/>
      <c r="K657" s="198"/>
      <c r="L657" s="379"/>
      <c r="M657" s="197"/>
      <c r="N657" s="198"/>
      <c r="O657" s="379"/>
      <c r="P657" s="197"/>
      <c r="Q657" s="198"/>
      <c r="R657" s="379"/>
      <c r="S657" s="197"/>
      <c r="T657" s="198"/>
      <c r="U657" s="379"/>
      <c r="V657" s="197"/>
      <c r="W657" s="198"/>
      <c r="X657" s="379"/>
      <c r="Y657" s="184"/>
      <c r="Z657" s="184"/>
      <c r="AA657" s="184"/>
      <c r="AB657" s="184"/>
      <c r="AC657" s="8"/>
      <c r="AD657" s="8"/>
      <c r="AE657" s="8"/>
      <c r="AF657" s="8"/>
      <c r="AG657" s="191"/>
      <c r="AH657" s="191"/>
      <c r="AI657" s="191"/>
      <c r="AJ657" s="8"/>
      <c r="AK657" s="8"/>
      <c r="AL657" s="8"/>
      <c r="AM657" s="8"/>
      <c r="AN657" s="8"/>
      <c r="AO657" s="8"/>
      <c r="AP657" s="8"/>
      <c r="AQ657" s="8"/>
      <c r="AR657" s="8"/>
      <c r="AS657" s="8"/>
      <c r="AT657" s="8"/>
    </row>
    <row r="658">
      <c r="A658" s="197"/>
      <c r="B658" s="198"/>
      <c r="C658" s="379"/>
      <c r="D658" s="197"/>
      <c r="E658" s="198"/>
      <c r="F658" s="379"/>
      <c r="G658" s="197"/>
      <c r="H658" s="198"/>
      <c r="I658" s="379"/>
      <c r="J658" s="197"/>
      <c r="K658" s="198"/>
      <c r="L658" s="379"/>
      <c r="M658" s="197"/>
      <c r="N658" s="198"/>
      <c r="O658" s="379"/>
      <c r="P658" s="197"/>
      <c r="Q658" s="198"/>
      <c r="R658" s="379"/>
      <c r="S658" s="197"/>
      <c r="T658" s="198"/>
      <c r="U658" s="379"/>
      <c r="V658" s="197"/>
      <c r="W658" s="198"/>
      <c r="X658" s="379"/>
      <c r="Y658" s="184"/>
      <c r="Z658" s="184"/>
      <c r="AA658" s="184"/>
      <c r="AB658" s="184"/>
      <c r="AC658" s="8"/>
      <c r="AD658" s="8"/>
      <c r="AE658" s="8"/>
      <c r="AF658" s="8"/>
      <c r="AG658" s="191"/>
      <c r="AH658" s="191"/>
      <c r="AI658" s="191"/>
      <c r="AJ658" s="8"/>
      <c r="AK658" s="8"/>
      <c r="AL658" s="8"/>
      <c r="AM658" s="8"/>
      <c r="AN658" s="8"/>
      <c r="AO658" s="8"/>
      <c r="AP658" s="8"/>
      <c r="AQ658" s="8"/>
      <c r="AR658" s="8"/>
      <c r="AS658" s="8"/>
      <c r="AT658" s="8"/>
    </row>
    <row r="659">
      <c r="A659" s="197"/>
      <c r="B659" s="198"/>
      <c r="C659" s="379"/>
      <c r="D659" s="197"/>
      <c r="E659" s="198"/>
      <c r="F659" s="379"/>
      <c r="G659" s="197"/>
      <c r="H659" s="198"/>
      <c r="I659" s="379"/>
      <c r="J659" s="197"/>
      <c r="K659" s="198"/>
      <c r="L659" s="379"/>
      <c r="M659" s="197"/>
      <c r="N659" s="198"/>
      <c r="O659" s="379"/>
      <c r="P659" s="197"/>
      <c r="Q659" s="198"/>
      <c r="R659" s="379"/>
      <c r="S659" s="197"/>
      <c r="T659" s="198"/>
      <c r="U659" s="379"/>
      <c r="V659" s="197"/>
      <c r="W659" s="198"/>
      <c r="X659" s="379"/>
      <c r="Y659" s="184"/>
      <c r="Z659" s="184"/>
      <c r="AA659" s="184"/>
      <c r="AB659" s="184"/>
      <c r="AC659" s="8"/>
      <c r="AD659" s="8"/>
      <c r="AE659" s="8"/>
      <c r="AF659" s="8"/>
      <c r="AG659" s="191"/>
      <c r="AH659" s="191"/>
      <c r="AI659" s="191"/>
      <c r="AJ659" s="8"/>
      <c r="AK659" s="8"/>
      <c r="AL659" s="8"/>
      <c r="AM659" s="8"/>
      <c r="AN659" s="8"/>
      <c r="AO659" s="8"/>
      <c r="AP659" s="8"/>
      <c r="AQ659" s="8"/>
      <c r="AR659" s="8"/>
      <c r="AS659" s="8"/>
      <c r="AT659" s="8"/>
    </row>
    <row r="660">
      <c r="A660" s="197"/>
      <c r="B660" s="198"/>
      <c r="C660" s="379"/>
      <c r="D660" s="197"/>
      <c r="E660" s="198"/>
      <c r="F660" s="379"/>
      <c r="G660" s="197"/>
      <c r="H660" s="198"/>
      <c r="I660" s="379"/>
      <c r="J660" s="197"/>
      <c r="K660" s="198"/>
      <c r="L660" s="379"/>
      <c r="M660" s="197"/>
      <c r="N660" s="198"/>
      <c r="O660" s="379"/>
      <c r="P660" s="197"/>
      <c r="Q660" s="198"/>
      <c r="R660" s="379"/>
      <c r="S660" s="197"/>
      <c r="T660" s="198"/>
      <c r="U660" s="379"/>
      <c r="V660" s="197"/>
      <c r="W660" s="198"/>
      <c r="X660" s="379"/>
      <c r="Y660" s="184"/>
      <c r="Z660" s="184"/>
      <c r="AA660" s="184"/>
      <c r="AB660" s="184"/>
      <c r="AC660" s="8"/>
      <c r="AD660" s="8"/>
      <c r="AE660" s="8"/>
      <c r="AF660" s="8"/>
      <c r="AG660" s="191"/>
      <c r="AH660" s="191"/>
      <c r="AI660" s="191"/>
      <c r="AJ660" s="8"/>
      <c r="AK660" s="8"/>
      <c r="AL660" s="8"/>
      <c r="AM660" s="8"/>
      <c r="AN660" s="8"/>
      <c r="AO660" s="8"/>
      <c r="AP660" s="8"/>
      <c r="AQ660" s="8"/>
      <c r="AR660" s="8"/>
      <c r="AS660" s="8"/>
      <c r="AT660" s="8"/>
    </row>
    <row r="661">
      <c r="A661" s="197"/>
      <c r="B661" s="198"/>
      <c r="C661" s="379"/>
      <c r="D661" s="197"/>
      <c r="E661" s="198"/>
      <c r="F661" s="379"/>
      <c r="G661" s="197"/>
      <c r="H661" s="198"/>
      <c r="I661" s="379"/>
      <c r="J661" s="197"/>
      <c r="K661" s="198"/>
      <c r="L661" s="379"/>
      <c r="M661" s="197"/>
      <c r="N661" s="198"/>
      <c r="O661" s="379"/>
      <c r="P661" s="197"/>
      <c r="Q661" s="198"/>
      <c r="R661" s="379"/>
      <c r="S661" s="197"/>
      <c r="T661" s="198"/>
      <c r="U661" s="379"/>
      <c r="V661" s="197"/>
      <c r="W661" s="198"/>
      <c r="X661" s="379"/>
      <c r="Y661" s="184"/>
      <c r="Z661" s="184"/>
      <c r="AA661" s="184"/>
      <c r="AB661" s="184"/>
      <c r="AC661" s="8"/>
      <c r="AD661" s="8"/>
      <c r="AE661" s="8"/>
      <c r="AF661" s="8"/>
      <c r="AG661" s="191"/>
      <c r="AH661" s="191"/>
      <c r="AI661" s="191"/>
      <c r="AJ661" s="8"/>
      <c r="AK661" s="8"/>
      <c r="AL661" s="8"/>
      <c r="AM661" s="8"/>
      <c r="AN661" s="8"/>
      <c r="AO661" s="8"/>
      <c r="AP661" s="8"/>
      <c r="AQ661" s="8"/>
      <c r="AR661" s="8"/>
      <c r="AS661" s="8"/>
      <c r="AT661" s="8"/>
    </row>
    <row r="662">
      <c r="A662" s="197"/>
      <c r="B662" s="198"/>
      <c r="C662" s="379"/>
      <c r="D662" s="197"/>
      <c r="E662" s="198"/>
      <c r="F662" s="379"/>
      <c r="G662" s="197"/>
      <c r="H662" s="198"/>
      <c r="I662" s="379"/>
      <c r="J662" s="197"/>
      <c r="K662" s="198"/>
      <c r="L662" s="379"/>
      <c r="M662" s="197"/>
      <c r="N662" s="198"/>
      <c r="O662" s="379"/>
      <c r="P662" s="197"/>
      <c r="Q662" s="198"/>
      <c r="R662" s="379"/>
      <c r="S662" s="197"/>
      <c r="T662" s="198"/>
      <c r="U662" s="379"/>
      <c r="V662" s="197"/>
      <c r="W662" s="198"/>
      <c r="X662" s="379"/>
      <c r="Y662" s="184"/>
      <c r="Z662" s="184"/>
      <c r="AA662" s="184"/>
      <c r="AB662" s="184"/>
      <c r="AC662" s="8"/>
      <c r="AD662" s="8"/>
      <c r="AE662" s="8"/>
      <c r="AF662" s="8"/>
      <c r="AG662" s="191"/>
      <c r="AH662" s="191"/>
      <c r="AI662" s="191"/>
      <c r="AJ662" s="8"/>
      <c r="AK662" s="8"/>
      <c r="AL662" s="8"/>
      <c r="AM662" s="8"/>
      <c r="AN662" s="8"/>
      <c r="AO662" s="8"/>
      <c r="AP662" s="8"/>
      <c r="AQ662" s="8"/>
      <c r="AR662" s="8"/>
      <c r="AS662" s="8"/>
      <c r="AT662" s="8"/>
    </row>
    <row r="663">
      <c r="A663" s="197"/>
      <c r="B663" s="198"/>
      <c r="C663" s="379"/>
      <c r="D663" s="197"/>
      <c r="E663" s="198"/>
      <c r="F663" s="379"/>
      <c r="G663" s="197"/>
      <c r="H663" s="198"/>
      <c r="I663" s="379"/>
      <c r="J663" s="197"/>
      <c r="K663" s="198"/>
      <c r="L663" s="379"/>
      <c r="M663" s="197"/>
      <c r="N663" s="198"/>
      <c r="O663" s="379"/>
      <c r="P663" s="197"/>
      <c r="Q663" s="198"/>
      <c r="R663" s="379"/>
      <c r="S663" s="197"/>
      <c r="T663" s="198"/>
      <c r="U663" s="379"/>
      <c r="V663" s="197"/>
      <c r="W663" s="198"/>
      <c r="X663" s="379"/>
      <c r="Y663" s="184"/>
      <c r="Z663" s="184"/>
      <c r="AA663" s="184"/>
      <c r="AB663" s="184"/>
      <c r="AC663" s="8"/>
      <c r="AD663" s="8"/>
      <c r="AE663" s="8"/>
      <c r="AF663" s="8"/>
      <c r="AG663" s="191"/>
      <c r="AH663" s="191"/>
      <c r="AI663" s="191"/>
      <c r="AJ663" s="8"/>
      <c r="AK663" s="8"/>
      <c r="AL663" s="8"/>
      <c r="AM663" s="8"/>
      <c r="AN663" s="8"/>
      <c r="AO663" s="8"/>
      <c r="AP663" s="8"/>
      <c r="AQ663" s="8"/>
      <c r="AR663" s="8"/>
      <c r="AS663" s="8"/>
      <c r="AT663" s="8"/>
    </row>
    <row r="664">
      <c r="A664" s="197"/>
      <c r="B664" s="198"/>
      <c r="C664" s="379"/>
      <c r="D664" s="197"/>
      <c r="E664" s="198"/>
      <c r="F664" s="379"/>
      <c r="G664" s="197"/>
      <c r="H664" s="198"/>
      <c r="I664" s="379"/>
      <c r="J664" s="197"/>
      <c r="K664" s="198"/>
      <c r="L664" s="379"/>
      <c r="M664" s="197"/>
      <c r="N664" s="198"/>
      <c r="O664" s="379"/>
      <c r="P664" s="197"/>
      <c r="Q664" s="198"/>
      <c r="R664" s="379"/>
      <c r="S664" s="197"/>
      <c r="T664" s="198"/>
      <c r="U664" s="379"/>
      <c r="V664" s="197"/>
      <c r="W664" s="198"/>
      <c r="X664" s="379"/>
      <c r="Y664" s="184"/>
      <c r="Z664" s="184"/>
      <c r="AA664" s="184"/>
      <c r="AB664" s="184"/>
      <c r="AC664" s="8"/>
      <c r="AD664" s="8"/>
      <c r="AE664" s="8"/>
      <c r="AF664" s="8"/>
      <c r="AG664" s="191"/>
      <c r="AH664" s="191"/>
      <c r="AI664" s="191"/>
      <c r="AJ664" s="8"/>
      <c r="AK664" s="8"/>
      <c r="AL664" s="8"/>
      <c r="AM664" s="8"/>
      <c r="AN664" s="8"/>
      <c r="AO664" s="8"/>
      <c r="AP664" s="8"/>
      <c r="AQ664" s="8"/>
      <c r="AR664" s="8"/>
      <c r="AS664" s="8"/>
      <c r="AT664" s="8"/>
    </row>
    <row r="665">
      <c r="A665" s="197"/>
      <c r="B665" s="198"/>
      <c r="C665" s="379"/>
      <c r="D665" s="197"/>
      <c r="E665" s="198"/>
      <c r="F665" s="379"/>
      <c r="G665" s="197"/>
      <c r="H665" s="198"/>
      <c r="I665" s="379"/>
      <c r="J665" s="197"/>
      <c r="K665" s="198"/>
      <c r="L665" s="379"/>
      <c r="M665" s="197"/>
      <c r="N665" s="198"/>
      <c r="O665" s="379"/>
      <c r="P665" s="197"/>
      <c r="Q665" s="198"/>
      <c r="R665" s="379"/>
      <c r="S665" s="197"/>
      <c r="T665" s="198"/>
      <c r="U665" s="379"/>
      <c r="V665" s="197"/>
      <c r="W665" s="198"/>
      <c r="X665" s="379"/>
      <c r="Y665" s="184"/>
      <c r="Z665" s="184"/>
      <c r="AA665" s="184"/>
      <c r="AB665" s="184"/>
      <c r="AC665" s="8"/>
      <c r="AD665" s="8"/>
      <c r="AE665" s="8"/>
      <c r="AF665" s="8"/>
      <c r="AG665" s="191"/>
      <c r="AH665" s="191"/>
      <c r="AI665" s="191"/>
      <c r="AJ665" s="8"/>
      <c r="AK665" s="8"/>
      <c r="AL665" s="8"/>
      <c r="AM665" s="8"/>
      <c r="AN665" s="8"/>
      <c r="AO665" s="8"/>
      <c r="AP665" s="8"/>
      <c r="AQ665" s="8"/>
      <c r="AR665" s="8"/>
      <c r="AS665" s="8"/>
      <c r="AT665" s="8"/>
    </row>
    <row r="666">
      <c r="A666" s="197"/>
      <c r="B666" s="198"/>
      <c r="C666" s="379"/>
      <c r="D666" s="197"/>
      <c r="E666" s="198"/>
      <c r="F666" s="379"/>
      <c r="G666" s="197"/>
      <c r="H666" s="198"/>
      <c r="I666" s="379"/>
      <c r="J666" s="197"/>
      <c r="K666" s="198"/>
      <c r="L666" s="379"/>
      <c r="M666" s="197"/>
      <c r="N666" s="198"/>
      <c r="O666" s="379"/>
      <c r="P666" s="197"/>
      <c r="Q666" s="198"/>
      <c r="R666" s="379"/>
      <c r="S666" s="197"/>
      <c r="T666" s="198"/>
      <c r="U666" s="379"/>
      <c r="V666" s="197"/>
      <c r="W666" s="198"/>
      <c r="X666" s="379"/>
      <c r="Y666" s="184"/>
      <c r="Z666" s="184"/>
      <c r="AA666" s="184"/>
      <c r="AB666" s="184"/>
      <c r="AC666" s="8"/>
      <c r="AD666" s="8"/>
      <c r="AE666" s="8"/>
      <c r="AF666" s="8"/>
      <c r="AG666" s="191"/>
      <c r="AH666" s="191"/>
      <c r="AI666" s="191"/>
      <c r="AJ666" s="8"/>
      <c r="AK666" s="8"/>
      <c r="AL666" s="8"/>
      <c r="AM666" s="8"/>
      <c r="AN666" s="8"/>
      <c r="AO666" s="8"/>
      <c r="AP666" s="8"/>
      <c r="AQ666" s="8"/>
      <c r="AR666" s="8"/>
      <c r="AS666" s="8"/>
      <c r="AT666" s="8"/>
    </row>
    <row r="667">
      <c r="A667" s="197"/>
      <c r="B667" s="198"/>
      <c r="C667" s="379"/>
      <c r="D667" s="197"/>
      <c r="E667" s="198"/>
      <c r="F667" s="379"/>
      <c r="G667" s="197"/>
      <c r="H667" s="198"/>
      <c r="I667" s="379"/>
      <c r="J667" s="197"/>
      <c r="K667" s="198"/>
      <c r="L667" s="379"/>
      <c r="M667" s="197"/>
      <c r="N667" s="198"/>
      <c r="O667" s="379"/>
      <c r="P667" s="197"/>
      <c r="Q667" s="198"/>
      <c r="R667" s="379"/>
      <c r="S667" s="197"/>
      <c r="T667" s="198"/>
      <c r="U667" s="379"/>
      <c r="V667" s="197"/>
      <c r="W667" s="198"/>
      <c r="X667" s="379"/>
      <c r="Y667" s="184"/>
      <c r="Z667" s="184"/>
      <c r="AA667" s="184"/>
      <c r="AB667" s="184"/>
      <c r="AC667" s="8"/>
      <c r="AD667" s="8"/>
      <c r="AE667" s="8"/>
      <c r="AF667" s="8"/>
      <c r="AG667" s="191"/>
      <c r="AH667" s="191"/>
      <c r="AI667" s="191"/>
      <c r="AJ667" s="8"/>
      <c r="AK667" s="8"/>
      <c r="AL667" s="8"/>
      <c r="AM667" s="8"/>
      <c r="AN667" s="8"/>
      <c r="AO667" s="8"/>
      <c r="AP667" s="8"/>
      <c r="AQ667" s="8"/>
      <c r="AR667" s="8"/>
      <c r="AS667" s="8"/>
      <c r="AT667" s="8"/>
    </row>
    <row r="668">
      <c r="A668" s="197"/>
      <c r="B668" s="198"/>
      <c r="C668" s="379"/>
      <c r="D668" s="197"/>
      <c r="E668" s="198"/>
      <c r="F668" s="379"/>
      <c r="G668" s="197"/>
      <c r="H668" s="198"/>
      <c r="I668" s="379"/>
      <c r="J668" s="197"/>
      <c r="K668" s="198"/>
      <c r="L668" s="379"/>
      <c r="M668" s="197"/>
      <c r="N668" s="198"/>
      <c r="O668" s="379"/>
      <c r="P668" s="197"/>
      <c r="Q668" s="198"/>
      <c r="R668" s="379"/>
      <c r="S668" s="197"/>
      <c r="T668" s="198"/>
      <c r="U668" s="379"/>
      <c r="V668" s="197"/>
      <c r="W668" s="198"/>
      <c r="X668" s="379"/>
      <c r="Y668" s="184"/>
      <c r="Z668" s="184"/>
      <c r="AA668" s="184"/>
      <c r="AB668" s="184"/>
      <c r="AC668" s="8"/>
      <c r="AD668" s="8"/>
      <c r="AE668" s="8"/>
      <c r="AF668" s="8"/>
      <c r="AG668" s="191"/>
      <c r="AH668" s="191"/>
      <c r="AI668" s="191"/>
      <c r="AJ668" s="8"/>
      <c r="AK668" s="8"/>
      <c r="AL668" s="8"/>
      <c r="AM668" s="8"/>
      <c r="AN668" s="8"/>
      <c r="AO668" s="8"/>
      <c r="AP668" s="8"/>
      <c r="AQ668" s="8"/>
      <c r="AR668" s="8"/>
      <c r="AS668" s="8"/>
      <c r="AT668" s="8"/>
    </row>
    <row r="669">
      <c r="A669" s="197"/>
      <c r="B669" s="198"/>
      <c r="C669" s="379"/>
      <c r="D669" s="197"/>
      <c r="E669" s="198"/>
      <c r="F669" s="379"/>
      <c r="G669" s="197"/>
      <c r="H669" s="198"/>
      <c r="I669" s="379"/>
      <c r="J669" s="197"/>
      <c r="K669" s="198"/>
      <c r="L669" s="379"/>
      <c r="M669" s="197"/>
      <c r="N669" s="198"/>
      <c r="O669" s="379"/>
      <c r="P669" s="197"/>
      <c r="Q669" s="198"/>
      <c r="R669" s="379"/>
      <c r="S669" s="197"/>
      <c r="T669" s="198"/>
      <c r="U669" s="379"/>
      <c r="V669" s="197"/>
      <c r="W669" s="198"/>
      <c r="X669" s="379"/>
      <c r="Y669" s="184"/>
      <c r="Z669" s="184"/>
      <c r="AA669" s="184"/>
      <c r="AB669" s="184"/>
      <c r="AC669" s="8"/>
      <c r="AD669" s="8"/>
      <c r="AE669" s="8"/>
      <c r="AF669" s="8"/>
      <c r="AG669" s="191"/>
      <c r="AH669" s="191"/>
      <c r="AI669" s="191"/>
      <c r="AJ669" s="8"/>
      <c r="AK669" s="8"/>
      <c r="AL669" s="8"/>
      <c r="AM669" s="8"/>
      <c r="AN669" s="8"/>
      <c r="AO669" s="8"/>
      <c r="AP669" s="8"/>
      <c r="AQ669" s="8"/>
      <c r="AR669" s="8"/>
      <c r="AS669" s="8"/>
      <c r="AT669" s="8"/>
    </row>
    <row r="670">
      <c r="A670" s="197"/>
      <c r="B670" s="198"/>
      <c r="C670" s="379"/>
      <c r="D670" s="197"/>
      <c r="E670" s="198"/>
      <c r="F670" s="379"/>
      <c r="G670" s="197"/>
      <c r="H670" s="198"/>
      <c r="I670" s="379"/>
      <c r="J670" s="197"/>
      <c r="K670" s="198"/>
      <c r="L670" s="379"/>
      <c r="M670" s="197"/>
      <c r="N670" s="198"/>
      <c r="O670" s="379"/>
      <c r="P670" s="197"/>
      <c r="Q670" s="198"/>
      <c r="R670" s="379"/>
      <c r="S670" s="197"/>
      <c r="T670" s="198"/>
      <c r="U670" s="379"/>
      <c r="V670" s="197"/>
      <c r="W670" s="198"/>
      <c r="X670" s="379"/>
      <c r="Y670" s="184"/>
      <c r="Z670" s="184"/>
      <c r="AA670" s="184"/>
      <c r="AB670" s="184"/>
      <c r="AC670" s="8"/>
      <c r="AD670" s="8"/>
      <c r="AE670" s="8"/>
      <c r="AF670" s="8"/>
      <c r="AG670" s="191"/>
      <c r="AH670" s="191"/>
      <c r="AI670" s="191"/>
      <c r="AJ670" s="8"/>
      <c r="AK670" s="8"/>
      <c r="AL670" s="8"/>
      <c r="AM670" s="8"/>
      <c r="AN670" s="8"/>
      <c r="AO670" s="8"/>
      <c r="AP670" s="8"/>
      <c r="AQ670" s="8"/>
      <c r="AR670" s="8"/>
      <c r="AS670" s="8"/>
      <c r="AT670" s="8"/>
    </row>
    <row r="671">
      <c r="A671" s="197"/>
      <c r="B671" s="198"/>
      <c r="C671" s="379"/>
      <c r="D671" s="197"/>
      <c r="E671" s="198"/>
      <c r="F671" s="379"/>
      <c r="G671" s="197"/>
      <c r="H671" s="198"/>
      <c r="I671" s="379"/>
      <c r="J671" s="197"/>
      <c r="K671" s="198"/>
      <c r="L671" s="379"/>
      <c r="M671" s="197"/>
      <c r="N671" s="198"/>
      <c r="O671" s="379"/>
      <c r="P671" s="197"/>
      <c r="Q671" s="198"/>
      <c r="R671" s="379"/>
      <c r="S671" s="197"/>
      <c r="T671" s="198"/>
      <c r="U671" s="379"/>
      <c r="V671" s="197"/>
      <c r="W671" s="198"/>
      <c r="X671" s="379"/>
      <c r="Y671" s="184"/>
      <c r="Z671" s="184"/>
      <c r="AA671" s="184"/>
      <c r="AB671" s="184"/>
      <c r="AC671" s="8"/>
      <c r="AD671" s="8"/>
      <c r="AE671" s="8"/>
      <c r="AF671" s="8"/>
      <c r="AG671" s="191"/>
      <c r="AH671" s="191"/>
      <c r="AI671" s="191"/>
      <c r="AJ671" s="8"/>
      <c r="AK671" s="8"/>
      <c r="AL671" s="8"/>
      <c r="AM671" s="8"/>
      <c r="AN671" s="8"/>
      <c r="AO671" s="8"/>
      <c r="AP671" s="8"/>
      <c r="AQ671" s="8"/>
      <c r="AR671" s="8"/>
      <c r="AS671" s="8"/>
      <c r="AT671" s="8"/>
    </row>
    <row r="672">
      <c r="A672" s="197"/>
      <c r="B672" s="198"/>
      <c r="C672" s="379"/>
      <c r="D672" s="197"/>
      <c r="E672" s="198"/>
      <c r="F672" s="379"/>
      <c r="G672" s="197"/>
      <c r="H672" s="198"/>
      <c r="I672" s="379"/>
      <c r="J672" s="197"/>
      <c r="K672" s="198"/>
      <c r="L672" s="379"/>
      <c r="M672" s="197"/>
      <c r="N672" s="198"/>
      <c r="O672" s="379"/>
      <c r="P672" s="197"/>
      <c r="Q672" s="198"/>
      <c r="R672" s="379"/>
      <c r="S672" s="197"/>
      <c r="T672" s="198"/>
      <c r="U672" s="379"/>
      <c r="V672" s="197"/>
      <c r="W672" s="198"/>
      <c r="X672" s="379"/>
      <c r="Y672" s="184"/>
      <c r="Z672" s="184"/>
      <c r="AA672" s="184"/>
      <c r="AB672" s="184"/>
      <c r="AC672" s="8"/>
      <c r="AD672" s="8"/>
      <c r="AE672" s="8"/>
      <c r="AF672" s="8"/>
      <c r="AG672" s="191"/>
      <c r="AH672" s="191"/>
      <c r="AI672" s="191"/>
      <c r="AJ672" s="8"/>
      <c r="AK672" s="8"/>
      <c r="AL672" s="8"/>
      <c r="AM672" s="8"/>
      <c r="AN672" s="8"/>
      <c r="AO672" s="8"/>
      <c r="AP672" s="8"/>
      <c r="AQ672" s="8"/>
      <c r="AR672" s="8"/>
      <c r="AS672" s="8"/>
      <c r="AT672" s="8"/>
    </row>
    <row r="673">
      <c r="A673" s="197"/>
      <c r="B673" s="198"/>
      <c r="C673" s="379"/>
      <c r="D673" s="197"/>
      <c r="E673" s="198"/>
      <c r="F673" s="379"/>
      <c r="G673" s="197"/>
      <c r="H673" s="198"/>
      <c r="I673" s="379"/>
      <c r="J673" s="197"/>
      <c r="K673" s="198"/>
      <c r="L673" s="379"/>
      <c r="M673" s="197"/>
      <c r="N673" s="198"/>
      <c r="O673" s="379"/>
      <c r="P673" s="197"/>
      <c r="Q673" s="198"/>
      <c r="R673" s="379"/>
      <c r="S673" s="197"/>
      <c r="T673" s="198"/>
      <c r="U673" s="379"/>
      <c r="V673" s="197"/>
      <c r="W673" s="198"/>
      <c r="X673" s="379"/>
      <c r="Y673" s="184"/>
      <c r="Z673" s="184"/>
      <c r="AA673" s="184"/>
      <c r="AB673" s="184"/>
      <c r="AC673" s="8"/>
      <c r="AD673" s="8"/>
      <c r="AE673" s="8"/>
      <c r="AF673" s="8"/>
      <c r="AG673" s="191"/>
      <c r="AH673" s="191"/>
      <c r="AI673" s="191"/>
      <c r="AJ673" s="8"/>
      <c r="AK673" s="8"/>
      <c r="AL673" s="8"/>
      <c r="AM673" s="8"/>
      <c r="AN673" s="8"/>
      <c r="AO673" s="8"/>
      <c r="AP673" s="8"/>
      <c r="AQ673" s="8"/>
      <c r="AR673" s="8"/>
      <c r="AS673" s="8"/>
      <c r="AT673" s="8"/>
    </row>
    <row r="674">
      <c r="A674" s="197"/>
      <c r="B674" s="198"/>
      <c r="C674" s="379"/>
      <c r="D674" s="197"/>
      <c r="E674" s="198"/>
      <c r="F674" s="379"/>
      <c r="G674" s="197"/>
      <c r="H674" s="198"/>
      <c r="I674" s="379"/>
      <c r="J674" s="197"/>
      <c r="K674" s="198"/>
      <c r="L674" s="379"/>
      <c r="M674" s="197"/>
      <c r="N674" s="198"/>
      <c r="O674" s="379"/>
      <c r="P674" s="197"/>
      <c r="Q674" s="198"/>
      <c r="R674" s="379"/>
      <c r="S674" s="197"/>
      <c r="T674" s="198"/>
      <c r="U674" s="379"/>
      <c r="V674" s="197"/>
      <c r="W674" s="198"/>
      <c r="X674" s="379"/>
      <c r="Y674" s="184"/>
      <c r="Z674" s="184"/>
      <c r="AA674" s="184"/>
      <c r="AB674" s="184"/>
      <c r="AC674" s="8"/>
      <c r="AD674" s="8"/>
      <c r="AE674" s="8"/>
      <c r="AF674" s="8"/>
      <c r="AG674" s="191"/>
      <c r="AH674" s="191"/>
      <c r="AI674" s="191"/>
      <c r="AJ674" s="8"/>
      <c r="AK674" s="8"/>
      <c r="AL674" s="8"/>
      <c r="AM674" s="8"/>
      <c r="AN674" s="8"/>
      <c r="AO674" s="8"/>
      <c r="AP674" s="8"/>
      <c r="AQ674" s="8"/>
      <c r="AR674" s="8"/>
      <c r="AS674" s="8"/>
      <c r="AT674" s="8"/>
    </row>
    <row r="675">
      <c r="A675" s="197"/>
      <c r="B675" s="198"/>
      <c r="C675" s="379"/>
      <c r="D675" s="197"/>
      <c r="E675" s="198"/>
      <c r="F675" s="379"/>
      <c r="G675" s="197"/>
      <c r="H675" s="198"/>
      <c r="I675" s="379"/>
      <c r="J675" s="197"/>
      <c r="K675" s="198"/>
      <c r="L675" s="379"/>
      <c r="M675" s="197"/>
      <c r="N675" s="198"/>
      <c r="O675" s="379"/>
      <c r="P675" s="197"/>
      <c r="Q675" s="198"/>
      <c r="R675" s="379"/>
      <c r="S675" s="197"/>
      <c r="T675" s="198"/>
      <c r="U675" s="379"/>
      <c r="V675" s="197"/>
      <c r="W675" s="198"/>
      <c r="X675" s="379"/>
      <c r="Y675" s="184"/>
      <c r="Z675" s="184"/>
      <c r="AA675" s="184"/>
      <c r="AB675" s="184"/>
      <c r="AC675" s="8"/>
      <c r="AD675" s="8"/>
      <c r="AE675" s="8"/>
      <c r="AF675" s="8"/>
      <c r="AG675" s="191"/>
      <c r="AH675" s="191"/>
      <c r="AI675" s="191"/>
      <c r="AJ675" s="8"/>
      <c r="AK675" s="8"/>
      <c r="AL675" s="8"/>
      <c r="AM675" s="8"/>
      <c r="AN675" s="8"/>
      <c r="AO675" s="8"/>
      <c r="AP675" s="8"/>
      <c r="AQ675" s="8"/>
      <c r="AR675" s="8"/>
      <c r="AS675" s="8"/>
      <c r="AT675" s="8"/>
    </row>
    <row r="676">
      <c r="A676" s="197"/>
      <c r="B676" s="198"/>
      <c r="C676" s="379"/>
      <c r="D676" s="197"/>
      <c r="E676" s="198"/>
      <c r="F676" s="379"/>
      <c r="G676" s="197"/>
      <c r="H676" s="198"/>
      <c r="I676" s="379"/>
      <c r="J676" s="197"/>
      <c r="K676" s="198"/>
      <c r="L676" s="379"/>
      <c r="M676" s="197"/>
      <c r="N676" s="198"/>
      <c r="O676" s="379"/>
      <c r="P676" s="197"/>
      <c r="Q676" s="198"/>
      <c r="R676" s="379"/>
      <c r="S676" s="197"/>
      <c r="T676" s="198"/>
      <c r="U676" s="379"/>
      <c r="V676" s="197"/>
      <c r="W676" s="198"/>
      <c r="X676" s="379"/>
      <c r="Y676" s="184"/>
      <c r="Z676" s="184"/>
      <c r="AA676" s="184"/>
      <c r="AB676" s="184"/>
      <c r="AC676" s="8"/>
      <c r="AD676" s="8"/>
      <c r="AE676" s="8"/>
      <c r="AF676" s="8"/>
      <c r="AG676" s="191"/>
      <c r="AH676" s="191"/>
      <c r="AI676" s="191"/>
      <c r="AJ676" s="8"/>
      <c r="AK676" s="8"/>
      <c r="AL676" s="8"/>
      <c r="AM676" s="8"/>
      <c r="AN676" s="8"/>
      <c r="AO676" s="8"/>
      <c r="AP676" s="8"/>
      <c r="AQ676" s="8"/>
      <c r="AR676" s="8"/>
      <c r="AS676" s="8"/>
      <c r="AT676" s="8"/>
    </row>
    <row r="677">
      <c r="A677" s="197"/>
      <c r="B677" s="198"/>
      <c r="C677" s="379"/>
      <c r="D677" s="197"/>
      <c r="E677" s="198"/>
      <c r="F677" s="379"/>
      <c r="G677" s="197"/>
      <c r="H677" s="198"/>
      <c r="I677" s="379"/>
      <c r="J677" s="197"/>
      <c r="K677" s="198"/>
      <c r="L677" s="379"/>
      <c r="M677" s="197"/>
      <c r="N677" s="198"/>
      <c r="O677" s="379"/>
      <c r="P677" s="197"/>
      <c r="Q677" s="198"/>
      <c r="R677" s="379"/>
      <c r="S677" s="197"/>
      <c r="T677" s="198"/>
      <c r="U677" s="379"/>
      <c r="V677" s="197"/>
      <c r="W677" s="198"/>
      <c r="X677" s="379"/>
      <c r="Y677" s="184"/>
      <c r="Z677" s="184"/>
      <c r="AA677" s="184"/>
      <c r="AB677" s="184"/>
      <c r="AC677" s="8"/>
      <c r="AD677" s="8"/>
      <c r="AE677" s="8"/>
      <c r="AF677" s="8"/>
      <c r="AG677" s="191"/>
      <c r="AH677" s="191"/>
      <c r="AI677" s="191"/>
      <c r="AJ677" s="8"/>
      <c r="AK677" s="8"/>
      <c r="AL677" s="8"/>
      <c r="AM677" s="8"/>
      <c r="AN677" s="8"/>
      <c r="AO677" s="8"/>
      <c r="AP677" s="8"/>
      <c r="AQ677" s="8"/>
      <c r="AR677" s="8"/>
      <c r="AS677" s="8"/>
      <c r="AT677" s="8"/>
    </row>
    <row r="678">
      <c r="A678" s="197"/>
      <c r="B678" s="198"/>
      <c r="C678" s="379"/>
      <c r="D678" s="197"/>
      <c r="E678" s="198"/>
      <c r="F678" s="379"/>
      <c r="G678" s="197"/>
      <c r="H678" s="198"/>
      <c r="I678" s="379"/>
      <c r="J678" s="197"/>
      <c r="K678" s="198"/>
      <c r="L678" s="379"/>
      <c r="M678" s="197"/>
      <c r="N678" s="198"/>
      <c r="O678" s="379"/>
      <c r="P678" s="197"/>
      <c r="Q678" s="198"/>
      <c r="R678" s="379"/>
      <c r="S678" s="197"/>
      <c r="T678" s="198"/>
      <c r="U678" s="379"/>
      <c r="V678" s="197"/>
      <c r="W678" s="198"/>
      <c r="X678" s="379"/>
      <c r="Y678" s="184"/>
      <c r="Z678" s="184"/>
      <c r="AA678" s="184"/>
      <c r="AB678" s="184"/>
      <c r="AC678" s="8"/>
      <c r="AD678" s="8"/>
      <c r="AE678" s="8"/>
      <c r="AF678" s="8"/>
      <c r="AG678" s="191"/>
      <c r="AH678" s="191"/>
      <c r="AI678" s="191"/>
      <c r="AJ678" s="8"/>
      <c r="AK678" s="8"/>
      <c r="AL678" s="8"/>
      <c r="AM678" s="8"/>
      <c r="AN678" s="8"/>
      <c r="AO678" s="8"/>
      <c r="AP678" s="8"/>
      <c r="AQ678" s="8"/>
      <c r="AR678" s="8"/>
      <c r="AS678" s="8"/>
      <c r="AT678" s="8"/>
    </row>
    <row r="679">
      <c r="A679" s="197"/>
      <c r="B679" s="198"/>
      <c r="C679" s="379"/>
      <c r="D679" s="197"/>
      <c r="E679" s="198"/>
      <c r="F679" s="379"/>
      <c r="G679" s="197"/>
      <c r="H679" s="198"/>
      <c r="I679" s="379"/>
      <c r="J679" s="197"/>
      <c r="K679" s="198"/>
      <c r="L679" s="379"/>
      <c r="M679" s="197"/>
      <c r="N679" s="198"/>
      <c r="O679" s="379"/>
      <c r="P679" s="197"/>
      <c r="Q679" s="198"/>
      <c r="R679" s="379"/>
      <c r="S679" s="197"/>
      <c r="T679" s="198"/>
      <c r="U679" s="379"/>
      <c r="V679" s="197"/>
      <c r="W679" s="198"/>
      <c r="X679" s="379"/>
      <c r="Y679" s="184"/>
      <c r="Z679" s="184"/>
      <c r="AA679" s="184"/>
      <c r="AB679" s="184"/>
      <c r="AC679" s="8"/>
      <c r="AD679" s="8"/>
      <c r="AE679" s="8"/>
      <c r="AF679" s="8"/>
      <c r="AG679" s="191"/>
      <c r="AH679" s="191"/>
      <c r="AI679" s="191"/>
      <c r="AJ679" s="8"/>
      <c r="AK679" s="8"/>
      <c r="AL679" s="8"/>
      <c r="AM679" s="8"/>
      <c r="AN679" s="8"/>
      <c r="AO679" s="8"/>
      <c r="AP679" s="8"/>
      <c r="AQ679" s="8"/>
      <c r="AR679" s="8"/>
      <c r="AS679" s="8"/>
      <c r="AT679" s="8"/>
    </row>
    <row r="680">
      <c r="A680" s="197"/>
      <c r="B680" s="198"/>
      <c r="C680" s="379"/>
      <c r="D680" s="197"/>
      <c r="E680" s="198"/>
      <c r="F680" s="379"/>
      <c r="G680" s="197"/>
      <c r="H680" s="198"/>
      <c r="I680" s="379"/>
      <c r="J680" s="197"/>
      <c r="K680" s="198"/>
      <c r="L680" s="379"/>
      <c r="M680" s="197"/>
      <c r="N680" s="198"/>
      <c r="O680" s="379"/>
      <c r="P680" s="197"/>
      <c r="Q680" s="198"/>
      <c r="R680" s="379"/>
      <c r="S680" s="197"/>
      <c r="T680" s="198"/>
      <c r="U680" s="379"/>
      <c r="V680" s="197"/>
      <c r="W680" s="198"/>
      <c r="X680" s="379"/>
      <c r="Y680" s="184"/>
      <c r="Z680" s="184"/>
      <c r="AA680" s="184"/>
      <c r="AB680" s="184"/>
      <c r="AC680" s="8"/>
      <c r="AD680" s="8"/>
      <c r="AE680" s="8"/>
      <c r="AF680" s="8"/>
      <c r="AG680" s="191"/>
      <c r="AH680" s="191"/>
      <c r="AI680" s="191"/>
      <c r="AJ680" s="8"/>
      <c r="AK680" s="8"/>
      <c r="AL680" s="8"/>
      <c r="AM680" s="8"/>
      <c r="AN680" s="8"/>
      <c r="AO680" s="8"/>
      <c r="AP680" s="8"/>
      <c r="AQ680" s="8"/>
      <c r="AR680" s="8"/>
      <c r="AS680" s="8"/>
      <c r="AT680" s="8"/>
    </row>
    <row r="681">
      <c r="A681" s="197"/>
      <c r="B681" s="198"/>
      <c r="C681" s="379"/>
      <c r="D681" s="197"/>
      <c r="E681" s="198"/>
      <c r="F681" s="379"/>
      <c r="G681" s="197"/>
      <c r="H681" s="198"/>
      <c r="I681" s="379"/>
      <c r="J681" s="197"/>
      <c r="K681" s="198"/>
      <c r="L681" s="379"/>
      <c r="M681" s="197"/>
      <c r="N681" s="198"/>
      <c r="O681" s="379"/>
      <c r="P681" s="197"/>
      <c r="Q681" s="198"/>
      <c r="R681" s="379"/>
      <c r="S681" s="197"/>
      <c r="T681" s="198"/>
      <c r="U681" s="379"/>
      <c r="V681" s="197"/>
      <c r="W681" s="198"/>
      <c r="X681" s="379"/>
      <c r="Y681" s="184"/>
      <c r="Z681" s="184"/>
      <c r="AA681" s="184"/>
      <c r="AB681" s="184"/>
      <c r="AC681" s="8"/>
      <c r="AD681" s="8"/>
      <c r="AE681" s="8"/>
      <c r="AF681" s="8"/>
      <c r="AG681" s="191"/>
      <c r="AH681" s="191"/>
      <c r="AI681" s="191"/>
      <c r="AJ681" s="8"/>
      <c r="AK681" s="8"/>
      <c r="AL681" s="8"/>
      <c r="AM681" s="8"/>
      <c r="AN681" s="8"/>
      <c r="AO681" s="8"/>
      <c r="AP681" s="8"/>
      <c r="AQ681" s="8"/>
      <c r="AR681" s="8"/>
      <c r="AS681" s="8"/>
      <c r="AT681" s="8"/>
    </row>
    <row r="682">
      <c r="A682" s="197"/>
      <c r="B682" s="198"/>
      <c r="C682" s="379"/>
      <c r="D682" s="197"/>
      <c r="E682" s="198"/>
      <c r="F682" s="379"/>
      <c r="G682" s="197"/>
      <c r="H682" s="198"/>
      <c r="I682" s="379"/>
      <c r="J682" s="197"/>
      <c r="K682" s="198"/>
      <c r="L682" s="379"/>
      <c r="M682" s="197"/>
      <c r="N682" s="198"/>
      <c r="O682" s="379"/>
      <c r="P682" s="197"/>
      <c r="Q682" s="198"/>
      <c r="R682" s="379"/>
      <c r="S682" s="197"/>
      <c r="T682" s="198"/>
      <c r="U682" s="379"/>
      <c r="V682" s="197"/>
      <c r="W682" s="198"/>
      <c r="X682" s="379"/>
      <c r="Y682" s="184"/>
      <c r="Z682" s="184"/>
      <c r="AA682" s="184"/>
      <c r="AB682" s="184"/>
      <c r="AC682" s="8"/>
      <c r="AD682" s="8"/>
      <c r="AE682" s="8"/>
      <c r="AF682" s="8"/>
      <c r="AG682" s="191"/>
      <c r="AH682" s="191"/>
      <c r="AI682" s="191"/>
      <c r="AJ682" s="8"/>
      <c r="AK682" s="8"/>
      <c r="AL682" s="8"/>
      <c r="AM682" s="8"/>
      <c r="AN682" s="8"/>
      <c r="AO682" s="8"/>
      <c r="AP682" s="8"/>
      <c r="AQ682" s="8"/>
      <c r="AR682" s="8"/>
      <c r="AS682" s="8"/>
      <c r="AT682" s="8"/>
    </row>
    <row r="683">
      <c r="A683" s="197"/>
      <c r="B683" s="198"/>
      <c r="C683" s="379"/>
      <c r="D683" s="197"/>
      <c r="E683" s="198"/>
      <c r="F683" s="379"/>
      <c r="G683" s="197"/>
      <c r="H683" s="198"/>
      <c r="I683" s="379"/>
      <c r="J683" s="197"/>
      <c r="K683" s="198"/>
      <c r="L683" s="379"/>
      <c r="M683" s="197"/>
      <c r="N683" s="198"/>
      <c r="O683" s="379"/>
      <c r="P683" s="197"/>
      <c r="Q683" s="198"/>
      <c r="R683" s="379"/>
      <c r="S683" s="197"/>
      <c r="T683" s="198"/>
      <c r="U683" s="379"/>
      <c r="V683" s="197"/>
      <c r="W683" s="198"/>
      <c r="X683" s="379"/>
      <c r="Y683" s="184"/>
      <c r="Z683" s="184"/>
      <c r="AA683" s="184"/>
      <c r="AB683" s="184"/>
      <c r="AC683" s="8"/>
      <c r="AD683" s="8"/>
      <c r="AE683" s="8"/>
      <c r="AF683" s="8"/>
      <c r="AG683" s="191"/>
      <c r="AH683" s="191"/>
      <c r="AI683" s="191"/>
      <c r="AJ683" s="8"/>
      <c r="AK683" s="8"/>
      <c r="AL683" s="8"/>
      <c r="AM683" s="8"/>
      <c r="AN683" s="8"/>
      <c r="AO683" s="8"/>
      <c r="AP683" s="8"/>
      <c r="AQ683" s="8"/>
      <c r="AR683" s="8"/>
      <c r="AS683" s="8"/>
      <c r="AT683" s="8"/>
    </row>
    <row r="684">
      <c r="A684" s="197"/>
      <c r="B684" s="198"/>
      <c r="C684" s="379"/>
      <c r="D684" s="197"/>
      <c r="E684" s="198"/>
      <c r="F684" s="379"/>
      <c r="G684" s="197"/>
      <c r="H684" s="198"/>
      <c r="I684" s="379"/>
      <c r="J684" s="197"/>
      <c r="K684" s="198"/>
      <c r="L684" s="379"/>
      <c r="M684" s="197"/>
      <c r="N684" s="198"/>
      <c r="O684" s="379"/>
      <c r="P684" s="197"/>
      <c r="Q684" s="198"/>
      <c r="R684" s="379"/>
      <c r="S684" s="197"/>
      <c r="T684" s="198"/>
      <c r="U684" s="379"/>
      <c r="V684" s="197"/>
      <c r="W684" s="198"/>
      <c r="X684" s="379"/>
      <c r="Y684" s="184"/>
      <c r="Z684" s="184"/>
      <c r="AA684" s="184"/>
      <c r="AB684" s="184"/>
      <c r="AC684" s="8"/>
      <c r="AD684" s="8"/>
      <c r="AE684" s="8"/>
      <c r="AF684" s="8"/>
      <c r="AG684" s="191"/>
      <c r="AH684" s="191"/>
      <c r="AI684" s="191"/>
      <c r="AJ684" s="8"/>
      <c r="AK684" s="8"/>
      <c r="AL684" s="8"/>
      <c r="AM684" s="8"/>
      <c r="AN684" s="8"/>
      <c r="AO684" s="8"/>
      <c r="AP684" s="8"/>
      <c r="AQ684" s="8"/>
      <c r="AR684" s="8"/>
      <c r="AS684" s="8"/>
      <c r="AT684" s="8"/>
    </row>
    <row r="685">
      <c r="A685" s="197"/>
      <c r="B685" s="198"/>
      <c r="C685" s="379"/>
      <c r="D685" s="197"/>
      <c r="E685" s="198"/>
      <c r="F685" s="379"/>
      <c r="G685" s="197"/>
      <c r="H685" s="198"/>
      <c r="I685" s="379"/>
      <c r="J685" s="197"/>
      <c r="K685" s="198"/>
      <c r="L685" s="379"/>
      <c r="M685" s="197"/>
      <c r="N685" s="198"/>
      <c r="O685" s="379"/>
      <c r="P685" s="197"/>
      <c r="Q685" s="198"/>
      <c r="R685" s="379"/>
      <c r="S685" s="197"/>
      <c r="T685" s="198"/>
      <c r="U685" s="379"/>
      <c r="V685" s="197"/>
      <c r="W685" s="198"/>
      <c r="X685" s="379"/>
      <c r="Y685" s="184"/>
      <c r="Z685" s="184"/>
      <c r="AA685" s="184"/>
      <c r="AB685" s="184"/>
      <c r="AC685" s="8"/>
      <c r="AD685" s="8"/>
      <c r="AE685" s="8"/>
      <c r="AF685" s="8"/>
      <c r="AG685" s="191"/>
      <c r="AH685" s="191"/>
      <c r="AI685" s="191"/>
      <c r="AJ685" s="8"/>
      <c r="AK685" s="8"/>
      <c r="AL685" s="8"/>
      <c r="AM685" s="8"/>
      <c r="AN685" s="8"/>
      <c r="AO685" s="8"/>
      <c r="AP685" s="8"/>
      <c r="AQ685" s="8"/>
      <c r="AR685" s="8"/>
      <c r="AS685" s="8"/>
      <c r="AT685" s="8"/>
    </row>
    <row r="686">
      <c r="A686" s="197"/>
      <c r="B686" s="198"/>
      <c r="C686" s="379"/>
      <c r="D686" s="197"/>
      <c r="E686" s="198"/>
      <c r="F686" s="379"/>
      <c r="G686" s="197"/>
      <c r="H686" s="198"/>
      <c r="I686" s="379"/>
      <c r="J686" s="197"/>
      <c r="K686" s="198"/>
      <c r="L686" s="379"/>
      <c r="M686" s="197"/>
      <c r="N686" s="198"/>
      <c r="O686" s="379"/>
      <c r="P686" s="197"/>
      <c r="Q686" s="198"/>
      <c r="R686" s="379"/>
      <c r="S686" s="197"/>
      <c r="T686" s="198"/>
      <c r="U686" s="379"/>
      <c r="V686" s="197"/>
      <c r="W686" s="198"/>
      <c r="X686" s="379"/>
      <c r="Y686" s="184"/>
      <c r="Z686" s="184"/>
      <c r="AA686" s="184"/>
      <c r="AB686" s="184"/>
      <c r="AC686" s="8"/>
      <c r="AD686" s="8"/>
      <c r="AE686" s="8"/>
      <c r="AF686" s="8"/>
      <c r="AG686" s="191"/>
      <c r="AH686" s="191"/>
      <c r="AI686" s="191"/>
      <c r="AJ686" s="8"/>
      <c r="AK686" s="8"/>
      <c r="AL686" s="8"/>
      <c r="AM686" s="8"/>
      <c r="AN686" s="8"/>
      <c r="AO686" s="8"/>
      <c r="AP686" s="8"/>
      <c r="AQ686" s="8"/>
      <c r="AR686" s="8"/>
      <c r="AS686" s="8"/>
      <c r="AT686" s="8"/>
    </row>
    <row r="687">
      <c r="A687" s="197"/>
      <c r="B687" s="198"/>
      <c r="C687" s="379"/>
      <c r="D687" s="197"/>
      <c r="E687" s="198"/>
      <c r="F687" s="379"/>
      <c r="G687" s="197"/>
      <c r="H687" s="198"/>
      <c r="I687" s="379"/>
      <c r="J687" s="197"/>
      <c r="K687" s="198"/>
      <c r="L687" s="379"/>
      <c r="M687" s="197"/>
      <c r="N687" s="198"/>
      <c r="O687" s="379"/>
      <c r="P687" s="197"/>
      <c r="Q687" s="198"/>
      <c r="R687" s="379"/>
      <c r="S687" s="197"/>
      <c r="T687" s="198"/>
      <c r="U687" s="379"/>
      <c r="V687" s="197"/>
      <c r="W687" s="198"/>
      <c r="X687" s="379"/>
      <c r="Y687" s="184"/>
      <c r="Z687" s="184"/>
      <c r="AA687" s="184"/>
      <c r="AB687" s="184"/>
      <c r="AC687" s="8"/>
      <c r="AD687" s="8"/>
      <c r="AE687" s="8"/>
      <c r="AF687" s="8"/>
      <c r="AG687" s="191"/>
      <c r="AH687" s="191"/>
      <c r="AI687" s="191"/>
      <c r="AJ687" s="8"/>
      <c r="AK687" s="8"/>
      <c r="AL687" s="8"/>
      <c r="AM687" s="8"/>
      <c r="AN687" s="8"/>
      <c r="AO687" s="8"/>
      <c r="AP687" s="8"/>
      <c r="AQ687" s="8"/>
      <c r="AR687" s="8"/>
      <c r="AS687" s="8"/>
      <c r="AT687" s="8"/>
    </row>
    <row r="688">
      <c r="A688" s="197"/>
      <c r="B688" s="198"/>
      <c r="C688" s="379"/>
      <c r="D688" s="197"/>
      <c r="E688" s="198"/>
      <c r="F688" s="379"/>
      <c r="G688" s="197"/>
      <c r="H688" s="198"/>
      <c r="I688" s="379"/>
      <c r="J688" s="197"/>
      <c r="K688" s="198"/>
      <c r="L688" s="379"/>
      <c r="M688" s="197"/>
      <c r="N688" s="198"/>
      <c r="O688" s="379"/>
      <c r="P688" s="197"/>
      <c r="Q688" s="198"/>
      <c r="R688" s="379"/>
      <c r="S688" s="197"/>
      <c r="T688" s="198"/>
      <c r="U688" s="379"/>
      <c r="V688" s="197"/>
      <c r="W688" s="198"/>
      <c r="X688" s="379"/>
      <c r="Y688" s="184"/>
      <c r="Z688" s="184"/>
      <c r="AA688" s="184"/>
      <c r="AB688" s="184"/>
      <c r="AC688" s="8"/>
      <c r="AD688" s="8"/>
      <c r="AE688" s="8"/>
      <c r="AF688" s="8"/>
      <c r="AG688" s="191"/>
      <c r="AH688" s="191"/>
      <c r="AI688" s="191"/>
      <c r="AJ688" s="8"/>
      <c r="AK688" s="8"/>
      <c r="AL688" s="8"/>
      <c r="AM688" s="8"/>
      <c r="AN688" s="8"/>
      <c r="AO688" s="8"/>
      <c r="AP688" s="8"/>
      <c r="AQ688" s="8"/>
      <c r="AR688" s="8"/>
      <c r="AS688" s="8"/>
      <c r="AT688" s="8"/>
    </row>
    <row r="689">
      <c r="A689" s="197"/>
      <c r="B689" s="198"/>
      <c r="C689" s="379"/>
      <c r="D689" s="197"/>
      <c r="E689" s="198"/>
      <c r="F689" s="379"/>
      <c r="G689" s="197"/>
      <c r="H689" s="198"/>
      <c r="I689" s="379"/>
      <c r="J689" s="197"/>
      <c r="K689" s="198"/>
      <c r="L689" s="379"/>
      <c r="M689" s="197"/>
      <c r="N689" s="198"/>
      <c r="O689" s="379"/>
      <c r="P689" s="197"/>
      <c r="Q689" s="198"/>
      <c r="R689" s="379"/>
      <c r="S689" s="197"/>
      <c r="T689" s="198"/>
      <c r="U689" s="379"/>
      <c r="V689" s="197"/>
      <c r="W689" s="198"/>
      <c r="X689" s="379"/>
      <c r="Y689" s="184"/>
      <c r="Z689" s="184"/>
      <c r="AA689" s="184"/>
      <c r="AB689" s="184"/>
      <c r="AC689" s="8"/>
      <c r="AD689" s="8"/>
      <c r="AE689" s="8"/>
      <c r="AF689" s="8"/>
      <c r="AG689" s="191"/>
      <c r="AH689" s="191"/>
      <c r="AI689" s="191"/>
      <c r="AJ689" s="8"/>
      <c r="AK689" s="8"/>
      <c r="AL689" s="8"/>
      <c r="AM689" s="8"/>
      <c r="AN689" s="8"/>
      <c r="AO689" s="8"/>
      <c r="AP689" s="8"/>
      <c r="AQ689" s="8"/>
      <c r="AR689" s="8"/>
      <c r="AS689" s="8"/>
      <c r="AT689" s="8"/>
    </row>
    <row r="690">
      <c r="A690" s="197"/>
      <c r="B690" s="198"/>
      <c r="C690" s="379"/>
      <c r="D690" s="197"/>
      <c r="E690" s="198"/>
      <c r="F690" s="379"/>
      <c r="G690" s="197"/>
      <c r="H690" s="198"/>
      <c r="I690" s="379"/>
      <c r="J690" s="197"/>
      <c r="K690" s="198"/>
      <c r="L690" s="379"/>
      <c r="M690" s="197"/>
      <c r="N690" s="198"/>
      <c r="O690" s="379"/>
      <c r="P690" s="197"/>
      <c r="Q690" s="198"/>
      <c r="R690" s="379"/>
      <c r="S690" s="197"/>
      <c r="T690" s="198"/>
      <c r="U690" s="379"/>
      <c r="V690" s="197"/>
      <c r="W690" s="198"/>
      <c r="X690" s="379"/>
      <c r="Y690" s="184"/>
      <c r="Z690" s="184"/>
      <c r="AA690" s="184"/>
      <c r="AB690" s="184"/>
      <c r="AC690" s="8"/>
      <c r="AD690" s="8"/>
      <c r="AE690" s="8"/>
      <c r="AF690" s="8"/>
      <c r="AG690" s="191"/>
      <c r="AH690" s="191"/>
      <c r="AI690" s="191"/>
      <c r="AJ690" s="8"/>
      <c r="AK690" s="8"/>
      <c r="AL690" s="8"/>
      <c r="AM690" s="8"/>
      <c r="AN690" s="8"/>
      <c r="AO690" s="8"/>
      <c r="AP690" s="8"/>
      <c r="AQ690" s="8"/>
      <c r="AR690" s="8"/>
      <c r="AS690" s="8"/>
      <c r="AT690" s="8"/>
    </row>
    <row r="691">
      <c r="A691" s="197"/>
      <c r="B691" s="198"/>
      <c r="C691" s="379"/>
      <c r="D691" s="197"/>
      <c r="E691" s="198"/>
      <c r="F691" s="379"/>
      <c r="G691" s="197"/>
      <c r="H691" s="198"/>
      <c r="I691" s="379"/>
      <c r="J691" s="197"/>
      <c r="K691" s="198"/>
      <c r="L691" s="379"/>
      <c r="M691" s="197"/>
      <c r="N691" s="198"/>
      <c r="O691" s="379"/>
      <c r="P691" s="197"/>
      <c r="Q691" s="198"/>
      <c r="R691" s="379"/>
      <c r="S691" s="197"/>
      <c r="T691" s="198"/>
      <c r="U691" s="379"/>
      <c r="V691" s="197"/>
      <c r="W691" s="198"/>
      <c r="X691" s="379"/>
      <c r="Y691" s="184"/>
      <c r="Z691" s="184"/>
      <c r="AA691" s="184"/>
      <c r="AB691" s="184"/>
      <c r="AC691" s="8"/>
      <c r="AD691" s="8"/>
      <c r="AE691" s="8"/>
      <c r="AF691" s="8"/>
      <c r="AG691" s="191"/>
      <c r="AH691" s="191"/>
      <c r="AI691" s="191"/>
      <c r="AJ691" s="8"/>
      <c r="AK691" s="8"/>
      <c r="AL691" s="8"/>
      <c r="AM691" s="8"/>
      <c r="AN691" s="8"/>
      <c r="AO691" s="8"/>
      <c r="AP691" s="8"/>
      <c r="AQ691" s="8"/>
      <c r="AR691" s="8"/>
      <c r="AS691" s="8"/>
      <c r="AT691" s="8"/>
    </row>
    <row r="692">
      <c r="A692" s="197"/>
      <c r="B692" s="198"/>
      <c r="C692" s="379"/>
      <c r="D692" s="197"/>
      <c r="E692" s="198"/>
      <c r="F692" s="379"/>
      <c r="G692" s="197"/>
      <c r="H692" s="198"/>
      <c r="I692" s="379"/>
      <c r="J692" s="197"/>
      <c r="K692" s="198"/>
      <c r="L692" s="379"/>
      <c r="M692" s="197"/>
      <c r="N692" s="198"/>
      <c r="O692" s="379"/>
      <c r="P692" s="197"/>
      <c r="Q692" s="198"/>
      <c r="R692" s="379"/>
      <c r="S692" s="197"/>
      <c r="T692" s="198"/>
      <c r="U692" s="379"/>
      <c r="V692" s="197"/>
      <c r="W692" s="198"/>
      <c r="X692" s="379"/>
      <c r="Y692" s="184"/>
      <c r="Z692" s="184"/>
      <c r="AA692" s="184"/>
      <c r="AB692" s="184"/>
      <c r="AC692" s="8"/>
      <c r="AD692" s="8"/>
      <c r="AE692" s="8"/>
      <c r="AF692" s="8"/>
      <c r="AG692" s="191"/>
      <c r="AH692" s="191"/>
      <c r="AI692" s="191"/>
      <c r="AJ692" s="8"/>
      <c r="AK692" s="8"/>
      <c r="AL692" s="8"/>
      <c r="AM692" s="8"/>
      <c r="AN692" s="8"/>
      <c r="AO692" s="8"/>
      <c r="AP692" s="8"/>
      <c r="AQ692" s="8"/>
      <c r="AR692" s="8"/>
      <c r="AS692" s="8"/>
      <c r="AT692" s="8"/>
    </row>
    <row r="693">
      <c r="A693" s="197"/>
      <c r="B693" s="198"/>
      <c r="C693" s="379"/>
      <c r="D693" s="197"/>
      <c r="E693" s="198"/>
      <c r="F693" s="379"/>
      <c r="G693" s="197"/>
      <c r="H693" s="198"/>
      <c r="I693" s="379"/>
      <c r="J693" s="197"/>
      <c r="K693" s="198"/>
      <c r="L693" s="379"/>
      <c r="M693" s="197"/>
      <c r="N693" s="198"/>
      <c r="O693" s="379"/>
      <c r="P693" s="197"/>
      <c r="Q693" s="198"/>
      <c r="R693" s="379"/>
      <c r="S693" s="197"/>
      <c r="T693" s="198"/>
      <c r="U693" s="379"/>
      <c r="V693" s="197"/>
      <c r="W693" s="198"/>
      <c r="X693" s="379"/>
      <c r="Y693" s="184"/>
      <c r="Z693" s="184"/>
      <c r="AA693" s="184"/>
      <c r="AB693" s="184"/>
      <c r="AC693" s="8"/>
      <c r="AD693" s="8"/>
      <c r="AE693" s="8"/>
      <c r="AF693" s="8"/>
      <c r="AG693" s="191"/>
      <c r="AH693" s="191"/>
      <c r="AI693" s="191"/>
      <c r="AJ693" s="8"/>
      <c r="AK693" s="8"/>
      <c r="AL693" s="8"/>
      <c r="AM693" s="8"/>
      <c r="AN693" s="8"/>
      <c r="AO693" s="8"/>
      <c r="AP693" s="8"/>
      <c r="AQ693" s="8"/>
      <c r="AR693" s="8"/>
      <c r="AS693" s="8"/>
      <c r="AT693" s="8"/>
    </row>
    <row r="694">
      <c r="A694" s="197"/>
      <c r="B694" s="198"/>
      <c r="C694" s="379"/>
      <c r="D694" s="197"/>
      <c r="E694" s="198"/>
      <c r="F694" s="379"/>
      <c r="G694" s="197"/>
      <c r="H694" s="198"/>
      <c r="I694" s="379"/>
      <c r="J694" s="197"/>
      <c r="K694" s="198"/>
      <c r="L694" s="379"/>
      <c r="M694" s="197"/>
      <c r="N694" s="198"/>
      <c r="O694" s="379"/>
      <c r="P694" s="197"/>
      <c r="Q694" s="198"/>
      <c r="R694" s="379"/>
      <c r="S694" s="197"/>
      <c r="T694" s="198"/>
      <c r="U694" s="379"/>
      <c r="V694" s="197"/>
      <c r="W694" s="198"/>
      <c r="X694" s="379"/>
      <c r="Y694" s="184"/>
      <c r="Z694" s="184"/>
      <c r="AA694" s="184"/>
      <c r="AB694" s="184"/>
      <c r="AC694" s="8"/>
      <c r="AD694" s="8"/>
      <c r="AE694" s="8"/>
      <c r="AF694" s="8"/>
      <c r="AG694" s="191"/>
      <c r="AH694" s="191"/>
      <c r="AI694" s="191"/>
      <c r="AJ694" s="8"/>
      <c r="AK694" s="8"/>
      <c r="AL694" s="8"/>
      <c r="AM694" s="8"/>
      <c r="AN694" s="8"/>
      <c r="AO694" s="8"/>
      <c r="AP694" s="8"/>
      <c r="AQ694" s="8"/>
      <c r="AR694" s="8"/>
      <c r="AS694" s="8"/>
      <c r="AT694" s="8"/>
    </row>
    <row r="695">
      <c r="A695" s="197"/>
      <c r="B695" s="198"/>
      <c r="C695" s="379"/>
      <c r="D695" s="197"/>
      <c r="E695" s="198"/>
      <c r="F695" s="379"/>
      <c r="G695" s="197"/>
      <c r="H695" s="198"/>
      <c r="I695" s="379"/>
      <c r="J695" s="197"/>
      <c r="K695" s="198"/>
      <c r="L695" s="379"/>
      <c r="M695" s="197"/>
      <c r="N695" s="198"/>
      <c r="O695" s="379"/>
      <c r="P695" s="197"/>
      <c r="Q695" s="198"/>
      <c r="R695" s="379"/>
      <c r="S695" s="197"/>
      <c r="T695" s="198"/>
      <c r="U695" s="379"/>
      <c r="V695" s="197"/>
      <c r="W695" s="198"/>
      <c r="X695" s="379"/>
      <c r="Y695" s="184"/>
      <c r="Z695" s="184"/>
      <c r="AA695" s="184"/>
      <c r="AB695" s="184"/>
      <c r="AC695" s="8"/>
      <c r="AD695" s="8"/>
      <c r="AE695" s="8"/>
      <c r="AF695" s="8"/>
      <c r="AG695" s="191"/>
      <c r="AH695" s="191"/>
      <c r="AI695" s="191"/>
      <c r="AJ695" s="8"/>
      <c r="AK695" s="8"/>
      <c r="AL695" s="8"/>
      <c r="AM695" s="8"/>
      <c r="AN695" s="8"/>
      <c r="AO695" s="8"/>
      <c r="AP695" s="8"/>
      <c r="AQ695" s="8"/>
      <c r="AR695" s="8"/>
      <c r="AS695" s="8"/>
      <c r="AT695" s="8"/>
    </row>
    <row r="696">
      <c r="A696" s="197"/>
      <c r="B696" s="198"/>
      <c r="C696" s="379"/>
      <c r="D696" s="197"/>
      <c r="E696" s="198"/>
      <c r="F696" s="379"/>
      <c r="G696" s="197"/>
      <c r="H696" s="198"/>
      <c r="I696" s="379"/>
      <c r="J696" s="197"/>
      <c r="K696" s="198"/>
      <c r="L696" s="379"/>
      <c r="M696" s="197"/>
      <c r="N696" s="198"/>
      <c r="O696" s="379"/>
      <c r="P696" s="197"/>
      <c r="Q696" s="198"/>
      <c r="R696" s="379"/>
      <c r="S696" s="197"/>
      <c r="T696" s="198"/>
      <c r="U696" s="379"/>
      <c r="V696" s="197"/>
      <c r="W696" s="198"/>
      <c r="X696" s="379"/>
      <c r="Y696" s="184"/>
      <c r="Z696" s="184"/>
      <c r="AA696" s="184"/>
      <c r="AB696" s="184"/>
      <c r="AC696" s="8"/>
      <c r="AD696" s="8"/>
      <c r="AE696" s="8"/>
      <c r="AF696" s="8"/>
      <c r="AG696" s="191"/>
      <c r="AH696" s="191"/>
      <c r="AI696" s="191"/>
      <c r="AJ696" s="8"/>
      <c r="AK696" s="8"/>
      <c r="AL696" s="8"/>
      <c r="AM696" s="8"/>
      <c r="AN696" s="8"/>
      <c r="AO696" s="8"/>
      <c r="AP696" s="8"/>
      <c r="AQ696" s="8"/>
      <c r="AR696" s="8"/>
      <c r="AS696" s="8"/>
      <c r="AT696" s="8"/>
    </row>
    <row r="697">
      <c r="A697" s="197"/>
      <c r="B697" s="198"/>
      <c r="C697" s="379"/>
      <c r="D697" s="197"/>
      <c r="E697" s="198"/>
      <c r="F697" s="379"/>
      <c r="G697" s="197"/>
      <c r="H697" s="198"/>
      <c r="I697" s="379"/>
      <c r="J697" s="197"/>
      <c r="K697" s="198"/>
      <c r="L697" s="379"/>
      <c r="M697" s="197"/>
      <c r="N697" s="198"/>
      <c r="O697" s="379"/>
      <c r="P697" s="197"/>
      <c r="Q697" s="198"/>
      <c r="R697" s="379"/>
      <c r="S697" s="197"/>
      <c r="T697" s="198"/>
      <c r="U697" s="379"/>
      <c r="V697" s="197"/>
      <c r="W697" s="198"/>
      <c r="X697" s="379"/>
      <c r="Y697" s="184"/>
      <c r="Z697" s="184"/>
      <c r="AA697" s="184"/>
      <c r="AB697" s="184"/>
      <c r="AC697" s="8"/>
      <c r="AD697" s="8"/>
      <c r="AE697" s="8"/>
      <c r="AF697" s="8"/>
      <c r="AG697" s="191"/>
      <c r="AH697" s="191"/>
      <c r="AI697" s="191"/>
      <c r="AJ697" s="8"/>
      <c r="AK697" s="8"/>
      <c r="AL697" s="8"/>
      <c r="AM697" s="8"/>
      <c r="AN697" s="8"/>
      <c r="AO697" s="8"/>
      <c r="AP697" s="8"/>
      <c r="AQ697" s="8"/>
      <c r="AR697" s="8"/>
      <c r="AS697" s="8"/>
      <c r="AT697" s="8"/>
    </row>
    <row r="698">
      <c r="A698" s="197"/>
      <c r="B698" s="198"/>
      <c r="C698" s="379"/>
      <c r="D698" s="197"/>
      <c r="E698" s="198"/>
      <c r="F698" s="379"/>
      <c r="G698" s="197"/>
      <c r="H698" s="198"/>
      <c r="I698" s="379"/>
      <c r="J698" s="197"/>
      <c r="K698" s="198"/>
      <c r="L698" s="379"/>
      <c r="M698" s="197"/>
      <c r="N698" s="198"/>
      <c r="O698" s="379"/>
      <c r="P698" s="197"/>
      <c r="Q698" s="198"/>
      <c r="R698" s="379"/>
      <c r="S698" s="197"/>
      <c r="T698" s="198"/>
      <c r="U698" s="379"/>
      <c r="V698" s="197"/>
      <c r="W698" s="198"/>
      <c r="X698" s="379"/>
      <c r="Y698" s="184"/>
      <c r="Z698" s="184"/>
      <c r="AA698" s="184"/>
      <c r="AB698" s="184"/>
      <c r="AC698" s="8"/>
      <c r="AD698" s="8"/>
      <c r="AE698" s="8"/>
      <c r="AF698" s="8"/>
      <c r="AG698" s="191"/>
      <c r="AH698" s="191"/>
      <c r="AI698" s="191"/>
      <c r="AJ698" s="8"/>
      <c r="AK698" s="8"/>
      <c r="AL698" s="8"/>
      <c r="AM698" s="8"/>
      <c r="AN698" s="8"/>
      <c r="AO698" s="8"/>
      <c r="AP698" s="8"/>
      <c r="AQ698" s="8"/>
      <c r="AR698" s="8"/>
      <c r="AS698" s="8"/>
      <c r="AT698" s="8"/>
    </row>
    <row r="699">
      <c r="A699" s="197"/>
      <c r="B699" s="198"/>
      <c r="C699" s="379"/>
      <c r="D699" s="197"/>
      <c r="E699" s="198"/>
      <c r="F699" s="379"/>
      <c r="G699" s="197"/>
      <c r="H699" s="198"/>
      <c r="I699" s="379"/>
      <c r="J699" s="197"/>
      <c r="K699" s="198"/>
      <c r="L699" s="379"/>
      <c r="M699" s="197"/>
      <c r="N699" s="198"/>
      <c r="O699" s="379"/>
      <c r="P699" s="197"/>
      <c r="Q699" s="198"/>
      <c r="R699" s="379"/>
      <c r="S699" s="197"/>
      <c r="T699" s="198"/>
      <c r="U699" s="379"/>
      <c r="V699" s="197"/>
      <c r="W699" s="198"/>
      <c r="X699" s="379"/>
      <c r="Y699" s="184"/>
      <c r="Z699" s="184"/>
      <c r="AA699" s="184"/>
      <c r="AB699" s="184"/>
      <c r="AC699" s="8"/>
      <c r="AD699" s="8"/>
      <c r="AE699" s="8"/>
      <c r="AF699" s="8"/>
      <c r="AG699" s="191"/>
      <c r="AH699" s="191"/>
      <c r="AI699" s="191"/>
      <c r="AJ699" s="8"/>
      <c r="AK699" s="8"/>
      <c r="AL699" s="8"/>
      <c r="AM699" s="8"/>
      <c r="AN699" s="8"/>
      <c r="AO699" s="8"/>
      <c r="AP699" s="8"/>
      <c r="AQ699" s="8"/>
      <c r="AR699" s="8"/>
      <c r="AS699" s="8"/>
      <c r="AT699" s="8"/>
    </row>
    <row r="700">
      <c r="A700" s="197"/>
      <c r="B700" s="198"/>
      <c r="C700" s="379"/>
      <c r="D700" s="197"/>
      <c r="E700" s="198"/>
      <c r="F700" s="379"/>
      <c r="G700" s="197"/>
      <c r="H700" s="198"/>
      <c r="I700" s="379"/>
      <c r="J700" s="197"/>
      <c r="K700" s="198"/>
      <c r="L700" s="379"/>
      <c r="M700" s="197"/>
      <c r="N700" s="198"/>
      <c r="O700" s="379"/>
      <c r="P700" s="197"/>
      <c r="Q700" s="198"/>
      <c r="R700" s="379"/>
      <c r="S700" s="197"/>
      <c r="T700" s="198"/>
      <c r="U700" s="379"/>
      <c r="V700" s="197"/>
      <c r="W700" s="198"/>
      <c r="X700" s="379"/>
      <c r="Y700" s="184"/>
      <c r="Z700" s="184"/>
      <c r="AA700" s="184"/>
      <c r="AB700" s="184"/>
      <c r="AC700" s="8"/>
      <c r="AD700" s="8"/>
      <c r="AE700" s="8"/>
      <c r="AF700" s="8"/>
      <c r="AG700" s="191"/>
      <c r="AH700" s="191"/>
      <c r="AI700" s="191"/>
      <c r="AJ700" s="8"/>
      <c r="AK700" s="8"/>
      <c r="AL700" s="8"/>
      <c r="AM700" s="8"/>
      <c r="AN700" s="8"/>
      <c r="AO700" s="8"/>
      <c r="AP700" s="8"/>
      <c r="AQ700" s="8"/>
      <c r="AR700" s="8"/>
      <c r="AS700" s="8"/>
      <c r="AT700" s="8"/>
    </row>
    <row r="701">
      <c r="A701" s="197"/>
      <c r="B701" s="198"/>
      <c r="C701" s="379"/>
      <c r="D701" s="197"/>
      <c r="E701" s="198"/>
      <c r="F701" s="379"/>
      <c r="G701" s="197"/>
      <c r="H701" s="198"/>
      <c r="I701" s="379"/>
      <c r="J701" s="197"/>
      <c r="K701" s="198"/>
      <c r="L701" s="379"/>
      <c r="M701" s="197"/>
      <c r="N701" s="198"/>
      <c r="O701" s="379"/>
      <c r="P701" s="197"/>
      <c r="Q701" s="198"/>
      <c r="R701" s="379"/>
      <c r="S701" s="197"/>
      <c r="T701" s="198"/>
      <c r="U701" s="379"/>
      <c r="V701" s="197"/>
      <c r="W701" s="198"/>
      <c r="X701" s="379"/>
      <c r="Y701" s="184"/>
      <c r="Z701" s="184"/>
      <c r="AA701" s="184"/>
      <c r="AB701" s="184"/>
      <c r="AC701" s="8"/>
      <c r="AD701" s="8"/>
      <c r="AE701" s="8"/>
      <c r="AF701" s="8"/>
      <c r="AG701" s="191"/>
      <c r="AH701" s="191"/>
      <c r="AI701" s="191"/>
      <c r="AJ701" s="8"/>
      <c r="AK701" s="8"/>
      <c r="AL701" s="8"/>
      <c r="AM701" s="8"/>
      <c r="AN701" s="8"/>
      <c r="AO701" s="8"/>
      <c r="AP701" s="8"/>
      <c r="AQ701" s="8"/>
      <c r="AR701" s="8"/>
      <c r="AS701" s="8"/>
      <c r="AT701" s="8"/>
    </row>
    <row r="702">
      <c r="A702" s="197"/>
      <c r="B702" s="198"/>
      <c r="C702" s="379"/>
      <c r="D702" s="197"/>
      <c r="E702" s="198"/>
      <c r="F702" s="379"/>
      <c r="G702" s="197"/>
      <c r="H702" s="198"/>
      <c r="I702" s="379"/>
      <c r="J702" s="197"/>
      <c r="K702" s="198"/>
      <c r="L702" s="379"/>
      <c r="M702" s="197"/>
      <c r="N702" s="198"/>
      <c r="O702" s="379"/>
      <c r="P702" s="197"/>
      <c r="Q702" s="198"/>
      <c r="R702" s="379"/>
      <c r="S702" s="197"/>
      <c r="T702" s="198"/>
      <c r="U702" s="379"/>
      <c r="V702" s="197"/>
      <c r="W702" s="198"/>
      <c r="X702" s="379"/>
      <c r="Y702" s="184"/>
      <c r="Z702" s="184"/>
      <c r="AA702" s="184"/>
      <c r="AB702" s="184"/>
      <c r="AC702" s="8"/>
      <c r="AD702" s="8"/>
      <c r="AE702" s="8"/>
      <c r="AF702" s="8"/>
      <c r="AG702" s="191"/>
      <c r="AH702" s="191"/>
      <c r="AI702" s="191"/>
      <c r="AJ702" s="8"/>
      <c r="AK702" s="8"/>
      <c r="AL702" s="8"/>
      <c r="AM702" s="8"/>
      <c r="AN702" s="8"/>
      <c r="AO702" s="8"/>
      <c r="AP702" s="8"/>
      <c r="AQ702" s="8"/>
      <c r="AR702" s="8"/>
      <c r="AS702" s="8"/>
      <c r="AT702" s="8"/>
    </row>
    <row r="703">
      <c r="A703" s="197"/>
      <c r="B703" s="198"/>
      <c r="C703" s="379"/>
      <c r="D703" s="197"/>
      <c r="E703" s="198"/>
      <c r="F703" s="379"/>
      <c r="G703" s="197"/>
      <c r="H703" s="198"/>
      <c r="I703" s="379"/>
      <c r="J703" s="197"/>
      <c r="K703" s="198"/>
      <c r="L703" s="379"/>
      <c r="M703" s="197"/>
      <c r="N703" s="198"/>
      <c r="O703" s="379"/>
      <c r="P703" s="197"/>
      <c r="Q703" s="198"/>
      <c r="R703" s="379"/>
      <c r="S703" s="197"/>
      <c r="T703" s="198"/>
      <c r="U703" s="379"/>
      <c r="V703" s="197"/>
      <c r="W703" s="198"/>
      <c r="X703" s="379"/>
      <c r="Y703" s="184"/>
      <c r="Z703" s="184"/>
      <c r="AA703" s="184"/>
      <c r="AB703" s="184"/>
      <c r="AC703" s="8"/>
      <c r="AD703" s="8"/>
      <c r="AE703" s="8"/>
      <c r="AF703" s="8"/>
      <c r="AG703" s="191"/>
      <c r="AH703" s="191"/>
      <c r="AI703" s="191"/>
      <c r="AJ703" s="8"/>
      <c r="AK703" s="8"/>
      <c r="AL703" s="8"/>
      <c r="AM703" s="8"/>
      <c r="AN703" s="8"/>
      <c r="AO703" s="8"/>
      <c r="AP703" s="8"/>
      <c r="AQ703" s="8"/>
      <c r="AR703" s="8"/>
      <c r="AS703" s="8"/>
      <c r="AT703" s="8"/>
    </row>
    <row r="704">
      <c r="A704" s="197"/>
      <c r="B704" s="198"/>
      <c r="C704" s="379"/>
      <c r="D704" s="197"/>
      <c r="E704" s="198"/>
      <c r="F704" s="379"/>
      <c r="G704" s="197"/>
      <c r="H704" s="198"/>
      <c r="I704" s="379"/>
      <c r="J704" s="197"/>
      <c r="K704" s="198"/>
      <c r="L704" s="379"/>
      <c r="M704" s="197"/>
      <c r="N704" s="198"/>
      <c r="O704" s="379"/>
      <c r="P704" s="197"/>
      <c r="Q704" s="198"/>
      <c r="R704" s="379"/>
      <c r="S704" s="197"/>
      <c r="T704" s="198"/>
      <c r="U704" s="379"/>
      <c r="V704" s="197"/>
      <c r="W704" s="198"/>
      <c r="X704" s="379"/>
      <c r="Y704" s="184"/>
      <c r="Z704" s="184"/>
      <c r="AA704" s="184"/>
      <c r="AB704" s="184"/>
      <c r="AC704" s="8"/>
      <c r="AD704" s="8"/>
      <c r="AE704" s="8"/>
      <c r="AF704" s="8"/>
      <c r="AG704" s="191"/>
      <c r="AH704" s="191"/>
      <c r="AI704" s="191"/>
      <c r="AJ704" s="8"/>
      <c r="AK704" s="8"/>
      <c r="AL704" s="8"/>
      <c r="AM704" s="8"/>
      <c r="AN704" s="8"/>
      <c r="AO704" s="8"/>
      <c r="AP704" s="8"/>
      <c r="AQ704" s="8"/>
      <c r="AR704" s="8"/>
      <c r="AS704" s="8"/>
      <c r="AT704" s="8"/>
    </row>
    <row r="705">
      <c r="A705" s="197"/>
      <c r="B705" s="198"/>
      <c r="C705" s="379"/>
      <c r="D705" s="197"/>
      <c r="E705" s="198"/>
      <c r="F705" s="379"/>
      <c r="G705" s="197"/>
      <c r="H705" s="198"/>
      <c r="I705" s="379"/>
      <c r="J705" s="197"/>
      <c r="K705" s="198"/>
      <c r="L705" s="379"/>
      <c r="M705" s="197"/>
      <c r="N705" s="198"/>
      <c r="O705" s="379"/>
      <c r="P705" s="197"/>
      <c r="Q705" s="198"/>
      <c r="R705" s="379"/>
      <c r="S705" s="197"/>
      <c r="T705" s="198"/>
      <c r="U705" s="379"/>
      <c r="V705" s="197"/>
      <c r="W705" s="198"/>
      <c r="X705" s="379"/>
      <c r="Y705" s="184"/>
      <c r="Z705" s="184"/>
      <c r="AA705" s="184"/>
      <c r="AB705" s="184"/>
      <c r="AC705" s="8"/>
      <c r="AD705" s="8"/>
      <c r="AE705" s="8"/>
      <c r="AF705" s="8"/>
      <c r="AG705" s="191"/>
      <c r="AH705" s="191"/>
      <c r="AI705" s="191"/>
      <c r="AJ705" s="8"/>
      <c r="AK705" s="8"/>
      <c r="AL705" s="8"/>
      <c r="AM705" s="8"/>
      <c r="AN705" s="8"/>
      <c r="AO705" s="8"/>
      <c r="AP705" s="8"/>
      <c r="AQ705" s="8"/>
      <c r="AR705" s="8"/>
      <c r="AS705" s="8"/>
      <c r="AT705" s="8"/>
    </row>
    <row r="706">
      <c r="A706" s="197"/>
      <c r="B706" s="198"/>
      <c r="C706" s="379"/>
      <c r="D706" s="197"/>
      <c r="E706" s="198"/>
      <c r="F706" s="379"/>
      <c r="G706" s="197"/>
      <c r="H706" s="198"/>
      <c r="I706" s="379"/>
      <c r="J706" s="197"/>
      <c r="K706" s="198"/>
      <c r="L706" s="379"/>
      <c r="M706" s="197"/>
      <c r="N706" s="198"/>
      <c r="O706" s="379"/>
      <c r="P706" s="197"/>
      <c r="Q706" s="198"/>
      <c r="R706" s="379"/>
      <c r="S706" s="197"/>
      <c r="T706" s="198"/>
      <c r="U706" s="379"/>
      <c r="V706" s="197"/>
      <c r="W706" s="198"/>
      <c r="X706" s="379"/>
      <c r="Y706" s="184"/>
      <c r="Z706" s="184"/>
      <c r="AA706" s="184"/>
      <c r="AB706" s="184"/>
      <c r="AC706" s="8"/>
      <c r="AD706" s="8"/>
      <c r="AE706" s="8"/>
      <c r="AF706" s="8"/>
      <c r="AG706" s="191"/>
      <c r="AH706" s="191"/>
      <c r="AI706" s="191"/>
      <c r="AJ706" s="8"/>
      <c r="AK706" s="8"/>
      <c r="AL706" s="8"/>
      <c r="AM706" s="8"/>
      <c r="AN706" s="8"/>
      <c r="AO706" s="8"/>
      <c r="AP706" s="8"/>
      <c r="AQ706" s="8"/>
      <c r="AR706" s="8"/>
      <c r="AS706" s="8"/>
      <c r="AT706" s="8"/>
    </row>
    <row r="707">
      <c r="A707" s="197"/>
      <c r="B707" s="198"/>
      <c r="C707" s="379"/>
      <c r="D707" s="197"/>
      <c r="E707" s="198"/>
      <c r="F707" s="379"/>
      <c r="G707" s="197"/>
      <c r="H707" s="198"/>
      <c r="I707" s="379"/>
      <c r="J707" s="197"/>
      <c r="K707" s="198"/>
      <c r="L707" s="379"/>
      <c r="M707" s="197"/>
      <c r="N707" s="198"/>
      <c r="O707" s="379"/>
      <c r="P707" s="197"/>
      <c r="Q707" s="198"/>
      <c r="R707" s="379"/>
      <c r="S707" s="197"/>
      <c r="T707" s="198"/>
      <c r="U707" s="379"/>
      <c r="V707" s="197"/>
      <c r="W707" s="198"/>
      <c r="X707" s="379"/>
      <c r="Y707" s="184"/>
      <c r="Z707" s="184"/>
      <c r="AA707" s="184"/>
      <c r="AB707" s="184"/>
      <c r="AC707" s="8"/>
      <c r="AD707" s="8"/>
      <c r="AE707" s="8"/>
      <c r="AF707" s="8"/>
      <c r="AG707" s="191"/>
      <c r="AH707" s="191"/>
      <c r="AI707" s="191"/>
      <c r="AJ707" s="8"/>
      <c r="AK707" s="8"/>
      <c r="AL707" s="8"/>
      <c r="AM707" s="8"/>
      <c r="AN707" s="8"/>
      <c r="AO707" s="8"/>
      <c r="AP707" s="8"/>
      <c r="AQ707" s="8"/>
      <c r="AR707" s="8"/>
      <c r="AS707" s="8"/>
      <c r="AT707" s="8"/>
    </row>
    <row r="708">
      <c r="A708" s="197"/>
      <c r="B708" s="198"/>
      <c r="C708" s="379"/>
      <c r="D708" s="197"/>
      <c r="E708" s="198"/>
      <c r="F708" s="379"/>
      <c r="G708" s="197"/>
      <c r="H708" s="198"/>
      <c r="I708" s="379"/>
      <c r="J708" s="197"/>
      <c r="K708" s="198"/>
      <c r="L708" s="379"/>
      <c r="M708" s="197"/>
      <c r="N708" s="198"/>
      <c r="O708" s="379"/>
      <c r="P708" s="197"/>
      <c r="Q708" s="198"/>
      <c r="R708" s="379"/>
      <c r="S708" s="197"/>
      <c r="T708" s="198"/>
      <c r="U708" s="379"/>
      <c r="V708" s="197"/>
      <c r="W708" s="198"/>
      <c r="X708" s="379"/>
      <c r="Y708" s="184"/>
      <c r="Z708" s="184"/>
      <c r="AA708" s="184"/>
      <c r="AB708" s="184"/>
      <c r="AC708" s="8"/>
      <c r="AD708" s="8"/>
      <c r="AE708" s="8"/>
      <c r="AF708" s="8"/>
      <c r="AG708" s="191"/>
      <c r="AH708" s="191"/>
      <c r="AI708" s="191"/>
      <c r="AJ708" s="8"/>
      <c r="AK708" s="8"/>
      <c r="AL708" s="8"/>
      <c r="AM708" s="8"/>
      <c r="AN708" s="8"/>
      <c r="AO708" s="8"/>
      <c r="AP708" s="8"/>
      <c r="AQ708" s="8"/>
      <c r="AR708" s="8"/>
      <c r="AS708" s="8"/>
      <c r="AT708" s="8"/>
    </row>
    <row r="709">
      <c r="A709" s="197"/>
      <c r="B709" s="198"/>
      <c r="C709" s="379"/>
      <c r="D709" s="197"/>
      <c r="E709" s="198"/>
      <c r="F709" s="379"/>
      <c r="G709" s="197"/>
      <c r="H709" s="198"/>
      <c r="I709" s="379"/>
      <c r="J709" s="197"/>
      <c r="K709" s="198"/>
      <c r="L709" s="379"/>
      <c r="M709" s="197"/>
      <c r="N709" s="198"/>
      <c r="O709" s="379"/>
      <c r="P709" s="197"/>
      <c r="Q709" s="198"/>
      <c r="R709" s="379"/>
      <c r="S709" s="197"/>
      <c r="T709" s="198"/>
      <c r="U709" s="379"/>
      <c r="V709" s="197"/>
      <c r="W709" s="198"/>
      <c r="X709" s="379"/>
      <c r="Y709" s="184"/>
      <c r="Z709" s="184"/>
      <c r="AA709" s="184"/>
      <c r="AB709" s="184"/>
      <c r="AC709" s="8"/>
      <c r="AD709" s="8"/>
      <c r="AE709" s="8"/>
      <c r="AF709" s="8"/>
      <c r="AG709" s="191"/>
      <c r="AH709" s="191"/>
      <c r="AI709" s="191"/>
      <c r="AJ709" s="8"/>
      <c r="AK709" s="8"/>
      <c r="AL709" s="8"/>
      <c r="AM709" s="8"/>
      <c r="AN709" s="8"/>
      <c r="AO709" s="8"/>
      <c r="AP709" s="8"/>
      <c r="AQ709" s="8"/>
      <c r="AR709" s="8"/>
      <c r="AS709" s="8"/>
      <c r="AT709" s="8"/>
    </row>
    <row r="710">
      <c r="A710" s="197"/>
      <c r="B710" s="198"/>
      <c r="C710" s="379"/>
      <c r="D710" s="197"/>
      <c r="E710" s="198"/>
      <c r="F710" s="379"/>
      <c r="G710" s="197"/>
      <c r="H710" s="198"/>
      <c r="I710" s="379"/>
      <c r="J710" s="197"/>
      <c r="K710" s="198"/>
      <c r="L710" s="379"/>
      <c r="M710" s="197"/>
      <c r="N710" s="198"/>
      <c r="O710" s="379"/>
      <c r="P710" s="197"/>
      <c r="Q710" s="198"/>
      <c r="R710" s="379"/>
      <c r="S710" s="197"/>
      <c r="T710" s="198"/>
      <c r="U710" s="379"/>
      <c r="V710" s="197"/>
      <c r="W710" s="198"/>
      <c r="X710" s="379"/>
      <c r="Y710" s="184"/>
      <c r="Z710" s="184"/>
      <c r="AA710" s="184"/>
      <c r="AB710" s="184"/>
      <c r="AC710" s="8"/>
      <c r="AD710" s="8"/>
      <c r="AE710" s="8"/>
      <c r="AF710" s="8"/>
      <c r="AG710" s="191"/>
      <c r="AH710" s="191"/>
      <c r="AI710" s="191"/>
      <c r="AJ710" s="8"/>
      <c r="AK710" s="8"/>
      <c r="AL710" s="8"/>
      <c r="AM710" s="8"/>
      <c r="AN710" s="8"/>
      <c r="AO710" s="8"/>
      <c r="AP710" s="8"/>
      <c r="AQ710" s="8"/>
      <c r="AR710" s="8"/>
      <c r="AS710" s="8"/>
      <c r="AT710" s="8"/>
    </row>
    <row r="711">
      <c r="A711" s="197"/>
      <c r="B711" s="198"/>
      <c r="C711" s="379"/>
      <c r="D711" s="197"/>
      <c r="E711" s="198"/>
      <c r="F711" s="379"/>
      <c r="G711" s="197"/>
      <c r="H711" s="198"/>
      <c r="I711" s="379"/>
      <c r="J711" s="197"/>
      <c r="K711" s="198"/>
      <c r="L711" s="379"/>
      <c r="M711" s="197"/>
      <c r="N711" s="198"/>
      <c r="O711" s="379"/>
      <c r="P711" s="197"/>
      <c r="Q711" s="198"/>
      <c r="R711" s="379"/>
      <c r="S711" s="197"/>
      <c r="T711" s="198"/>
      <c r="U711" s="379"/>
      <c r="V711" s="197"/>
      <c r="W711" s="198"/>
      <c r="X711" s="379"/>
      <c r="Y711" s="184"/>
      <c r="Z711" s="184"/>
      <c r="AA711" s="184"/>
      <c r="AB711" s="184"/>
      <c r="AC711" s="8"/>
      <c r="AD711" s="8"/>
      <c r="AE711" s="8"/>
      <c r="AF711" s="8"/>
      <c r="AG711" s="191"/>
      <c r="AH711" s="191"/>
      <c r="AI711" s="191"/>
      <c r="AJ711" s="8"/>
      <c r="AK711" s="8"/>
      <c r="AL711" s="8"/>
      <c r="AM711" s="8"/>
      <c r="AN711" s="8"/>
      <c r="AO711" s="8"/>
      <c r="AP711" s="8"/>
      <c r="AQ711" s="8"/>
      <c r="AR711" s="8"/>
      <c r="AS711" s="8"/>
      <c r="AT711" s="8"/>
    </row>
    <row r="712">
      <c r="A712" s="197"/>
      <c r="B712" s="198"/>
      <c r="C712" s="379"/>
      <c r="D712" s="197"/>
      <c r="E712" s="198"/>
      <c r="F712" s="379"/>
      <c r="G712" s="197"/>
      <c r="H712" s="198"/>
      <c r="I712" s="379"/>
      <c r="J712" s="197"/>
      <c r="K712" s="198"/>
      <c r="L712" s="379"/>
      <c r="M712" s="197"/>
      <c r="N712" s="198"/>
      <c r="O712" s="379"/>
      <c r="P712" s="197"/>
      <c r="Q712" s="198"/>
      <c r="R712" s="379"/>
      <c r="S712" s="197"/>
      <c r="T712" s="198"/>
      <c r="U712" s="379"/>
      <c r="V712" s="197"/>
      <c r="W712" s="198"/>
      <c r="X712" s="379"/>
      <c r="Y712" s="184"/>
      <c r="Z712" s="184"/>
      <c r="AA712" s="184"/>
      <c r="AB712" s="184"/>
      <c r="AC712" s="8"/>
      <c r="AD712" s="8"/>
      <c r="AE712" s="8"/>
      <c r="AF712" s="8"/>
      <c r="AG712" s="191"/>
      <c r="AH712" s="191"/>
      <c r="AI712" s="191"/>
      <c r="AJ712" s="8"/>
      <c r="AK712" s="8"/>
      <c r="AL712" s="8"/>
      <c r="AM712" s="8"/>
      <c r="AN712" s="8"/>
      <c r="AO712" s="8"/>
      <c r="AP712" s="8"/>
      <c r="AQ712" s="8"/>
      <c r="AR712" s="8"/>
      <c r="AS712" s="8"/>
      <c r="AT712" s="8"/>
    </row>
    <row r="713">
      <c r="A713" s="197"/>
      <c r="B713" s="198"/>
      <c r="C713" s="379"/>
      <c r="D713" s="197"/>
      <c r="E713" s="198"/>
      <c r="F713" s="379"/>
      <c r="G713" s="197"/>
      <c r="H713" s="198"/>
      <c r="I713" s="379"/>
      <c r="J713" s="197"/>
      <c r="K713" s="198"/>
      <c r="L713" s="379"/>
      <c r="M713" s="197"/>
      <c r="N713" s="198"/>
      <c r="O713" s="379"/>
      <c r="P713" s="197"/>
      <c r="Q713" s="198"/>
      <c r="R713" s="379"/>
      <c r="S713" s="197"/>
      <c r="T713" s="198"/>
      <c r="U713" s="379"/>
      <c r="V713" s="197"/>
      <c r="W713" s="198"/>
      <c r="X713" s="379"/>
      <c r="Y713" s="184"/>
      <c r="Z713" s="184"/>
      <c r="AA713" s="184"/>
      <c r="AB713" s="184"/>
      <c r="AC713" s="8"/>
      <c r="AD713" s="8"/>
      <c r="AE713" s="8"/>
      <c r="AF713" s="8"/>
      <c r="AG713" s="191"/>
      <c r="AH713" s="191"/>
      <c r="AI713" s="191"/>
      <c r="AJ713" s="8"/>
      <c r="AK713" s="8"/>
      <c r="AL713" s="8"/>
      <c r="AM713" s="8"/>
      <c r="AN713" s="8"/>
      <c r="AO713" s="8"/>
      <c r="AP713" s="8"/>
      <c r="AQ713" s="8"/>
      <c r="AR713" s="8"/>
      <c r="AS713" s="8"/>
      <c r="AT713" s="8"/>
    </row>
    <row r="714">
      <c r="A714" s="197"/>
      <c r="B714" s="198"/>
      <c r="C714" s="379"/>
      <c r="D714" s="197"/>
      <c r="E714" s="198"/>
      <c r="F714" s="379"/>
      <c r="G714" s="197"/>
      <c r="H714" s="198"/>
      <c r="I714" s="379"/>
      <c r="J714" s="197"/>
      <c r="K714" s="198"/>
      <c r="L714" s="379"/>
      <c r="M714" s="197"/>
      <c r="N714" s="198"/>
      <c r="O714" s="379"/>
      <c r="P714" s="197"/>
      <c r="Q714" s="198"/>
      <c r="R714" s="379"/>
      <c r="S714" s="197"/>
      <c r="T714" s="198"/>
      <c r="U714" s="379"/>
      <c r="V714" s="197"/>
      <c r="W714" s="198"/>
      <c r="X714" s="379"/>
      <c r="Y714" s="184"/>
      <c r="Z714" s="184"/>
      <c r="AA714" s="184"/>
      <c r="AB714" s="184"/>
      <c r="AC714" s="8"/>
      <c r="AD714" s="8"/>
      <c r="AE714" s="8"/>
      <c r="AF714" s="8"/>
      <c r="AG714" s="191"/>
      <c r="AH714" s="191"/>
      <c r="AI714" s="191"/>
      <c r="AJ714" s="8"/>
      <c r="AK714" s="8"/>
      <c r="AL714" s="8"/>
      <c r="AM714" s="8"/>
      <c r="AN714" s="8"/>
      <c r="AO714" s="8"/>
      <c r="AP714" s="8"/>
      <c r="AQ714" s="8"/>
      <c r="AR714" s="8"/>
      <c r="AS714" s="8"/>
      <c r="AT714" s="8"/>
    </row>
    <row r="715">
      <c r="A715" s="197"/>
      <c r="B715" s="198"/>
      <c r="C715" s="379"/>
      <c r="D715" s="197"/>
      <c r="E715" s="198"/>
      <c r="F715" s="379"/>
      <c r="G715" s="197"/>
      <c r="H715" s="198"/>
      <c r="I715" s="379"/>
      <c r="J715" s="197"/>
      <c r="K715" s="198"/>
      <c r="L715" s="379"/>
      <c r="M715" s="197"/>
      <c r="N715" s="198"/>
      <c r="O715" s="379"/>
      <c r="P715" s="197"/>
      <c r="Q715" s="198"/>
      <c r="R715" s="379"/>
      <c r="S715" s="197"/>
      <c r="T715" s="198"/>
      <c r="U715" s="379"/>
      <c r="V715" s="197"/>
      <c r="W715" s="198"/>
      <c r="X715" s="379"/>
      <c r="Y715" s="184"/>
      <c r="Z715" s="184"/>
      <c r="AA715" s="184"/>
      <c r="AB715" s="184"/>
      <c r="AC715" s="8"/>
      <c r="AD715" s="8"/>
      <c r="AE715" s="8"/>
      <c r="AF715" s="8"/>
      <c r="AG715" s="191"/>
      <c r="AH715" s="191"/>
      <c r="AI715" s="191"/>
      <c r="AJ715" s="8"/>
      <c r="AK715" s="8"/>
      <c r="AL715" s="8"/>
      <c r="AM715" s="8"/>
      <c r="AN715" s="8"/>
      <c r="AO715" s="8"/>
      <c r="AP715" s="8"/>
      <c r="AQ715" s="8"/>
      <c r="AR715" s="8"/>
      <c r="AS715" s="8"/>
      <c r="AT715" s="8"/>
    </row>
    <row r="716">
      <c r="A716" s="197"/>
      <c r="B716" s="198"/>
      <c r="C716" s="379"/>
      <c r="D716" s="197"/>
      <c r="E716" s="198"/>
      <c r="F716" s="379"/>
      <c r="G716" s="197"/>
      <c r="H716" s="198"/>
      <c r="I716" s="379"/>
      <c r="J716" s="197"/>
      <c r="K716" s="198"/>
      <c r="L716" s="379"/>
      <c r="M716" s="197"/>
      <c r="N716" s="198"/>
      <c r="O716" s="379"/>
      <c r="P716" s="197"/>
      <c r="Q716" s="198"/>
      <c r="R716" s="379"/>
      <c r="S716" s="197"/>
      <c r="T716" s="198"/>
      <c r="U716" s="379"/>
      <c r="V716" s="197"/>
      <c r="W716" s="198"/>
      <c r="X716" s="379"/>
      <c r="Y716" s="184"/>
      <c r="Z716" s="184"/>
      <c r="AA716" s="184"/>
      <c r="AB716" s="184"/>
      <c r="AC716" s="8"/>
      <c r="AD716" s="8"/>
      <c r="AE716" s="8"/>
      <c r="AF716" s="8"/>
      <c r="AG716" s="191"/>
      <c r="AH716" s="191"/>
      <c r="AI716" s="191"/>
      <c r="AJ716" s="8"/>
      <c r="AK716" s="8"/>
      <c r="AL716" s="8"/>
      <c r="AM716" s="8"/>
      <c r="AN716" s="8"/>
      <c r="AO716" s="8"/>
      <c r="AP716" s="8"/>
      <c r="AQ716" s="8"/>
      <c r="AR716" s="8"/>
      <c r="AS716" s="8"/>
      <c r="AT716" s="8"/>
    </row>
    <row r="717">
      <c r="A717" s="197"/>
      <c r="B717" s="198"/>
      <c r="C717" s="379"/>
      <c r="D717" s="197"/>
      <c r="E717" s="198"/>
      <c r="F717" s="379"/>
      <c r="G717" s="197"/>
      <c r="H717" s="198"/>
      <c r="I717" s="379"/>
      <c r="J717" s="197"/>
      <c r="K717" s="198"/>
      <c r="L717" s="379"/>
      <c r="M717" s="197"/>
      <c r="N717" s="198"/>
      <c r="O717" s="379"/>
      <c r="P717" s="197"/>
      <c r="Q717" s="198"/>
      <c r="R717" s="379"/>
      <c r="S717" s="197"/>
      <c r="T717" s="198"/>
      <c r="U717" s="379"/>
      <c r="V717" s="197"/>
      <c r="W717" s="198"/>
      <c r="X717" s="379"/>
      <c r="Y717" s="184"/>
      <c r="Z717" s="184"/>
      <c r="AA717" s="184"/>
      <c r="AB717" s="184"/>
      <c r="AC717" s="8"/>
      <c r="AD717" s="8"/>
      <c r="AE717" s="8"/>
      <c r="AF717" s="8"/>
      <c r="AG717" s="191"/>
      <c r="AH717" s="191"/>
      <c r="AI717" s="191"/>
      <c r="AJ717" s="8"/>
      <c r="AK717" s="8"/>
      <c r="AL717" s="8"/>
      <c r="AM717" s="8"/>
      <c r="AN717" s="8"/>
      <c r="AO717" s="8"/>
      <c r="AP717" s="8"/>
      <c r="AQ717" s="8"/>
      <c r="AR717" s="8"/>
      <c r="AS717" s="8"/>
      <c r="AT717" s="8"/>
    </row>
    <row r="718">
      <c r="A718" s="197"/>
      <c r="B718" s="198"/>
      <c r="C718" s="379"/>
      <c r="D718" s="197"/>
      <c r="E718" s="198"/>
      <c r="F718" s="379"/>
      <c r="G718" s="197"/>
      <c r="H718" s="198"/>
      <c r="I718" s="379"/>
      <c r="J718" s="197"/>
      <c r="K718" s="198"/>
      <c r="L718" s="379"/>
      <c r="M718" s="197"/>
      <c r="N718" s="198"/>
      <c r="O718" s="379"/>
      <c r="P718" s="197"/>
      <c r="Q718" s="198"/>
      <c r="R718" s="379"/>
      <c r="S718" s="197"/>
      <c r="T718" s="198"/>
      <c r="U718" s="379"/>
      <c r="V718" s="197"/>
      <c r="W718" s="198"/>
      <c r="X718" s="379"/>
      <c r="Y718" s="184"/>
      <c r="Z718" s="184"/>
      <c r="AA718" s="184"/>
      <c r="AB718" s="184"/>
      <c r="AC718" s="8"/>
      <c r="AD718" s="8"/>
      <c r="AE718" s="8"/>
      <c r="AF718" s="8"/>
      <c r="AG718" s="191"/>
      <c r="AH718" s="191"/>
      <c r="AI718" s="191"/>
      <c r="AJ718" s="8"/>
      <c r="AK718" s="8"/>
      <c r="AL718" s="8"/>
      <c r="AM718" s="8"/>
      <c r="AN718" s="8"/>
      <c r="AO718" s="8"/>
      <c r="AP718" s="8"/>
      <c r="AQ718" s="8"/>
      <c r="AR718" s="8"/>
      <c r="AS718" s="8"/>
      <c r="AT718" s="8"/>
    </row>
    <row r="719">
      <c r="A719" s="197"/>
      <c r="B719" s="198"/>
      <c r="C719" s="379"/>
      <c r="D719" s="197"/>
      <c r="E719" s="198"/>
      <c r="F719" s="379"/>
      <c r="G719" s="197"/>
      <c r="H719" s="198"/>
      <c r="I719" s="379"/>
      <c r="J719" s="197"/>
      <c r="K719" s="198"/>
      <c r="L719" s="379"/>
      <c r="M719" s="197"/>
      <c r="N719" s="198"/>
      <c r="O719" s="379"/>
      <c r="P719" s="197"/>
      <c r="Q719" s="198"/>
      <c r="R719" s="379"/>
      <c r="S719" s="197"/>
      <c r="T719" s="198"/>
      <c r="U719" s="379"/>
      <c r="V719" s="197"/>
      <c r="W719" s="198"/>
      <c r="X719" s="379"/>
      <c r="Y719" s="184"/>
      <c r="Z719" s="184"/>
      <c r="AA719" s="184"/>
      <c r="AB719" s="184"/>
      <c r="AC719" s="8"/>
      <c r="AD719" s="8"/>
      <c r="AE719" s="8"/>
      <c r="AF719" s="8"/>
      <c r="AG719" s="191"/>
      <c r="AH719" s="191"/>
      <c r="AI719" s="191"/>
      <c r="AJ719" s="8"/>
      <c r="AK719" s="8"/>
      <c r="AL719" s="8"/>
      <c r="AM719" s="8"/>
      <c r="AN719" s="8"/>
      <c r="AO719" s="8"/>
      <c r="AP719" s="8"/>
      <c r="AQ719" s="8"/>
      <c r="AR719" s="8"/>
      <c r="AS719" s="8"/>
      <c r="AT719" s="8"/>
    </row>
    <row r="720">
      <c r="A720" s="197"/>
      <c r="B720" s="198"/>
      <c r="C720" s="379"/>
      <c r="D720" s="197"/>
      <c r="E720" s="198"/>
      <c r="F720" s="379"/>
      <c r="G720" s="197"/>
      <c r="H720" s="198"/>
      <c r="I720" s="379"/>
      <c r="J720" s="197"/>
      <c r="K720" s="198"/>
      <c r="L720" s="379"/>
      <c r="M720" s="197"/>
      <c r="N720" s="198"/>
      <c r="O720" s="379"/>
      <c r="P720" s="197"/>
      <c r="Q720" s="198"/>
      <c r="R720" s="379"/>
      <c r="S720" s="197"/>
      <c r="T720" s="198"/>
      <c r="U720" s="379"/>
      <c r="V720" s="197"/>
      <c r="W720" s="198"/>
      <c r="X720" s="379"/>
      <c r="Y720" s="184"/>
      <c r="Z720" s="184"/>
      <c r="AA720" s="184"/>
      <c r="AB720" s="184"/>
      <c r="AC720" s="8"/>
      <c r="AD720" s="8"/>
      <c r="AE720" s="8"/>
      <c r="AF720" s="8"/>
      <c r="AG720" s="191"/>
      <c r="AH720" s="191"/>
      <c r="AI720" s="191"/>
      <c r="AJ720" s="8"/>
      <c r="AK720" s="8"/>
      <c r="AL720" s="8"/>
      <c r="AM720" s="8"/>
      <c r="AN720" s="8"/>
      <c r="AO720" s="8"/>
      <c r="AP720" s="8"/>
      <c r="AQ720" s="8"/>
      <c r="AR720" s="8"/>
      <c r="AS720" s="8"/>
      <c r="AT720" s="8"/>
    </row>
    <row r="721">
      <c r="A721" s="197"/>
      <c r="B721" s="198"/>
      <c r="C721" s="379"/>
      <c r="D721" s="197"/>
      <c r="E721" s="198"/>
      <c r="F721" s="379"/>
      <c r="G721" s="197"/>
      <c r="H721" s="198"/>
      <c r="I721" s="379"/>
      <c r="J721" s="197"/>
      <c r="K721" s="198"/>
      <c r="L721" s="379"/>
      <c r="M721" s="197"/>
      <c r="N721" s="198"/>
      <c r="O721" s="379"/>
      <c r="P721" s="197"/>
      <c r="Q721" s="198"/>
      <c r="R721" s="379"/>
      <c r="S721" s="197"/>
      <c r="T721" s="198"/>
      <c r="U721" s="379"/>
      <c r="V721" s="197"/>
      <c r="W721" s="198"/>
      <c r="X721" s="379"/>
      <c r="Y721" s="184"/>
      <c r="Z721" s="184"/>
      <c r="AA721" s="184"/>
      <c r="AB721" s="184"/>
      <c r="AC721" s="8"/>
      <c r="AD721" s="8"/>
      <c r="AE721" s="8"/>
      <c r="AF721" s="8"/>
      <c r="AG721" s="191"/>
      <c r="AH721" s="191"/>
      <c r="AI721" s="191"/>
      <c r="AJ721" s="8"/>
      <c r="AK721" s="8"/>
      <c r="AL721" s="8"/>
      <c r="AM721" s="8"/>
      <c r="AN721" s="8"/>
      <c r="AO721" s="8"/>
      <c r="AP721" s="8"/>
      <c r="AQ721" s="8"/>
      <c r="AR721" s="8"/>
      <c r="AS721" s="8"/>
      <c r="AT721" s="8"/>
    </row>
    <row r="722">
      <c r="A722" s="197"/>
      <c r="B722" s="198"/>
      <c r="C722" s="379"/>
      <c r="D722" s="197"/>
      <c r="E722" s="198"/>
      <c r="F722" s="379"/>
      <c r="G722" s="197"/>
      <c r="H722" s="198"/>
      <c r="I722" s="379"/>
      <c r="J722" s="197"/>
      <c r="K722" s="198"/>
      <c r="L722" s="379"/>
      <c r="M722" s="197"/>
      <c r="N722" s="198"/>
      <c r="O722" s="379"/>
      <c r="P722" s="197"/>
      <c r="Q722" s="198"/>
      <c r="R722" s="379"/>
      <c r="S722" s="197"/>
      <c r="T722" s="198"/>
      <c r="U722" s="379"/>
      <c r="V722" s="197"/>
      <c r="W722" s="198"/>
      <c r="X722" s="379"/>
      <c r="Y722" s="184"/>
      <c r="Z722" s="184"/>
      <c r="AA722" s="184"/>
      <c r="AB722" s="184"/>
      <c r="AC722" s="8"/>
      <c r="AD722" s="8"/>
      <c r="AE722" s="8"/>
      <c r="AF722" s="8"/>
      <c r="AG722" s="191"/>
      <c r="AH722" s="191"/>
      <c r="AI722" s="191"/>
      <c r="AJ722" s="8"/>
      <c r="AK722" s="8"/>
      <c r="AL722" s="8"/>
      <c r="AM722" s="8"/>
      <c r="AN722" s="8"/>
      <c r="AO722" s="8"/>
      <c r="AP722" s="8"/>
      <c r="AQ722" s="8"/>
      <c r="AR722" s="8"/>
      <c r="AS722" s="8"/>
      <c r="AT722" s="8"/>
    </row>
    <row r="723">
      <c r="A723" s="197"/>
      <c r="B723" s="198"/>
      <c r="C723" s="379"/>
      <c r="D723" s="197"/>
      <c r="E723" s="198"/>
      <c r="F723" s="379"/>
      <c r="G723" s="197"/>
      <c r="H723" s="198"/>
      <c r="I723" s="379"/>
      <c r="J723" s="197"/>
      <c r="K723" s="198"/>
      <c r="L723" s="379"/>
      <c r="M723" s="197"/>
      <c r="N723" s="198"/>
      <c r="O723" s="379"/>
      <c r="P723" s="197"/>
      <c r="Q723" s="198"/>
      <c r="R723" s="379"/>
      <c r="S723" s="197"/>
      <c r="T723" s="198"/>
      <c r="U723" s="379"/>
      <c r="V723" s="197"/>
      <c r="W723" s="198"/>
      <c r="X723" s="379"/>
      <c r="Y723" s="184"/>
      <c r="Z723" s="184"/>
      <c r="AA723" s="184"/>
      <c r="AB723" s="184"/>
      <c r="AC723" s="8"/>
      <c r="AD723" s="8"/>
      <c r="AE723" s="8"/>
      <c r="AF723" s="8"/>
      <c r="AG723" s="191"/>
      <c r="AH723" s="191"/>
      <c r="AI723" s="191"/>
      <c r="AJ723" s="8"/>
      <c r="AK723" s="8"/>
      <c r="AL723" s="8"/>
      <c r="AM723" s="8"/>
      <c r="AN723" s="8"/>
      <c r="AO723" s="8"/>
      <c r="AP723" s="8"/>
      <c r="AQ723" s="8"/>
      <c r="AR723" s="8"/>
      <c r="AS723" s="8"/>
      <c r="AT723" s="8"/>
    </row>
    <row r="724">
      <c r="A724" s="197"/>
      <c r="B724" s="198"/>
      <c r="C724" s="379"/>
      <c r="D724" s="197"/>
      <c r="E724" s="198"/>
      <c r="F724" s="379"/>
      <c r="G724" s="197"/>
      <c r="H724" s="198"/>
      <c r="I724" s="379"/>
      <c r="J724" s="197"/>
      <c r="K724" s="198"/>
      <c r="L724" s="379"/>
      <c r="M724" s="197"/>
      <c r="N724" s="198"/>
      <c r="O724" s="379"/>
      <c r="P724" s="197"/>
      <c r="Q724" s="198"/>
      <c r="R724" s="379"/>
      <c r="S724" s="197"/>
      <c r="T724" s="198"/>
      <c r="U724" s="379"/>
      <c r="V724" s="197"/>
      <c r="W724" s="198"/>
      <c r="X724" s="379"/>
      <c r="Y724" s="184"/>
      <c r="Z724" s="184"/>
      <c r="AA724" s="184"/>
      <c r="AB724" s="184"/>
      <c r="AC724" s="8"/>
      <c r="AD724" s="8"/>
      <c r="AE724" s="8"/>
      <c r="AF724" s="8"/>
      <c r="AG724" s="191"/>
      <c r="AH724" s="191"/>
      <c r="AI724" s="191"/>
      <c r="AJ724" s="8"/>
      <c r="AK724" s="8"/>
      <c r="AL724" s="8"/>
      <c r="AM724" s="8"/>
      <c r="AN724" s="8"/>
      <c r="AO724" s="8"/>
      <c r="AP724" s="8"/>
      <c r="AQ724" s="8"/>
      <c r="AR724" s="8"/>
      <c r="AS724" s="8"/>
      <c r="AT724" s="8"/>
    </row>
    <row r="725">
      <c r="A725" s="197"/>
      <c r="B725" s="198"/>
      <c r="C725" s="379"/>
      <c r="D725" s="197"/>
      <c r="E725" s="198"/>
      <c r="F725" s="379"/>
      <c r="G725" s="197"/>
      <c r="H725" s="198"/>
      <c r="I725" s="379"/>
      <c r="J725" s="197"/>
      <c r="K725" s="198"/>
      <c r="L725" s="379"/>
      <c r="M725" s="197"/>
      <c r="N725" s="198"/>
      <c r="O725" s="379"/>
      <c r="P725" s="197"/>
      <c r="Q725" s="198"/>
      <c r="R725" s="379"/>
      <c r="S725" s="197"/>
      <c r="T725" s="198"/>
      <c r="U725" s="379"/>
      <c r="V725" s="197"/>
      <c r="W725" s="198"/>
      <c r="X725" s="379"/>
      <c r="Y725" s="184"/>
      <c r="Z725" s="184"/>
      <c r="AA725" s="184"/>
      <c r="AB725" s="184"/>
      <c r="AC725" s="8"/>
      <c r="AD725" s="8"/>
      <c r="AE725" s="8"/>
      <c r="AF725" s="8"/>
      <c r="AG725" s="191"/>
      <c r="AH725" s="191"/>
      <c r="AI725" s="191"/>
      <c r="AJ725" s="8"/>
      <c r="AK725" s="8"/>
      <c r="AL725" s="8"/>
      <c r="AM725" s="8"/>
      <c r="AN725" s="8"/>
      <c r="AO725" s="8"/>
      <c r="AP725" s="8"/>
      <c r="AQ725" s="8"/>
      <c r="AR725" s="8"/>
      <c r="AS725" s="8"/>
      <c r="AT725" s="8"/>
    </row>
    <row r="726">
      <c r="A726" s="197"/>
      <c r="B726" s="198"/>
      <c r="C726" s="379"/>
      <c r="D726" s="197"/>
      <c r="E726" s="198"/>
      <c r="F726" s="379"/>
      <c r="G726" s="197"/>
      <c r="H726" s="198"/>
      <c r="I726" s="379"/>
      <c r="J726" s="197"/>
      <c r="K726" s="198"/>
      <c r="L726" s="379"/>
      <c r="M726" s="197"/>
      <c r="N726" s="198"/>
      <c r="O726" s="379"/>
      <c r="P726" s="197"/>
      <c r="Q726" s="198"/>
      <c r="R726" s="379"/>
      <c r="S726" s="197"/>
      <c r="T726" s="198"/>
      <c r="U726" s="379"/>
      <c r="V726" s="197"/>
      <c r="W726" s="198"/>
      <c r="X726" s="379"/>
      <c r="Y726" s="184"/>
      <c r="Z726" s="184"/>
      <c r="AA726" s="184"/>
      <c r="AB726" s="184"/>
      <c r="AC726" s="8"/>
      <c r="AD726" s="8"/>
      <c r="AE726" s="8"/>
      <c r="AF726" s="8"/>
      <c r="AG726" s="191"/>
      <c r="AH726" s="191"/>
      <c r="AI726" s="191"/>
      <c r="AJ726" s="8"/>
      <c r="AK726" s="8"/>
      <c r="AL726" s="8"/>
      <c r="AM726" s="8"/>
      <c r="AN726" s="8"/>
      <c r="AO726" s="8"/>
      <c r="AP726" s="8"/>
      <c r="AQ726" s="8"/>
      <c r="AR726" s="8"/>
      <c r="AS726" s="8"/>
      <c r="AT726" s="8"/>
    </row>
    <row r="727">
      <c r="A727" s="197"/>
      <c r="B727" s="198"/>
      <c r="C727" s="379"/>
      <c r="D727" s="197"/>
      <c r="E727" s="198"/>
      <c r="F727" s="379"/>
      <c r="G727" s="197"/>
      <c r="H727" s="198"/>
      <c r="I727" s="379"/>
      <c r="J727" s="197"/>
      <c r="K727" s="198"/>
      <c r="L727" s="379"/>
      <c r="M727" s="197"/>
      <c r="N727" s="198"/>
      <c r="O727" s="379"/>
      <c r="P727" s="197"/>
      <c r="Q727" s="198"/>
      <c r="R727" s="379"/>
      <c r="S727" s="197"/>
      <c r="T727" s="198"/>
      <c r="U727" s="379"/>
      <c r="V727" s="197"/>
      <c r="W727" s="198"/>
      <c r="X727" s="379"/>
      <c r="Y727" s="184"/>
      <c r="Z727" s="184"/>
      <c r="AA727" s="184"/>
      <c r="AB727" s="184"/>
      <c r="AC727" s="8"/>
      <c r="AD727" s="8"/>
      <c r="AE727" s="8"/>
      <c r="AF727" s="8"/>
      <c r="AG727" s="191"/>
      <c r="AH727" s="191"/>
      <c r="AI727" s="191"/>
      <c r="AJ727" s="8"/>
      <c r="AK727" s="8"/>
      <c r="AL727" s="8"/>
      <c r="AM727" s="8"/>
      <c r="AN727" s="8"/>
      <c r="AO727" s="8"/>
      <c r="AP727" s="8"/>
      <c r="AQ727" s="8"/>
      <c r="AR727" s="8"/>
      <c r="AS727" s="8"/>
      <c r="AT727" s="8"/>
    </row>
    <row r="728">
      <c r="A728" s="197"/>
      <c r="B728" s="198"/>
      <c r="C728" s="379"/>
      <c r="D728" s="197"/>
      <c r="E728" s="198"/>
      <c r="F728" s="379"/>
      <c r="G728" s="197"/>
      <c r="H728" s="198"/>
      <c r="I728" s="379"/>
      <c r="J728" s="197"/>
      <c r="K728" s="198"/>
      <c r="L728" s="379"/>
      <c r="M728" s="197"/>
      <c r="N728" s="198"/>
      <c r="O728" s="379"/>
      <c r="P728" s="197"/>
      <c r="Q728" s="198"/>
      <c r="R728" s="379"/>
      <c r="S728" s="197"/>
      <c r="T728" s="198"/>
      <c r="U728" s="379"/>
      <c r="V728" s="197"/>
      <c r="W728" s="198"/>
      <c r="X728" s="379"/>
      <c r="Y728" s="184"/>
      <c r="Z728" s="184"/>
      <c r="AA728" s="184"/>
      <c r="AB728" s="184"/>
      <c r="AC728" s="8"/>
      <c r="AD728" s="8"/>
      <c r="AE728" s="8"/>
      <c r="AF728" s="8"/>
      <c r="AG728" s="191"/>
      <c r="AH728" s="191"/>
      <c r="AI728" s="191"/>
      <c r="AJ728" s="8"/>
      <c r="AK728" s="8"/>
      <c r="AL728" s="8"/>
      <c r="AM728" s="8"/>
      <c r="AN728" s="8"/>
      <c r="AO728" s="8"/>
      <c r="AP728" s="8"/>
      <c r="AQ728" s="8"/>
      <c r="AR728" s="8"/>
      <c r="AS728" s="8"/>
      <c r="AT728" s="8"/>
    </row>
    <row r="729">
      <c r="A729" s="197"/>
      <c r="B729" s="198"/>
      <c r="C729" s="379"/>
      <c r="D729" s="197"/>
      <c r="E729" s="198"/>
      <c r="F729" s="379"/>
      <c r="G729" s="197"/>
      <c r="H729" s="198"/>
      <c r="I729" s="379"/>
      <c r="J729" s="197"/>
      <c r="K729" s="198"/>
      <c r="L729" s="379"/>
      <c r="M729" s="197"/>
      <c r="N729" s="198"/>
      <c r="O729" s="379"/>
      <c r="P729" s="197"/>
      <c r="Q729" s="198"/>
      <c r="R729" s="379"/>
      <c r="S729" s="197"/>
      <c r="T729" s="198"/>
      <c r="U729" s="379"/>
      <c r="V729" s="197"/>
      <c r="W729" s="198"/>
      <c r="X729" s="379"/>
      <c r="Y729" s="184"/>
      <c r="Z729" s="184"/>
      <c r="AA729" s="184"/>
      <c r="AB729" s="184"/>
      <c r="AC729" s="8"/>
      <c r="AD729" s="8"/>
      <c r="AE729" s="8"/>
      <c r="AF729" s="8"/>
      <c r="AG729" s="191"/>
      <c r="AH729" s="191"/>
      <c r="AI729" s="191"/>
      <c r="AJ729" s="8"/>
      <c r="AK729" s="8"/>
      <c r="AL729" s="8"/>
      <c r="AM729" s="8"/>
      <c r="AN729" s="8"/>
      <c r="AO729" s="8"/>
      <c r="AP729" s="8"/>
      <c r="AQ729" s="8"/>
      <c r="AR729" s="8"/>
      <c r="AS729" s="8"/>
      <c r="AT729" s="8"/>
    </row>
    <row r="730">
      <c r="A730" s="197"/>
      <c r="B730" s="198"/>
      <c r="C730" s="379"/>
      <c r="D730" s="197"/>
      <c r="E730" s="198"/>
      <c r="F730" s="379"/>
      <c r="G730" s="197"/>
      <c r="H730" s="198"/>
      <c r="I730" s="379"/>
      <c r="J730" s="197"/>
      <c r="K730" s="198"/>
      <c r="L730" s="379"/>
      <c r="M730" s="197"/>
      <c r="N730" s="198"/>
      <c r="O730" s="379"/>
      <c r="P730" s="197"/>
      <c r="Q730" s="198"/>
      <c r="R730" s="379"/>
      <c r="S730" s="197"/>
      <c r="T730" s="198"/>
      <c r="U730" s="379"/>
      <c r="V730" s="197"/>
      <c r="W730" s="198"/>
      <c r="X730" s="379"/>
      <c r="Y730" s="184"/>
      <c r="Z730" s="184"/>
      <c r="AA730" s="184"/>
      <c r="AB730" s="184"/>
      <c r="AC730" s="8"/>
      <c r="AD730" s="8"/>
      <c r="AE730" s="8"/>
      <c r="AF730" s="8"/>
      <c r="AG730" s="191"/>
      <c r="AH730" s="191"/>
      <c r="AI730" s="191"/>
      <c r="AJ730" s="8"/>
      <c r="AK730" s="8"/>
      <c r="AL730" s="8"/>
      <c r="AM730" s="8"/>
      <c r="AN730" s="8"/>
      <c r="AO730" s="8"/>
      <c r="AP730" s="8"/>
      <c r="AQ730" s="8"/>
      <c r="AR730" s="8"/>
      <c r="AS730" s="8"/>
      <c r="AT730" s="8"/>
    </row>
    <row r="731">
      <c r="A731" s="197"/>
      <c r="B731" s="198"/>
      <c r="C731" s="379"/>
      <c r="D731" s="197"/>
      <c r="E731" s="198"/>
      <c r="F731" s="379"/>
      <c r="G731" s="197"/>
      <c r="H731" s="198"/>
      <c r="I731" s="379"/>
      <c r="J731" s="197"/>
      <c r="K731" s="198"/>
      <c r="L731" s="379"/>
      <c r="M731" s="197"/>
      <c r="N731" s="198"/>
      <c r="O731" s="379"/>
      <c r="P731" s="197"/>
      <c r="Q731" s="198"/>
      <c r="R731" s="379"/>
      <c r="S731" s="197"/>
      <c r="T731" s="198"/>
      <c r="U731" s="379"/>
      <c r="V731" s="197"/>
      <c r="W731" s="198"/>
      <c r="X731" s="379"/>
      <c r="Y731" s="184"/>
      <c r="Z731" s="184"/>
      <c r="AA731" s="184"/>
      <c r="AB731" s="184"/>
      <c r="AC731" s="8"/>
      <c r="AD731" s="8"/>
      <c r="AE731" s="8"/>
      <c r="AF731" s="8"/>
      <c r="AG731" s="191"/>
      <c r="AH731" s="191"/>
      <c r="AI731" s="191"/>
      <c r="AJ731" s="8"/>
      <c r="AK731" s="8"/>
      <c r="AL731" s="8"/>
      <c r="AM731" s="8"/>
      <c r="AN731" s="8"/>
      <c r="AO731" s="8"/>
      <c r="AP731" s="8"/>
      <c r="AQ731" s="8"/>
      <c r="AR731" s="8"/>
      <c r="AS731" s="8"/>
      <c r="AT731" s="8"/>
    </row>
    <row r="732">
      <c r="A732" s="197"/>
      <c r="B732" s="198"/>
      <c r="C732" s="379"/>
      <c r="D732" s="197"/>
      <c r="E732" s="198"/>
      <c r="F732" s="379"/>
      <c r="G732" s="197"/>
      <c r="H732" s="198"/>
      <c r="I732" s="379"/>
      <c r="J732" s="197"/>
      <c r="K732" s="198"/>
      <c r="L732" s="379"/>
      <c r="M732" s="197"/>
      <c r="N732" s="198"/>
      <c r="O732" s="379"/>
      <c r="P732" s="197"/>
      <c r="Q732" s="198"/>
      <c r="R732" s="379"/>
      <c r="S732" s="197"/>
      <c r="T732" s="198"/>
      <c r="U732" s="379"/>
      <c r="V732" s="197"/>
      <c r="W732" s="198"/>
      <c r="X732" s="379"/>
      <c r="Y732" s="184"/>
      <c r="Z732" s="184"/>
      <c r="AA732" s="184"/>
      <c r="AB732" s="184"/>
      <c r="AC732" s="8"/>
      <c r="AD732" s="8"/>
      <c r="AE732" s="8"/>
      <c r="AF732" s="8"/>
      <c r="AG732" s="191"/>
      <c r="AH732" s="191"/>
      <c r="AI732" s="191"/>
      <c r="AJ732" s="8"/>
      <c r="AK732" s="8"/>
      <c r="AL732" s="8"/>
      <c r="AM732" s="8"/>
      <c r="AN732" s="8"/>
      <c r="AO732" s="8"/>
      <c r="AP732" s="8"/>
      <c r="AQ732" s="8"/>
      <c r="AR732" s="8"/>
      <c r="AS732" s="8"/>
      <c r="AT732" s="8"/>
    </row>
    <row r="733">
      <c r="A733" s="197"/>
      <c r="B733" s="198"/>
      <c r="C733" s="379"/>
      <c r="D733" s="197"/>
      <c r="E733" s="198"/>
      <c r="F733" s="379"/>
      <c r="G733" s="197"/>
      <c r="H733" s="198"/>
      <c r="I733" s="379"/>
      <c r="J733" s="197"/>
      <c r="K733" s="198"/>
      <c r="L733" s="379"/>
      <c r="M733" s="197"/>
      <c r="N733" s="198"/>
      <c r="O733" s="379"/>
      <c r="P733" s="197"/>
      <c r="Q733" s="198"/>
      <c r="R733" s="379"/>
      <c r="S733" s="197"/>
      <c r="T733" s="198"/>
      <c r="U733" s="379"/>
      <c r="V733" s="197"/>
      <c r="W733" s="198"/>
      <c r="X733" s="379"/>
      <c r="Y733" s="184"/>
      <c r="Z733" s="184"/>
      <c r="AA733" s="184"/>
      <c r="AB733" s="184"/>
      <c r="AC733" s="8"/>
      <c r="AD733" s="8"/>
      <c r="AE733" s="8"/>
      <c r="AF733" s="8"/>
      <c r="AG733" s="191"/>
      <c r="AH733" s="191"/>
      <c r="AI733" s="191"/>
      <c r="AJ733" s="8"/>
      <c r="AK733" s="8"/>
      <c r="AL733" s="8"/>
      <c r="AM733" s="8"/>
      <c r="AN733" s="8"/>
      <c r="AO733" s="8"/>
      <c r="AP733" s="8"/>
      <c r="AQ733" s="8"/>
      <c r="AR733" s="8"/>
      <c r="AS733" s="8"/>
      <c r="AT733" s="8"/>
    </row>
    <row r="734">
      <c r="A734" s="197"/>
      <c r="B734" s="198"/>
      <c r="C734" s="379"/>
      <c r="D734" s="197"/>
      <c r="E734" s="198"/>
      <c r="F734" s="379"/>
      <c r="G734" s="197"/>
      <c r="H734" s="198"/>
      <c r="I734" s="379"/>
      <c r="J734" s="197"/>
      <c r="K734" s="198"/>
      <c r="L734" s="379"/>
      <c r="M734" s="197"/>
      <c r="N734" s="198"/>
      <c r="O734" s="379"/>
      <c r="P734" s="197"/>
      <c r="Q734" s="198"/>
      <c r="R734" s="379"/>
      <c r="S734" s="197"/>
      <c r="T734" s="198"/>
      <c r="U734" s="379"/>
      <c r="V734" s="197"/>
      <c r="W734" s="198"/>
      <c r="X734" s="379"/>
      <c r="Y734" s="184"/>
      <c r="Z734" s="184"/>
      <c r="AA734" s="184"/>
      <c r="AB734" s="184"/>
      <c r="AC734" s="8"/>
      <c r="AD734" s="8"/>
      <c r="AE734" s="8"/>
      <c r="AF734" s="8"/>
      <c r="AG734" s="191"/>
      <c r="AH734" s="191"/>
      <c r="AI734" s="191"/>
      <c r="AJ734" s="8"/>
      <c r="AK734" s="8"/>
      <c r="AL734" s="8"/>
      <c r="AM734" s="8"/>
      <c r="AN734" s="8"/>
      <c r="AO734" s="8"/>
      <c r="AP734" s="8"/>
      <c r="AQ734" s="8"/>
      <c r="AR734" s="8"/>
      <c r="AS734" s="8"/>
      <c r="AT734" s="8"/>
    </row>
    <row r="735">
      <c r="A735" s="197"/>
      <c r="B735" s="198"/>
      <c r="C735" s="379"/>
      <c r="D735" s="197"/>
      <c r="E735" s="198"/>
      <c r="F735" s="379"/>
      <c r="G735" s="197"/>
      <c r="H735" s="198"/>
      <c r="I735" s="379"/>
      <c r="J735" s="197"/>
      <c r="K735" s="198"/>
      <c r="L735" s="379"/>
      <c r="M735" s="197"/>
      <c r="N735" s="198"/>
      <c r="O735" s="379"/>
      <c r="P735" s="197"/>
      <c r="Q735" s="198"/>
      <c r="R735" s="379"/>
      <c r="S735" s="197"/>
      <c r="T735" s="198"/>
      <c r="U735" s="379"/>
      <c r="V735" s="197"/>
      <c r="W735" s="198"/>
      <c r="X735" s="379"/>
      <c r="Y735" s="184"/>
      <c r="Z735" s="184"/>
      <c r="AA735" s="184"/>
      <c r="AB735" s="184"/>
      <c r="AC735" s="8"/>
      <c r="AD735" s="8"/>
      <c r="AE735" s="8"/>
      <c r="AF735" s="8"/>
      <c r="AG735" s="191"/>
      <c r="AH735" s="191"/>
      <c r="AI735" s="191"/>
      <c r="AJ735" s="8"/>
      <c r="AK735" s="8"/>
      <c r="AL735" s="8"/>
      <c r="AM735" s="8"/>
      <c r="AN735" s="8"/>
      <c r="AO735" s="8"/>
      <c r="AP735" s="8"/>
      <c r="AQ735" s="8"/>
      <c r="AR735" s="8"/>
      <c r="AS735" s="8"/>
      <c r="AT735" s="8"/>
    </row>
    <row r="736">
      <c r="A736" s="197"/>
      <c r="B736" s="198"/>
      <c r="C736" s="379"/>
      <c r="D736" s="197"/>
      <c r="E736" s="198"/>
      <c r="F736" s="379"/>
      <c r="G736" s="197"/>
      <c r="H736" s="198"/>
      <c r="I736" s="379"/>
      <c r="J736" s="197"/>
      <c r="K736" s="198"/>
      <c r="L736" s="379"/>
      <c r="M736" s="197"/>
      <c r="N736" s="198"/>
      <c r="O736" s="379"/>
      <c r="P736" s="197"/>
      <c r="Q736" s="198"/>
      <c r="R736" s="379"/>
      <c r="S736" s="197"/>
      <c r="T736" s="198"/>
      <c r="U736" s="379"/>
      <c r="V736" s="197"/>
      <c r="W736" s="198"/>
      <c r="X736" s="379"/>
      <c r="Y736" s="184"/>
      <c r="Z736" s="184"/>
      <c r="AA736" s="184"/>
      <c r="AB736" s="184"/>
      <c r="AC736" s="8"/>
      <c r="AD736" s="8"/>
      <c r="AE736" s="8"/>
      <c r="AF736" s="8"/>
      <c r="AG736" s="191"/>
      <c r="AH736" s="191"/>
      <c r="AI736" s="191"/>
      <c r="AJ736" s="8"/>
      <c r="AK736" s="8"/>
      <c r="AL736" s="8"/>
      <c r="AM736" s="8"/>
      <c r="AN736" s="8"/>
      <c r="AO736" s="8"/>
      <c r="AP736" s="8"/>
      <c r="AQ736" s="8"/>
      <c r="AR736" s="8"/>
      <c r="AS736" s="8"/>
      <c r="AT736" s="8"/>
    </row>
    <row r="737">
      <c r="A737" s="197"/>
      <c r="B737" s="198"/>
      <c r="C737" s="379"/>
      <c r="D737" s="197"/>
      <c r="E737" s="198"/>
      <c r="F737" s="379"/>
      <c r="G737" s="197"/>
      <c r="H737" s="198"/>
      <c r="I737" s="379"/>
      <c r="J737" s="197"/>
      <c r="K737" s="198"/>
      <c r="L737" s="379"/>
      <c r="M737" s="197"/>
      <c r="N737" s="198"/>
      <c r="O737" s="379"/>
      <c r="P737" s="197"/>
      <c r="Q737" s="198"/>
      <c r="R737" s="379"/>
      <c r="S737" s="197"/>
      <c r="T737" s="198"/>
      <c r="U737" s="379"/>
      <c r="V737" s="197"/>
      <c r="W737" s="198"/>
      <c r="X737" s="379"/>
      <c r="Y737" s="184"/>
      <c r="Z737" s="184"/>
      <c r="AA737" s="184"/>
      <c r="AB737" s="184"/>
      <c r="AC737" s="8"/>
      <c r="AD737" s="8"/>
      <c r="AE737" s="8"/>
      <c r="AF737" s="8"/>
      <c r="AG737" s="191"/>
      <c r="AH737" s="191"/>
      <c r="AI737" s="191"/>
      <c r="AJ737" s="8"/>
      <c r="AK737" s="8"/>
      <c r="AL737" s="8"/>
      <c r="AM737" s="8"/>
      <c r="AN737" s="8"/>
      <c r="AO737" s="8"/>
      <c r="AP737" s="8"/>
      <c r="AQ737" s="8"/>
      <c r="AR737" s="8"/>
      <c r="AS737" s="8"/>
      <c r="AT737" s="8"/>
    </row>
    <row r="738">
      <c r="A738" s="197"/>
      <c r="B738" s="198"/>
      <c r="C738" s="379"/>
      <c r="D738" s="197"/>
      <c r="E738" s="198"/>
      <c r="F738" s="379"/>
      <c r="G738" s="197"/>
      <c r="H738" s="198"/>
      <c r="I738" s="379"/>
      <c r="J738" s="197"/>
      <c r="K738" s="198"/>
      <c r="L738" s="379"/>
      <c r="M738" s="197"/>
      <c r="N738" s="198"/>
      <c r="O738" s="379"/>
      <c r="P738" s="197"/>
      <c r="Q738" s="198"/>
      <c r="R738" s="379"/>
      <c r="S738" s="197"/>
      <c r="T738" s="198"/>
      <c r="U738" s="379"/>
      <c r="V738" s="197"/>
      <c r="W738" s="198"/>
      <c r="X738" s="379"/>
      <c r="Y738" s="184"/>
      <c r="Z738" s="184"/>
      <c r="AA738" s="184"/>
      <c r="AB738" s="184"/>
      <c r="AC738" s="8"/>
      <c r="AD738" s="8"/>
      <c r="AE738" s="8"/>
      <c r="AF738" s="8"/>
      <c r="AG738" s="191"/>
      <c r="AH738" s="191"/>
      <c r="AI738" s="191"/>
      <c r="AJ738" s="8"/>
      <c r="AK738" s="8"/>
      <c r="AL738" s="8"/>
      <c r="AM738" s="8"/>
      <c r="AN738" s="8"/>
      <c r="AO738" s="8"/>
      <c r="AP738" s="8"/>
      <c r="AQ738" s="8"/>
      <c r="AR738" s="8"/>
      <c r="AS738" s="8"/>
      <c r="AT738" s="8"/>
    </row>
    <row r="739">
      <c r="A739" s="197"/>
      <c r="B739" s="198"/>
      <c r="C739" s="379"/>
      <c r="D739" s="197"/>
      <c r="E739" s="198"/>
      <c r="F739" s="379"/>
      <c r="G739" s="197"/>
      <c r="H739" s="198"/>
      <c r="I739" s="379"/>
      <c r="J739" s="197"/>
      <c r="K739" s="198"/>
      <c r="L739" s="379"/>
      <c r="M739" s="197"/>
      <c r="N739" s="198"/>
      <c r="O739" s="379"/>
      <c r="P739" s="197"/>
      <c r="Q739" s="198"/>
      <c r="R739" s="379"/>
      <c r="S739" s="197"/>
      <c r="T739" s="198"/>
      <c r="U739" s="379"/>
      <c r="V739" s="197"/>
      <c r="W739" s="198"/>
      <c r="X739" s="379"/>
      <c r="Y739" s="184"/>
      <c r="Z739" s="184"/>
      <c r="AA739" s="184"/>
      <c r="AB739" s="184"/>
      <c r="AC739" s="8"/>
      <c r="AD739" s="8"/>
      <c r="AE739" s="8"/>
      <c r="AF739" s="8"/>
      <c r="AG739" s="191"/>
      <c r="AH739" s="191"/>
      <c r="AI739" s="191"/>
      <c r="AJ739" s="8"/>
      <c r="AK739" s="8"/>
      <c r="AL739" s="8"/>
      <c r="AM739" s="8"/>
      <c r="AN739" s="8"/>
      <c r="AO739" s="8"/>
      <c r="AP739" s="8"/>
      <c r="AQ739" s="8"/>
      <c r="AR739" s="8"/>
      <c r="AS739" s="8"/>
      <c r="AT739" s="8"/>
    </row>
    <row r="740">
      <c r="A740" s="197"/>
      <c r="B740" s="198"/>
      <c r="C740" s="379"/>
      <c r="D740" s="197"/>
      <c r="E740" s="198"/>
      <c r="F740" s="379"/>
      <c r="G740" s="197"/>
      <c r="H740" s="198"/>
      <c r="I740" s="379"/>
      <c r="J740" s="197"/>
      <c r="K740" s="198"/>
      <c r="L740" s="379"/>
      <c r="M740" s="197"/>
      <c r="N740" s="198"/>
      <c r="O740" s="379"/>
      <c r="P740" s="197"/>
      <c r="Q740" s="198"/>
      <c r="R740" s="379"/>
      <c r="S740" s="197"/>
      <c r="T740" s="198"/>
      <c r="U740" s="379"/>
      <c r="V740" s="197"/>
      <c r="W740" s="198"/>
      <c r="X740" s="379"/>
      <c r="Y740" s="184"/>
      <c r="Z740" s="184"/>
      <c r="AA740" s="184"/>
      <c r="AB740" s="184"/>
      <c r="AC740" s="8"/>
      <c r="AD740" s="8"/>
      <c r="AE740" s="8"/>
      <c r="AF740" s="8"/>
      <c r="AG740" s="191"/>
      <c r="AH740" s="191"/>
      <c r="AI740" s="191"/>
      <c r="AJ740" s="8"/>
      <c r="AK740" s="8"/>
      <c r="AL740" s="8"/>
      <c r="AM740" s="8"/>
      <c r="AN740" s="8"/>
      <c r="AO740" s="8"/>
      <c r="AP740" s="8"/>
      <c r="AQ740" s="8"/>
      <c r="AR740" s="8"/>
      <c r="AS740" s="8"/>
      <c r="AT740" s="8"/>
    </row>
    <row r="741">
      <c r="A741" s="197"/>
      <c r="B741" s="198"/>
      <c r="C741" s="379"/>
      <c r="D741" s="197"/>
      <c r="E741" s="198"/>
      <c r="F741" s="379"/>
      <c r="G741" s="197"/>
      <c r="H741" s="198"/>
      <c r="I741" s="379"/>
      <c r="J741" s="197"/>
      <c r="K741" s="198"/>
      <c r="L741" s="379"/>
      <c r="M741" s="197"/>
      <c r="N741" s="198"/>
      <c r="O741" s="379"/>
      <c r="P741" s="197"/>
      <c r="Q741" s="198"/>
      <c r="R741" s="379"/>
      <c r="S741" s="197"/>
      <c r="T741" s="198"/>
      <c r="U741" s="379"/>
      <c r="V741" s="197"/>
      <c r="W741" s="198"/>
      <c r="X741" s="379"/>
      <c r="Y741" s="184"/>
      <c r="Z741" s="184"/>
      <c r="AA741" s="184"/>
      <c r="AB741" s="184"/>
      <c r="AC741" s="8"/>
      <c r="AD741" s="8"/>
      <c r="AE741" s="8"/>
      <c r="AF741" s="8"/>
      <c r="AG741" s="191"/>
      <c r="AH741" s="191"/>
      <c r="AI741" s="191"/>
      <c r="AJ741" s="8"/>
      <c r="AK741" s="8"/>
      <c r="AL741" s="8"/>
      <c r="AM741" s="8"/>
      <c r="AN741" s="8"/>
      <c r="AO741" s="8"/>
      <c r="AP741" s="8"/>
      <c r="AQ741" s="8"/>
      <c r="AR741" s="8"/>
      <c r="AS741" s="8"/>
      <c r="AT741" s="8"/>
    </row>
    <row r="742">
      <c r="A742" s="197"/>
      <c r="B742" s="198"/>
      <c r="C742" s="379"/>
      <c r="D742" s="197"/>
      <c r="E742" s="198"/>
      <c r="F742" s="379"/>
      <c r="G742" s="197"/>
      <c r="H742" s="198"/>
      <c r="I742" s="379"/>
      <c r="J742" s="197"/>
      <c r="K742" s="198"/>
      <c r="L742" s="379"/>
      <c r="M742" s="197"/>
      <c r="N742" s="198"/>
      <c r="O742" s="379"/>
      <c r="P742" s="197"/>
      <c r="Q742" s="198"/>
      <c r="R742" s="379"/>
      <c r="S742" s="197"/>
      <c r="T742" s="198"/>
      <c r="U742" s="379"/>
      <c r="V742" s="197"/>
      <c r="W742" s="198"/>
      <c r="X742" s="379"/>
      <c r="Y742" s="184"/>
      <c r="Z742" s="184"/>
      <c r="AA742" s="184"/>
      <c r="AB742" s="184"/>
      <c r="AC742" s="8"/>
      <c r="AD742" s="8"/>
      <c r="AE742" s="8"/>
      <c r="AF742" s="8"/>
      <c r="AG742" s="191"/>
      <c r="AH742" s="191"/>
      <c r="AI742" s="191"/>
      <c r="AJ742" s="8"/>
      <c r="AK742" s="8"/>
      <c r="AL742" s="8"/>
      <c r="AM742" s="8"/>
      <c r="AN742" s="8"/>
      <c r="AO742" s="8"/>
      <c r="AP742" s="8"/>
      <c r="AQ742" s="8"/>
      <c r="AR742" s="8"/>
      <c r="AS742" s="8"/>
      <c r="AT742" s="8"/>
    </row>
    <row r="743">
      <c r="A743" s="197"/>
      <c r="B743" s="198"/>
      <c r="C743" s="379"/>
      <c r="D743" s="197"/>
      <c r="E743" s="198"/>
      <c r="F743" s="379"/>
      <c r="G743" s="197"/>
      <c r="H743" s="198"/>
      <c r="I743" s="379"/>
      <c r="J743" s="197"/>
      <c r="K743" s="198"/>
      <c r="L743" s="379"/>
      <c r="M743" s="197"/>
      <c r="N743" s="198"/>
      <c r="O743" s="379"/>
      <c r="P743" s="197"/>
      <c r="Q743" s="198"/>
      <c r="R743" s="379"/>
      <c r="S743" s="197"/>
      <c r="T743" s="198"/>
      <c r="U743" s="379"/>
      <c r="V743" s="197"/>
      <c r="W743" s="198"/>
      <c r="X743" s="379"/>
      <c r="Y743" s="184"/>
      <c r="Z743" s="184"/>
      <c r="AA743" s="184"/>
      <c r="AB743" s="184"/>
      <c r="AC743" s="8"/>
      <c r="AD743" s="8"/>
      <c r="AE743" s="8"/>
      <c r="AF743" s="8"/>
      <c r="AG743" s="191"/>
      <c r="AH743" s="191"/>
      <c r="AI743" s="191"/>
      <c r="AJ743" s="8"/>
      <c r="AK743" s="8"/>
      <c r="AL743" s="8"/>
      <c r="AM743" s="8"/>
      <c r="AN743" s="8"/>
      <c r="AO743" s="8"/>
      <c r="AP743" s="8"/>
      <c r="AQ743" s="8"/>
      <c r="AR743" s="8"/>
      <c r="AS743" s="8"/>
      <c r="AT743" s="8"/>
    </row>
    <row r="744">
      <c r="A744" s="197"/>
      <c r="B744" s="198"/>
      <c r="C744" s="379"/>
      <c r="D744" s="197"/>
      <c r="E744" s="198"/>
      <c r="F744" s="379"/>
      <c r="G744" s="197"/>
      <c r="H744" s="198"/>
      <c r="I744" s="379"/>
      <c r="J744" s="197"/>
      <c r="K744" s="198"/>
      <c r="L744" s="379"/>
      <c r="M744" s="197"/>
      <c r="N744" s="198"/>
      <c r="O744" s="379"/>
      <c r="P744" s="197"/>
      <c r="Q744" s="198"/>
      <c r="R744" s="379"/>
      <c r="S744" s="197"/>
      <c r="T744" s="198"/>
      <c r="U744" s="379"/>
      <c r="V744" s="197"/>
      <c r="W744" s="198"/>
      <c r="X744" s="379"/>
      <c r="Y744" s="184"/>
      <c r="Z744" s="184"/>
      <c r="AA744" s="184"/>
      <c r="AB744" s="184"/>
      <c r="AC744" s="8"/>
      <c r="AD744" s="8"/>
      <c r="AE744" s="8"/>
      <c r="AF744" s="8"/>
      <c r="AG744" s="191"/>
      <c r="AH744" s="191"/>
      <c r="AI744" s="191"/>
      <c r="AJ744" s="8"/>
      <c r="AK744" s="8"/>
      <c r="AL744" s="8"/>
      <c r="AM744" s="8"/>
      <c r="AN744" s="8"/>
      <c r="AO744" s="8"/>
      <c r="AP744" s="8"/>
      <c r="AQ744" s="8"/>
      <c r="AR744" s="8"/>
      <c r="AS744" s="8"/>
      <c r="AT744" s="8"/>
    </row>
    <row r="745">
      <c r="A745" s="197"/>
      <c r="B745" s="198"/>
      <c r="C745" s="379"/>
      <c r="D745" s="197"/>
      <c r="E745" s="198"/>
      <c r="F745" s="379"/>
      <c r="G745" s="197"/>
      <c r="H745" s="198"/>
      <c r="I745" s="379"/>
      <c r="J745" s="197"/>
      <c r="K745" s="198"/>
      <c r="L745" s="379"/>
      <c r="M745" s="197"/>
      <c r="N745" s="198"/>
      <c r="O745" s="379"/>
      <c r="P745" s="197"/>
      <c r="Q745" s="198"/>
      <c r="R745" s="379"/>
      <c r="S745" s="197"/>
      <c r="T745" s="198"/>
      <c r="U745" s="379"/>
      <c r="V745" s="197"/>
      <c r="W745" s="198"/>
      <c r="X745" s="379"/>
      <c r="Y745" s="184"/>
      <c r="Z745" s="184"/>
      <c r="AA745" s="184"/>
      <c r="AB745" s="184"/>
      <c r="AC745" s="8"/>
      <c r="AD745" s="8"/>
      <c r="AE745" s="8"/>
      <c r="AF745" s="8"/>
      <c r="AG745" s="191"/>
      <c r="AH745" s="191"/>
      <c r="AI745" s="191"/>
      <c r="AJ745" s="8"/>
      <c r="AK745" s="8"/>
      <c r="AL745" s="8"/>
      <c r="AM745" s="8"/>
      <c r="AN745" s="8"/>
      <c r="AO745" s="8"/>
      <c r="AP745" s="8"/>
      <c r="AQ745" s="8"/>
      <c r="AR745" s="8"/>
      <c r="AS745" s="8"/>
      <c r="AT745" s="8"/>
    </row>
    <row r="746">
      <c r="A746" s="197"/>
      <c r="B746" s="198"/>
      <c r="C746" s="379"/>
      <c r="D746" s="197"/>
      <c r="E746" s="198"/>
      <c r="F746" s="379"/>
      <c r="G746" s="197"/>
      <c r="H746" s="198"/>
      <c r="I746" s="379"/>
      <c r="J746" s="197"/>
      <c r="K746" s="198"/>
      <c r="L746" s="379"/>
      <c r="M746" s="197"/>
      <c r="N746" s="198"/>
      <c r="O746" s="379"/>
      <c r="P746" s="197"/>
      <c r="Q746" s="198"/>
      <c r="R746" s="379"/>
      <c r="S746" s="197"/>
      <c r="T746" s="198"/>
      <c r="U746" s="379"/>
      <c r="V746" s="197"/>
      <c r="W746" s="198"/>
      <c r="X746" s="379"/>
      <c r="Y746" s="184"/>
      <c r="Z746" s="184"/>
      <c r="AA746" s="184"/>
      <c r="AB746" s="184"/>
      <c r="AC746" s="8"/>
      <c r="AD746" s="8"/>
      <c r="AE746" s="8"/>
      <c r="AF746" s="8"/>
      <c r="AG746" s="191"/>
      <c r="AH746" s="191"/>
      <c r="AI746" s="191"/>
      <c r="AJ746" s="8"/>
      <c r="AK746" s="8"/>
      <c r="AL746" s="8"/>
      <c r="AM746" s="8"/>
      <c r="AN746" s="8"/>
      <c r="AO746" s="8"/>
      <c r="AP746" s="8"/>
      <c r="AQ746" s="8"/>
      <c r="AR746" s="8"/>
      <c r="AS746" s="8"/>
      <c r="AT746" s="8"/>
    </row>
    <row r="747">
      <c r="A747" s="197"/>
      <c r="B747" s="198"/>
      <c r="C747" s="379"/>
      <c r="D747" s="197"/>
      <c r="E747" s="198"/>
      <c r="F747" s="379"/>
      <c r="G747" s="197"/>
      <c r="H747" s="198"/>
      <c r="I747" s="379"/>
      <c r="J747" s="197"/>
      <c r="K747" s="198"/>
      <c r="L747" s="379"/>
      <c r="M747" s="197"/>
      <c r="N747" s="198"/>
      <c r="O747" s="379"/>
      <c r="P747" s="197"/>
      <c r="Q747" s="198"/>
      <c r="R747" s="379"/>
      <c r="S747" s="197"/>
      <c r="T747" s="198"/>
      <c r="U747" s="379"/>
      <c r="V747" s="197"/>
      <c r="W747" s="198"/>
      <c r="X747" s="379"/>
      <c r="Y747" s="184"/>
      <c r="Z747" s="184"/>
      <c r="AA747" s="184"/>
      <c r="AB747" s="184"/>
      <c r="AC747" s="8"/>
      <c r="AD747" s="8"/>
      <c r="AE747" s="8"/>
      <c r="AF747" s="8"/>
      <c r="AG747" s="191"/>
      <c r="AH747" s="191"/>
      <c r="AI747" s="191"/>
      <c r="AJ747" s="8"/>
      <c r="AK747" s="8"/>
      <c r="AL747" s="8"/>
      <c r="AM747" s="8"/>
      <c r="AN747" s="8"/>
      <c r="AO747" s="8"/>
      <c r="AP747" s="8"/>
      <c r="AQ747" s="8"/>
      <c r="AR747" s="8"/>
      <c r="AS747" s="8"/>
      <c r="AT747" s="8"/>
    </row>
    <row r="748">
      <c r="A748" s="197"/>
      <c r="B748" s="198"/>
      <c r="C748" s="379"/>
      <c r="D748" s="197"/>
      <c r="E748" s="198"/>
      <c r="F748" s="379"/>
      <c r="G748" s="197"/>
      <c r="H748" s="198"/>
      <c r="I748" s="379"/>
      <c r="J748" s="197"/>
      <c r="K748" s="198"/>
      <c r="L748" s="379"/>
      <c r="M748" s="197"/>
      <c r="N748" s="198"/>
      <c r="O748" s="379"/>
      <c r="P748" s="197"/>
      <c r="Q748" s="198"/>
      <c r="R748" s="379"/>
      <c r="S748" s="197"/>
      <c r="T748" s="198"/>
      <c r="U748" s="379"/>
      <c r="V748" s="197"/>
      <c r="W748" s="198"/>
      <c r="X748" s="379"/>
      <c r="Y748" s="184"/>
      <c r="Z748" s="184"/>
      <c r="AA748" s="184"/>
      <c r="AB748" s="184"/>
      <c r="AC748" s="8"/>
      <c r="AD748" s="8"/>
      <c r="AE748" s="8"/>
      <c r="AF748" s="8"/>
      <c r="AG748" s="191"/>
      <c r="AH748" s="191"/>
      <c r="AI748" s="191"/>
      <c r="AJ748" s="8"/>
      <c r="AK748" s="8"/>
      <c r="AL748" s="8"/>
      <c r="AM748" s="8"/>
      <c r="AN748" s="8"/>
      <c r="AO748" s="8"/>
      <c r="AP748" s="8"/>
      <c r="AQ748" s="8"/>
      <c r="AR748" s="8"/>
      <c r="AS748" s="8"/>
      <c r="AT748" s="8"/>
    </row>
    <row r="749">
      <c r="A749" s="197"/>
      <c r="B749" s="198"/>
      <c r="C749" s="379"/>
      <c r="D749" s="197"/>
      <c r="E749" s="198"/>
      <c r="F749" s="379"/>
      <c r="G749" s="197"/>
      <c r="H749" s="198"/>
      <c r="I749" s="379"/>
      <c r="J749" s="197"/>
      <c r="K749" s="198"/>
      <c r="L749" s="379"/>
      <c r="M749" s="197"/>
      <c r="N749" s="198"/>
      <c r="O749" s="379"/>
      <c r="P749" s="197"/>
      <c r="Q749" s="198"/>
      <c r="R749" s="379"/>
      <c r="S749" s="197"/>
      <c r="T749" s="198"/>
      <c r="U749" s="379"/>
      <c r="V749" s="197"/>
      <c r="W749" s="198"/>
      <c r="X749" s="379"/>
      <c r="Y749" s="184"/>
      <c r="Z749" s="184"/>
      <c r="AA749" s="184"/>
      <c r="AB749" s="184"/>
      <c r="AC749" s="8"/>
      <c r="AD749" s="8"/>
      <c r="AE749" s="8"/>
      <c r="AF749" s="8"/>
      <c r="AG749" s="191"/>
      <c r="AH749" s="191"/>
      <c r="AI749" s="191"/>
      <c r="AJ749" s="8"/>
      <c r="AK749" s="8"/>
      <c r="AL749" s="8"/>
      <c r="AM749" s="8"/>
      <c r="AN749" s="8"/>
      <c r="AO749" s="8"/>
      <c r="AP749" s="8"/>
      <c r="AQ749" s="8"/>
      <c r="AR749" s="8"/>
      <c r="AS749" s="8"/>
      <c r="AT749" s="8"/>
    </row>
    <row r="750">
      <c r="A750" s="197"/>
      <c r="B750" s="198"/>
      <c r="C750" s="379"/>
      <c r="D750" s="197"/>
      <c r="E750" s="198"/>
      <c r="F750" s="379"/>
      <c r="G750" s="197"/>
      <c r="H750" s="198"/>
      <c r="I750" s="379"/>
      <c r="J750" s="197"/>
      <c r="K750" s="198"/>
      <c r="L750" s="379"/>
      <c r="M750" s="197"/>
      <c r="N750" s="198"/>
      <c r="O750" s="379"/>
      <c r="P750" s="197"/>
      <c r="Q750" s="198"/>
      <c r="R750" s="379"/>
      <c r="S750" s="197"/>
      <c r="T750" s="198"/>
      <c r="U750" s="379"/>
      <c r="V750" s="197"/>
      <c r="W750" s="198"/>
      <c r="X750" s="379"/>
      <c r="Y750" s="184"/>
      <c r="Z750" s="184"/>
      <c r="AA750" s="184"/>
      <c r="AB750" s="184"/>
      <c r="AC750" s="8"/>
      <c r="AD750" s="8"/>
      <c r="AE750" s="8"/>
      <c r="AF750" s="8"/>
      <c r="AG750" s="191"/>
      <c r="AH750" s="191"/>
      <c r="AI750" s="191"/>
      <c r="AJ750" s="8"/>
      <c r="AK750" s="8"/>
      <c r="AL750" s="8"/>
      <c r="AM750" s="8"/>
      <c r="AN750" s="8"/>
      <c r="AO750" s="8"/>
      <c r="AP750" s="8"/>
      <c r="AQ750" s="8"/>
      <c r="AR750" s="8"/>
      <c r="AS750" s="8"/>
      <c r="AT750" s="8"/>
    </row>
    <row r="751">
      <c r="A751" s="197"/>
      <c r="B751" s="198"/>
      <c r="C751" s="379"/>
      <c r="D751" s="197"/>
      <c r="E751" s="198"/>
      <c r="F751" s="379"/>
      <c r="G751" s="197"/>
      <c r="H751" s="198"/>
      <c r="I751" s="379"/>
      <c r="J751" s="197"/>
      <c r="K751" s="198"/>
      <c r="L751" s="379"/>
      <c r="M751" s="197"/>
      <c r="N751" s="198"/>
      <c r="O751" s="379"/>
      <c r="P751" s="197"/>
      <c r="Q751" s="198"/>
      <c r="R751" s="379"/>
      <c r="S751" s="197"/>
      <c r="T751" s="198"/>
      <c r="U751" s="379"/>
      <c r="V751" s="197"/>
      <c r="W751" s="198"/>
      <c r="X751" s="379"/>
      <c r="Y751" s="184"/>
      <c r="Z751" s="184"/>
      <c r="AA751" s="184"/>
      <c r="AB751" s="184"/>
      <c r="AC751" s="8"/>
      <c r="AD751" s="8"/>
      <c r="AE751" s="8"/>
      <c r="AF751" s="8"/>
      <c r="AG751" s="191"/>
      <c r="AH751" s="191"/>
      <c r="AI751" s="191"/>
      <c r="AJ751" s="8"/>
      <c r="AK751" s="8"/>
      <c r="AL751" s="8"/>
      <c r="AM751" s="8"/>
      <c r="AN751" s="8"/>
      <c r="AO751" s="8"/>
      <c r="AP751" s="8"/>
      <c r="AQ751" s="8"/>
      <c r="AR751" s="8"/>
      <c r="AS751" s="8"/>
      <c r="AT751" s="8"/>
    </row>
    <row r="752">
      <c r="A752" s="197"/>
      <c r="B752" s="198"/>
      <c r="C752" s="379"/>
      <c r="D752" s="197"/>
      <c r="E752" s="198"/>
      <c r="F752" s="379"/>
      <c r="G752" s="197"/>
      <c r="H752" s="198"/>
      <c r="I752" s="379"/>
      <c r="J752" s="197"/>
      <c r="K752" s="198"/>
      <c r="L752" s="379"/>
      <c r="M752" s="197"/>
      <c r="N752" s="198"/>
      <c r="O752" s="379"/>
      <c r="P752" s="197"/>
      <c r="Q752" s="198"/>
      <c r="R752" s="379"/>
      <c r="S752" s="197"/>
      <c r="T752" s="198"/>
      <c r="U752" s="379"/>
      <c r="V752" s="197"/>
      <c r="W752" s="198"/>
      <c r="X752" s="379"/>
      <c r="Y752" s="184"/>
      <c r="Z752" s="184"/>
      <c r="AA752" s="184"/>
      <c r="AB752" s="184"/>
      <c r="AC752" s="8"/>
      <c r="AD752" s="8"/>
      <c r="AE752" s="8"/>
      <c r="AF752" s="8"/>
      <c r="AG752" s="191"/>
      <c r="AH752" s="191"/>
      <c r="AI752" s="191"/>
      <c r="AJ752" s="8"/>
      <c r="AK752" s="8"/>
      <c r="AL752" s="8"/>
      <c r="AM752" s="8"/>
      <c r="AN752" s="8"/>
      <c r="AO752" s="8"/>
      <c r="AP752" s="8"/>
      <c r="AQ752" s="8"/>
      <c r="AR752" s="8"/>
      <c r="AS752" s="8"/>
      <c r="AT752" s="8"/>
    </row>
    <row r="753">
      <c r="A753" s="197"/>
      <c r="B753" s="198"/>
      <c r="C753" s="379"/>
      <c r="D753" s="197"/>
      <c r="E753" s="198"/>
      <c r="F753" s="379"/>
      <c r="G753" s="197"/>
      <c r="H753" s="198"/>
      <c r="I753" s="379"/>
      <c r="J753" s="197"/>
      <c r="K753" s="198"/>
      <c r="L753" s="379"/>
      <c r="M753" s="197"/>
      <c r="N753" s="198"/>
      <c r="O753" s="379"/>
      <c r="P753" s="197"/>
      <c r="Q753" s="198"/>
      <c r="R753" s="379"/>
      <c r="S753" s="197"/>
      <c r="T753" s="198"/>
      <c r="U753" s="379"/>
      <c r="V753" s="197"/>
      <c r="W753" s="198"/>
      <c r="X753" s="379"/>
      <c r="Y753" s="184"/>
      <c r="Z753" s="184"/>
      <c r="AA753" s="184"/>
      <c r="AB753" s="184"/>
      <c r="AC753" s="8"/>
      <c r="AD753" s="8"/>
      <c r="AE753" s="8"/>
      <c r="AF753" s="8"/>
      <c r="AG753" s="191"/>
      <c r="AH753" s="191"/>
      <c r="AI753" s="191"/>
      <c r="AJ753" s="8"/>
      <c r="AK753" s="8"/>
      <c r="AL753" s="8"/>
      <c r="AM753" s="8"/>
      <c r="AN753" s="8"/>
      <c r="AO753" s="8"/>
      <c r="AP753" s="8"/>
      <c r="AQ753" s="8"/>
      <c r="AR753" s="8"/>
      <c r="AS753" s="8"/>
      <c r="AT753" s="8"/>
    </row>
    <row r="754">
      <c r="A754" s="197"/>
      <c r="B754" s="198"/>
      <c r="C754" s="379"/>
      <c r="D754" s="197"/>
      <c r="E754" s="198"/>
      <c r="F754" s="379"/>
      <c r="G754" s="197"/>
      <c r="H754" s="198"/>
      <c r="I754" s="379"/>
      <c r="J754" s="197"/>
      <c r="K754" s="198"/>
      <c r="L754" s="379"/>
      <c r="M754" s="197"/>
      <c r="N754" s="198"/>
      <c r="O754" s="379"/>
      <c r="P754" s="197"/>
      <c r="Q754" s="198"/>
      <c r="R754" s="379"/>
      <c r="S754" s="197"/>
      <c r="T754" s="198"/>
      <c r="U754" s="379"/>
      <c r="V754" s="197"/>
      <c r="W754" s="198"/>
      <c r="X754" s="379"/>
      <c r="Y754" s="184"/>
      <c r="Z754" s="184"/>
      <c r="AA754" s="184"/>
      <c r="AB754" s="184"/>
      <c r="AC754" s="8"/>
      <c r="AD754" s="8"/>
      <c r="AE754" s="8"/>
      <c r="AF754" s="8"/>
      <c r="AG754" s="191"/>
      <c r="AH754" s="191"/>
      <c r="AI754" s="191"/>
      <c r="AJ754" s="8"/>
      <c r="AK754" s="8"/>
      <c r="AL754" s="8"/>
      <c r="AM754" s="8"/>
      <c r="AN754" s="8"/>
      <c r="AO754" s="8"/>
      <c r="AP754" s="8"/>
      <c r="AQ754" s="8"/>
      <c r="AR754" s="8"/>
      <c r="AS754" s="8"/>
      <c r="AT754" s="8"/>
    </row>
    <row r="755">
      <c r="A755" s="197"/>
      <c r="B755" s="198"/>
      <c r="C755" s="379"/>
      <c r="D755" s="197"/>
      <c r="E755" s="198"/>
      <c r="F755" s="379"/>
      <c r="G755" s="197"/>
      <c r="H755" s="198"/>
      <c r="I755" s="379"/>
      <c r="J755" s="197"/>
      <c r="K755" s="198"/>
      <c r="L755" s="379"/>
      <c r="M755" s="197"/>
      <c r="N755" s="198"/>
      <c r="O755" s="379"/>
      <c r="P755" s="197"/>
      <c r="Q755" s="198"/>
      <c r="R755" s="379"/>
      <c r="S755" s="197"/>
      <c r="T755" s="198"/>
      <c r="U755" s="379"/>
      <c r="V755" s="197"/>
      <c r="W755" s="198"/>
      <c r="X755" s="379"/>
      <c r="Y755" s="184"/>
      <c r="Z755" s="184"/>
      <c r="AA755" s="184"/>
      <c r="AB755" s="184"/>
      <c r="AC755" s="8"/>
      <c r="AD755" s="8"/>
      <c r="AE755" s="8"/>
      <c r="AF755" s="8"/>
      <c r="AG755" s="191"/>
      <c r="AH755" s="191"/>
      <c r="AI755" s="191"/>
      <c r="AJ755" s="8"/>
      <c r="AK755" s="8"/>
      <c r="AL755" s="8"/>
      <c r="AM755" s="8"/>
      <c r="AN755" s="8"/>
      <c r="AO755" s="8"/>
      <c r="AP755" s="8"/>
      <c r="AQ755" s="8"/>
      <c r="AR755" s="8"/>
      <c r="AS755" s="8"/>
      <c r="AT755" s="8"/>
    </row>
    <row r="756">
      <c r="A756" s="197"/>
      <c r="B756" s="198"/>
      <c r="C756" s="379"/>
      <c r="D756" s="197"/>
      <c r="E756" s="198"/>
      <c r="F756" s="379"/>
      <c r="G756" s="197"/>
      <c r="H756" s="198"/>
      <c r="I756" s="379"/>
      <c r="J756" s="197"/>
      <c r="K756" s="198"/>
      <c r="L756" s="379"/>
      <c r="M756" s="197"/>
      <c r="N756" s="198"/>
      <c r="O756" s="379"/>
      <c r="P756" s="197"/>
      <c r="Q756" s="198"/>
      <c r="R756" s="379"/>
      <c r="S756" s="197"/>
      <c r="T756" s="198"/>
      <c r="U756" s="379"/>
      <c r="V756" s="197"/>
      <c r="W756" s="198"/>
      <c r="X756" s="379"/>
      <c r="Y756" s="184"/>
      <c r="Z756" s="184"/>
      <c r="AA756" s="184"/>
      <c r="AB756" s="184"/>
      <c r="AC756" s="8"/>
      <c r="AD756" s="8"/>
      <c r="AE756" s="8"/>
      <c r="AF756" s="8"/>
      <c r="AG756" s="191"/>
      <c r="AH756" s="191"/>
      <c r="AI756" s="191"/>
      <c r="AJ756" s="8"/>
      <c r="AK756" s="8"/>
      <c r="AL756" s="8"/>
      <c r="AM756" s="8"/>
      <c r="AN756" s="8"/>
      <c r="AO756" s="8"/>
      <c r="AP756" s="8"/>
      <c r="AQ756" s="8"/>
      <c r="AR756" s="8"/>
      <c r="AS756" s="8"/>
      <c r="AT756" s="8"/>
    </row>
    <row r="757">
      <c r="A757" s="197"/>
      <c r="B757" s="198"/>
      <c r="C757" s="379"/>
      <c r="D757" s="197"/>
      <c r="E757" s="198"/>
      <c r="F757" s="379"/>
      <c r="G757" s="197"/>
      <c r="H757" s="198"/>
      <c r="I757" s="379"/>
      <c r="J757" s="197"/>
      <c r="K757" s="198"/>
      <c r="L757" s="379"/>
      <c r="M757" s="197"/>
      <c r="N757" s="198"/>
      <c r="O757" s="379"/>
      <c r="P757" s="197"/>
      <c r="Q757" s="198"/>
      <c r="R757" s="379"/>
      <c r="S757" s="197"/>
      <c r="T757" s="198"/>
      <c r="U757" s="379"/>
      <c r="V757" s="197"/>
      <c r="W757" s="198"/>
      <c r="X757" s="379"/>
      <c r="Y757" s="184"/>
      <c r="Z757" s="184"/>
      <c r="AA757" s="184"/>
      <c r="AB757" s="184"/>
      <c r="AC757" s="8"/>
      <c r="AD757" s="8"/>
      <c r="AE757" s="8"/>
      <c r="AF757" s="8"/>
      <c r="AG757" s="191"/>
      <c r="AH757" s="191"/>
      <c r="AI757" s="191"/>
      <c r="AJ757" s="8"/>
      <c r="AK757" s="8"/>
      <c r="AL757" s="8"/>
      <c r="AM757" s="8"/>
      <c r="AN757" s="8"/>
      <c r="AO757" s="8"/>
      <c r="AP757" s="8"/>
      <c r="AQ757" s="8"/>
      <c r="AR757" s="8"/>
      <c r="AS757" s="8"/>
      <c r="AT757" s="8"/>
    </row>
    <row r="758">
      <c r="A758" s="197"/>
      <c r="B758" s="198"/>
      <c r="C758" s="379"/>
      <c r="D758" s="197"/>
      <c r="E758" s="198"/>
      <c r="F758" s="379"/>
      <c r="G758" s="197"/>
      <c r="H758" s="198"/>
      <c r="I758" s="379"/>
      <c r="J758" s="197"/>
      <c r="K758" s="198"/>
      <c r="L758" s="379"/>
      <c r="M758" s="197"/>
      <c r="N758" s="198"/>
      <c r="O758" s="379"/>
      <c r="P758" s="197"/>
      <c r="Q758" s="198"/>
      <c r="R758" s="379"/>
      <c r="S758" s="197"/>
      <c r="T758" s="198"/>
      <c r="U758" s="379"/>
      <c r="V758" s="197"/>
      <c r="W758" s="198"/>
      <c r="X758" s="379"/>
      <c r="Y758" s="184"/>
      <c r="Z758" s="184"/>
      <c r="AA758" s="184"/>
      <c r="AB758" s="184"/>
      <c r="AC758" s="8"/>
      <c r="AD758" s="8"/>
      <c r="AE758" s="8"/>
      <c r="AF758" s="8"/>
      <c r="AG758" s="191"/>
      <c r="AH758" s="191"/>
      <c r="AI758" s="191"/>
      <c r="AJ758" s="8"/>
      <c r="AK758" s="8"/>
      <c r="AL758" s="8"/>
      <c r="AM758" s="8"/>
      <c r="AN758" s="8"/>
      <c r="AO758" s="8"/>
      <c r="AP758" s="8"/>
      <c r="AQ758" s="8"/>
      <c r="AR758" s="8"/>
      <c r="AS758" s="8"/>
      <c r="AT758" s="8"/>
    </row>
    <row r="759">
      <c r="A759" s="197"/>
      <c r="B759" s="198"/>
      <c r="C759" s="379"/>
      <c r="D759" s="197"/>
      <c r="E759" s="198"/>
      <c r="F759" s="379"/>
      <c r="G759" s="197"/>
      <c r="H759" s="198"/>
      <c r="I759" s="379"/>
      <c r="J759" s="197"/>
      <c r="K759" s="198"/>
      <c r="L759" s="379"/>
      <c r="M759" s="197"/>
      <c r="N759" s="198"/>
      <c r="O759" s="379"/>
      <c r="P759" s="197"/>
      <c r="Q759" s="198"/>
      <c r="R759" s="379"/>
      <c r="S759" s="197"/>
      <c r="T759" s="198"/>
      <c r="U759" s="379"/>
      <c r="V759" s="197"/>
      <c r="W759" s="198"/>
      <c r="X759" s="379"/>
      <c r="Y759" s="184"/>
      <c r="Z759" s="184"/>
      <c r="AA759" s="184"/>
      <c r="AB759" s="184"/>
      <c r="AC759" s="8"/>
      <c r="AD759" s="8"/>
      <c r="AE759" s="8"/>
      <c r="AF759" s="8"/>
      <c r="AG759" s="191"/>
      <c r="AH759" s="191"/>
      <c r="AI759" s="191"/>
      <c r="AJ759" s="8"/>
      <c r="AK759" s="8"/>
      <c r="AL759" s="8"/>
      <c r="AM759" s="8"/>
      <c r="AN759" s="8"/>
      <c r="AO759" s="8"/>
      <c r="AP759" s="8"/>
      <c r="AQ759" s="8"/>
      <c r="AR759" s="8"/>
      <c r="AS759" s="8"/>
      <c r="AT759" s="8"/>
    </row>
    <row r="760">
      <c r="A760" s="197"/>
      <c r="B760" s="198"/>
      <c r="C760" s="379"/>
      <c r="D760" s="197"/>
      <c r="E760" s="198"/>
      <c r="F760" s="379"/>
      <c r="G760" s="197"/>
      <c r="H760" s="198"/>
      <c r="I760" s="379"/>
      <c r="J760" s="197"/>
      <c r="K760" s="198"/>
      <c r="L760" s="379"/>
      <c r="M760" s="197"/>
      <c r="N760" s="198"/>
      <c r="O760" s="379"/>
      <c r="P760" s="197"/>
      <c r="Q760" s="198"/>
      <c r="R760" s="379"/>
      <c r="S760" s="197"/>
      <c r="T760" s="198"/>
      <c r="U760" s="379"/>
      <c r="V760" s="197"/>
      <c r="W760" s="198"/>
      <c r="X760" s="379"/>
      <c r="Y760" s="184"/>
      <c r="Z760" s="184"/>
      <c r="AA760" s="184"/>
      <c r="AB760" s="184"/>
      <c r="AC760" s="8"/>
      <c r="AD760" s="8"/>
      <c r="AE760" s="8"/>
      <c r="AF760" s="8"/>
      <c r="AG760" s="191"/>
      <c r="AH760" s="191"/>
      <c r="AI760" s="191"/>
      <c r="AJ760" s="8"/>
      <c r="AK760" s="8"/>
      <c r="AL760" s="8"/>
      <c r="AM760" s="8"/>
      <c r="AN760" s="8"/>
      <c r="AO760" s="8"/>
      <c r="AP760" s="8"/>
      <c r="AQ760" s="8"/>
      <c r="AR760" s="8"/>
      <c r="AS760" s="8"/>
      <c r="AT760" s="8"/>
    </row>
    <row r="761">
      <c r="A761" s="197"/>
      <c r="B761" s="198"/>
      <c r="C761" s="379"/>
      <c r="D761" s="197"/>
      <c r="E761" s="198"/>
      <c r="F761" s="379"/>
      <c r="G761" s="197"/>
      <c r="H761" s="198"/>
      <c r="I761" s="379"/>
      <c r="J761" s="197"/>
      <c r="K761" s="198"/>
      <c r="L761" s="379"/>
      <c r="M761" s="197"/>
      <c r="N761" s="198"/>
      <c r="O761" s="379"/>
      <c r="P761" s="197"/>
      <c r="Q761" s="198"/>
      <c r="R761" s="379"/>
      <c r="S761" s="197"/>
      <c r="T761" s="198"/>
      <c r="U761" s="379"/>
      <c r="V761" s="197"/>
      <c r="W761" s="198"/>
      <c r="X761" s="379"/>
      <c r="Y761" s="184"/>
      <c r="Z761" s="184"/>
      <c r="AA761" s="184"/>
      <c r="AB761" s="184"/>
      <c r="AC761" s="8"/>
      <c r="AD761" s="8"/>
      <c r="AE761" s="8"/>
      <c r="AF761" s="8"/>
      <c r="AG761" s="191"/>
      <c r="AH761" s="191"/>
      <c r="AI761" s="191"/>
      <c r="AJ761" s="8"/>
      <c r="AK761" s="8"/>
      <c r="AL761" s="8"/>
      <c r="AM761" s="8"/>
      <c r="AN761" s="8"/>
      <c r="AO761" s="8"/>
      <c r="AP761" s="8"/>
      <c r="AQ761" s="8"/>
      <c r="AR761" s="8"/>
      <c r="AS761" s="8"/>
      <c r="AT761" s="8"/>
    </row>
    <row r="762">
      <c r="A762" s="197"/>
      <c r="B762" s="198"/>
      <c r="C762" s="379"/>
      <c r="D762" s="197"/>
      <c r="E762" s="198"/>
      <c r="F762" s="379"/>
      <c r="G762" s="197"/>
      <c r="H762" s="198"/>
      <c r="I762" s="379"/>
      <c r="J762" s="197"/>
      <c r="K762" s="198"/>
      <c r="L762" s="379"/>
      <c r="M762" s="197"/>
      <c r="N762" s="198"/>
      <c r="O762" s="379"/>
      <c r="P762" s="197"/>
      <c r="Q762" s="198"/>
      <c r="R762" s="379"/>
      <c r="S762" s="197"/>
      <c r="T762" s="198"/>
      <c r="U762" s="379"/>
      <c r="V762" s="197"/>
      <c r="W762" s="198"/>
      <c r="X762" s="379"/>
      <c r="Y762" s="184"/>
      <c r="Z762" s="184"/>
      <c r="AA762" s="184"/>
      <c r="AB762" s="184"/>
      <c r="AC762" s="8"/>
      <c r="AD762" s="8"/>
      <c r="AE762" s="8"/>
      <c r="AF762" s="8"/>
      <c r="AG762" s="191"/>
      <c r="AH762" s="191"/>
      <c r="AI762" s="191"/>
      <c r="AJ762" s="8"/>
      <c r="AK762" s="8"/>
      <c r="AL762" s="8"/>
      <c r="AM762" s="8"/>
      <c r="AN762" s="8"/>
      <c r="AO762" s="8"/>
      <c r="AP762" s="8"/>
      <c r="AQ762" s="8"/>
      <c r="AR762" s="8"/>
      <c r="AS762" s="8"/>
      <c r="AT762" s="8"/>
    </row>
    <row r="763">
      <c r="A763" s="197"/>
      <c r="B763" s="198"/>
      <c r="C763" s="379"/>
      <c r="D763" s="197"/>
      <c r="E763" s="198"/>
      <c r="F763" s="379"/>
      <c r="G763" s="197"/>
      <c r="H763" s="198"/>
      <c r="I763" s="379"/>
      <c r="J763" s="197"/>
      <c r="K763" s="198"/>
      <c r="L763" s="379"/>
      <c r="M763" s="197"/>
      <c r="N763" s="198"/>
      <c r="O763" s="379"/>
      <c r="P763" s="197"/>
      <c r="Q763" s="198"/>
      <c r="R763" s="379"/>
      <c r="S763" s="197"/>
      <c r="T763" s="198"/>
      <c r="U763" s="379"/>
      <c r="V763" s="197"/>
      <c r="W763" s="198"/>
      <c r="X763" s="379"/>
      <c r="Y763" s="184"/>
      <c r="Z763" s="184"/>
      <c r="AA763" s="184"/>
      <c r="AB763" s="184"/>
      <c r="AC763" s="8"/>
      <c r="AD763" s="8"/>
      <c r="AE763" s="8"/>
      <c r="AF763" s="8"/>
      <c r="AG763" s="191"/>
      <c r="AH763" s="191"/>
      <c r="AI763" s="191"/>
      <c r="AJ763" s="8"/>
      <c r="AK763" s="8"/>
      <c r="AL763" s="8"/>
      <c r="AM763" s="8"/>
      <c r="AN763" s="8"/>
      <c r="AO763" s="8"/>
      <c r="AP763" s="8"/>
      <c r="AQ763" s="8"/>
      <c r="AR763" s="8"/>
      <c r="AS763" s="8"/>
      <c r="AT763" s="8"/>
    </row>
    <row r="764">
      <c r="A764" s="197"/>
      <c r="B764" s="198"/>
      <c r="C764" s="379"/>
      <c r="D764" s="197"/>
      <c r="E764" s="198"/>
      <c r="F764" s="379"/>
      <c r="G764" s="197"/>
      <c r="H764" s="198"/>
      <c r="I764" s="379"/>
      <c r="J764" s="197"/>
      <c r="K764" s="198"/>
      <c r="L764" s="379"/>
      <c r="M764" s="197"/>
      <c r="N764" s="198"/>
      <c r="O764" s="379"/>
      <c r="P764" s="197"/>
      <c r="Q764" s="198"/>
      <c r="R764" s="379"/>
      <c r="S764" s="197"/>
      <c r="T764" s="198"/>
      <c r="U764" s="379"/>
      <c r="V764" s="197"/>
      <c r="W764" s="198"/>
      <c r="X764" s="379"/>
      <c r="Y764" s="184"/>
      <c r="Z764" s="184"/>
      <c r="AA764" s="184"/>
      <c r="AB764" s="184"/>
      <c r="AC764" s="8"/>
      <c r="AD764" s="8"/>
      <c r="AE764" s="8"/>
      <c r="AF764" s="8"/>
      <c r="AG764" s="191"/>
      <c r="AH764" s="191"/>
      <c r="AI764" s="191"/>
      <c r="AJ764" s="8"/>
      <c r="AK764" s="8"/>
      <c r="AL764" s="8"/>
      <c r="AM764" s="8"/>
      <c r="AN764" s="8"/>
      <c r="AO764" s="8"/>
      <c r="AP764" s="8"/>
      <c r="AQ764" s="8"/>
      <c r="AR764" s="8"/>
      <c r="AS764" s="8"/>
      <c r="AT764" s="8"/>
    </row>
    <row r="765">
      <c r="A765" s="197"/>
      <c r="B765" s="198"/>
      <c r="C765" s="379"/>
      <c r="D765" s="197"/>
      <c r="E765" s="198"/>
      <c r="F765" s="379"/>
      <c r="G765" s="197"/>
      <c r="H765" s="198"/>
      <c r="I765" s="379"/>
      <c r="J765" s="197"/>
      <c r="K765" s="198"/>
      <c r="L765" s="379"/>
      <c r="M765" s="197"/>
      <c r="N765" s="198"/>
      <c r="O765" s="379"/>
      <c r="P765" s="197"/>
      <c r="Q765" s="198"/>
      <c r="R765" s="379"/>
      <c r="S765" s="197"/>
      <c r="T765" s="198"/>
      <c r="U765" s="379"/>
      <c r="V765" s="197"/>
      <c r="W765" s="198"/>
      <c r="X765" s="379"/>
      <c r="Y765" s="184"/>
      <c r="Z765" s="184"/>
      <c r="AA765" s="184"/>
      <c r="AB765" s="184"/>
      <c r="AC765" s="8"/>
      <c r="AD765" s="8"/>
      <c r="AE765" s="8"/>
      <c r="AF765" s="8"/>
      <c r="AG765" s="191"/>
      <c r="AH765" s="191"/>
      <c r="AI765" s="191"/>
      <c r="AJ765" s="8"/>
      <c r="AK765" s="8"/>
      <c r="AL765" s="8"/>
      <c r="AM765" s="8"/>
      <c r="AN765" s="8"/>
      <c r="AO765" s="8"/>
      <c r="AP765" s="8"/>
      <c r="AQ765" s="8"/>
      <c r="AR765" s="8"/>
      <c r="AS765" s="8"/>
      <c r="AT765" s="8"/>
    </row>
    <row r="766">
      <c r="A766" s="197"/>
      <c r="B766" s="198"/>
      <c r="C766" s="379"/>
      <c r="D766" s="197"/>
      <c r="E766" s="198"/>
      <c r="F766" s="379"/>
      <c r="G766" s="197"/>
      <c r="H766" s="198"/>
      <c r="I766" s="379"/>
      <c r="J766" s="197"/>
      <c r="K766" s="198"/>
      <c r="L766" s="379"/>
      <c r="M766" s="197"/>
      <c r="N766" s="198"/>
      <c r="O766" s="379"/>
      <c r="P766" s="197"/>
      <c r="Q766" s="198"/>
      <c r="R766" s="379"/>
      <c r="S766" s="197"/>
      <c r="T766" s="198"/>
      <c r="U766" s="379"/>
      <c r="V766" s="197"/>
      <c r="W766" s="198"/>
      <c r="X766" s="379"/>
      <c r="Y766" s="184"/>
      <c r="Z766" s="184"/>
      <c r="AA766" s="184"/>
      <c r="AB766" s="184"/>
      <c r="AC766" s="8"/>
      <c r="AD766" s="8"/>
      <c r="AE766" s="8"/>
      <c r="AF766" s="8"/>
      <c r="AG766" s="191"/>
      <c r="AH766" s="191"/>
      <c r="AI766" s="191"/>
      <c r="AJ766" s="8"/>
      <c r="AK766" s="8"/>
      <c r="AL766" s="8"/>
      <c r="AM766" s="8"/>
      <c r="AN766" s="8"/>
      <c r="AO766" s="8"/>
      <c r="AP766" s="8"/>
      <c r="AQ766" s="8"/>
      <c r="AR766" s="8"/>
      <c r="AS766" s="8"/>
      <c r="AT766" s="8"/>
    </row>
    <row r="767">
      <c r="A767" s="197"/>
      <c r="B767" s="198"/>
      <c r="C767" s="379"/>
      <c r="D767" s="197"/>
      <c r="E767" s="198"/>
      <c r="F767" s="379"/>
      <c r="G767" s="197"/>
      <c r="H767" s="198"/>
      <c r="I767" s="379"/>
      <c r="J767" s="197"/>
      <c r="K767" s="198"/>
      <c r="L767" s="379"/>
      <c r="M767" s="197"/>
      <c r="N767" s="198"/>
      <c r="O767" s="379"/>
      <c r="P767" s="197"/>
      <c r="Q767" s="198"/>
      <c r="R767" s="379"/>
      <c r="S767" s="197"/>
      <c r="T767" s="198"/>
      <c r="U767" s="379"/>
      <c r="V767" s="197"/>
      <c r="W767" s="198"/>
      <c r="X767" s="379"/>
      <c r="Y767" s="184"/>
      <c r="Z767" s="184"/>
      <c r="AA767" s="184"/>
      <c r="AB767" s="184"/>
      <c r="AC767" s="8"/>
      <c r="AD767" s="8"/>
      <c r="AE767" s="8"/>
      <c r="AF767" s="8"/>
      <c r="AG767" s="191"/>
      <c r="AH767" s="191"/>
      <c r="AI767" s="191"/>
      <c r="AJ767" s="8"/>
      <c r="AK767" s="8"/>
      <c r="AL767" s="8"/>
      <c r="AM767" s="8"/>
      <c r="AN767" s="8"/>
      <c r="AO767" s="8"/>
      <c r="AP767" s="8"/>
      <c r="AQ767" s="8"/>
      <c r="AR767" s="8"/>
      <c r="AS767" s="8"/>
      <c r="AT767" s="8"/>
    </row>
    <row r="768">
      <c r="A768" s="197"/>
      <c r="B768" s="198"/>
      <c r="C768" s="379"/>
      <c r="D768" s="197"/>
      <c r="E768" s="198"/>
      <c r="F768" s="379"/>
      <c r="G768" s="197"/>
      <c r="H768" s="198"/>
      <c r="I768" s="379"/>
      <c r="J768" s="197"/>
      <c r="K768" s="198"/>
      <c r="L768" s="379"/>
      <c r="M768" s="197"/>
      <c r="N768" s="198"/>
      <c r="O768" s="379"/>
      <c r="P768" s="197"/>
      <c r="Q768" s="198"/>
      <c r="R768" s="379"/>
      <c r="S768" s="197"/>
      <c r="T768" s="198"/>
      <c r="U768" s="379"/>
      <c r="V768" s="197"/>
      <c r="W768" s="198"/>
      <c r="X768" s="379"/>
      <c r="Y768" s="184"/>
      <c r="Z768" s="184"/>
      <c r="AA768" s="184"/>
      <c r="AB768" s="184"/>
      <c r="AC768" s="8"/>
      <c r="AD768" s="8"/>
      <c r="AE768" s="8"/>
      <c r="AF768" s="8"/>
      <c r="AG768" s="191"/>
      <c r="AH768" s="191"/>
      <c r="AI768" s="191"/>
      <c r="AJ768" s="8"/>
      <c r="AK768" s="8"/>
      <c r="AL768" s="8"/>
      <c r="AM768" s="8"/>
      <c r="AN768" s="8"/>
      <c r="AO768" s="8"/>
      <c r="AP768" s="8"/>
      <c r="AQ768" s="8"/>
      <c r="AR768" s="8"/>
      <c r="AS768" s="8"/>
      <c r="AT768" s="8"/>
    </row>
    <row r="769">
      <c r="A769" s="197"/>
      <c r="B769" s="198"/>
      <c r="C769" s="379"/>
      <c r="D769" s="197"/>
      <c r="E769" s="198"/>
      <c r="F769" s="379"/>
      <c r="G769" s="197"/>
      <c r="H769" s="198"/>
      <c r="I769" s="379"/>
      <c r="J769" s="197"/>
      <c r="K769" s="198"/>
      <c r="L769" s="379"/>
      <c r="M769" s="197"/>
      <c r="N769" s="198"/>
      <c r="O769" s="379"/>
      <c r="P769" s="197"/>
      <c r="Q769" s="198"/>
      <c r="R769" s="379"/>
      <c r="S769" s="197"/>
      <c r="T769" s="198"/>
      <c r="U769" s="379"/>
      <c r="V769" s="197"/>
      <c r="W769" s="198"/>
      <c r="X769" s="379"/>
      <c r="Y769" s="184"/>
      <c r="Z769" s="184"/>
      <c r="AA769" s="184"/>
      <c r="AB769" s="184"/>
      <c r="AC769" s="8"/>
      <c r="AD769" s="8"/>
      <c r="AE769" s="8"/>
      <c r="AF769" s="8"/>
      <c r="AG769" s="191"/>
      <c r="AH769" s="191"/>
      <c r="AI769" s="191"/>
      <c r="AJ769" s="8"/>
      <c r="AK769" s="8"/>
      <c r="AL769" s="8"/>
      <c r="AM769" s="8"/>
      <c r="AN769" s="8"/>
      <c r="AO769" s="8"/>
      <c r="AP769" s="8"/>
      <c r="AQ769" s="8"/>
      <c r="AR769" s="8"/>
      <c r="AS769" s="8"/>
      <c r="AT769" s="8"/>
    </row>
    <row r="770">
      <c r="A770" s="197"/>
      <c r="B770" s="198"/>
      <c r="C770" s="379"/>
      <c r="D770" s="197"/>
      <c r="E770" s="198"/>
      <c r="F770" s="379"/>
      <c r="G770" s="197"/>
      <c r="H770" s="198"/>
      <c r="I770" s="379"/>
      <c r="J770" s="197"/>
      <c r="K770" s="198"/>
      <c r="L770" s="379"/>
      <c r="M770" s="197"/>
      <c r="N770" s="198"/>
      <c r="O770" s="379"/>
      <c r="P770" s="197"/>
      <c r="Q770" s="198"/>
      <c r="R770" s="379"/>
      <c r="S770" s="197"/>
      <c r="T770" s="198"/>
      <c r="U770" s="379"/>
      <c r="V770" s="197"/>
      <c r="W770" s="198"/>
      <c r="X770" s="379"/>
      <c r="Y770" s="184"/>
      <c r="Z770" s="184"/>
      <c r="AA770" s="184"/>
      <c r="AB770" s="184"/>
      <c r="AC770" s="8"/>
      <c r="AD770" s="8"/>
      <c r="AE770" s="8"/>
      <c r="AF770" s="8"/>
      <c r="AG770" s="191"/>
      <c r="AH770" s="191"/>
      <c r="AI770" s="191"/>
      <c r="AJ770" s="8"/>
      <c r="AK770" s="8"/>
      <c r="AL770" s="8"/>
      <c r="AM770" s="8"/>
      <c r="AN770" s="8"/>
      <c r="AO770" s="8"/>
      <c r="AP770" s="8"/>
      <c r="AQ770" s="8"/>
      <c r="AR770" s="8"/>
      <c r="AS770" s="8"/>
      <c r="AT770" s="8"/>
    </row>
    <row r="771">
      <c r="A771" s="197"/>
      <c r="B771" s="198"/>
      <c r="C771" s="379"/>
      <c r="D771" s="197"/>
      <c r="E771" s="198"/>
      <c r="F771" s="379"/>
      <c r="G771" s="197"/>
      <c r="H771" s="198"/>
      <c r="I771" s="379"/>
      <c r="J771" s="197"/>
      <c r="K771" s="198"/>
      <c r="L771" s="379"/>
      <c r="M771" s="197"/>
      <c r="N771" s="198"/>
      <c r="O771" s="379"/>
      <c r="P771" s="197"/>
      <c r="Q771" s="198"/>
      <c r="R771" s="379"/>
      <c r="S771" s="197"/>
      <c r="T771" s="198"/>
      <c r="U771" s="379"/>
      <c r="V771" s="197"/>
      <c r="W771" s="198"/>
      <c r="X771" s="379"/>
      <c r="Y771" s="184"/>
      <c r="Z771" s="184"/>
      <c r="AA771" s="184"/>
      <c r="AB771" s="184"/>
      <c r="AC771" s="8"/>
      <c r="AD771" s="8"/>
      <c r="AE771" s="8"/>
      <c r="AF771" s="8"/>
      <c r="AG771" s="191"/>
      <c r="AH771" s="191"/>
      <c r="AI771" s="191"/>
      <c r="AJ771" s="8"/>
      <c r="AK771" s="8"/>
      <c r="AL771" s="8"/>
      <c r="AM771" s="8"/>
      <c r="AN771" s="8"/>
      <c r="AO771" s="8"/>
      <c r="AP771" s="8"/>
      <c r="AQ771" s="8"/>
      <c r="AR771" s="8"/>
      <c r="AS771" s="8"/>
      <c r="AT771" s="8"/>
    </row>
    <row r="772">
      <c r="A772" s="197"/>
      <c r="B772" s="198"/>
      <c r="C772" s="379"/>
      <c r="D772" s="197"/>
      <c r="E772" s="198"/>
      <c r="F772" s="379"/>
      <c r="G772" s="197"/>
      <c r="H772" s="198"/>
      <c r="I772" s="379"/>
      <c r="J772" s="197"/>
      <c r="K772" s="198"/>
      <c r="L772" s="379"/>
      <c r="M772" s="197"/>
      <c r="N772" s="198"/>
      <c r="O772" s="379"/>
      <c r="P772" s="197"/>
      <c r="Q772" s="198"/>
      <c r="R772" s="379"/>
      <c r="S772" s="197"/>
      <c r="T772" s="198"/>
      <c r="U772" s="379"/>
      <c r="V772" s="197"/>
      <c r="W772" s="198"/>
      <c r="X772" s="379"/>
      <c r="Y772" s="184"/>
      <c r="Z772" s="184"/>
      <c r="AA772" s="184"/>
      <c r="AB772" s="184"/>
      <c r="AC772" s="8"/>
      <c r="AD772" s="8"/>
      <c r="AE772" s="8"/>
      <c r="AF772" s="8"/>
      <c r="AG772" s="191"/>
      <c r="AH772" s="191"/>
      <c r="AI772" s="191"/>
      <c r="AJ772" s="8"/>
      <c r="AK772" s="8"/>
      <c r="AL772" s="8"/>
      <c r="AM772" s="8"/>
      <c r="AN772" s="8"/>
      <c r="AO772" s="8"/>
      <c r="AP772" s="8"/>
      <c r="AQ772" s="8"/>
      <c r="AR772" s="8"/>
      <c r="AS772" s="8"/>
      <c r="AT772" s="8"/>
    </row>
    <row r="773">
      <c r="A773" s="197"/>
      <c r="B773" s="198"/>
      <c r="C773" s="379"/>
      <c r="D773" s="197"/>
      <c r="E773" s="198"/>
      <c r="F773" s="379"/>
      <c r="G773" s="197"/>
      <c r="H773" s="198"/>
      <c r="I773" s="379"/>
      <c r="J773" s="197"/>
      <c r="K773" s="198"/>
      <c r="L773" s="379"/>
      <c r="M773" s="197"/>
      <c r="N773" s="198"/>
      <c r="O773" s="379"/>
      <c r="P773" s="197"/>
      <c r="Q773" s="198"/>
      <c r="R773" s="379"/>
      <c r="S773" s="197"/>
      <c r="T773" s="198"/>
      <c r="U773" s="379"/>
      <c r="V773" s="197"/>
      <c r="W773" s="198"/>
      <c r="X773" s="379"/>
      <c r="Y773" s="184"/>
      <c r="Z773" s="184"/>
      <c r="AA773" s="184"/>
      <c r="AB773" s="184"/>
      <c r="AC773" s="8"/>
      <c r="AD773" s="8"/>
      <c r="AE773" s="8"/>
      <c r="AF773" s="8"/>
      <c r="AG773" s="191"/>
      <c r="AH773" s="191"/>
      <c r="AI773" s="191"/>
      <c r="AJ773" s="8"/>
      <c r="AK773" s="8"/>
      <c r="AL773" s="8"/>
      <c r="AM773" s="8"/>
      <c r="AN773" s="8"/>
      <c r="AO773" s="8"/>
      <c r="AP773" s="8"/>
      <c r="AQ773" s="8"/>
      <c r="AR773" s="8"/>
      <c r="AS773" s="8"/>
      <c r="AT773" s="8"/>
    </row>
    <row r="774">
      <c r="A774" s="197"/>
      <c r="B774" s="198"/>
      <c r="C774" s="379"/>
      <c r="D774" s="197"/>
      <c r="E774" s="198"/>
      <c r="F774" s="379"/>
      <c r="G774" s="197"/>
      <c r="H774" s="198"/>
      <c r="I774" s="379"/>
      <c r="J774" s="197"/>
      <c r="K774" s="198"/>
      <c r="L774" s="379"/>
      <c r="M774" s="197"/>
      <c r="N774" s="198"/>
      <c r="O774" s="379"/>
      <c r="P774" s="197"/>
      <c r="Q774" s="198"/>
      <c r="R774" s="379"/>
      <c r="S774" s="197"/>
      <c r="T774" s="198"/>
      <c r="U774" s="379"/>
      <c r="V774" s="197"/>
      <c r="W774" s="198"/>
      <c r="X774" s="379"/>
      <c r="Y774" s="184"/>
      <c r="Z774" s="184"/>
      <c r="AA774" s="184"/>
      <c r="AB774" s="184"/>
      <c r="AC774" s="8"/>
      <c r="AD774" s="8"/>
      <c r="AE774" s="8"/>
      <c r="AF774" s="8"/>
      <c r="AG774" s="191"/>
      <c r="AH774" s="191"/>
      <c r="AI774" s="191"/>
      <c r="AJ774" s="8"/>
      <c r="AK774" s="8"/>
      <c r="AL774" s="8"/>
      <c r="AM774" s="8"/>
      <c r="AN774" s="8"/>
      <c r="AO774" s="8"/>
      <c r="AP774" s="8"/>
      <c r="AQ774" s="8"/>
      <c r="AR774" s="8"/>
      <c r="AS774" s="8"/>
      <c r="AT774" s="8"/>
    </row>
    <row r="775">
      <c r="A775" s="197"/>
      <c r="B775" s="198"/>
      <c r="C775" s="379"/>
      <c r="D775" s="197"/>
      <c r="E775" s="198"/>
      <c r="F775" s="379"/>
      <c r="G775" s="197"/>
      <c r="H775" s="198"/>
      <c r="I775" s="379"/>
      <c r="J775" s="197"/>
      <c r="K775" s="198"/>
      <c r="L775" s="379"/>
      <c r="M775" s="197"/>
      <c r="N775" s="198"/>
      <c r="O775" s="379"/>
      <c r="P775" s="197"/>
      <c r="Q775" s="198"/>
      <c r="R775" s="379"/>
      <c r="S775" s="197"/>
      <c r="T775" s="198"/>
      <c r="U775" s="379"/>
      <c r="V775" s="197"/>
      <c r="W775" s="198"/>
      <c r="X775" s="379"/>
      <c r="Y775" s="184"/>
      <c r="Z775" s="184"/>
      <c r="AA775" s="184"/>
      <c r="AB775" s="184"/>
      <c r="AC775" s="8"/>
      <c r="AD775" s="8"/>
      <c r="AE775" s="8"/>
      <c r="AF775" s="8"/>
      <c r="AG775" s="191"/>
      <c r="AH775" s="191"/>
      <c r="AI775" s="191"/>
      <c r="AJ775" s="8"/>
      <c r="AK775" s="8"/>
      <c r="AL775" s="8"/>
      <c r="AM775" s="8"/>
      <c r="AN775" s="8"/>
      <c r="AO775" s="8"/>
      <c r="AP775" s="8"/>
      <c r="AQ775" s="8"/>
      <c r="AR775" s="8"/>
      <c r="AS775" s="8"/>
      <c r="AT775" s="8"/>
    </row>
    <row r="776">
      <c r="A776" s="197"/>
      <c r="B776" s="198"/>
      <c r="C776" s="379"/>
      <c r="D776" s="197"/>
      <c r="E776" s="198"/>
      <c r="F776" s="379"/>
      <c r="G776" s="197"/>
      <c r="H776" s="198"/>
      <c r="I776" s="379"/>
      <c r="J776" s="197"/>
      <c r="K776" s="198"/>
      <c r="L776" s="379"/>
      <c r="M776" s="197"/>
      <c r="N776" s="198"/>
      <c r="O776" s="379"/>
      <c r="P776" s="197"/>
      <c r="Q776" s="198"/>
      <c r="R776" s="379"/>
      <c r="S776" s="197"/>
      <c r="T776" s="198"/>
      <c r="U776" s="379"/>
      <c r="V776" s="197"/>
      <c r="W776" s="198"/>
      <c r="X776" s="379"/>
      <c r="Y776" s="184"/>
      <c r="Z776" s="184"/>
      <c r="AA776" s="184"/>
      <c r="AB776" s="184"/>
      <c r="AC776" s="8"/>
      <c r="AD776" s="8"/>
      <c r="AE776" s="8"/>
      <c r="AF776" s="8"/>
      <c r="AG776" s="191"/>
      <c r="AH776" s="191"/>
      <c r="AI776" s="191"/>
      <c r="AJ776" s="8"/>
      <c r="AK776" s="8"/>
      <c r="AL776" s="8"/>
      <c r="AM776" s="8"/>
      <c r="AN776" s="8"/>
      <c r="AO776" s="8"/>
      <c r="AP776" s="8"/>
      <c r="AQ776" s="8"/>
      <c r="AR776" s="8"/>
      <c r="AS776" s="8"/>
      <c r="AT776" s="8"/>
    </row>
    <row r="777">
      <c r="A777" s="197"/>
      <c r="B777" s="198"/>
      <c r="C777" s="379"/>
      <c r="D777" s="197"/>
      <c r="E777" s="198"/>
      <c r="F777" s="379"/>
      <c r="G777" s="197"/>
      <c r="H777" s="198"/>
      <c r="I777" s="379"/>
      <c r="J777" s="197"/>
      <c r="K777" s="198"/>
      <c r="L777" s="379"/>
      <c r="M777" s="197"/>
      <c r="N777" s="198"/>
      <c r="O777" s="379"/>
      <c r="P777" s="197"/>
      <c r="Q777" s="198"/>
      <c r="R777" s="379"/>
      <c r="S777" s="197"/>
      <c r="T777" s="198"/>
      <c r="U777" s="379"/>
      <c r="V777" s="197"/>
      <c r="W777" s="198"/>
      <c r="X777" s="379"/>
      <c r="Y777" s="184"/>
      <c r="Z777" s="184"/>
      <c r="AA777" s="184"/>
      <c r="AB777" s="184"/>
      <c r="AC777" s="8"/>
      <c r="AD777" s="8"/>
      <c r="AE777" s="8"/>
      <c r="AF777" s="8"/>
      <c r="AG777" s="191"/>
      <c r="AH777" s="191"/>
      <c r="AI777" s="191"/>
      <c r="AJ777" s="8"/>
      <c r="AK777" s="8"/>
      <c r="AL777" s="8"/>
      <c r="AM777" s="8"/>
      <c r="AN777" s="8"/>
      <c r="AO777" s="8"/>
      <c r="AP777" s="8"/>
      <c r="AQ777" s="8"/>
      <c r="AR777" s="8"/>
      <c r="AS777" s="8"/>
      <c r="AT777" s="8"/>
    </row>
    <row r="778">
      <c r="A778" s="197"/>
      <c r="B778" s="198"/>
      <c r="C778" s="379"/>
      <c r="D778" s="197"/>
      <c r="E778" s="198"/>
      <c r="F778" s="379"/>
      <c r="G778" s="197"/>
      <c r="H778" s="198"/>
      <c r="I778" s="379"/>
      <c r="J778" s="197"/>
      <c r="K778" s="198"/>
      <c r="L778" s="379"/>
      <c r="M778" s="197"/>
      <c r="N778" s="198"/>
      <c r="O778" s="379"/>
      <c r="P778" s="197"/>
      <c r="Q778" s="198"/>
      <c r="R778" s="379"/>
      <c r="S778" s="197"/>
      <c r="T778" s="198"/>
      <c r="U778" s="379"/>
      <c r="V778" s="197"/>
      <c r="W778" s="198"/>
      <c r="X778" s="379"/>
      <c r="Y778" s="184"/>
      <c r="Z778" s="184"/>
      <c r="AA778" s="184"/>
      <c r="AB778" s="184"/>
      <c r="AC778" s="8"/>
      <c r="AD778" s="8"/>
      <c r="AE778" s="8"/>
      <c r="AF778" s="8"/>
      <c r="AG778" s="191"/>
      <c r="AH778" s="191"/>
      <c r="AI778" s="191"/>
      <c r="AJ778" s="8"/>
      <c r="AK778" s="8"/>
      <c r="AL778" s="8"/>
      <c r="AM778" s="8"/>
      <c r="AN778" s="8"/>
      <c r="AO778" s="8"/>
      <c r="AP778" s="8"/>
      <c r="AQ778" s="8"/>
      <c r="AR778" s="8"/>
      <c r="AS778" s="8"/>
      <c r="AT778" s="8"/>
    </row>
    <row r="779">
      <c r="A779" s="197"/>
      <c r="B779" s="198"/>
      <c r="C779" s="379"/>
      <c r="D779" s="197"/>
      <c r="E779" s="198"/>
      <c r="F779" s="379"/>
      <c r="G779" s="197"/>
      <c r="H779" s="198"/>
      <c r="I779" s="379"/>
      <c r="J779" s="197"/>
      <c r="K779" s="198"/>
      <c r="L779" s="379"/>
      <c r="M779" s="197"/>
      <c r="N779" s="198"/>
      <c r="O779" s="379"/>
      <c r="P779" s="197"/>
      <c r="Q779" s="198"/>
      <c r="R779" s="379"/>
      <c r="S779" s="197"/>
      <c r="T779" s="198"/>
      <c r="U779" s="379"/>
      <c r="V779" s="197"/>
      <c r="W779" s="198"/>
      <c r="X779" s="379"/>
      <c r="Y779" s="184"/>
      <c r="Z779" s="184"/>
      <c r="AA779" s="184"/>
      <c r="AB779" s="184"/>
      <c r="AC779" s="8"/>
      <c r="AD779" s="8"/>
      <c r="AE779" s="8"/>
      <c r="AF779" s="8"/>
      <c r="AG779" s="191"/>
      <c r="AH779" s="191"/>
      <c r="AI779" s="191"/>
      <c r="AJ779" s="8"/>
      <c r="AK779" s="8"/>
      <c r="AL779" s="8"/>
      <c r="AM779" s="8"/>
      <c r="AN779" s="8"/>
      <c r="AO779" s="8"/>
      <c r="AP779" s="8"/>
      <c r="AQ779" s="8"/>
      <c r="AR779" s="8"/>
      <c r="AS779" s="8"/>
      <c r="AT779" s="8"/>
    </row>
    <row r="780">
      <c r="A780" s="197"/>
      <c r="B780" s="198"/>
      <c r="C780" s="379"/>
      <c r="D780" s="197"/>
      <c r="E780" s="198"/>
      <c r="F780" s="379"/>
      <c r="G780" s="197"/>
      <c r="H780" s="198"/>
      <c r="I780" s="379"/>
      <c r="J780" s="197"/>
      <c r="K780" s="198"/>
      <c r="L780" s="379"/>
      <c r="M780" s="197"/>
      <c r="N780" s="198"/>
      <c r="O780" s="379"/>
      <c r="P780" s="197"/>
      <c r="Q780" s="198"/>
      <c r="R780" s="379"/>
      <c r="S780" s="197"/>
      <c r="T780" s="198"/>
      <c r="U780" s="379"/>
      <c r="V780" s="197"/>
      <c r="W780" s="198"/>
      <c r="X780" s="379"/>
      <c r="Y780" s="184"/>
      <c r="Z780" s="184"/>
      <c r="AA780" s="184"/>
      <c r="AB780" s="184"/>
      <c r="AC780" s="8"/>
      <c r="AD780" s="8"/>
      <c r="AE780" s="8"/>
      <c r="AF780" s="8"/>
      <c r="AG780" s="191"/>
      <c r="AH780" s="191"/>
      <c r="AI780" s="191"/>
      <c r="AJ780" s="8"/>
      <c r="AK780" s="8"/>
      <c r="AL780" s="8"/>
      <c r="AM780" s="8"/>
      <c r="AN780" s="8"/>
      <c r="AO780" s="8"/>
      <c r="AP780" s="8"/>
      <c r="AQ780" s="8"/>
      <c r="AR780" s="8"/>
      <c r="AS780" s="8"/>
      <c r="AT780" s="8"/>
    </row>
    <row r="781">
      <c r="A781" s="197"/>
      <c r="B781" s="198"/>
      <c r="C781" s="379"/>
      <c r="D781" s="197"/>
      <c r="E781" s="198"/>
      <c r="F781" s="379"/>
      <c r="G781" s="197"/>
      <c r="H781" s="198"/>
      <c r="I781" s="379"/>
      <c r="J781" s="197"/>
      <c r="K781" s="198"/>
      <c r="L781" s="379"/>
      <c r="M781" s="197"/>
      <c r="N781" s="198"/>
      <c r="O781" s="379"/>
      <c r="P781" s="197"/>
      <c r="Q781" s="198"/>
      <c r="R781" s="379"/>
      <c r="S781" s="197"/>
      <c r="T781" s="198"/>
      <c r="U781" s="379"/>
      <c r="V781" s="197"/>
      <c r="W781" s="198"/>
      <c r="X781" s="379"/>
      <c r="Y781" s="184"/>
      <c r="Z781" s="184"/>
      <c r="AA781" s="184"/>
      <c r="AB781" s="184"/>
      <c r="AC781" s="8"/>
      <c r="AD781" s="8"/>
      <c r="AE781" s="8"/>
      <c r="AF781" s="8"/>
      <c r="AG781" s="191"/>
      <c r="AH781" s="191"/>
      <c r="AI781" s="191"/>
      <c r="AJ781" s="8"/>
      <c r="AK781" s="8"/>
      <c r="AL781" s="8"/>
      <c r="AM781" s="8"/>
      <c r="AN781" s="8"/>
      <c r="AO781" s="8"/>
      <c r="AP781" s="8"/>
      <c r="AQ781" s="8"/>
      <c r="AR781" s="8"/>
      <c r="AS781" s="8"/>
      <c r="AT781" s="8"/>
    </row>
    <row r="782">
      <c r="A782" s="197"/>
      <c r="B782" s="198"/>
      <c r="C782" s="379"/>
      <c r="D782" s="197"/>
      <c r="E782" s="198"/>
      <c r="F782" s="379"/>
      <c r="G782" s="197"/>
      <c r="H782" s="198"/>
      <c r="I782" s="379"/>
      <c r="J782" s="197"/>
      <c r="K782" s="198"/>
      <c r="L782" s="379"/>
      <c r="M782" s="197"/>
      <c r="N782" s="198"/>
      <c r="O782" s="379"/>
      <c r="P782" s="197"/>
      <c r="Q782" s="198"/>
      <c r="R782" s="379"/>
      <c r="S782" s="197"/>
      <c r="T782" s="198"/>
      <c r="U782" s="379"/>
      <c r="V782" s="197"/>
      <c r="W782" s="198"/>
      <c r="X782" s="379"/>
      <c r="Y782" s="184"/>
      <c r="Z782" s="184"/>
      <c r="AA782" s="184"/>
      <c r="AB782" s="184"/>
      <c r="AC782" s="8"/>
      <c r="AD782" s="8"/>
      <c r="AE782" s="8"/>
      <c r="AF782" s="8"/>
      <c r="AG782" s="191"/>
      <c r="AH782" s="191"/>
      <c r="AI782" s="191"/>
      <c r="AJ782" s="8"/>
      <c r="AK782" s="8"/>
      <c r="AL782" s="8"/>
      <c r="AM782" s="8"/>
      <c r="AN782" s="8"/>
      <c r="AO782" s="8"/>
      <c r="AP782" s="8"/>
      <c r="AQ782" s="8"/>
      <c r="AR782" s="8"/>
      <c r="AS782" s="8"/>
      <c r="AT782" s="8"/>
    </row>
    <row r="783">
      <c r="A783" s="197"/>
      <c r="B783" s="198"/>
      <c r="C783" s="379"/>
      <c r="D783" s="197"/>
      <c r="E783" s="198"/>
      <c r="F783" s="379"/>
      <c r="G783" s="197"/>
      <c r="H783" s="198"/>
      <c r="I783" s="379"/>
      <c r="J783" s="197"/>
      <c r="K783" s="198"/>
      <c r="L783" s="379"/>
      <c r="M783" s="197"/>
      <c r="N783" s="198"/>
      <c r="O783" s="379"/>
      <c r="P783" s="197"/>
      <c r="Q783" s="198"/>
      <c r="R783" s="379"/>
      <c r="S783" s="197"/>
      <c r="T783" s="198"/>
      <c r="U783" s="379"/>
      <c r="V783" s="197"/>
      <c r="W783" s="198"/>
      <c r="X783" s="379"/>
      <c r="Y783" s="184"/>
      <c r="Z783" s="184"/>
      <c r="AA783" s="184"/>
      <c r="AB783" s="184"/>
      <c r="AC783" s="8"/>
      <c r="AD783" s="8"/>
      <c r="AE783" s="8"/>
      <c r="AF783" s="8"/>
      <c r="AG783" s="191"/>
      <c r="AH783" s="191"/>
      <c r="AI783" s="191"/>
      <c r="AJ783" s="8"/>
      <c r="AK783" s="8"/>
      <c r="AL783" s="8"/>
      <c r="AM783" s="8"/>
      <c r="AN783" s="8"/>
      <c r="AO783" s="8"/>
      <c r="AP783" s="8"/>
      <c r="AQ783" s="8"/>
      <c r="AR783" s="8"/>
      <c r="AS783" s="8"/>
      <c r="AT783" s="8"/>
    </row>
    <row r="784">
      <c r="A784" s="197"/>
      <c r="B784" s="198"/>
      <c r="C784" s="379"/>
      <c r="D784" s="197"/>
      <c r="E784" s="198"/>
      <c r="F784" s="379"/>
      <c r="G784" s="197"/>
      <c r="H784" s="198"/>
      <c r="I784" s="379"/>
      <c r="J784" s="197"/>
      <c r="K784" s="198"/>
      <c r="L784" s="379"/>
      <c r="M784" s="197"/>
      <c r="N784" s="198"/>
      <c r="O784" s="379"/>
      <c r="P784" s="197"/>
      <c r="Q784" s="198"/>
      <c r="R784" s="379"/>
      <c r="S784" s="197"/>
      <c r="T784" s="198"/>
      <c r="U784" s="379"/>
      <c r="V784" s="197"/>
      <c r="W784" s="198"/>
      <c r="X784" s="379"/>
      <c r="Y784" s="184"/>
      <c r="Z784" s="184"/>
      <c r="AA784" s="184"/>
      <c r="AB784" s="184"/>
      <c r="AC784" s="8"/>
      <c r="AD784" s="8"/>
      <c r="AE784" s="8"/>
      <c r="AF784" s="8"/>
      <c r="AG784" s="191"/>
      <c r="AH784" s="191"/>
      <c r="AI784" s="191"/>
      <c r="AJ784" s="8"/>
      <c r="AK784" s="8"/>
      <c r="AL784" s="8"/>
      <c r="AM784" s="8"/>
      <c r="AN784" s="8"/>
      <c r="AO784" s="8"/>
      <c r="AP784" s="8"/>
      <c r="AQ784" s="8"/>
      <c r="AR784" s="8"/>
      <c r="AS784" s="8"/>
      <c r="AT784" s="8"/>
    </row>
    <row r="785">
      <c r="A785" s="197"/>
      <c r="B785" s="198"/>
      <c r="C785" s="379"/>
      <c r="D785" s="197"/>
      <c r="E785" s="198"/>
      <c r="F785" s="379"/>
      <c r="G785" s="197"/>
      <c r="H785" s="198"/>
      <c r="I785" s="379"/>
      <c r="J785" s="197"/>
      <c r="K785" s="198"/>
      <c r="L785" s="379"/>
      <c r="M785" s="197"/>
      <c r="N785" s="198"/>
      <c r="O785" s="379"/>
      <c r="P785" s="197"/>
      <c r="Q785" s="198"/>
      <c r="R785" s="379"/>
      <c r="S785" s="197"/>
      <c r="T785" s="198"/>
      <c r="U785" s="379"/>
      <c r="V785" s="197"/>
      <c r="W785" s="198"/>
      <c r="X785" s="379"/>
      <c r="Y785" s="184"/>
      <c r="Z785" s="184"/>
      <c r="AA785" s="184"/>
      <c r="AB785" s="184"/>
      <c r="AC785" s="8"/>
      <c r="AD785" s="8"/>
      <c r="AE785" s="8"/>
      <c r="AF785" s="8"/>
      <c r="AG785" s="191"/>
      <c r="AH785" s="191"/>
      <c r="AI785" s="191"/>
      <c r="AJ785" s="8"/>
      <c r="AK785" s="8"/>
      <c r="AL785" s="8"/>
      <c r="AM785" s="8"/>
      <c r="AN785" s="8"/>
      <c r="AO785" s="8"/>
      <c r="AP785" s="8"/>
      <c r="AQ785" s="8"/>
      <c r="AR785" s="8"/>
      <c r="AS785" s="8"/>
      <c r="AT785" s="8"/>
    </row>
    <row r="786">
      <c r="A786" s="197"/>
      <c r="B786" s="198"/>
      <c r="C786" s="379"/>
      <c r="D786" s="197"/>
      <c r="E786" s="198"/>
      <c r="F786" s="379"/>
      <c r="G786" s="197"/>
      <c r="H786" s="198"/>
      <c r="I786" s="379"/>
      <c r="J786" s="197"/>
      <c r="K786" s="198"/>
      <c r="L786" s="379"/>
      <c r="M786" s="197"/>
      <c r="N786" s="198"/>
      <c r="O786" s="379"/>
      <c r="P786" s="197"/>
      <c r="Q786" s="198"/>
      <c r="R786" s="379"/>
      <c r="S786" s="197"/>
      <c r="T786" s="198"/>
      <c r="U786" s="379"/>
      <c r="V786" s="197"/>
      <c r="W786" s="198"/>
      <c r="X786" s="379"/>
      <c r="Y786" s="184"/>
      <c r="Z786" s="184"/>
      <c r="AA786" s="184"/>
      <c r="AB786" s="184"/>
      <c r="AC786" s="8"/>
      <c r="AD786" s="8"/>
      <c r="AE786" s="8"/>
      <c r="AF786" s="8"/>
      <c r="AG786" s="191"/>
      <c r="AH786" s="191"/>
      <c r="AI786" s="191"/>
      <c r="AJ786" s="8"/>
      <c r="AK786" s="8"/>
      <c r="AL786" s="8"/>
      <c r="AM786" s="8"/>
      <c r="AN786" s="8"/>
      <c r="AO786" s="8"/>
      <c r="AP786" s="8"/>
      <c r="AQ786" s="8"/>
      <c r="AR786" s="8"/>
      <c r="AS786" s="8"/>
      <c r="AT786" s="8"/>
    </row>
    <row r="787">
      <c r="A787" s="197"/>
      <c r="B787" s="198"/>
      <c r="C787" s="379"/>
      <c r="D787" s="197"/>
      <c r="E787" s="198"/>
      <c r="F787" s="379"/>
      <c r="G787" s="197"/>
      <c r="H787" s="198"/>
      <c r="I787" s="379"/>
      <c r="J787" s="197"/>
      <c r="K787" s="198"/>
      <c r="L787" s="379"/>
      <c r="M787" s="197"/>
      <c r="N787" s="198"/>
      <c r="O787" s="379"/>
      <c r="P787" s="197"/>
      <c r="Q787" s="198"/>
      <c r="R787" s="379"/>
      <c r="S787" s="197"/>
      <c r="T787" s="198"/>
      <c r="U787" s="379"/>
      <c r="V787" s="197"/>
      <c r="W787" s="198"/>
      <c r="X787" s="379"/>
      <c r="Y787" s="184"/>
      <c r="Z787" s="184"/>
      <c r="AA787" s="184"/>
      <c r="AB787" s="184"/>
      <c r="AC787" s="8"/>
      <c r="AD787" s="8"/>
      <c r="AE787" s="8"/>
      <c r="AF787" s="8"/>
      <c r="AG787" s="191"/>
      <c r="AH787" s="191"/>
      <c r="AI787" s="191"/>
      <c r="AJ787" s="8"/>
      <c r="AK787" s="8"/>
      <c r="AL787" s="8"/>
      <c r="AM787" s="8"/>
      <c r="AN787" s="8"/>
      <c r="AO787" s="8"/>
      <c r="AP787" s="8"/>
      <c r="AQ787" s="8"/>
      <c r="AR787" s="8"/>
      <c r="AS787" s="8"/>
      <c r="AT787" s="8"/>
    </row>
    <row r="788">
      <c r="A788" s="197"/>
      <c r="B788" s="198"/>
      <c r="C788" s="379"/>
      <c r="D788" s="197"/>
      <c r="E788" s="198"/>
      <c r="F788" s="379"/>
      <c r="G788" s="197"/>
      <c r="H788" s="198"/>
      <c r="I788" s="379"/>
      <c r="J788" s="197"/>
      <c r="K788" s="198"/>
      <c r="L788" s="379"/>
      <c r="M788" s="197"/>
      <c r="N788" s="198"/>
      <c r="O788" s="379"/>
      <c r="P788" s="197"/>
      <c r="Q788" s="198"/>
      <c r="R788" s="379"/>
      <c r="S788" s="197"/>
      <c r="T788" s="198"/>
      <c r="U788" s="379"/>
      <c r="V788" s="197"/>
      <c r="W788" s="198"/>
      <c r="X788" s="379"/>
      <c r="Y788" s="184"/>
      <c r="Z788" s="184"/>
      <c r="AA788" s="184"/>
      <c r="AB788" s="184"/>
      <c r="AC788" s="8"/>
      <c r="AD788" s="8"/>
      <c r="AE788" s="8"/>
      <c r="AF788" s="8"/>
      <c r="AG788" s="191"/>
      <c r="AH788" s="191"/>
      <c r="AI788" s="191"/>
      <c r="AJ788" s="8"/>
      <c r="AK788" s="8"/>
      <c r="AL788" s="8"/>
      <c r="AM788" s="8"/>
      <c r="AN788" s="8"/>
      <c r="AO788" s="8"/>
      <c r="AP788" s="8"/>
      <c r="AQ788" s="8"/>
      <c r="AR788" s="8"/>
      <c r="AS788" s="8"/>
      <c r="AT788" s="8"/>
    </row>
    <row r="789">
      <c r="A789" s="197"/>
      <c r="B789" s="198"/>
      <c r="C789" s="379"/>
      <c r="D789" s="197"/>
      <c r="E789" s="198"/>
      <c r="F789" s="379"/>
      <c r="G789" s="197"/>
      <c r="H789" s="198"/>
      <c r="I789" s="379"/>
      <c r="J789" s="197"/>
      <c r="K789" s="198"/>
      <c r="L789" s="379"/>
      <c r="M789" s="197"/>
      <c r="N789" s="198"/>
      <c r="O789" s="379"/>
      <c r="P789" s="197"/>
      <c r="Q789" s="198"/>
      <c r="R789" s="379"/>
      <c r="S789" s="197"/>
      <c r="T789" s="198"/>
      <c r="U789" s="379"/>
      <c r="V789" s="197"/>
      <c r="W789" s="198"/>
      <c r="X789" s="379"/>
      <c r="Y789" s="184"/>
      <c r="Z789" s="184"/>
      <c r="AA789" s="184"/>
      <c r="AB789" s="184"/>
      <c r="AC789" s="8"/>
      <c r="AD789" s="8"/>
      <c r="AE789" s="8"/>
      <c r="AF789" s="8"/>
      <c r="AG789" s="191"/>
      <c r="AH789" s="191"/>
      <c r="AI789" s="191"/>
      <c r="AJ789" s="8"/>
      <c r="AK789" s="8"/>
      <c r="AL789" s="8"/>
      <c r="AM789" s="8"/>
      <c r="AN789" s="8"/>
      <c r="AO789" s="8"/>
      <c r="AP789" s="8"/>
      <c r="AQ789" s="8"/>
      <c r="AR789" s="8"/>
      <c r="AS789" s="8"/>
      <c r="AT789" s="8"/>
    </row>
    <row r="790">
      <c r="A790" s="197"/>
      <c r="B790" s="198"/>
      <c r="C790" s="379"/>
      <c r="D790" s="197"/>
      <c r="E790" s="198"/>
      <c r="F790" s="379"/>
      <c r="G790" s="197"/>
      <c r="H790" s="198"/>
      <c r="I790" s="379"/>
      <c r="J790" s="197"/>
      <c r="K790" s="198"/>
      <c r="L790" s="379"/>
      <c r="M790" s="197"/>
      <c r="N790" s="198"/>
      <c r="O790" s="379"/>
      <c r="P790" s="197"/>
      <c r="Q790" s="198"/>
      <c r="R790" s="379"/>
      <c r="S790" s="197"/>
      <c r="T790" s="198"/>
      <c r="U790" s="379"/>
      <c r="V790" s="197"/>
      <c r="W790" s="198"/>
      <c r="X790" s="379"/>
      <c r="Y790" s="184"/>
      <c r="Z790" s="184"/>
      <c r="AA790" s="184"/>
      <c r="AB790" s="184"/>
      <c r="AC790" s="8"/>
      <c r="AD790" s="8"/>
      <c r="AE790" s="8"/>
      <c r="AF790" s="8"/>
      <c r="AG790" s="191"/>
      <c r="AH790" s="191"/>
      <c r="AI790" s="191"/>
      <c r="AJ790" s="8"/>
      <c r="AK790" s="8"/>
      <c r="AL790" s="8"/>
      <c r="AM790" s="8"/>
      <c r="AN790" s="8"/>
      <c r="AO790" s="8"/>
      <c r="AP790" s="8"/>
      <c r="AQ790" s="8"/>
      <c r="AR790" s="8"/>
      <c r="AS790" s="8"/>
      <c r="AT790" s="8"/>
    </row>
    <row r="791">
      <c r="A791" s="197"/>
      <c r="B791" s="198"/>
      <c r="C791" s="379"/>
      <c r="D791" s="197"/>
      <c r="E791" s="198"/>
      <c r="F791" s="379"/>
      <c r="G791" s="197"/>
      <c r="H791" s="198"/>
      <c r="I791" s="379"/>
      <c r="J791" s="197"/>
      <c r="K791" s="198"/>
      <c r="L791" s="379"/>
      <c r="M791" s="197"/>
      <c r="N791" s="198"/>
      <c r="O791" s="379"/>
      <c r="P791" s="197"/>
      <c r="Q791" s="198"/>
      <c r="R791" s="379"/>
      <c r="S791" s="197"/>
      <c r="T791" s="198"/>
      <c r="U791" s="379"/>
      <c r="V791" s="197"/>
      <c r="W791" s="198"/>
      <c r="X791" s="379"/>
      <c r="Y791" s="184"/>
      <c r="Z791" s="184"/>
      <c r="AA791" s="184"/>
      <c r="AB791" s="184"/>
      <c r="AC791" s="8"/>
      <c r="AD791" s="8"/>
      <c r="AE791" s="8"/>
      <c r="AF791" s="8"/>
      <c r="AG791" s="191"/>
      <c r="AH791" s="191"/>
      <c r="AI791" s="191"/>
      <c r="AJ791" s="8"/>
      <c r="AK791" s="8"/>
      <c r="AL791" s="8"/>
      <c r="AM791" s="8"/>
      <c r="AN791" s="8"/>
      <c r="AO791" s="8"/>
      <c r="AP791" s="8"/>
      <c r="AQ791" s="8"/>
      <c r="AR791" s="8"/>
      <c r="AS791" s="8"/>
      <c r="AT791" s="8"/>
    </row>
    <row r="792">
      <c r="A792" s="197"/>
      <c r="B792" s="198"/>
      <c r="C792" s="379"/>
      <c r="D792" s="197"/>
      <c r="E792" s="198"/>
      <c r="F792" s="379"/>
      <c r="G792" s="197"/>
      <c r="H792" s="198"/>
      <c r="I792" s="379"/>
      <c r="J792" s="197"/>
      <c r="K792" s="198"/>
      <c r="L792" s="379"/>
      <c r="M792" s="197"/>
      <c r="N792" s="198"/>
      <c r="O792" s="379"/>
      <c r="P792" s="197"/>
      <c r="Q792" s="198"/>
      <c r="R792" s="379"/>
      <c r="S792" s="197"/>
      <c r="T792" s="198"/>
      <c r="U792" s="379"/>
      <c r="V792" s="197"/>
      <c r="W792" s="198"/>
      <c r="X792" s="379"/>
      <c r="Y792" s="184"/>
      <c r="Z792" s="184"/>
      <c r="AA792" s="184"/>
      <c r="AB792" s="184"/>
      <c r="AC792" s="8"/>
      <c r="AD792" s="8"/>
      <c r="AE792" s="8"/>
      <c r="AF792" s="8"/>
      <c r="AG792" s="191"/>
      <c r="AH792" s="191"/>
      <c r="AI792" s="191"/>
      <c r="AJ792" s="8"/>
      <c r="AK792" s="8"/>
      <c r="AL792" s="8"/>
      <c r="AM792" s="8"/>
      <c r="AN792" s="8"/>
      <c r="AO792" s="8"/>
      <c r="AP792" s="8"/>
      <c r="AQ792" s="8"/>
      <c r="AR792" s="8"/>
      <c r="AS792" s="8"/>
      <c r="AT792" s="8"/>
    </row>
    <row r="793">
      <c r="A793" s="197"/>
      <c r="B793" s="198"/>
      <c r="C793" s="379"/>
      <c r="D793" s="197"/>
      <c r="E793" s="198"/>
      <c r="F793" s="379"/>
      <c r="G793" s="197"/>
      <c r="H793" s="198"/>
      <c r="I793" s="379"/>
      <c r="J793" s="197"/>
      <c r="K793" s="198"/>
      <c r="L793" s="379"/>
      <c r="M793" s="197"/>
      <c r="N793" s="198"/>
      <c r="O793" s="379"/>
      <c r="P793" s="197"/>
      <c r="Q793" s="198"/>
      <c r="R793" s="379"/>
      <c r="S793" s="197"/>
      <c r="T793" s="198"/>
      <c r="U793" s="379"/>
      <c r="V793" s="197"/>
      <c r="W793" s="198"/>
      <c r="X793" s="379"/>
      <c r="Y793" s="184"/>
      <c r="Z793" s="184"/>
      <c r="AA793" s="184"/>
      <c r="AB793" s="184"/>
      <c r="AC793" s="8"/>
      <c r="AD793" s="8"/>
      <c r="AE793" s="8"/>
      <c r="AF793" s="8"/>
      <c r="AG793" s="191"/>
      <c r="AH793" s="191"/>
      <c r="AI793" s="191"/>
      <c r="AJ793" s="8"/>
      <c r="AK793" s="8"/>
      <c r="AL793" s="8"/>
      <c r="AM793" s="8"/>
      <c r="AN793" s="8"/>
      <c r="AO793" s="8"/>
      <c r="AP793" s="8"/>
      <c r="AQ793" s="8"/>
      <c r="AR793" s="8"/>
      <c r="AS793" s="8"/>
      <c r="AT793" s="8"/>
    </row>
    <row r="794">
      <c r="A794" s="197"/>
      <c r="B794" s="198"/>
      <c r="C794" s="379"/>
      <c r="D794" s="197"/>
      <c r="E794" s="198"/>
      <c r="F794" s="379"/>
      <c r="G794" s="197"/>
      <c r="H794" s="198"/>
      <c r="I794" s="379"/>
      <c r="J794" s="197"/>
      <c r="K794" s="198"/>
      <c r="L794" s="379"/>
      <c r="M794" s="197"/>
      <c r="N794" s="198"/>
      <c r="O794" s="379"/>
      <c r="P794" s="197"/>
      <c r="Q794" s="198"/>
      <c r="R794" s="379"/>
      <c r="S794" s="197"/>
      <c r="T794" s="198"/>
      <c r="U794" s="379"/>
      <c r="V794" s="197"/>
      <c r="W794" s="198"/>
      <c r="X794" s="379"/>
      <c r="Y794" s="184"/>
      <c r="Z794" s="184"/>
      <c r="AA794" s="184"/>
      <c r="AB794" s="184"/>
      <c r="AC794" s="8"/>
      <c r="AD794" s="8"/>
      <c r="AE794" s="8"/>
      <c r="AF794" s="8"/>
      <c r="AG794" s="191"/>
      <c r="AH794" s="191"/>
      <c r="AI794" s="191"/>
      <c r="AJ794" s="8"/>
      <c r="AK794" s="8"/>
      <c r="AL794" s="8"/>
      <c r="AM794" s="8"/>
      <c r="AN794" s="8"/>
      <c r="AO794" s="8"/>
      <c r="AP794" s="8"/>
      <c r="AQ794" s="8"/>
      <c r="AR794" s="8"/>
      <c r="AS794" s="8"/>
      <c r="AT794" s="8"/>
    </row>
    <row r="795">
      <c r="A795" s="197"/>
      <c r="B795" s="198"/>
      <c r="C795" s="379"/>
      <c r="D795" s="197"/>
      <c r="E795" s="198"/>
      <c r="F795" s="379"/>
      <c r="G795" s="197"/>
      <c r="H795" s="198"/>
      <c r="I795" s="379"/>
      <c r="J795" s="197"/>
      <c r="K795" s="198"/>
      <c r="L795" s="379"/>
      <c r="M795" s="197"/>
      <c r="N795" s="198"/>
      <c r="O795" s="379"/>
      <c r="P795" s="197"/>
      <c r="Q795" s="198"/>
      <c r="R795" s="379"/>
      <c r="S795" s="197"/>
      <c r="T795" s="198"/>
      <c r="U795" s="379"/>
      <c r="V795" s="197"/>
      <c r="W795" s="198"/>
      <c r="X795" s="379"/>
      <c r="Y795" s="184"/>
      <c r="Z795" s="184"/>
      <c r="AA795" s="184"/>
      <c r="AB795" s="184"/>
      <c r="AC795" s="8"/>
      <c r="AD795" s="8"/>
      <c r="AE795" s="8"/>
      <c r="AF795" s="8"/>
      <c r="AG795" s="191"/>
      <c r="AH795" s="191"/>
      <c r="AI795" s="191"/>
      <c r="AJ795" s="8"/>
      <c r="AK795" s="8"/>
      <c r="AL795" s="8"/>
      <c r="AM795" s="8"/>
      <c r="AN795" s="8"/>
      <c r="AO795" s="8"/>
      <c r="AP795" s="8"/>
      <c r="AQ795" s="8"/>
      <c r="AR795" s="8"/>
      <c r="AS795" s="8"/>
      <c r="AT795" s="8"/>
    </row>
    <row r="796">
      <c r="A796" s="197"/>
      <c r="B796" s="198"/>
      <c r="C796" s="379"/>
      <c r="D796" s="197"/>
      <c r="E796" s="198"/>
      <c r="F796" s="379"/>
      <c r="G796" s="197"/>
      <c r="H796" s="198"/>
      <c r="I796" s="379"/>
      <c r="J796" s="197"/>
      <c r="K796" s="198"/>
      <c r="L796" s="379"/>
      <c r="M796" s="197"/>
      <c r="N796" s="198"/>
      <c r="O796" s="379"/>
      <c r="P796" s="197"/>
      <c r="Q796" s="198"/>
      <c r="R796" s="379"/>
      <c r="S796" s="197"/>
      <c r="T796" s="198"/>
      <c r="U796" s="379"/>
      <c r="V796" s="197"/>
      <c r="W796" s="198"/>
      <c r="X796" s="379"/>
      <c r="Y796" s="184"/>
      <c r="Z796" s="184"/>
      <c r="AA796" s="184"/>
      <c r="AB796" s="184"/>
      <c r="AC796" s="8"/>
      <c r="AD796" s="8"/>
      <c r="AE796" s="8"/>
      <c r="AF796" s="8"/>
      <c r="AG796" s="191"/>
      <c r="AH796" s="191"/>
      <c r="AI796" s="191"/>
      <c r="AJ796" s="8"/>
      <c r="AK796" s="8"/>
      <c r="AL796" s="8"/>
      <c r="AM796" s="8"/>
      <c r="AN796" s="8"/>
      <c r="AO796" s="8"/>
      <c r="AP796" s="8"/>
      <c r="AQ796" s="8"/>
      <c r="AR796" s="8"/>
      <c r="AS796" s="8"/>
      <c r="AT796" s="8"/>
    </row>
    <row r="797">
      <c r="A797" s="197"/>
      <c r="B797" s="198"/>
      <c r="C797" s="379"/>
      <c r="D797" s="197"/>
      <c r="E797" s="198"/>
      <c r="F797" s="379"/>
      <c r="G797" s="197"/>
      <c r="H797" s="198"/>
      <c r="I797" s="379"/>
      <c r="J797" s="197"/>
      <c r="K797" s="198"/>
      <c r="L797" s="379"/>
      <c r="M797" s="197"/>
      <c r="N797" s="198"/>
      <c r="O797" s="379"/>
      <c r="P797" s="197"/>
      <c r="Q797" s="198"/>
      <c r="R797" s="379"/>
      <c r="S797" s="197"/>
      <c r="T797" s="198"/>
      <c r="U797" s="379"/>
      <c r="V797" s="197"/>
      <c r="W797" s="198"/>
      <c r="X797" s="379"/>
      <c r="Y797" s="184"/>
      <c r="Z797" s="184"/>
      <c r="AA797" s="184"/>
      <c r="AB797" s="184"/>
      <c r="AC797" s="8"/>
      <c r="AD797" s="8"/>
      <c r="AE797" s="8"/>
      <c r="AF797" s="8"/>
      <c r="AG797" s="191"/>
      <c r="AH797" s="191"/>
      <c r="AI797" s="191"/>
      <c r="AJ797" s="8"/>
      <c r="AK797" s="8"/>
      <c r="AL797" s="8"/>
      <c r="AM797" s="8"/>
      <c r="AN797" s="8"/>
      <c r="AO797" s="8"/>
      <c r="AP797" s="8"/>
      <c r="AQ797" s="8"/>
      <c r="AR797" s="8"/>
      <c r="AS797" s="8"/>
      <c r="AT797" s="8"/>
    </row>
    <row r="798">
      <c r="A798" s="197"/>
      <c r="B798" s="198"/>
      <c r="C798" s="379"/>
      <c r="D798" s="197"/>
      <c r="E798" s="198"/>
      <c r="F798" s="379"/>
      <c r="G798" s="197"/>
      <c r="H798" s="198"/>
      <c r="I798" s="379"/>
      <c r="J798" s="197"/>
      <c r="K798" s="198"/>
      <c r="L798" s="379"/>
      <c r="M798" s="197"/>
      <c r="N798" s="198"/>
      <c r="O798" s="379"/>
      <c r="P798" s="197"/>
      <c r="Q798" s="198"/>
      <c r="R798" s="379"/>
      <c r="S798" s="197"/>
      <c r="T798" s="198"/>
      <c r="U798" s="379"/>
      <c r="V798" s="197"/>
      <c r="W798" s="198"/>
      <c r="X798" s="379"/>
      <c r="Y798" s="184"/>
      <c r="Z798" s="184"/>
      <c r="AA798" s="184"/>
      <c r="AB798" s="184"/>
      <c r="AC798" s="8"/>
      <c r="AD798" s="8"/>
      <c r="AE798" s="8"/>
      <c r="AF798" s="8"/>
      <c r="AG798" s="191"/>
      <c r="AH798" s="191"/>
      <c r="AI798" s="191"/>
      <c r="AJ798" s="8"/>
      <c r="AK798" s="8"/>
      <c r="AL798" s="8"/>
      <c r="AM798" s="8"/>
      <c r="AN798" s="8"/>
      <c r="AO798" s="8"/>
      <c r="AP798" s="8"/>
      <c r="AQ798" s="8"/>
      <c r="AR798" s="8"/>
      <c r="AS798" s="8"/>
      <c r="AT798" s="8"/>
    </row>
    <row r="799">
      <c r="A799" s="197"/>
      <c r="B799" s="198"/>
      <c r="C799" s="379"/>
      <c r="D799" s="197"/>
      <c r="E799" s="198"/>
      <c r="F799" s="379"/>
      <c r="G799" s="197"/>
      <c r="H799" s="198"/>
      <c r="I799" s="379"/>
      <c r="J799" s="197"/>
      <c r="K799" s="198"/>
      <c r="L799" s="379"/>
      <c r="M799" s="197"/>
      <c r="N799" s="198"/>
      <c r="O799" s="379"/>
      <c r="P799" s="197"/>
      <c r="Q799" s="198"/>
      <c r="R799" s="379"/>
      <c r="S799" s="197"/>
      <c r="T799" s="198"/>
      <c r="U799" s="379"/>
      <c r="V799" s="197"/>
      <c r="W799" s="198"/>
      <c r="X799" s="379"/>
      <c r="Y799" s="184"/>
      <c r="Z799" s="184"/>
      <c r="AA799" s="184"/>
      <c r="AB799" s="184"/>
      <c r="AC799" s="8"/>
      <c r="AD799" s="8"/>
      <c r="AE799" s="8"/>
      <c r="AF799" s="8"/>
      <c r="AG799" s="191"/>
      <c r="AH799" s="191"/>
      <c r="AI799" s="191"/>
      <c r="AJ799" s="8"/>
      <c r="AK799" s="8"/>
      <c r="AL799" s="8"/>
      <c r="AM799" s="8"/>
      <c r="AN799" s="8"/>
      <c r="AO799" s="8"/>
      <c r="AP799" s="8"/>
      <c r="AQ799" s="8"/>
      <c r="AR799" s="8"/>
      <c r="AS799" s="8"/>
      <c r="AT799" s="8"/>
    </row>
    <row r="800">
      <c r="A800" s="197"/>
      <c r="B800" s="198"/>
      <c r="C800" s="379"/>
      <c r="D800" s="197"/>
      <c r="E800" s="198"/>
      <c r="F800" s="379"/>
      <c r="G800" s="197"/>
      <c r="H800" s="198"/>
      <c r="I800" s="379"/>
      <c r="J800" s="197"/>
      <c r="K800" s="198"/>
      <c r="L800" s="379"/>
      <c r="M800" s="197"/>
      <c r="N800" s="198"/>
      <c r="O800" s="379"/>
      <c r="P800" s="197"/>
      <c r="Q800" s="198"/>
      <c r="R800" s="379"/>
      <c r="S800" s="197"/>
      <c r="T800" s="198"/>
      <c r="U800" s="379"/>
      <c r="V800" s="197"/>
      <c r="W800" s="198"/>
      <c r="X800" s="379"/>
      <c r="Y800" s="184"/>
      <c r="Z800" s="184"/>
      <c r="AA800" s="184"/>
      <c r="AB800" s="184"/>
      <c r="AC800" s="8"/>
      <c r="AD800" s="8"/>
      <c r="AE800" s="8"/>
      <c r="AF800" s="8"/>
      <c r="AG800" s="191"/>
      <c r="AH800" s="191"/>
      <c r="AI800" s="191"/>
      <c r="AJ800" s="8"/>
      <c r="AK800" s="8"/>
      <c r="AL800" s="8"/>
      <c r="AM800" s="8"/>
      <c r="AN800" s="8"/>
      <c r="AO800" s="8"/>
      <c r="AP800" s="8"/>
      <c r="AQ800" s="8"/>
      <c r="AR800" s="8"/>
      <c r="AS800" s="8"/>
      <c r="AT800" s="8"/>
    </row>
    <row r="801">
      <c r="A801" s="197"/>
      <c r="B801" s="198"/>
      <c r="C801" s="379"/>
      <c r="D801" s="197"/>
      <c r="E801" s="198"/>
      <c r="F801" s="379"/>
      <c r="G801" s="197"/>
      <c r="H801" s="198"/>
      <c r="I801" s="379"/>
      <c r="J801" s="197"/>
      <c r="K801" s="198"/>
      <c r="L801" s="379"/>
      <c r="M801" s="197"/>
      <c r="N801" s="198"/>
      <c r="O801" s="379"/>
      <c r="P801" s="197"/>
      <c r="Q801" s="198"/>
      <c r="R801" s="379"/>
      <c r="S801" s="197"/>
      <c r="T801" s="198"/>
      <c r="U801" s="379"/>
      <c r="V801" s="197"/>
      <c r="W801" s="198"/>
      <c r="X801" s="379"/>
      <c r="Y801" s="184"/>
      <c r="Z801" s="184"/>
      <c r="AA801" s="184"/>
      <c r="AB801" s="184"/>
      <c r="AC801" s="8"/>
      <c r="AD801" s="8"/>
      <c r="AE801" s="8"/>
      <c r="AF801" s="8"/>
      <c r="AG801" s="191"/>
      <c r="AH801" s="191"/>
      <c r="AI801" s="191"/>
      <c r="AJ801" s="8"/>
      <c r="AK801" s="8"/>
      <c r="AL801" s="8"/>
      <c r="AM801" s="8"/>
      <c r="AN801" s="8"/>
      <c r="AO801" s="8"/>
      <c r="AP801" s="8"/>
      <c r="AQ801" s="8"/>
      <c r="AR801" s="8"/>
      <c r="AS801" s="8"/>
      <c r="AT801" s="8"/>
    </row>
    <row r="802">
      <c r="A802" s="197"/>
      <c r="B802" s="198"/>
      <c r="C802" s="379"/>
      <c r="D802" s="197"/>
      <c r="E802" s="198"/>
      <c r="F802" s="379"/>
      <c r="G802" s="197"/>
      <c r="H802" s="198"/>
      <c r="I802" s="379"/>
      <c r="J802" s="197"/>
      <c r="K802" s="198"/>
      <c r="L802" s="379"/>
      <c r="M802" s="197"/>
      <c r="N802" s="198"/>
      <c r="O802" s="379"/>
      <c r="P802" s="197"/>
      <c r="Q802" s="198"/>
      <c r="R802" s="379"/>
      <c r="S802" s="197"/>
      <c r="T802" s="198"/>
      <c r="U802" s="379"/>
      <c r="V802" s="197"/>
      <c r="W802" s="198"/>
      <c r="X802" s="379"/>
      <c r="Y802" s="184"/>
      <c r="Z802" s="184"/>
      <c r="AA802" s="184"/>
      <c r="AB802" s="184"/>
      <c r="AC802" s="8"/>
      <c r="AD802" s="8"/>
      <c r="AE802" s="8"/>
      <c r="AF802" s="8"/>
      <c r="AG802" s="191"/>
      <c r="AH802" s="191"/>
      <c r="AI802" s="191"/>
      <c r="AJ802" s="8"/>
      <c r="AK802" s="8"/>
      <c r="AL802" s="8"/>
      <c r="AM802" s="8"/>
      <c r="AN802" s="8"/>
      <c r="AO802" s="8"/>
      <c r="AP802" s="8"/>
      <c r="AQ802" s="8"/>
      <c r="AR802" s="8"/>
      <c r="AS802" s="8"/>
      <c r="AT802" s="8"/>
    </row>
    <row r="803">
      <c r="A803" s="197"/>
      <c r="B803" s="198"/>
      <c r="C803" s="379"/>
      <c r="D803" s="197"/>
      <c r="E803" s="198"/>
      <c r="F803" s="379"/>
      <c r="G803" s="197"/>
      <c r="H803" s="198"/>
      <c r="I803" s="379"/>
      <c r="J803" s="197"/>
      <c r="K803" s="198"/>
      <c r="L803" s="379"/>
      <c r="M803" s="197"/>
      <c r="N803" s="198"/>
      <c r="O803" s="379"/>
      <c r="P803" s="197"/>
      <c r="Q803" s="198"/>
      <c r="R803" s="379"/>
      <c r="S803" s="197"/>
      <c r="T803" s="198"/>
      <c r="U803" s="379"/>
      <c r="V803" s="197"/>
      <c r="W803" s="198"/>
      <c r="X803" s="379"/>
      <c r="Y803" s="184"/>
      <c r="Z803" s="184"/>
      <c r="AA803" s="184"/>
      <c r="AB803" s="184"/>
      <c r="AC803" s="8"/>
      <c r="AD803" s="8"/>
      <c r="AE803" s="8"/>
      <c r="AF803" s="8"/>
      <c r="AG803" s="191"/>
      <c r="AH803" s="191"/>
      <c r="AI803" s="191"/>
      <c r="AJ803" s="8"/>
      <c r="AK803" s="8"/>
      <c r="AL803" s="8"/>
      <c r="AM803" s="8"/>
      <c r="AN803" s="8"/>
      <c r="AO803" s="8"/>
      <c r="AP803" s="8"/>
      <c r="AQ803" s="8"/>
      <c r="AR803" s="8"/>
      <c r="AS803" s="8"/>
      <c r="AT803" s="8"/>
    </row>
    <row r="804">
      <c r="A804" s="197"/>
      <c r="B804" s="198"/>
      <c r="C804" s="379"/>
      <c r="D804" s="197"/>
      <c r="E804" s="198"/>
      <c r="F804" s="379"/>
      <c r="G804" s="197"/>
      <c r="H804" s="198"/>
      <c r="I804" s="379"/>
      <c r="J804" s="197"/>
      <c r="K804" s="198"/>
      <c r="L804" s="379"/>
      <c r="M804" s="197"/>
      <c r="N804" s="198"/>
      <c r="O804" s="379"/>
      <c r="P804" s="197"/>
      <c r="Q804" s="198"/>
      <c r="R804" s="379"/>
      <c r="S804" s="197"/>
      <c r="T804" s="198"/>
      <c r="U804" s="379"/>
      <c r="V804" s="197"/>
      <c r="W804" s="198"/>
      <c r="X804" s="379"/>
      <c r="Y804" s="184"/>
      <c r="Z804" s="184"/>
      <c r="AA804" s="184"/>
      <c r="AB804" s="184"/>
      <c r="AC804" s="8"/>
      <c r="AD804" s="8"/>
      <c r="AE804" s="8"/>
      <c r="AF804" s="8"/>
      <c r="AG804" s="191"/>
      <c r="AH804" s="191"/>
      <c r="AI804" s="191"/>
      <c r="AJ804" s="8"/>
      <c r="AK804" s="8"/>
      <c r="AL804" s="8"/>
      <c r="AM804" s="8"/>
      <c r="AN804" s="8"/>
      <c r="AO804" s="8"/>
      <c r="AP804" s="8"/>
      <c r="AQ804" s="8"/>
      <c r="AR804" s="8"/>
      <c r="AS804" s="8"/>
      <c r="AT804" s="8"/>
    </row>
    <row r="805">
      <c r="A805" s="197"/>
      <c r="B805" s="198"/>
      <c r="C805" s="379"/>
      <c r="D805" s="197"/>
      <c r="E805" s="198"/>
      <c r="F805" s="379"/>
      <c r="G805" s="197"/>
      <c r="H805" s="198"/>
      <c r="I805" s="379"/>
      <c r="J805" s="197"/>
      <c r="K805" s="198"/>
      <c r="L805" s="379"/>
      <c r="M805" s="197"/>
      <c r="N805" s="198"/>
      <c r="O805" s="379"/>
      <c r="P805" s="197"/>
      <c r="Q805" s="198"/>
      <c r="R805" s="379"/>
      <c r="S805" s="197"/>
      <c r="T805" s="198"/>
      <c r="U805" s="379"/>
      <c r="V805" s="197"/>
      <c r="W805" s="198"/>
      <c r="X805" s="379"/>
      <c r="Y805" s="184"/>
      <c r="Z805" s="184"/>
      <c r="AA805" s="184"/>
      <c r="AB805" s="184"/>
      <c r="AC805" s="8"/>
      <c r="AD805" s="8"/>
      <c r="AE805" s="8"/>
      <c r="AF805" s="8"/>
      <c r="AG805" s="191"/>
      <c r="AH805" s="191"/>
      <c r="AI805" s="191"/>
      <c r="AJ805" s="8"/>
      <c r="AK805" s="8"/>
      <c r="AL805" s="8"/>
      <c r="AM805" s="8"/>
      <c r="AN805" s="8"/>
      <c r="AO805" s="8"/>
      <c r="AP805" s="8"/>
      <c r="AQ805" s="8"/>
      <c r="AR805" s="8"/>
      <c r="AS805" s="8"/>
      <c r="AT805" s="8"/>
    </row>
    <row r="806">
      <c r="A806" s="197"/>
      <c r="B806" s="198"/>
      <c r="C806" s="379"/>
      <c r="D806" s="197"/>
      <c r="E806" s="198"/>
      <c r="F806" s="379"/>
      <c r="G806" s="197"/>
      <c r="H806" s="198"/>
      <c r="I806" s="379"/>
      <c r="J806" s="197"/>
      <c r="K806" s="198"/>
      <c r="L806" s="379"/>
      <c r="M806" s="197"/>
      <c r="N806" s="198"/>
      <c r="O806" s="379"/>
      <c r="P806" s="197"/>
      <c r="Q806" s="198"/>
      <c r="R806" s="379"/>
      <c r="S806" s="197"/>
      <c r="T806" s="198"/>
      <c r="U806" s="379"/>
      <c r="V806" s="197"/>
      <c r="W806" s="198"/>
      <c r="X806" s="379"/>
      <c r="Y806" s="184"/>
      <c r="Z806" s="184"/>
      <c r="AA806" s="184"/>
      <c r="AB806" s="184"/>
      <c r="AC806" s="8"/>
      <c r="AD806" s="8"/>
      <c r="AE806" s="8"/>
      <c r="AF806" s="8"/>
      <c r="AG806" s="191"/>
      <c r="AH806" s="191"/>
      <c r="AI806" s="191"/>
      <c r="AJ806" s="8"/>
      <c r="AK806" s="8"/>
      <c r="AL806" s="8"/>
      <c r="AM806" s="8"/>
      <c r="AN806" s="8"/>
      <c r="AO806" s="8"/>
      <c r="AP806" s="8"/>
      <c r="AQ806" s="8"/>
      <c r="AR806" s="8"/>
      <c r="AS806" s="8"/>
      <c r="AT806" s="8"/>
    </row>
    <row r="807">
      <c r="A807" s="197"/>
      <c r="B807" s="198"/>
      <c r="C807" s="379"/>
      <c r="D807" s="197"/>
      <c r="E807" s="198"/>
      <c r="F807" s="379"/>
      <c r="G807" s="197"/>
      <c r="H807" s="198"/>
      <c r="I807" s="379"/>
      <c r="J807" s="197"/>
      <c r="K807" s="198"/>
      <c r="L807" s="379"/>
      <c r="M807" s="197"/>
      <c r="N807" s="198"/>
      <c r="O807" s="379"/>
      <c r="P807" s="197"/>
      <c r="Q807" s="198"/>
      <c r="R807" s="379"/>
      <c r="S807" s="197"/>
      <c r="T807" s="198"/>
      <c r="U807" s="379"/>
      <c r="V807" s="197"/>
      <c r="W807" s="198"/>
      <c r="X807" s="379"/>
      <c r="Y807" s="184"/>
      <c r="Z807" s="184"/>
      <c r="AA807" s="184"/>
      <c r="AB807" s="184"/>
      <c r="AC807" s="8"/>
      <c r="AD807" s="8"/>
      <c r="AE807" s="8"/>
      <c r="AF807" s="8"/>
      <c r="AG807" s="191"/>
      <c r="AH807" s="191"/>
      <c r="AI807" s="191"/>
      <c r="AJ807" s="8"/>
      <c r="AK807" s="8"/>
      <c r="AL807" s="8"/>
      <c r="AM807" s="8"/>
      <c r="AN807" s="8"/>
      <c r="AO807" s="8"/>
      <c r="AP807" s="8"/>
      <c r="AQ807" s="8"/>
      <c r="AR807" s="8"/>
      <c r="AS807" s="8"/>
      <c r="AT807" s="8"/>
    </row>
    <row r="808">
      <c r="A808" s="197"/>
      <c r="B808" s="198"/>
      <c r="C808" s="379"/>
      <c r="D808" s="197"/>
      <c r="E808" s="198"/>
      <c r="F808" s="379"/>
      <c r="G808" s="197"/>
      <c r="H808" s="198"/>
      <c r="I808" s="379"/>
      <c r="J808" s="197"/>
      <c r="K808" s="198"/>
      <c r="L808" s="379"/>
      <c r="M808" s="197"/>
      <c r="N808" s="198"/>
      <c r="O808" s="379"/>
      <c r="P808" s="197"/>
      <c r="Q808" s="198"/>
      <c r="R808" s="379"/>
      <c r="S808" s="197"/>
      <c r="T808" s="198"/>
      <c r="U808" s="379"/>
      <c r="V808" s="197"/>
      <c r="W808" s="198"/>
      <c r="X808" s="379"/>
      <c r="Y808" s="184"/>
      <c r="Z808" s="184"/>
      <c r="AA808" s="184"/>
      <c r="AB808" s="184"/>
      <c r="AC808" s="8"/>
      <c r="AD808" s="8"/>
      <c r="AE808" s="8"/>
      <c r="AF808" s="8"/>
      <c r="AG808" s="191"/>
      <c r="AH808" s="191"/>
      <c r="AI808" s="191"/>
      <c r="AJ808" s="8"/>
      <c r="AK808" s="8"/>
      <c r="AL808" s="8"/>
      <c r="AM808" s="8"/>
      <c r="AN808" s="8"/>
      <c r="AO808" s="8"/>
      <c r="AP808" s="8"/>
      <c r="AQ808" s="8"/>
      <c r="AR808" s="8"/>
      <c r="AS808" s="8"/>
      <c r="AT808" s="8"/>
    </row>
    <row r="809">
      <c r="A809" s="197"/>
      <c r="B809" s="198"/>
      <c r="C809" s="379"/>
      <c r="D809" s="197"/>
      <c r="E809" s="198"/>
      <c r="F809" s="379"/>
      <c r="G809" s="197"/>
      <c r="H809" s="198"/>
      <c r="I809" s="379"/>
      <c r="J809" s="197"/>
      <c r="K809" s="198"/>
      <c r="L809" s="379"/>
      <c r="M809" s="197"/>
      <c r="N809" s="198"/>
      <c r="O809" s="379"/>
      <c r="P809" s="197"/>
      <c r="Q809" s="198"/>
      <c r="R809" s="379"/>
      <c r="S809" s="197"/>
      <c r="T809" s="198"/>
      <c r="U809" s="379"/>
      <c r="V809" s="197"/>
      <c r="W809" s="198"/>
      <c r="X809" s="379"/>
      <c r="Y809" s="184"/>
      <c r="Z809" s="184"/>
      <c r="AA809" s="184"/>
      <c r="AB809" s="184"/>
      <c r="AC809" s="8"/>
      <c r="AD809" s="8"/>
      <c r="AE809" s="8"/>
      <c r="AF809" s="8"/>
      <c r="AG809" s="191"/>
      <c r="AH809" s="191"/>
      <c r="AI809" s="191"/>
      <c r="AJ809" s="8"/>
      <c r="AK809" s="8"/>
      <c r="AL809" s="8"/>
      <c r="AM809" s="8"/>
      <c r="AN809" s="8"/>
      <c r="AO809" s="8"/>
      <c r="AP809" s="8"/>
      <c r="AQ809" s="8"/>
      <c r="AR809" s="8"/>
      <c r="AS809" s="8"/>
      <c r="AT809" s="8"/>
    </row>
    <row r="810">
      <c r="A810" s="197"/>
      <c r="B810" s="198"/>
      <c r="C810" s="379"/>
      <c r="D810" s="197"/>
      <c r="E810" s="198"/>
      <c r="F810" s="379"/>
      <c r="G810" s="197"/>
      <c r="H810" s="198"/>
      <c r="I810" s="379"/>
      <c r="J810" s="197"/>
      <c r="K810" s="198"/>
      <c r="L810" s="379"/>
      <c r="M810" s="197"/>
      <c r="N810" s="198"/>
      <c r="O810" s="379"/>
      <c r="P810" s="197"/>
      <c r="Q810" s="198"/>
      <c r="R810" s="379"/>
      <c r="S810" s="197"/>
      <c r="T810" s="198"/>
      <c r="U810" s="379"/>
      <c r="V810" s="197"/>
      <c r="W810" s="198"/>
      <c r="X810" s="379"/>
      <c r="Y810" s="184"/>
      <c r="Z810" s="184"/>
      <c r="AA810" s="184"/>
      <c r="AB810" s="184"/>
      <c r="AC810" s="8"/>
      <c r="AD810" s="8"/>
      <c r="AE810" s="8"/>
      <c r="AF810" s="8"/>
      <c r="AG810" s="191"/>
      <c r="AH810" s="191"/>
      <c r="AI810" s="191"/>
      <c r="AJ810" s="8"/>
      <c r="AK810" s="8"/>
      <c r="AL810" s="8"/>
      <c r="AM810" s="8"/>
      <c r="AN810" s="8"/>
      <c r="AO810" s="8"/>
      <c r="AP810" s="8"/>
      <c r="AQ810" s="8"/>
      <c r="AR810" s="8"/>
      <c r="AS810" s="8"/>
      <c r="AT810" s="8"/>
    </row>
    <row r="811">
      <c r="A811" s="197"/>
      <c r="B811" s="198"/>
      <c r="C811" s="379"/>
      <c r="D811" s="197"/>
      <c r="E811" s="198"/>
      <c r="F811" s="379"/>
      <c r="G811" s="197"/>
      <c r="H811" s="198"/>
      <c r="I811" s="379"/>
      <c r="J811" s="197"/>
      <c r="K811" s="198"/>
      <c r="L811" s="379"/>
      <c r="M811" s="197"/>
      <c r="N811" s="198"/>
      <c r="O811" s="379"/>
      <c r="P811" s="197"/>
      <c r="Q811" s="198"/>
      <c r="R811" s="379"/>
      <c r="S811" s="197"/>
      <c r="T811" s="198"/>
      <c r="U811" s="379"/>
      <c r="V811" s="197"/>
      <c r="W811" s="198"/>
      <c r="X811" s="379"/>
      <c r="Y811" s="184"/>
      <c r="Z811" s="184"/>
      <c r="AA811" s="184"/>
      <c r="AB811" s="184"/>
      <c r="AC811" s="8"/>
      <c r="AD811" s="8"/>
      <c r="AE811" s="8"/>
      <c r="AF811" s="8"/>
      <c r="AG811" s="191"/>
      <c r="AH811" s="191"/>
      <c r="AI811" s="191"/>
      <c r="AJ811" s="8"/>
      <c r="AK811" s="8"/>
      <c r="AL811" s="8"/>
      <c r="AM811" s="8"/>
      <c r="AN811" s="8"/>
      <c r="AO811" s="8"/>
      <c r="AP811" s="8"/>
      <c r="AQ811" s="8"/>
      <c r="AR811" s="8"/>
      <c r="AS811" s="8"/>
      <c r="AT811" s="8"/>
    </row>
    <row r="812">
      <c r="A812" s="197"/>
      <c r="B812" s="198"/>
      <c r="C812" s="379"/>
      <c r="D812" s="197"/>
      <c r="E812" s="198"/>
      <c r="F812" s="379"/>
      <c r="G812" s="197"/>
      <c r="H812" s="198"/>
      <c r="I812" s="379"/>
      <c r="J812" s="197"/>
      <c r="K812" s="198"/>
      <c r="L812" s="379"/>
      <c r="M812" s="197"/>
      <c r="N812" s="198"/>
      <c r="O812" s="379"/>
      <c r="P812" s="197"/>
      <c r="Q812" s="198"/>
      <c r="R812" s="379"/>
      <c r="S812" s="197"/>
      <c r="T812" s="198"/>
      <c r="U812" s="379"/>
      <c r="V812" s="197"/>
      <c r="W812" s="198"/>
      <c r="X812" s="379"/>
      <c r="Y812" s="184"/>
      <c r="Z812" s="184"/>
      <c r="AA812" s="184"/>
      <c r="AB812" s="184"/>
      <c r="AC812" s="8"/>
      <c r="AD812" s="8"/>
      <c r="AE812" s="8"/>
      <c r="AF812" s="8"/>
      <c r="AG812" s="191"/>
      <c r="AH812" s="191"/>
      <c r="AI812" s="191"/>
      <c r="AJ812" s="8"/>
      <c r="AK812" s="8"/>
      <c r="AL812" s="8"/>
      <c r="AM812" s="8"/>
      <c r="AN812" s="8"/>
      <c r="AO812" s="8"/>
      <c r="AP812" s="8"/>
      <c r="AQ812" s="8"/>
      <c r="AR812" s="8"/>
      <c r="AS812" s="8"/>
      <c r="AT812" s="8"/>
    </row>
    <row r="813">
      <c r="A813" s="197"/>
      <c r="B813" s="198"/>
      <c r="C813" s="379"/>
      <c r="D813" s="197"/>
      <c r="E813" s="198"/>
      <c r="F813" s="379"/>
      <c r="G813" s="197"/>
      <c r="H813" s="198"/>
      <c r="I813" s="379"/>
      <c r="J813" s="197"/>
      <c r="K813" s="198"/>
      <c r="L813" s="379"/>
      <c r="M813" s="197"/>
      <c r="N813" s="198"/>
      <c r="O813" s="379"/>
      <c r="P813" s="197"/>
      <c r="Q813" s="198"/>
      <c r="R813" s="379"/>
      <c r="S813" s="197"/>
      <c r="T813" s="198"/>
      <c r="U813" s="379"/>
      <c r="V813" s="197"/>
      <c r="W813" s="198"/>
      <c r="X813" s="379"/>
      <c r="Y813" s="184"/>
      <c r="Z813" s="184"/>
      <c r="AA813" s="184"/>
      <c r="AB813" s="184"/>
      <c r="AC813" s="8"/>
      <c r="AD813" s="8"/>
      <c r="AE813" s="8"/>
      <c r="AF813" s="8"/>
      <c r="AG813" s="191"/>
      <c r="AH813" s="191"/>
      <c r="AI813" s="191"/>
      <c r="AJ813" s="8"/>
      <c r="AK813" s="8"/>
      <c r="AL813" s="8"/>
      <c r="AM813" s="8"/>
      <c r="AN813" s="8"/>
      <c r="AO813" s="8"/>
      <c r="AP813" s="8"/>
      <c r="AQ813" s="8"/>
      <c r="AR813" s="8"/>
      <c r="AS813" s="8"/>
      <c r="AT813" s="8"/>
    </row>
    <row r="814">
      <c r="A814" s="197"/>
      <c r="B814" s="198"/>
      <c r="C814" s="379"/>
      <c r="D814" s="197"/>
      <c r="E814" s="198"/>
      <c r="F814" s="379"/>
      <c r="G814" s="197"/>
      <c r="H814" s="198"/>
      <c r="I814" s="379"/>
      <c r="J814" s="197"/>
      <c r="K814" s="198"/>
      <c r="L814" s="379"/>
      <c r="M814" s="197"/>
      <c r="N814" s="198"/>
      <c r="O814" s="379"/>
      <c r="P814" s="197"/>
      <c r="Q814" s="198"/>
      <c r="R814" s="379"/>
      <c r="S814" s="197"/>
      <c r="T814" s="198"/>
      <c r="U814" s="379"/>
      <c r="V814" s="197"/>
      <c r="W814" s="198"/>
      <c r="X814" s="379"/>
      <c r="Y814" s="184"/>
      <c r="Z814" s="184"/>
      <c r="AA814" s="184"/>
      <c r="AB814" s="184"/>
      <c r="AC814" s="8"/>
      <c r="AD814" s="8"/>
      <c r="AE814" s="8"/>
      <c r="AF814" s="8"/>
      <c r="AG814" s="191"/>
      <c r="AH814" s="191"/>
      <c r="AI814" s="191"/>
      <c r="AJ814" s="8"/>
      <c r="AK814" s="8"/>
      <c r="AL814" s="8"/>
      <c r="AM814" s="8"/>
      <c r="AN814" s="8"/>
      <c r="AO814" s="8"/>
      <c r="AP814" s="8"/>
      <c r="AQ814" s="8"/>
      <c r="AR814" s="8"/>
      <c r="AS814" s="8"/>
      <c r="AT814" s="8"/>
    </row>
    <row r="815">
      <c r="A815" s="197"/>
      <c r="B815" s="198"/>
      <c r="C815" s="379"/>
      <c r="D815" s="197"/>
      <c r="E815" s="198"/>
      <c r="F815" s="379"/>
      <c r="G815" s="197"/>
      <c r="H815" s="198"/>
      <c r="I815" s="379"/>
      <c r="J815" s="197"/>
      <c r="K815" s="198"/>
      <c r="L815" s="379"/>
      <c r="M815" s="197"/>
      <c r="N815" s="198"/>
      <c r="O815" s="379"/>
      <c r="P815" s="197"/>
      <c r="Q815" s="198"/>
      <c r="R815" s="379"/>
      <c r="S815" s="197"/>
      <c r="T815" s="198"/>
      <c r="U815" s="379"/>
      <c r="V815" s="197"/>
      <c r="W815" s="198"/>
      <c r="X815" s="379"/>
      <c r="Y815" s="184"/>
      <c r="Z815" s="184"/>
      <c r="AA815" s="184"/>
      <c r="AB815" s="184"/>
      <c r="AC815" s="8"/>
      <c r="AD815" s="8"/>
      <c r="AE815" s="8"/>
      <c r="AF815" s="8"/>
      <c r="AG815" s="191"/>
      <c r="AH815" s="191"/>
      <c r="AI815" s="191"/>
      <c r="AJ815" s="8"/>
      <c r="AK815" s="8"/>
      <c r="AL815" s="8"/>
      <c r="AM815" s="8"/>
      <c r="AN815" s="8"/>
      <c r="AO815" s="8"/>
      <c r="AP815" s="8"/>
      <c r="AQ815" s="8"/>
      <c r="AR815" s="8"/>
      <c r="AS815" s="8"/>
      <c r="AT815" s="8"/>
    </row>
    <row r="816">
      <c r="A816" s="197"/>
      <c r="B816" s="198"/>
      <c r="C816" s="379"/>
      <c r="D816" s="197"/>
      <c r="E816" s="198"/>
      <c r="F816" s="379"/>
      <c r="G816" s="197"/>
      <c r="H816" s="198"/>
      <c r="I816" s="379"/>
      <c r="J816" s="197"/>
      <c r="K816" s="198"/>
      <c r="L816" s="379"/>
      <c r="M816" s="197"/>
      <c r="N816" s="198"/>
      <c r="O816" s="379"/>
      <c r="P816" s="197"/>
      <c r="Q816" s="198"/>
      <c r="R816" s="379"/>
      <c r="S816" s="197"/>
      <c r="T816" s="198"/>
      <c r="U816" s="379"/>
      <c r="V816" s="197"/>
      <c r="W816" s="198"/>
      <c r="X816" s="379"/>
      <c r="Y816" s="184"/>
      <c r="Z816" s="184"/>
      <c r="AA816" s="184"/>
      <c r="AB816" s="184"/>
      <c r="AC816" s="8"/>
      <c r="AD816" s="8"/>
      <c r="AE816" s="8"/>
      <c r="AF816" s="8"/>
      <c r="AG816" s="191"/>
      <c r="AH816" s="191"/>
      <c r="AI816" s="191"/>
      <c r="AJ816" s="8"/>
      <c r="AK816" s="8"/>
      <c r="AL816" s="8"/>
      <c r="AM816" s="8"/>
      <c r="AN816" s="8"/>
      <c r="AO816" s="8"/>
      <c r="AP816" s="8"/>
      <c r="AQ816" s="8"/>
      <c r="AR816" s="8"/>
      <c r="AS816" s="8"/>
      <c r="AT816" s="8"/>
    </row>
    <row r="817">
      <c r="A817" s="197"/>
      <c r="B817" s="198"/>
      <c r="C817" s="379"/>
      <c r="D817" s="197"/>
      <c r="E817" s="198"/>
      <c r="F817" s="379"/>
      <c r="G817" s="197"/>
      <c r="H817" s="198"/>
      <c r="I817" s="379"/>
      <c r="J817" s="197"/>
      <c r="K817" s="198"/>
      <c r="L817" s="379"/>
      <c r="M817" s="197"/>
      <c r="N817" s="198"/>
      <c r="O817" s="379"/>
      <c r="P817" s="197"/>
      <c r="Q817" s="198"/>
      <c r="R817" s="379"/>
      <c r="S817" s="197"/>
      <c r="T817" s="198"/>
      <c r="U817" s="379"/>
      <c r="V817" s="197"/>
      <c r="W817" s="198"/>
      <c r="X817" s="379"/>
      <c r="Y817" s="184"/>
      <c r="Z817" s="184"/>
      <c r="AA817" s="184"/>
      <c r="AB817" s="184"/>
      <c r="AC817" s="8"/>
      <c r="AD817" s="8"/>
      <c r="AE817" s="8"/>
      <c r="AF817" s="8"/>
      <c r="AG817" s="191"/>
      <c r="AH817" s="191"/>
      <c r="AI817" s="191"/>
      <c r="AJ817" s="8"/>
      <c r="AK817" s="8"/>
      <c r="AL817" s="8"/>
      <c r="AM817" s="8"/>
      <c r="AN817" s="8"/>
      <c r="AO817" s="8"/>
      <c r="AP817" s="8"/>
      <c r="AQ817" s="8"/>
      <c r="AR817" s="8"/>
      <c r="AS817" s="8"/>
      <c r="AT817" s="8"/>
    </row>
    <row r="818">
      <c r="A818" s="197"/>
      <c r="B818" s="198"/>
      <c r="C818" s="379"/>
      <c r="D818" s="197"/>
      <c r="E818" s="198"/>
      <c r="F818" s="379"/>
      <c r="G818" s="197"/>
      <c r="H818" s="198"/>
      <c r="I818" s="379"/>
      <c r="J818" s="197"/>
      <c r="K818" s="198"/>
      <c r="L818" s="379"/>
      <c r="M818" s="197"/>
      <c r="N818" s="198"/>
      <c r="O818" s="379"/>
      <c r="P818" s="197"/>
      <c r="Q818" s="198"/>
      <c r="R818" s="379"/>
      <c r="S818" s="197"/>
      <c r="T818" s="198"/>
      <c r="U818" s="379"/>
      <c r="V818" s="197"/>
      <c r="W818" s="198"/>
      <c r="X818" s="379"/>
      <c r="Y818" s="184"/>
      <c r="Z818" s="184"/>
      <c r="AA818" s="184"/>
      <c r="AB818" s="184"/>
      <c r="AC818" s="8"/>
      <c r="AD818" s="8"/>
      <c r="AE818" s="8"/>
      <c r="AF818" s="8"/>
      <c r="AG818" s="191"/>
      <c r="AH818" s="191"/>
      <c r="AI818" s="191"/>
      <c r="AJ818" s="8"/>
      <c r="AK818" s="8"/>
      <c r="AL818" s="8"/>
      <c r="AM818" s="8"/>
      <c r="AN818" s="8"/>
      <c r="AO818" s="8"/>
      <c r="AP818" s="8"/>
      <c r="AQ818" s="8"/>
      <c r="AR818" s="8"/>
      <c r="AS818" s="8"/>
      <c r="AT818" s="8"/>
    </row>
    <row r="819">
      <c r="A819" s="197"/>
      <c r="B819" s="198"/>
      <c r="C819" s="379"/>
      <c r="D819" s="197"/>
      <c r="E819" s="198"/>
      <c r="F819" s="379"/>
      <c r="G819" s="197"/>
      <c r="H819" s="198"/>
      <c r="I819" s="379"/>
      <c r="J819" s="197"/>
      <c r="K819" s="198"/>
      <c r="L819" s="379"/>
      <c r="M819" s="197"/>
      <c r="N819" s="198"/>
      <c r="O819" s="379"/>
      <c r="P819" s="197"/>
      <c r="Q819" s="198"/>
      <c r="R819" s="379"/>
      <c r="S819" s="197"/>
      <c r="T819" s="198"/>
      <c r="U819" s="379"/>
      <c r="V819" s="197"/>
      <c r="W819" s="198"/>
      <c r="X819" s="379"/>
      <c r="Y819" s="184"/>
      <c r="Z819" s="184"/>
      <c r="AA819" s="184"/>
      <c r="AB819" s="184"/>
      <c r="AC819" s="8"/>
      <c r="AD819" s="8"/>
      <c r="AE819" s="8"/>
      <c r="AF819" s="8"/>
      <c r="AG819" s="191"/>
      <c r="AH819" s="191"/>
      <c r="AI819" s="191"/>
      <c r="AJ819" s="8"/>
      <c r="AK819" s="8"/>
      <c r="AL819" s="8"/>
      <c r="AM819" s="8"/>
      <c r="AN819" s="8"/>
      <c r="AO819" s="8"/>
      <c r="AP819" s="8"/>
      <c r="AQ819" s="8"/>
      <c r="AR819" s="8"/>
      <c r="AS819" s="8"/>
      <c r="AT819" s="8"/>
    </row>
    <row r="820">
      <c r="A820" s="197"/>
      <c r="B820" s="198"/>
      <c r="C820" s="379"/>
      <c r="D820" s="197"/>
      <c r="E820" s="198"/>
      <c r="F820" s="379"/>
      <c r="G820" s="197"/>
      <c r="H820" s="198"/>
      <c r="I820" s="379"/>
      <c r="J820" s="197"/>
      <c r="K820" s="198"/>
      <c r="L820" s="379"/>
      <c r="M820" s="197"/>
      <c r="N820" s="198"/>
      <c r="O820" s="379"/>
      <c r="P820" s="197"/>
      <c r="Q820" s="198"/>
      <c r="R820" s="379"/>
      <c r="S820" s="197"/>
      <c r="T820" s="198"/>
      <c r="U820" s="379"/>
      <c r="V820" s="197"/>
      <c r="W820" s="198"/>
      <c r="X820" s="379"/>
      <c r="Y820" s="184"/>
      <c r="Z820" s="184"/>
      <c r="AA820" s="184"/>
      <c r="AB820" s="184"/>
      <c r="AC820" s="8"/>
      <c r="AD820" s="8"/>
      <c r="AE820" s="8"/>
      <c r="AF820" s="8"/>
      <c r="AG820" s="191"/>
      <c r="AH820" s="191"/>
      <c r="AI820" s="191"/>
      <c r="AJ820" s="8"/>
      <c r="AK820" s="8"/>
      <c r="AL820" s="8"/>
      <c r="AM820" s="8"/>
      <c r="AN820" s="8"/>
      <c r="AO820" s="8"/>
      <c r="AP820" s="8"/>
      <c r="AQ820" s="8"/>
      <c r="AR820" s="8"/>
      <c r="AS820" s="8"/>
      <c r="AT820" s="8"/>
    </row>
    <row r="821">
      <c r="A821" s="197"/>
      <c r="B821" s="198"/>
      <c r="C821" s="379"/>
      <c r="D821" s="197"/>
      <c r="E821" s="198"/>
      <c r="F821" s="379"/>
      <c r="G821" s="197"/>
      <c r="H821" s="198"/>
      <c r="I821" s="379"/>
      <c r="J821" s="197"/>
      <c r="K821" s="198"/>
      <c r="L821" s="379"/>
      <c r="M821" s="197"/>
      <c r="N821" s="198"/>
      <c r="O821" s="379"/>
      <c r="P821" s="197"/>
      <c r="Q821" s="198"/>
      <c r="R821" s="379"/>
      <c r="S821" s="197"/>
      <c r="T821" s="198"/>
      <c r="U821" s="379"/>
      <c r="V821" s="197"/>
      <c r="W821" s="198"/>
      <c r="X821" s="379"/>
      <c r="Y821" s="184"/>
      <c r="Z821" s="184"/>
      <c r="AA821" s="184"/>
      <c r="AB821" s="184"/>
      <c r="AC821" s="8"/>
      <c r="AD821" s="8"/>
      <c r="AE821" s="8"/>
      <c r="AF821" s="8"/>
      <c r="AG821" s="191"/>
      <c r="AH821" s="191"/>
      <c r="AI821" s="191"/>
      <c r="AJ821" s="8"/>
      <c r="AK821" s="8"/>
      <c r="AL821" s="8"/>
      <c r="AM821" s="8"/>
      <c r="AN821" s="8"/>
      <c r="AO821" s="8"/>
      <c r="AP821" s="8"/>
      <c r="AQ821" s="8"/>
      <c r="AR821" s="8"/>
      <c r="AS821" s="8"/>
      <c r="AT821" s="8"/>
    </row>
    <row r="822">
      <c r="A822" s="197"/>
      <c r="B822" s="198"/>
      <c r="C822" s="379"/>
      <c r="D822" s="197"/>
      <c r="E822" s="198"/>
      <c r="F822" s="379"/>
      <c r="G822" s="197"/>
      <c r="H822" s="198"/>
      <c r="I822" s="379"/>
      <c r="J822" s="197"/>
      <c r="K822" s="198"/>
      <c r="L822" s="379"/>
      <c r="M822" s="197"/>
      <c r="N822" s="198"/>
      <c r="O822" s="379"/>
      <c r="P822" s="197"/>
      <c r="Q822" s="198"/>
      <c r="R822" s="379"/>
      <c r="S822" s="197"/>
      <c r="T822" s="198"/>
      <c r="U822" s="379"/>
      <c r="V822" s="197"/>
      <c r="W822" s="198"/>
      <c r="X822" s="379"/>
      <c r="Y822" s="184"/>
      <c r="Z822" s="184"/>
      <c r="AA822" s="184"/>
      <c r="AB822" s="184"/>
      <c r="AC822" s="8"/>
      <c r="AD822" s="8"/>
      <c r="AE822" s="8"/>
      <c r="AF822" s="8"/>
      <c r="AG822" s="191"/>
      <c r="AH822" s="191"/>
      <c r="AI822" s="191"/>
      <c r="AJ822" s="8"/>
      <c r="AK822" s="8"/>
      <c r="AL822" s="8"/>
      <c r="AM822" s="8"/>
      <c r="AN822" s="8"/>
      <c r="AO822" s="8"/>
      <c r="AP822" s="8"/>
      <c r="AQ822" s="8"/>
      <c r="AR822" s="8"/>
      <c r="AS822" s="8"/>
      <c r="AT822" s="8"/>
    </row>
    <row r="823">
      <c r="A823" s="197"/>
      <c r="B823" s="198"/>
      <c r="C823" s="379"/>
      <c r="D823" s="197"/>
      <c r="E823" s="198"/>
      <c r="F823" s="379"/>
      <c r="G823" s="197"/>
      <c r="H823" s="198"/>
      <c r="I823" s="379"/>
      <c r="J823" s="197"/>
      <c r="K823" s="198"/>
      <c r="L823" s="379"/>
      <c r="M823" s="197"/>
      <c r="N823" s="198"/>
      <c r="O823" s="379"/>
      <c r="P823" s="197"/>
      <c r="Q823" s="198"/>
      <c r="R823" s="379"/>
      <c r="S823" s="197"/>
      <c r="T823" s="198"/>
      <c r="U823" s="379"/>
      <c r="V823" s="197"/>
      <c r="W823" s="198"/>
      <c r="X823" s="379"/>
      <c r="Y823" s="184"/>
      <c r="Z823" s="184"/>
      <c r="AA823" s="184"/>
      <c r="AB823" s="184"/>
      <c r="AC823" s="8"/>
      <c r="AD823" s="8"/>
      <c r="AE823" s="8"/>
      <c r="AF823" s="8"/>
      <c r="AG823" s="191"/>
      <c r="AH823" s="191"/>
      <c r="AI823" s="191"/>
      <c r="AJ823" s="8"/>
      <c r="AK823" s="8"/>
      <c r="AL823" s="8"/>
      <c r="AM823" s="8"/>
      <c r="AN823" s="8"/>
      <c r="AO823" s="8"/>
      <c r="AP823" s="8"/>
      <c r="AQ823" s="8"/>
      <c r="AR823" s="8"/>
      <c r="AS823" s="8"/>
      <c r="AT823" s="8"/>
    </row>
    <row r="824">
      <c r="A824" s="197"/>
      <c r="B824" s="198"/>
      <c r="C824" s="379"/>
      <c r="D824" s="197"/>
      <c r="E824" s="198"/>
      <c r="F824" s="379"/>
      <c r="G824" s="197"/>
      <c r="H824" s="198"/>
      <c r="I824" s="379"/>
      <c r="J824" s="197"/>
      <c r="K824" s="198"/>
      <c r="L824" s="379"/>
      <c r="M824" s="197"/>
      <c r="N824" s="198"/>
      <c r="O824" s="379"/>
      <c r="P824" s="197"/>
      <c r="Q824" s="198"/>
      <c r="R824" s="379"/>
      <c r="S824" s="197"/>
      <c r="T824" s="198"/>
      <c r="U824" s="379"/>
      <c r="V824" s="197"/>
      <c r="W824" s="198"/>
      <c r="X824" s="379"/>
      <c r="Y824" s="184"/>
      <c r="Z824" s="184"/>
      <c r="AA824" s="184"/>
      <c r="AB824" s="184"/>
      <c r="AC824" s="8"/>
      <c r="AD824" s="8"/>
      <c r="AE824" s="8"/>
      <c r="AF824" s="8"/>
      <c r="AG824" s="191"/>
      <c r="AH824" s="191"/>
      <c r="AI824" s="191"/>
      <c r="AJ824" s="8"/>
      <c r="AK824" s="8"/>
      <c r="AL824" s="8"/>
      <c r="AM824" s="8"/>
      <c r="AN824" s="8"/>
      <c r="AO824" s="8"/>
      <c r="AP824" s="8"/>
      <c r="AQ824" s="8"/>
      <c r="AR824" s="8"/>
      <c r="AS824" s="8"/>
      <c r="AT824" s="8"/>
    </row>
    <row r="825">
      <c r="A825" s="197"/>
      <c r="B825" s="198"/>
      <c r="C825" s="379"/>
      <c r="D825" s="197"/>
      <c r="E825" s="198"/>
      <c r="F825" s="379"/>
      <c r="G825" s="197"/>
      <c r="H825" s="198"/>
      <c r="I825" s="379"/>
      <c r="J825" s="197"/>
      <c r="K825" s="198"/>
      <c r="L825" s="379"/>
      <c r="M825" s="197"/>
      <c r="N825" s="198"/>
      <c r="O825" s="379"/>
      <c r="P825" s="197"/>
      <c r="Q825" s="198"/>
      <c r="R825" s="379"/>
      <c r="S825" s="197"/>
      <c r="T825" s="198"/>
      <c r="U825" s="379"/>
      <c r="V825" s="197"/>
      <c r="W825" s="198"/>
      <c r="X825" s="379"/>
      <c r="Y825" s="184"/>
      <c r="Z825" s="184"/>
      <c r="AA825" s="184"/>
      <c r="AB825" s="184"/>
      <c r="AC825" s="8"/>
      <c r="AD825" s="8"/>
      <c r="AE825" s="8"/>
      <c r="AF825" s="8"/>
      <c r="AG825" s="191"/>
      <c r="AH825" s="191"/>
      <c r="AI825" s="191"/>
      <c r="AJ825" s="8"/>
      <c r="AK825" s="8"/>
      <c r="AL825" s="8"/>
      <c r="AM825" s="8"/>
      <c r="AN825" s="8"/>
      <c r="AO825" s="8"/>
      <c r="AP825" s="8"/>
      <c r="AQ825" s="8"/>
      <c r="AR825" s="8"/>
      <c r="AS825" s="8"/>
      <c r="AT825" s="8"/>
    </row>
    <row r="826">
      <c r="A826" s="197"/>
      <c r="B826" s="198"/>
      <c r="C826" s="379"/>
      <c r="D826" s="197"/>
      <c r="E826" s="198"/>
      <c r="F826" s="379"/>
      <c r="G826" s="197"/>
      <c r="H826" s="198"/>
      <c r="I826" s="379"/>
      <c r="J826" s="197"/>
      <c r="K826" s="198"/>
      <c r="L826" s="379"/>
      <c r="M826" s="197"/>
      <c r="N826" s="198"/>
      <c r="O826" s="379"/>
      <c r="P826" s="197"/>
      <c r="Q826" s="198"/>
      <c r="R826" s="379"/>
      <c r="S826" s="197"/>
      <c r="T826" s="198"/>
      <c r="U826" s="379"/>
      <c r="V826" s="197"/>
      <c r="W826" s="198"/>
      <c r="X826" s="379"/>
      <c r="Y826" s="184"/>
      <c r="Z826" s="184"/>
      <c r="AA826" s="184"/>
      <c r="AB826" s="184"/>
      <c r="AC826" s="8"/>
      <c r="AD826" s="8"/>
      <c r="AE826" s="8"/>
      <c r="AF826" s="8"/>
      <c r="AG826" s="191"/>
      <c r="AH826" s="191"/>
      <c r="AI826" s="191"/>
      <c r="AJ826" s="8"/>
      <c r="AK826" s="8"/>
      <c r="AL826" s="8"/>
      <c r="AM826" s="8"/>
      <c r="AN826" s="8"/>
      <c r="AO826" s="8"/>
      <c r="AP826" s="8"/>
      <c r="AQ826" s="8"/>
      <c r="AR826" s="8"/>
      <c r="AS826" s="8"/>
      <c r="AT826" s="8"/>
    </row>
    <row r="827">
      <c r="A827" s="197"/>
      <c r="B827" s="198"/>
      <c r="C827" s="379"/>
      <c r="D827" s="197"/>
      <c r="E827" s="198"/>
      <c r="F827" s="379"/>
      <c r="G827" s="197"/>
      <c r="H827" s="198"/>
      <c r="I827" s="379"/>
      <c r="J827" s="197"/>
      <c r="K827" s="198"/>
      <c r="L827" s="379"/>
      <c r="M827" s="197"/>
      <c r="N827" s="198"/>
      <c r="O827" s="379"/>
      <c r="P827" s="197"/>
      <c r="Q827" s="198"/>
      <c r="R827" s="379"/>
      <c r="S827" s="197"/>
      <c r="T827" s="198"/>
      <c r="U827" s="379"/>
      <c r="V827" s="197"/>
      <c r="W827" s="198"/>
      <c r="X827" s="379"/>
      <c r="Y827" s="184"/>
      <c r="Z827" s="184"/>
      <c r="AA827" s="184"/>
      <c r="AB827" s="184"/>
      <c r="AC827" s="8"/>
      <c r="AD827" s="8"/>
      <c r="AE827" s="8"/>
      <c r="AF827" s="8"/>
      <c r="AG827" s="191"/>
      <c r="AH827" s="191"/>
      <c r="AI827" s="191"/>
      <c r="AJ827" s="8"/>
      <c r="AK827" s="8"/>
      <c r="AL827" s="8"/>
      <c r="AM827" s="8"/>
      <c r="AN827" s="8"/>
      <c r="AO827" s="8"/>
      <c r="AP827" s="8"/>
      <c r="AQ827" s="8"/>
      <c r="AR827" s="8"/>
      <c r="AS827" s="8"/>
      <c r="AT827" s="8"/>
    </row>
    <row r="828">
      <c r="A828" s="197"/>
      <c r="B828" s="198"/>
      <c r="C828" s="379"/>
      <c r="D828" s="197"/>
      <c r="E828" s="198"/>
      <c r="F828" s="379"/>
      <c r="G828" s="197"/>
      <c r="H828" s="198"/>
      <c r="I828" s="379"/>
      <c r="J828" s="197"/>
      <c r="K828" s="198"/>
      <c r="L828" s="379"/>
      <c r="M828" s="197"/>
      <c r="N828" s="198"/>
      <c r="O828" s="379"/>
      <c r="P828" s="197"/>
      <c r="Q828" s="198"/>
      <c r="R828" s="379"/>
      <c r="S828" s="197"/>
      <c r="T828" s="198"/>
      <c r="U828" s="379"/>
      <c r="V828" s="197"/>
      <c r="W828" s="198"/>
      <c r="X828" s="379"/>
      <c r="Y828" s="184"/>
      <c r="Z828" s="184"/>
      <c r="AA828" s="184"/>
      <c r="AB828" s="184"/>
      <c r="AC828" s="8"/>
      <c r="AD828" s="8"/>
      <c r="AE828" s="8"/>
      <c r="AF828" s="8"/>
      <c r="AG828" s="191"/>
      <c r="AH828" s="191"/>
      <c r="AI828" s="191"/>
      <c r="AJ828" s="8"/>
      <c r="AK828" s="8"/>
      <c r="AL828" s="8"/>
      <c r="AM828" s="8"/>
      <c r="AN828" s="8"/>
      <c r="AO828" s="8"/>
      <c r="AP828" s="8"/>
      <c r="AQ828" s="8"/>
      <c r="AR828" s="8"/>
      <c r="AS828" s="8"/>
      <c r="AT828" s="8"/>
    </row>
    <row r="829">
      <c r="A829" s="197"/>
      <c r="B829" s="198"/>
      <c r="C829" s="379"/>
      <c r="D829" s="197"/>
      <c r="E829" s="198"/>
      <c r="F829" s="379"/>
      <c r="G829" s="197"/>
      <c r="H829" s="198"/>
      <c r="I829" s="379"/>
      <c r="J829" s="197"/>
      <c r="K829" s="198"/>
      <c r="L829" s="379"/>
      <c r="M829" s="197"/>
      <c r="N829" s="198"/>
      <c r="O829" s="379"/>
      <c r="P829" s="197"/>
      <c r="Q829" s="198"/>
      <c r="R829" s="379"/>
      <c r="S829" s="197"/>
      <c r="T829" s="198"/>
      <c r="U829" s="379"/>
      <c r="V829" s="197"/>
      <c r="W829" s="198"/>
      <c r="X829" s="379"/>
      <c r="Y829" s="184"/>
      <c r="Z829" s="184"/>
      <c r="AA829" s="184"/>
      <c r="AB829" s="184"/>
      <c r="AC829" s="8"/>
      <c r="AD829" s="8"/>
      <c r="AE829" s="8"/>
      <c r="AF829" s="8"/>
      <c r="AG829" s="191"/>
      <c r="AH829" s="191"/>
      <c r="AI829" s="191"/>
      <c r="AJ829" s="8"/>
      <c r="AK829" s="8"/>
      <c r="AL829" s="8"/>
      <c r="AM829" s="8"/>
      <c r="AN829" s="8"/>
      <c r="AO829" s="8"/>
      <c r="AP829" s="8"/>
      <c r="AQ829" s="8"/>
      <c r="AR829" s="8"/>
      <c r="AS829" s="8"/>
      <c r="AT829" s="8"/>
    </row>
    <row r="830">
      <c r="A830" s="197"/>
      <c r="B830" s="198"/>
      <c r="C830" s="379"/>
      <c r="D830" s="197"/>
      <c r="E830" s="198"/>
      <c r="F830" s="379"/>
      <c r="G830" s="197"/>
      <c r="H830" s="198"/>
      <c r="I830" s="379"/>
      <c r="J830" s="197"/>
      <c r="K830" s="198"/>
      <c r="L830" s="379"/>
      <c r="M830" s="197"/>
      <c r="N830" s="198"/>
      <c r="O830" s="379"/>
      <c r="P830" s="197"/>
      <c r="Q830" s="198"/>
      <c r="R830" s="379"/>
      <c r="S830" s="197"/>
      <c r="T830" s="198"/>
      <c r="U830" s="379"/>
      <c r="V830" s="197"/>
      <c r="W830" s="198"/>
      <c r="X830" s="379"/>
      <c r="Y830" s="184"/>
      <c r="Z830" s="184"/>
      <c r="AA830" s="184"/>
      <c r="AB830" s="184"/>
      <c r="AC830" s="8"/>
      <c r="AD830" s="8"/>
      <c r="AE830" s="8"/>
      <c r="AF830" s="8"/>
      <c r="AG830" s="191"/>
      <c r="AH830" s="191"/>
      <c r="AI830" s="191"/>
      <c r="AJ830" s="8"/>
      <c r="AK830" s="8"/>
      <c r="AL830" s="8"/>
      <c r="AM830" s="8"/>
      <c r="AN830" s="8"/>
      <c r="AO830" s="8"/>
      <c r="AP830" s="8"/>
      <c r="AQ830" s="8"/>
      <c r="AR830" s="8"/>
      <c r="AS830" s="8"/>
      <c r="AT830" s="8"/>
    </row>
    <row r="831">
      <c r="A831" s="197"/>
      <c r="B831" s="198"/>
      <c r="C831" s="379"/>
      <c r="D831" s="197"/>
      <c r="E831" s="198"/>
      <c r="F831" s="379"/>
      <c r="G831" s="197"/>
      <c r="H831" s="198"/>
      <c r="I831" s="379"/>
      <c r="J831" s="197"/>
      <c r="K831" s="198"/>
      <c r="L831" s="379"/>
      <c r="M831" s="197"/>
      <c r="N831" s="198"/>
      <c r="O831" s="379"/>
      <c r="P831" s="197"/>
      <c r="Q831" s="198"/>
      <c r="R831" s="379"/>
      <c r="S831" s="197"/>
      <c r="T831" s="198"/>
      <c r="U831" s="379"/>
      <c r="V831" s="197"/>
      <c r="W831" s="198"/>
      <c r="X831" s="379"/>
      <c r="Y831" s="184"/>
      <c r="Z831" s="184"/>
      <c r="AA831" s="184"/>
      <c r="AB831" s="184"/>
      <c r="AC831" s="8"/>
      <c r="AD831" s="8"/>
      <c r="AE831" s="8"/>
      <c r="AF831" s="8"/>
      <c r="AG831" s="191"/>
      <c r="AH831" s="191"/>
      <c r="AI831" s="191"/>
      <c r="AJ831" s="8"/>
      <c r="AK831" s="8"/>
      <c r="AL831" s="8"/>
      <c r="AM831" s="8"/>
      <c r="AN831" s="8"/>
      <c r="AO831" s="8"/>
      <c r="AP831" s="8"/>
      <c r="AQ831" s="8"/>
      <c r="AR831" s="8"/>
      <c r="AS831" s="8"/>
      <c r="AT831" s="8"/>
    </row>
    <row r="832">
      <c r="A832" s="197"/>
      <c r="B832" s="198"/>
      <c r="C832" s="379"/>
      <c r="D832" s="197"/>
      <c r="E832" s="198"/>
      <c r="F832" s="379"/>
      <c r="G832" s="197"/>
      <c r="H832" s="198"/>
      <c r="I832" s="379"/>
      <c r="J832" s="197"/>
      <c r="K832" s="198"/>
      <c r="L832" s="379"/>
      <c r="M832" s="197"/>
      <c r="N832" s="198"/>
      <c r="O832" s="379"/>
      <c r="P832" s="197"/>
      <c r="Q832" s="198"/>
      <c r="R832" s="379"/>
      <c r="S832" s="197"/>
      <c r="T832" s="198"/>
      <c r="U832" s="379"/>
      <c r="V832" s="197"/>
      <c r="W832" s="198"/>
      <c r="X832" s="379"/>
      <c r="Y832" s="184"/>
      <c r="Z832" s="184"/>
      <c r="AA832" s="184"/>
      <c r="AB832" s="184"/>
      <c r="AC832" s="8"/>
      <c r="AD832" s="8"/>
      <c r="AE832" s="8"/>
      <c r="AF832" s="8"/>
      <c r="AG832" s="191"/>
      <c r="AH832" s="191"/>
      <c r="AI832" s="191"/>
      <c r="AJ832" s="8"/>
      <c r="AK832" s="8"/>
      <c r="AL832" s="8"/>
      <c r="AM832" s="8"/>
      <c r="AN832" s="8"/>
      <c r="AO832" s="8"/>
      <c r="AP832" s="8"/>
      <c r="AQ832" s="8"/>
      <c r="AR832" s="8"/>
      <c r="AS832" s="8"/>
      <c r="AT832" s="8"/>
    </row>
    <row r="833">
      <c r="A833" s="197"/>
      <c r="B833" s="198"/>
      <c r="C833" s="379"/>
      <c r="D833" s="197"/>
      <c r="E833" s="198"/>
      <c r="F833" s="379"/>
      <c r="G833" s="197"/>
      <c r="H833" s="198"/>
      <c r="I833" s="379"/>
      <c r="J833" s="197"/>
      <c r="K833" s="198"/>
      <c r="L833" s="379"/>
      <c r="M833" s="197"/>
      <c r="N833" s="198"/>
      <c r="O833" s="379"/>
      <c r="P833" s="197"/>
      <c r="Q833" s="198"/>
      <c r="R833" s="379"/>
      <c r="S833" s="197"/>
      <c r="T833" s="198"/>
      <c r="U833" s="379"/>
      <c r="V833" s="197"/>
      <c r="W833" s="198"/>
      <c r="X833" s="379"/>
      <c r="Y833" s="184"/>
      <c r="Z833" s="184"/>
      <c r="AA833" s="184"/>
      <c r="AB833" s="184"/>
      <c r="AC833" s="8"/>
      <c r="AD833" s="8"/>
      <c r="AE833" s="8"/>
      <c r="AF833" s="8"/>
      <c r="AG833" s="191"/>
      <c r="AH833" s="191"/>
      <c r="AI833" s="191"/>
      <c r="AJ833" s="8"/>
      <c r="AK833" s="8"/>
      <c r="AL833" s="8"/>
      <c r="AM833" s="8"/>
      <c r="AN833" s="8"/>
      <c r="AO833" s="8"/>
      <c r="AP833" s="8"/>
      <c r="AQ833" s="8"/>
      <c r="AR833" s="8"/>
      <c r="AS833" s="8"/>
      <c r="AT833" s="8"/>
    </row>
    <row r="834">
      <c r="A834" s="197"/>
      <c r="B834" s="198"/>
      <c r="C834" s="379"/>
      <c r="D834" s="197"/>
      <c r="E834" s="198"/>
      <c r="F834" s="379"/>
      <c r="G834" s="197"/>
      <c r="H834" s="198"/>
      <c r="I834" s="379"/>
      <c r="J834" s="197"/>
      <c r="K834" s="198"/>
      <c r="L834" s="379"/>
      <c r="M834" s="197"/>
      <c r="N834" s="198"/>
      <c r="O834" s="379"/>
      <c r="P834" s="197"/>
      <c r="Q834" s="198"/>
      <c r="R834" s="379"/>
      <c r="S834" s="197"/>
      <c r="T834" s="198"/>
      <c r="U834" s="379"/>
      <c r="V834" s="197"/>
      <c r="W834" s="198"/>
      <c r="X834" s="379"/>
      <c r="Y834" s="184"/>
      <c r="Z834" s="184"/>
      <c r="AA834" s="184"/>
      <c r="AB834" s="184"/>
      <c r="AC834" s="8"/>
      <c r="AD834" s="8"/>
      <c r="AE834" s="8"/>
      <c r="AF834" s="8"/>
      <c r="AG834" s="191"/>
      <c r="AH834" s="191"/>
      <c r="AI834" s="191"/>
      <c r="AJ834" s="8"/>
      <c r="AK834" s="8"/>
      <c r="AL834" s="8"/>
      <c r="AM834" s="8"/>
      <c r="AN834" s="8"/>
      <c r="AO834" s="8"/>
      <c r="AP834" s="8"/>
      <c r="AQ834" s="8"/>
      <c r="AR834" s="8"/>
      <c r="AS834" s="8"/>
      <c r="AT834" s="8"/>
    </row>
    <row r="835">
      <c r="A835" s="197"/>
      <c r="B835" s="198"/>
      <c r="C835" s="379"/>
      <c r="D835" s="197"/>
      <c r="E835" s="198"/>
      <c r="F835" s="379"/>
      <c r="G835" s="197"/>
      <c r="H835" s="198"/>
      <c r="I835" s="379"/>
      <c r="J835" s="197"/>
      <c r="K835" s="198"/>
      <c r="L835" s="379"/>
      <c r="M835" s="197"/>
      <c r="N835" s="198"/>
      <c r="O835" s="379"/>
      <c r="P835" s="197"/>
      <c r="Q835" s="198"/>
      <c r="R835" s="379"/>
      <c r="S835" s="197"/>
      <c r="T835" s="198"/>
      <c r="U835" s="379"/>
      <c r="V835" s="197"/>
      <c r="W835" s="198"/>
      <c r="X835" s="379"/>
      <c r="Y835" s="184"/>
      <c r="Z835" s="184"/>
      <c r="AA835" s="184"/>
      <c r="AB835" s="184"/>
      <c r="AC835" s="8"/>
      <c r="AD835" s="8"/>
      <c r="AE835" s="8"/>
      <c r="AF835" s="8"/>
      <c r="AG835" s="191"/>
      <c r="AH835" s="191"/>
      <c r="AI835" s="191"/>
      <c r="AJ835" s="8"/>
      <c r="AK835" s="8"/>
      <c r="AL835" s="8"/>
      <c r="AM835" s="8"/>
      <c r="AN835" s="8"/>
      <c r="AO835" s="8"/>
      <c r="AP835" s="8"/>
      <c r="AQ835" s="8"/>
      <c r="AR835" s="8"/>
      <c r="AS835" s="8"/>
      <c r="AT835" s="8"/>
    </row>
    <row r="836">
      <c r="A836" s="197"/>
      <c r="B836" s="198"/>
      <c r="C836" s="379"/>
      <c r="D836" s="197"/>
      <c r="E836" s="198"/>
      <c r="F836" s="379"/>
      <c r="G836" s="197"/>
      <c r="H836" s="198"/>
      <c r="I836" s="379"/>
      <c r="J836" s="197"/>
      <c r="K836" s="198"/>
      <c r="L836" s="379"/>
      <c r="M836" s="197"/>
      <c r="N836" s="198"/>
      <c r="O836" s="379"/>
      <c r="P836" s="197"/>
      <c r="Q836" s="198"/>
      <c r="R836" s="379"/>
      <c r="S836" s="197"/>
      <c r="T836" s="198"/>
      <c r="U836" s="379"/>
      <c r="V836" s="197"/>
      <c r="W836" s="198"/>
      <c r="X836" s="379"/>
      <c r="Y836" s="184"/>
      <c r="Z836" s="184"/>
      <c r="AA836" s="184"/>
      <c r="AB836" s="184"/>
      <c r="AC836" s="8"/>
      <c r="AD836" s="8"/>
      <c r="AE836" s="8"/>
      <c r="AF836" s="8"/>
      <c r="AG836" s="191"/>
      <c r="AH836" s="191"/>
      <c r="AI836" s="191"/>
      <c r="AJ836" s="8"/>
      <c r="AK836" s="8"/>
      <c r="AL836" s="8"/>
      <c r="AM836" s="8"/>
      <c r="AN836" s="8"/>
      <c r="AO836" s="8"/>
      <c r="AP836" s="8"/>
      <c r="AQ836" s="8"/>
      <c r="AR836" s="8"/>
      <c r="AS836" s="8"/>
      <c r="AT836" s="8"/>
    </row>
    <row r="837">
      <c r="A837" s="197"/>
      <c r="B837" s="198"/>
      <c r="C837" s="379"/>
      <c r="D837" s="197"/>
      <c r="E837" s="198"/>
      <c r="F837" s="379"/>
      <c r="G837" s="197"/>
      <c r="H837" s="198"/>
      <c r="I837" s="379"/>
      <c r="J837" s="197"/>
      <c r="K837" s="198"/>
      <c r="L837" s="379"/>
      <c r="M837" s="197"/>
      <c r="N837" s="198"/>
      <c r="O837" s="379"/>
      <c r="P837" s="197"/>
      <c r="Q837" s="198"/>
      <c r="R837" s="379"/>
      <c r="S837" s="197"/>
      <c r="T837" s="198"/>
      <c r="U837" s="379"/>
      <c r="V837" s="197"/>
      <c r="W837" s="198"/>
      <c r="X837" s="379"/>
      <c r="Y837" s="184"/>
      <c r="Z837" s="184"/>
      <c r="AA837" s="184"/>
      <c r="AB837" s="184"/>
      <c r="AC837" s="8"/>
      <c r="AD837" s="8"/>
      <c r="AE837" s="8"/>
      <c r="AF837" s="8"/>
      <c r="AG837" s="191"/>
      <c r="AH837" s="191"/>
      <c r="AI837" s="191"/>
      <c r="AJ837" s="8"/>
      <c r="AK837" s="8"/>
      <c r="AL837" s="8"/>
      <c r="AM837" s="8"/>
      <c r="AN837" s="8"/>
      <c r="AO837" s="8"/>
      <c r="AP837" s="8"/>
      <c r="AQ837" s="8"/>
      <c r="AR837" s="8"/>
      <c r="AS837" s="8"/>
      <c r="AT837" s="8"/>
    </row>
    <row r="838">
      <c r="A838" s="197"/>
      <c r="B838" s="198"/>
      <c r="C838" s="379"/>
      <c r="D838" s="197"/>
      <c r="E838" s="198"/>
      <c r="F838" s="379"/>
      <c r="G838" s="197"/>
      <c r="H838" s="198"/>
      <c r="I838" s="379"/>
      <c r="J838" s="197"/>
      <c r="K838" s="198"/>
      <c r="L838" s="379"/>
      <c r="M838" s="197"/>
      <c r="N838" s="198"/>
      <c r="O838" s="379"/>
      <c r="P838" s="197"/>
      <c r="Q838" s="198"/>
      <c r="R838" s="379"/>
      <c r="S838" s="197"/>
      <c r="T838" s="198"/>
      <c r="U838" s="379"/>
      <c r="V838" s="197"/>
      <c r="W838" s="198"/>
      <c r="X838" s="379"/>
      <c r="Y838" s="184"/>
      <c r="Z838" s="184"/>
      <c r="AA838" s="184"/>
      <c r="AB838" s="184"/>
      <c r="AC838" s="8"/>
      <c r="AD838" s="8"/>
      <c r="AE838" s="8"/>
      <c r="AF838" s="8"/>
      <c r="AG838" s="191"/>
      <c r="AH838" s="191"/>
      <c r="AI838" s="191"/>
      <c r="AJ838" s="8"/>
      <c r="AK838" s="8"/>
      <c r="AL838" s="8"/>
      <c r="AM838" s="8"/>
      <c r="AN838" s="8"/>
      <c r="AO838" s="8"/>
      <c r="AP838" s="8"/>
      <c r="AQ838" s="8"/>
      <c r="AR838" s="8"/>
      <c r="AS838" s="8"/>
      <c r="AT838" s="8"/>
    </row>
    <row r="839">
      <c r="A839" s="197"/>
      <c r="B839" s="198"/>
      <c r="C839" s="379"/>
      <c r="D839" s="197"/>
      <c r="E839" s="198"/>
      <c r="F839" s="379"/>
      <c r="G839" s="197"/>
      <c r="H839" s="198"/>
      <c r="I839" s="379"/>
      <c r="J839" s="197"/>
      <c r="K839" s="198"/>
      <c r="L839" s="379"/>
      <c r="M839" s="197"/>
      <c r="N839" s="198"/>
      <c r="O839" s="379"/>
      <c r="P839" s="197"/>
      <c r="Q839" s="198"/>
      <c r="R839" s="379"/>
      <c r="S839" s="197"/>
      <c r="T839" s="198"/>
      <c r="U839" s="379"/>
      <c r="V839" s="197"/>
      <c r="W839" s="198"/>
      <c r="X839" s="379"/>
      <c r="Y839" s="184"/>
      <c r="Z839" s="184"/>
      <c r="AA839" s="184"/>
      <c r="AB839" s="184"/>
      <c r="AC839" s="8"/>
      <c r="AD839" s="8"/>
      <c r="AE839" s="8"/>
      <c r="AF839" s="8"/>
      <c r="AG839" s="191"/>
      <c r="AH839" s="191"/>
      <c r="AI839" s="191"/>
      <c r="AJ839" s="8"/>
      <c r="AK839" s="8"/>
      <c r="AL839" s="8"/>
      <c r="AM839" s="8"/>
      <c r="AN839" s="8"/>
      <c r="AO839" s="8"/>
      <c r="AP839" s="8"/>
      <c r="AQ839" s="8"/>
      <c r="AR839" s="8"/>
      <c r="AS839" s="8"/>
      <c r="AT839" s="8"/>
    </row>
    <row r="840">
      <c r="A840" s="197"/>
      <c r="B840" s="198"/>
      <c r="C840" s="379"/>
      <c r="D840" s="197"/>
      <c r="E840" s="198"/>
      <c r="F840" s="379"/>
      <c r="G840" s="197"/>
      <c r="H840" s="198"/>
      <c r="I840" s="379"/>
      <c r="J840" s="197"/>
      <c r="K840" s="198"/>
      <c r="L840" s="379"/>
      <c r="M840" s="197"/>
      <c r="N840" s="198"/>
      <c r="O840" s="379"/>
      <c r="P840" s="197"/>
      <c r="Q840" s="198"/>
      <c r="R840" s="379"/>
      <c r="S840" s="197"/>
      <c r="T840" s="198"/>
      <c r="U840" s="379"/>
      <c r="V840" s="197"/>
      <c r="W840" s="198"/>
      <c r="X840" s="379"/>
      <c r="Y840" s="184"/>
      <c r="Z840" s="184"/>
      <c r="AA840" s="184"/>
      <c r="AB840" s="184"/>
      <c r="AC840" s="8"/>
      <c r="AD840" s="8"/>
      <c r="AE840" s="8"/>
      <c r="AF840" s="8"/>
      <c r="AG840" s="191"/>
      <c r="AH840" s="191"/>
      <c r="AI840" s="191"/>
      <c r="AJ840" s="8"/>
      <c r="AK840" s="8"/>
      <c r="AL840" s="8"/>
      <c r="AM840" s="8"/>
      <c r="AN840" s="8"/>
      <c r="AO840" s="8"/>
      <c r="AP840" s="8"/>
      <c r="AQ840" s="8"/>
      <c r="AR840" s="8"/>
      <c r="AS840" s="8"/>
      <c r="AT840" s="8"/>
    </row>
    <row r="841">
      <c r="A841" s="197"/>
      <c r="B841" s="198"/>
      <c r="C841" s="379"/>
      <c r="D841" s="197"/>
      <c r="E841" s="198"/>
      <c r="F841" s="379"/>
      <c r="G841" s="197"/>
      <c r="H841" s="198"/>
      <c r="I841" s="379"/>
      <c r="J841" s="197"/>
      <c r="K841" s="198"/>
      <c r="L841" s="379"/>
      <c r="M841" s="197"/>
      <c r="N841" s="198"/>
      <c r="O841" s="379"/>
      <c r="P841" s="197"/>
      <c r="Q841" s="198"/>
      <c r="R841" s="379"/>
      <c r="S841" s="197"/>
      <c r="T841" s="198"/>
      <c r="U841" s="379"/>
      <c r="V841" s="197"/>
      <c r="W841" s="198"/>
      <c r="X841" s="379"/>
      <c r="Y841" s="184"/>
      <c r="Z841" s="184"/>
      <c r="AA841" s="184"/>
      <c r="AB841" s="184"/>
      <c r="AC841" s="8"/>
      <c r="AD841" s="8"/>
      <c r="AE841" s="8"/>
      <c r="AF841" s="8"/>
      <c r="AG841" s="191"/>
      <c r="AH841" s="191"/>
      <c r="AI841" s="191"/>
      <c r="AJ841" s="8"/>
      <c r="AK841" s="8"/>
      <c r="AL841" s="8"/>
      <c r="AM841" s="8"/>
      <c r="AN841" s="8"/>
      <c r="AO841" s="8"/>
      <c r="AP841" s="8"/>
      <c r="AQ841" s="8"/>
      <c r="AR841" s="8"/>
      <c r="AS841" s="8"/>
      <c r="AT841" s="8"/>
    </row>
    <row r="842">
      <c r="A842" s="197"/>
      <c r="B842" s="198"/>
      <c r="C842" s="379"/>
      <c r="D842" s="197"/>
      <c r="E842" s="198"/>
      <c r="F842" s="379"/>
      <c r="G842" s="197"/>
      <c r="H842" s="198"/>
      <c r="I842" s="379"/>
      <c r="J842" s="197"/>
      <c r="K842" s="198"/>
      <c r="L842" s="379"/>
      <c r="M842" s="197"/>
      <c r="N842" s="198"/>
      <c r="O842" s="379"/>
      <c r="P842" s="197"/>
      <c r="Q842" s="198"/>
      <c r="R842" s="379"/>
      <c r="S842" s="197"/>
      <c r="T842" s="198"/>
      <c r="U842" s="379"/>
      <c r="V842" s="197"/>
      <c r="W842" s="198"/>
      <c r="X842" s="379"/>
      <c r="Y842" s="184"/>
      <c r="Z842" s="184"/>
      <c r="AA842" s="184"/>
      <c r="AB842" s="184"/>
      <c r="AC842" s="8"/>
      <c r="AD842" s="8"/>
      <c r="AE842" s="8"/>
      <c r="AF842" s="8"/>
      <c r="AG842" s="191"/>
      <c r="AH842" s="191"/>
      <c r="AI842" s="191"/>
      <c r="AJ842" s="8"/>
      <c r="AK842" s="8"/>
      <c r="AL842" s="8"/>
      <c r="AM842" s="8"/>
      <c r="AN842" s="8"/>
      <c r="AO842" s="8"/>
      <c r="AP842" s="8"/>
      <c r="AQ842" s="8"/>
      <c r="AR842" s="8"/>
      <c r="AS842" s="8"/>
      <c r="AT842" s="8"/>
    </row>
    <row r="843">
      <c r="A843" s="197"/>
      <c r="B843" s="198"/>
      <c r="C843" s="379"/>
      <c r="D843" s="197"/>
      <c r="E843" s="198"/>
      <c r="F843" s="379"/>
      <c r="G843" s="197"/>
      <c r="H843" s="198"/>
      <c r="I843" s="379"/>
      <c r="J843" s="197"/>
      <c r="K843" s="198"/>
      <c r="L843" s="379"/>
      <c r="M843" s="197"/>
      <c r="N843" s="198"/>
      <c r="O843" s="379"/>
      <c r="P843" s="197"/>
      <c r="Q843" s="198"/>
      <c r="R843" s="379"/>
      <c r="S843" s="197"/>
      <c r="T843" s="198"/>
      <c r="U843" s="379"/>
      <c r="V843" s="197"/>
      <c r="W843" s="198"/>
      <c r="X843" s="379"/>
      <c r="Y843" s="184"/>
      <c r="Z843" s="184"/>
      <c r="AA843" s="184"/>
      <c r="AB843" s="184"/>
      <c r="AC843" s="8"/>
      <c r="AD843" s="8"/>
      <c r="AE843" s="8"/>
      <c r="AF843" s="8"/>
      <c r="AG843" s="191"/>
      <c r="AH843" s="191"/>
      <c r="AI843" s="191"/>
      <c r="AJ843" s="8"/>
      <c r="AK843" s="8"/>
      <c r="AL843" s="8"/>
      <c r="AM843" s="8"/>
      <c r="AN843" s="8"/>
      <c r="AO843" s="8"/>
      <c r="AP843" s="8"/>
      <c r="AQ843" s="8"/>
      <c r="AR843" s="8"/>
      <c r="AS843" s="8"/>
      <c r="AT843" s="8"/>
    </row>
    <row r="844">
      <c r="A844" s="197"/>
      <c r="B844" s="198"/>
      <c r="C844" s="379"/>
      <c r="D844" s="197"/>
      <c r="E844" s="198"/>
      <c r="F844" s="379"/>
      <c r="G844" s="197"/>
      <c r="H844" s="198"/>
      <c r="I844" s="379"/>
      <c r="J844" s="197"/>
      <c r="K844" s="198"/>
      <c r="L844" s="379"/>
      <c r="M844" s="197"/>
      <c r="N844" s="198"/>
      <c r="O844" s="379"/>
      <c r="P844" s="197"/>
      <c r="Q844" s="198"/>
      <c r="R844" s="379"/>
      <c r="S844" s="197"/>
      <c r="T844" s="198"/>
      <c r="U844" s="379"/>
      <c r="V844" s="197"/>
      <c r="W844" s="198"/>
      <c r="X844" s="379"/>
      <c r="Y844" s="184"/>
      <c r="Z844" s="184"/>
      <c r="AA844" s="184"/>
      <c r="AB844" s="184"/>
      <c r="AC844" s="8"/>
      <c r="AD844" s="8"/>
      <c r="AE844" s="8"/>
      <c r="AF844" s="8"/>
      <c r="AG844" s="191"/>
      <c r="AH844" s="191"/>
      <c r="AI844" s="191"/>
      <c r="AJ844" s="8"/>
      <c r="AK844" s="8"/>
      <c r="AL844" s="8"/>
      <c r="AM844" s="8"/>
      <c r="AN844" s="8"/>
      <c r="AO844" s="8"/>
      <c r="AP844" s="8"/>
      <c r="AQ844" s="8"/>
      <c r="AR844" s="8"/>
      <c r="AS844" s="8"/>
      <c r="AT844" s="8"/>
    </row>
    <row r="845">
      <c r="A845" s="197"/>
      <c r="B845" s="198"/>
      <c r="C845" s="379"/>
      <c r="D845" s="197"/>
      <c r="E845" s="198"/>
      <c r="F845" s="379"/>
      <c r="G845" s="197"/>
      <c r="H845" s="198"/>
      <c r="I845" s="379"/>
      <c r="J845" s="197"/>
      <c r="K845" s="198"/>
      <c r="L845" s="379"/>
      <c r="M845" s="197"/>
      <c r="N845" s="198"/>
      <c r="O845" s="379"/>
      <c r="P845" s="197"/>
      <c r="Q845" s="198"/>
      <c r="R845" s="379"/>
      <c r="S845" s="197"/>
      <c r="T845" s="198"/>
      <c r="U845" s="379"/>
      <c r="V845" s="197"/>
      <c r="W845" s="198"/>
      <c r="X845" s="379"/>
      <c r="Y845" s="184"/>
      <c r="Z845" s="184"/>
      <c r="AA845" s="184"/>
      <c r="AB845" s="184"/>
      <c r="AC845" s="8"/>
      <c r="AD845" s="8"/>
      <c r="AE845" s="8"/>
      <c r="AF845" s="8"/>
      <c r="AG845" s="191"/>
      <c r="AH845" s="191"/>
      <c r="AI845" s="191"/>
      <c r="AJ845" s="8"/>
      <c r="AK845" s="8"/>
      <c r="AL845" s="8"/>
      <c r="AM845" s="8"/>
      <c r="AN845" s="8"/>
      <c r="AO845" s="8"/>
      <c r="AP845" s="8"/>
      <c r="AQ845" s="8"/>
      <c r="AR845" s="8"/>
      <c r="AS845" s="8"/>
      <c r="AT845" s="8"/>
    </row>
    <row r="846">
      <c r="A846" s="197"/>
      <c r="B846" s="198"/>
      <c r="C846" s="379"/>
      <c r="D846" s="197"/>
      <c r="E846" s="198"/>
      <c r="F846" s="379"/>
      <c r="G846" s="197"/>
      <c r="H846" s="198"/>
      <c r="I846" s="379"/>
      <c r="J846" s="197"/>
      <c r="K846" s="198"/>
      <c r="L846" s="379"/>
      <c r="M846" s="197"/>
      <c r="N846" s="198"/>
      <c r="O846" s="379"/>
      <c r="P846" s="197"/>
      <c r="Q846" s="198"/>
      <c r="R846" s="379"/>
      <c r="S846" s="197"/>
      <c r="T846" s="198"/>
      <c r="U846" s="379"/>
      <c r="V846" s="197"/>
      <c r="W846" s="198"/>
      <c r="X846" s="379"/>
      <c r="Y846" s="184"/>
      <c r="Z846" s="184"/>
      <c r="AA846" s="184"/>
      <c r="AB846" s="184"/>
      <c r="AC846" s="8"/>
      <c r="AD846" s="8"/>
      <c r="AE846" s="8"/>
      <c r="AF846" s="8"/>
      <c r="AG846" s="191"/>
      <c r="AH846" s="191"/>
      <c r="AI846" s="191"/>
      <c r="AJ846" s="8"/>
      <c r="AK846" s="8"/>
      <c r="AL846" s="8"/>
      <c r="AM846" s="8"/>
      <c r="AN846" s="8"/>
      <c r="AO846" s="8"/>
      <c r="AP846" s="8"/>
      <c r="AQ846" s="8"/>
      <c r="AR846" s="8"/>
      <c r="AS846" s="8"/>
      <c r="AT846" s="8"/>
    </row>
    <row r="847">
      <c r="A847" s="197"/>
      <c r="B847" s="198"/>
      <c r="C847" s="379"/>
      <c r="D847" s="197"/>
      <c r="E847" s="198"/>
      <c r="F847" s="379"/>
      <c r="G847" s="197"/>
      <c r="H847" s="198"/>
      <c r="I847" s="379"/>
      <c r="J847" s="197"/>
      <c r="K847" s="198"/>
      <c r="L847" s="379"/>
      <c r="M847" s="197"/>
      <c r="N847" s="198"/>
      <c r="O847" s="379"/>
      <c r="P847" s="197"/>
      <c r="Q847" s="198"/>
      <c r="R847" s="379"/>
      <c r="S847" s="197"/>
      <c r="T847" s="198"/>
      <c r="U847" s="379"/>
      <c r="V847" s="197"/>
      <c r="W847" s="198"/>
      <c r="X847" s="379"/>
      <c r="Y847" s="184"/>
      <c r="Z847" s="184"/>
      <c r="AA847" s="184"/>
      <c r="AB847" s="184"/>
      <c r="AC847" s="8"/>
      <c r="AD847" s="8"/>
      <c r="AE847" s="8"/>
      <c r="AF847" s="8"/>
      <c r="AG847" s="191"/>
      <c r="AH847" s="191"/>
      <c r="AI847" s="191"/>
      <c r="AJ847" s="8"/>
      <c r="AK847" s="8"/>
      <c r="AL847" s="8"/>
      <c r="AM847" s="8"/>
      <c r="AN847" s="8"/>
      <c r="AO847" s="8"/>
      <c r="AP847" s="8"/>
      <c r="AQ847" s="8"/>
      <c r="AR847" s="8"/>
      <c r="AS847" s="8"/>
      <c r="AT847" s="8"/>
    </row>
    <row r="848">
      <c r="A848" s="197"/>
      <c r="B848" s="198"/>
      <c r="C848" s="379"/>
      <c r="D848" s="197"/>
      <c r="E848" s="198"/>
      <c r="F848" s="379"/>
      <c r="G848" s="197"/>
      <c r="H848" s="198"/>
      <c r="I848" s="379"/>
      <c r="J848" s="197"/>
      <c r="K848" s="198"/>
      <c r="L848" s="379"/>
      <c r="M848" s="197"/>
      <c r="N848" s="198"/>
      <c r="O848" s="379"/>
      <c r="P848" s="197"/>
      <c r="Q848" s="198"/>
      <c r="R848" s="379"/>
      <c r="S848" s="197"/>
      <c r="T848" s="198"/>
      <c r="U848" s="379"/>
      <c r="V848" s="197"/>
      <c r="W848" s="198"/>
      <c r="X848" s="379"/>
      <c r="Y848" s="184"/>
      <c r="Z848" s="184"/>
      <c r="AA848" s="184"/>
      <c r="AB848" s="184"/>
      <c r="AC848" s="8"/>
      <c r="AD848" s="8"/>
      <c r="AE848" s="8"/>
      <c r="AF848" s="8"/>
      <c r="AG848" s="191"/>
      <c r="AH848" s="191"/>
      <c r="AI848" s="191"/>
      <c r="AJ848" s="8"/>
      <c r="AK848" s="8"/>
      <c r="AL848" s="8"/>
      <c r="AM848" s="8"/>
      <c r="AN848" s="8"/>
      <c r="AO848" s="8"/>
      <c r="AP848" s="8"/>
      <c r="AQ848" s="8"/>
      <c r="AR848" s="8"/>
      <c r="AS848" s="8"/>
      <c r="AT848" s="8"/>
    </row>
    <row r="849">
      <c r="A849" s="197"/>
      <c r="B849" s="198"/>
      <c r="C849" s="379"/>
      <c r="D849" s="197"/>
      <c r="E849" s="198"/>
      <c r="F849" s="379"/>
      <c r="G849" s="197"/>
      <c r="H849" s="198"/>
      <c r="I849" s="379"/>
      <c r="J849" s="197"/>
      <c r="K849" s="198"/>
      <c r="L849" s="379"/>
      <c r="M849" s="197"/>
      <c r="N849" s="198"/>
      <c r="O849" s="379"/>
      <c r="P849" s="197"/>
      <c r="Q849" s="198"/>
      <c r="R849" s="379"/>
      <c r="S849" s="197"/>
      <c r="T849" s="198"/>
      <c r="U849" s="379"/>
      <c r="V849" s="197"/>
      <c r="W849" s="198"/>
      <c r="X849" s="379"/>
      <c r="Y849" s="184"/>
      <c r="Z849" s="184"/>
      <c r="AA849" s="184"/>
      <c r="AB849" s="184"/>
      <c r="AC849" s="8"/>
      <c r="AD849" s="8"/>
      <c r="AE849" s="8"/>
      <c r="AF849" s="8"/>
      <c r="AG849" s="191"/>
      <c r="AH849" s="191"/>
      <c r="AI849" s="191"/>
      <c r="AJ849" s="8"/>
      <c r="AK849" s="8"/>
      <c r="AL849" s="8"/>
      <c r="AM849" s="8"/>
      <c r="AN849" s="8"/>
      <c r="AO849" s="8"/>
      <c r="AP849" s="8"/>
      <c r="AQ849" s="8"/>
      <c r="AR849" s="8"/>
      <c r="AS849" s="8"/>
      <c r="AT849" s="8"/>
    </row>
    <row r="850">
      <c r="A850" s="197"/>
      <c r="B850" s="198"/>
      <c r="C850" s="379"/>
      <c r="D850" s="197"/>
      <c r="E850" s="198"/>
      <c r="F850" s="379"/>
      <c r="G850" s="197"/>
      <c r="H850" s="198"/>
      <c r="I850" s="379"/>
      <c r="J850" s="197"/>
      <c r="K850" s="198"/>
      <c r="L850" s="379"/>
      <c r="M850" s="197"/>
      <c r="N850" s="198"/>
      <c r="O850" s="379"/>
      <c r="P850" s="197"/>
      <c r="Q850" s="198"/>
      <c r="R850" s="379"/>
      <c r="S850" s="197"/>
      <c r="T850" s="198"/>
      <c r="U850" s="379"/>
      <c r="V850" s="197"/>
      <c r="W850" s="198"/>
      <c r="X850" s="379"/>
      <c r="Y850" s="184"/>
      <c r="Z850" s="184"/>
      <c r="AA850" s="184"/>
      <c r="AB850" s="184"/>
      <c r="AC850" s="8"/>
      <c r="AD850" s="8"/>
      <c r="AE850" s="8"/>
      <c r="AF850" s="8"/>
      <c r="AG850" s="191"/>
      <c r="AH850" s="191"/>
      <c r="AI850" s="191"/>
      <c r="AJ850" s="8"/>
      <c r="AK850" s="8"/>
      <c r="AL850" s="8"/>
      <c r="AM850" s="8"/>
      <c r="AN850" s="8"/>
      <c r="AO850" s="8"/>
      <c r="AP850" s="8"/>
      <c r="AQ850" s="8"/>
      <c r="AR850" s="8"/>
      <c r="AS850" s="8"/>
      <c r="AT850" s="8"/>
    </row>
    <row r="851">
      <c r="A851" s="197"/>
      <c r="B851" s="198"/>
      <c r="C851" s="379"/>
      <c r="D851" s="197"/>
      <c r="E851" s="198"/>
      <c r="F851" s="379"/>
      <c r="G851" s="197"/>
      <c r="H851" s="198"/>
      <c r="I851" s="379"/>
      <c r="J851" s="197"/>
      <c r="K851" s="198"/>
      <c r="L851" s="379"/>
      <c r="M851" s="197"/>
      <c r="N851" s="198"/>
      <c r="O851" s="379"/>
      <c r="P851" s="197"/>
      <c r="Q851" s="198"/>
      <c r="R851" s="379"/>
      <c r="S851" s="197"/>
      <c r="T851" s="198"/>
      <c r="U851" s="379"/>
      <c r="V851" s="197"/>
      <c r="W851" s="198"/>
      <c r="X851" s="379"/>
      <c r="Y851" s="184"/>
      <c r="Z851" s="184"/>
      <c r="AA851" s="184"/>
      <c r="AB851" s="184"/>
      <c r="AC851" s="8"/>
      <c r="AD851" s="8"/>
      <c r="AE851" s="8"/>
      <c r="AF851" s="8"/>
      <c r="AG851" s="191"/>
      <c r="AH851" s="191"/>
      <c r="AI851" s="191"/>
      <c r="AJ851" s="8"/>
      <c r="AK851" s="8"/>
      <c r="AL851" s="8"/>
      <c r="AM851" s="8"/>
      <c r="AN851" s="8"/>
      <c r="AO851" s="8"/>
      <c r="AP851" s="8"/>
      <c r="AQ851" s="8"/>
      <c r="AR851" s="8"/>
      <c r="AS851" s="8"/>
      <c r="AT851" s="8"/>
    </row>
    <row r="852">
      <c r="A852" s="197"/>
      <c r="B852" s="198"/>
      <c r="C852" s="379"/>
      <c r="D852" s="197"/>
      <c r="E852" s="198"/>
      <c r="F852" s="379"/>
      <c r="G852" s="197"/>
      <c r="H852" s="198"/>
      <c r="I852" s="379"/>
      <c r="J852" s="197"/>
      <c r="K852" s="198"/>
      <c r="L852" s="379"/>
      <c r="M852" s="197"/>
      <c r="N852" s="198"/>
      <c r="O852" s="379"/>
      <c r="P852" s="197"/>
      <c r="Q852" s="198"/>
      <c r="R852" s="379"/>
      <c r="S852" s="197"/>
      <c r="T852" s="198"/>
      <c r="U852" s="379"/>
      <c r="V852" s="197"/>
      <c r="W852" s="198"/>
      <c r="X852" s="379"/>
      <c r="Y852" s="184"/>
      <c r="Z852" s="184"/>
      <c r="AA852" s="184"/>
      <c r="AB852" s="184"/>
      <c r="AC852" s="8"/>
      <c r="AD852" s="8"/>
      <c r="AE852" s="8"/>
      <c r="AF852" s="8"/>
      <c r="AG852" s="191"/>
      <c r="AH852" s="191"/>
      <c r="AI852" s="191"/>
      <c r="AJ852" s="8"/>
      <c r="AK852" s="8"/>
      <c r="AL852" s="8"/>
      <c r="AM852" s="8"/>
      <c r="AN852" s="8"/>
      <c r="AO852" s="8"/>
      <c r="AP852" s="8"/>
      <c r="AQ852" s="8"/>
      <c r="AR852" s="8"/>
      <c r="AS852" s="8"/>
      <c r="AT852" s="8"/>
    </row>
    <row r="853">
      <c r="A853" s="197"/>
      <c r="B853" s="198"/>
      <c r="C853" s="379"/>
      <c r="D853" s="197"/>
      <c r="E853" s="198"/>
      <c r="F853" s="379"/>
      <c r="G853" s="197"/>
      <c r="H853" s="198"/>
      <c r="I853" s="379"/>
      <c r="J853" s="197"/>
      <c r="K853" s="198"/>
      <c r="L853" s="379"/>
      <c r="M853" s="197"/>
      <c r="N853" s="198"/>
      <c r="O853" s="379"/>
      <c r="P853" s="197"/>
      <c r="Q853" s="198"/>
      <c r="R853" s="379"/>
      <c r="S853" s="197"/>
      <c r="T853" s="198"/>
      <c r="U853" s="379"/>
      <c r="V853" s="197"/>
      <c r="W853" s="198"/>
      <c r="X853" s="379"/>
      <c r="Y853" s="184"/>
      <c r="Z853" s="184"/>
      <c r="AA853" s="184"/>
      <c r="AB853" s="184"/>
      <c r="AC853" s="8"/>
      <c r="AD853" s="8"/>
      <c r="AE853" s="8"/>
      <c r="AF853" s="8"/>
      <c r="AG853" s="191"/>
      <c r="AH853" s="191"/>
      <c r="AI853" s="191"/>
      <c r="AJ853" s="8"/>
      <c r="AK853" s="8"/>
      <c r="AL853" s="8"/>
      <c r="AM853" s="8"/>
      <c r="AN853" s="8"/>
      <c r="AO853" s="8"/>
      <c r="AP853" s="8"/>
      <c r="AQ853" s="8"/>
      <c r="AR853" s="8"/>
      <c r="AS853" s="8"/>
      <c r="AT853" s="8"/>
    </row>
    <row r="854">
      <c r="A854" s="197"/>
      <c r="B854" s="198"/>
      <c r="C854" s="379"/>
      <c r="D854" s="197"/>
      <c r="E854" s="198"/>
      <c r="F854" s="379"/>
      <c r="G854" s="197"/>
      <c r="H854" s="198"/>
      <c r="I854" s="379"/>
      <c r="J854" s="197"/>
      <c r="K854" s="198"/>
      <c r="L854" s="379"/>
      <c r="M854" s="197"/>
      <c r="N854" s="198"/>
      <c r="O854" s="379"/>
      <c r="P854" s="197"/>
      <c r="Q854" s="198"/>
      <c r="R854" s="379"/>
      <c r="S854" s="197"/>
      <c r="T854" s="198"/>
      <c r="U854" s="379"/>
      <c r="V854" s="197"/>
      <c r="W854" s="198"/>
      <c r="X854" s="379"/>
      <c r="Y854" s="184"/>
      <c r="Z854" s="184"/>
      <c r="AA854" s="184"/>
      <c r="AB854" s="184"/>
      <c r="AC854" s="8"/>
      <c r="AD854" s="8"/>
      <c r="AE854" s="8"/>
      <c r="AF854" s="8"/>
      <c r="AG854" s="191"/>
      <c r="AH854" s="191"/>
      <c r="AI854" s="191"/>
      <c r="AJ854" s="8"/>
      <c r="AK854" s="8"/>
      <c r="AL854" s="8"/>
      <c r="AM854" s="8"/>
      <c r="AN854" s="8"/>
      <c r="AO854" s="8"/>
      <c r="AP854" s="8"/>
      <c r="AQ854" s="8"/>
      <c r="AR854" s="8"/>
      <c r="AS854" s="8"/>
      <c r="AT854" s="8"/>
    </row>
    <row r="855">
      <c r="A855" s="197"/>
      <c r="B855" s="198"/>
      <c r="C855" s="379"/>
      <c r="D855" s="197"/>
      <c r="E855" s="198"/>
      <c r="F855" s="379"/>
      <c r="G855" s="197"/>
      <c r="H855" s="198"/>
      <c r="I855" s="379"/>
      <c r="J855" s="197"/>
      <c r="K855" s="198"/>
      <c r="L855" s="379"/>
      <c r="M855" s="197"/>
      <c r="N855" s="198"/>
      <c r="O855" s="379"/>
      <c r="P855" s="197"/>
      <c r="Q855" s="198"/>
      <c r="R855" s="379"/>
      <c r="S855" s="197"/>
      <c r="T855" s="198"/>
      <c r="U855" s="379"/>
      <c r="V855" s="197"/>
      <c r="W855" s="198"/>
      <c r="X855" s="379"/>
      <c r="Y855" s="184"/>
      <c r="Z855" s="184"/>
      <c r="AA855" s="184"/>
      <c r="AB855" s="184"/>
      <c r="AC855" s="8"/>
      <c r="AD855" s="8"/>
      <c r="AE855" s="8"/>
      <c r="AF855" s="8"/>
      <c r="AG855" s="191"/>
      <c r="AH855" s="191"/>
      <c r="AI855" s="191"/>
      <c r="AJ855" s="8"/>
      <c r="AK855" s="8"/>
      <c r="AL855" s="8"/>
      <c r="AM855" s="8"/>
      <c r="AN855" s="8"/>
      <c r="AO855" s="8"/>
      <c r="AP855" s="8"/>
      <c r="AQ855" s="8"/>
      <c r="AR855" s="8"/>
      <c r="AS855" s="8"/>
      <c r="AT855" s="8"/>
    </row>
    <row r="856">
      <c r="A856" s="197"/>
      <c r="B856" s="198"/>
      <c r="C856" s="379"/>
      <c r="D856" s="197"/>
      <c r="E856" s="198"/>
      <c r="F856" s="379"/>
      <c r="G856" s="197"/>
      <c r="H856" s="198"/>
      <c r="I856" s="379"/>
      <c r="J856" s="197"/>
      <c r="K856" s="198"/>
      <c r="L856" s="379"/>
      <c r="M856" s="197"/>
      <c r="N856" s="198"/>
      <c r="O856" s="379"/>
      <c r="P856" s="197"/>
      <c r="Q856" s="198"/>
      <c r="R856" s="379"/>
      <c r="S856" s="197"/>
      <c r="T856" s="198"/>
      <c r="U856" s="379"/>
      <c r="V856" s="197"/>
      <c r="W856" s="198"/>
      <c r="X856" s="379"/>
      <c r="Y856" s="184"/>
      <c r="Z856" s="184"/>
      <c r="AA856" s="184"/>
      <c r="AB856" s="184"/>
      <c r="AC856" s="8"/>
      <c r="AD856" s="8"/>
      <c r="AE856" s="8"/>
      <c r="AF856" s="8"/>
      <c r="AG856" s="191"/>
      <c r="AH856" s="191"/>
      <c r="AI856" s="191"/>
      <c r="AJ856" s="8"/>
      <c r="AK856" s="8"/>
      <c r="AL856" s="8"/>
      <c r="AM856" s="8"/>
      <c r="AN856" s="8"/>
      <c r="AO856" s="8"/>
      <c r="AP856" s="8"/>
      <c r="AQ856" s="8"/>
      <c r="AR856" s="8"/>
      <c r="AS856" s="8"/>
      <c r="AT856" s="8"/>
    </row>
    <row r="857">
      <c r="A857" s="197"/>
      <c r="B857" s="198"/>
      <c r="C857" s="379"/>
      <c r="D857" s="197"/>
      <c r="E857" s="198"/>
      <c r="F857" s="379"/>
      <c r="G857" s="197"/>
      <c r="H857" s="198"/>
      <c r="I857" s="379"/>
      <c r="J857" s="197"/>
      <c r="K857" s="198"/>
      <c r="L857" s="379"/>
      <c r="M857" s="197"/>
      <c r="N857" s="198"/>
      <c r="O857" s="379"/>
      <c r="P857" s="197"/>
      <c r="Q857" s="198"/>
      <c r="R857" s="379"/>
      <c r="S857" s="197"/>
      <c r="T857" s="198"/>
      <c r="U857" s="379"/>
      <c r="V857" s="197"/>
      <c r="W857" s="198"/>
      <c r="X857" s="379"/>
      <c r="Y857" s="184"/>
      <c r="Z857" s="184"/>
      <c r="AA857" s="184"/>
      <c r="AB857" s="184"/>
      <c r="AC857" s="8"/>
      <c r="AD857" s="8"/>
      <c r="AE857" s="8"/>
      <c r="AF857" s="8"/>
      <c r="AG857" s="191"/>
      <c r="AH857" s="191"/>
      <c r="AI857" s="191"/>
      <c r="AJ857" s="8"/>
      <c r="AK857" s="8"/>
      <c r="AL857" s="8"/>
      <c r="AM857" s="8"/>
      <c r="AN857" s="8"/>
      <c r="AO857" s="8"/>
      <c r="AP857" s="8"/>
      <c r="AQ857" s="8"/>
      <c r="AR857" s="8"/>
      <c r="AS857" s="8"/>
      <c r="AT857" s="8"/>
    </row>
    <row r="858">
      <c r="A858" s="197"/>
      <c r="B858" s="198"/>
      <c r="C858" s="379"/>
      <c r="D858" s="197"/>
      <c r="E858" s="198"/>
      <c r="F858" s="379"/>
      <c r="G858" s="197"/>
      <c r="H858" s="198"/>
      <c r="I858" s="379"/>
      <c r="J858" s="197"/>
      <c r="K858" s="198"/>
      <c r="L858" s="379"/>
      <c r="M858" s="197"/>
      <c r="N858" s="198"/>
      <c r="O858" s="379"/>
      <c r="P858" s="197"/>
      <c r="Q858" s="198"/>
      <c r="R858" s="379"/>
      <c r="S858" s="197"/>
      <c r="T858" s="198"/>
      <c r="U858" s="379"/>
      <c r="V858" s="197"/>
      <c r="W858" s="198"/>
      <c r="X858" s="379"/>
      <c r="Y858" s="184"/>
      <c r="Z858" s="184"/>
      <c r="AA858" s="184"/>
      <c r="AB858" s="184"/>
      <c r="AC858" s="8"/>
      <c r="AD858" s="8"/>
      <c r="AE858" s="8"/>
      <c r="AF858" s="8"/>
      <c r="AG858" s="191"/>
      <c r="AH858" s="191"/>
      <c r="AI858" s="191"/>
      <c r="AJ858" s="8"/>
      <c r="AK858" s="8"/>
      <c r="AL858" s="8"/>
      <c r="AM858" s="8"/>
      <c r="AN858" s="8"/>
      <c r="AO858" s="8"/>
      <c r="AP858" s="8"/>
      <c r="AQ858" s="8"/>
      <c r="AR858" s="8"/>
      <c r="AS858" s="8"/>
      <c r="AT858" s="8"/>
    </row>
    <row r="859">
      <c r="A859" s="197"/>
      <c r="B859" s="198"/>
      <c r="C859" s="379"/>
      <c r="D859" s="197"/>
      <c r="E859" s="198"/>
      <c r="F859" s="379"/>
      <c r="G859" s="197"/>
      <c r="H859" s="198"/>
      <c r="I859" s="379"/>
      <c r="J859" s="197"/>
      <c r="K859" s="198"/>
      <c r="L859" s="379"/>
      <c r="M859" s="197"/>
      <c r="N859" s="198"/>
      <c r="O859" s="379"/>
      <c r="P859" s="197"/>
      <c r="Q859" s="198"/>
      <c r="R859" s="379"/>
      <c r="S859" s="197"/>
      <c r="T859" s="198"/>
      <c r="U859" s="379"/>
      <c r="V859" s="197"/>
      <c r="W859" s="198"/>
      <c r="X859" s="379"/>
      <c r="Y859" s="184"/>
      <c r="Z859" s="184"/>
      <c r="AA859" s="184"/>
      <c r="AB859" s="184"/>
      <c r="AC859" s="8"/>
      <c r="AD859" s="8"/>
      <c r="AE859" s="8"/>
      <c r="AF859" s="8"/>
      <c r="AG859" s="191"/>
      <c r="AH859" s="191"/>
      <c r="AI859" s="191"/>
      <c r="AJ859" s="8"/>
      <c r="AK859" s="8"/>
      <c r="AL859" s="8"/>
      <c r="AM859" s="8"/>
      <c r="AN859" s="8"/>
      <c r="AO859" s="8"/>
      <c r="AP859" s="8"/>
      <c r="AQ859" s="8"/>
      <c r="AR859" s="8"/>
      <c r="AS859" s="8"/>
      <c r="AT859" s="8"/>
    </row>
    <row r="860">
      <c r="A860" s="197"/>
      <c r="B860" s="198"/>
      <c r="C860" s="379"/>
      <c r="D860" s="197"/>
      <c r="E860" s="198"/>
      <c r="F860" s="379"/>
      <c r="G860" s="197"/>
      <c r="H860" s="198"/>
      <c r="I860" s="379"/>
      <c r="J860" s="197"/>
      <c r="K860" s="198"/>
      <c r="L860" s="379"/>
      <c r="M860" s="197"/>
      <c r="N860" s="198"/>
      <c r="O860" s="379"/>
      <c r="P860" s="197"/>
      <c r="Q860" s="198"/>
      <c r="R860" s="379"/>
      <c r="S860" s="197"/>
      <c r="T860" s="198"/>
      <c r="U860" s="379"/>
      <c r="V860" s="197"/>
      <c r="W860" s="198"/>
      <c r="X860" s="379"/>
      <c r="Y860" s="184"/>
      <c r="Z860" s="184"/>
      <c r="AA860" s="184"/>
      <c r="AB860" s="184"/>
      <c r="AC860" s="8"/>
      <c r="AD860" s="8"/>
      <c r="AE860" s="8"/>
      <c r="AF860" s="8"/>
      <c r="AG860" s="191"/>
      <c r="AH860" s="191"/>
      <c r="AI860" s="191"/>
      <c r="AJ860" s="8"/>
      <c r="AK860" s="8"/>
      <c r="AL860" s="8"/>
      <c r="AM860" s="8"/>
      <c r="AN860" s="8"/>
      <c r="AO860" s="8"/>
      <c r="AP860" s="8"/>
      <c r="AQ860" s="8"/>
      <c r="AR860" s="8"/>
      <c r="AS860" s="8"/>
      <c r="AT860" s="8"/>
    </row>
    <row r="861">
      <c r="A861" s="197"/>
      <c r="B861" s="198"/>
      <c r="C861" s="379"/>
      <c r="D861" s="197"/>
      <c r="E861" s="198"/>
      <c r="F861" s="379"/>
      <c r="G861" s="197"/>
      <c r="H861" s="198"/>
      <c r="I861" s="379"/>
      <c r="J861" s="197"/>
      <c r="K861" s="198"/>
      <c r="L861" s="379"/>
      <c r="M861" s="197"/>
      <c r="N861" s="198"/>
      <c r="O861" s="379"/>
      <c r="P861" s="197"/>
      <c r="Q861" s="198"/>
      <c r="R861" s="379"/>
      <c r="S861" s="197"/>
      <c r="T861" s="198"/>
      <c r="U861" s="379"/>
      <c r="V861" s="197"/>
      <c r="W861" s="198"/>
      <c r="X861" s="379"/>
      <c r="Y861" s="184"/>
      <c r="Z861" s="184"/>
      <c r="AA861" s="184"/>
      <c r="AB861" s="184"/>
      <c r="AC861" s="8"/>
      <c r="AD861" s="8"/>
      <c r="AE861" s="8"/>
      <c r="AF861" s="8"/>
      <c r="AG861" s="191"/>
      <c r="AH861" s="191"/>
      <c r="AI861" s="191"/>
      <c r="AJ861" s="8"/>
      <c r="AK861" s="8"/>
      <c r="AL861" s="8"/>
      <c r="AM861" s="8"/>
      <c r="AN861" s="8"/>
      <c r="AO861" s="8"/>
      <c r="AP861" s="8"/>
      <c r="AQ861" s="8"/>
      <c r="AR861" s="8"/>
      <c r="AS861" s="8"/>
      <c r="AT861" s="8"/>
    </row>
    <row r="862">
      <c r="A862" s="197"/>
      <c r="B862" s="198"/>
      <c r="C862" s="379"/>
      <c r="D862" s="197"/>
      <c r="E862" s="198"/>
      <c r="F862" s="379"/>
      <c r="G862" s="197"/>
      <c r="H862" s="198"/>
      <c r="I862" s="379"/>
      <c r="J862" s="197"/>
      <c r="K862" s="198"/>
      <c r="L862" s="379"/>
      <c r="M862" s="197"/>
      <c r="N862" s="198"/>
      <c r="O862" s="379"/>
      <c r="P862" s="197"/>
      <c r="Q862" s="198"/>
      <c r="R862" s="379"/>
      <c r="S862" s="197"/>
      <c r="T862" s="198"/>
      <c r="U862" s="379"/>
      <c r="V862" s="197"/>
      <c r="W862" s="198"/>
      <c r="X862" s="379"/>
      <c r="Y862" s="184"/>
      <c r="Z862" s="184"/>
      <c r="AA862" s="184"/>
      <c r="AB862" s="184"/>
      <c r="AC862" s="8"/>
      <c r="AD862" s="8"/>
      <c r="AE862" s="8"/>
      <c r="AF862" s="8"/>
      <c r="AG862" s="191"/>
      <c r="AH862" s="191"/>
      <c r="AI862" s="191"/>
      <c r="AJ862" s="8"/>
      <c r="AK862" s="8"/>
      <c r="AL862" s="8"/>
      <c r="AM862" s="8"/>
      <c r="AN862" s="8"/>
      <c r="AO862" s="8"/>
      <c r="AP862" s="8"/>
      <c r="AQ862" s="8"/>
      <c r="AR862" s="8"/>
      <c r="AS862" s="8"/>
      <c r="AT862" s="8"/>
    </row>
    <row r="863">
      <c r="A863" s="197"/>
      <c r="B863" s="198"/>
      <c r="C863" s="379"/>
      <c r="D863" s="197"/>
      <c r="E863" s="198"/>
      <c r="F863" s="379"/>
      <c r="G863" s="197"/>
      <c r="H863" s="198"/>
      <c r="I863" s="379"/>
      <c r="J863" s="197"/>
      <c r="K863" s="198"/>
      <c r="L863" s="379"/>
      <c r="M863" s="197"/>
      <c r="N863" s="198"/>
      <c r="O863" s="379"/>
      <c r="P863" s="197"/>
      <c r="Q863" s="198"/>
      <c r="R863" s="379"/>
      <c r="S863" s="197"/>
      <c r="T863" s="198"/>
      <c r="U863" s="379"/>
      <c r="V863" s="197"/>
      <c r="W863" s="198"/>
      <c r="X863" s="379"/>
      <c r="Y863" s="184"/>
      <c r="Z863" s="184"/>
      <c r="AA863" s="184"/>
      <c r="AB863" s="184"/>
      <c r="AC863" s="8"/>
      <c r="AD863" s="8"/>
      <c r="AE863" s="8"/>
      <c r="AF863" s="8"/>
      <c r="AG863" s="191"/>
      <c r="AH863" s="191"/>
      <c r="AI863" s="191"/>
      <c r="AJ863" s="8"/>
      <c r="AK863" s="8"/>
      <c r="AL863" s="8"/>
      <c r="AM863" s="8"/>
      <c r="AN863" s="8"/>
      <c r="AO863" s="8"/>
      <c r="AP863" s="8"/>
      <c r="AQ863" s="8"/>
      <c r="AR863" s="8"/>
      <c r="AS863" s="8"/>
      <c r="AT863" s="8"/>
    </row>
    <row r="864">
      <c r="A864" s="197"/>
      <c r="B864" s="198"/>
      <c r="C864" s="379"/>
      <c r="D864" s="197"/>
      <c r="E864" s="198"/>
      <c r="F864" s="379"/>
      <c r="G864" s="197"/>
      <c r="H864" s="198"/>
      <c r="I864" s="379"/>
      <c r="J864" s="197"/>
      <c r="K864" s="198"/>
      <c r="L864" s="379"/>
      <c r="M864" s="197"/>
      <c r="N864" s="198"/>
      <c r="O864" s="379"/>
      <c r="P864" s="197"/>
      <c r="Q864" s="198"/>
      <c r="R864" s="379"/>
      <c r="S864" s="197"/>
      <c r="T864" s="198"/>
      <c r="U864" s="379"/>
      <c r="V864" s="197"/>
      <c r="W864" s="198"/>
      <c r="X864" s="379"/>
      <c r="Y864" s="184"/>
      <c r="Z864" s="184"/>
      <c r="AA864" s="184"/>
      <c r="AB864" s="184"/>
      <c r="AC864" s="8"/>
      <c r="AD864" s="8"/>
      <c r="AE864" s="8"/>
      <c r="AF864" s="8"/>
      <c r="AG864" s="191"/>
      <c r="AH864" s="191"/>
      <c r="AI864" s="191"/>
      <c r="AJ864" s="8"/>
      <c r="AK864" s="8"/>
      <c r="AL864" s="8"/>
      <c r="AM864" s="8"/>
      <c r="AN864" s="8"/>
      <c r="AO864" s="8"/>
      <c r="AP864" s="8"/>
      <c r="AQ864" s="8"/>
      <c r="AR864" s="8"/>
      <c r="AS864" s="8"/>
      <c r="AT864" s="8"/>
    </row>
    <row r="865">
      <c r="A865" s="197"/>
      <c r="B865" s="198"/>
      <c r="C865" s="379"/>
      <c r="D865" s="197"/>
      <c r="E865" s="198"/>
      <c r="F865" s="379"/>
      <c r="G865" s="197"/>
      <c r="H865" s="198"/>
      <c r="I865" s="379"/>
      <c r="J865" s="197"/>
      <c r="K865" s="198"/>
      <c r="L865" s="379"/>
      <c r="M865" s="197"/>
      <c r="N865" s="198"/>
      <c r="O865" s="379"/>
      <c r="P865" s="197"/>
      <c r="Q865" s="198"/>
      <c r="R865" s="379"/>
      <c r="S865" s="197"/>
      <c r="T865" s="198"/>
      <c r="U865" s="379"/>
      <c r="V865" s="197"/>
      <c r="W865" s="198"/>
      <c r="X865" s="379"/>
      <c r="Y865" s="184"/>
      <c r="Z865" s="184"/>
      <c r="AA865" s="184"/>
      <c r="AB865" s="184"/>
      <c r="AC865" s="8"/>
      <c r="AD865" s="8"/>
      <c r="AE865" s="8"/>
      <c r="AF865" s="8"/>
      <c r="AG865" s="191"/>
      <c r="AH865" s="191"/>
      <c r="AI865" s="191"/>
      <c r="AJ865" s="8"/>
      <c r="AK865" s="8"/>
      <c r="AL865" s="8"/>
      <c r="AM865" s="8"/>
      <c r="AN865" s="8"/>
      <c r="AO865" s="8"/>
      <c r="AP865" s="8"/>
      <c r="AQ865" s="8"/>
      <c r="AR865" s="8"/>
      <c r="AS865" s="8"/>
      <c r="AT865" s="8"/>
    </row>
    <row r="866">
      <c r="A866" s="197"/>
      <c r="B866" s="198"/>
      <c r="C866" s="379"/>
      <c r="D866" s="197"/>
      <c r="E866" s="198"/>
      <c r="F866" s="379"/>
      <c r="G866" s="197"/>
      <c r="H866" s="198"/>
      <c r="I866" s="379"/>
      <c r="J866" s="197"/>
      <c r="K866" s="198"/>
      <c r="L866" s="379"/>
      <c r="M866" s="197"/>
      <c r="N866" s="198"/>
      <c r="O866" s="379"/>
      <c r="P866" s="197"/>
      <c r="Q866" s="198"/>
      <c r="R866" s="379"/>
      <c r="S866" s="197"/>
      <c r="T866" s="198"/>
      <c r="U866" s="379"/>
      <c r="V866" s="197"/>
      <c r="W866" s="198"/>
      <c r="X866" s="379"/>
      <c r="Y866" s="184"/>
      <c r="Z866" s="184"/>
      <c r="AA866" s="184"/>
      <c r="AB866" s="184"/>
      <c r="AC866" s="8"/>
      <c r="AD866" s="8"/>
      <c r="AE866" s="8"/>
      <c r="AF866" s="8"/>
      <c r="AG866" s="191"/>
      <c r="AH866" s="191"/>
      <c r="AI866" s="191"/>
      <c r="AJ866" s="8"/>
      <c r="AK866" s="8"/>
      <c r="AL866" s="8"/>
      <c r="AM866" s="8"/>
      <c r="AN866" s="8"/>
      <c r="AO866" s="8"/>
      <c r="AP866" s="8"/>
      <c r="AQ866" s="8"/>
      <c r="AR866" s="8"/>
      <c r="AS866" s="8"/>
      <c r="AT866" s="8"/>
    </row>
    <row r="867">
      <c r="A867" s="197"/>
      <c r="B867" s="198"/>
      <c r="C867" s="379"/>
      <c r="D867" s="197"/>
      <c r="E867" s="198"/>
      <c r="F867" s="379"/>
      <c r="G867" s="197"/>
      <c r="H867" s="198"/>
      <c r="I867" s="379"/>
      <c r="J867" s="197"/>
      <c r="K867" s="198"/>
      <c r="L867" s="379"/>
      <c r="M867" s="197"/>
      <c r="N867" s="198"/>
      <c r="O867" s="379"/>
      <c r="P867" s="197"/>
      <c r="Q867" s="198"/>
      <c r="R867" s="379"/>
      <c r="S867" s="197"/>
      <c r="T867" s="198"/>
      <c r="U867" s="379"/>
      <c r="V867" s="197"/>
      <c r="W867" s="198"/>
      <c r="X867" s="379"/>
      <c r="Y867" s="184"/>
      <c r="Z867" s="184"/>
      <c r="AA867" s="184"/>
      <c r="AB867" s="184"/>
      <c r="AC867" s="8"/>
      <c r="AD867" s="8"/>
      <c r="AE867" s="8"/>
      <c r="AF867" s="8"/>
      <c r="AG867" s="191"/>
      <c r="AH867" s="191"/>
      <c r="AI867" s="191"/>
      <c r="AJ867" s="8"/>
      <c r="AK867" s="8"/>
      <c r="AL867" s="8"/>
      <c r="AM867" s="8"/>
      <c r="AN867" s="8"/>
      <c r="AO867" s="8"/>
      <c r="AP867" s="8"/>
      <c r="AQ867" s="8"/>
      <c r="AR867" s="8"/>
      <c r="AS867" s="8"/>
      <c r="AT867" s="8"/>
    </row>
    <row r="868">
      <c r="A868" s="197"/>
      <c r="B868" s="198"/>
      <c r="C868" s="379"/>
      <c r="D868" s="197"/>
      <c r="E868" s="198"/>
      <c r="F868" s="379"/>
      <c r="G868" s="197"/>
      <c r="H868" s="198"/>
      <c r="I868" s="379"/>
      <c r="J868" s="197"/>
      <c r="K868" s="198"/>
      <c r="L868" s="379"/>
      <c r="M868" s="197"/>
      <c r="N868" s="198"/>
      <c r="O868" s="379"/>
      <c r="P868" s="197"/>
      <c r="Q868" s="198"/>
      <c r="R868" s="379"/>
      <c r="S868" s="197"/>
      <c r="T868" s="198"/>
      <c r="U868" s="379"/>
      <c r="V868" s="197"/>
      <c r="W868" s="198"/>
      <c r="X868" s="379"/>
      <c r="Y868" s="184"/>
      <c r="Z868" s="184"/>
      <c r="AA868" s="184"/>
      <c r="AB868" s="184"/>
      <c r="AC868" s="8"/>
      <c r="AD868" s="8"/>
      <c r="AE868" s="8"/>
      <c r="AF868" s="8"/>
      <c r="AG868" s="191"/>
      <c r="AH868" s="191"/>
      <c r="AI868" s="191"/>
      <c r="AJ868" s="8"/>
      <c r="AK868" s="8"/>
      <c r="AL868" s="8"/>
      <c r="AM868" s="8"/>
      <c r="AN868" s="8"/>
      <c r="AO868" s="8"/>
      <c r="AP868" s="8"/>
      <c r="AQ868" s="8"/>
      <c r="AR868" s="8"/>
      <c r="AS868" s="8"/>
      <c r="AT868" s="8"/>
    </row>
    <row r="869">
      <c r="A869" s="197"/>
      <c r="B869" s="198"/>
      <c r="C869" s="379"/>
      <c r="D869" s="197"/>
      <c r="E869" s="198"/>
      <c r="F869" s="379"/>
      <c r="G869" s="197"/>
      <c r="H869" s="198"/>
      <c r="I869" s="379"/>
      <c r="J869" s="197"/>
      <c r="K869" s="198"/>
      <c r="L869" s="379"/>
      <c r="M869" s="197"/>
      <c r="N869" s="198"/>
      <c r="O869" s="379"/>
      <c r="P869" s="197"/>
      <c r="Q869" s="198"/>
      <c r="R869" s="379"/>
      <c r="S869" s="197"/>
      <c r="T869" s="198"/>
      <c r="U869" s="379"/>
      <c r="V869" s="197"/>
      <c r="W869" s="198"/>
      <c r="X869" s="379"/>
      <c r="Y869" s="184"/>
      <c r="Z869" s="184"/>
      <c r="AA869" s="184"/>
      <c r="AB869" s="184"/>
      <c r="AC869" s="8"/>
      <c r="AD869" s="8"/>
      <c r="AE869" s="8"/>
      <c r="AF869" s="8"/>
      <c r="AG869" s="191"/>
      <c r="AH869" s="191"/>
      <c r="AI869" s="191"/>
      <c r="AJ869" s="8"/>
      <c r="AK869" s="8"/>
      <c r="AL869" s="8"/>
      <c r="AM869" s="8"/>
      <c r="AN869" s="8"/>
      <c r="AO869" s="8"/>
      <c r="AP869" s="8"/>
      <c r="AQ869" s="8"/>
      <c r="AR869" s="8"/>
      <c r="AS869" s="8"/>
      <c r="AT869" s="8"/>
    </row>
    <row r="870">
      <c r="A870" s="197"/>
      <c r="B870" s="198"/>
      <c r="C870" s="379"/>
      <c r="D870" s="197"/>
      <c r="E870" s="198"/>
      <c r="F870" s="379"/>
      <c r="G870" s="197"/>
      <c r="H870" s="198"/>
      <c r="I870" s="379"/>
      <c r="J870" s="197"/>
      <c r="K870" s="198"/>
      <c r="L870" s="379"/>
      <c r="M870" s="197"/>
      <c r="N870" s="198"/>
      <c r="O870" s="379"/>
      <c r="P870" s="197"/>
      <c r="Q870" s="198"/>
      <c r="R870" s="379"/>
      <c r="S870" s="197"/>
      <c r="T870" s="198"/>
      <c r="U870" s="379"/>
      <c r="V870" s="197"/>
      <c r="W870" s="198"/>
      <c r="X870" s="379"/>
      <c r="Y870" s="184"/>
      <c r="Z870" s="184"/>
      <c r="AA870" s="184"/>
      <c r="AB870" s="184"/>
      <c r="AC870" s="8"/>
      <c r="AD870" s="8"/>
      <c r="AE870" s="8"/>
      <c r="AF870" s="8"/>
      <c r="AG870" s="191"/>
      <c r="AH870" s="191"/>
      <c r="AI870" s="191"/>
      <c r="AJ870" s="8"/>
      <c r="AK870" s="8"/>
      <c r="AL870" s="8"/>
      <c r="AM870" s="8"/>
      <c r="AN870" s="8"/>
      <c r="AO870" s="8"/>
      <c r="AP870" s="8"/>
      <c r="AQ870" s="8"/>
      <c r="AR870" s="8"/>
      <c r="AS870" s="8"/>
      <c r="AT870" s="8"/>
    </row>
    <row r="871">
      <c r="A871" s="197"/>
      <c r="B871" s="198"/>
      <c r="C871" s="379"/>
      <c r="D871" s="197"/>
      <c r="E871" s="198"/>
      <c r="F871" s="379"/>
      <c r="G871" s="197"/>
      <c r="H871" s="198"/>
      <c r="I871" s="379"/>
      <c r="J871" s="197"/>
      <c r="K871" s="198"/>
      <c r="L871" s="379"/>
      <c r="M871" s="197"/>
      <c r="N871" s="198"/>
      <c r="O871" s="379"/>
      <c r="P871" s="197"/>
      <c r="Q871" s="198"/>
      <c r="R871" s="379"/>
      <c r="S871" s="197"/>
      <c r="T871" s="198"/>
      <c r="U871" s="379"/>
      <c r="V871" s="197"/>
      <c r="W871" s="198"/>
      <c r="X871" s="379"/>
      <c r="Y871" s="184"/>
      <c r="Z871" s="184"/>
      <c r="AA871" s="184"/>
      <c r="AB871" s="184"/>
      <c r="AC871" s="8"/>
      <c r="AD871" s="8"/>
      <c r="AE871" s="8"/>
      <c r="AF871" s="8"/>
      <c r="AG871" s="191"/>
      <c r="AH871" s="191"/>
      <c r="AI871" s="191"/>
      <c r="AJ871" s="8"/>
      <c r="AK871" s="8"/>
      <c r="AL871" s="8"/>
      <c r="AM871" s="8"/>
      <c r="AN871" s="8"/>
      <c r="AO871" s="8"/>
      <c r="AP871" s="8"/>
      <c r="AQ871" s="8"/>
      <c r="AR871" s="8"/>
      <c r="AS871" s="8"/>
      <c r="AT871" s="8"/>
    </row>
    <row r="872">
      <c r="A872" s="197"/>
      <c r="B872" s="198"/>
      <c r="C872" s="379"/>
      <c r="D872" s="197"/>
      <c r="E872" s="198"/>
      <c r="F872" s="379"/>
      <c r="G872" s="197"/>
      <c r="H872" s="198"/>
      <c r="I872" s="379"/>
      <c r="J872" s="197"/>
      <c r="K872" s="198"/>
      <c r="L872" s="379"/>
      <c r="M872" s="197"/>
      <c r="N872" s="198"/>
      <c r="O872" s="379"/>
      <c r="P872" s="197"/>
      <c r="Q872" s="198"/>
      <c r="R872" s="379"/>
      <c r="S872" s="197"/>
      <c r="T872" s="198"/>
      <c r="U872" s="379"/>
      <c r="V872" s="197"/>
      <c r="W872" s="198"/>
      <c r="X872" s="379"/>
      <c r="Y872" s="184"/>
      <c r="Z872" s="184"/>
      <c r="AA872" s="184"/>
      <c r="AB872" s="184"/>
      <c r="AC872" s="8"/>
      <c r="AD872" s="8"/>
      <c r="AE872" s="8"/>
      <c r="AF872" s="8"/>
      <c r="AG872" s="191"/>
      <c r="AH872" s="191"/>
      <c r="AI872" s="191"/>
      <c r="AJ872" s="8"/>
      <c r="AK872" s="8"/>
      <c r="AL872" s="8"/>
      <c r="AM872" s="8"/>
      <c r="AN872" s="8"/>
      <c r="AO872" s="8"/>
      <c r="AP872" s="8"/>
      <c r="AQ872" s="8"/>
      <c r="AR872" s="8"/>
      <c r="AS872" s="8"/>
      <c r="AT872" s="8"/>
    </row>
    <row r="873">
      <c r="A873" s="197"/>
      <c r="B873" s="198"/>
      <c r="C873" s="379"/>
      <c r="D873" s="197"/>
      <c r="E873" s="198"/>
      <c r="F873" s="379"/>
      <c r="G873" s="197"/>
      <c r="H873" s="198"/>
      <c r="I873" s="379"/>
      <c r="J873" s="197"/>
      <c r="K873" s="198"/>
      <c r="L873" s="379"/>
      <c r="M873" s="197"/>
      <c r="N873" s="198"/>
      <c r="O873" s="379"/>
      <c r="P873" s="197"/>
      <c r="Q873" s="198"/>
      <c r="R873" s="379"/>
      <c r="S873" s="197"/>
      <c r="T873" s="198"/>
      <c r="U873" s="379"/>
      <c r="V873" s="197"/>
      <c r="W873" s="198"/>
      <c r="X873" s="379"/>
      <c r="Y873" s="184"/>
      <c r="Z873" s="184"/>
      <c r="AA873" s="184"/>
      <c r="AB873" s="184"/>
      <c r="AC873" s="8"/>
      <c r="AD873" s="8"/>
      <c r="AE873" s="8"/>
      <c r="AF873" s="8"/>
      <c r="AG873" s="191"/>
      <c r="AH873" s="191"/>
      <c r="AI873" s="191"/>
      <c r="AJ873" s="8"/>
      <c r="AK873" s="8"/>
      <c r="AL873" s="8"/>
      <c r="AM873" s="8"/>
      <c r="AN873" s="8"/>
      <c r="AO873" s="8"/>
      <c r="AP873" s="8"/>
      <c r="AQ873" s="8"/>
      <c r="AR873" s="8"/>
      <c r="AS873" s="8"/>
      <c r="AT873" s="8"/>
    </row>
    <row r="874">
      <c r="A874" s="197"/>
      <c r="B874" s="198"/>
      <c r="C874" s="379"/>
      <c r="D874" s="197"/>
      <c r="E874" s="198"/>
      <c r="F874" s="379"/>
      <c r="G874" s="197"/>
      <c r="H874" s="198"/>
      <c r="I874" s="379"/>
      <c r="J874" s="197"/>
      <c r="K874" s="198"/>
      <c r="L874" s="379"/>
      <c r="M874" s="197"/>
      <c r="N874" s="198"/>
      <c r="O874" s="379"/>
      <c r="P874" s="197"/>
      <c r="Q874" s="198"/>
      <c r="R874" s="379"/>
      <c r="S874" s="197"/>
      <c r="T874" s="198"/>
      <c r="U874" s="379"/>
      <c r="V874" s="197"/>
      <c r="W874" s="198"/>
      <c r="X874" s="379"/>
      <c r="Y874" s="184"/>
      <c r="Z874" s="184"/>
      <c r="AA874" s="184"/>
      <c r="AB874" s="184"/>
      <c r="AC874" s="8"/>
      <c r="AD874" s="8"/>
      <c r="AE874" s="8"/>
      <c r="AF874" s="8"/>
      <c r="AG874" s="191"/>
      <c r="AH874" s="191"/>
      <c r="AI874" s="191"/>
      <c r="AJ874" s="8"/>
      <c r="AK874" s="8"/>
      <c r="AL874" s="8"/>
      <c r="AM874" s="8"/>
      <c r="AN874" s="8"/>
      <c r="AO874" s="8"/>
      <c r="AP874" s="8"/>
      <c r="AQ874" s="8"/>
      <c r="AR874" s="8"/>
      <c r="AS874" s="8"/>
      <c r="AT874" s="8"/>
    </row>
    <row r="875">
      <c r="A875" s="197"/>
      <c r="B875" s="198"/>
      <c r="C875" s="379"/>
      <c r="D875" s="197"/>
      <c r="E875" s="198"/>
      <c r="F875" s="379"/>
      <c r="G875" s="197"/>
      <c r="H875" s="198"/>
      <c r="I875" s="379"/>
      <c r="J875" s="197"/>
      <c r="K875" s="198"/>
      <c r="L875" s="379"/>
      <c r="M875" s="197"/>
      <c r="N875" s="198"/>
      <c r="O875" s="379"/>
      <c r="P875" s="197"/>
      <c r="Q875" s="198"/>
      <c r="R875" s="379"/>
      <c r="S875" s="197"/>
      <c r="T875" s="198"/>
      <c r="U875" s="379"/>
      <c r="V875" s="197"/>
      <c r="W875" s="198"/>
      <c r="X875" s="379"/>
      <c r="Y875" s="184"/>
      <c r="Z875" s="184"/>
      <c r="AA875" s="184"/>
      <c r="AB875" s="184"/>
      <c r="AC875" s="8"/>
      <c r="AD875" s="8"/>
      <c r="AE875" s="8"/>
      <c r="AF875" s="8"/>
      <c r="AG875" s="191"/>
      <c r="AH875" s="191"/>
      <c r="AI875" s="191"/>
      <c r="AJ875" s="8"/>
      <c r="AK875" s="8"/>
      <c r="AL875" s="8"/>
      <c r="AM875" s="8"/>
      <c r="AN875" s="8"/>
      <c r="AO875" s="8"/>
      <c r="AP875" s="8"/>
      <c r="AQ875" s="8"/>
      <c r="AR875" s="8"/>
      <c r="AS875" s="8"/>
      <c r="AT875" s="8"/>
    </row>
    <row r="876">
      <c r="A876" s="197"/>
      <c r="B876" s="198"/>
      <c r="C876" s="379"/>
      <c r="D876" s="197"/>
      <c r="E876" s="198"/>
      <c r="F876" s="379"/>
      <c r="G876" s="197"/>
      <c r="H876" s="198"/>
      <c r="I876" s="379"/>
      <c r="J876" s="197"/>
      <c r="K876" s="198"/>
      <c r="L876" s="379"/>
      <c r="M876" s="197"/>
      <c r="N876" s="198"/>
      <c r="O876" s="379"/>
      <c r="P876" s="197"/>
      <c r="Q876" s="198"/>
      <c r="R876" s="379"/>
      <c r="S876" s="197"/>
      <c r="T876" s="198"/>
      <c r="U876" s="379"/>
      <c r="V876" s="197"/>
      <c r="W876" s="198"/>
      <c r="X876" s="379"/>
      <c r="Y876" s="184"/>
      <c r="Z876" s="184"/>
      <c r="AA876" s="184"/>
      <c r="AB876" s="184"/>
      <c r="AC876" s="8"/>
      <c r="AD876" s="8"/>
      <c r="AE876" s="8"/>
      <c r="AF876" s="8"/>
      <c r="AG876" s="191"/>
      <c r="AH876" s="191"/>
      <c r="AI876" s="191"/>
      <c r="AJ876" s="8"/>
      <c r="AK876" s="8"/>
      <c r="AL876" s="8"/>
      <c r="AM876" s="8"/>
      <c r="AN876" s="8"/>
      <c r="AO876" s="8"/>
      <c r="AP876" s="8"/>
      <c r="AQ876" s="8"/>
      <c r="AR876" s="8"/>
      <c r="AS876" s="8"/>
      <c r="AT876" s="8"/>
    </row>
    <row r="877">
      <c r="A877" s="197"/>
      <c r="B877" s="198"/>
      <c r="C877" s="379"/>
      <c r="D877" s="197"/>
      <c r="E877" s="198"/>
      <c r="F877" s="379"/>
      <c r="G877" s="197"/>
      <c r="H877" s="198"/>
      <c r="I877" s="379"/>
      <c r="J877" s="197"/>
      <c r="K877" s="198"/>
      <c r="L877" s="379"/>
      <c r="M877" s="197"/>
      <c r="N877" s="198"/>
      <c r="O877" s="379"/>
      <c r="P877" s="197"/>
      <c r="Q877" s="198"/>
      <c r="R877" s="379"/>
      <c r="S877" s="197"/>
      <c r="T877" s="198"/>
      <c r="U877" s="379"/>
      <c r="V877" s="197"/>
      <c r="W877" s="198"/>
      <c r="X877" s="379"/>
      <c r="Y877" s="184"/>
      <c r="Z877" s="184"/>
      <c r="AA877" s="184"/>
      <c r="AB877" s="184"/>
      <c r="AC877" s="8"/>
      <c r="AD877" s="8"/>
      <c r="AE877" s="8"/>
      <c r="AF877" s="8"/>
      <c r="AG877" s="191"/>
      <c r="AH877" s="191"/>
      <c r="AI877" s="191"/>
      <c r="AJ877" s="8"/>
      <c r="AK877" s="8"/>
      <c r="AL877" s="8"/>
      <c r="AM877" s="8"/>
      <c r="AN877" s="8"/>
      <c r="AO877" s="8"/>
      <c r="AP877" s="8"/>
      <c r="AQ877" s="8"/>
      <c r="AR877" s="8"/>
      <c r="AS877" s="8"/>
      <c r="AT877" s="8"/>
    </row>
    <row r="878">
      <c r="A878" s="197"/>
      <c r="B878" s="198"/>
      <c r="C878" s="379"/>
      <c r="D878" s="197"/>
      <c r="E878" s="198"/>
      <c r="F878" s="379"/>
      <c r="G878" s="197"/>
      <c r="H878" s="198"/>
      <c r="I878" s="379"/>
      <c r="J878" s="197"/>
      <c r="K878" s="198"/>
      <c r="L878" s="379"/>
      <c r="M878" s="197"/>
      <c r="N878" s="198"/>
      <c r="O878" s="379"/>
      <c r="P878" s="197"/>
      <c r="Q878" s="198"/>
      <c r="R878" s="379"/>
      <c r="S878" s="197"/>
      <c r="T878" s="198"/>
      <c r="U878" s="379"/>
      <c r="V878" s="197"/>
      <c r="W878" s="198"/>
      <c r="X878" s="379"/>
      <c r="Y878" s="184"/>
      <c r="Z878" s="184"/>
      <c r="AA878" s="184"/>
      <c r="AB878" s="184"/>
      <c r="AC878" s="8"/>
      <c r="AD878" s="8"/>
      <c r="AE878" s="8"/>
      <c r="AF878" s="8"/>
      <c r="AG878" s="191"/>
      <c r="AH878" s="191"/>
      <c r="AI878" s="191"/>
      <c r="AJ878" s="8"/>
      <c r="AK878" s="8"/>
      <c r="AL878" s="8"/>
      <c r="AM878" s="8"/>
      <c r="AN878" s="8"/>
      <c r="AO878" s="8"/>
      <c r="AP878" s="8"/>
      <c r="AQ878" s="8"/>
      <c r="AR878" s="8"/>
      <c r="AS878" s="8"/>
      <c r="AT878" s="8"/>
    </row>
    <row r="879">
      <c r="A879" s="197"/>
      <c r="B879" s="198"/>
      <c r="C879" s="379"/>
      <c r="D879" s="197"/>
      <c r="E879" s="198"/>
      <c r="F879" s="379"/>
      <c r="G879" s="197"/>
      <c r="H879" s="198"/>
      <c r="I879" s="379"/>
      <c r="J879" s="197"/>
      <c r="K879" s="198"/>
      <c r="L879" s="379"/>
      <c r="M879" s="197"/>
      <c r="N879" s="198"/>
      <c r="O879" s="379"/>
      <c r="P879" s="197"/>
      <c r="Q879" s="198"/>
      <c r="R879" s="379"/>
      <c r="S879" s="197"/>
      <c r="T879" s="198"/>
      <c r="U879" s="379"/>
      <c r="V879" s="197"/>
      <c r="W879" s="198"/>
      <c r="X879" s="379"/>
      <c r="Y879" s="184"/>
      <c r="Z879" s="184"/>
      <c r="AA879" s="184"/>
      <c r="AB879" s="184"/>
      <c r="AC879" s="8"/>
      <c r="AD879" s="8"/>
      <c r="AE879" s="8"/>
      <c r="AF879" s="8"/>
      <c r="AG879" s="191"/>
      <c r="AH879" s="191"/>
      <c r="AI879" s="191"/>
      <c r="AJ879" s="8"/>
      <c r="AK879" s="8"/>
      <c r="AL879" s="8"/>
      <c r="AM879" s="8"/>
      <c r="AN879" s="8"/>
      <c r="AO879" s="8"/>
      <c r="AP879" s="8"/>
      <c r="AQ879" s="8"/>
      <c r="AR879" s="8"/>
      <c r="AS879" s="8"/>
      <c r="AT879" s="8"/>
    </row>
    <row r="880">
      <c r="A880" s="197"/>
      <c r="B880" s="198"/>
      <c r="C880" s="379"/>
      <c r="D880" s="197"/>
      <c r="E880" s="198"/>
      <c r="F880" s="379"/>
      <c r="G880" s="197"/>
      <c r="H880" s="198"/>
      <c r="I880" s="379"/>
      <c r="J880" s="197"/>
      <c r="K880" s="198"/>
      <c r="L880" s="379"/>
      <c r="M880" s="197"/>
      <c r="N880" s="198"/>
      <c r="O880" s="379"/>
      <c r="P880" s="197"/>
      <c r="Q880" s="198"/>
      <c r="R880" s="379"/>
      <c r="S880" s="197"/>
      <c r="T880" s="198"/>
      <c r="U880" s="379"/>
      <c r="V880" s="197"/>
      <c r="W880" s="198"/>
      <c r="X880" s="379"/>
      <c r="Y880" s="184"/>
      <c r="Z880" s="184"/>
      <c r="AA880" s="184"/>
      <c r="AB880" s="184"/>
      <c r="AC880" s="8"/>
      <c r="AD880" s="8"/>
      <c r="AE880" s="8"/>
      <c r="AF880" s="8"/>
      <c r="AG880" s="191"/>
      <c r="AH880" s="191"/>
      <c r="AI880" s="191"/>
      <c r="AJ880" s="8"/>
      <c r="AK880" s="8"/>
      <c r="AL880" s="8"/>
      <c r="AM880" s="8"/>
      <c r="AN880" s="8"/>
      <c r="AO880" s="8"/>
      <c r="AP880" s="8"/>
      <c r="AQ880" s="8"/>
      <c r="AR880" s="8"/>
      <c r="AS880" s="8"/>
      <c r="AT880" s="8"/>
    </row>
    <row r="881">
      <c r="A881" s="197"/>
      <c r="B881" s="198"/>
      <c r="C881" s="379"/>
      <c r="D881" s="197"/>
      <c r="E881" s="198"/>
      <c r="F881" s="379"/>
      <c r="G881" s="197"/>
      <c r="H881" s="198"/>
      <c r="I881" s="379"/>
      <c r="J881" s="197"/>
      <c r="K881" s="198"/>
      <c r="L881" s="379"/>
      <c r="M881" s="197"/>
      <c r="N881" s="198"/>
      <c r="O881" s="379"/>
      <c r="P881" s="197"/>
      <c r="Q881" s="198"/>
      <c r="R881" s="379"/>
      <c r="S881" s="197"/>
      <c r="T881" s="198"/>
      <c r="U881" s="379"/>
      <c r="V881" s="197"/>
      <c r="W881" s="198"/>
      <c r="X881" s="379"/>
      <c r="Y881" s="184"/>
      <c r="Z881" s="184"/>
      <c r="AA881" s="184"/>
      <c r="AB881" s="184"/>
      <c r="AC881" s="8"/>
      <c r="AD881" s="8"/>
      <c r="AE881" s="8"/>
      <c r="AF881" s="8"/>
      <c r="AG881" s="191"/>
      <c r="AH881" s="191"/>
      <c r="AI881" s="191"/>
      <c r="AJ881" s="8"/>
      <c r="AK881" s="8"/>
      <c r="AL881" s="8"/>
      <c r="AM881" s="8"/>
      <c r="AN881" s="8"/>
      <c r="AO881" s="8"/>
      <c r="AP881" s="8"/>
      <c r="AQ881" s="8"/>
      <c r="AR881" s="8"/>
      <c r="AS881" s="8"/>
      <c r="AT881" s="8"/>
    </row>
    <row r="882">
      <c r="A882" s="197"/>
      <c r="B882" s="198"/>
      <c r="C882" s="379"/>
      <c r="D882" s="197"/>
      <c r="E882" s="198"/>
      <c r="F882" s="379"/>
      <c r="G882" s="197"/>
      <c r="H882" s="198"/>
      <c r="I882" s="379"/>
      <c r="J882" s="197"/>
      <c r="K882" s="198"/>
      <c r="L882" s="379"/>
      <c r="M882" s="197"/>
      <c r="N882" s="198"/>
      <c r="O882" s="379"/>
      <c r="P882" s="197"/>
      <c r="Q882" s="198"/>
      <c r="R882" s="379"/>
      <c r="S882" s="197"/>
      <c r="T882" s="198"/>
      <c r="U882" s="379"/>
      <c r="V882" s="197"/>
      <c r="W882" s="198"/>
      <c r="X882" s="379"/>
      <c r="Y882" s="184"/>
      <c r="Z882" s="184"/>
      <c r="AA882" s="184"/>
      <c r="AB882" s="184"/>
      <c r="AC882" s="8"/>
      <c r="AD882" s="8"/>
      <c r="AE882" s="8"/>
      <c r="AF882" s="8"/>
      <c r="AG882" s="191"/>
      <c r="AH882" s="191"/>
      <c r="AI882" s="191"/>
      <c r="AJ882" s="8"/>
      <c r="AK882" s="8"/>
      <c r="AL882" s="8"/>
      <c r="AM882" s="8"/>
      <c r="AN882" s="8"/>
      <c r="AO882" s="8"/>
      <c r="AP882" s="8"/>
      <c r="AQ882" s="8"/>
      <c r="AR882" s="8"/>
      <c r="AS882" s="8"/>
      <c r="AT882" s="8"/>
    </row>
    <row r="883">
      <c r="A883" s="197"/>
      <c r="B883" s="198"/>
      <c r="C883" s="379"/>
      <c r="D883" s="197"/>
      <c r="E883" s="198"/>
      <c r="F883" s="379"/>
      <c r="G883" s="197"/>
      <c r="H883" s="198"/>
      <c r="I883" s="379"/>
      <c r="J883" s="197"/>
      <c r="K883" s="198"/>
      <c r="L883" s="379"/>
      <c r="M883" s="197"/>
      <c r="N883" s="198"/>
      <c r="O883" s="379"/>
      <c r="P883" s="197"/>
      <c r="Q883" s="198"/>
      <c r="R883" s="379"/>
      <c r="S883" s="197"/>
      <c r="T883" s="198"/>
      <c r="U883" s="379"/>
      <c r="V883" s="197"/>
      <c r="W883" s="198"/>
      <c r="X883" s="379"/>
      <c r="Y883" s="184"/>
      <c r="Z883" s="184"/>
      <c r="AA883" s="184"/>
      <c r="AB883" s="184"/>
      <c r="AC883" s="8"/>
      <c r="AD883" s="8"/>
      <c r="AE883" s="8"/>
      <c r="AF883" s="8"/>
      <c r="AG883" s="191"/>
      <c r="AH883" s="191"/>
      <c r="AI883" s="191"/>
      <c r="AJ883" s="8"/>
      <c r="AK883" s="8"/>
      <c r="AL883" s="8"/>
      <c r="AM883" s="8"/>
      <c r="AN883" s="8"/>
      <c r="AO883" s="8"/>
      <c r="AP883" s="8"/>
      <c r="AQ883" s="8"/>
      <c r="AR883" s="8"/>
      <c r="AS883" s="8"/>
      <c r="AT883" s="8"/>
    </row>
    <row r="884">
      <c r="A884" s="197"/>
      <c r="B884" s="198"/>
      <c r="C884" s="379"/>
      <c r="D884" s="197"/>
      <c r="E884" s="198"/>
      <c r="F884" s="379"/>
      <c r="G884" s="197"/>
      <c r="H884" s="198"/>
      <c r="I884" s="379"/>
      <c r="J884" s="197"/>
      <c r="K884" s="198"/>
      <c r="L884" s="379"/>
      <c r="M884" s="197"/>
      <c r="N884" s="198"/>
      <c r="O884" s="379"/>
      <c r="P884" s="197"/>
      <c r="Q884" s="198"/>
      <c r="R884" s="379"/>
      <c r="S884" s="197"/>
      <c r="T884" s="198"/>
      <c r="U884" s="379"/>
      <c r="V884" s="197"/>
      <c r="W884" s="198"/>
      <c r="X884" s="379"/>
      <c r="Y884" s="184"/>
      <c r="Z884" s="184"/>
      <c r="AA884" s="184"/>
      <c r="AB884" s="184"/>
      <c r="AC884" s="8"/>
      <c r="AD884" s="8"/>
      <c r="AE884" s="8"/>
      <c r="AF884" s="8"/>
      <c r="AG884" s="191"/>
      <c r="AH884" s="191"/>
      <c r="AI884" s="191"/>
      <c r="AJ884" s="8"/>
      <c r="AK884" s="8"/>
      <c r="AL884" s="8"/>
      <c r="AM884" s="8"/>
      <c r="AN884" s="8"/>
      <c r="AO884" s="8"/>
      <c r="AP884" s="8"/>
      <c r="AQ884" s="8"/>
      <c r="AR884" s="8"/>
      <c r="AS884" s="8"/>
      <c r="AT884" s="8"/>
    </row>
    <row r="885">
      <c r="A885" s="197"/>
      <c r="B885" s="198"/>
      <c r="C885" s="379"/>
      <c r="D885" s="197"/>
      <c r="E885" s="198"/>
      <c r="F885" s="379"/>
      <c r="G885" s="197"/>
      <c r="H885" s="198"/>
      <c r="I885" s="379"/>
      <c r="J885" s="197"/>
      <c r="K885" s="198"/>
      <c r="L885" s="379"/>
      <c r="M885" s="197"/>
      <c r="N885" s="198"/>
      <c r="O885" s="379"/>
      <c r="P885" s="197"/>
      <c r="Q885" s="198"/>
      <c r="R885" s="379"/>
      <c r="S885" s="197"/>
      <c r="T885" s="198"/>
      <c r="U885" s="379"/>
      <c r="V885" s="197"/>
      <c r="W885" s="198"/>
      <c r="X885" s="379"/>
      <c r="Y885" s="184"/>
      <c r="Z885" s="184"/>
      <c r="AA885" s="184"/>
      <c r="AB885" s="184"/>
      <c r="AC885" s="8"/>
      <c r="AD885" s="8"/>
      <c r="AE885" s="8"/>
      <c r="AF885" s="8"/>
      <c r="AG885" s="191"/>
      <c r="AH885" s="191"/>
      <c r="AI885" s="191"/>
      <c r="AJ885" s="8"/>
      <c r="AK885" s="8"/>
      <c r="AL885" s="8"/>
      <c r="AM885" s="8"/>
      <c r="AN885" s="8"/>
      <c r="AO885" s="8"/>
      <c r="AP885" s="8"/>
      <c r="AQ885" s="8"/>
      <c r="AR885" s="8"/>
      <c r="AS885" s="8"/>
      <c r="AT885" s="8"/>
    </row>
    <row r="886">
      <c r="A886" s="197"/>
      <c r="B886" s="198"/>
      <c r="C886" s="379"/>
      <c r="D886" s="197"/>
      <c r="E886" s="198"/>
      <c r="F886" s="379"/>
      <c r="G886" s="197"/>
      <c r="H886" s="198"/>
      <c r="I886" s="379"/>
      <c r="J886" s="197"/>
      <c r="K886" s="198"/>
      <c r="L886" s="379"/>
      <c r="M886" s="197"/>
      <c r="N886" s="198"/>
      <c r="O886" s="379"/>
      <c r="P886" s="197"/>
      <c r="Q886" s="198"/>
      <c r="R886" s="379"/>
      <c r="S886" s="197"/>
      <c r="T886" s="198"/>
      <c r="U886" s="379"/>
      <c r="V886" s="197"/>
      <c r="W886" s="198"/>
      <c r="X886" s="379"/>
      <c r="Y886" s="184"/>
      <c r="Z886" s="184"/>
      <c r="AA886" s="184"/>
      <c r="AB886" s="184"/>
      <c r="AC886" s="8"/>
      <c r="AD886" s="8"/>
      <c r="AE886" s="8"/>
      <c r="AF886" s="8"/>
      <c r="AG886" s="191"/>
      <c r="AH886" s="191"/>
      <c r="AI886" s="191"/>
      <c r="AJ886" s="8"/>
      <c r="AK886" s="8"/>
      <c r="AL886" s="8"/>
      <c r="AM886" s="8"/>
      <c r="AN886" s="8"/>
      <c r="AO886" s="8"/>
      <c r="AP886" s="8"/>
      <c r="AQ886" s="8"/>
      <c r="AR886" s="8"/>
      <c r="AS886" s="8"/>
      <c r="AT886" s="8"/>
    </row>
    <row r="887">
      <c r="A887" s="197"/>
      <c r="B887" s="198"/>
      <c r="C887" s="379"/>
      <c r="D887" s="197"/>
      <c r="E887" s="198"/>
      <c r="F887" s="379"/>
      <c r="G887" s="197"/>
      <c r="H887" s="198"/>
      <c r="I887" s="379"/>
      <c r="J887" s="197"/>
      <c r="K887" s="198"/>
      <c r="L887" s="379"/>
      <c r="M887" s="197"/>
      <c r="N887" s="198"/>
      <c r="O887" s="379"/>
      <c r="P887" s="197"/>
      <c r="Q887" s="198"/>
      <c r="R887" s="379"/>
      <c r="S887" s="197"/>
      <c r="T887" s="198"/>
      <c r="U887" s="379"/>
      <c r="V887" s="197"/>
      <c r="W887" s="198"/>
      <c r="X887" s="379"/>
      <c r="Y887" s="184"/>
      <c r="Z887" s="184"/>
      <c r="AA887" s="184"/>
      <c r="AB887" s="184"/>
      <c r="AC887" s="8"/>
      <c r="AD887" s="8"/>
      <c r="AE887" s="8"/>
      <c r="AF887" s="8"/>
      <c r="AG887" s="191"/>
      <c r="AH887" s="191"/>
      <c r="AI887" s="191"/>
      <c r="AJ887" s="8"/>
      <c r="AK887" s="8"/>
      <c r="AL887" s="8"/>
      <c r="AM887" s="8"/>
      <c r="AN887" s="8"/>
      <c r="AO887" s="8"/>
      <c r="AP887" s="8"/>
      <c r="AQ887" s="8"/>
      <c r="AR887" s="8"/>
      <c r="AS887" s="8"/>
      <c r="AT887" s="8"/>
    </row>
    <row r="888">
      <c r="A888" s="197"/>
      <c r="B888" s="198"/>
      <c r="C888" s="379"/>
      <c r="D888" s="197"/>
      <c r="E888" s="198"/>
      <c r="F888" s="379"/>
      <c r="G888" s="197"/>
      <c r="H888" s="198"/>
      <c r="I888" s="379"/>
      <c r="J888" s="197"/>
      <c r="K888" s="198"/>
      <c r="L888" s="379"/>
      <c r="M888" s="197"/>
      <c r="N888" s="198"/>
      <c r="O888" s="379"/>
      <c r="P888" s="197"/>
      <c r="Q888" s="198"/>
      <c r="R888" s="379"/>
      <c r="S888" s="197"/>
      <c r="T888" s="198"/>
      <c r="U888" s="379"/>
      <c r="V888" s="197"/>
      <c r="W888" s="198"/>
      <c r="X888" s="379"/>
      <c r="Y888" s="184"/>
      <c r="Z888" s="184"/>
      <c r="AA888" s="184"/>
      <c r="AB888" s="184"/>
      <c r="AC888" s="8"/>
      <c r="AD888" s="8"/>
      <c r="AE888" s="8"/>
      <c r="AF888" s="8"/>
      <c r="AG888" s="191"/>
      <c r="AH888" s="191"/>
      <c r="AI888" s="191"/>
      <c r="AJ888" s="8"/>
      <c r="AK888" s="8"/>
      <c r="AL888" s="8"/>
      <c r="AM888" s="8"/>
      <c r="AN888" s="8"/>
      <c r="AO888" s="8"/>
      <c r="AP888" s="8"/>
      <c r="AQ888" s="8"/>
      <c r="AR888" s="8"/>
      <c r="AS888" s="8"/>
      <c r="AT888" s="8"/>
    </row>
    <row r="889">
      <c r="A889" s="197"/>
      <c r="B889" s="198"/>
      <c r="C889" s="379"/>
      <c r="D889" s="197"/>
      <c r="E889" s="198"/>
      <c r="F889" s="379"/>
      <c r="G889" s="197"/>
      <c r="H889" s="198"/>
      <c r="I889" s="379"/>
      <c r="J889" s="197"/>
      <c r="K889" s="198"/>
      <c r="L889" s="379"/>
      <c r="M889" s="197"/>
      <c r="N889" s="198"/>
      <c r="O889" s="379"/>
      <c r="P889" s="197"/>
      <c r="Q889" s="198"/>
      <c r="R889" s="379"/>
      <c r="S889" s="197"/>
      <c r="T889" s="198"/>
      <c r="U889" s="379"/>
      <c r="V889" s="197"/>
      <c r="W889" s="198"/>
      <c r="X889" s="379"/>
      <c r="Y889" s="184"/>
      <c r="Z889" s="184"/>
      <c r="AA889" s="184"/>
      <c r="AB889" s="184"/>
      <c r="AC889" s="8"/>
      <c r="AD889" s="8"/>
      <c r="AE889" s="8"/>
      <c r="AF889" s="8"/>
      <c r="AG889" s="191"/>
      <c r="AH889" s="191"/>
      <c r="AI889" s="191"/>
      <c r="AJ889" s="8"/>
      <c r="AK889" s="8"/>
      <c r="AL889" s="8"/>
      <c r="AM889" s="8"/>
      <c r="AN889" s="8"/>
      <c r="AO889" s="8"/>
      <c r="AP889" s="8"/>
      <c r="AQ889" s="8"/>
      <c r="AR889" s="8"/>
      <c r="AS889" s="8"/>
      <c r="AT889" s="8"/>
    </row>
    <row r="890">
      <c r="A890" s="197"/>
      <c r="B890" s="198"/>
      <c r="C890" s="379"/>
      <c r="D890" s="197"/>
      <c r="E890" s="198"/>
      <c r="F890" s="379"/>
      <c r="G890" s="197"/>
      <c r="H890" s="198"/>
      <c r="I890" s="379"/>
      <c r="J890" s="197"/>
      <c r="K890" s="198"/>
      <c r="L890" s="379"/>
      <c r="M890" s="197"/>
      <c r="N890" s="198"/>
      <c r="O890" s="379"/>
      <c r="P890" s="197"/>
      <c r="Q890" s="198"/>
      <c r="R890" s="379"/>
      <c r="S890" s="197"/>
      <c r="T890" s="198"/>
      <c r="U890" s="379"/>
      <c r="V890" s="197"/>
      <c r="W890" s="198"/>
      <c r="X890" s="379"/>
      <c r="Y890" s="184"/>
      <c r="Z890" s="184"/>
      <c r="AA890" s="184"/>
      <c r="AB890" s="184"/>
      <c r="AC890" s="8"/>
      <c r="AD890" s="8"/>
      <c r="AE890" s="8"/>
      <c r="AF890" s="8"/>
      <c r="AG890" s="191"/>
      <c r="AH890" s="191"/>
      <c r="AI890" s="191"/>
      <c r="AJ890" s="8"/>
      <c r="AK890" s="8"/>
      <c r="AL890" s="8"/>
      <c r="AM890" s="8"/>
      <c r="AN890" s="8"/>
      <c r="AO890" s="8"/>
      <c r="AP890" s="8"/>
      <c r="AQ890" s="8"/>
      <c r="AR890" s="8"/>
      <c r="AS890" s="8"/>
      <c r="AT890" s="8"/>
    </row>
    <row r="891">
      <c r="A891" s="197"/>
      <c r="B891" s="198"/>
      <c r="C891" s="379"/>
      <c r="D891" s="197"/>
      <c r="E891" s="198"/>
      <c r="F891" s="379"/>
      <c r="G891" s="197"/>
      <c r="H891" s="198"/>
      <c r="I891" s="379"/>
      <c r="J891" s="197"/>
      <c r="K891" s="198"/>
      <c r="L891" s="379"/>
      <c r="M891" s="197"/>
      <c r="N891" s="198"/>
      <c r="O891" s="379"/>
      <c r="P891" s="197"/>
      <c r="Q891" s="198"/>
      <c r="R891" s="379"/>
      <c r="S891" s="197"/>
      <c r="T891" s="198"/>
      <c r="U891" s="379"/>
      <c r="V891" s="197"/>
      <c r="W891" s="198"/>
      <c r="X891" s="379"/>
      <c r="Y891" s="184"/>
      <c r="Z891" s="184"/>
      <c r="AA891" s="184"/>
      <c r="AB891" s="184"/>
      <c r="AC891" s="8"/>
      <c r="AD891" s="8"/>
      <c r="AE891" s="8"/>
      <c r="AF891" s="8"/>
      <c r="AG891" s="191"/>
      <c r="AH891" s="191"/>
      <c r="AI891" s="191"/>
      <c r="AJ891" s="8"/>
      <c r="AK891" s="8"/>
      <c r="AL891" s="8"/>
      <c r="AM891" s="8"/>
      <c r="AN891" s="8"/>
      <c r="AO891" s="8"/>
      <c r="AP891" s="8"/>
      <c r="AQ891" s="8"/>
      <c r="AR891" s="8"/>
      <c r="AS891" s="8"/>
      <c r="AT891" s="8"/>
    </row>
    <row r="892">
      <c r="A892" s="197"/>
      <c r="B892" s="198"/>
      <c r="C892" s="379"/>
      <c r="D892" s="197"/>
      <c r="E892" s="198"/>
      <c r="F892" s="379"/>
      <c r="G892" s="197"/>
      <c r="H892" s="198"/>
      <c r="I892" s="379"/>
      <c r="J892" s="197"/>
      <c r="K892" s="198"/>
      <c r="L892" s="379"/>
      <c r="M892" s="197"/>
      <c r="N892" s="198"/>
      <c r="O892" s="379"/>
      <c r="P892" s="197"/>
      <c r="Q892" s="198"/>
      <c r="R892" s="379"/>
      <c r="S892" s="197"/>
      <c r="T892" s="198"/>
      <c r="U892" s="379"/>
      <c r="V892" s="197"/>
      <c r="W892" s="198"/>
      <c r="X892" s="379"/>
      <c r="Y892" s="184"/>
      <c r="Z892" s="184"/>
      <c r="AA892" s="184"/>
      <c r="AB892" s="184"/>
      <c r="AC892" s="8"/>
      <c r="AD892" s="8"/>
      <c r="AE892" s="8"/>
      <c r="AF892" s="8"/>
      <c r="AG892" s="191"/>
      <c r="AH892" s="191"/>
      <c r="AI892" s="191"/>
      <c r="AJ892" s="8"/>
      <c r="AK892" s="8"/>
      <c r="AL892" s="8"/>
      <c r="AM892" s="8"/>
      <c r="AN892" s="8"/>
      <c r="AO892" s="8"/>
      <c r="AP892" s="8"/>
      <c r="AQ892" s="8"/>
      <c r="AR892" s="8"/>
      <c r="AS892" s="8"/>
      <c r="AT892" s="8"/>
    </row>
    <row r="893">
      <c r="A893" s="197"/>
      <c r="B893" s="198"/>
      <c r="C893" s="379"/>
      <c r="D893" s="197"/>
      <c r="E893" s="198"/>
      <c r="F893" s="379"/>
      <c r="G893" s="197"/>
      <c r="H893" s="198"/>
      <c r="I893" s="379"/>
      <c r="J893" s="197"/>
      <c r="K893" s="198"/>
      <c r="L893" s="379"/>
      <c r="M893" s="197"/>
      <c r="N893" s="198"/>
      <c r="O893" s="379"/>
      <c r="P893" s="197"/>
      <c r="Q893" s="198"/>
      <c r="R893" s="379"/>
      <c r="S893" s="197"/>
      <c r="T893" s="198"/>
      <c r="U893" s="379"/>
      <c r="V893" s="197"/>
      <c r="W893" s="198"/>
      <c r="X893" s="379"/>
      <c r="Y893" s="184"/>
      <c r="Z893" s="184"/>
      <c r="AA893" s="184"/>
      <c r="AB893" s="184"/>
      <c r="AC893" s="8"/>
      <c r="AD893" s="8"/>
      <c r="AE893" s="8"/>
      <c r="AF893" s="8"/>
      <c r="AG893" s="191"/>
      <c r="AH893" s="191"/>
      <c r="AI893" s="191"/>
      <c r="AJ893" s="8"/>
      <c r="AK893" s="8"/>
      <c r="AL893" s="8"/>
      <c r="AM893" s="8"/>
      <c r="AN893" s="8"/>
      <c r="AO893" s="8"/>
      <c r="AP893" s="8"/>
      <c r="AQ893" s="8"/>
      <c r="AR893" s="8"/>
      <c r="AS893" s="8"/>
      <c r="AT893" s="8"/>
    </row>
    <row r="894">
      <c r="A894" s="197"/>
      <c r="B894" s="198"/>
      <c r="C894" s="379"/>
      <c r="D894" s="197"/>
      <c r="E894" s="198"/>
      <c r="F894" s="379"/>
      <c r="G894" s="197"/>
      <c r="H894" s="198"/>
      <c r="I894" s="379"/>
      <c r="J894" s="197"/>
      <c r="K894" s="198"/>
      <c r="L894" s="379"/>
      <c r="M894" s="197"/>
      <c r="N894" s="198"/>
      <c r="O894" s="379"/>
      <c r="P894" s="197"/>
      <c r="Q894" s="198"/>
      <c r="R894" s="379"/>
      <c r="S894" s="197"/>
      <c r="T894" s="198"/>
      <c r="U894" s="379"/>
      <c r="V894" s="197"/>
      <c r="W894" s="198"/>
      <c r="X894" s="379"/>
      <c r="Y894" s="184"/>
      <c r="Z894" s="184"/>
      <c r="AA894" s="184"/>
      <c r="AB894" s="184"/>
      <c r="AC894" s="8"/>
      <c r="AD894" s="8"/>
      <c r="AE894" s="8"/>
      <c r="AF894" s="8"/>
      <c r="AG894" s="191"/>
      <c r="AH894" s="191"/>
      <c r="AI894" s="191"/>
      <c r="AJ894" s="8"/>
      <c r="AK894" s="8"/>
      <c r="AL894" s="8"/>
      <c r="AM894" s="8"/>
      <c r="AN894" s="8"/>
      <c r="AO894" s="8"/>
      <c r="AP894" s="8"/>
      <c r="AQ894" s="8"/>
      <c r="AR894" s="8"/>
      <c r="AS894" s="8"/>
      <c r="AT894" s="8"/>
    </row>
    <row r="895">
      <c r="A895" s="197"/>
      <c r="B895" s="198"/>
      <c r="C895" s="379"/>
      <c r="D895" s="197"/>
      <c r="E895" s="198"/>
      <c r="F895" s="379"/>
      <c r="G895" s="197"/>
      <c r="H895" s="198"/>
      <c r="I895" s="379"/>
      <c r="J895" s="197"/>
      <c r="K895" s="198"/>
      <c r="L895" s="379"/>
      <c r="M895" s="197"/>
      <c r="N895" s="198"/>
      <c r="O895" s="379"/>
      <c r="P895" s="197"/>
      <c r="Q895" s="198"/>
      <c r="R895" s="379"/>
      <c r="S895" s="197"/>
      <c r="T895" s="198"/>
      <c r="U895" s="379"/>
      <c r="V895" s="197"/>
      <c r="W895" s="198"/>
      <c r="X895" s="379"/>
      <c r="Y895" s="184"/>
      <c r="Z895" s="184"/>
      <c r="AA895" s="184"/>
      <c r="AB895" s="184"/>
      <c r="AC895" s="8"/>
      <c r="AD895" s="8"/>
      <c r="AE895" s="8"/>
      <c r="AF895" s="8"/>
      <c r="AG895" s="191"/>
      <c r="AH895" s="191"/>
      <c r="AI895" s="191"/>
      <c r="AJ895" s="8"/>
      <c r="AK895" s="8"/>
      <c r="AL895" s="8"/>
      <c r="AM895" s="8"/>
      <c r="AN895" s="8"/>
      <c r="AO895" s="8"/>
      <c r="AP895" s="8"/>
      <c r="AQ895" s="8"/>
      <c r="AR895" s="8"/>
      <c r="AS895" s="8"/>
      <c r="AT895" s="8"/>
    </row>
    <row r="896">
      <c r="A896" s="197"/>
      <c r="B896" s="198"/>
      <c r="C896" s="379"/>
      <c r="D896" s="197"/>
      <c r="E896" s="198"/>
      <c r="F896" s="379"/>
      <c r="G896" s="197"/>
      <c r="H896" s="198"/>
      <c r="I896" s="379"/>
      <c r="J896" s="197"/>
      <c r="K896" s="198"/>
      <c r="L896" s="379"/>
      <c r="M896" s="197"/>
      <c r="N896" s="198"/>
      <c r="O896" s="379"/>
      <c r="P896" s="197"/>
      <c r="Q896" s="198"/>
      <c r="R896" s="379"/>
      <c r="S896" s="197"/>
      <c r="T896" s="198"/>
      <c r="U896" s="379"/>
      <c r="V896" s="197"/>
      <c r="W896" s="198"/>
      <c r="X896" s="379"/>
      <c r="Y896" s="184"/>
      <c r="Z896" s="184"/>
      <c r="AA896" s="184"/>
      <c r="AB896" s="184"/>
      <c r="AC896" s="8"/>
      <c r="AD896" s="8"/>
      <c r="AE896" s="8"/>
      <c r="AF896" s="8"/>
      <c r="AG896" s="191"/>
      <c r="AH896" s="191"/>
      <c r="AI896" s="191"/>
      <c r="AJ896" s="8"/>
      <c r="AK896" s="8"/>
      <c r="AL896" s="8"/>
      <c r="AM896" s="8"/>
      <c r="AN896" s="8"/>
      <c r="AO896" s="8"/>
      <c r="AP896" s="8"/>
      <c r="AQ896" s="8"/>
      <c r="AR896" s="8"/>
      <c r="AS896" s="8"/>
      <c r="AT896" s="8"/>
    </row>
    <row r="897">
      <c r="A897" s="197"/>
      <c r="B897" s="198"/>
      <c r="C897" s="379"/>
      <c r="D897" s="197"/>
      <c r="E897" s="198"/>
      <c r="F897" s="379"/>
      <c r="G897" s="197"/>
      <c r="H897" s="198"/>
      <c r="I897" s="379"/>
      <c r="J897" s="197"/>
      <c r="K897" s="198"/>
      <c r="L897" s="379"/>
      <c r="M897" s="197"/>
      <c r="N897" s="198"/>
      <c r="O897" s="379"/>
      <c r="P897" s="197"/>
      <c r="Q897" s="198"/>
      <c r="R897" s="379"/>
      <c r="S897" s="197"/>
      <c r="T897" s="198"/>
      <c r="U897" s="379"/>
      <c r="V897" s="197"/>
      <c r="W897" s="198"/>
      <c r="X897" s="379"/>
      <c r="Y897" s="184"/>
      <c r="Z897" s="184"/>
      <c r="AA897" s="184"/>
      <c r="AB897" s="184"/>
      <c r="AC897" s="8"/>
      <c r="AD897" s="8"/>
      <c r="AE897" s="8"/>
      <c r="AF897" s="8"/>
      <c r="AG897" s="191"/>
      <c r="AH897" s="191"/>
      <c r="AI897" s="191"/>
      <c r="AJ897" s="8"/>
      <c r="AK897" s="8"/>
      <c r="AL897" s="8"/>
      <c r="AM897" s="8"/>
      <c r="AN897" s="8"/>
      <c r="AO897" s="8"/>
      <c r="AP897" s="8"/>
      <c r="AQ897" s="8"/>
      <c r="AR897" s="8"/>
      <c r="AS897" s="8"/>
      <c r="AT897" s="8"/>
    </row>
    <row r="898">
      <c r="A898" s="197"/>
      <c r="B898" s="198"/>
      <c r="C898" s="379"/>
      <c r="D898" s="197"/>
      <c r="E898" s="198"/>
      <c r="F898" s="379"/>
      <c r="G898" s="197"/>
      <c r="H898" s="198"/>
      <c r="I898" s="379"/>
      <c r="J898" s="197"/>
      <c r="K898" s="198"/>
      <c r="L898" s="379"/>
      <c r="M898" s="197"/>
      <c r="N898" s="198"/>
      <c r="O898" s="379"/>
      <c r="P898" s="197"/>
      <c r="Q898" s="198"/>
      <c r="R898" s="379"/>
      <c r="S898" s="197"/>
      <c r="T898" s="198"/>
      <c r="U898" s="379"/>
      <c r="V898" s="197"/>
      <c r="W898" s="198"/>
      <c r="X898" s="379"/>
      <c r="Y898" s="184"/>
      <c r="Z898" s="184"/>
      <c r="AA898" s="184"/>
      <c r="AB898" s="184"/>
      <c r="AC898" s="8"/>
      <c r="AD898" s="8"/>
      <c r="AE898" s="8"/>
      <c r="AF898" s="8"/>
      <c r="AG898" s="191"/>
      <c r="AH898" s="191"/>
      <c r="AI898" s="191"/>
      <c r="AJ898" s="8"/>
      <c r="AK898" s="8"/>
      <c r="AL898" s="8"/>
      <c r="AM898" s="8"/>
      <c r="AN898" s="8"/>
      <c r="AO898" s="8"/>
      <c r="AP898" s="8"/>
      <c r="AQ898" s="8"/>
      <c r="AR898" s="8"/>
      <c r="AS898" s="8"/>
      <c r="AT898" s="8"/>
    </row>
    <row r="899">
      <c r="A899" s="197"/>
      <c r="B899" s="198"/>
      <c r="C899" s="379"/>
      <c r="D899" s="197"/>
      <c r="E899" s="198"/>
      <c r="F899" s="379"/>
      <c r="G899" s="197"/>
      <c r="H899" s="198"/>
      <c r="I899" s="379"/>
      <c r="J899" s="197"/>
      <c r="K899" s="198"/>
      <c r="L899" s="379"/>
      <c r="M899" s="197"/>
      <c r="N899" s="198"/>
      <c r="O899" s="379"/>
      <c r="P899" s="197"/>
      <c r="Q899" s="198"/>
      <c r="R899" s="379"/>
      <c r="S899" s="197"/>
      <c r="T899" s="198"/>
      <c r="U899" s="379"/>
      <c r="V899" s="197"/>
      <c r="W899" s="198"/>
      <c r="X899" s="379"/>
      <c r="Y899" s="184"/>
      <c r="Z899" s="184"/>
      <c r="AA899" s="184"/>
      <c r="AB899" s="184"/>
      <c r="AC899" s="8"/>
      <c r="AD899" s="8"/>
      <c r="AE899" s="8"/>
      <c r="AF899" s="8"/>
      <c r="AG899" s="191"/>
      <c r="AH899" s="191"/>
      <c r="AI899" s="191"/>
      <c r="AJ899" s="8"/>
      <c r="AK899" s="8"/>
      <c r="AL899" s="8"/>
      <c r="AM899" s="8"/>
      <c r="AN899" s="8"/>
      <c r="AO899" s="8"/>
      <c r="AP899" s="8"/>
      <c r="AQ899" s="8"/>
      <c r="AR899" s="8"/>
      <c r="AS899" s="8"/>
      <c r="AT899" s="8"/>
    </row>
    <row r="900">
      <c r="A900" s="197"/>
      <c r="B900" s="198"/>
      <c r="C900" s="379"/>
      <c r="D900" s="197"/>
      <c r="E900" s="198"/>
      <c r="F900" s="379"/>
      <c r="G900" s="197"/>
      <c r="H900" s="198"/>
      <c r="I900" s="379"/>
      <c r="J900" s="197"/>
      <c r="K900" s="198"/>
      <c r="L900" s="379"/>
      <c r="M900" s="197"/>
      <c r="N900" s="198"/>
      <c r="O900" s="379"/>
      <c r="P900" s="197"/>
      <c r="Q900" s="198"/>
      <c r="R900" s="379"/>
      <c r="S900" s="197"/>
      <c r="T900" s="198"/>
      <c r="U900" s="379"/>
      <c r="V900" s="197"/>
      <c r="W900" s="198"/>
      <c r="X900" s="379"/>
      <c r="Y900" s="184"/>
      <c r="Z900" s="184"/>
      <c r="AA900" s="184"/>
      <c r="AB900" s="184"/>
      <c r="AC900" s="8"/>
      <c r="AD900" s="8"/>
      <c r="AE900" s="8"/>
      <c r="AF900" s="8"/>
      <c r="AG900" s="191"/>
      <c r="AH900" s="191"/>
      <c r="AI900" s="191"/>
      <c r="AJ900" s="8"/>
      <c r="AK900" s="8"/>
      <c r="AL900" s="8"/>
      <c r="AM900" s="8"/>
      <c r="AN900" s="8"/>
      <c r="AO900" s="8"/>
      <c r="AP900" s="8"/>
      <c r="AQ900" s="8"/>
      <c r="AR900" s="8"/>
      <c r="AS900" s="8"/>
      <c r="AT900" s="8"/>
    </row>
    <row r="901">
      <c r="A901" s="197"/>
      <c r="B901" s="198"/>
      <c r="C901" s="379"/>
      <c r="D901" s="197"/>
      <c r="E901" s="198"/>
      <c r="F901" s="379"/>
      <c r="G901" s="197"/>
      <c r="H901" s="198"/>
      <c r="I901" s="379"/>
      <c r="J901" s="197"/>
      <c r="K901" s="198"/>
      <c r="L901" s="379"/>
      <c r="M901" s="197"/>
      <c r="N901" s="198"/>
      <c r="O901" s="379"/>
      <c r="P901" s="197"/>
      <c r="Q901" s="198"/>
      <c r="R901" s="379"/>
      <c r="S901" s="197"/>
      <c r="T901" s="198"/>
      <c r="U901" s="379"/>
      <c r="V901" s="197"/>
      <c r="W901" s="198"/>
      <c r="X901" s="379"/>
      <c r="Y901" s="184"/>
      <c r="Z901" s="184"/>
      <c r="AA901" s="184"/>
      <c r="AB901" s="184"/>
      <c r="AC901" s="8"/>
      <c r="AD901" s="8"/>
      <c r="AE901" s="8"/>
      <c r="AF901" s="8"/>
      <c r="AG901" s="191"/>
      <c r="AH901" s="191"/>
      <c r="AI901" s="191"/>
      <c r="AJ901" s="8"/>
      <c r="AK901" s="8"/>
      <c r="AL901" s="8"/>
      <c r="AM901" s="8"/>
      <c r="AN901" s="8"/>
      <c r="AO901" s="8"/>
      <c r="AP901" s="8"/>
      <c r="AQ901" s="8"/>
      <c r="AR901" s="8"/>
      <c r="AS901" s="8"/>
      <c r="AT901" s="8"/>
    </row>
    <row r="902">
      <c r="A902" s="197"/>
      <c r="B902" s="198"/>
      <c r="C902" s="379"/>
      <c r="D902" s="197"/>
      <c r="E902" s="198"/>
      <c r="F902" s="379"/>
      <c r="G902" s="197"/>
      <c r="H902" s="198"/>
      <c r="I902" s="379"/>
      <c r="J902" s="197"/>
      <c r="K902" s="198"/>
      <c r="L902" s="379"/>
      <c r="M902" s="197"/>
      <c r="N902" s="198"/>
      <c r="O902" s="379"/>
      <c r="P902" s="197"/>
      <c r="Q902" s="198"/>
      <c r="R902" s="379"/>
      <c r="S902" s="197"/>
      <c r="T902" s="198"/>
      <c r="U902" s="379"/>
      <c r="V902" s="197"/>
      <c r="W902" s="198"/>
      <c r="X902" s="379"/>
      <c r="Y902" s="184"/>
      <c r="Z902" s="184"/>
      <c r="AA902" s="184"/>
      <c r="AB902" s="184"/>
      <c r="AC902" s="8"/>
      <c r="AD902" s="8"/>
      <c r="AE902" s="8"/>
      <c r="AF902" s="8"/>
      <c r="AG902" s="191"/>
      <c r="AH902" s="191"/>
      <c r="AI902" s="191"/>
      <c r="AJ902" s="8"/>
      <c r="AK902" s="8"/>
      <c r="AL902" s="8"/>
      <c r="AM902" s="8"/>
      <c r="AN902" s="8"/>
      <c r="AO902" s="8"/>
      <c r="AP902" s="8"/>
      <c r="AQ902" s="8"/>
      <c r="AR902" s="8"/>
      <c r="AS902" s="8"/>
      <c r="AT902" s="8"/>
    </row>
    <row r="903">
      <c r="A903" s="197"/>
      <c r="B903" s="198"/>
      <c r="C903" s="379"/>
      <c r="D903" s="197"/>
      <c r="E903" s="198"/>
      <c r="F903" s="379"/>
      <c r="G903" s="197"/>
      <c r="H903" s="198"/>
      <c r="I903" s="379"/>
      <c r="J903" s="197"/>
      <c r="K903" s="198"/>
      <c r="L903" s="379"/>
      <c r="M903" s="197"/>
      <c r="N903" s="198"/>
      <c r="O903" s="379"/>
      <c r="P903" s="197"/>
      <c r="Q903" s="198"/>
      <c r="R903" s="379"/>
      <c r="S903" s="197"/>
      <c r="T903" s="198"/>
      <c r="U903" s="379"/>
      <c r="V903" s="197"/>
      <c r="W903" s="198"/>
      <c r="X903" s="379"/>
      <c r="Y903" s="184"/>
      <c r="Z903" s="184"/>
      <c r="AA903" s="184"/>
      <c r="AB903" s="184"/>
      <c r="AC903" s="8"/>
      <c r="AD903" s="8"/>
      <c r="AE903" s="8"/>
      <c r="AF903" s="8"/>
      <c r="AG903" s="191"/>
      <c r="AH903" s="191"/>
      <c r="AI903" s="191"/>
      <c r="AJ903" s="8"/>
      <c r="AK903" s="8"/>
      <c r="AL903" s="8"/>
      <c r="AM903" s="8"/>
      <c r="AN903" s="8"/>
      <c r="AO903" s="8"/>
      <c r="AP903" s="8"/>
      <c r="AQ903" s="8"/>
      <c r="AR903" s="8"/>
      <c r="AS903" s="8"/>
      <c r="AT903" s="8"/>
    </row>
    <row r="904">
      <c r="A904" s="197"/>
      <c r="B904" s="198"/>
      <c r="C904" s="379"/>
      <c r="D904" s="197"/>
      <c r="E904" s="198"/>
      <c r="F904" s="379"/>
      <c r="G904" s="197"/>
      <c r="H904" s="198"/>
      <c r="I904" s="379"/>
      <c r="J904" s="197"/>
      <c r="K904" s="198"/>
      <c r="L904" s="379"/>
      <c r="M904" s="197"/>
      <c r="N904" s="198"/>
      <c r="O904" s="379"/>
      <c r="P904" s="197"/>
      <c r="Q904" s="198"/>
      <c r="R904" s="379"/>
      <c r="S904" s="197"/>
      <c r="T904" s="198"/>
      <c r="U904" s="379"/>
      <c r="V904" s="197"/>
      <c r="W904" s="198"/>
      <c r="X904" s="379"/>
      <c r="Y904" s="184"/>
      <c r="Z904" s="184"/>
      <c r="AA904" s="184"/>
      <c r="AB904" s="184"/>
      <c r="AC904" s="8"/>
      <c r="AD904" s="8"/>
      <c r="AE904" s="8"/>
      <c r="AF904" s="8"/>
      <c r="AG904" s="191"/>
      <c r="AH904" s="191"/>
      <c r="AI904" s="191"/>
      <c r="AJ904" s="8"/>
      <c r="AK904" s="8"/>
      <c r="AL904" s="8"/>
      <c r="AM904" s="8"/>
      <c r="AN904" s="8"/>
      <c r="AO904" s="8"/>
      <c r="AP904" s="8"/>
      <c r="AQ904" s="8"/>
      <c r="AR904" s="8"/>
      <c r="AS904" s="8"/>
      <c r="AT904" s="8"/>
    </row>
    <row r="905">
      <c r="A905" s="197"/>
      <c r="B905" s="198"/>
      <c r="C905" s="379"/>
      <c r="D905" s="197"/>
      <c r="E905" s="198"/>
      <c r="F905" s="379"/>
      <c r="G905" s="197"/>
      <c r="H905" s="198"/>
      <c r="I905" s="379"/>
      <c r="J905" s="197"/>
      <c r="K905" s="198"/>
      <c r="L905" s="379"/>
      <c r="M905" s="197"/>
      <c r="N905" s="198"/>
      <c r="O905" s="379"/>
      <c r="P905" s="197"/>
      <c r="Q905" s="198"/>
      <c r="R905" s="379"/>
      <c r="S905" s="197"/>
      <c r="T905" s="198"/>
      <c r="U905" s="379"/>
      <c r="V905" s="197"/>
      <c r="W905" s="198"/>
      <c r="X905" s="379"/>
      <c r="Y905" s="184"/>
      <c r="Z905" s="184"/>
      <c r="AA905" s="184"/>
      <c r="AB905" s="184"/>
      <c r="AC905" s="8"/>
      <c r="AD905" s="8"/>
      <c r="AE905" s="8"/>
      <c r="AF905" s="8"/>
      <c r="AG905" s="191"/>
      <c r="AH905" s="191"/>
      <c r="AI905" s="191"/>
      <c r="AJ905" s="8"/>
      <c r="AK905" s="8"/>
      <c r="AL905" s="8"/>
      <c r="AM905" s="8"/>
      <c r="AN905" s="8"/>
      <c r="AO905" s="8"/>
      <c r="AP905" s="8"/>
      <c r="AQ905" s="8"/>
      <c r="AR905" s="8"/>
      <c r="AS905" s="8"/>
      <c r="AT905" s="8"/>
    </row>
    <row r="906">
      <c r="A906" s="197"/>
      <c r="B906" s="198"/>
      <c r="C906" s="379"/>
      <c r="D906" s="197"/>
      <c r="E906" s="198"/>
      <c r="F906" s="379"/>
      <c r="G906" s="197"/>
      <c r="H906" s="198"/>
      <c r="I906" s="379"/>
      <c r="J906" s="197"/>
      <c r="K906" s="198"/>
      <c r="L906" s="379"/>
      <c r="M906" s="197"/>
      <c r="N906" s="198"/>
      <c r="O906" s="379"/>
      <c r="P906" s="197"/>
      <c r="Q906" s="198"/>
      <c r="R906" s="379"/>
      <c r="S906" s="197"/>
      <c r="T906" s="198"/>
      <c r="U906" s="379"/>
      <c r="V906" s="197"/>
      <c r="W906" s="198"/>
      <c r="X906" s="379"/>
      <c r="Y906" s="184"/>
      <c r="Z906" s="184"/>
      <c r="AA906" s="184"/>
      <c r="AB906" s="184"/>
      <c r="AC906" s="8"/>
      <c r="AD906" s="8"/>
      <c r="AE906" s="8"/>
      <c r="AF906" s="8"/>
      <c r="AG906" s="191"/>
      <c r="AH906" s="191"/>
      <c r="AI906" s="191"/>
      <c r="AJ906" s="8"/>
      <c r="AK906" s="8"/>
      <c r="AL906" s="8"/>
      <c r="AM906" s="8"/>
      <c r="AN906" s="8"/>
      <c r="AO906" s="8"/>
      <c r="AP906" s="8"/>
      <c r="AQ906" s="8"/>
      <c r="AR906" s="8"/>
      <c r="AS906" s="8"/>
      <c r="AT906" s="8"/>
    </row>
    <row r="907">
      <c r="A907" s="197"/>
      <c r="B907" s="198"/>
      <c r="C907" s="379"/>
      <c r="D907" s="197"/>
      <c r="E907" s="198"/>
      <c r="F907" s="379"/>
      <c r="G907" s="197"/>
      <c r="H907" s="198"/>
      <c r="I907" s="379"/>
      <c r="J907" s="197"/>
      <c r="K907" s="198"/>
      <c r="L907" s="379"/>
      <c r="M907" s="197"/>
      <c r="N907" s="198"/>
      <c r="O907" s="379"/>
      <c r="P907" s="197"/>
      <c r="Q907" s="198"/>
      <c r="R907" s="379"/>
      <c r="S907" s="197"/>
      <c r="T907" s="198"/>
      <c r="U907" s="379"/>
      <c r="V907" s="197"/>
      <c r="W907" s="198"/>
      <c r="X907" s="379"/>
      <c r="Y907" s="184"/>
      <c r="Z907" s="184"/>
      <c r="AA907" s="184"/>
      <c r="AB907" s="184"/>
      <c r="AC907" s="8"/>
      <c r="AD907" s="8"/>
      <c r="AE907" s="8"/>
      <c r="AF907" s="8"/>
      <c r="AG907" s="191"/>
      <c r="AH907" s="191"/>
      <c r="AI907" s="191"/>
      <c r="AJ907" s="8"/>
      <c r="AK907" s="8"/>
      <c r="AL907" s="8"/>
      <c r="AM907" s="8"/>
      <c r="AN907" s="8"/>
      <c r="AO907" s="8"/>
      <c r="AP907" s="8"/>
      <c r="AQ907" s="8"/>
      <c r="AR907" s="8"/>
      <c r="AS907" s="8"/>
      <c r="AT907" s="8"/>
    </row>
    <row r="908">
      <c r="A908" s="197"/>
      <c r="B908" s="198"/>
      <c r="C908" s="379"/>
      <c r="D908" s="197"/>
      <c r="E908" s="198"/>
      <c r="F908" s="379"/>
      <c r="G908" s="197"/>
      <c r="H908" s="198"/>
      <c r="I908" s="379"/>
      <c r="J908" s="197"/>
      <c r="K908" s="198"/>
      <c r="L908" s="379"/>
      <c r="M908" s="197"/>
      <c r="N908" s="198"/>
      <c r="O908" s="379"/>
      <c r="P908" s="197"/>
      <c r="Q908" s="198"/>
      <c r="R908" s="379"/>
      <c r="S908" s="197"/>
      <c r="T908" s="198"/>
      <c r="U908" s="379"/>
      <c r="V908" s="197"/>
      <c r="W908" s="198"/>
      <c r="X908" s="379"/>
      <c r="Y908" s="184"/>
      <c r="Z908" s="184"/>
      <c r="AA908" s="184"/>
      <c r="AB908" s="184"/>
      <c r="AC908" s="8"/>
      <c r="AD908" s="8"/>
      <c r="AE908" s="8"/>
      <c r="AF908" s="8"/>
      <c r="AG908" s="191"/>
      <c r="AH908" s="191"/>
      <c r="AI908" s="191"/>
      <c r="AJ908" s="8"/>
      <c r="AK908" s="8"/>
      <c r="AL908" s="8"/>
      <c r="AM908" s="8"/>
      <c r="AN908" s="8"/>
      <c r="AO908" s="8"/>
      <c r="AP908" s="8"/>
      <c r="AQ908" s="8"/>
      <c r="AR908" s="8"/>
      <c r="AS908" s="8"/>
      <c r="AT908" s="8"/>
    </row>
    <row r="909">
      <c r="A909" s="197"/>
      <c r="B909" s="198"/>
      <c r="C909" s="379"/>
      <c r="D909" s="197"/>
      <c r="E909" s="198"/>
      <c r="F909" s="379"/>
      <c r="G909" s="197"/>
      <c r="H909" s="198"/>
      <c r="I909" s="379"/>
      <c r="J909" s="197"/>
      <c r="K909" s="198"/>
      <c r="L909" s="379"/>
      <c r="M909" s="197"/>
      <c r="N909" s="198"/>
      <c r="O909" s="379"/>
      <c r="P909" s="197"/>
      <c r="Q909" s="198"/>
      <c r="R909" s="379"/>
      <c r="S909" s="197"/>
      <c r="T909" s="198"/>
      <c r="U909" s="379"/>
      <c r="V909" s="197"/>
      <c r="W909" s="198"/>
      <c r="X909" s="379"/>
      <c r="Y909" s="184"/>
      <c r="Z909" s="184"/>
      <c r="AA909" s="184"/>
      <c r="AB909" s="184"/>
      <c r="AC909" s="8"/>
      <c r="AD909" s="8"/>
      <c r="AE909" s="8"/>
      <c r="AF909" s="8"/>
      <c r="AG909" s="191"/>
      <c r="AH909" s="191"/>
      <c r="AI909" s="191"/>
      <c r="AJ909" s="8"/>
      <c r="AK909" s="8"/>
      <c r="AL909" s="8"/>
      <c r="AM909" s="8"/>
      <c r="AN909" s="8"/>
      <c r="AO909" s="8"/>
      <c r="AP909" s="8"/>
      <c r="AQ909" s="8"/>
      <c r="AR909" s="8"/>
      <c r="AS909" s="8"/>
      <c r="AT909" s="8"/>
    </row>
    <row r="910">
      <c r="A910" s="197"/>
      <c r="B910" s="198"/>
      <c r="C910" s="379"/>
      <c r="D910" s="197"/>
      <c r="E910" s="198"/>
      <c r="F910" s="379"/>
      <c r="G910" s="197"/>
      <c r="H910" s="198"/>
      <c r="I910" s="379"/>
      <c r="J910" s="197"/>
      <c r="K910" s="198"/>
      <c r="L910" s="379"/>
      <c r="M910" s="197"/>
      <c r="N910" s="198"/>
      <c r="O910" s="379"/>
      <c r="P910" s="197"/>
      <c r="Q910" s="198"/>
      <c r="R910" s="379"/>
      <c r="S910" s="197"/>
      <c r="T910" s="198"/>
      <c r="U910" s="379"/>
      <c r="V910" s="197"/>
      <c r="W910" s="198"/>
      <c r="X910" s="379"/>
      <c r="Y910" s="184"/>
      <c r="Z910" s="184"/>
      <c r="AA910" s="184"/>
      <c r="AB910" s="184"/>
      <c r="AC910" s="8"/>
      <c r="AD910" s="8"/>
      <c r="AE910" s="8"/>
      <c r="AF910" s="8"/>
      <c r="AG910" s="191"/>
      <c r="AH910" s="191"/>
      <c r="AI910" s="191"/>
      <c r="AJ910" s="8"/>
      <c r="AK910" s="8"/>
      <c r="AL910" s="8"/>
      <c r="AM910" s="8"/>
      <c r="AN910" s="8"/>
      <c r="AO910" s="8"/>
      <c r="AP910" s="8"/>
      <c r="AQ910" s="8"/>
      <c r="AR910" s="8"/>
      <c r="AS910" s="8"/>
      <c r="AT910" s="8"/>
    </row>
    <row r="911">
      <c r="A911" s="197"/>
      <c r="B911" s="198"/>
      <c r="C911" s="379"/>
      <c r="D911" s="197"/>
      <c r="E911" s="198"/>
      <c r="F911" s="379"/>
      <c r="G911" s="197"/>
      <c r="H911" s="198"/>
      <c r="I911" s="379"/>
      <c r="J911" s="197"/>
      <c r="K911" s="198"/>
      <c r="L911" s="379"/>
      <c r="M911" s="197"/>
      <c r="N911" s="198"/>
      <c r="O911" s="379"/>
      <c r="P911" s="197"/>
      <c r="Q911" s="198"/>
      <c r="R911" s="379"/>
      <c r="S911" s="197"/>
      <c r="T911" s="198"/>
      <c r="U911" s="379"/>
      <c r="V911" s="197"/>
      <c r="W911" s="198"/>
      <c r="X911" s="379"/>
      <c r="Y911" s="184"/>
      <c r="Z911" s="184"/>
      <c r="AA911" s="184"/>
      <c r="AB911" s="184"/>
      <c r="AC911" s="8"/>
      <c r="AD911" s="8"/>
      <c r="AE911" s="8"/>
      <c r="AF911" s="8"/>
      <c r="AG911" s="191"/>
      <c r="AH911" s="191"/>
      <c r="AI911" s="191"/>
      <c r="AJ911" s="8"/>
      <c r="AK911" s="8"/>
      <c r="AL911" s="8"/>
      <c r="AM911" s="8"/>
      <c r="AN911" s="8"/>
      <c r="AO911" s="8"/>
      <c r="AP911" s="8"/>
      <c r="AQ911" s="8"/>
      <c r="AR911" s="8"/>
      <c r="AS911" s="8"/>
      <c r="AT911" s="8"/>
    </row>
    <row r="912">
      <c r="A912" s="197"/>
      <c r="B912" s="198"/>
      <c r="C912" s="379"/>
      <c r="D912" s="197"/>
      <c r="E912" s="198"/>
      <c r="F912" s="379"/>
      <c r="G912" s="197"/>
      <c r="H912" s="198"/>
      <c r="I912" s="379"/>
      <c r="J912" s="197"/>
      <c r="K912" s="198"/>
      <c r="L912" s="379"/>
      <c r="M912" s="197"/>
      <c r="N912" s="198"/>
      <c r="O912" s="379"/>
      <c r="P912" s="197"/>
      <c r="Q912" s="198"/>
      <c r="R912" s="379"/>
      <c r="S912" s="197"/>
      <c r="T912" s="198"/>
      <c r="U912" s="379"/>
      <c r="V912" s="197"/>
      <c r="W912" s="198"/>
      <c r="X912" s="379"/>
      <c r="Y912" s="184"/>
      <c r="Z912" s="184"/>
      <c r="AA912" s="184"/>
      <c r="AB912" s="184"/>
      <c r="AC912" s="8"/>
      <c r="AD912" s="8"/>
      <c r="AE912" s="8"/>
      <c r="AF912" s="8"/>
      <c r="AG912" s="191"/>
      <c r="AH912" s="191"/>
      <c r="AI912" s="191"/>
      <c r="AJ912" s="8"/>
      <c r="AK912" s="8"/>
      <c r="AL912" s="8"/>
      <c r="AM912" s="8"/>
      <c r="AN912" s="8"/>
      <c r="AO912" s="8"/>
      <c r="AP912" s="8"/>
      <c r="AQ912" s="8"/>
      <c r="AR912" s="8"/>
      <c r="AS912" s="8"/>
      <c r="AT912" s="8"/>
    </row>
    <row r="913">
      <c r="A913" s="197"/>
      <c r="B913" s="198"/>
      <c r="C913" s="379"/>
      <c r="D913" s="197"/>
      <c r="E913" s="198"/>
      <c r="F913" s="379"/>
      <c r="G913" s="197"/>
      <c r="H913" s="198"/>
      <c r="I913" s="379"/>
      <c r="J913" s="197"/>
      <c r="K913" s="198"/>
      <c r="L913" s="379"/>
      <c r="M913" s="197"/>
      <c r="N913" s="198"/>
      <c r="O913" s="379"/>
      <c r="P913" s="197"/>
      <c r="Q913" s="198"/>
      <c r="R913" s="379"/>
      <c r="S913" s="197"/>
      <c r="T913" s="198"/>
      <c r="U913" s="379"/>
      <c r="V913" s="197"/>
      <c r="W913" s="198"/>
      <c r="X913" s="379"/>
      <c r="Y913" s="184"/>
      <c r="Z913" s="184"/>
      <c r="AA913" s="184"/>
      <c r="AB913" s="184"/>
      <c r="AC913" s="8"/>
      <c r="AD913" s="8"/>
      <c r="AE913" s="8"/>
      <c r="AF913" s="8"/>
      <c r="AG913" s="191"/>
      <c r="AH913" s="191"/>
      <c r="AI913" s="191"/>
      <c r="AJ913" s="8"/>
      <c r="AK913" s="8"/>
      <c r="AL913" s="8"/>
      <c r="AM913" s="8"/>
      <c r="AN913" s="8"/>
      <c r="AO913" s="8"/>
      <c r="AP913" s="8"/>
      <c r="AQ913" s="8"/>
      <c r="AR913" s="8"/>
      <c r="AS913" s="8"/>
      <c r="AT913" s="8"/>
    </row>
    <row r="914">
      <c r="A914" s="197"/>
      <c r="B914" s="198"/>
      <c r="C914" s="379"/>
      <c r="D914" s="197"/>
      <c r="E914" s="198"/>
      <c r="F914" s="379"/>
      <c r="G914" s="197"/>
      <c r="H914" s="198"/>
      <c r="I914" s="379"/>
      <c r="J914" s="197"/>
      <c r="K914" s="198"/>
      <c r="L914" s="379"/>
      <c r="M914" s="197"/>
      <c r="N914" s="198"/>
      <c r="O914" s="379"/>
      <c r="P914" s="197"/>
      <c r="Q914" s="198"/>
      <c r="R914" s="379"/>
      <c r="S914" s="197"/>
      <c r="T914" s="198"/>
      <c r="U914" s="379"/>
      <c r="V914" s="197"/>
      <c r="W914" s="198"/>
      <c r="X914" s="379"/>
      <c r="Y914" s="184"/>
      <c r="Z914" s="184"/>
      <c r="AA914" s="184"/>
      <c r="AB914" s="184"/>
      <c r="AC914" s="8"/>
      <c r="AD914" s="8"/>
      <c r="AE914" s="8"/>
      <c r="AF914" s="8"/>
      <c r="AG914" s="191"/>
      <c r="AH914" s="191"/>
      <c r="AI914" s="191"/>
      <c r="AJ914" s="8"/>
      <c r="AK914" s="8"/>
      <c r="AL914" s="8"/>
      <c r="AM914" s="8"/>
      <c r="AN914" s="8"/>
      <c r="AO914" s="8"/>
      <c r="AP914" s="8"/>
      <c r="AQ914" s="8"/>
      <c r="AR914" s="8"/>
      <c r="AS914" s="8"/>
      <c r="AT914" s="8"/>
    </row>
    <row r="915">
      <c r="A915" s="197"/>
      <c r="B915" s="198"/>
      <c r="C915" s="379"/>
      <c r="D915" s="197"/>
      <c r="E915" s="198"/>
      <c r="F915" s="379"/>
      <c r="G915" s="197"/>
      <c r="H915" s="198"/>
      <c r="I915" s="379"/>
      <c r="J915" s="197"/>
      <c r="K915" s="198"/>
      <c r="L915" s="379"/>
      <c r="M915" s="197"/>
      <c r="N915" s="198"/>
      <c r="O915" s="379"/>
      <c r="P915" s="197"/>
      <c r="Q915" s="198"/>
      <c r="R915" s="379"/>
      <c r="S915" s="197"/>
      <c r="T915" s="198"/>
      <c r="U915" s="379"/>
      <c r="V915" s="197"/>
      <c r="W915" s="198"/>
      <c r="X915" s="379"/>
      <c r="Y915" s="184"/>
      <c r="Z915" s="184"/>
      <c r="AA915" s="184"/>
      <c r="AB915" s="184"/>
      <c r="AC915" s="8"/>
      <c r="AD915" s="8"/>
      <c r="AE915" s="8"/>
      <c r="AF915" s="8"/>
      <c r="AG915" s="191"/>
      <c r="AH915" s="191"/>
      <c r="AI915" s="191"/>
      <c r="AJ915" s="8"/>
      <c r="AK915" s="8"/>
      <c r="AL915" s="8"/>
      <c r="AM915" s="8"/>
      <c r="AN915" s="8"/>
      <c r="AO915" s="8"/>
      <c r="AP915" s="8"/>
      <c r="AQ915" s="8"/>
      <c r="AR915" s="8"/>
      <c r="AS915" s="8"/>
      <c r="AT915" s="8"/>
    </row>
    <row r="916">
      <c r="A916" s="197"/>
      <c r="B916" s="198"/>
      <c r="C916" s="379"/>
      <c r="D916" s="197"/>
      <c r="E916" s="198"/>
      <c r="F916" s="379"/>
      <c r="G916" s="197"/>
      <c r="H916" s="198"/>
      <c r="I916" s="379"/>
      <c r="J916" s="197"/>
      <c r="K916" s="198"/>
      <c r="L916" s="379"/>
      <c r="M916" s="197"/>
      <c r="N916" s="198"/>
      <c r="O916" s="379"/>
      <c r="P916" s="197"/>
      <c r="Q916" s="198"/>
      <c r="R916" s="379"/>
      <c r="S916" s="197"/>
      <c r="T916" s="198"/>
      <c r="U916" s="379"/>
      <c r="V916" s="197"/>
      <c r="W916" s="198"/>
      <c r="X916" s="379"/>
      <c r="Y916" s="184"/>
      <c r="Z916" s="184"/>
      <c r="AA916" s="184"/>
      <c r="AB916" s="184"/>
      <c r="AC916" s="8"/>
      <c r="AD916" s="8"/>
      <c r="AE916" s="8"/>
      <c r="AF916" s="8"/>
      <c r="AG916" s="191"/>
      <c r="AH916" s="191"/>
      <c r="AI916" s="191"/>
      <c r="AJ916" s="8"/>
      <c r="AK916" s="8"/>
      <c r="AL916" s="8"/>
      <c r="AM916" s="8"/>
      <c r="AN916" s="8"/>
      <c r="AO916" s="8"/>
      <c r="AP916" s="8"/>
      <c r="AQ916" s="8"/>
      <c r="AR916" s="8"/>
      <c r="AS916" s="8"/>
      <c r="AT916" s="8"/>
    </row>
    <row r="917">
      <c r="A917" s="197"/>
      <c r="B917" s="198"/>
      <c r="C917" s="379"/>
      <c r="D917" s="197"/>
      <c r="E917" s="198"/>
      <c r="F917" s="379"/>
      <c r="G917" s="197"/>
      <c r="H917" s="198"/>
      <c r="I917" s="379"/>
      <c r="J917" s="197"/>
      <c r="K917" s="198"/>
      <c r="L917" s="379"/>
      <c r="M917" s="197"/>
      <c r="N917" s="198"/>
      <c r="O917" s="379"/>
      <c r="P917" s="197"/>
      <c r="Q917" s="198"/>
      <c r="R917" s="379"/>
      <c r="S917" s="197"/>
      <c r="T917" s="198"/>
      <c r="U917" s="379"/>
      <c r="V917" s="197"/>
      <c r="W917" s="198"/>
      <c r="X917" s="379"/>
      <c r="Y917" s="184"/>
      <c r="Z917" s="184"/>
      <c r="AA917" s="184"/>
      <c r="AB917" s="184"/>
      <c r="AC917" s="8"/>
      <c r="AD917" s="8"/>
      <c r="AE917" s="8"/>
      <c r="AF917" s="8"/>
      <c r="AG917" s="191"/>
      <c r="AH917" s="191"/>
      <c r="AI917" s="191"/>
      <c r="AJ917" s="8"/>
      <c r="AK917" s="8"/>
      <c r="AL917" s="8"/>
      <c r="AM917" s="8"/>
      <c r="AN917" s="8"/>
      <c r="AO917" s="8"/>
      <c r="AP917" s="8"/>
      <c r="AQ917" s="8"/>
      <c r="AR917" s="8"/>
      <c r="AS917" s="8"/>
      <c r="AT917" s="8"/>
    </row>
    <row r="918">
      <c r="A918" s="197"/>
      <c r="B918" s="198"/>
      <c r="C918" s="379"/>
      <c r="D918" s="197"/>
      <c r="E918" s="198"/>
      <c r="F918" s="379"/>
      <c r="G918" s="197"/>
      <c r="H918" s="198"/>
      <c r="I918" s="379"/>
      <c r="J918" s="197"/>
      <c r="K918" s="198"/>
      <c r="L918" s="379"/>
      <c r="M918" s="197"/>
      <c r="N918" s="198"/>
      <c r="O918" s="379"/>
      <c r="P918" s="197"/>
      <c r="Q918" s="198"/>
      <c r="R918" s="379"/>
      <c r="S918" s="197"/>
      <c r="T918" s="198"/>
      <c r="U918" s="379"/>
      <c r="V918" s="197"/>
      <c r="W918" s="198"/>
      <c r="X918" s="379"/>
      <c r="Y918" s="184"/>
      <c r="Z918" s="184"/>
      <c r="AA918" s="184"/>
      <c r="AB918" s="184"/>
      <c r="AC918" s="8"/>
      <c r="AD918" s="8"/>
      <c r="AE918" s="8"/>
      <c r="AF918" s="8"/>
      <c r="AG918" s="191"/>
      <c r="AH918" s="191"/>
      <c r="AI918" s="191"/>
      <c r="AJ918" s="8"/>
      <c r="AK918" s="8"/>
      <c r="AL918" s="8"/>
      <c r="AM918" s="8"/>
      <c r="AN918" s="8"/>
      <c r="AO918" s="8"/>
      <c r="AP918" s="8"/>
      <c r="AQ918" s="8"/>
      <c r="AR918" s="8"/>
      <c r="AS918" s="8"/>
      <c r="AT918" s="8"/>
    </row>
    <row r="919">
      <c r="A919" s="197"/>
      <c r="B919" s="198"/>
      <c r="C919" s="379"/>
      <c r="D919" s="197"/>
      <c r="E919" s="198"/>
      <c r="F919" s="379"/>
      <c r="G919" s="197"/>
      <c r="H919" s="198"/>
      <c r="I919" s="379"/>
      <c r="J919" s="197"/>
      <c r="K919" s="198"/>
      <c r="L919" s="379"/>
      <c r="M919" s="197"/>
      <c r="N919" s="198"/>
      <c r="O919" s="379"/>
      <c r="P919" s="197"/>
      <c r="Q919" s="198"/>
      <c r="R919" s="379"/>
      <c r="S919" s="197"/>
      <c r="T919" s="198"/>
      <c r="U919" s="379"/>
      <c r="V919" s="197"/>
      <c r="W919" s="198"/>
      <c r="X919" s="379"/>
      <c r="Y919" s="184"/>
      <c r="Z919" s="184"/>
      <c r="AA919" s="184"/>
      <c r="AB919" s="184"/>
      <c r="AC919" s="8"/>
      <c r="AD919" s="8"/>
      <c r="AE919" s="8"/>
      <c r="AF919" s="8"/>
      <c r="AG919" s="191"/>
      <c r="AH919" s="191"/>
      <c r="AI919" s="191"/>
      <c r="AJ919" s="8"/>
      <c r="AK919" s="8"/>
      <c r="AL919" s="8"/>
      <c r="AM919" s="8"/>
      <c r="AN919" s="8"/>
      <c r="AO919" s="8"/>
      <c r="AP919" s="8"/>
      <c r="AQ919" s="8"/>
      <c r="AR919" s="8"/>
      <c r="AS919" s="8"/>
      <c r="AT919" s="8"/>
    </row>
    <row r="920">
      <c r="A920" s="197"/>
      <c r="B920" s="198"/>
      <c r="C920" s="379"/>
      <c r="D920" s="197"/>
      <c r="E920" s="198"/>
      <c r="F920" s="379"/>
      <c r="G920" s="197"/>
      <c r="H920" s="198"/>
      <c r="I920" s="379"/>
      <c r="J920" s="197"/>
      <c r="K920" s="198"/>
      <c r="L920" s="379"/>
      <c r="M920" s="197"/>
      <c r="N920" s="198"/>
      <c r="O920" s="379"/>
      <c r="P920" s="197"/>
      <c r="Q920" s="198"/>
      <c r="R920" s="379"/>
      <c r="S920" s="197"/>
      <c r="T920" s="198"/>
      <c r="U920" s="379"/>
      <c r="V920" s="197"/>
      <c r="W920" s="198"/>
      <c r="X920" s="379"/>
      <c r="Y920" s="184"/>
      <c r="Z920" s="184"/>
      <c r="AA920" s="184"/>
      <c r="AB920" s="184"/>
      <c r="AC920" s="8"/>
      <c r="AD920" s="8"/>
      <c r="AE920" s="8"/>
      <c r="AF920" s="8"/>
      <c r="AG920" s="191"/>
      <c r="AH920" s="191"/>
      <c r="AI920" s="191"/>
      <c r="AJ920" s="8"/>
      <c r="AK920" s="8"/>
      <c r="AL920" s="8"/>
      <c r="AM920" s="8"/>
      <c r="AN920" s="8"/>
      <c r="AO920" s="8"/>
      <c r="AP920" s="8"/>
      <c r="AQ920" s="8"/>
      <c r="AR920" s="8"/>
      <c r="AS920" s="8"/>
      <c r="AT920" s="8"/>
    </row>
    <row r="921">
      <c r="A921" s="197"/>
      <c r="B921" s="198"/>
      <c r="C921" s="379"/>
      <c r="D921" s="197"/>
      <c r="E921" s="198"/>
      <c r="F921" s="379"/>
      <c r="G921" s="197"/>
      <c r="H921" s="198"/>
      <c r="I921" s="379"/>
      <c r="J921" s="197"/>
      <c r="K921" s="198"/>
      <c r="L921" s="379"/>
      <c r="M921" s="197"/>
      <c r="N921" s="198"/>
      <c r="O921" s="379"/>
      <c r="P921" s="197"/>
      <c r="Q921" s="198"/>
      <c r="R921" s="379"/>
      <c r="S921" s="197"/>
      <c r="T921" s="198"/>
      <c r="U921" s="379"/>
      <c r="V921" s="197"/>
      <c r="W921" s="198"/>
      <c r="X921" s="379"/>
      <c r="Y921" s="184"/>
      <c r="Z921" s="184"/>
      <c r="AA921" s="184"/>
      <c r="AB921" s="184"/>
      <c r="AC921" s="8"/>
      <c r="AD921" s="8"/>
      <c r="AE921" s="8"/>
      <c r="AF921" s="8"/>
      <c r="AG921" s="191"/>
      <c r="AH921" s="191"/>
      <c r="AI921" s="191"/>
      <c r="AJ921" s="8"/>
      <c r="AK921" s="8"/>
      <c r="AL921" s="8"/>
      <c r="AM921" s="8"/>
      <c r="AN921" s="8"/>
      <c r="AO921" s="8"/>
      <c r="AP921" s="8"/>
      <c r="AQ921" s="8"/>
      <c r="AR921" s="8"/>
      <c r="AS921" s="8"/>
      <c r="AT921" s="8"/>
    </row>
    <row r="922">
      <c r="A922" s="197"/>
      <c r="B922" s="198"/>
      <c r="C922" s="379"/>
      <c r="D922" s="197"/>
      <c r="E922" s="198"/>
      <c r="F922" s="379"/>
      <c r="G922" s="197"/>
      <c r="H922" s="198"/>
      <c r="I922" s="379"/>
      <c r="J922" s="197"/>
      <c r="K922" s="198"/>
      <c r="L922" s="379"/>
      <c r="M922" s="197"/>
      <c r="N922" s="198"/>
      <c r="O922" s="379"/>
      <c r="P922" s="197"/>
      <c r="Q922" s="198"/>
      <c r="R922" s="379"/>
      <c r="S922" s="197"/>
      <c r="T922" s="198"/>
      <c r="U922" s="379"/>
      <c r="V922" s="197"/>
      <c r="W922" s="198"/>
      <c r="X922" s="379"/>
      <c r="Y922" s="184"/>
      <c r="Z922" s="184"/>
      <c r="AA922" s="184"/>
      <c r="AB922" s="184"/>
      <c r="AC922" s="8"/>
      <c r="AD922" s="8"/>
      <c r="AE922" s="8"/>
      <c r="AF922" s="8"/>
      <c r="AG922" s="191"/>
      <c r="AH922" s="191"/>
      <c r="AI922" s="191"/>
      <c r="AJ922" s="8"/>
      <c r="AK922" s="8"/>
      <c r="AL922" s="8"/>
      <c r="AM922" s="8"/>
      <c r="AN922" s="8"/>
      <c r="AO922" s="8"/>
      <c r="AP922" s="8"/>
      <c r="AQ922" s="8"/>
      <c r="AR922" s="8"/>
      <c r="AS922" s="8"/>
      <c r="AT922" s="8"/>
    </row>
    <row r="923">
      <c r="A923" s="197"/>
      <c r="B923" s="198"/>
      <c r="C923" s="379"/>
      <c r="D923" s="197"/>
      <c r="E923" s="198"/>
      <c r="F923" s="379"/>
      <c r="G923" s="197"/>
      <c r="H923" s="198"/>
      <c r="I923" s="379"/>
      <c r="J923" s="197"/>
      <c r="K923" s="198"/>
      <c r="L923" s="379"/>
      <c r="M923" s="197"/>
      <c r="N923" s="198"/>
      <c r="O923" s="379"/>
      <c r="P923" s="197"/>
      <c r="Q923" s="198"/>
      <c r="R923" s="379"/>
      <c r="S923" s="197"/>
      <c r="T923" s="198"/>
      <c r="U923" s="379"/>
      <c r="V923" s="197"/>
      <c r="W923" s="198"/>
      <c r="X923" s="379"/>
      <c r="Y923" s="184"/>
      <c r="Z923" s="184"/>
      <c r="AA923" s="184"/>
      <c r="AB923" s="184"/>
      <c r="AC923" s="8"/>
      <c r="AD923" s="8"/>
      <c r="AE923" s="8"/>
      <c r="AF923" s="8"/>
      <c r="AG923" s="191"/>
      <c r="AH923" s="191"/>
      <c r="AI923" s="191"/>
      <c r="AJ923" s="8"/>
      <c r="AK923" s="8"/>
      <c r="AL923" s="8"/>
      <c r="AM923" s="8"/>
      <c r="AN923" s="8"/>
      <c r="AO923" s="8"/>
      <c r="AP923" s="8"/>
      <c r="AQ923" s="8"/>
      <c r="AR923" s="8"/>
      <c r="AS923" s="8"/>
      <c r="AT923" s="8"/>
    </row>
    <row r="924">
      <c r="A924" s="197"/>
      <c r="B924" s="198"/>
      <c r="C924" s="379"/>
      <c r="D924" s="197"/>
      <c r="E924" s="198"/>
      <c r="F924" s="379"/>
      <c r="G924" s="197"/>
      <c r="H924" s="198"/>
      <c r="I924" s="379"/>
      <c r="J924" s="197"/>
      <c r="K924" s="198"/>
      <c r="L924" s="379"/>
      <c r="M924" s="197"/>
      <c r="N924" s="198"/>
      <c r="O924" s="379"/>
      <c r="P924" s="197"/>
      <c r="Q924" s="198"/>
      <c r="R924" s="379"/>
      <c r="S924" s="197"/>
      <c r="T924" s="198"/>
      <c r="U924" s="379"/>
      <c r="V924" s="197"/>
      <c r="W924" s="198"/>
      <c r="X924" s="379"/>
      <c r="Y924" s="184"/>
      <c r="Z924" s="184"/>
      <c r="AA924" s="184"/>
      <c r="AB924" s="184"/>
      <c r="AC924" s="8"/>
      <c r="AD924" s="8"/>
      <c r="AE924" s="8"/>
      <c r="AF924" s="8"/>
      <c r="AG924" s="191"/>
      <c r="AH924" s="191"/>
      <c r="AI924" s="191"/>
      <c r="AJ924" s="8"/>
      <c r="AK924" s="8"/>
      <c r="AL924" s="8"/>
      <c r="AM924" s="8"/>
      <c r="AN924" s="8"/>
      <c r="AO924" s="8"/>
      <c r="AP924" s="8"/>
      <c r="AQ924" s="8"/>
      <c r="AR924" s="8"/>
      <c r="AS924" s="8"/>
      <c r="AT924" s="8"/>
    </row>
    <row r="925">
      <c r="A925" s="197"/>
      <c r="B925" s="198"/>
      <c r="C925" s="379"/>
      <c r="D925" s="197"/>
      <c r="E925" s="198"/>
      <c r="F925" s="379"/>
      <c r="G925" s="197"/>
      <c r="H925" s="198"/>
      <c r="I925" s="379"/>
      <c r="J925" s="197"/>
      <c r="K925" s="198"/>
      <c r="L925" s="379"/>
      <c r="M925" s="197"/>
      <c r="N925" s="198"/>
      <c r="O925" s="379"/>
      <c r="P925" s="197"/>
      <c r="Q925" s="198"/>
      <c r="R925" s="379"/>
      <c r="S925" s="197"/>
      <c r="T925" s="198"/>
      <c r="U925" s="379"/>
      <c r="V925" s="197"/>
      <c r="W925" s="198"/>
      <c r="X925" s="379"/>
      <c r="Y925" s="184"/>
      <c r="Z925" s="184"/>
      <c r="AA925" s="184"/>
      <c r="AB925" s="184"/>
      <c r="AC925" s="8"/>
      <c r="AD925" s="8"/>
      <c r="AE925" s="8"/>
      <c r="AF925" s="8"/>
      <c r="AG925" s="191"/>
      <c r="AH925" s="191"/>
      <c r="AI925" s="191"/>
      <c r="AJ925" s="8"/>
      <c r="AK925" s="8"/>
      <c r="AL925" s="8"/>
      <c r="AM925" s="8"/>
      <c r="AN925" s="8"/>
      <c r="AO925" s="8"/>
      <c r="AP925" s="8"/>
      <c r="AQ925" s="8"/>
      <c r="AR925" s="8"/>
      <c r="AS925" s="8"/>
      <c r="AT925" s="8"/>
    </row>
    <row r="926">
      <c r="A926" s="197"/>
      <c r="B926" s="198"/>
      <c r="C926" s="379"/>
      <c r="D926" s="197"/>
      <c r="E926" s="198"/>
      <c r="F926" s="379"/>
      <c r="G926" s="197"/>
      <c r="H926" s="198"/>
      <c r="I926" s="379"/>
      <c r="J926" s="197"/>
      <c r="K926" s="198"/>
      <c r="L926" s="379"/>
      <c r="M926" s="197"/>
      <c r="N926" s="198"/>
      <c r="O926" s="379"/>
      <c r="P926" s="197"/>
      <c r="Q926" s="198"/>
      <c r="R926" s="379"/>
      <c r="S926" s="197"/>
      <c r="T926" s="198"/>
      <c r="U926" s="379"/>
      <c r="V926" s="197"/>
      <c r="W926" s="198"/>
      <c r="X926" s="379"/>
      <c r="Y926" s="184"/>
      <c r="Z926" s="184"/>
      <c r="AA926" s="184"/>
      <c r="AB926" s="184"/>
      <c r="AC926" s="8"/>
      <c r="AD926" s="8"/>
      <c r="AE926" s="8"/>
      <c r="AF926" s="8"/>
      <c r="AG926" s="191"/>
      <c r="AH926" s="191"/>
      <c r="AI926" s="191"/>
      <c r="AJ926" s="8"/>
      <c r="AK926" s="8"/>
      <c r="AL926" s="8"/>
      <c r="AM926" s="8"/>
      <c r="AN926" s="8"/>
      <c r="AO926" s="8"/>
      <c r="AP926" s="8"/>
      <c r="AQ926" s="8"/>
      <c r="AR926" s="8"/>
      <c r="AS926" s="8"/>
      <c r="AT926" s="8"/>
    </row>
    <row r="927">
      <c r="A927" s="197"/>
      <c r="B927" s="198"/>
      <c r="C927" s="379"/>
      <c r="D927" s="197"/>
      <c r="E927" s="198"/>
      <c r="F927" s="379"/>
      <c r="G927" s="197"/>
      <c r="H927" s="198"/>
      <c r="I927" s="379"/>
      <c r="J927" s="197"/>
      <c r="K927" s="198"/>
      <c r="L927" s="379"/>
      <c r="M927" s="197"/>
      <c r="N927" s="198"/>
      <c r="O927" s="379"/>
      <c r="P927" s="197"/>
      <c r="Q927" s="198"/>
      <c r="R927" s="379"/>
      <c r="S927" s="197"/>
      <c r="T927" s="198"/>
      <c r="U927" s="379"/>
      <c r="V927" s="197"/>
      <c r="W927" s="198"/>
      <c r="X927" s="379"/>
      <c r="Y927" s="184"/>
      <c r="Z927" s="184"/>
      <c r="AA927" s="184"/>
      <c r="AB927" s="184"/>
      <c r="AC927" s="8"/>
      <c r="AD927" s="8"/>
      <c r="AE927" s="8"/>
      <c r="AF927" s="8"/>
      <c r="AG927" s="191"/>
      <c r="AH927" s="191"/>
      <c r="AI927" s="191"/>
      <c r="AJ927" s="8"/>
      <c r="AK927" s="8"/>
      <c r="AL927" s="8"/>
      <c r="AM927" s="8"/>
      <c r="AN927" s="8"/>
      <c r="AO927" s="8"/>
      <c r="AP927" s="8"/>
      <c r="AQ927" s="8"/>
      <c r="AR927" s="8"/>
      <c r="AS927" s="8"/>
      <c r="AT927" s="8"/>
    </row>
    <row r="928">
      <c r="A928" s="197"/>
      <c r="B928" s="198"/>
      <c r="C928" s="379"/>
      <c r="D928" s="197"/>
      <c r="E928" s="198"/>
      <c r="F928" s="379"/>
      <c r="G928" s="197"/>
      <c r="H928" s="198"/>
      <c r="I928" s="379"/>
      <c r="J928" s="197"/>
      <c r="K928" s="198"/>
      <c r="L928" s="379"/>
      <c r="M928" s="197"/>
      <c r="N928" s="198"/>
      <c r="O928" s="379"/>
      <c r="P928" s="197"/>
      <c r="Q928" s="198"/>
      <c r="R928" s="379"/>
      <c r="S928" s="197"/>
      <c r="T928" s="198"/>
      <c r="U928" s="379"/>
      <c r="V928" s="197"/>
      <c r="W928" s="198"/>
      <c r="X928" s="379"/>
      <c r="Y928" s="184"/>
      <c r="Z928" s="184"/>
      <c r="AA928" s="184"/>
      <c r="AB928" s="184"/>
      <c r="AC928" s="8"/>
      <c r="AD928" s="8"/>
      <c r="AE928" s="8"/>
      <c r="AF928" s="8"/>
      <c r="AG928" s="191"/>
      <c r="AH928" s="191"/>
      <c r="AI928" s="191"/>
      <c r="AJ928" s="8"/>
      <c r="AK928" s="8"/>
      <c r="AL928" s="8"/>
      <c r="AM928" s="8"/>
      <c r="AN928" s="8"/>
      <c r="AO928" s="8"/>
      <c r="AP928" s="8"/>
      <c r="AQ928" s="8"/>
      <c r="AR928" s="8"/>
      <c r="AS928" s="8"/>
      <c r="AT928" s="8"/>
    </row>
    <row r="929">
      <c r="A929" s="197"/>
      <c r="B929" s="198"/>
      <c r="C929" s="379"/>
      <c r="D929" s="197"/>
      <c r="E929" s="198"/>
      <c r="F929" s="379"/>
      <c r="G929" s="197"/>
      <c r="H929" s="198"/>
      <c r="I929" s="379"/>
      <c r="J929" s="197"/>
      <c r="K929" s="198"/>
      <c r="L929" s="379"/>
      <c r="M929" s="197"/>
      <c r="N929" s="198"/>
      <c r="O929" s="379"/>
      <c r="P929" s="197"/>
      <c r="Q929" s="198"/>
      <c r="R929" s="379"/>
      <c r="S929" s="197"/>
      <c r="T929" s="198"/>
      <c r="U929" s="379"/>
      <c r="V929" s="197"/>
      <c r="W929" s="198"/>
      <c r="X929" s="379"/>
      <c r="Y929" s="184"/>
      <c r="Z929" s="184"/>
      <c r="AA929" s="184"/>
      <c r="AB929" s="184"/>
      <c r="AC929" s="8"/>
      <c r="AD929" s="8"/>
      <c r="AE929" s="8"/>
      <c r="AF929" s="8"/>
      <c r="AG929" s="191"/>
      <c r="AH929" s="191"/>
      <c r="AI929" s="191"/>
      <c r="AJ929" s="8"/>
      <c r="AK929" s="8"/>
      <c r="AL929" s="8"/>
      <c r="AM929" s="8"/>
      <c r="AN929" s="8"/>
      <c r="AO929" s="8"/>
      <c r="AP929" s="8"/>
      <c r="AQ929" s="8"/>
      <c r="AR929" s="8"/>
      <c r="AS929" s="8"/>
      <c r="AT929" s="8"/>
    </row>
    <row r="930">
      <c r="A930" s="197"/>
      <c r="B930" s="198"/>
      <c r="C930" s="379"/>
      <c r="D930" s="197"/>
      <c r="E930" s="198"/>
      <c r="F930" s="379"/>
      <c r="G930" s="197"/>
      <c r="H930" s="198"/>
      <c r="I930" s="379"/>
      <c r="J930" s="197"/>
      <c r="K930" s="198"/>
      <c r="L930" s="379"/>
      <c r="M930" s="197"/>
      <c r="N930" s="198"/>
      <c r="O930" s="379"/>
      <c r="P930" s="197"/>
      <c r="Q930" s="198"/>
      <c r="R930" s="379"/>
      <c r="S930" s="197"/>
      <c r="T930" s="198"/>
      <c r="U930" s="379"/>
      <c r="V930" s="197"/>
      <c r="W930" s="198"/>
      <c r="X930" s="379"/>
      <c r="Y930" s="184"/>
      <c r="Z930" s="184"/>
      <c r="AA930" s="184"/>
      <c r="AB930" s="184"/>
      <c r="AC930" s="8"/>
      <c r="AD930" s="8"/>
      <c r="AE930" s="8"/>
      <c r="AF930" s="8"/>
      <c r="AG930" s="191"/>
      <c r="AH930" s="191"/>
      <c r="AI930" s="191"/>
      <c r="AJ930" s="8"/>
      <c r="AK930" s="8"/>
      <c r="AL930" s="8"/>
      <c r="AM930" s="8"/>
      <c r="AN930" s="8"/>
      <c r="AO930" s="8"/>
      <c r="AP930" s="8"/>
      <c r="AQ930" s="8"/>
      <c r="AR930" s="8"/>
      <c r="AS930" s="8"/>
      <c r="AT930" s="8"/>
    </row>
    <row r="931">
      <c r="A931" s="197"/>
      <c r="B931" s="198"/>
      <c r="C931" s="379"/>
      <c r="D931" s="197"/>
      <c r="E931" s="198"/>
      <c r="F931" s="379"/>
      <c r="G931" s="197"/>
      <c r="H931" s="198"/>
      <c r="I931" s="379"/>
      <c r="J931" s="197"/>
      <c r="K931" s="198"/>
      <c r="L931" s="379"/>
      <c r="M931" s="197"/>
      <c r="N931" s="198"/>
      <c r="O931" s="379"/>
      <c r="P931" s="197"/>
      <c r="Q931" s="198"/>
      <c r="R931" s="379"/>
      <c r="S931" s="197"/>
      <c r="T931" s="198"/>
      <c r="U931" s="379"/>
      <c r="V931" s="197"/>
      <c r="W931" s="198"/>
      <c r="X931" s="379"/>
      <c r="Y931" s="184"/>
      <c r="Z931" s="184"/>
      <c r="AA931" s="184"/>
      <c r="AB931" s="184"/>
      <c r="AC931" s="8"/>
      <c r="AD931" s="8"/>
      <c r="AE931" s="8"/>
      <c r="AF931" s="8"/>
      <c r="AG931" s="191"/>
      <c r="AH931" s="191"/>
      <c r="AI931" s="191"/>
      <c r="AJ931" s="8"/>
      <c r="AK931" s="8"/>
      <c r="AL931" s="8"/>
      <c r="AM931" s="8"/>
      <c r="AN931" s="8"/>
      <c r="AO931" s="8"/>
      <c r="AP931" s="8"/>
      <c r="AQ931" s="8"/>
      <c r="AR931" s="8"/>
      <c r="AS931" s="8"/>
      <c r="AT931" s="8"/>
    </row>
    <row r="932">
      <c r="A932" s="197"/>
      <c r="B932" s="198"/>
      <c r="C932" s="379"/>
      <c r="D932" s="197"/>
      <c r="E932" s="198"/>
      <c r="F932" s="379"/>
      <c r="G932" s="197"/>
      <c r="H932" s="198"/>
      <c r="I932" s="379"/>
      <c r="J932" s="197"/>
      <c r="K932" s="198"/>
      <c r="L932" s="379"/>
      <c r="M932" s="197"/>
      <c r="N932" s="198"/>
      <c r="O932" s="379"/>
      <c r="P932" s="197"/>
      <c r="Q932" s="198"/>
      <c r="R932" s="379"/>
      <c r="S932" s="197"/>
      <c r="T932" s="198"/>
      <c r="U932" s="379"/>
      <c r="V932" s="197"/>
      <c r="W932" s="198"/>
      <c r="X932" s="379"/>
      <c r="Y932" s="184"/>
      <c r="Z932" s="184"/>
      <c r="AA932" s="184"/>
      <c r="AB932" s="184"/>
      <c r="AC932" s="8"/>
      <c r="AD932" s="8"/>
      <c r="AE932" s="8"/>
      <c r="AF932" s="8"/>
      <c r="AG932" s="191"/>
      <c r="AH932" s="191"/>
      <c r="AI932" s="191"/>
      <c r="AJ932" s="8"/>
      <c r="AK932" s="8"/>
      <c r="AL932" s="8"/>
      <c r="AM932" s="8"/>
      <c r="AN932" s="8"/>
      <c r="AO932" s="8"/>
      <c r="AP932" s="8"/>
      <c r="AQ932" s="8"/>
      <c r="AR932" s="8"/>
      <c r="AS932" s="8"/>
      <c r="AT932" s="8"/>
    </row>
    <row r="933">
      <c r="A933" s="197"/>
      <c r="B933" s="198"/>
      <c r="C933" s="379"/>
      <c r="D933" s="197"/>
      <c r="E933" s="198"/>
      <c r="F933" s="379"/>
      <c r="G933" s="197"/>
      <c r="H933" s="198"/>
      <c r="I933" s="379"/>
      <c r="J933" s="197"/>
      <c r="K933" s="198"/>
      <c r="L933" s="379"/>
      <c r="M933" s="197"/>
      <c r="N933" s="198"/>
      <c r="O933" s="379"/>
      <c r="P933" s="197"/>
      <c r="Q933" s="198"/>
      <c r="R933" s="379"/>
      <c r="S933" s="197"/>
      <c r="T933" s="198"/>
      <c r="U933" s="379"/>
      <c r="V933" s="197"/>
      <c r="W933" s="198"/>
      <c r="X933" s="379"/>
      <c r="Y933" s="184"/>
      <c r="Z933" s="184"/>
      <c r="AA933" s="184"/>
      <c r="AB933" s="184"/>
      <c r="AC933" s="8"/>
      <c r="AD933" s="8"/>
      <c r="AE933" s="8"/>
      <c r="AF933" s="8"/>
      <c r="AG933" s="191"/>
      <c r="AH933" s="191"/>
      <c r="AI933" s="191"/>
      <c r="AJ933" s="8"/>
      <c r="AK933" s="8"/>
      <c r="AL933" s="8"/>
      <c r="AM933" s="8"/>
      <c r="AN933" s="8"/>
      <c r="AO933" s="8"/>
      <c r="AP933" s="8"/>
      <c r="AQ933" s="8"/>
      <c r="AR933" s="8"/>
      <c r="AS933" s="8"/>
      <c r="AT933" s="8"/>
    </row>
    <row r="934">
      <c r="A934" s="197"/>
      <c r="B934" s="198"/>
      <c r="C934" s="379"/>
      <c r="D934" s="197"/>
      <c r="E934" s="198"/>
      <c r="F934" s="379"/>
      <c r="G934" s="197"/>
      <c r="H934" s="198"/>
      <c r="I934" s="379"/>
      <c r="J934" s="197"/>
      <c r="K934" s="198"/>
      <c r="L934" s="379"/>
      <c r="M934" s="197"/>
      <c r="N934" s="198"/>
      <c r="O934" s="379"/>
      <c r="P934" s="197"/>
      <c r="Q934" s="198"/>
      <c r="R934" s="379"/>
      <c r="S934" s="197"/>
      <c r="T934" s="198"/>
      <c r="U934" s="379"/>
      <c r="V934" s="197"/>
      <c r="W934" s="198"/>
      <c r="X934" s="379"/>
      <c r="Y934" s="184"/>
      <c r="Z934" s="184"/>
      <c r="AA934" s="184"/>
      <c r="AB934" s="184"/>
      <c r="AC934" s="8"/>
      <c r="AD934" s="8"/>
      <c r="AE934" s="8"/>
      <c r="AF934" s="8"/>
      <c r="AG934" s="191"/>
      <c r="AH934" s="191"/>
      <c r="AI934" s="191"/>
      <c r="AJ934" s="8"/>
      <c r="AK934" s="8"/>
      <c r="AL934" s="8"/>
      <c r="AM934" s="8"/>
      <c r="AN934" s="8"/>
      <c r="AO934" s="8"/>
      <c r="AP934" s="8"/>
      <c r="AQ934" s="8"/>
      <c r="AR934" s="8"/>
      <c r="AS934" s="8"/>
      <c r="AT934" s="8"/>
    </row>
    <row r="935">
      <c r="A935" s="197"/>
      <c r="B935" s="198"/>
      <c r="C935" s="379"/>
      <c r="D935" s="197"/>
      <c r="E935" s="198"/>
      <c r="F935" s="379"/>
      <c r="G935" s="197"/>
      <c r="H935" s="198"/>
      <c r="I935" s="379"/>
      <c r="J935" s="197"/>
      <c r="K935" s="198"/>
      <c r="L935" s="379"/>
      <c r="M935" s="197"/>
      <c r="N935" s="198"/>
      <c r="O935" s="379"/>
      <c r="P935" s="197"/>
      <c r="Q935" s="198"/>
      <c r="R935" s="379"/>
      <c r="S935" s="197"/>
      <c r="T935" s="198"/>
      <c r="U935" s="379"/>
      <c r="V935" s="197"/>
      <c r="W935" s="198"/>
      <c r="X935" s="379"/>
      <c r="Y935" s="184"/>
      <c r="Z935" s="184"/>
      <c r="AA935" s="184"/>
      <c r="AB935" s="184"/>
      <c r="AC935" s="8"/>
      <c r="AD935" s="8"/>
      <c r="AE935" s="8"/>
      <c r="AF935" s="8"/>
      <c r="AG935" s="191"/>
      <c r="AH935" s="191"/>
      <c r="AI935" s="191"/>
      <c r="AJ935" s="8"/>
      <c r="AK935" s="8"/>
      <c r="AL935" s="8"/>
      <c r="AM935" s="8"/>
      <c r="AN935" s="8"/>
      <c r="AO935" s="8"/>
      <c r="AP935" s="8"/>
      <c r="AQ935" s="8"/>
      <c r="AR935" s="8"/>
      <c r="AS935" s="8"/>
      <c r="AT935" s="8"/>
    </row>
    <row r="936">
      <c r="A936" s="197"/>
      <c r="B936" s="198"/>
      <c r="C936" s="379"/>
      <c r="D936" s="197"/>
      <c r="E936" s="198"/>
      <c r="F936" s="379"/>
      <c r="G936" s="197"/>
      <c r="H936" s="198"/>
      <c r="I936" s="379"/>
      <c r="J936" s="197"/>
      <c r="K936" s="198"/>
      <c r="L936" s="379"/>
      <c r="M936" s="197"/>
      <c r="N936" s="198"/>
      <c r="O936" s="379"/>
      <c r="P936" s="197"/>
      <c r="Q936" s="198"/>
      <c r="R936" s="379"/>
      <c r="S936" s="197"/>
      <c r="T936" s="198"/>
      <c r="U936" s="379"/>
      <c r="V936" s="197"/>
      <c r="W936" s="198"/>
      <c r="X936" s="379"/>
      <c r="Y936" s="184"/>
      <c r="Z936" s="184"/>
      <c r="AA936" s="184"/>
      <c r="AB936" s="184"/>
      <c r="AC936" s="8"/>
      <c r="AD936" s="8"/>
      <c r="AE936" s="8"/>
      <c r="AF936" s="8"/>
      <c r="AG936" s="191"/>
      <c r="AH936" s="191"/>
      <c r="AI936" s="191"/>
      <c r="AJ936" s="8"/>
      <c r="AK936" s="8"/>
      <c r="AL936" s="8"/>
      <c r="AM936" s="8"/>
      <c r="AN936" s="8"/>
      <c r="AO936" s="8"/>
      <c r="AP936" s="8"/>
      <c r="AQ936" s="8"/>
      <c r="AR936" s="8"/>
      <c r="AS936" s="8"/>
      <c r="AT936" s="8"/>
    </row>
    <row r="937">
      <c r="A937" s="197"/>
      <c r="B937" s="198"/>
      <c r="C937" s="379"/>
      <c r="D937" s="197"/>
      <c r="E937" s="198"/>
      <c r="F937" s="379"/>
      <c r="G937" s="197"/>
      <c r="H937" s="198"/>
      <c r="I937" s="379"/>
      <c r="J937" s="197"/>
      <c r="K937" s="198"/>
      <c r="L937" s="379"/>
      <c r="M937" s="197"/>
      <c r="N937" s="198"/>
      <c r="O937" s="379"/>
      <c r="P937" s="197"/>
      <c r="Q937" s="198"/>
      <c r="R937" s="379"/>
      <c r="S937" s="197"/>
      <c r="T937" s="198"/>
      <c r="U937" s="379"/>
      <c r="V937" s="197"/>
      <c r="W937" s="198"/>
      <c r="X937" s="379"/>
      <c r="Y937" s="184"/>
      <c r="Z937" s="184"/>
      <c r="AA937" s="184"/>
      <c r="AB937" s="184"/>
      <c r="AC937" s="8"/>
      <c r="AD937" s="8"/>
      <c r="AE937" s="8"/>
      <c r="AF937" s="8"/>
      <c r="AG937" s="191"/>
      <c r="AH937" s="191"/>
      <c r="AI937" s="191"/>
      <c r="AJ937" s="8"/>
      <c r="AK937" s="8"/>
      <c r="AL937" s="8"/>
      <c r="AM937" s="8"/>
      <c r="AN937" s="8"/>
      <c r="AO937" s="8"/>
      <c r="AP937" s="8"/>
      <c r="AQ937" s="8"/>
      <c r="AR937" s="8"/>
      <c r="AS937" s="8"/>
      <c r="AT937" s="8"/>
    </row>
    <row r="938">
      <c r="A938" s="197"/>
      <c r="B938" s="198"/>
      <c r="C938" s="379"/>
      <c r="D938" s="197"/>
      <c r="E938" s="198"/>
      <c r="F938" s="379"/>
      <c r="G938" s="197"/>
      <c r="H938" s="198"/>
      <c r="I938" s="379"/>
      <c r="J938" s="197"/>
      <c r="K938" s="198"/>
      <c r="L938" s="379"/>
      <c r="M938" s="197"/>
      <c r="N938" s="198"/>
      <c r="O938" s="379"/>
      <c r="P938" s="197"/>
      <c r="Q938" s="198"/>
      <c r="R938" s="379"/>
      <c r="S938" s="197"/>
      <c r="T938" s="198"/>
      <c r="U938" s="379"/>
      <c r="V938" s="197"/>
      <c r="W938" s="198"/>
      <c r="X938" s="379"/>
      <c r="Y938" s="184"/>
      <c r="Z938" s="184"/>
      <c r="AA938" s="184"/>
      <c r="AB938" s="184"/>
      <c r="AC938" s="8"/>
      <c r="AD938" s="8"/>
      <c r="AE938" s="8"/>
      <c r="AF938" s="8"/>
      <c r="AG938" s="191"/>
      <c r="AH938" s="191"/>
      <c r="AI938" s="191"/>
      <c r="AJ938" s="8"/>
      <c r="AK938" s="8"/>
      <c r="AL938" s="8"/>
      <c r="AM938" s="8"/>
      <c r="AN938" s="8"/>
      <c r="AO938" s="8"/>
      <c r="AP938" s="8"/>
      <c r="AQ938" s="8"/>
      <c r="AR938" s="8"/>
      <c r="AS938" s="8"/>
      <c r="AT938" s="8"/>
    </row>
    <row r="939">
      <c r="A939" s="197"/>
      <c r="B939" s="198"/>
      <c r="C939" s="379"/>
      <c r="D939" s="197"/>
      <c r="E939" s="198"/>
      <c r="F939" s="379"/>
      <c r="G939" s="197"/>
      <c r="H939" s="198"/>
      <c r="I939" s="379"/>
      <c r="J939" s="197"/>
      <c r="K939" s="198"/>
      <c r="L939" s="379"/>
      <c r="M939" s="197"/>
      <c r="N939" s="198"/>
      <c r="O939" s="379"/>
      <c r="P939" s="197"/>
      <c r="Q939" s="198"/>
      <c r="R939" s="379"/>
      <c r="S939" s="197"/>
      <c r="T939" s="198"/>
      <c r="U939" s="379"/>
      <c r="V939" s="197"/>
      <c r="W939" s="198"/>
      <c r="X939" s="379"/>
      <c r="Y939" s="184"/>
      <c r="Z939" s="184"/>
      <c r="AA939" s="184"/>
      <c r="AB939" s="184"/>
      <c r="AC939" s="8"/>
      <c r="AD939" s="8"/>
      <c r="AE939" s="8"/>
      <c r="AF939" s="8"/>
      <c r="AG939" s="191"/>
      <c r="AH939" s="191"/>
      <c r="AI939" s="191"/>
      <c r="AJ939" s="8"/>
      <c r="AK939" s="8"/>
      <c r="AL939" s="8"/>
      <c r="AM939" s="8"/>
      <c r="AN939" s="8"/>
      <c r="AO939" s="8"/>
      <c r="AP939" s="8"/>
      <c r="AQ939" s="8"/>
      <c r="AR939" s="8"/>
      <c r="AS939" s="8"/>
      <c r="AT939" s="8"/>
    </row>
    <row r="940">
      <c r="A940" s="197"/>
      <c r="B940" s="198"/>
      <c r="C940" s="379"/>
      <c r="D940" s="197"/>
      <c r="E940" s="198"/>
      <c r="F940" s="379"/>
      <c r="G940" s="197"/>
      <c r="H940" s="198"/>
      <c r="I940" s="379"/>
      <c r="J940" s="197"/>
      <c r="K940" s="198"/>
      <c r="L940" s="379"/>
      <c r="M940" s="197"/>
      <c r="N940" s="198"/>
      <c r="O940" s="379"/>
      <c r="P940" s="197"/>
      <c r="Q940" s="198"/>
      <c r="R940" s="379"/>
      <c r="S940" s="197"/>
      <c r="T940" s="198"/>
      <c r="U940" s="379"/>
      <c r="V940" s="197"/>
      <c r="W940" s="198"/>
      <c r="X940" s="379"/>
      <c r="Y940" s="184"/>
      <c r="Z940" s="184"/>
      <c r="AA940" s="184"/>
      <c r="AB940" s="184"/>
      <c r="AC940" s="8"/>
      <c r="AD940" s="8"/>
      <c r="AE940" s="8"/>
      <c r="AF940" s="8"/>
      <c r="AG940" s="191"/>
      <c r="AH940" s="191"/>
      <c r="AI940" s="191"/>
      <c r="AJ940" s="8"/>
      <c r="AK940" s="8"/>
      <c r="AL940" s="8"/>
      <c r="AM940" s="8"/>
      <c r="AN940" s="8"/>
      <c r="AO940" s="8"/>
      <c r="AP940" s="8"/>
      <c r="AQ940" s="8"/>
      <c r="AR940" s="8"/>
      <c r="AS940" s="8"/>
      <c r="AT940" s="8"/>
    </row>
    <row r="941">
      <c r="A941" s="197"/>
      <c r="B941" s="198"/>
      <c r="C941" s="379"/>
      <c r="D941" s="197"/>
      <c r="E941" s="198"/>
      <c r="F941" s="379"/>
      <c r="G941" s="197"/>
      <c r="H941" s="198"/>
      <c r="I941" s="379"/>
      <c r="J941" s="197"/>
      <c r="K941" s="198"/>
      <c r="L941" s="379"/>
      <c r="M941" s="197"/>
      <c r="N941" s="198"/>
      <c r="O941" s="379"/>
      <c r="P941" s="197"/>
      <c r="Q941" s="198"/>
      <c r="R941" s="379"/>
      <c r="S941" s="197"/>
      <c r="T941" s="198"/>
      <c r="U941" s="379"/>
      <c r="V941" s="197"/>
      <c r="W941" s="198"/>
      <c r="X941" s="379"/>
      <c r="Y941" s="184"/>
      <c r="Z941" s="184"/>
      <c r="AA941" s="184"/>
      <c r="AB941" s="184"/>
      <c r="AC941" s="8"/>
      <c r="AD941" s="8"/>
      <c r="AE941" s="8"/>
      <c r="AF941" s="8"/>
      <c r="AG941" s="191"/>
      <c r="AH941" s="191"/>
      <c r="AI941" s="191"/>
      <c r="AJ941" s="8"/>
      <c r="AK941" s="8"/>
      <c r="AL941" s="8"/>
      <c r="AM941" s="8"/>
      <c r="AN941" s="8"/>
      <c r="AO941" s="8"/>
      <c r="AP941" s="8"/>
      <c r="AQ941" s="8"/>
      <c r="AR941" s="8"/>
      <c r="AS941" s="8"/>
      <c r="AT941" s="8"/>
    </row>
    <row r="942">
      <c r="A942" s="197"/>
      <c r="B942" s="198"/>
      <c r="C942" s="379"/>
      <c r="D942" s="197"/>
      <c r="E942" s="198"/>
      <c r="F942" s="379"/>
      <c r="G942" s="197"/>
      <c r="H942" s="198"/>
      <c r="I942" s="379"/>
      <c r="J942" s="197"/>
      <c r="K942" s="198"/>
      <c r="L942" s="379"/>
      <c r="M942" s="197"/>
      <c r="N942" s="198"/>
      <c r="O942" s="379"/>
      <c r="P942" s="197"/>
      <c r="Q942" s="198"/>
      <c r="R942" s="379"/>
      <c r="S942" s="197"/>
      <c r="T942" s="198"/>
      <c r="U942" s="379"/>
      <c r="V942" s="197"/>
      <c r="W942" s="198"/>
      <c r="X942" s="379"/>
      <c r="Y942" s="184"/>
      <c r="Z942" s="184"/>
      <c r="AA942" s="184"/>
      <c r="AB942" s="184"/>
      <c r="AC942" s="8"/>
      <c r="AD942" s="8"/>
      <c r="AE942" s="8"/>
      <c r="AF942" s="8"/>
      <c r="AG942" s="191"/>
      <c r="AH942" s="191"/>
      <c r="AI942" s="191"/>
      <c r="AJ942" s="8"/>
      <c r="AK942" s="8"/>
      <c r="AL942" s="8"/>
      <c r="AM942" s="8"/>
      <c r="AN942" s="8"/>
      <c r="AO942" s="8"/>
      <c r="AP942" s="8"/>
      <c r="AQ942" s="8"/>
      <c r="AR942" s="8"/>
      <c r="AS942" s="8"/>
      <c r="AT942" s="8"/>
    </row>
    <row r="943">
      <c r="A943" s="197"/>
      <c r="B943" s="198"/>
      <c r="C943" s="379"/>
      <c r="D943" s="197"/>
      <c r="E943" s="198"/>
      <c r="F943" s="379"/>
      <c r="G943" s="197"/>
      <c r="H943" s="198"/>
      <c r="I943" s="379"/>
      <c r="J943" s="197"/>
      <c r="K943" s="198"/>
      <c r="L943" s="379"/>
      <c r="M943" s="197"/>
      <c r="N943" s="198"/>
      <c r="O943" s="379"/>
      <c r="P943" s="197"/>
      <c r="Q943" s="198"/>
      <c r="R943" s="379"/>
      <c r="S943" s="197"/>
      <c r="T943" s="198"/>
      <c r="U943" s="379"/>
      <c r="V943" s="197"/>
      <c r="W943" s="198"/>
      <c r="X943" s="379"/>
      <c r="Y943" s="184"/>
      <c r="Z943" s="184"/>
      <c r="AA943" s="184"/>
      <c r="AB943" s="184"/>
      <c r="AC943" s="8"/>
      <c r="AD943" s="8"/>
      <c r="AE943" s="8"/>
      <c r="AF943" s="8"/>
      <c r="AG943" s="191"/>
      <c r="AH943" s="191"/>
      <c r="AI943" s="191"/>
      <c r="AJ943" s="8"/>
      <c r="AK943" s="8"/>
      <c r="AL943" s="8"/>
      <c r="AM943" s="8"/>
      <c r="AN943" s="8"/>
      <c r="AO943" s="8"/>
      <c r="AP943" s="8"/>
      <c r="AQ943" s="8"/>
      <c r="AR943" s="8"/>
      <c r="AS943" s="8"/>
      <c r="AT943" s="8"/>
    </row>
    <row r="944">
      <c r="A944" s="197"/>
      <c r="B944" s="198"/>
      <c r="C944" s="379"/>
      <c r="D944" s="197"/>
      <c r="E944" s="198"/>
      <c r="F944" s="379"/>
      <c r="G944" s="197"/>
      <c r="H944" s="198"/>
      <c r="I944" s="379"/>
      <c r="J944" s="197"/>
      <c r="K944" s="198"/>
      <c r="L944" s="379"/>
      <c r="M944" s="197"/>
      <c r="N944" s="198"/>
      <c r="O944" s="379"/>
      <c r="P944" s="197"/>
      <c r="Q944" s="198"/>
      <c r="R944" s="379"/>
      <c r="S944" s="197"/>
      <c r="T944" s="198"/>
      <c r="U944" s="379"/>
      <c r="V944" s="197"/>
      <c r="W944" s="198"/>
      <c r="X944" s="379"/>
      <c r="Y944" s="184"/>
      <c r="Z944" s="184"/>
      <c r="AA944" s="184"/>
      <c r="AB944" s="184"/>
      <c r="AC944" s="8"/>
      <c r="AD944" s="8"/>
      <c r="AE944" s="8"/>
      <c r="AF944" s="8"/>
      <c r="AG944" s="191"/>
      <c r="AH944" s="191"/>
      <c r="AI944" s="191"/>
      <c r="AJ944" s="8"/>
      <c r="AK944" s="8"/>
      <c r="AL944" s="8"/>
      <c r="AM944" s="8"/>
      <c r="AN944" s="8"/>
      <c r="AO944" s="8"/>
      <c r="AP944" s="8"/>
      <c r="AQ944" s="8"/>
      <c r="AR944" s="8"/>
      <c r="AS944" s="8"/>
      <c r="AT944" s="8"/>
    </row>
    <row r="945">
      <c r="A945" s="197"/>
      <c r="B945" s="198"/>
      <c r="C945" s="379"/>
      <c r="D945" s="197"/>
      <c r="E945" s="198"/>
      <c r="F945" s="379"/>
      <c r="G945" s="197"/>
      <c r="H945" s="198"/>
      <c r="I945" s="379"/>
      <c r="J945" s="197"/>
      <c r="K945" s="198"/>
      <c r="L945" s="379"/>
      <c r="M945" s="197"/>
      <c r="N945" s="198"/>
      <c r="O945" s="379"/>
      <c r="P945" s="197"/>
      <c r="Q945" s="198"/>
      <c r="R945" s="379"/>
      <c r="S945" s="197"/>
      <c r="T945" s="198"/>
      <c r="U945" s="379"/>
      <c r="V945" s="197"/>
      <c r="W945" s="198"/>
      <c r="X945" s="379"/>
      <c r="Y945" s="184"/>
      <c r="Z945" s="184"/>
      <c r="AA945" s="184"/>
      <c r="AB945" s="184"/>
      <c r="AC945" s="8"/>
      <c r="AD945" s="8"/>
      <c r="AE945" s="8"/>
      <c r="AF945" s="8"/>
      <c r="AG945" s="191"/>
      <c r="AH945" s="191"/>
      <c r="AI945" s="191"/>
      <c r="AJ945" s="8"/>
      <c r="AK945" s="8"/>
      <c r="AL945" s="8"/>
      <c r="AM945" s="8"/>
      <c r="AN945" s="8"/>
      <c r="AO945" s="8"/>
      <c r="AP945" s="8"/>
      <c r="AQ945" s="8"/>
      <c r="AR945" s="8"/>
      <c r="AS945" s="8"/>
      <c r="AT945" s="8"/>
    </row>
    <row r="946">
      <c r="A946" s="197"/>
      <c r="B946" s="198"/>
      <c r="C946" s="379"/>
      <c r="D946" s="197"/>
      <c r="E946" s="198"/>
      <c r="F946" s="379"/>
      <c r="G946" s="197"/>
      <c r="H946" s="198"/>
      <c r="I946" s="379"/>
      <c r="J946" s="197"/>
      <c r="K946" s="198"/>
      <c r="L946" s="379"/>
      <c r="M946" s="197"/>
      <c r="N946" s="198"/>
      <c r="O946" s="379"/>
      <c r="P946" s="197"/>
      <c r="Q946" s="198"/>
      <c r="R946" s="379"/>
      <c r="S946" s="197"/>
      <c r="T946" s="198"/>
      <c r="U946" s="379"/>
      <c r="V946" s="197"/>
      <c r="W946" s="198"/>
      <c r="X946" s="379"/>
      <c r="Y946" s="184"/>
      <c r="Z946" s="184"/>
      <c r="AA946" s="184"/>
      <c r="AB946" s="184"/>
      <c r="AC946" s="8"/>
      <c r="AD946" s="8"/>
      <c r="AE946" s="8"/>
      <c r="AF946" s="8"/>
      <c r="AG946" s="191"/>
      <c r="AH946" s="191"/>
      <c r="AI946" s="191"/>
      <c r="AJ946" s="8"/>
      <c r="AK946" s="8"/>
      <c r="AL946" s="8"/>
      <c r="AM946" s="8"/>
      <c r="AN946" s="8"/>
      <c r="AO946" s="8"/>
      <c r="AP946" s="8"/>
      <c r="AQ946" s="8"/>
      <c r="AR946" s="8"/>
      <c r="AS946" s="8"/>
      <c r="AT946" s="8"/>
    </row>
    <row r="947">
      <c r="A947" s="197"/>
      <c r="B947" s="198"/>
      <c r="C947" s="379"/>
      <c r="D947" s="197"/>
      <c r="E947" s="198"/>
      <c r="F947" s="379"/>
      <c r="G947" s="197"/>
      <c r="H947" s="198"/>
      <c r="I947" s="379"/>
      <c r="J947" s="197"/>
      <c r="K947" s="198"/>
      <c r="L947" s="379"/>
      <c r="M947" s="197"/>
      <c r="N947" s="198"/>
      <c r="O947" s="379"/>
      <c r="P947" s="197"/>
      <c r="Q947" s="198"/>
      <c r="R947" s="379"/>
      <c r="S947" s="197"/>
      <c r="T947" s="198"/>
      <c r="U947" s="379"/>
      <c r="V947" s="197"/>
      <c r="W947" s="198"/>
      <c r="X947" s="379"/>
      <c r="Y947" s="184"/>
      <c r="Z947" s="184"/>
      <c r="AA947" s="184"/>
      <c r="AB947" s="184"/>
      <c r="AC947" s="8"/>
      <c r="AD947" s="8"/>
      <c r="AE947" s="8"/>
      <c r="AF947" s="8"/>
      <c r="AG947" s="191"/>
      <c r="AH947" s="191"/>
      <c r="AI947" s="191"/>
      <c r="AJ947" s="8"/>
      <c r="AK947" s="8"/>
      <c r="AL947" s="8"/>
      <c r="AM947" s="8"/>
      <c r="AN947" s="8"/>
      <c r="AO947" s="8"/>
      <c r="AP947" s="8"/>
      <c r="AQ947" s="8"/>
      <c r="AR947" s="8"/>
      <c r="AS947" s="8"/>
      <c r="AT947" s="8"/>
    </row>
    <row r="948">
      <c r="A948" s="197"/>
      <c r="B948" s="198"/>
      <c r="C948" s="379"/>
      <c r="D948" s="197"/>
      <c r="E948" s="198"/>
      <c r="F948" s="379"/>
      <c r="G948" s="197"/>
      <c r="H948" s="198"/>
      <c r="I948" s="379"/>
      <c r="J948" s="197"/>
      <c r="K948" s="198"/>
      <c r="L948" s="379"/>
      <c r="M948" s="197"/>
      <c r="N948" s="198"/>
      <c r="O948" s="379"/>
      <c r="P948" s="197"/>
      <c r="Q948" s="198"/>
      <c r="R948" s="379"/>
      <c r="S948" s="197"/>
      <c r="T948" s="198"/>
      <c r="U948" s="379"/>
      <c r="V948" s="197"/>
      <c r="W948" s="198"/>
      <c r="X948" s="379"/>
      <c r="Y948" s="184"/>
      <c r="Z948" s="184"/>
      <c r="AA948" s="184"/>
      <c r="AB948" s="184"/>
      <c r="AC948" s="8"/>
      <c r="AD948" s="8"/>
      <c r="AE948" s="8"/>
      <c r="AF948" s="8"/>
      <c r="AG948" s="191"/>
      <c r="AH948" s="191"/>
      <c r="AI948" s="191"/>
      <c r="AJ948" s="8"/>
      <c r="AK948" s="8"/>
      <c r="AL948" s="8"/>
      <c r="AM948" s="8"/>
      <c r="AN948" s="8"/>
      <c r="AO948" s="8"/>
      <c r="AP948" s="8"/>
      <c r="AQ948" s="8"/>
      <c r="AR948" s="8"/>
      <c r="AS948" s="8"/>
      <c r="AT948" s="8"/>
    </row>
    <row r="949">
      <c r="A949" s="197"/>
      <c r="B949" s="198"/>
      <c r="C949" s="379"/>
      <c r="D949" s="197"/>
      <c r="E949" s="198"/>
      <c r="F949" s="379"/>
      <c r="G949" s="197"/>
      <c r="H949" s="198"/>
      <c r="I949" s="379"/>
      <c r="J949" s="197"/>
      <c r="K949" s="198"/>
      <c r="L949" s="379"/>
      <c r="M949" s="197"/>
      <c r="N949" s="198"/>
      <c r="O949" s="379"/>
      <c r="P949" s="197"/>
      <c r="Q949" s="198"/>
      <c r="R949" s="379"/>
      <c r="S949" s="197"/>
      <c r="T949" s="198"/>
      <c r="U949" s="379"/>
      <c r="V949" s="197"/>
      <c r="W949" s="198"/>
      <c r="X949" s="379"/>
      <c r="Y949" s="184"/>
      <c r="Z949" s="184"/>
      <c r="AA949" s="184"/>
      <c r="AB949" s="184"/>
      <c r="AC949" s="8"/>
      <c r="AD949" s="8"/>
      <c r="AE949" s="8"/>
      <c r="AF949" s="8"/>
      <c r="AG949" s="191"/>
      <c r="AH949" s="191"/>
      <c r="AI949" s="191"/>
      <c r="AJ949" s="8"/>
      <c r="AK949" s="8"/>
      <c r="AL949" s="8"/>
      <c r="AM949" s="8"/>
      <c r="AN949" s="8"/>
      <c r="AO949" s="8"/>
      <c r="AP949" s="8"/>
      <c r="AQ949" s="8"/>
      <c r="AR949" s="8"/>
      <c r="AS949" s="8"/>
      <c r="AT949" s="8"/>
    </row>
    <row r="950">
      <c r="A950" s="197"/>
      <c r="B950" s="198"/>
      <c r="C950" s="379"/>
      <c r="D950" s="197"/>
      <c r="E950" s="198"/>
      <c r="F950" s="379"/>
      <c r="G950" s="197"/>
      <c r="H950" s="198"/>
      <c r="I950" s="379"/>
      <c r="J950" s="197"/>
      <c r="K950" s="198"/>
      <c r="L950" s="379"/>
      <c r="M950" s="197"/>
      <c r="N950" s="198"/>
      <c r="O950" s="379"/>
      <c r="P950" s="197"/>
      <c r="Q950" s="198"/>
      <c r="R950" s="379"/>
      <c r="S950" s="197"/>
      <c r="T950" s="198"/>
      <c r="U950" s="379"/>
      <c r="V950" s="197"/>
      <c r="W950" s="198"/>
      <c r="X950" s="379"/>
      <c r="Y950" s="184"/>
      <c r="Z950" s="184"/>
      <c r="AA950" s="184"/>
      <c r="AB950" s="184"/>
      <c r="AC950" s="8"/>
      <c r="AD950" s="8"/>
      <c r="AE950" s="8"/>
      <c r="AF950" s="8"/>
      <c r="AG950" s="191"/>
      <c r="AH950" s="191"/>
      <c r="AI950" s="191"/>
      <c r="AJ950" s="8"/>
      <c r="AK950" s="8"/>
      <c r="AL950" s="8"/>
      <c r="AM950" s="8"/>
      <c r="AN950" s="8"/>
      <c r="AO950" s="8"/>
      <c r="AP950" s="8"/>
      <c r="AQ950" s="8"/>
      <c r="AR950" s="8"/>
      <c r="AS950" s="8"/>
      <c r="AT950" s="8"/>
    </row>
    <row r="951">
      <c r="A951" s="197"/>
      <c r="B951" s="198"/>
      <c r="C951" s="379"/>
      <c r="D951" s="197"/>
      <c r="E951" s="198"/>
      <c r="F951" s="379"/>
      <c r="G951" s="197"/>
      <c r="H951" s="198"/>
      <c r="I951" s="379"/>
      <c r="J951" s="197"/>
      <c r="K951" s="198"/>
      <c r="L951" s="379"/>
      <c r="M951" s="197"/>
      <c r="N951" s="198"/>
      <c r="O951" s="379"/>
      <c r="P951" s="197"/>
      <c r="Q951" s="198"/>
      <c r="R951" s="379"/>
      <c r="S951" s="197"/>
      <c r="T951" s="198"/>
      <c r="U951" s="379"/>
      <c r="V951" s="197"/>
      <c r="W951" s="198"/>
      <c r="X951" s="379"/>
      <c r="Y951" s="184"/>
      <c r="Z951" s="184"/>
      <c r="AA951" s="184"/>
      <c r="AB951" s="184"/>
      <c r="AC951" s="8"/>
      <c r="AD951" s="8"/>
      <c r="AE951" s="8"/>
      <c r="AF951" s="8"/>
      <c r="AG951" s="191"/>
      <c r="AH951" s="191"/>
      <c r="AI951" s="191"/>
      <c r="AJ951" s="8"/>
      <c r="AK951" s="8"/>
      <c r="AL951" s="8"/>
      <c r="AM951" s="8"/>
      <c r="AN951" s="8"/>
      <c r="AO951" s="8"/>
      <c r="AP951" s="8"/>
      <c r="AQ951" s="8"/>
      <c r="AR951" s="8"/>
      <c r="AS951" s="8"/>
      <c r="AT951" s="8"/>
    </row>
    <row r="952">
      <c r="A952" s="197"/>
      <c r="B952" s="198"/>
      <c r="C952" s="379"/>
      <c r="D952" s="197"/>
      <c r="E952" s="198"/>
      <c r="F952" s="379"/>
      <c r="G952" s="197"/>
      <c r="H952" s="198"/>
      <c r="I952" s="379"/>
      <c r="J952" s="197"/>
      <c r="K952" s="198"/>
      <c r="L952" s="379"/>
      <c r="M952" s="197"/>
      <c r="N952" s="198"/>
      <c r="O952" s="379"/>
      <c r="P952" s="197"/>
      <c r="Q952" s="198"/>
      <c r="R952" s="379"/>
      <c r="S952" s="197"/>
      <c r="T952" s="198"/>
      <c r="U952" s="379"/>
      <c r="V952" s="197"/>
      <c r="W952" s="198"/>
      <c r="X952" s="379"/>
      <c r="Y952" s="184"/>
      <c r="Z952" s="184"/>
      <c r="AA952" s="184"/>
      <c r="AB952" s="184"/>
      <c r="AC952" s="8"/>
      <c r="AD952" s="8"/>
      <c r="AE952" s="8"/>
      <c r="AF952" s="8"/>
      <c r="AG952" s="191"/>
      <c r="AH952" s="191"/>
      <c r="AI952" s="191"/>
      <c r="AJ952" s="8"/>
      <c r="AK952" s="8"/>
      <c r="AL952" s="8"/>
      <c r="AM952" s="8"/>
      <c r="AN952" s="8"/>
      <c r="AO952" s="8"/>
      <c r="AP952" s="8"/>
      <c r="AQ952" s="8"/>
      <c r="AR952" s="8"/>
      <c r="AS952" s="8"/>
      <c r="AT952" s="8"/>
    </row>
    <row r="953">
      <c r="A953" s="197"/>
      <c r="B953" s="198"/>
      <c r="C953" s="379"/>
      <c r="D953" s="197"/>
      <c r="E953" s="198"/>
      <c r="F953" s="379"/>
      <c r="G953" s="197"/>
      <c r="H953" s="198"/>
      <c r="I953" s="379"/>
      <c r="J953" s="197"/>
      <c r="K953" s="198"/>
      <c r="L953" s="379"/>
      <c r="M953" s="197"/>
      <c r="N953" s="198"/>
      <c r="O953" s="379"/>
      <c r="P953" s="197"/>
      <c r="Q953" s="198"/>
      <c r="R953" s="379"/>
      <c r="S953" s="197"/>
      <c r="T953" s="198"/>
      <c r="U953" s="379"/>
      <c r="V953" s="197"/>
      <c r="W953" s="198"/>
      <c r="X953" s="379"/>
      <c r="Y953" s="184"/>
      <c r="Z953" s="184"/>
      <c r="AA953" s="184"/>
      <c r="AB953" s="184"/>
      <c r="AC953" s="8"/>
      <c r="AD953" s="8"/>
      <c r="AE953" s="8"/>
      <c r="AF953" s="8"/>
      <c r="AG953" s="191"/>
      <c r="AH953" s="191"/>
      <c r="AI953" s="191"/>
      <c r="AJ953" s="8"/>
      <c r="AK953" s="8"/>
      <c r="AL953" s="8"/>
      <c r="AM953" s="8"/>
      <c r="AN953" s="8"/>
      <c r="AO953" s="8"/>
      <c r="AP953" s="8"/>
      <c r="AQ953" s="8"/>
      <c r="AR953" s="8"/>
      <c r="AS953" s="8"/>
      <c r="AT953" s="8"/>
    </row>
    <row r="954">
      <c r="A954" s="197"/>
      <c r="B954" s="198"/>
      <c r="C954" s="379"/>
      <c r="D954" s="197"/>
      <c r="E954" s="198"/>
      <c r="F954" s="379"/>
      <c r="G954" s="197"/>
      <c r="H954" s="198"/>
      <c r="I954" s="379"/>
      <c r="J954" s="197"/>
      <c r="K954" s="198"/>
      <c r="L954" s="379"/>
      <c r="M954" s="197"/>
      <c r="N954" s="198"/>
      <c r="O954" s="379"/>
      <c r="P954" s="197"/>
      <c r="Q954" s="198"/>
      <c r="R954" s="379"/>
      <c r="S954" s="197"/>
      <c r="T954" s="198"/>
      <c r="U954" s="379"/>
      <c r="V954" s="197"/>
      <c r="W954" s="198"/>
      <c r="X954" s="379"/>
      <c r="Y954" s="184"/>
      <c r="Z954" s="184"/>
      <c r="AA954" s="184"/>
      <c r="AB954" s="184"/>
      <c r="AC954" s="8"/>
      <c r="AD954" s="8"/>
      <c r="AE954" s="8"/>
      <c r="AF954" s="8"/>
      <c r="AG954" s="191"/>
      <c r="AH954" s="191"/>
      <c r="AI954" s="191"/>
      <c r="AJ954" s="8"/>
      <c r="AK954" s="8"/>
      <c r="AL954" s="8"/>
      <c r="AM954" s="8"/>
      <c r="AN954" s="8"/>
      <c r="AO954" s="8"/>
      <c r="AP954" s="8"/>
      <c r="AQ954" s="8"/>
      <c r="AR954" s="8"/>
      <c r="AS954" s="8"/>
      <c r="AT954" s="8"/>
    </row>
    <row r="955">
      <c r="A955" s="197"/>
      <c r="B955" s="198"/>
      <c r="C955" s="379"/>
      <c r="D955" s="197"/>
      <c r="E955" s="198"/>
      <c r="F955" s="379"/>
      <c r="G955" s="197"/>
      <c r="H955" s="198"/>
      <c r="I955" s="379"/>
      <c r="J955" s="197"/>
      <c r="K955" s="198"/>
      <c r="L955" s="379"/>
      <c r="M955" s="197"/>
      <c r="N955" s="198"/>
      <c r="O955" s="379"/>
      <c r="P955" s="197"/>
      <c r="Q955" s="198"/>
      <c r="R955" s="379"/>
      <c r="S955" s="197"/>
      <c r="T955" s="198"/>
      <c r="U955" s="379"/>
      <c r="V955" s="197"/>
      <c r="W955" s="198"/>
      <c r="X955" s="379"/>
      <c r="Y955" s="184"/>
      <c r="Z955" s="184"/>
      <c r="AA955" s="184"/>
      <c r="AB955" s="184"/>
      <c r="AC955" s="8"/>
      <c r="AD955" s="8"/>
      <c r="AE955" s="8"/>
      <c r="AF955" s="8"/>
      <c r="AG955" s="191"/>
      <c r="AH955" s="191"/>
      <c r="AI955" s="191"/>
      <c r="AJ955" s="8"/>
      <c r="AK955" s="8"/>
      <c r="AL955" s="8"/>
      <c r="AM955" s="8"/>
      <c r="AN955" s="8"/>
      <c r="AO955" s="8"/>
      <c r="AP955" s="8"/>
      <c r="AQ955" s="8"/>
      <c r="AR955" s="8"/>
      <c r="AS955" s="8"/>
      <c r="AT955" s="8"/>
    </row>
    <row r="956">
      <c r="A956" s="197"/>
      <c r="B956" s="198"/>
      <c r="C956" s="379"/>
      <c r="D956" s="197"/>
      <c r="E956" s="198"/>
      <c r="F956" s="379"/>
      <c r="G956" s="197"/>
      <c r="H956" s="198"/>
      <c r="I956" s="379"/>
      <c r="J956" s="197"/>
      <c r="K956" s="198"/>
      <c r="L956" s="379"/>
      <c r="M956" s="197"/>
      <c r="N956" s="198"/>
      <c r="O956" s="379"/>
      <c r="P956" s="197"/>
      <c r="Q956" s="198"/>
      <c r="R956" s="379"/>
      <c r="S956" s="197"/>
      <c r="T956" s="198"/>
      <c r="U956" s="379"/>
      <c r="V956" s="197"/>
      <c r="W956" s="198"/>
      <c r="X956" s="379"/>
      <c r="Y956" s="184"/>
      <c r="Z956" s="184"/>
      <c r="AA956" s="184"/>
      <c r="AB956" s="184"/>
      <c r="AC956" s="8"/>
      <c r="AD956" s="8"/>
      <c r="AE956" s="8"/>
      <c r="AF956" s="8"/>
      <c r="AG956" s="191"/>
      <c r="AH956" s="191"/>
      <c r="AI956" s="191"/>
      <c r="AJ956" s="8"/>
      <c r="AK956" s="8"/>
      <c r="AL956" s="8"/>
      <c r="AM956" s="8"/>
      <c r="AN956" s="8"/>
      <c r="AO956" s="8"/>
      <c r="AP956" s="8"/>
      <c r="AQ956" s="8"/>
      <c r="AR956" s="8"/>
      <c r="AS956" s="8"/>
      <c r="AT956" s="8"/>
    </row>
    <row r="957">
      <c r="A957" s="197"/>
      <c r="B957" s="198"/>
      <c r="C957" s="379"/>
      <c r="D957" s="197"/>
      <c r="E957" s="198"/>
      <c r="F957" s="379"/>
      <c r="G957" s="197"/>
      <c r="H957" s="198"/>
      <c r="I957" s="379"/>
      <c r="J957" s="197"/>
      <c r="K957" s="198"/>
      <c r="L957" s="379"/>
      <c r="M957" s="197"/>
      <c r="N957" s="198"/>
      <c r="O957" s="379"/>
      <c r="P957" s="197"/>
      <c r="Q957" s="198"/>
      <c r="R957" s="379"/>
      <c r="S957" s="197"/>
      <c r="T957" s="198"/>
      <c r="U957" s="379"/>
      <c r="V957" s="197"/>
      <c r="W957" s="198"/>
      <c r="X957" s="379"/>
      <c r="Y957" s="184"/>
      <c r="Z957" s="184"/>
      <c r="AA957" s="184"/>
      <c r="AB957" s="184"/>
      <c r="AC957" s="8"/>
      <c r="AD957" s="8"/>
      <c r="AE957" s="8"/>
      <c r="AF957" s="8"/>
      <c r="AG957" s="191"/>
      <c r="AH957" s="191"/>
      <c r="AI957" s="191"/>
      <c r="AJ957" s="8"/>
      <c r="AK957" s="8"/>
      <c r="AL957" s="8"/>
      <c r="AM957" s="8"/>
      <c r="AN957" s="8"/>
      <c r="AO957" s="8"/>
      <c r="AP957" s="8"/>
      <c r="AQ957" s="8"/>
      <c r="AR957" s="8"/>
      <c r="AS957" s="8"/>
      <c r="AT957" s="8"/>
    </row>
    <row r="958">
      <c r="A958" s="197"/>
      <c r="B958" s="198"/>
      <c r="C958" s="379"/>
      <c r="D958" s="197"/>
      <c r="E958" s="198"/>
      <c r="F958" s="379"/>
      <c r="G958" s="197"/>
      <c r="H958" s="198"/>
      <c r="I958" s="379"/>
      <c r="J958" s="197"/>
      <c r="K958" s="198"/>
      <c r="L958" s="379"/>
      <c r="M958" s="197"/>
      <c r="N958" s="198"/>
      <c r="O958" s="379"/>
      <c r="P958" s="197"/>
      <c r="Q958" s="198"/>
      <c r="R958" s="379"/>
      <c r="S958" s="197"/>
      <c r="T958" s="198"/>
      <c r="U958" s="379"/>
      <c r="V958" s="197"/>
      <c r="W958" s="198"/>
      <c r="X958" s="379"/>
      <c r="Y958" s="184"/>
      <c r="Z958" s="184"/>
      <c r="AA958" s="184"/>
      <c r="AB958" s="184"/>
      <c r="AC958" s="8"/>
      <c r="AD958" s="8"/>
      <c r="AE958" s="8"/>
      <c r="AF958" s="8"/>
      <c r="AG958" s="191"/>
      <c r="AH958" s="191"/>
      <c r="AI958" s="191"/>
      <c r="AJ958" s="8"/>
      <c r="AK958" s="8"/>
      <c r="AL958" s="8"/>
      <c r="AM958" s="8"/>
      <c r="AN958" s="8"/>
      <c r="AO958" s="8"/>
      <c r="AP958" s="8"/>
      <c r="AQ958" s="8"/>
      <c r="AR958" s="8"/>
      <c r="AS958" s="8"/>
      <c r="AT958" s="8"/>
    </row>
    <row r="959">
      <c r="A959" s="197"/>
      <c r="B959" s="198"/>
      <c r="C959" s="379"/>
      <c r="D959" s="197"/>
      <c r="E959" s="198"/>
      <c r="F959" s="379"/>
      <c r="G959" s="197"/>
      <c r="H959" s="198"/>
      <c r="I959" s="379"/>
      <c r="J959" s="197"/>
      <c r="K959" s="198"/>
      <c r="L959" s="379"/>
      <c r="M959" s="197"/>
      <c r="N959" s="198"/>
      <c r="O959" s="379"/>
      <c r="P959" s="197"/>
      <c r="Q959" s="198"/>
      <c r="R959" s="379"/>
      <c r="S959" s="197"/>
      <c r="T959" s="198"/>
      <c r="U959" s="379"/>
      <c r="V959" s="197"/>
      <c r="W959" s="198"/>
      <c r="X959" s="379"/>
      <c r="Y959" s="184"/>
      <c r="Z959" s="184"/>
      <c r="AA959" s="184"/>
      <c r="AB959" s="184"/>
      <c r="AC959" s="8"/>
      <c r="AD959" s="8"/>
      <c r="AE959" s="8"/>
      <c r="AF959" s="8"/>
      <c r="AG959" s="191"/>
      <c r="AH959" s="191"/>
      <c r="AI959" s="191"/>
      <c r="AJ959" s="8"/>
      <c r="AK959" s="8"/>
      <c r="AL959" s="8"/>
      <c r="AM959" s="8"/>
      <c r="AN959" s="8"/>
      <c r="AO959" s="8"/>
      <c r="AP959" s="8"/>
      <c r="AQ959" s="8"/>
      <c r="AR959" s="8"/>
      <c r="AS959" s="8"/>
      <c r="AT959" s="8"/>
    </row>
    <row r="960">
      <c r="A960" s="197"/>
      <c r="B960" s="198"/>
      <c r="C960" s="379"/>
      <c r="D960" s="197"/>
      <c r="E960" s="198"/>
      <c r="F960" s="379"/>
      <c r="G960" s="197"/>
      <c r="H960" s="198"/>
      <c r="I960" s="379"/>
      <c r="J960" s="197"/>
      <c r="K960" s="198"/>
      <c r="L960" s="379"/>
      <c r="M960" s="197"/>
      <c r="N960" s="198"/>
      <c r="O960" s="379"/>
      <c r="P960" s="197"/>
      <c r="Q960" s="198"/>
      <c r="R960" s="379"/>
      <c r="S960" s="197"/>
      <c r="T960" s="198"/>
      <c r="U960" s="379"/>
      <c r="V960" s="197"/>
      <c r="W960" s="198"/>
      <c r="X960" s="379"/>
      <c r="Y960" s="184"/>
      <c r="Z960" s="184"/>
      <c r="AA960" s="184"/>
      <c r="AB960" s="184"/>
      <c r="AC960" s="8"/>
      <c r="AD960" s="8"/>
      <c r="AE960" s="8"/>
      <c r="AF960" s="8"/>
      <c r="AG960" s="191"/>
      <c r="AH960" s="191"/>
      <c r="AI960" s="191"/>
      <c r="AJ960" s="8"/>
      <c r="AK960" s="8"/>
      <c r="AL960" s="8"/>
      <c r="AM960" s="8"/>
      <c r="AN960" s="8"/>
      <c r="AO960" s="8"/>
      <c r="AP960" s="8"/>
      <c r="AQ960" s="8"/>
      <c r="AR960" s="8"/>
      <c r="AS960" s="8"/>
      <c r="AT960" s="8"/>
    </row>
    <row r="961">
      <c r="A961" s="197"/>
      <c r="B961" s="198"/>
      <c r="C961" s="379"/>
      <c r="D961" s="197"/>
      <c r="E961" s="198"/>
      <c r="F961" s="379"/>
      <c r="G961" s="197"/>
      <c r="H961" s="198"/>
      <c r="I961" s="379"/>
      <c r="J961" s="197"/>
      <c r="K961" s="198"/>
      <c r="L961" s="379"/>
      <c r="M961" s="197"/>
      <c r="N961" s="198"/>
      <c r="O961" s="379"/>
      <c r="P961" s="197"/>
      <c r="Q961" s="198"/>
      <c r="R961" s="379"/>
      <c r="S961" s="197"/>
      <c r="T961" s="198"/>
      <c r="U961" s="379"/>
      <c r="V961" s="197"/>
      <c r="W961" s="198"/>
      <c r="X961" s="379"/>
      <c r="Y961" s="184"/>
      <c r="Z961" s="184"/>
      <c r="AA961" s="184"/>
      <c r="AB961" s="184"/>
      <c r="AC961" s="8"/>
      <c r="AD961" s="8"/>
      <c r="AE961" s="8"/>
      <c r="AF961" s="8"/>
      <c r="AG961" s="191"/>
      <c r="AH961" s="191"/>
      <c r="AI961" s="191"/>
      <c r="AJ961" s="8"/>
      <c r="AK961" s="8"/>
      <c r="AL961" s="8"/>
      <c r="AM961" s="8"/>
      <c r="AN961" s="8"/>
      <c r="AO961" s="8"/>
      <c r="AP961" s="8"/>
      <c r="AQ961" s="8"/>
      <c r="AR961" s="8"/>
      <c r="AS961" s="8"/>
      <c r="AT961" s="8"/>
    </row>
    <row r="962">
      <c r="A962" s="197"/>
      <c r="B962" s="198"/>
      <c r="C962" s="379"/>
      <c r="D962" s="197"/>
      <c r="E962" s="198"/>
      <c r="F962" s="379"/>
      <c r="G962" s="197"/>
      <c r="H962" s="198"/>
      <c r="I962" s="379"/>
      <c r="J962" s="197"/>
      <c r="K962" s="198"/>
      <c r="L962" s="379"/>
      <c r="M962" s="197"/>
      <c r="N962" s="198"/>
      <c r="O962" s="379"/>
      <c r="P962" s="197"/>
      <c r="Q962" s="198"/>
      <c r="R962" s="379"/>
      <c r="S962" s="197"/>
      <c r="T962" s="198"/>
      <c r="U962" s="379"/>
      <c r="V962" s="197"/>
      <c r="W962" s="198"/>
      <c r="X962" s="379"/>
      <c r="Y962" s="184"/>
      <c r="Z962" s="184"/>
      <c r="AA962" s="184"/>
      <c r="AB962" s="184"/>
      <c r="AC962" s="8"/>
      <c r="AD962" s="8"/>
      <c r="AE962" s="8"/>
      <c r="AF962" s="8"/>
      <c r="AG962" s="191"/>
      <c r="AH962" s="191"/>
      <c r="AI962" s="191"/>
      <c r="AJ962" s="8"/>
      <c r="AK962" s="8"/>
      <c r="AL962" s="8"/>
      <c r="AM962" s="8"/>
      <c r="AN962" s="8"/>
      <c r="AO962" s="8"/>
      <c r="AP962" s="8"/>
      <c r="AQ962" s="8"/>
      <c r="AR962" s="8"/>
      <c r="AS962" s="8"/>
      <c r="AT962" s="8"/>
    </row>
    <row r="963">
      <c r="A963" s="197"/>
      <c r="B963" s="198"/>
      <c r="C963" s="379"/>
      <c r="D963" s="197"/>
      <c r="E963" s="198"/>
      <c r="F963" s="379"/>
      <c r="G963" s="197"/>
      <c r="H963" s="198"/>
      <c r="I963" s="379"/>
      <c r="J963" s="197"/>
      <c r="K963" s="198"/>
      <c r="L963" s="379"/>
      <c r="M963" s="197"/>
      <c r="N963" s="198"/>
      <c r="O963" s="379"/>
      <c r="P963" s="197"/>
      <c r="Q963" s="198"/>
      <c r="R963" s="379"/>
      <c r="S963" s="197"/>
      <c r="T963" s="198"/>
      <c r="U963" s="379"/>
      <c r="V963" s="197"/>
      <c r="W963" s="198"/>
      <c r="X963" s="379"/>
      <c r="Y963" s="184"/>
      <c r="Z963" s="184"/>
      <c r="AA963" s="184"/>
      <c r="AB963" s="184"/>
      <c r="AC963" s="8"/>
      <c r="AD963" s="8"/>
      <c r="AE963" s="8"/>
      <c r="AF963" s="8"/>
      <c r="AG963" s="191"/>
      <c r="AH963" s="191"/>
      <c r="AI963" s="191"/>
      <c r="AJ963" s="8"/>
      <c r="AK963" s="8"/>
      <c r="AL963" s="8"/>
      <c r="AM963" s="8"/>
      <c r="AN963" s="8"/>
      <c r="AO963" s="8"/>
      <c r="AP963" s="8"/>
      <c r="AQ963" s="8"/>
      <c r="AR963" s="8"/>
      <c r="AS963" s="8"/>
      <c r="AT963" s="8"/>
    </row>
    <row r="964">
      <c r="A964" s="197"/>
      <c r="B964" s="198"/>
      <c r="C964" s="379"/>
      <c r="D964" s="197"/>
      <c r="E964" s="198"/>
      <c r="F964" s="379"/>
      <c r="G964" s="197"/>
      <c r="H964" s="198"/>
      <c r="I964" s="379"/>
      <c r="J964" s="197"/>
      <c r="K964" s="198"/>
      <c r="L964" s="379"/>
      <c r="M964" s="197"/>
      <c r="N964" s="198"/>
      <c r="O964" s="379"/>
      <c r="P964" s="197"/>
      <c r="Q964" s="198"/>
      <c r="R964" s="379"/>
      <c r="S964" s="197"/>
      <c r="T964" s="198"/>
      <c r="U964" s="379"/>
      <c r="V964" s="197"/>
      <c r="W964" s="198"/>
      <c r="X964" s="379"/>
      <c r="Y964" s="184"/>
      <c r="Z964" s="184"/>
      <c r="AA964" s="184"/>
      <c r="AB964" s="184"/>
      <c r="AC964" s="8"/>
      <c r="AD964" s="8"/>
      <c r="AE964" s="8"/>
      <c r="AF964" s="8"/>
      <c r="AG964" s="191"/>
      <c r="AH964" s="191"/>
      <c r="AI964" s="191"/>
      <c r="AJ964" s="8"/>
      <c r="AK964" s="8"/>
      <c r="AL964" s="8"/>
      <c r="AM964" s="8"/>
      <c r="AN964" s="8"/>
      <c r="AO964" s="8"/>
      <c r="AP964" s="8"/>
      <c r="AQ964" s="8"/>
      <c r="AR964" s="8"/>
      <c r="AS964" s="8"/>
      <c r="AT964" s="8"/>
    </row>
    <row r="965">
      <c r="A965" s="197"/>
      <c r="B965" s="198"/>
      <c r="C965" s="379"/>
      <c r="D965" s="197"/>
      <c r="E965" s="198"/>
      <c r="F965" s="379"/>
      <c r="G965" s="197"/>
      <c r="H965" s="198"/>
      <c r="I965" s="379"/>
      <c r="J965" s="197"/>
      <c r="K965" s="198"/>
      <c r="L965" s="379"/>
      <c r="M965" s="197"/>
      <c r="N965" s="198"/>
      <c r="O965" s="379"/>
      <c r="P965" s="197"/>
      <c r="Q965" s="198"/>
      <c r="R965" s="379"/>
      <c r="S965" s="197"/>
      <c r="T965" s="198"/>
      <c r="U965" s="379"/>
      <c r="V965" s="197"/>
      <c r="W965" s="198"/>
      <c r="X965" s="379"/>
      <c r="Y965" s="184"/>
      <c r="Z965" s="184"/>
      <c r="AA965" s="184"/>
      <c r="AB965" s="184"/>
      <c r="AC965" s="8"/>
      <c r="AD965" s="8"/>
      <c r="AE965" s="8"/>
      <c r="AF965" s="8"/>
      <c r="AG965" s="191"/>
      <c r="AH965" s="191"/>
      <c r="AI965" s="191"/>
      <c r="AJ965" s="8"/>
      <c r="AK965" s="8"/>
      <c r="AL965" s="8"/>
      <c r="AM965" s="8"/>
      <c r="AN965" s="8"/>
      <c r="AO965" s="8"/>
      <c r="AP965" s="8"/>
      <c r="AQ965" s="8"/>
      <c r="AR965" s="8"/>
      <c r="AS965" s="8"/>
      <c r="AT965" s="8"/>
    </row>
    <row r="966">
      <c r="A966" s="197"/>
      <c r="B966" s="198"/>
      <c r="C966" s="379"/>
      <c r="D966" s="197"/>
      <c r="E966" s="198"/>
      <c r="F966" s="379"/>
      <c r="G966" s="197"/>
      <c r="H966" s="198"/>
      <c r="I966" s="379"/>
      <c r="J966" s="197"/>
      <c r="K966" s="198"/>
      <c r="L966" s="379"/>
      <c r="M966" s="197"/>
      <c r="N966" s="198"/>
      <c r="O966" s="379"/>
      <c r="P966" s="197"/>
      <c r="Q966" s="198"/>
      <c r="R966" s="379"/>
      <c r="S966" s="197"/>
      <c r="T966" s="198"/>
      <c r="U966" s="379"/>
      <c r="V966" s="197"/>
      <c r="W966" s="198"/>
      <c r="X966" s="379"/>
      <c r="Y966" s="184"/>
      <c r="Z966" s="184"/>
      <c r="AA966" s="184"/>
      <c r="AB966" s="184"/>
      <c r="AC966" s="8"/>
      <c r="AD966" s="8"/>
      <c r="AE966" s="8"/>
      <c r="AF966" s="8"/>
      <c r="AG966" s="191"/>
      <c r="AH966" s="191"/>
      <c r="AI966" s="191"/>
      <c r="AJ966" s="8"/>
      <c r="AK966" s="8"/>
      <c r="AL966" s="8"/>
      <c r="AM966" s="8"/>
      <c r="AN966" s="8"/>
      <c r="AO966" s="8"/>
      <c r="AP966" s="8"/>
      <c r="AQ966" s="8"/>
      <c r="AR966" s="8"/>
      <c r="AS966" s="8"/>
      <c r="AT966" s="8"/>
    </row>
    <row r="967">
      <c r="A967" s="197"/>
      <c r="B967" s="198"/>
      <c r="C967" s="379"/>
      <c r="D967" s="197"/>
      <c r="E967" s="198"/>
      <c r="F967" s="379"/>
      <c r="G967" s="197"/>
      <c r="H967" s="198"/>
      <c r="I967" s="379"/>
      <c r="J967" s="197"/>
      <c r="K967" s="198"/>
      <c r="L967" s="379"/>
      <c r="M967" s="197"/>
      <c r="N967" s="198"/>
      <c r="O967" s="379"/>
      <c r="P967" s="197"/>
      <c r="Q967" s="198"/>
      <c r="R967" s="379"/>
      <c r="S967" s="197"/>
      <c r="T967" s="198"/>
      <c r="U967" s="379"/>
      <c r="V967" s="197"/>
      <c r="W967" s="198"/>
      <c r="X967" s="379"/>
      <c r="Y967" s="184"/>
      <c r="Z967" s="184"/>
      <c r="AA967" s="184"/>
      <c r="AB967" s="184"/>
      <c r="AC967" s="8"/>
      <c r="AD967" s="8"/>
      <c r="AE967" s="8"/>
      <c r="AF967" s="8"/>
      <c r="AG967" s="191"/>
      <c r="AH967" s="191"/>
      <c r="AI967" s="191"/>
      <c r="AJ967" s="8"/>
      <c r="AK967" s="8"/>
      <c r="AL967" s="8"/>
      <c r="AM967" s="8"/>
      <c r="AN967" s="8"/>
      <c r="AO967" s="8"/>
      <c r="AP967" s="8"/>
      <c r="AQ967" s="8"/>
      <c r="AR967" s="8"/>
      <c r="AS967" s="8"/>
      <c r="AT967" s="8"/>
    </row>
    <row r="968">
      <c r="A968" s="197"/>
      <c r="B968" s="198"/>
      <c r="C968" s="379"/>
      <c r="D968" s="197"/>
      <c r="E968" s="198"/>
      <c r="F968" s="379"/>
      <c r="G968" s="197"/>
      <c r="H968" s="198"/>
      <c r="I968" s="379"/>
      <c r="J968" s="197"/>
      <c r="K968" s="198"/>
      <c r="L968" s="379"/>
      <c r="M968" s="197"/>
      <c r="N968" s="198"/>
      <c r="O968" s="379"/>
      <c r="P968" s="197"/>
      <c r="Q968" s="198"/>
      <c r="R968" s="379"/>
      <c r="S968" s="197"/>
      <c r="T968" s="198"/>
      <c r="U968" s="379"/>
      <c r="V968" s="197"/>
      <c r="W968" s="198"/>
      <c r="X968" s="379"/>
      <c r="Y968" s="184"/>
      <c r="Z968" s="184"/>
      <c r="AA968" s="184"/>
      <c r="AB968" s="184"/>
      <c r="AC968" s="8"/>
      <c r="AD968" s="8"/>
      <c r="AE968" s="8"/>
      <c r="AF968" s="8"/>
      <c r="AG968" s="191"/>
      <c r="AH968" s="191"/>
      <c r="AI968" s="191"/>
      <c r="AJ968" s="8"/>
      <c r="AK968" s="8"/>
      <c r="AL968" s="8"/>
      <c r="AM968" s="8"/>
      <c r="AN968" s="8"/>
      <c r="AO968" s="8"/>
      <c r="AP968" s="8"/>
      <c r="AQ968" s="8"/>
      <c r="AR968" s="8"/>
      <c r="AS968" s="8"/>
      <c r="AT968" s="8"/>
    </row>
    <row r="969">
      <c r="A969" s="197"/>
      <c r="B969" s="198"/>
      <c r="C969" s="379"/>
      <c r="D969" s="197"/>
      <c r="E969" s="198"/>
      <c r="F969" s="379"/>
      <c r="G969" s="197"/>
      <c r="H969" s="198"/>
      <c r="I969" s="379"/>
      <c r="J969" s="197"/>
      <c r="K969" s="198"/>
      <c r="L969" s="379"/>
      <c r="M969" s="197"/>
      <c r="N969" s="198"/>
      <c r="O969" s="379"/>
      <c r="P969" s="197"/>
      <c r="Q969" s="198"/>
      <c r="R969" s="379"/>
      <c r="S969" s="197"/>
      <c r="T969" s="198"/>
      <c r="U969" s="379"/>
      <c r="V969" s="197"/>
      <c r="W969" s="198"/>
      <c r="X969" s="379"/>
      <c r="Y969" s="184"/>
      <c r="Z969" s="184"/>
      <c r="AA969" s="184"/>
      <c r="AB969" s="184"/>
      <c r="AC969" s="8"/>
      <c r="AD969" s="8"/>
      <c r="AE969" s="8"/>
      <c r="AF969" s="8"/>
      <c r="AG969" s="191"/>
      <c r="AH969" s="191"/>
      <c r="AI969" s="191"/>
      <c r="AJ969" s="8"/>
      <c r="AK969" s="8"/>
      <c r="AL969" s="8"/>
      <c r="AM969" s="8"/>
      <c r="AN969" s="8"/>
      <c r="AO969" s="8"/>
      <c r="AP969" s="8"/>
      <c r="AQ969" s="8"/>
      <c r="AR969" s="8"/>
      <c r="AS969" s="8"/>
      <c r="AT969" s="8"/>
    </row>
    <row r="970">
      <c r="A970" s="197"/>
      <c r="B970" s="198"/>
      <c r="C970" s="379"/>
      <c r="D970" s="197"/>
      <c r="E970" s="198"/>
      <c r="F970" s="379"/>
      <c r="G970" s="197"/>
      <c r="H970" s="198"/>
      <c r="I970" s="379"/>
      <c r="J970" s="197"/>
      <c r="K970" s="198"/>
      <c r="L970" s="379"/>
      <c r="M970" s="197"/>
      <c r="N970" s="198"/>
      <c r="O970" s="379"/>
      <c r="P970" s="197"/>
      <c r="Q970" s="198"/>
      <c r="R970" s="379"/>
      <c r="S970" s="197"/>
      <c r="T970" s="198"/>
      <c r="U970" s="379"/>
      <c r="V970" s="197"/>
      <c r="W970" s="198"/>
      <c r="X970" s="379"/>
      <c r="Y970" s="184"/>
      <c r="Z970" s="184"/>
      <c r="AA970" s="184"/>
      <c r="AB970" s="184"/>
      <c r="AC970" s="8"/>
      <c r="AD970" s="8"/>
      <c r="AE970" s="8"/>
      <c r="AF970" s="8"/>
      <c r="AG970" s="191"/>
      <c r="AH970" s="191"/>
      <c r="AI970" s="191"/>
      <c r="AJ970" s="8"/>
      <c r="AK970" s="8"/>
      <c r="AL970" s="8"/>
      <c r="AM970" s="8"/>
      <c r="AN970" s="8"/>
      <c r="AO970" s="8"/>
      <c r="AP970" s="8"/>
      <c r="AQ970" s="8"/>
      <c r="AR970" s="8"/>
      <c r="AS970" s="8"/>
      <c r="AT970" s="8"/>
    </row>
    <row r="971">
      <c r="A971" s="197"/>
      <c r="B971" s="198"/>
      <c r="C971" s="379"/>
      <c r="D971" s="197"/>
      <c r="E971" s="198"/>
      <c r="F971" s="379"/>
      <c r="G971" s="197"/>
      <c r="H971" s="198"/>
      <c r="I971" s="379"/>
      <c r="J971" s="197"/>
      <c r="K971" s="198"/>
      <c r="L971" s="379"/>
      <c r="M971" s="197"/>
      <c r="N971" s="198"/>
      <c r="O971" s="379"/>
      <c r="P971" s="197"/>
      <c r="Q971" s="198"/>
      <c r="R971" s="379"/>
      <c r="S971" s="197"/>
      <c r="T971" s="198"/>
      <c r="U971" s="379"/>
      <c r="V971" s="197"/>
      <c r="W971" s="198"/>
      <c r="X971" s="379"/>
      <c r="Y971" s="184"/>
      <c r="Z971" s="184"/>
      <c r="AA971" s="184"/>
      <c r="AB971" s="184"/>
      <c r="AC971" s="8"/>
      <c r="AD971" s="8"/>
      <c r="AE971" s="8"/>
      <c r="AF971" s="8"/>
      <c r="AG971" s="191"/>
      <c r="AH971" s="191"/>
      <c r="AI971" s="191"/>
      <c r="AJ971" s="8"/>
      <c r="AK971" s="8"/>
      <c r="AL971" s="8"/>
      <c r="AM971" s="8"/>
      <c r="AN971" s="8"/>
      <c r="AO971" s="8"/>
      <c r="AP971" s="8"/>
      <c r="AQ971" s="8"/>
      <c r="AR971" s="8"/>
      <c r="AS971" s="8"/>
      <c r="AT971" s="8"/>
    </row>
    <row r="972">
      <c r="A972" s="197"/>
      <c r="B972" s="198"/>
      <c r="C972" s="379"/>
      <c r="D972" s="197"/>
      <c r="E972" s="198"/>
      <c r="F972" s="379"/>
      <c r="G972" s="197"/>
      <c r="H972" s="198"/>
      <c r="I972" s="379"/>
      <c r="J972" s="197"/>
      <c r="K972" s="198"/>
      <c r="L972" s="379"/>
      <c r="M972" s="197"/>
      <c r="N972" s="198"/>
      <c r="O972" s="379"/>
      <c r="P972" s="197"/>
      <c r="Q972" s="198"/>
      <c r="R972" s="379"/>
      <c r="S972" s="197"/>
      <c r="T972" s="198"/>
      <c r="U972" s="379"/>
      <c r="V972" s="197"/>
      <c r="W972" s="198"/>
      <c r="X972" s="379"/>
      <c r="Y972" s="184"/>
      <c r="Z972" s="184"/>
      <c r="AA972" s="184"/>
      <c r="AB972" s="184"/>
      <c r="AC972" s="8"/>
      <c r="AD972" s="8"/>
      <c r="AE972" s="8"/>
      <c r="AF972" s="8"/>
      <c r="AG972" s="191"/>
      <c r="AH972" s="191"/>
      <c r="AI972" s="191"/>
      <c r="AJ972" s="8"/>
      <c r="AK972" s="8"/>
      <c r="AL972" s="8"/>
      <c r="AM972" s="8"/>
      <c r="AN972" s="8"/>
      <c r="AO972" s="8"/>
      <c r="AP972" s="8"/>
      <c r="AQ972" s="8"/>
      <c r="AR972" s="8"/>
      <c r="AS972" s="8"/>
      <c r="AT972" s="8"/>
    </row>
    <row r="973">
      <c r="A973" s="197"/>
      <c r="B973" s="198"/>
      <c r="C973" s="379"/>
      <c r="D973" s="197"/>
      <c r="E973" s="198"/>
      <c r="F973" s="379"/>
      <c r="G973" s="197"/>
      <c r="H973" s="198"/>
      <c r="I973" s="379"/>
      <c r="J973" s="197"/>
      <c r="K973" s="198"/>
      <c r="L973" s="379"/>
      <c r="M973" s="197"/>
      <c r="N973" s="198"/>
      <c r="O973" s="379"/>
      <c r="P973" s="197"/>
      <c r="Q973" s="198"/>
      <c r="R973" s="379"/>
      <c r="S973" s="197"/>
      <c r="T973" s="198"/>
      <c r="U973" s="379"/>
      <c r="V973" s="197"/>
      <c r="W973" s="198"/>
      <c r="X973" s="379"/>
      <c r="Y973" s="184"/>
      <c r="Z973" s="184"/>
      <c r="AA973" s="184"/>
      <c r="AB973" s="184"/>
      <c r="AC973" s="8"/>
      <c r="AD973" s="8"/>
      <c r="AE973" s="8"/>
      <c r="AF973" s="8"/>
      <c r="AG973" s="191"/>
      <c r="AH973" s="191"/>
      <c r="AI973" s="191"/>
      <c r="AJ973" s="8"/>
      <c r="AK973" s="8"/>
      <c r="AL973" s="8"/>
      <c r="AM973" s="8"/>
      <c r="AN973" s="8"/>
      <c r="AO973" s="8"/>
      <c r="AP973" s="8"/>
      <c r="AQ973" s="8"/>
      <c r="AR973" s="8"/>
      <c r="AS973" s="8"/>
      <c r="AT973" s="8"/>
    </row>
    <row r="974">
      <c r="A974" s="197"/>
      <c r="B974" s="198"/>
      <c r="C974" s="379"/>
      <c r="D974" s="197"/>
      <c r="E974" s="198"/>
      <c r="F974" s="379"/>
      <c r="G974" s="197"/>
      <c r="H974" s="198"/>
      <c r="I974" s="379"/>
      <c r="J974" s="197"/>
      <c r="K974" s="198"/>
      <c r="L974" s="379"/>
      <c r="M974" s="197"/>
      <c r="N974" s="198"/>
      <c r="O974" s="379"/>
      <c r="P974" s="197"/>
      <c r="Q974" s="198"/>
      <c r="R974" s="379"/>
      <c r="S974" s="197"/>
      <c r="T974" s="198"/>
      <c r="U974" s="379"/>
      <c r="V974" s="197"/>
      <c r="W974" s="198"/>
      <c r="X974" s="379"/>
      <c r="Y974" s="184"/>
      <c r="Z974" s="184"/>
      <c r="AA974" s="184"/>
      <c r="AB974" s="184"/>
      <c r="AC974" s="8"/>
      <c r="AD974" s="8"/>
      <c r="AE974" s="8"/>
      <c r="AF974" s="8"/>
      <c r="AG974" s="191"/>
      <c r="AH974" s="191"/>
      <c r="AI974" s="191"/>
      <c r="AJ974" s="8"/>
      <c r="AK974" s="8"/>
      <c r="AL974" s="8"/>
      <c r="AM974" s="8"/>
      <c r="AN974" s="8"/>
      <c r="AO974" s="8"/>
      <c r="AP974" s="8"/>
      <c r="AQ974" s="8"/>
      <c r="AR974" s="8"/>
      <c r="AS974" s="8"/>
      <c r="AT974" s="8"/>
    </row>
    <row r="975">
      <c r="A975" s="197"/>
      <c r="B975" s="198"/>
      <c r="C975" s="379"/>
      <c r="D975" s="197"/>
      <c r="E975" s="198"/>
      <c r="F975" s="379"/>
      <c r="G975" s="197"/>
      <c r="H975" s="198"/>
      <c r="I975" s="379"/>
      <c r="J975" s="197"/>
      <c r="K975" s="198"/>
      <c r="L975" s="379"/>
      <c r="M975" s="197"/>
      <c r="N975" s="198"/>
      <c r="O975" s="379"/>
      <c r="P975" s="197"/>
      <c r="Q975" s="198"/>
      <c r="R975" s="379"/>
      <c r="S975" s="197"/>
      <c r="T975" s="198"/>
      <c r="U975" s="379"/>
      <c r="V975" s="197"/>
      <c r="W975" s="198"/>
      <c r="X975" s="379"/>
      <c r="Y975" s="184"/>
      <c r="Z975" s="184"/>
      <c r="AA975" s="184"/>
      <c r="AB975" s="184"/>
      <c r="AC975" s="8"/>
      <c r="AD975" s="8"/>
      <c r="AE975" s="8"/>
      <c r="AF975" s="8"/>
      <c r="AG975" s="191"/>
      <c r="AH975" s="191"/>
      <c r="AI975" s="191"/>
      <c r="AJ975" s="8"/>
      <c r="AK975" s="8"/>
      <c r="AL975" s="8"/>
      <c r="AM975" s="8"/>
      <c r="AN975" s="8"/>
      <c r="AO975" s="8"/>
      <c r="AP975" s="8"/>
      <c r="AQ975" s="8"/>
      <c r="AR975" s="8"/>
      <c r="AS975" s="8"/>
      <c r="AT975" s="8"/>
    </row>
    <row r="976">
      <c r="A976" s="197"/>
      <c r="B976" s="198"/>
      <c r="C976" s="379"/>
      <c r="D976" s="197"/>
      <c r="E976" s="198"/>
      <c r="F976" s="379"/>
      <c r="G976" s="197"/>
      <c r="H976" s="198"/>
      <c r="I976" s="379"/>
      <c r="J976" s="197"/>
      <c r="K976" s="198"/>
      <c r="L976" s="379"/>
      <c r="M976" s="197"/>
      <c r="N976" s="198"/>
      <c r="O976" s="379"/>
      <c r="P976" s="197"/>
      <c r="Q976" s="198"/>
      <c r="R976" s="379"/>
      <c r="S976" s="197"/>
      <c r="T976" s="198"/>
      <c r="U976" s="379"/>
      <c r="V976" s="197"/>
      <c r="W976" s="198"/>
      <c r="X976" s="379"/>
      <c r="Y976" s="184"/>
      <c r="Z976" s="184"/>
      <c r="AA976" s="184"/>
      <c r="AB976" s="184"/>
      <c r="AC976" s="8"/>
      <c r="AD976" s="8"/>
      <c r="AE976" s="8"/>
      <c r="AF976" s="8"/>
      <c r="AG976" s="191"/>
      <c r="AH976" s="191"/>
      <c r="AI976" s="191"/>
      <c r="AJ976" s="8"/>
      <c r="AK976" s="8"/>
      <c r="AL976" s="8"/>
      <c r="AM976" s="8"/>
      <c r="AN976" s="8"/>
      <c r="AO976" s="8"/>
      <c r="AP976" s="8"/>
      <c r="AQ976" s="8"/>
      <c r="AR976" s="8"/>
      <c r="AS976" s="8"/>
      <c r="AT976" s="8"/>
    </row>
    <row r="977">
      <c r="A977" s="197"/>
      <c r="B977" s="198"/>
      <c r="C977" s="379"/>
      <c r="D977" s="197"/>
      <c r="E977" s="198"/>
      <c r="F977" s="379"/>
      <c r="G977" s="197"/>
      <c r="H977" s="198"/>
      <c r="I977" s="379"/>
      <c r="J977" s="197"/>
      <c r="K977" s="198"/>
      <c r="L977" s="379"/>
      <c r="M977" s="197"/>
      <c r="N977" s="198"/>
      <c r="O977" s="379"/>
      <c r="P977" s="197"/>
      <c r="Q977" s="198"/>
      <c r="R977" s="379"/>
      <c r="S977" s="197"/>
      <c r="T977" s="198"/>
      <c r="U977" s="379"/>
      <c r="V977" s="197"/>
      <c r="W977" s="198"/>
      <c r="X977" s="379"/>
      <c r="Y977" s="184"/>
      <c r="Z977" s="184"/>
      <c r="AA977" s="184"/>
      <c r="AB977" s="184"/>
      <c r="AC977" s="8"/>
      <c r="AD977" s="8"/>
      <c r="AE977" s="8"/>
      <c r="AF977" s="8"/>
      <c r="AG977" s="191"/>
      <c r="AH977" s="191"/>
      <c r="AI977" s="191"/>
      <c r="AJ977" s="8"/>
      <c r="AK977" s="8"/>
      <c r="AL977" s="8"/>
      <c r="AM977" s="8"/>
      <c r="AN977" s="8"/>
      <c r="AO977" s="8"/>
      <c r="AP977" s="8"/>
      <c r="AQ977" s="8"/>
      <c r="AR977" s="8"/>
      <c r="AS977" s="8"/>
      <c r="AT977" s="8"/>
    </row>
    <row r="978">
      <c r="A978" s="197"/>
      <c r="B978" s="198"/>
      <c r="C978" s="379"/>
      <c r="D978" s="197"/>
      <c r="E978" s="198"/>
      <c r="F978" s="379"/>
      <c r="G978" s="197"/>
      <c r="H978" s="198"/>
      <c r="I978" s="379"/>
      <c r="J978" s="197"/>
      <c r="K978" s="198"/>
      <c r="L978" s="379"/>
      <c r="M978" s="197"/>
      <c r="N978" s="198"/>
      <c r="O978" s="379"/>
      <c r="P978" s="197"/>
      <c r="Q978" s="198"/>
      <c r="R978" s="379"/>
      <c r="S978" s="197"/>
      <c r="T978" s="198"/>
      <c r="U978" s="379"/>
      <c r="V978" s="197"/>
      <c r="W978" s="198"/>
      <c r="X978" s="379"/>
      <c r="Y978" s="184"/>
      <c r="Z978" s="184"/>
      <c r="AA978" s="184"/>
      <c r="AB978" s="184"/>
      <c r="AC978" s="8"/>
      <c r="AD978" s="8"/>
      <c r="AE978" s="8"/>
      <c r="AF978" s="8"/>
      <c r="AG978" s="191"/>
      <c r="AH978" s="191"/>
      <c r="AI978" s="191"/>
      <c r="AJ978" s="8"/>
      <c r="AK978" s="8"/>
      <c r="AL978" s="8"/>
      <c r="AM978" s="8"/>
      <c r="AN978" s="8"/>
      <c r="AO978" s="8"/>
      <c r="AP978" s="8"/>
      <c r="AQ978" s="8"/>
      <c r="AR978" s="8"/>
      <c r="AS978" s="8"/>
      <c r="AT978" s="8"/>
    </row>
    <row r="979">
      <c r="A979" s="197"/>
      <c r="B979" s="198"/>
      <c r="C979" s="379"/>
      <c r="D979" s="197"/>
      <c r="E979" s="198"/>
      <c r="F979" s="379"/>
      <c r="G979" s="197"/>
      <c r="H979" s="198"/>
      <c r="I979" s="379"/>
      <c r="J979" s="197"/>
      <c r="K979" s="198"/>
      <c r="L979" s="379"/>
      <c r="M979" s="197"/>
      <c r="N979" s="198"/>
      <c r="O979" s="379"/>
      <c r="P979" s="197"/>
      <c r="Q979" s="198"/>
      <c r="R979" s="379"/>
      <c r="S979" s="197"/>
      <c r="T979" s="198"/>
      <c r="U979" s="379"/>
      <c r="V979" s="197"/>
      <c r="W979" s="198"/>
      <c r="X979" s="379"/>
      <c r="Y979" s="184"/>
      <c r="Z979" s="184"/>
      <c r="AA979" s="184"/>
      <c r="AB979" s="184"/>
      <c r="AC979" s="8"/>
      <c r="AD979" s="8"/>
      <c r="AE979" s="8"/>
      <c r="AF979" s="8"/>
      <c r="AG979" s="191"/>
      <c r="AH979" s="191"/>
      <c r="AI979" s="191"/>
      <c r="AJ979" s="8"/>
      <c r="AK979" s="8"/>
      <c r="AL979" s="8"/>
      <c r="AM979" s="8"/>
      <c r="AN979" s="8"/>
      <c r="AO979" s="8"/>
      <c r="AP979" s="8"/>
      <c r="AQ979" s="8"/>
      <c r="AR979" s="8"/>
      <c r="AS979" s="8"/>
      <c r="AT979" s="8"/>
    </row>
    <row r="980">
      <c r="A980" s="197"/>
      <c r="B980" s="198"/>
      <c r="C980" s="379"/>
      <c r="D980" s="197"/>
      <c r="E980" s="198"/>
      <c r="F980" s="379"/>
      <c r="G980" s="197"/>
      <c r="H980" s="198"/>
      <c r="I980" s="379"/>
      <c r="J980" s="197"/>
      <c r="K980" s="198"/>
      <c r="L980" s="379"/>
      <c r="M980" s="197"/>
      <c r="N980" s="198"/>
      <c r="O980" s="379"/>
      <c r="P980" s="197"/>
      <c r="Q980" s="198"/>
      <c r="R980" s="379"/>
      <c r="S980" s="197"/>
      <c r="T980" s="198"/>
      <c r="U980" s="379"/>
      <c r="V980" s="197"/>
      <c r="W980" s="198"/>
      <c r="X980" s="379"/>
      <c r="Y980" s="184"/>
      <c r="Z980" s="184"/>
      <c r="AA980" s="184"/>
      <c r="AB980" s="184"/>
      <c r="AC980" s="8"/>
      <c r="AD980" s="8"/>
      <c r="AE980" s="8"/>
      <c r="AF980" s="8"/>
      <c r="AG980" s="191"/>
      <c r="AH980" s="191"/>
      <c r="AI980" s="191"/>
      <c r="AJ980" s="8"/>
      <c r="AK980" s="8"/>
      <c r="AL980" s="8"/>
      <c r="AM980" s="8"/>
      <c r="AN980" s="8"/>
      <c r="AO980" s="8"/>
      <c r="AP980" s="8"/>
      <c r="AQ980" s="8"/>
      <c r="AR980" s="8"/>
      <c r="AS980" s="8"/>
      <c r="AT980" s="8"/>
    </row>
    <row r="981">
      <c r="A981" s="197"/>
      <c r="B981" s="198"/>
      <c r="C981" s="379"/>
      <c r="D981" s="197"/>
      <c r="E981" s="198"/>
      <c r="F981" s="379"/>
      <c r="G981" s="197"/>
      <c r="H981" s="198"/>
      <c r="I981" s="379"/>
      <c r="J981" s="197"/>
      <c r="K981" s="198"/>
      <c r="L981" s="379"/>
      <c r="M981" s="197"/>
      <c r="N981" s="198"/>
      <c r="O981" s="379"/>
      <c r="P981" s="197"/>
      <c r="Q981" s="198"/>
      <c r="R981" s="379"/>
      <c r="S981" s="197"/>
      <c r="T981" s="198"/>
      <c r="U981" s="379"/>
      <c r="V981" s="197"/>
      <c r="W981" s="198"/>
      <c r="X981" s="379"/>
      <c r="Y981" s="184"/>
      <c r="Z981" s="184"/>
      <c r="AA981" s="184"/>
      <c r="AB981" s="184"/>
      <c r="AC981" s="8"/>
      <c r="AD981" s="8"/>
      <c r="AE981" s="8"/>
      <c r="AF981" s="8"/>
      <c r="AG981" s="191"/>
      <c r="AH981" s="191"/>
      <c r="AI981" s="191"/>
      <c r="AJ981" s="8"/>
      <c r="AK981" s="8"/>
      <c r="AL981" s="8"/>
      <c r="AM981" s="8"/>
      <c r="AN981" s="8"/>
      <c r="AO981" s="8"/>
      <c r="AP981" s="8"/>
      <c r="AQ981" s="8"/>
      <c r="AR981" s="8"/>
      <c r="AS981" s="8"/>
      <c r="AT981" s="8"/>
    </row>
    <row r="982">
      <c r="A982" s="197"/>
      <c r="B982" s="198"/>
      <c r="C982" s="379"/>
      <c r="D982" s="197"/>
      <c r="E982" s="198"/>
      <c r="F982" s="379"/>
      <c r="G982" s="197"/>
      <c r="H982" s="198"/>
      <c r="I982" s="379"/>
      <c r="J982" s="197"/>
      <c r="K982" s="198"/>
      <c r="L982" s="379"/>
      <c r="M982" s="197"/>
      <c r="N982" s="198"/>
      <c r="O982" s="379"/>
      <c r="P982" s="197"/>
      <c r="Q982" s="198"/>
      <c r="R982" s="379"/>
      <c r="S982" s="197"/>
      <c r="T982" s="198"/>
      <c r="U982" s="379"/>
      <c r="V982" s="197"/>
      <c r="W982" s="198"/>
      <c r="X982" s="379"/>
      <c r="Y982" s="184"/>
      <c r="Z982" s="184"/>
      <c r="AA982" s="184"/>
      <c r="AB982" s="184"/>
      <c r="AC982" s="8"/>
      <c r="AD982" s="8"/>
      <c r="AE982" s="8"/>
      <c r="AF982" s="8"/>
      <c r="AG982" s="191"/>
      <c r="AH982" s="191"/>
      <c r="AI982" s="191"/>
      <c r="AJ982" s="8"/>
      <c r="AK982" s="8"/>
      <c r="AL982" s="8"/>
      <c r="AM982" s="8"/>
      <c r="AN982" s="8"/>
      <c r="AO982" s="8"/>
      <c r="AP982" s="8"/>
      <c r="AQ982" s="8"/>
      <c r="AR982" s="8"/>
      <c r="AS982" s="8"/>
      <c r="AT982" s="8"/>
    </row>
    <row r="983">
      <c r="A983" s="197"/>
      <c r="B983" s="198"/>
      <c r="C983" s="379"/>
      <c r="D983" s="197"/>
      <c r="E983" s="198"/>
      <c r="F983" s="379"/>
      <c r="G983" s="197"/>
      <c r="H983" s="198"/>
      <c r="I983" s="379"/>
      <c r="J983" s="197"/>
      <c r="K983" s="198"/>
      <c r="L983" s="379"/>
      <c r="M983" s="197"/>
      <c r="N983" s="198"/>
      <c r="O983" s="379"/>
      <c r="P983" s="197"/>
      <c r="Q983" s="198"/>
      <c r="R983" s="379"/>
      <c r="S983" s="197"/>
      <c r="T983" s="198"/>
      <c r="U983" s="379"/>
      <c r="V983" s="197"/>
      <c r="W983" s="198"/>
      <c r="X983" s="379"/>
      <c r="Y983" s="184"/>
      <c r="Z983" s="184"/>
      <c r="AA983" s="184"/>
      <c r="AB983" s="184"/>
      <c r="AC983" s="8"/>
      <c r="AD983" s="8"/>
      <c r="AE983" s="8"/>
      <c r="AF983" s="8"/>
      <c r="AG983" s="191"/>
      <c r="AH983" s="191"/>
      <c r="AI983" s="191"/>
      <c r="AJ983" s="8"/>
      <c r="AK983" s="8"/>
      <c r="AL983" s="8"/>
      <c r="AM983" s="8"/>
      <c r="AN983" s="8"/>
      <c r="AO983" s="8"/>
      <c r="AP983" s="8"/>
      <c r="AQ983" s="8"/>
      <c r="AR983" s="8"/>
      <c r="AS983" s="8"/>
      <c r="AT983" s="8"/>
    </row>
    <row r="984">
      <c r="A984" s="197"/>
      <c r="B984" s="198"/>
      <c r="C984" s="379"/>
      <c r="D984" s="197"/>
      <c r="E984" s="198"/>
      <c r="F984" s="379"/>
      <c r="G984" s="197"/>
      <c r="H984" s="198"/>
      <c r="I984" s="379"/>
      <c r="J984" s="197"/>
      <c r="K984" s="198"/>
      <c r="L984" s="379"/>
      <c r="M984" s="197"/>
      <c r="N984" s="198"/>
      <c r="O984" s="379"/>
      <c r="P984" s="197"/>
      <c r="Q984" s="198"/>
      <c r="R984" s="379"/>
      <c r="S984" s="197"/>
      <c r="T984" s="198"/>
      <c r="U984" s="379"/>
      <c r="V984" s="197"/>
      <c r="W984" s="198"/>
      <c r="X984" s="379"/>
      <c r="Y984" s="184"/>
      <c r="Z984" s="184"/>
      <c r="AA984" s="184"/>
      <c r="AB984" s="184"/>
      <c r="AC984" s="8"/>
      <c r="AD984" s="8"/>
      <c r="AE984" s="8"/>
      <c r="AF984" s="8"/>
      <c r="AG984" s="191"/>
      <c r="AH984" s="191"/>
      <c r="AI984" s="191"/>
      <c r="AJ984" s="8"/>
      <c r="AK984" s="8"/>
      <c r="AL984" s="8"/>
      <c r="AM984" s="8"/>
      <c r="AN984" s="8"/>
      <c r="AO984" s="8"/>
      <c r="AP984" s="8"/>
      <c r="AQ984" s="8"/>
      <c r="AR984" s="8"/>
      <c r="AS984" s="8"/>
      <c r="AT984" s="8"/>
    </row>
    <row r="985">
      <c r="A985" s="197"/>
      <c r="B985" s="198"/>
      <c r="C985" s="379"/>
      <c r="D985" s="197"/>
      <c r="E985" s="198"/>
      <c r="F985" s="379"/>
      <c r="G985" s="197"/>
      <c r="H985" s="198"/>
      <c r="I985" s="379"/>
      <c r="J985" s="197"/>
      <c r="K985" s="198"/>
      <c r="L985" s="379"/>
      <c r="M985" s="197"/>
      <c r="N985" s="198"/>
      <c r="O985" s="379"/>
      <c r="P985" s="197"/>
      <c r="Q985" s="198"/>
      <c r="R985" s="379"/>
      <c r="S985" s="197"/>
      <c r="T985" s="198"/>
      <c r="U985" s="379"/>
      <c r="V985" s="197"/>
      <c r="W985" s="198"/>
      <c r="X985" s="379"/>
      <c r="Y985" s="184"/>
      <c r="Z985" s="184"/>
      <c r="AA985" s="184"/>
      <c r="AB985" s="184"/>
      <c r="AC985" s="8"/>
      <c r="AD985" s="8"/>
      <c r="AE985" s="8"/>
      <c r="AF985" s="8"/>
      <c r="AG985" s="191"/>
      <c r="AH985" s="191"/>
      <c r="AI985" s="191"/>
      <c r="AJ985" s="8"/>
      <c r="AK985" s="8"/>
      <c r="AL985" s="8"/>
      <c r="AM985" s="8"/>
      <c r="AN985" s="8"/>
      <c r="AO985" s="8"/>
      <c r="AP985" s="8"/>
      <c r="AQ985" s="8"/>
      <c r="AR985" s="8"/>
      <c r="AS985" s="8"/>
      <c r="AT985" s="8"/>
    </row>
    <row r="986">
      <c r="A986" s="197"/>
      <c r="B986" s="198"/>
      <c r="C986" s="379"/>
      <c r="D986" s="197"/>
      <c r="E986" s="198"/>
      <c r="F986" s="379"/>
      <c r="G986" s="197"/>
      <c r="H986" s="198"/>
      <c r="I986" s="379"/>
      <c r="J986" s="197"/>
      <c r="K986" s="198"/>
      <c r="L986" s="379"/>
      <c r="M986" s="197"/>
      <c r="N986" s="198"/>
      <c r="O986" s="379"/>
      <c r="P986" s="197"/>
      <c r="Q986" s="198"/>
      <c r="R986" s="379"/>
      <c r="S986" s="197"/>
      <c r="T986" s="198"/>
      <c r="U986" s="379"/>
      <c r="V986" s="197"/>
      <c r="W986" s="198"/>
      <c r="X986" s="379"/>
      <c r="Y986" s="184"/>
      <c r="Z986" s="184"/>
      <c r="AA986" s="184"/>
      <c r="AB986" s="184"/>
      <c r="AC986" s="8"/>
      <c r="AD986" s="8"/>
      <c r="AE986" s="8"/>
      <c r="AF986" s="8"/>
      <c r="AG986" s="191"/>
      <c r="AH986" s="191"/>
      <c r="AI986" s="191"/>
      <c r="AJ986" s="8"/>
      <c r="AK986" s="8"/>
      <c r="AL986" s="8"/>
      <c r="AM986" s="8"/>
      <c r="AN986" s="8"/>
      <c r="AO986" s="8"/>
      <c r="AP986" s="8"/>
      <c r="AQ986" s="8"/>
      <c r="AR986" s="8"/>
      <c r="AS986" s="8"/>
      <c r="AT986" s="8"/>
    </row>
    <row r="987">
      <c r="A987" s="197"/>
      <c r="B987" s="198"/>
      <c r="C987" s="379"/>
      <c r="D987" s="197"/>
      <c r="E987" s="198"/>
      <c r="F987" s="379"/>
      <c r="G987" s="197"/>
      <c r="H987" s="198"/>
      <c r="I987" s="379"/>
      <c r="J987" s="197"/>
      <c r="K987" s="198"/>
      <c r="L987" s="379"/>
      <c r="M987" s="197"/>
      <c r="N987" s="198"/>
      <c r="O987" s="379"/>
      <c r="P987" s="197"/>
      <c r="Q987" s="198"/>
      <c r="R987" s="379"/>
      <c r="S987" s="197"/>
      <c r="T987" s="198"/>
      <c r="U987" s="379"/>
      <c r="V987" s="197"/>
      <c r="W987" s="198"/>
      <c r="X987" s="379"/>
      <c r="Y987" s="184"/>
      <c r="Z987" s="184"/>
      <c r="AA987" s="184"/>
      <c r="AB987" s="184"/>
      <c r="AC987" s="8"/>
      <c r="AD987" s="8"/>
      <c r="AE987" s="8"/>
      <c r="AF987" s="8"/>
      <c r="AG987" s="191"/>
      <c r="AH987" s="191"/>
      <c r="AI987" s="191"/>
      <c r="AJ987" s="8"/>
      <c r="AK987" s="8"/>
      <c r="AL987" s="8"/>
      <c r="AM987" s="8"/>
      <c r="AN987" s="8"/>
      <c r="AO987" s="8"/>
      <c r="AP987" s="8"/>
      <c r="AQ987" s="8"/>
      <c r="AR987" s="8"/>
      <c r="AS987" s="8"/>
      <c r="AT987" s="8"/>
    </row>
    <row r="988">
      <c r="A988" s="197"/>
      <c r="B988" s="198"/>
      <c r="C988" s="379"/>
      <c r="D988" s="197"/>
      <c r="E988" s="198"/>
      <c r="F988" s="379"/>
      <c r="G988" s="197"/>
      <c r="H988" s="198"/>
      <c r="I988" s="379"/>
      <c r="J988" s="197"/>
      <c r="K988" s="198"/>
      <c r="L988" s="379"/>
      <c r="M988" s="197"/>
      <c r="N988" s="198"/>
      <c r="O988" s="379"/>
      <c r="P988" s="197"/>
      <c r="Q988" s="198"/>
      <c r="R988" s="379"/>
      <c r="S988" s="197"/>
      <c r="T988" s="198"/>
      <c r="U988" s="379"/>
      <c r="V988" s="197"/>
      <c r="W988" s="198"/>
      <c r="X988" s="379"/>
      <c r="Y988" s="184"/>
      <c r="Z988" s="184"/>
      <c r="AA988" s="184"/>
      <c r="AB988" s="184"/>
      <c r="AC988" s="8"/>
      <c r="AD988" s="8"/>
      <c r="AE988" s="8"/>
      <c r="AF988" s="8"/>
      <c r="AG988" s="191"/>
      <c r="AH988" s="191"/>
      <c r="AI988" s="191"/>
      <c r="AJ988" s="8"/>
      <c r="AK988" s="8"/>
      <c r="AL988" s="8"/>
      <c r="AM988" s="8"/>
      <c r="AN988" s="8"/>
      <c r="AO988" s="8"/>
      <c r="AP988" s="8"/>
      <c r="AQ988" s="8"/>
      <c r="AR988" s="8"/>
      <c r="AS988" s="8"/>
      <c r="AT988" s="8"/>
    </row>
    <row r="989">
      <c r="A989" s="197"/>
      <c r="B989" s="198"/>
      <c r="C989" s="379"/>
      <c r="D989" s="197"/>
      <c r="E989" s="198"/>
      <c r="F989" s="379"/>
      <c r="G989" s="197"/>
      <c r="H989" s="198"/>
      <c r="I989" s="379"/>
      <c r="J989" s="197"/>
      <c r="K989" s="198"/>
      <c r="L989" s="379"/>
      <c r="M989" s="197"/>
      <c r="N989" s="198"/>
      <c r="O989" s="379"/>
      <c r="P989" s="197"/>
      <c r="Q989" s="198"/>
      <c r="R989" s="379"/>
      <c r="S989" s="197"/>
      <c r="T989" s="198"/>
      <c r="U989" s="379"/>
      <c r="V989" s="197"/>
      <c r="W989" s="198"/>
      <c r="X989" s="379"/>
      <c r="Y989" s="184"/>
      <c r="Z989" s="184"/>
      <c r="AA989" s="184"/>
      <c r="AB989" s="184"/>
      <c r="AC989" s="8"/>
      <c r="AD989" s="8"/>
      <c r="AE989" s="8"/>
      <c r="AF989" s="8"/>
      <c r="AG989" s="191"/>
      <c r="AH989" s="191"/>
      <c r="AI989" s="191"/>
      <c r="AJ989" s="8"/>
      <c r="AK989" s="8"/>
      <c r="AL989" s="8"/>
      <c r="AM989" s="8"/>
      <c r="AN989" s="8"/>
      <c r="AO989" s="8"/>
      <c r="AP989" s="8"/>
      <c r="AQ989" s="8"/>
      <c r="AR989" s="8"/>
      <c r="AS989" s="8"/>
      <c r="AT989" s="8"/>
    </row>
    <row r="990">
      <c r="A990" s="197"/>
      <c r="B990" s="198"/>
      <c r="C990" s="379"/>
      <c r="D990" s="197"/>
      <c r="E990" s="198"/>
      <c r="F990" s="379"/>
      <c r="G990" s="197"/>
      <c r="H990" s="198"/>
      <c r="I990" s="379"/>
      <c r="J990" s="197"/>
      <c r="K990" s="198"/>
      <c r="L990" s="379"/>
      <c r="M990" s="197"/>
      <c r="N990" s="198"/>
      <c r="O990" s="379"/>
      <c r="P990" s="197"/>
      <c r="Q990" s="198"/>
      <c r="R990" s="379"/>
      <c r="S990" s="197"/>
      <c r="T990" s="198"/>
      <c r="U990" s="379"/>
      <c r="V990" s="197"/>
      <c r="W990" s="198"/>
      <c r="X990" s="379"/>
      <c r="Y990" s="184"/>
      <c r="Z990" s="184"/>
      <c r="AA990" s="184"/>
      <c r="AB990" s="184"/>
      <c r="AC990" s="8"/>
      <c r="AD990" s="8"/>
      <c r="AE990" s="8"/>
      <c r="AF990" s="8"/>
      <c r="AG990" s="191"/>
      <c r="AH990" s="191"/>
      <c r="AI990" s="191"/>
      <c r="AJ990" s="8"/>
      <c r="AK990" s="8"/>
      <c r="AL990" s="8"/>
      <c r="AM990" s="8"/>
      <c r="AN990" s="8"/>
      <c r="AO990" s="8"/>
      <c r="AP990" s="8"/>
      <c r="AQ990" s="8"/>
      <c r="AR990" s="8"/>
      <c r="AS990" s="8"/>
      <c r="AT990" s="8"/>
    </row>
    <row r="991">
      <c r="A991" s="197"/>
      <c r="B991" s="198"/>
      <c r="C991" s="379"/>
      <c r="D991" s="197"/>
      <c r="E991" s="198"/>
      <c r="F991" s="379"/>
      <c r="G991" s="197"/>
      <c r="H991" s="198"/>
      <c r="I991" s="379"/>
      <c r="J991" s="197"/>
      <c r="K991" s="198"/>
      <c r="L991" s="379"/>
      <c r="M991" s="197"/>
      <c r="N991" s="198"/>
      <c r="O991" s="379"/>
      <c r="P991" s="197"/>
      <c r="Q991" s="198"/>
      <c r="R991" s="379"/>
      <c r="S991" s="197"/>
      <c r="T991" s="198"/>
      <c r="U991" s="379"/>
      <c r="V991" s="197"/>
      <c r="W991" s="198"/>
      <c r="X991" s="379"/>
      <c r="Y991" s="184"/>
      <c r="Z991" s="184"/>
      <c r="AA991" s="184"/>
      <c r="AB991" s="184"/>
      <c r="AC991" s="8"/>
      <c r="AD991" s="8"/>
      <c r="AE991" s="8"/>
      <c r="AF991" s="8"/>
      <c r="AG991" s="191"/>
      <c r="AH991" s="191"/>
      <c r="AI991" s="191"/>
      <c r="AJ991" s="8"/>
      <c r="AK991" s="8"/>
      <c r="AL991" s="8"/>
      <c r="AM991" s="8"/>
      <c r="AN991" s="8"/>
      <c r="AO991" s="8"/>
      <c r="AP991" s="8"/>
      <c r="AQ991" s="8"/>
      <c r="AR991" s="8"/>
      <c r="AS991" s="8"/>
      <c r="AT991" s="8"/>
    </row>
    <row r="992">
      <c r="A992" s="197"/>
      <c r="B992" s="198"/>
      <c r="C992" s="379"/>
      <c r="D992" s="197"/>
      <c r="E992" s="198"/>
      <c r="F992" s="379"/>
      <c r="G992" s="197"/>
      <c r="H992" s="198"/>
      <c r="I992" s="379"/>
      <c r="J992" s="197"/>
      <c r="K992" s="198"/>
      <c r="L992" s="379"/>
      <c r="M992" s="197"/>
      <c r="N992" s="198"/>
      <c r="O992" s="379"/>
      <c r="P992" s="197"/>
      <c r="Q992" s="198"/>
      <c r="R992" s="379"/>
      <c r="S992" s="197"/>
      <c r="T992" s="198"/>
      <c r="U992" s="379"/>
      <c r="V992" s="197"/>
      <c r="W992" s="198"/>
      <c r="X992" s="379"/>
      <c r="Y992" s="184"/>
      <c r="Z992" s="184"/>
      <c r="AA992" s="184"/>
      <c r="AB992" s="184"/>
      <c r="AC992" s="8"/>
      <c r="AD992" s="8"/>
      <c r="AE992" s="8"/>
      <c r="AF992" s="8"/>
      <c r="AG992" s="191"/>
      <c r="AH992" s="191"/>
      <c r="AI992" s="191"/>
      <c r="AJ992" s="8"/>
      <c r="AK992" s="8"/>
      <c r="AL992" s="8"/>
      <c r="AM992" s="8"/>
      <c r="AN992" s="8"/>
      <c r="AO992" s="8"/>
      <c r="AP992" s="8"/>
      <c r="AQ992" s="8"/>
      <c r="AR992" s="8"/>
      <c r="AS992" s="8"/>
      <c r="AT992" s="8"/>
    </row>
    <row r="993">
      <c r="A993" s="197"/>
      <c r="B993" s="198"/>
      <c r="C993" s="379"/>
      <c r="D993" s="197"/>
      <c r="E993" s="198"/>
      <c r="F993" s="379"/>
      <c r="G993" s="197"/>
      <c r="H993" s="198"/>
      <c r="I993" s="379"/>
      <c r="J993" s="197"/>
      <c r="K993" s="198"/>
      <c r="L993" s="379"/>
      <c r="M993" s="197"/>
      <c r="N993" s="198"/>
      <c r="O993" s="379"/>
      <c r="P993" s="197"/>
      <c r="Q993" s="198"/>
      <c r="R993" s="379"/>
      <c r="S993" s="197"/>
      <c r="T993" s="198"/>
      <c r="U993" s="379"/>
      <c r="V993" s="197"/>
      <c r="W993" s="198"/>
      <c r="X993" s="379"/>
      <c r="Y993" s="184"/>
      <c r="Z993" s="184"/>
      <c r="AA993" s="184"/>
      <c r="AB993" s="184"/>
      <c r="AC993" s="8"/>
      <c r="AD993" s="8"/>
      <c r="AE993" s="8"/>
      <c r="AF993" s="8"/>
      <c r="AG993" s="191"/>
      <c r="AH993" s="191"/>
      <c r="AI993" s="191"/>
      <c r="AJ993" s="8"/>
      <c r="AK993" s="8"/>
      <c r="AL993" s="8"/>
      <c r="AM993" s="8"/>
      <c r="AN993" s="8"/>
      <c r="AO993" s="8"/>
      <c r="AP993" s="8"/>
      <c r="AQ993" s="8"/>
      <c r="AR993" s="8"/>
      <c r="AS993" s="8"/>
      <c r="AT993" s="8"/>
    </row>
    <row r="994">
      <c r="A994" s="197"/>
      <c r="B994" s="198"/>
      <c r="C994" s="379"/>
      <c r="D994" s="197"/>
      <c r="E994" s="198"/>
      <c r="F994" s="379"/>
      <c r="G994" s="197"/>
      <c r="H994" s="198"/>
      <c r="I994" s="379"/>
      <c r="J994" s="197"/>
      <c r="K994" s="198"/>
      <c r="L994" s="379"/>
      <c r="M994" s="197"/>
      <c r="N994" s="198"/>
      <c r="O994" s="379"/>
      <c r="P994" s="197"/>
      <c r="Q994" s="198"/>
      <c r="R994" s="379"/>
      <c r="S994" s="197"/>
      <c r="T994" s="198"/>
      <c r="U994" s="379"/>
      <c r="V994" s="197"/>
      <c r="W994" s="198"/>
      <c r="X994" s="379"/>
      <c r="Y994" s="184"/>
      <c r="Z994" s="184"/>
      <c r="AA994" s="184"/>
      <c r="AB994" s="184"/>
      <c r="AC994" s="8"/>
      <c r="AD994" s="8"/>
      <c r="AE994" s="8"/>
      <c r="AF994" s="8"/>
      <c r="AG994" s="191"/>
      <c r="AH994" s="191"/>
      <c r="AI994" s="191"/>
      <c r="AJ994" s="8"/>
      <c r="AK994" s="8"/>
      <c r="AL994" s="8"/>
      <c r="AM994" s="8"/>
      <c r="AN994" s="8"/>
      <c r="AO994" s="8"/>
      <c r="AP994" s="8"/>
      <c r="AQ994" s="8"/>
      <c r="AR994" s="8"/>
      <c r="AS994" s="8"/>
      <c r="AT994" s="8"/>
    </row>
    <row r="995">
      <c r="A995" s="197"/>
      <c r="B995" s="198"/>
      <c r="C995" s="379"/>
      <c r="D995" s="197"/>
      <c r="E995" s="198"/>
      <c r="F995" s="379"/>
      <c r="G995" s="197"/>
      <c r="H995" s="198"/>
      <c r="I995" s="379"/>
      <c r="J995" s="197"/>
      <c r="K995" s="198"/>
      <c r="L995" s="379"/>
      <c r="M995" s="197"/>
      <c r="N995" s="198"/>
      <c r="O995" s="379"/>
      <c r="P995" s="197"/>
      <c r="Q995" s="198"/>
      <c r="R995" s="379"/>
      <c r="S995" s="197"/>
      <c r="T995" s="198"/>
      <c r="U995" s="379"/>
      <c r="V995" s="197"/>
      <c r="W995" s="198"/>
      <c r="X995" s="379"/>
      <c r="Y995" s="184"/>
      <c r="Z995" s="184"/>
      <c r="AA995" s="184"/>
      <c r="AB995" s="184"/>
      <c r="AC995" s="8"/>
      <c r="AD995" s="8"/>
      <c r="AE995" s="8"/>
      <c r="AF995" s="8"/>
      <c r="AG995" s="191"/>
      <c r="AH995" s="191"/>
      <c r="AI995" s="191"/>
      <c r="AJ995" s="8"/>
      <c r="AK995" s="8"/>
      <c r="AL995" s="8"/>
      <c r="AM995" s="8"/>
      <c r="AN995" s="8"/>
      <c r="AO995" s="8"/>
      <c r="AP995" s="8"/>
      <c r="AQ995" s="8"/>
      <c r="AR995" s="8"/>
      <c r="AS995" s="8"/>
      <c r="AT995" s="8"/>
    </row>
    <row r="996">
      <c r="A996" s="197"/>
      <c r="B996" s="198"/>
      <c r="C996" s="379"/>
      <c r="D996" s="197"/>
      <c r="E996" s="198"/>
      <c r="F996" s="379"/>
      <c r="G996" s="197"/>
      <c r="H996" s="198"/>
      <c r="I996" s="379"/>
      <c r="J996" s="197"/>
      <c r="K996" s="198"/>
      <c r="L996" s="379"/>
      <c r="M996" s="197"/>
      <c r="N996" s="198"/>
      <c r="O996" s="379"/>
      <c r="P996" s="197"/>
      <c r="Q996" s="198"/>
      <c r="R996" s="379"/>
      <c r="S996" s="197"/>
      <c r="T996" s="198"/>
      <c r="U996" s="379"/>
      <c r="V996" s="197"/>
      <c r="W996" s="198"/>
      <c r="X996" s="379"/>
      <c r="Y996" s="184"/>
      <c r="Z996" s="184"/>
      <c r="AA996" s="184"/>
      <c r="AB996" s="184"/>
      <c r="AC996" s="8"/>
      <c r="AD996" s="8"/>
      <c r="AE996" s="8"/>
      <c r="AF996" s="8"/>
      <c r="AG996" s="191"/>
      <c r="AH996" s="191"/>
      <c r="AI996" s="191"/>
      <c r="AJ996" s="8"/>
      <c r="AK996" s="8"/>
      <c r="AL996" s="8"/>
      <c r="AM996" s="8"/>
      <c r="AN996" s="8"/>
      <c r="AO996" s="8"/>
      <c r="AP996" s="8"/>
      <c r="AQ996" s="8"/>
      <c r="AR996" s="8"/>
      <c r="AS996" s="8"/>
      <c r="AT996" s="8"/>
    </row>
    <row r="997">
      <c r="A997" s="197"/>
      <c r="B997" s="198"/>
      <c r="C997" s="379"/>
      <c r="D997" s="197"/>
      <c r="E997" s="198"/>
      <c r="F997" s="379"/>
      <c r="G997" s="197"/>
      <c r="H997" s="198"/>
      <c r="I997" s="379"/>
      <c r="J997" s="197"/>
      <c r="K997" s="198"/>
      <c r="L997" s="379"/>
      <c r="M997" s="197"/>
      <c r="N997" s="198"/>
      <c r="O997" s="379"/>
      <c r="P997" s="197"/>
      <c r="Q997" s="198"/>
      <c r="R997" s="379"/>
      <c r="S997" s="197"/>
      <c r="T997" s="198"/>
      <c r="U997" s="379"/>
      <c r="V997" s="197"/>
      <c r="W997" s="198"/>
      <c r="X997" s="379"/>
      <c r="Y997" s="184"/>
      <c r="Z997" s="184"/>
      <c r="AA997" s="184"/>
      <c r="AB997" s="184"/>
      <c r="AC997" s="8"/>
      <c r="AD997" s="8"/>
      <c r="AE997" s="8"/>
      <c r="AF997" s="8"/>
      <c r="AG997" s="191"/>
      <c r="AH997" s="191"/>
      <c r="AI997" s="191"/>
      <c r="AJ997" s="8"/>
      <c r="AK997" s="8"/>
      <c r="AL997" s="8"/>
      <c r="AM997" s="8"/>
      <c r="AN997" s="8"/>
      <c r="AO997" s="8"/>
      <c r="AP997" s="8"/>
      <c r="AQ997" s="8"/>
      <c r="AR997" s="8"/>
      <c r="AS997" s="8"/>
      <c r="AT997" s="8"/>
    </row>
    <row r="998">
      <c r="A998" s="197"/>
      <c r="B998" s="198"/>
      <c r="C998" s="379"/>
      <c r="D998" s="197"/>
      <c r="E998" s="198"/>
      <c r="F998" s="379"/>
      <c r="G998" s="197"/>
      <c r="H998" s="198"/>
      <c r="I998" s="379"/>
      <c r="J998" s="197"/>
      <c r="K998" s="198"/>
      <c r="L998" s="379"/>
      <c r="M998" s="197"/>
      <c r="N998" s="198"/>
      <c r="O998" s="379"/>
      <c r="P998" s="197"/>
      <c r="Q998" s="198"/>
      <c r="R998" s="379"/>
      <c r="S998" s="197"/>
      <c r="T998" s="198"/>
      <c r="U998" s="379"/>
      <c r="V998" s="197"/>
      <c r="W998" s="198"/>
      <c r="X998" s="379"/>
      <c r="Y998" s="184"/>
      <c r="Z998" s="184"/>
      <c r="AA998" s="184"/>
      <c r="AB998" s="184"/>
      <c r="AC998" s="8"/>
      <c r="AD998" s="8"/>
      <c r="AE998" s="8"/>
      <c r="AF998" s="8"/>
      <c r="AG998" s="191"/>
      <c r="AH998" s="191"/>
      <c r="AI998" s="191"/>
      <c r="AJ998" s="8"/>
      <c r="AK998" s="8"/>
      <c r="AL998" s="8"/>
      <c r="AM998" s="8"/>
      <c r="AN998" s="8"/>
      <c r="AO998" s="8"/>
      <c r="AP998" s="8"/>
      <c r="AQ998" s="8"/>
      <c r="AR998" s="8"/>
      <c r="AS998" s="8"/>
      <c r="AT998" s="8"/>
    </row>
    <row r="999">
      <c r="A999" s="197"/>
      <c r="B999" s="198"/>
      <c r="C999" s="379"/>
      <c r="D999" s="197"/>
      <c r="E999" s="198"/>
      <c r="F999" s="379"/>
      <c r="G999" s="197"/>
      <c r="H999" s="198"/>
      <c r="I999" s="379"/>
      <c r="J999" s="197"/>
      <c r="K999" s="198"/>
      <c r="L999" s="379"/>
      <c r="M999" s="197"/>
      <c r="N999" s="198"/>
      <c r="O999" s="379"/>
      <c r="P999" s="197"/>
      <c r="Q999" s="198"/>
      <c r="R999" s="379"/>
      <c r="S999" s="197"/>
      <c r="T999" s="198"/>
      <c r="U999" s="379"/>
      <c r="V999" s="197"/>
      <c r="W999" s="198"/>
      <c r="X999" s="379"/>
      <c r="Y999" s="184"/>
      <c r="Z999" s="184"/>
      <c r="AA999" s="184"/>
      <c r="AB999" s="184"/>
      <c r="AC999" s="8"/>
      <c r="AD999" s="8"/>
      <c r="AE999" s="8"/>
      <c r="AF999" s="8"/>
      <c r="AG999" s="191"/>
      <c r="AH999" s="191"/>
      <c r="AI999" s="191"/>
      <c r="AJ999" s="8"/>
      <c r="AK999" s="8"/>
      <c r="AL999" s="8"/>
      <c r="AM999" s="8"/>
      <c r="AN999" s="8"/>
      <c r="AO999" s="8"/>
      <c r="AP999" s="8"/>
      <c r="AQ999" s="8"/>
      <c r="AR999" s="8"/>
      <c r="AS999" s="8"/>
      <c r="AT999" s="8"/>
    </row>
    <row r="1000">
      <c r="A1000" s="197"/>
      <c r="B1000" s="198"/>
      <c r="C1000" s="379"/>
      <c r="D1000" s="197"/>
      <c r="E1000" s="198"/>
      <c r="F1000" s="379"/>
      <c r="G1000" s="197"/>
      <c r="H1000" s="198"/>
      <c r="I1000" s="379"/>
      <c r="J1000" s="197"/>
      <c r="K1000" s="198"/>
      <c r="L1000" s="379"/>
      <c r="M1000" s="197"/>
      <c r="N1000" s="198"/>
      <c r="O1000" s="379"/>
      <c r="P1000" s="197"/>
      <c r="Q1000" s="198"/>
      <c r="R1000" s="379"/>
      <c r="S1000" s="197"/>
      <c r="T1000" s="198"/>
      <c r="U1000" s="379"/>
      <c r="V1000" s="197"/>
      <c r="W1000" s="198"/>
      <c r="X1000" s="379"/>
      <c r="Y1000" s="184"/>
      <c r="Z1000" s="184"/>
      <c r="AA1000" s="184"/>
      <c r="AB1000" s="184"/>
      <c r="AC1000" s="8"/>
      <c r="AD1000" s="8"/>
      <c r="AE1000" s="8"/>
      <c r="AF1000" s="8"/>
      <c r="AG1000" s="191"/>
      <c r="AH1000" s="191"/>
      <c r="AI1000" s="191"/>
      <c r="AJ1000" s="8"/>
      <c r="AK1000" s="8"/>
      <c r="AL1000" s="8"/>
      <c r="AM1000" s="8"/>
      <c r="AN1000" s="8"/>
      <c r="AO1000" s="8"/>
      <c r="AP1000" s="8"/>
      <c r="AQ1000" s="8"/>
      <c r="AR1000" s="8"/>
      <c r="AS1000" s="8"/>
      <c r="AT1000" s="8"/>
    </row>
    <row r="1001">
      <c r="A1001" s="197"/>
      <c r="B1001" s="198"/>
      <c r="C1001" s="379"/>
      <c r="D1001" s="197"/>
      <c r="E1001" s="198"/>
      <c r="F1001" s="379"/>
      <c r="G1001" s="197"/>
      <c r="H1001" s="198"/>
      <c r="I1001" s="379"/>
      <c r="J1001" s="197"/>
      <c r="K1001" s="198"/>
      <c r="L1001" s="379"/>
      <c r="M1001" s="197"/>
      <c r="N1001" s="198"/>
      <c r="O1001" s="379"/>
      <c r="P1001" s="197"/>
      <c r="Q1001" s="198"/>
      <c r="R1001" s="379"/>
      <c r="S1001" s="197"/>
      <c r="T1001" s="198"/>
      <c r="U1001" s="379"/>
      <c r="V1001" s="197"/>
      <c r="W1001" s="198"/>
      <c r="X1001" s="379"/>
      <c r="Y1001" s="184"/>
      <c r="Z1001" s="184"/>
      <c r="AA1001" s="184"/>
      <c r="AB1001" s="184"/>
      <c r="AC1001" s="8"/>
      <c r="AD1001" s="8"/>
      <c r="AE1001" s="8"/>
      <c r="AF1001" s="8"/>
      <c r="AG1001" s="191"/>
      <c r="AH1001" s="191"/>
      <c r="AI1001" s="191"/>
      <c r="AJ1001" s="8"/>
      <c r="AK1001" s="8"/>
      <c r="AL1001" s="8"/>
      <c r="AM1001" s="8"/>
      <c r="AN1001" s="8"/>
      <c r="AO1001" s="8"/>
      <c r="AP1001" s="8"/>
      <c r="AQ1001" s="8"/>
      <c r="AR1001" s="8"/>
      <c r="AS1001" s="8"/>
      <c r="AT1001" s="8"/>
    </row>
    <row r="1002">
      <c r="A1002" s="197"/>
      <c r="B1002" s="198"/>
      <c r="C1002" s="379"/>
      <c r="D1002" s="197"/>
      <c r="E1002" s="198"/>
      <c r="F1002" s="379"/>
      <c r="G1002" s="197"/>
      <c r="H1002" s="198"/>
      <c r="I1002" s="379"/>
      <c r="J1002" s="197"/>
      <c r="K1002" s="198"/>
      <c r="L1002" s="379"/>
      <c r="M1002" s="197"/>
      <c r="N1002" s="198"/>
      <c r="O1002" s="379"/>
      <c r="P1002" s="197"/>
      <c r="Q1002" s="198"/>
      <c r="R1002" s="379"/>
      <c r="S1002" s="197"/>
      <c r="T1002" s="198"/>
      <c r="U1002" s="379"/>
      <c r="V1002" s="197"/>
      <c r="W1002" s="198"/>
      <c r="X1002" s="379"/>
      <c r="Y1002" s="184"/>
      <c r="Z1002" s="184"/>
      <c r="AA1002" s="184"/>
      <c r="AB1002" s="184"/>
      <c r="AC1002" s="8"/>
      <c r="AD1002" s="8"/>
      <c r="AE1002" s="8"/>
      <c r="AF1002" s="8"/>
      <c r="AG1002" s="191"/>
      <c r="AH1002" s="191"/>
      <c r="AI1002" s="191"/>
      <c r="AJ1002" s="8"/>
      <c r="AK1002" s="8"/>
      <c r="AL1002" s="8"/>
      <c r="AM1002" s="8"/>
      <c r="AN1002" s="8"/>
      <c r="AO1002" s="8"/>
      <c r="AP1002" s="8"/>
      <c r="AQ1002" s="8"/>
      <c r="AR1002" s="8"/>
      <c r="AS1002" s="8"/>
      <c r="AT1002" s="8"/>
    </row>
    <row r="1003">
      <c r="A1003" s="197"/>
      <c r="B1003" s="198"/>
      <c r="C1003" s="379"/>
      <c r="D1003" s="197"/>
      <c r="E1003" s="198"/>
      <c r="F1003" s="379"/>
      <c r="G1003" s="197"/>
      <c r="H1003" s="198"/>
      <c r="I1003" s="379"/>
      <c r="J1003" s="197"/>
      <c r="K1003" s="198"/>
      <c r="L1003" s="379"/>
      <c r="M1003" s="197"/>
      <c r="N1003" s="198"/>
      <c r="O1003" s="379"/>
      <c r="P1003" s="197"/>
      <c r="Q1003" s="198"/>
      <c r="R1003" s="379"/>
      <c r="S1003" s="197"/>
      <c r="T1003" s="198"/>
      <c r="U1003" s="379"/>
      <c r="V1003" s="197"/>
      <c r="W1003" s="198"/>
      <c r="X1003" s="379"/>
      <c r="Y1003" s="184"/>
      <c r="Z1003" s="184"/>
      <c r="AA1003" s="184"/>
      <c r="AB1003" s="184"/>
      <c r="AC1003" s="8"/>
      <c r="AD1003" s="8"/>
      <c r="AE1003" s="8"/>
      <c r="AF1003" s="8"/>
      <c r="AG1003" s="191"/>
      <c r="AH1003" s="191"/>
      <c r="AI1003" s="191"/>
      <c r="AJ1003" s="8"/>
      <c r="AK1003" s="8"/>
      <c r="AL1003" s="8"/>
      <c r="AM1003" s="8"/>
      <c r="AN1003" s="8"/>
      <c r="AO1003" s="8"/>
      <c r="AP1003" s="8"/>
      <c r="AQ1003" s="8"/>
      <c r="AR1003" s="8"/>
      <c r="AS1003" s="8"/>
      <c r="AT1003" s="8"/>
    </row>
    <row r="1004">
      <c r="A1004" s="197"/>
      <c r="B1004" s="198"/>
      <c r="C1004" s="379"/>
      <c r="D1004" s="197"/>
      <c r="E1004" s="198"/>
      <c r="F1004" s="379"/>
      <c r="G1004" s="197"/>
      <c r="H1004" s="198"/>
      <c r="I1004" s="379"/>
      <c r="J1004" s="197"/>
      <c r="K1004" s="198"/>
      <c r="L1004" s="379"/>
      <c r="M1004" s="197"/>
      <c r="N1004" s="198"/>
      <c r="O1004" s="379"/>
      <c r="P1004" s="197"/>
      <c r="Q1004" s="198"/>
      <c r="R1004" s="379"/>
      <c r="S1004" s="197"/>
      <c r="T1004" s="198"/>
      <c r="U1004" s="379"/>
      <c r="V1004" s="197"/>
      <c r="W1004" s="198"/>
      <c r="X1004" s="379"/>
      <c r="Y1004" s="184"/>
      <c r="Z1004" s="184"/>
      <c r="AA1004" s="184"/>
      <c r="AB1004" s="184"/>
      <c r="AC1004" s="8"/>
      <c r="AD1004" s="8"/>
      <c r="AE1004" s="8"/>
      <c r="AF1004" s="8"/>
      <c r="AG1004" s="191"/>
      <c r="AH1004" s="191"/>
      <c r="AI1004" s="191"/>
      <c r="AJ1004" s="8"/>
      <c r="AK1004" s="8"/>
      <c r="AL1004" s="8"/>
      <c r="AM1004" s="8"/>
      <c r="AN1004" s="8"/>
      <c r="AO1004" s="8"/>
      <c r="AP1004" s="8"/>
      <c r="AQ1004" s="8"/>
      <c r="AR1004" s="8"/>
      <c r="AS1004" s="8"/>
      <c r="AT1004" s="8"/>
    </row>
    <row r="1005">
      <c r="A1005" s="197"/>
      <c r="B1005" s="198"/>
      <c r="C1005" s="379"/>
      <c r="D1005" s="197"/>
      <c r="E1005" s="198"/>
      <c r="F1005" s="379"/>
      <c r="G1005" s="197"/>
      <c r="H1005" s="198"/>
      <c r="I1005" s="379"/>
      <c r="J1005" s="197"/>
      <c r="K1005" s="198"/>
      <c r="L1005" s="379"/>
      <c r="M1005" s="197"/>
      <c r="N1005" s="198"/>
      <c r="O1005" s="379"/>
      <c r="P1005" s="197"/>
      <c r="Q1005" s="198"/>
      <c r="R1005" s="379"/>
      <c r="S1005" s="197"/>
      <c r="T1005" s="198"/>
      <c r="U1005" s="379"/>
      <c r="V1005" s="197"/>
      <c r="W1005" s="198"/>
      <c r="X1005" s="379"/>
      <c r="Y1005" s="184"/>
      <c r="Z1005" s="184"/>
      <c r="AA1005" s="184"/>
      <c r="AB1005" s="184"/>
      <c r="AC1005" s="8"/>
      <c r="AD1005" s="8"/>
      <c r="AE1005" s="8"/>
      <c r="AF1005" s="8"/>
      <c r="AG1005" s="191"/>
      <c r="AH1005" s="191"/>
      <c r="AI1005" s="191"/>
      <c r="AJ1005" s="8"/>
      <c r="AK1005" s="8"/>
      <c r="AL1005" s="8"/>
      <c r="AM1005" s="8"/>
      <c r="AN1005" s="8"/>
      <c r="AO1005" s="8"/>
      <c r="AP1005" s="8"/>
      <c r="AQ1005" s="8"/>
      <c r="AR1005" s="8"/>
      <c r="AS1005" s="8"/>
      <c r="AT1005" s="8"/>
    </row>
    <row r="1006">
      <c r="A1006" s="197"/>
      <c r="B1006" s="198"/>
      <c r="C1006" s="379"/>
      <c r="D1006" s="197"/>
      <c r="E1006" s="198"/>
      <c r="F1006" s="379"/>
      <c r="G1006" s="197"/>
      <c r="H1006" s="198"/>
      <c r="I1006" s="379"/>
      <c r="J1006" s="197"/>
      <c r="K1006" s="198"/>
      <c r="L1006" s="379"/>
      <c r="M1006" s="197"/>
      <c r="N1006" s="198"/>
      <c r="O1006" s="379"/>
      <c r="P1006" s="197"/>
      <c r="Q1006" s="198"/>
      <c r="R1006" s="379"/>
      <c r="S1006" s="197"/>
      <c r="T1006" s="198"/>
      <c r="U1006" s="379"/>
      <c r="V1006" s="197"/>
      <c r="W1006" s="198"/>
      <c r="X1006" s="379"/>
      <c r="Y1006" s="268"/>
      <c r="Z1006" s="210"/>
      <c r="AA1006" s="392"/>
      <c r="AB1006" s="184"/>
      <c r="AC1006" s="8"/>
      <c r="AD1006" s="8"/>
      <c r="AE1006" s="8"/>
      <c r="AF1006" s="8"/>
      <c r="AG1006" s="191"/>
      <c r="AH1006" s="191"/>
      <c r="AI1006" s="191"/>
      <c r="AJ1006" s="8"/>
      <c r="AK1006" s="8"/>
      <c r="AL1006" s="8"/>
      <c r="AM1006" s="8"/>
      <c r="AN1006" s="8"/>
      <c r="AO1006" s="8"/>
      <c r="AP1006" s="8"/>
      <c r="AQ1006" s="8"/>
      <c r="AR1006" s="8"/>
      <c r="AS1006" s="8"/>
      <c r="AT1006" s="8"/>
    </row>
    <row r="1007">
      <c r="A1007" s="197"/>
      <c r="B1007" s="198"/>
      <c r="C1007" s="379"/>
      <c r="D1007" s="197"/>
      <c r="E1007" s="198"/>
      <c r="F1007" s="379"/>
      <c r="G1007" s="197"/>
      <c r="H1007" s="198"/>
      <c r="I1007" s="379"/>
      <c r="J1007" s="197"/>
      <c r="K1007" s="198"/>
      <c r="L1007" s="379"/>
      <c r="M1007" s="197"/>
      <c r="N1007" s="198"/>
      <c r="O1007" s="379"/>
      <c r="P1007" s="197"/>
      <c r="Q1007" s="198"/>
      <c r="R1007" s="379"/>
      <c r="S1007" s="197"/>
      <c r="T1007" s="198"/>
      <c r="U1007" s="379"/>
      <c r="V1007" s="197"/>
      <c r="W1007" s="198"/>
      <c r="X1007" s="379"/>
      <c r="Y1007" s="268"/>
      <c r="Z1007" s="210"/>
      <c r="AA1007" s="392"/>
      <c r="AB1007" s="184"/>
      <c r="AC1007" s="8"/>
      <c r="AD1007" s="8"/>
      <c r="AE1007" s="8"/>
      <c r="AF1007" s="8"/>
      <c r="AG1007" s="191"/>
      <c r="AH1007" s="191"/>
      <c r="AI1007" s="191"/>
      <c r="AJ1007" s="8"/>
      <c r="AK1007" s="8"/>
      <c r="AL1007" s="8"/>
      <c r="AM1007" s="8"/>
      <c r="AN1007" s="8"/>
      <c r="AO1007" s="8"/>
      <c r="AP1007" s="8"/>
      <c r="AQ1007" s="8"/>
      <c r="AR1007" s="8"/>
      <c r="AS1007" s="8"/>
      <c r="AT1007" s="8"/>
    </row>
    <row r="1008">
      <c r="A1008" s="197"/>
      <c r="B1008" s="198"/>
      <c r="C1008" s="379"/>
      <c r="D1008" s="197"/>
      <c r="E1008" s="198"/>
      <c r="F1008" s="379"/>
      <c r="G1008" s="197"/>
      <c r="H1008" s="198"/>
      <c r="I1008" s="379"/>
      <c r="J1008" s="197"/>
      <c r="K1008" s="198"/>
      <c r="L1008" s="379"/>
      <c r="M1008" s="197"/>
      <c r="N1008" s="198"/>
      <c r="O1008" s="379"/>
      <c r="P1008" s="197"/>
      <c r="Q1008" s="198"/>
      <c r="R1008" s="379"/>
      <c r="S1008" s="197"/>
      <c r="T1008" s="198"/>
      <c r="U1008" s="379"/>
      <c r="V1008" s="197"/>
      <c r="W1008" s="198"/>
      <c r="X1008" s="379"/>
      <c r="Y1008" s="268"/>
      <c r="Z1008" s="210"/>
      <c r="AA1008" s="392"/>
      <c r="AB1008" s="184"/>
      <c r="AC1008" s="8"/>
      <c r="AD1008" s="8"/>
      <c r="AE1008" s="8"/>
      <c r="AF1008" s="8"/>
      <c r="AG1008" s="191"/>
      <c r="AH1008" s="191"/>
      <c r="AI1008" s="191"/>
      <c r="AJ1008" s="8"/>
      <c r="AK1008" s="8"/>
      <c r="AL1008" s="8"/>
      <c r="AM1008" s="8"/>
      <c r="AN1008" s="8"/>
      <c r="AO1008" s="8"/>
      <c r="AP1008" s="8"/>
      <c r="AQ1008" s="8"/>
      <c r="AR1008" s="8"/>
      <c r="AS1008" s="8"/>
      <c r="AT1008" s="8"/>
    </row>
    <row r="1009">
      <c r="A1009" s="197"/>
      <c r="B1009" s="198"/>
      <c r="C1009" s="379"/>
      <c r="D1009" s="197"/>
      <c r="E1009" s="198"/>
      <c r="F1009" s="379"/>
      <c r="G1009" s="197"/>
      <c r="H1009" s="198"/>
      <c r="I1009" s="379"/>
      <c r="J1009" s="197"/>
      <c r="K1009" s="198"/>
      <c r="L1009" s="379"/>
      <c r="M1009" s="197"/>
      <c r="N1009" s="198"/>
      <c r="O1009" s="379"/>
      <c r="P1009" s="197"/>
      <c r="Q1009" s="198"/>
      <c r="R1009" s="379"/>
      <c r="S1009" s="197"/>
      <c r="T1009" s="198"/>
      <c r="U1009" s="379"/>
      <c r="V1009" s="197"/>
      <c r="W1009" s="198"/>
      <c r="X1009" s="379"/>
      <c r="Y1009" s="268"/>
      <c r="Z1009" s="210"/>
      <c r="AA1009" s="392"/>
      <c r="AB1009" s="184"/>
      <c r="AC1009" s="8"/>
      <c r="AD1009" s="8"/>
      <c r="AE1009" s="8"/>
      <c r="AF1009" s="8"/>
      <c r="AG1009" s="191"/>
      <c r="AH1009" s="191"/>
      <c r="AI1009" s="191"/>
      <c r="AJ1009" s="8"/>
      <c r="AK1009" s="8"/>
      <c r="AL1009" s="8"/>
      <c r="AM1009" s="8"/>
      <c r="AN1009" s="8"/>
      <c r="AO1009" s="8"/>
      <c r="AP1009" s="8"/>
      <c r="AQ1009" s="8"/>
      <c r="AR1009" s="8"/>
      <c r="AS1009" s="8"/>
      <c r="AT1009" s="8"/>
    </row>
    <row r="1010">
      <c r="A1010" s="197"/>
      <c r="B1010" s="198"/>
      <c r="C1010" s="379"/>
      <c r="D1010" s="197"/>
      <c r="E1010" s="198"/>
      <c r="F1010" s="379"/>
      <c r="G1010" s="197"/>
      <c r="H1010" s="198"/>
      <c r="I1010" s="379"/>
      <c r="J1010" s="197"/>
      <c r="K1010" s="198"/>
      <c r="L1010" s="379"/>
      <c r="M1010" s="197"/>
      <c r="N1010" s="198"/>
      <c r="O1010" s="379"/>
      <c r="P1010" s="197"/>
      <c r="Q1010" s="198"/>
      <c r="R1010" s="379"/>
      <c r="S1010" s="197"/>
      <c r="T1010" s="198"/>
      <c r="U1010" s="379"/>
      <c r="V1010" s="197"/>
      <c r="W1010" s="198"/>
      <c r="X1010" s="379"/>
      <c r="Y1010" s="268"/>
      <c r="Z1010" s="210"/>
      <c r="AA1010" s="392"/>
      <c r="AB1010" s="184"/>
      <c r="AC1010" s="8"/>
      <c r="AD1010" s="8"/>
      <c r="AE1010" s="8"/>
      <c r="AF1010" s="8"/>
      <c r="AG1010" s="191"/>
      <c r="AH1010" s="191"/>
      <c r="AI1010" s="191"/>
      <c r="AJ1010" s="8"/>
      <c r="AK1010" s="8"/>
      <c r="AL1010" s="8"/>
      <c r="AM1010" s="8"/>
      <c r="AN1010" s="8"/>
      <c r="AO1010" s="8"/>
      <c r="AP1010" s="8"/>
      <c r="AQ1010" s="8"/>
      <c r="AR1010" s="8"/>
      <c r="AS1010" s="8"/>
      <c r="AT1010" s="8"/>
    </row>
    <row r="1011">
      <c r="A1011" s="197"/>
      <c r="B1011" s="198"/>
      <c r="C1011" s="379"/>
      <c r="D1011" s="197"/>
      <c r="E1011" s="198"/>
      <c r="F1011" s="379"/>
      <c r="G1011" s="197"/>
      <c r="H1011" s="198"/>
      <c r="I1011" s="379"/>
      <c r="J1011" s="197"/>
      <c r="K1011" s="198"/>
      <c r="L1011" s="379"/>
      <c r="M1011" s="197"/>
      <c r="N1011" s="198"/>
      <c r="O1011" s="379"/>
      <c r="P1011" s="197"/>
      <c r="Q1011" s="198"/>
      <c r="R1011" s="379"/>
      <c r="S1011" s="197"/>
      <c r="T1011" s="198"/>
      <c r="U1011" s="379"/>
      <c r="V1011" s="197"/>
      <c r="W1011" s="198"/>
      <c r="X1011" s="379"/>
      <c r="Y1011" s="268"/>
      <c r="Z1011" s="210"/>
      <c r="AA1011" s="392"/>
      <c r="AB1011" s="184"/>
      <c r="AC1011" s="8"/>
      <c r="AD1011" s="8"/>
      <c r="AE1011" s="8"/>
      <c r="AF1011" s="8"/>
      <c r="AG1011" s="191"/>
      <c r="AH1011" s="191"/>
      <c r="AI1011" s="191"/>
      <c r="AJ1011" s="8"/>
      <c r="AK1011" s="8"/>
      <c r="AL1011" s="8"/>
      <c r="AM1011" s="8"/>
      <c r="AN1011" s="8"/>
      <c r="AO1011" s="8"/>
      <c r="AP1011" s="8"/>
      <c r="AQ1011" s="8"/>
      <c r="AR1011" s="8"/>
      <c r="AS1011" s="8"/>
      <c r="AT1011" s="8"/>
    </row>
    <row r="1012">
      <c r="A1012" s="197"/>
      <c r="B1012" s="198"/>
      <c r="C1012" s="379"/>
      <c r="D1012" s="197"/>
      <c r="E1012" s="198"/>
      <c r="F1012" s="379"/>
      <c r="G1012" s="197"/>
      <c r="H1012" s="198"/>
      <c r="I1012" s="379"/>
      <c r="J1012" s="197"/>
      <c r="K1012" s="198"/>
      <c r="L1012" s="379"/>
      <c r="M1012" s="197"/>
      <c r="N1012" s="198"/>
      <c r="O1012" s="379"/>
      <c r="P1012" s="197"/>
      <c r="Q1012" s="198"/>
      <c r="R1012" s="379"/>
      <c r="S1012" s="197"/>
      <c r="T1012" s="198"/>
      <c r="U1012" s="379"/>
      <c r="V1012" s="197"/>
      <c r="W1012" s="198"/>
      <c r="X1012" s="379"/>
      <c r="Y1012" s="268"/>
      <c r="Z1012" s="210"/>
      <c r="AA1012" s="392"/>
      <c r="AB1012" s="184"/>
      <c r="AC1012" s="8"/>
      <c r="AD1012" s="8"/>
      <c r="AE1012" s="8"/>
      <c r="AF1012" s="8"/>
      <c r="AG1012" s="191"/>
      <c r="AH1012" s="191"/>
      <c r="AI1012" s="191"/>
      <c r="AJ1012" s="8"/>
      <c r="AK1012" s="8"/>
      <c r="AL1012" s="8"/>
      <c r="AM1012" s="8"/>
      <c r="AN1012" s="8"/>
      <c r="AO1012" s="8"/>
      <c r="AP1012" s="8"/>
      <c r="AQ1012" s="8"/>
      <c r="AR1012" s="8"/>
      <c r="AS1012" s="8"/>
      <c r="AT1012" s="8"/>
    </row>
    <row r="1013">
      <c r="A1013" s="197"/>
      <c r="B1013" s="198"/>
      <c r="C1013" s="379"/>
      <c r="D1013" s="197"/>
      <c r="E1013" s="198"/>
      <c r="F1013" s="379"/>
      <c r="G1013" s="197"/>
      <c r="H1013" s="198"/>
      <c r="I1013" s="379"/>
      <c r="J1013" s="197"/>
      <c r="K1013" s="198"/>
      <c r="L1013" s="379"/>
      <c r="M1013" s="197"/>
      <c r="N1013" s="198"/>
      <c r="O1013" s="379"/>
      <c r="P1013" s="197"/>
      <c r="Q1013" s="198"/>
      <c r="R1013" s="379"/>
      <c r="S1013" s="197"/>
      <c r="T1013" s="198"/>
      <c r="U1013" s="379"/>
      <c r="V1013" s="197"/>
      <c r="W1013" s="198"/>
      <c r="X1013" s="379"/>
      <c r="Y1013" s="268"/>
      <c r="Z1013" s="210"/>
      <c r="AA1013" s="392"/>
      <c r="AB1013" s="184"/>
      <c r="AC1013" s="8"/>
      <c r="AD1013" s="8"/>
      <c r="AE1013" s="8"/>
      <c r="AF1013" s="8"/>
      <c r="AG1013" s="191"/>
      <c r="AH1013" s="191"/>
      <c r="AI1013" s="191"/>
      <c r="AJ1013" s="8"/>
      <c r="AK1013" s="8"/>
      <c r="AL1013" s="8"/>
      <c r="AM1013" s="8"/>
      <c r="AN1013" s="8"/>
      <c r="AO1013" s="8"/>
      <c r="AP1013" s="8"/>
      <c r="AQ1013" s="8"/>
      <c r="AR1013" s="8"/>
      <c r="AS1013" s="8"/>
      <c r="AT1013" s="8"/>
    </row>
    <row r="1014">
      <c r="A1014" s="197"/>
      <c r="B1014" s="198"/>
      <c r="C1014" s="379"/>
      <c r="D1014" s="197"/>
      <c r="E1014" s="198"/>
      <c r="F1014" s="379"/>
      <c r="G1014" s="197"/>
      <c r="H1014" s="198"/>
      <c r="I1014" s="379"/>
      <c r="J1014" s="197"/>
      <c r="K1014" s="198"/>
      <c r="L1014" s="379"/>
      <c r="M1014" s="197"/>
      <c r="N1014" s="198"/>
      <c r="O1014" s="379"/>
      <c r="P1014" s="197"/>
      <c r="Q1014" s="198"/>
      <c r="R1014" s="379"/>
      <c r="S1014" s="197"/>
      <c r="T1014" s="198"/>
      <c r="U1014" s="379"/>
      <c r="V1014" s="197"/>
      <c r="W1014" s="198"/>
      <c r="X1014" s="379"/>
      <c r="Y1014" s="268"/>
      <c r="Z1014" s="210"/>
      <c r="AA1014" s="392"/>
      <c r="AB1014" s="184"/>
      <c r="AC1014" s="8"/>
      <c r="AD1014" s="8"/>
      <c r="AE1014" s="8"/>
      <c r="AF1014" s="8"/>
      <c r="AG1014" s="191"/>
      <c r="AH1014" s="191"/>
      <c r="AI1014" s="191"/>
      <c r="AJ1014" s="8"/>
      <c r="AK1014" s="8"/>
      <c r="AL1014" s="8"/>
      <c r="AM1014" s="8"/>
      <c r="AN1014" s="8"/>
      <c r="AO1014" s="8"/>
      <c r="AP1014" s="8"/>
      <c r="AQ1014" s="8"/>
      <c r="AR1014" s="8"/>
      <c r="AS1014" s="8"/>
      <c r="AT1014" s="8"/>
    </row>
    <row r="1015">
      <c r="A1015" s="197"/>
      <c r="B1015" s="198"/>
      <c r="C1015" s="379"/>
      <c r="D1015" s="197"/>
      <c r="E1015" s="198"/>
      <c r="F1015" s="379"/>
      <c r="G1015" s="197"/>
      <c r="H1015" s="198"/>
      <c r="I1015" s="379"/>
      <c r="J1015" s="197"/>
      <c r="K1015" s="198"/>
      <c r="L1015" s="379"/>
      <c r="M1015" s="197"/>
      <c r="N1015" s="198"/>
      <c r="O1015" s="379"/>
      <c r="P1015" s="197"/>
      <c r="Q1015" s="198"/>
      <c r="R1015" s="379"/>
      <c r="S1015" s="197"/>
      <c r="T1015" s="198"/>
      <c r="U1015" s="379"/>
      <c r="V1015" s="197"/>
      <c r="W1015" s="198"/>
      <c r="X1015" s="379"/>
      <c r="Y1015" s="268"/>
      <c r="Z1015" s="210"/>
      <c r="AA1015" s="392"/>
      <c r="AB1015" s="184"/>
      <c r="AC1015" s="8"/>
      <c r="AD1015" s="8"/>
      <c r="AE1015" s="8"/>
      <c r="AF1015" s="8"/>
      <c r="AG1015" s="191"/>
      <c r="AH1015" s="191"/>
      <c r="AI1015" s="191"/>
      <c r="AJ1015" s="8"/>
      <c r="AK1015" s="8"/>
      <c r="AL1015" s="8"/>
      <c r="AM1015" s="8"/>
      <c r="AN1015" s="8"/>
      <c r="AO1015" s="8"/>
      <c r="AP1015" s="8"/>
      <c r="AQ1015" s="8"/>
      <c r="AR1015" s="8"/>
      <c r="AS1015" s="8"/>
      <c r="AT1015" s="8"/>
    </row>
    <row r="1016">
      <c r="A1016" s="197"/>
      <c r="B1016" s="198"/>
      <c r="C1016" s="379"/>
      <c r="D1016" s="197"/>
      <c r="E1016" s="198"/>
      <c r="F1016" s="379"/>
      <c r="G1016" s="197"/>
      <c r="H1016" s="198"/>
      <c r="I1016" s="379"/>
      <c r="J1016" s="197"/>
      <c r="K1016" s="198"/>
      <c r="L1016" s="379"/>
      <c r="M1016" s="197"/>
      <c r="N1016" s="198"/>
      <c r="O1016" s="379"/>
      <c r="P1016" s="197"/>
      <c r="Q1016" s="198"/>
      <c r="R1016" s="379"/>
      <c r="S1016" s="197"/>
      <c r="T1016" s="198"/>
      <c r="U1016" s="379"/>
      <c r="V1016" s="197"/>
      <c r="W1016" s="198"/>
      <c r="X1016" s="379"/>
      <c r="Y1016" s="268"/>
      <c r="Z1016" s="210"/>
      <c r="AA1016" s="392"/>
      <c r="AB1016" s="184"/>
      <c r="AC1016" s="8"/>
      <c r="AD1016" s="8"/>
      <c r="AE1016" s="8"/>
      <c r="AF1016" s="8"/>
      <c r="AG1016" s="191"/>
      <c r="AH1016" s="191"/>
      <c r="AI1016" s="191"/>
      <c r="AJ1016" s="8"/>
      <c r="AK1016" s="8"/>
      <c r="AL1016" s="8"/>
      <c r="AM1016" s="8"/>
      <c r="AN1016" s="8"/>
      <c r="AO1016" s="8"/>
      <c r="AP1016" s="8"/>
      <c r="AQ1016" s="8"/>
      <c r="AR1016" s="8"/>
      <c r="AS1016" s="8"/>
      <c r="AT1016" s="8"/>
    </row>
    <row r="1017">
      <c r="A1017" s="197"/>
      <c r="B1017" s="198"/>
      <c r="C1017" s="379"/>
      <c r="D1017" s="197"/>
      <c r="E1017" s="198"/>
      <c r="F1017" s="379"/>
      <c r="G1017" s="197"/>
      <c r="H1017" s="198"/>
      <c r="I1017" s="379"/>
      <c r="J1017" s="197"/>
      <c r="K1017" s="198"/>
      <c r="L1017" s="379"/>
      <c r="M1017" s="197"/>
      <c r="N1017" s="198"/>
      <c r="O1017" s="379"/>
      <c r="P1017" s="197"/>
      <c r="Q1017" s="198"/>
      <c r="R1017" s="379"/>
      <c r="S1017" s="197"/>
      <c r="T1017" s="198"/>
      <c r="U1017" s="379"/>
      <c r="V1017" s="197"/>
      <c r="W1017" s="198"/>
      <c r="X1017" s="379"/>
      <c r="Y1017" s="268"/>
      <c r="Z1017" s="210"/>
      <c r="AA1017" s="392"/>
      <c r="AB1017" s="184"/>
      <c r="AC1017" s="8"/>
      <c r="AD1017" s="8"/>
      <c r="AE1017" s="8"/>
      <c r="AF1017" s="8"/>
      <c r="AG1017" s="191"/>
      <c r="AH1017" s="191"/>
      <c r="AI1017" s="191"/>
      <c r="AJ1017" s="8"/>
      <c r="AK1017" s="8"/>
      <c r="AL1017" s="8"/>
      <c r="AM1017" s="8"/>
      <c r="AN1017" s="8"/>
      <c r="AO1017" s="8"/>
      <c r="AP1017" s="8"/>
      <c r="AQ1017" s="8"/>
      <c r="AR1017" s="8"/>
      <c r="AS1017" s="8"/>
      <c r="AT1017" s="8"/>
    </row>
    <row r="1018">
      <c r="A1018" s="197"/>
      <c r="B1018" s="198"/>
      <c r="C1018" s="379"/>
      <c r="D1018" s="197"/>
      <c r="E1018" s="198"/>
      <c r="F1018" s="379"/>
      <c r="G1018" s="197"/>
      <c r="H1018" s="198"/>
      <c r="I1018" s="379"/>
      <c r="J1018" s="197"/>
      <c r="K1018" s="198"/>
      <c r="L1018" s="379"/>
      <c r="M1018" s="197"/>
      <c r="N1018" s="198"/>
      <c r="O1018" s="379"/>
      <c r="P1018" s="197"/>
      <c r="Q1018" s="198"/>
      <c r="R1018" s="379"/>
      <c r="S1018" s="197"/>
      <c r="T1018" s="198"/>
      <c r="U1018" s="379"/>
      <c r="V1018" s="197"/>
      <c r="W1018" s="198"/>
      <c r="X1018" s="379"/>
      <c r="Y1018" s="268"/>
      <c r="Z1018" s="210"/>
      <c r="AA1018" s="392"/>
      <c r="AB1018" s="184"/>
      <c r="AC1018" s="8"/>
      <c r="AD1018" s="8"/>
      <c r="AE1018" s="8"/>
      <c r="AF1018" s="8"/>
      <c r="AG1018" s="191"/>
      <c r="AH1018" s="191"/>
      <c r="AI1018" s="191"/>
      <c r="AJ1018" s="8"/>
      <c r="AK1018" s="8"/>
      <c r="AL1018" s="8"/>
      <c r="AM1018" s="8"/>
      <c r="AN1018" s="8"/>
      <c r="AO1018" s="8"/>
      <c r="AP1018" s="8"/>
      <c r="AQ1018" s="8"/>
      <c r="AR1018" s="8"/>
      <c r="AS1018" s="8"/>
      <c r="AT1018" s="8"/>
    </row>
    <row r="1019">
      <c r="A1019" s="197"/>
      <c r="B1019" s="198"/>
      <c r="C1019" s="379"/>
      <c r="D1019" s="197"/>
      <c r="E1019" s="198"/>
      <c r="F1019" s="379"/>
      <c r="G1019" s="197"/>
      <c r="H1019" s="198"/>
      <c r="I1019" s="379"/>
      <c r="J1019" s="197"/>
      <c r="K1019" s="198"/>
      <c r="L1019" s="379"/>
      <c r="M1019" s="197"/>
      <c r="N1019" s="198"/>
      <c r="O1019" s="379"/>
      <c r="P1019" s="197"/>
      <c r="Q1019" s="198"/>
      <c r="R1019" s="379"/>
      <c r="S1019" s="197"/>
      <c r="T1019" s="198"/>
      <c r="U1019" s="379"/>
      <c r="V1019" s="197"/>
      <c r="W1019" s="198"/>
      <c r="X1019" s="379"/>
      <c r="Y1019" s="268"/>
      <c r="Z1019" s="210"/>
      <c r="AA1019" s="392"/>
      <c r="AB1019" s="184"/>
      <c r="AC1019" s="8"/>
      <c r="AD1019" s="8"/>
      <c r="AE1019" s="8"/>
      <c r="AF1019" s="8"/>
      <c r="AG1019" s="191"/>
      <c r="AH1019" s="191"/>
      <c r="AI1019" s="191"/>
      <c r="AJ1019" s="8"/>
      <c r="AK1019" s="8"/>
      <c r="AL1019" s="8"/>
      <c r="AM1019" s="8"/>
      <c r="AN1019" s="8"/>
      <c r="AO1019" s="8"/>
      <c r="AP1019" s="8"/>
      <c r="AQ1019" s="8"/>
      <c r="AR1019" s="8"/>
      <c r="AS1019" s="8"/>
      <c r="AT1019" s="8"/>
    </row>
  </sheetData>
  <mergeCells count="88">
    <mergeCell ref="AC20:AF20"/>
    <mergeCell ref="AG20:AJ20"/>
    <mergeCell ref="AK20:AN20"/>
    <mergeCell ref="AO20:AR20"/>
    <mergeCell ref="A20:D20"/>
    <mergeCell ref="E20:H20"/>
    <mergeCell ref="I20:L20"/>
    <mergeCell ref="M20:P20"/>
    <mergeCell ref="Q20:T20"/>
    <mergeCell ref="U20:X20"/>
    <mergeCell ref="Y20:AB20"/>
    <mergeCell ref="AC24:AF24"/>
    <mergeCell ref="AG24:AJ24"/>
    <mergeCell ref="AK24:AN24"/>
    <mergeCell ref="AO24:AR24"/>
    <mergeCell ref="A24:D24"/>
    <mergeCell ref="E24:H24"/>
    <mergeCell ref="I24:L24"/>
    <mergeCell ref="M24:P24"/>
    <mergeCell ref="Q24:T24"/>
    <mergeCell ref="U24:X24"/>
    <mergeCell ref="Y24:AB24"/>
    <mergeCell ref="AC35:AF35"/>
    <mergeCell ref="AG35:AJ35"/>
    <mergeCell ref="AK35:AN35"/>
    <mergeCell ref="AO35:AR35"/>
    <mergeCell ref="A35:D35"/>
    <mergeCell ref="E35:H35"/>
    <mergeCell ref="I35:L35"/>
    <mergeCell ref="M35:P35"/>
    <mergeCell ref="Q35:T35"/>
    <mergeCell ref="U35:X35"/>
    <mergeCell ref="Y35:AB35"/>
    <mergeCell ref="AC46:AF46"/>
    <mergeCell ref="AG46:AJ46"/>
    <mergeCell ref="AK46:AN46"/>
    <mergeCell ref="AO46:AR46"/>
    <mergeCell ref="A46:D46"/>
    <mergeCell ref="E46:H46"/>
    <mergeCell ref="I46:L46"/>
    <mergeCell ref="M46:P46"/>
    <mergeCell ref="Q46:T46"/>
    <mergeCell ref="U46:X46"/>
    <mergeCell ref="Y46:AB46"/>
    <mergeCell ref="AC1:AF1"/>
    <mergeCell ref="AG1:AJ1"/>
    <mergeCell ref="AK1:AN1"/>
    <mergeCell ref="AO1:AR1"/>
    <mergeCell ref="A1:D1"/>
    <mergeCell ref="E1:H1"/>
    <mergeCell ref="I1:L1"/>
    <mergeCell ref="M1:P1"/>
    <mergeCell ref="Q1:T1"/>
    <mergeCell ref="U1:X1"/>
    <mergeCell ref="Y1:AB1"/>
    <mergeCell ref="AC3:AF3"/>
    <mergeCell ref="AG3:AJ3"/>
    <mergeCell ref="AK3:AN3"/>
    <mergeCell ref="AO3:AR3"/>
    <mergeCell ref="A3:D3"/>
    <mergeCell ref="E3:H3"/>
    <mergeCell ref="I3:L3"/>
    <mergeCell ref="M3:P3"/>
    <mergeCell ref="Q3:T3"/>
    <mergeCell ref="U3:X3"/>
    <mergeCell ref="Y3:AB3"/>
    <mergeCell ref="AC13:AF13"/>
    <mergeCell ref="AG13:AJ13"/>
    <mergeCell ref="AK13:AN13"/>
    <mergeCell ref="AO13:AR13"/>
    <mergeCell ref="A13:D13"/>
    <mergeCell ref="E13:H13"/>
    <mergeCell ref="I13:L13"/>
    <mergeCell ref="M13:P13"/>
    <mergeCell ref="Q13:T13"/>
    <mergeCell ref="U13:X13"/>
    <mergeCell ref="Y13:AB13"/>
    <mergeCell ref="AC63:AF63"/>
    <mergeCell ref="AG63:AJ63"/>
    <mergeCell ref="AK63:AN63"/>
    <mergeCell ref="AO63:AR63"/>
    <mergeCell ref="A63:D63"/>
    <mergeCell ref="E63:H63"/>
    <mergeCell ref="I63:L63"/>
    <mergeCell ref="M63:P63"/>
    <mergeCell ref="Q63:T63"/>
    <mergeCell ref="U63:X63"/>
    <mergeCell ref="Y63:AB6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2" width="33.25"/>
    <col customWidth="1" min="23" max="26" width="30.75"/>
  </cols>
  <sheetData>
    <row r="1">
      <c r="A1" s="393" t="s">
        <v>7034</v>
      </c>
      <c r="B1" s="84" t="s">
        <v>7035</v>
      </c>
      <c r="C1" s="393" t="str">
        <f>IFERROR(__xludf.DUMMYFUNCTION("GOOGLETRANSLATE(A1,""zh-tw"",""ja"")"),"兵器プロジェクト")</f>
        <v>兵器プロジェクト</v>
      </c>
      <c r="D1" s="84" t="str">
        <f>IFERROR(__xludf.DUMMYFUNCTION("GOOGLETRANSLATE(B1,""zh-tw"",""ja"")"),"武器の特性")</f>
        <v>武器の特性</v>
      </c>
      <c r="E1" s="393" t="s">
        <v>7036</v>
      </c>
      <c r="F1" s="84" t="s">
        <v>7037</v>
      </c>
      <c r="G1" s="393" t="str">
        <f>IFERROR(__xludf.DUMMYFUNCTION("GOOGLETRANSLATE(A1,""zh-tw"",""zh"")"),"武器项目")</f>
        <v>武器项目</v>
      </c>
      <c r="H1" s="84" t="str">
        <f>IFERROR(__xludf.DUMMYFUNCTION("GOOGLETRANSLATE(B1,""zh-tw"",""zh"")"),"武器属性")</f>
        <v>武器属性</v>
      </c>
      <c r="I1" s="394" t="str">
        <f>IFERROR(__xludf.DUMMYFUNCTION("GOOGLETRANSLATE(A1,""zh-tw"",""es-MX"")"),"Proyecto de Armas")</f>
        <v>Proyecto de Armas</v>
      </c>
      <c r="J1" s="53" t="str">
        <f>IFERROR(__xludf.DUMMYFUNCTION("GOOGLETRANSLATE(B1,""zh-tw"",""es-MX"")"),"atributos del arma")</f>
        <v>atributos del arma</v>
      </c>
      <c r="K1" s="395" t="str">
        <f>IFERROR(__xludf.DUMMYFUNCTION("GOOGLETRANSLATE(A1,""zh-tw"",""KO"")"),"무기 프로젝트")</f>
        <v>무기 프로젝트</v>
      </c>
      <c r="L1" s="88" t="str">
        <f>IFERROR(__xludf.DUMMYFUNCTION("GOOGLETRANSLATE(B1,""zh-tw"",""KO"")"),"무기 속성")</f>
        <v>무기 속성</v>
      </c>
      <c r="M1" s="396" t="s">
        <v>7038</v>
      </c>
      <c r="N1" s="27" t="s">
        <v>7039</v>
      </c>
      <c r="O1" s="393" t="s">
        <v>7040</v>
      </c>
      <c r="P1" s="84" t="s">
        <v>7041</v>
      </c>
      <c r="Q1" s="397" t="s">
        <v>7042</v>
      </c>
      <c r="R1" s="398" t="s">
        <v>7043</v>
      </c>
      <c r="S1" s="86" t="s">
        <v>7044</v>
      </c>
      <c r="T1" s="88" t="s">
        <v>7045</v>
      </c>
      <c r="U1" s="86"/>
      <c r="V1" s="88"/>
      <c r="W1" s="88"/>
      <c r="X1" s="88"/>
      <c r="Y1" s="88"/>
      <c r="Z1" s="88"/>
    </row>
    <row r="2">
      <c r="A2" s="166" t="s">
        <v>7046</v>
      </c>
      <c r="C2" s="166" t="s">
        <v>7047</v>
      </c>
      <c r="E2" s="166" t="s">
        <v>7048</v>
      </c>
      <c r="G2" s="166" t="s">
        <v>7049</v>
      </c>
      <c r="I2" s="166"/>
      <c r="K2" s="166"/>
      <c r="M2" s="166" t="s">
        <v>7050</v>
      </c>
      <c r="O2" s="166"/>
      <c r="Q2" s="166"/>
      <c r="S2" s="166" t="s">
        <v>7051</v>
      </c>
      <c r="U2" s="166"/>
      <c r="W2" s="198"/>
      <c r="X2" s="198"/>
      <c r="Y2" s="198"/>
      <c r="Z2" s="198"/>
    </row>
    <row r="3">
      <c r="A3" s="399" t="s">
        <v>7052</v>
      </c>
      <c r="B3" s="167" t="s">
        <v>7053</v>
      </c>
      <c r="C3" s="400" t="s">
        <v>7054</v>
      </c>
      <c r="D3" s="202" t="s">
        <v>7055</v>
      </c>
      <c r="E3" s="400" t="s">
        <v>7056</v>
      </c>
      <c r="F3" s="202" t="s">
        <v>7057</v>
      </c>
      <c r="G3" s="400" t="str">
        <f>IFERROR(__xludf.DUMMYFUNCTION("GOOGLETRANSLATE(A3,""zh-tw"",""zh"")"),"握紧的拳头")</f>
        <v>握紧的拳头</v>
      </c>
      <c r="H3" s="202" t="str">
        <f>IFERROR(__xludf.DUMMYFUNCTION("GOOGLETRANSLATE(B3,""zh-tw"",""zh"")"),"物攻：2
攻击依照最大体力增加")</f>
        <v>物攻：2
攻击依照最大体力增加</v>
      </c>
      <c r="I3" s="399" t="s">
        <v>7058</v>
      </c>
      <c r="J3" s="198" t="str">
        <f>IFERROR(__xludf.DUMMYFUNCTION("GOOGLETRANSLATE(B3,""zh-tw"",""es-MX"")"),"Ataque físico: 2. El ataque aumenta en función de los puntos de vida máximos.")</f>
        <v>Ataque físico: 2. El ataque aumenta en función de los puntos de vida máximos.</v>
      </c>
      <c r="K3" s="399" t="s">
        <v>7059</v>
      </c>
      <c r="L3" s="167" t="s">
        <v>7060</v>
      </c>
      <c r="M3" s="400" t="s">
        <v>7061</v>
      </c>
      <c r="N3" s="202" t="s">
        <v>7062</v>
      </c>
      <c r="O3" s="400" t="s">
        <v>7063</v>
      </c>
      <c r="P3" s="202" t="s">
        <v>7064</v>
      </c>
      <c r="Q3" s="401" t="s">
        <v>7065</v>
      </c>
      <c r="R3" s="402" t="s">
        <v>7066</v>
      </c>
      <c r="S3" s="197" t="s">
        <v>7067</v>
      </c>
      <c r="T3" s="198" t="s">
        <v>7068</v>
      </c>
      <c r="U3" s="197"/>
      <c r="V3" s="198"/>
      <c r="W3" s="198"/>
      <c r="X3" s="198"/>
      <c r="Y3" s="198"/>
      <c r="Z3" s="198"/>
    </row>
    <row r="4">
      <c r="A4" s="400" t="s">
        <v>7069</v>
      </c>
      <c r="B4" s="202" t="s">
        <v>7070</v>
      </c>
      <c r="C4" s="400" t="s">
        <v>7071</v>
      </c>
      <c r="D4" s="202" t="s">
        <v>7072</v>
      </c>
      <c r="E4" s="400" t="s">
        <v>7073</v>
      </c>
      <c r="F4" s="202" t="s">
        <v>7074</v>
      </c>
      <c r="G4" s="400" t="str">
        <f>IFERROR(__xludf.DUMMYFUNCTION("GOOGLETRANSLATE(A4,""zh-tw"",""zh"")"),"硬木剑")</f>
        <v>硬木剑</v>
      </c>
      <c r="H4" s="202" t="str">
        <f>IFERROR(__xludf.DUMMYFUNCTION("GOOGLETRANSLATE(B4,""zh-tw"",""zh"")"),"物攻：15")</f>
        <v>物攻：15</v>
      </c>
      <c r="I4" s="399" t="s">
        <v>7075</v>
      </c>
      <c r="J4" s="198" t="str">
        <f>IFERROR(__xludf.DUMMYFUNCTION("GOOGLETRANSLATE(B4,""zh-tw"",""es-MX"")"),"Ataque físico: 15")</f>
        <v>Ataque físico: 15</v>
      </c>
      <c r="K4" s="400" t="s">
        <v>7076</v>
      </c>
      <c r="L4" s="167" t="s">
        <v>7077</v>
      </c>
      <c r="M4" s="400" t="s">
        <v>7078</v>
      </c>
      <c r="N4" s="202" t="s">
        <v>7079</v>
      </c>
      <c r="O4" s="400" t="s">
        <v>7080</v>
      </c>
      <c r="P4" s="202" t="s">
        <v>7081</v>
      </c>
      <c r="Q4" s="401" t="s">
        <v>7082</v>
      </c>
      <c r="R4" s="402" t="s">
        <v>7083</v>
      </c>
      <c r="S4" s="197" t="s">
        <v>7084</v>
      </c>
      <c r="T4" s="198" t="s">
        <v>7085</v>
      </c>
      <c r="U4" s="197"/>
      <c r="V4" s="198"/>
      <c r="W4" s="198"/>
      <c r="X4" s="198"/>
      <c r="Y4" s="198"/>
      <c r="Z4" s="198"/>
    </row>
    <row r="5">
      <c r="A5" s="400" t="s">
        <v>7086</v>
      </c>
      <c r="B5" s="202" t="s">
        <v>7087</v>
      </c>
      <c r="C5" s="400" t="s">
        <v>7088</v>
      </c>
      <c r="D5" s="202" t="s">
        <v>7089</v>
      </c>
      <c r="E5" s="400" t="s">
        <v>7090</v>
      </c>
      <c r="F5" s="202" t="s">
        <v>7091</v>
      </c>
      <c r="G5" s="400" t="str">
        <f>IFERROR(__xludf.DUMMYFUNCTION("GOOGLETRANSLATE(A5,""zh-tw"",""zh"")"),"硬木棒")</f>
        <v>硬木棒</v>
      </c>
      <c r="H5" s="202" t="str">
        <f>IFERROR(__xludf.DUMMYFUNCTION("GOOGLETRANSLATE(B5,""zh-tw"",""zh"")"),"物攻：14")</f>
        <v>物攻：14</v>
      </c>
      <c r="I5" s="399" t="s">
        <v>7092</v>
      </c>
      <c r="J5" s="198" t="str">
        <f>IFERROR(__xludf.DUMMYFUNCTION("GOOGLETRANSLATE(B5,""zh-tw"",""es-MX"")"),"Ataque físico: 14")</f>
        <v>Ataque físico: 14</v>
      </c>
      <c r="K5" s="403" t="str">
        <f>IFERROR(__xludf.DUMMYFUNCTION("GOOGLETRANSLATE(A5,""zh-tw"",""KO"")"),"단단한 나무 막대기")</f>
        <v>단단한 나무 막대기</v>
      </c>
      <c r="L5" s="167" t="s">
        <v>7093</v>
      </c>
      <c r="M5" s="400" t="s">
        <v>7094</v>
      </c>
      <c r="N5" s="202" t="s">
        <v>7095</v>
      </c>
      <c r="O5" s="400" t="s">
        <v>7096</v>
      </c>
      <c r="P5" s="202" t="s">
        <v>7097</v>
      </c>
      <c r="Q5" s="401" t="s">
        <v>7098</v>
      </c>
      <c r="R5" s="402" t="s">
        <v>7099</v>
      </c>
      <c r="S5" s="197" t="s">
        <v>7100</v>
      </c>
      <c r="T5" s="198" t="s">
        <v>7101</v>
      </c>
      <c r="U5" s="197"/>
      <c r="V5" s="198"/>
      <c r="W5" s="198"/>
      <c r="X5" s="198"/>
      <c r="Y5" s="198"/>
      <c r="Z5" s="198"/>
    </row>
    <row r="6">
      <c r="A6" s="400" t="s">
        <v>7102</v>
      </c>
      <c r="B6" s="202" t="s">
        <v>7103</v>
      </c>
      <c r="C6" s="400" t="s">
        <v>7104</v>
      </c>
      <c r="D6" s="202" t="s">
        <v>7105</v>
      </c>
      <c r="E6" s="400" t="s">
        <v>7106</v>
      </c>
      <c r="F6" s="202" t="s">
        <v>7107</v>
      </c>
      <c r="G6" s="400" t="str">
        <f>IFERROR(__xludf.DUMMYFUNCTION("GOOGLETRANSLATE(A6,""zh-tw"",""zh"")"),"伐木斧")</f>
        <v>伐木斧</v>
      </c>
      <c r="H6" s="202" t="str">
        <f>IFERROR(__xludf.DUMMYFUNCTION("GOOGLETRANSLATE(B6,""zh-tw"",""zh"")"),"物攻：24")</f>
        <v>物攻：24</v>
      </c>
      <c r="I6" s="399" t="s">
        <v>7108</v>
      </c>
      <c r="J6" s="198" t="str">
        <f>IFERROR(__xludf.DUMMYFUNCTION("GOOGLETRANSLATE(B6,""zh-tw"",""es-MX"")"),"Ataque físico: 24")</f>
        <v>Ataque físico: 24</v>
      </c>
      <c r="K6" s="399" t="s">
        <v>7109</v>
      </c>
      <c r="L6" s="167" t="s">
        <v>7110</v>
      </c>
      <c r="M6" s="400" t="s">
        <v>7111</v>
      </c>
      <c r="N6" s="202" t="s">
        <v>7112</v>
      </c>
      <c r="O6" s="400" t="s">
        <v>7113</v>
      </c>
      <c r="P6" s="202" t="s">
        <v>7114</v>
      </c>
      <c r="Q6" s="401" t="s">
        <v>7115</v>
      </c>
      <c r="R6" s="402" t="s">
        <v>7116</v>
      </c>
      <c r="S6" s="197" t="s">
        <v>7117</v>
      </c>
      <c r="T6" s="198" t="s">
        <v>7118</v>
      </c>
      <c r="U6" s="197"/>
      <c r="V6" s="198"/>
      <c r="W6" s="198"/>
      <c r="X6" s="198"/>
      <c r="Y6" s="198"/>
      <c r="Z6" s="198"/>
    </row>
    <row r="7">
      <c r="A7" s="399" t="s">
        <v>7119</v>
      </c>
      <c r="B7" s="167" t="s">
        <v>7120</v>
      </c>
      <c r="C7" s="400" t="s">
        <v>7119</v>
      </c>
      <c r="D7" s="202" t="s">
        <v>7121</v>
      </c>
      <c r="E7" s="400" t="s">
        <v>7122</v>
      </c>
      <c r="F7" s="202" t="s">
        <v>7123</v>
      </c>
      <c r="G7" s="400" t="str">
        <f>IFERROR(__xludf.DUMMYFUNCTION("GOOGLETRANSLATE(A7,""zh-tw"",""zh"")"),"大木槌")</f>
        <v>大木槌</v>
      </c>
      <c r="H7" s="202" t="str">
        <f>IFERROR(__xludf.DUMMYFUNCTION("GOOGLETRANSLATE(B7,""zh-tw"",""zh"")"),"物攻：36
机率晕眩")</f>
        <v>物攻：36
机率晕眩</v>
      </c>
      <c r="I7" s="399" t="s">
        <v>7124</v>
      </c>
      <c r="J7" s="198" t="str">
        <f>IFERROR(__xludf.DUMMYFUNCTION("GOOGLETRANSLATE(B7,""zh-tw"",""es-MX"")"),"Ataque físico: 36% de probabilidad de aturdir.")</f>
        <v>Ataque físico: 36% de probabilidad de aturdir.</v>
      </c>
      <c r="K7" s="403" t="str">
        <f>IFERROR(__xludf.DUMMYFUNCTION("GOOGLETRANSLATE(A7,""zh-tw"",""KO"")"),"큰 나무망치")</f>
        <v>큰 나무망치</v>
      </c>
      <c r="L7" s="198" t="str">
        <f>IFERROR(__xludf.DUMMYFUNCTION("GOOGLETRANSLATE(B7,""zh-tw"",""KO"")"),"물리 공격: 36% 확률로 기절")</f>
        <v>물리 공격: 36% 확률로 기절</v>
      </c>
      <c r="M7" s="400" t="s">
        <v>7125</v>
      </c>
      <c r="N7" s="202" t="s">
        <v>7126</v>
      </c>
      <c r="O7" s="400" t="s">
        <v>7127</v>
      </c>
      <c r="P7" s="202" t="s">
        <v>7128</v>
      </c>
      <c r="Q7" s="401" t="s">
        <v>7129</v>
      </c>
      <c r="R7" s="402" t="s">
        <v>7130</v>
      </c>
      <c r="S7" s="197" t="s">
        <v>7131</v>
      </c>
      <c r="T7" s="198" t="s">
        <v>7132</v>
      </c>
      <c r="U7" s="197"/>
      <c r="V7" s="198"/>
      <c r="W7" s="198"/>
      <c r="X7" s="198"/>
      <c r="Y7" s="198"/>
      <c r="Z7" s="198"/>
    </row>
    <row r="8">
      <c r="A8" s="400" t="s">
        <v>7133</v>
      </c>
      <c r="B8" s="202" t="s">
        <v>7134</v>
      </c>
      <c r="C8" s="400" t="s">
        <v>7135</v>
      </c>
      <c r="D8" s="202" t="s">
        <v>7136</v>
      </c>
      <c r="E8" s="400" t="s">
        <v>7137</v>
      </c>
      <c r="F8" s="202" t="s">
        <v>7138</v>
      </c>
      <c r="G8" s="400" t="str">
        <f>IFERROR(__xludf.DUMMYFUNCTION("GOOGLETRANSLATE(A8,""zh-tw"",""zh"")"),"兽人的骨釜")</f>
        <v>兽人的骨釜</v>
      </c>
      <c r="H8" s="202" t="str">
        <f>IFERROR(__xludf.DUMMYFUNCTION("GOOGLETRANSLATE(B8,""zh-tw"",""zh"")"),"物攻：42")</f>
        <v>物攻：42</v>
      </c>
      <c r="I8" s="399" t="s">
        <v>7139</v>
      </c>
      <c r="J8" s="198" t="str">
        <f>IFERROR(__xludf.DUMMYFUNCTION("GOOGLETRANSLATE(B8,""zh-tw"",""es-MX"")"),"Ataque físico: 42")</f>
        <v>Ataque físico: 42</v>
      </c>
      <c r="K8" s="400" t="s">
        <v>7140</v>
      </c>
      <c r="L8" s="167" t="s">
        <v>7141</v>
      </c>
      <c r="M8" s="400" t="s">
        <v>7142</v>
      </c>
      <c r="N8" s="202" t="s">
        <v>7143</v>
      </c>
      <c r="O8" s="400" t="s">
        <v>7144</v>
      </c>
      <c r="P8" s="202" t="s">
        <v>7145</v>
      </c>
      <c r="Q8" s="401" t="s">
        <v>7146</v>
      </c>
      <c r="R8" s="402" t="s">
        <v>7147</v>
      </c>
      <c r="S8" s="197" t="s">
        <v>7148</v>
      </c>
      <c r="T8" s="198" t="s">
        <v>7149</v>
      </c>
      <c r="U8" s="197"/>
      <c r="V8" s="198"/>
      <c r="W8" s="198"/>
      <c r="X8" s="198"/>
      <c r="Y8" s="198"/>
      <c r="Z8" s="198"/>
    </row>
    <row r="9">
      <c r="A9" s="403" t="s">
        <v>7150</v>
      </c>
      <c r="B9" s="198" t="s">
        <v>7151</v>
      </c>
      <c r="C9" s="403" t="s">
        <v>7152</v>
      </c>
      <c r="D9" s="155" t="s">
        <v>7153</v>
      </c>
      <c r="E9" s="404" t="s">
        <v>7154</v>
      </c>
      <c r="F9" s="155" t="s">
        <v>7155</v>
      </c>
      <c r="G9" s="400" t="str">
        <f>IFERROR(__xludf.DUMMYFUNCTION("GOOGLETRANSLATE(A9,""zh-tw"",""zh"")"),"怪鸟的羽毛")</f>
        <v>怪鸟的羽毛</v>
      </c>
      <c r="H9" s="202" t="str">
        <f>IFERROR(__xludf.DUMMYFUNCTION("GOOGLETRANSLATE(B9,""zh-tw"",""zh"")"),"物攻：18
旋风斩提升移速
旋风斩进入漂浮状态")</f>
        <v>物攻：18
旋风斩提升移速
旋风斩进入漂浮状态</v>
      </c>
      <c r="I9" s="399" t="s">
        <v>7156</v>
      </c>
      <c r="J9" s="198"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399" t="s">
        <v>7157</v>
      </c>
      <c r="L9" s="198"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400" t="s">
        <v>7158</v>
      </c>
      <c r="N9" s="202" t="s">
        <v>7159</v>
      </c>
      <c r="O9" s="404" t="s">
        <v>7160</v>
      </c>
      <c r="P9" s="155" t="s">
        <v>7161</v>
      </c>
      <c r="Q9" s="405" t="s">
        <v>7162</v>
      </c>
      <c r="R9" s="402" t="s">
        <v>7163</v>
      </c>
      <c r="S9" s="197" t="s">
        <v>7164</v>
      </c>
      <c r="T9" s="198" t="s">
        <v>7165</v>
      </c>
      <c r="U9" s="197"/>
      <c r="V9" s="198"/>
      <c r="W9" s="198"/>
      <c r="X9" s="198"/>
      <c r="Y9" s="198"/>
      <c r="Z9" s="198"/>
    </row>
    <row r="10">
      <c r="A10" s="400" t="s">
        <v>7166</v>
      </c>
      <c r="B10" s="202" t="s">
        <v>7167</v>
      </c>
      <c r="C10" s="400" t="s">
        <v>7168</v>
      </c>
      <c r="D10" s="202" t="s">
        <v>7169</v>
      </c>
      <c r="E10" s="400" t="s">
        <v>7170</v>
      </c>
      <c r="F10" s="202" t="s">
        <v>7171</v>
      </c>
      <c r="G10" s="400" t="str">
        <f>IFERROR(__xludf.DUMMYFUNCTION("GOOGLETRANSLATE(A10,""zh-tw"",""zh"")"),"巨大蟹钳")</f>
        <v>巨大蟹钳</v>
      </c>
      <c r="H10" s="202" t="str">
        <f>IFERROR(__xludf.DUMMYFUNCTION("GOOGLETRANSLATE(B10,""zh-tw"",""zh"")"),"物攻：15
夹住目标")</f>
        <v>物攻：15
夹住目标</v>
      </c>
      <c r="I10" s="399" t="s">
        <v>7172</v>
      </c>
      <c r="J10" s="198" t="str">
        <f>IFERROR(__xludf.DUMMYFUNCTION("GOOGLETRANSLATE(B10,""zh-tw"",""es-MX"")"),"Ataque físico: 15 Sujetar al objetivo")</f>
        <v>Ataque físico: 15 Sujetar al objetivo</v>
      </c>
      <c r="K10" s="403" t="str">
        <f>IFERROR(__xludf.DUMMYFUNCTION("GOOGLETRANSLATE(A10,""zh-tw"",""KO"")"),"거대 게 발톱")</f>
        <v>거대 게 발톱</v>
      </c>
      <c r="L10" s="198" t="str">
        <f>IFERROR(__xludf.DUMMYFUNCTION("GOOGLETRANSLATE(B10,""zh-tw"",""KO"")"),"물리적 공격: 15 대상을 꽉 조입니다")</f>
        <v>물리적 공격: 15 대상을 꽉 조입니다</v>
      </c>
      <c r="M10" s="400" t="s">
        <v>7173</v>
      </c>
      <c r="N10" s="202" t="s">
        <v>7174</v>
      </c>
      <c r="O10" s="400" t="s">
        <v>7175</v>
      </c>
      <c r="P10" s="202" t="s">
        <v>7176</v>
      </c>
      <c r="Q10" s="401" t="s">
        <v>7177</v>
      </c>
      <c r="R10" s="402" t="s">
        <v>7178</v>
      </c>
      <c r="S10" s="197" t="s">
        <v>7179</v>
      </c>
      <c r="T10" s="198" t="s">
        <v>7180</v>
      </c>
      <c r="U10" s="197"/>
      <c r="V10" s="198"/>
      <c r="W10" s="198"/>
      <c r="X10" s="198"/>
      <c r="Y10" s="198"/>
      <c r="Z10" s="198"/>
    </row>
    <row r="11">
      <c r="A11" s="400" t="s">
        <v>7181</v>
      </c>
      <c r="B11" s="202" t="s">
        <v>7182</v>
      </c>
      <c r="C11" s="400" t="s">
        <v>7183</v>
      </c>
      <c r="D11" s="202" t="s">
        <v>7184</v>
      </c>
      <c r="E11" s="400" t="s">
        <v>7185</v>
      </c>
      <c r="F11" s="202" t="s">
        <v>7186</v>
      </c>
      <c r="G11" s="400" t="str">
        <f>IFERROR(__xludf.DUMMYFUNCTION("GOOGLETRANSLATE(A11,""zh-tw"",""zh"")"),"香蕉?")</f>
        <v>香蕉?</v>
      </c>
      <c r="H11" s="202" t="str">
        <f>IFERROR(__xludf.DUMMYFUNCTION("GOOGLETRANSLATE(B11,""zh-tw"",""zh"")"),"物攻：10
爆炸")</f>
        <v>物攻：10
爆炸</v>
      </c>
      <c r="I11" s="399" t="s">
        <v>7187</v>
      </c>
      <c r="J11" s="198" t="str">
        <f>IFERROR(__xludf.DUMMYFUNCTION("GOOGLETRANSLATE(B11,""zh-tw"",""es-MX"")"),"Ataque físico: 10 Explosión")</f>
        <v>Ataque físico: 10 Explosión</v>
      </c>
      <c r="K11" s="403" t="str">
        <f>IFERROR(__xludf.DUMMYFUNCTION("GOOGLETRANSLATE(A11,""zh-tw"",""KO"")"),"바나나?")</f>
        <v>바나나?</v>
      </c>
      <c r="L11" s="198" t="str">
        <f>IFERROR(__xludf.DUMMYFUNCTION("GOOGLETRANSLATE(B11,""zh-tw"",""KO"")"),"물리 공격: 폭발 10")</f>
        <v>물리 공격: 폭발 10</v>
      </c>
      <c r="M11" s="400" t="s">
        <v>7188</v>
      </c>
      <c r="N11" s="202" t="s">
        <v>7189</v>
      </c>
      <c r="O11" s="400" t="s">
        <v>7190</v>
      </c>
      <c r="P11" s="202" t="s">
        <v>7191</v>
      </c>
      <c r="Q11" s="401" t="s">
        <v>7192</v>
      </c>
      <c r="R11" s="402" t="s">
        <v>7193</v>
      </c>
      <c r="S11" s="197" t="s">
        <v>7185</v>
      </c>
      <c r="T11" s="198" t="s">
        <v>7194</v>
      </c>
      <c r="U11" s="197"/>
      <c r="V11" s="198"/>
      <c r="W11" s="198"/>
      <c r="X11" s="198"/>
      <c r="Y11" s="198"/>
      <c r="Z11" s="198"/>
    </row>
    <row r="12">
      <c r="A12" s="404" t="s">
        <v>7195</v>
      </c>
      <c r="B12" s="167" t="s">
        <v>7196</v>
      </c>
      <c r="C12" s="399" t="s">
        <v>5721</v>
      </c>
      <c r="D12" s="167" t="s">
        <v>7197</v>
      </c>
      <c r="E12" s="399" t="s">
        <v>5742</v>
      </c>
      <c r="F12" s="167" t="s">
        <v>7198</v>
      </c>
      <c r="G12" s="400" t="str">
        <f>IFERROR(__xludf.DUMMYFUNCTION("GOOGLETRANSLATE(A12,""zh-tw"",""zh"")"),"胡萝卜大剑")</f>
        <v>胡萝卜大剑</v>
      </c>
      <c r="H12" s="202" t="str">
        <f>IFERROR(__xludf.DUMMYFUNCTION("GOOGLETRANSLATE(B12,""zh-tw"",""zh"")"),"物攻：1
累计伤害型武器
投掷穿刺效果
*特殊传送效果(请参考TIPS)")</f>
        <v>物攻：1
累计伤害型武器
投掷穿刺效果
*特殊传送效果(请参考TIPS)</v>
      </c>
      <c r="I12" s="399" t="s">
        <v>7199</v>
      </c>
      <c r="J12" s="198"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403" t="str">
        <f>IFERROR(__xludf.DUMMYFUNCTION("GOOGLETRANSLATE(A12,""zh-tw"",""KO"")"),"당근검")</f>
        <v>당근검</v>
      </c>
      <c r="L12" s="198"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400" t="s">
        <v>5747</v>
      </c>
      <c r="N12" s="202" t="s">
        <v>7200</v>
      </c>
      <c r="O12" s="399" t="s">
        <v>5749</v>
      </c>
      <c r="P12" s="167" t="s">
        <v>7201</v>
      </c>
      <c r="Q12" s="401" t="s">
        <v>5750</v>
      </c>
      <c r="R12" s="402" t="s">
        <v>7202</v>
      </c>
      <c r="S12" s="197" t="s">
        <v>5752</v>
      </c>
      <c r="T12" s="198" t="s">
        <v>7203</v>
      </c>
      <c r="U12" s="197"/>
      <c r="V12" s="198"/>
      <c r="W12" s="198"/>
      <c r="X12" s="198"/>
      <c r="Y12" s="198"/>
      <c r="Z12" s="198"/>
    </row>
    <row r="13">
      <c r="A13" s="400" t="s">
        <v>7204</v>
      </c>
      <c r="B13" s="202" t="s">
        <v>7205</v>
      </c>
      <c r="C13" s="400" t="s">
        <v>7206</v>
      </c>
      <c r="D13" s="202" t="s">
        <v>7207</v>
      </c>
      <c r="E13" s="400" t="s">
        <v>7208</v>
      </c>
      <c r="F13" s="202" t="s">
        <v>7209</v>
      </c>
      <c r="G13" s="400" t="str">
        <f>IFERROR(__xludf.DUMMYFUNCTION("GOOGLETRANSLATE(A13,""zh-tw"",""zh"")"),"棒球棍")</f>
        <v>棒球棍</v>
      </c>
      <c r="H13" s="202" t="str">
        <f>IFERROR(__xludf.DUMMYFUNCTION("GOOGLETRANSLATE(B13,""zh-tw"",""zh"")"),"物攻：20
反弹抛射物")</f>
        <v>物攻：20
反弹抛射物</v>
      </c>
      <c r="I13" s="399" t="s">
        <v>7210</v>
      </c>
      <c r="J13" s="198" t="str">
        <f>IFERROR(__xludf.DUMMYFUNCTION("GOOGLETRANSLATE(B13,""zh-tw"",""es-MX"")"),"Ataque físico: 20 Refleja proyectiles")</f>
        <v>Ataque físico: 20 Refleja proyectiles</v>
      </c>
      <c r="K13" s="399" t="s">
        <v>7211</v>
      </c>
      <c r="L13" s="167" t="s">
        <v>7212</v>
      </c>
      <c r="M13" s="400" t="s">
        <v>7213</v>
      </c>
      <c r="N13" s="202" t="s">
        <v>7214</v>
      </c>
      <c r="O13" s="400" t="s">
        <v>7215</v>
      </c>
      <c r="P13" s="202" t="s">
        <v>7216</v>
      </c>
      <c r="Q13" s="401" t="s">
        <v>7217</v>
      </c>
      <c r="R13" s="402" t="s">
        <v>7218</v>
      </c>
      <c r="S13" s="197" t="s">
        <v>7219</v>
      </c>
      <c r="T13" s="198" t="s">
        <v>7220</v>
      </c>
      <c r="U13" s="197"/>
      <c r="V13" s="198"/>
      <c r="W13" s="198"/>
      <c r="X13" s="198"/>
      <c r="Y13" s="198"/>
      <c r="Z13" s="198"/>
    </row>
    <row r="14">
      <c r="A14" s="399" t="s">
        <v>7221</v>
      </c>
      <c r="B14" s="167" t="s">
        <v>7222</v>
      </c>
      <c r="C14" s="399" t="s">
        <v>4473</v>
      </c>
      <c r="D14" s="167" t="s">
        <v>7223</v>
      </c>
      <c r="E14" s="399" t="s">
        <v>7224</v>
      </c>
      <c r="F14" s="167" t="s">
        <v>7225</v>
      </c>
      <c r="G14" s="400" t="str">
        <f>IFERROR(__xludf.DUMMYFUNCTION("GOOGLETRANSLATE(A14,""zh-tw"",""zh"")"),"生锈的铁剑")</f>
        <v>生锈的铁剑</v>
      </c>
      <c r="H14" s="202" t="str">
        <f>IFERROR(__xludf.DUMMYFUNCTION("GOOGLETRANSLATE(B14,""zh-tw"",""zh"")"),"物攻：15
机率附加中毒、出血必定中毒")</f>
        <v>物攻：15
机率附加中毒、出血必定中毒</v>
      </c>
      <c r="I14" s="399" t="s">
        <v>7226</v>
      </c>
      <c r="J14" s="198" t="str">
        <f>IFERROR(__xludf.DUMMYFUNCTION("GOOGLETRANSLATE(B14,""zh-tw"",""es-MX"")"),"Ataque físico: 15% de probabilidad de infligir veneno o sangrado; el envenenamiento está garantizado.")</f>
        <v>Ataque físico: 15% de probabilidad de infligir veneno o sangrado; el envenenamiento está garantizado.</v>
      </c>
      <c r="K14" s="403" t="str">
        <f>IFERROR(__xludf.DUMMYFUNCTION("GOOGLETRANSLATE(A14,""zh-tw"",""KO"")"),"녹슨 철검")</f>
        <v>녹슨 철검</v>
      </c>
      <c r="L14" s="198" t="str">
        <f>IFERROR(__xludf.DUMMYFUNCTION("GOOGLETRANSLATE(B14,""zh-tw"",""KO"")"),"물리 공격: 15% 확률로 독 또는 출혈 효과를 부여합니다. 독 효과는 반드시 부여됩니다.")</f>
        <v>물리 공격: 15% 확률로 독 또는 출혈 효과를 부여합니다. 독 효과는 반드시 부여됩니다.</v>
      </c>
      <c r="M14" s="400" t="s">
        <v>7227</v>
      </c>
      <c r="N14" s="202" t="s">
        <v>7228</v>
      </c>
      <c r="O14" s="399" t="s">
        <v>7229</v>
      </c>
      <c r="P14" s="167" t="s">
        <v>7230</v>
      </c>
      <c r="Q14" s="401" t="s">
        <v>7231</v>
      </c>
      <c r="R14" s="402" t="s">
        <v>7232</v>
      </c>
      <c r="S14" s="197" t="s">
        <v>7233</v>
      </c>
      <c r="T14" s="198" t="s">
        <v>7234</v>
      </c>
      <c r="U14" s="197"/>
      <c r="V14" s="198"/>
      <c r="W14" s="198"/>
      <c r="X14" s="198"/>
      <c r="Y14" s="198"/>
      <c r="Z14" s="198"/>
    </row>
    <row r="15">
      <c r="A15" s="399" t="s">
        <v>7235</v>
      </c>
      <c r="B15" s="167" t="s">
        <v>7236</v>
      </c>
      <c r="C15" s="399" t="s">
        <v>7237</v>
      </c>
      <c r="D15" s="167" t="s">
        <v>7238</v>
      </c>
      <c r="E15" s="399" t="s">
        <v>7239</v>
      </c>
      <c r="F15" s="167" t="s">
        <v>7240</v>
      </c>
      <c r="G15" s="400" t="str">
        <f>IFERROR(__xludf.DUMMYFUNCTION("GOOGLETRANSLATE(A15,""zh-tw"",""zh"")"),"锻造锤")</f>
        <v>锻造锤</v>
      </c>
      <c r="H15" s="202" t="str">
        <f>IFERROR(__xludf.DUMMYFUNCTION("GOOGLETRANSLATE(B15,""zh-tw"",""zh"")"),"物攻：6
锻造用途，详情于TIPS")</f>
        <v>物攻：6
锻造用途，详情于TIPS</v>
      </c>
      <c r="I15" s="399" t="s">
        <v>7241</v>
      </c>
      <c r="J15" s="198" t="str">
        <f>IFERROR(__xludf.DUMMYFUNCTION("GOOGLETRANSLATE(B15,""zh-tw"",""es-MX"")"),"Ataque físico: 6. Usos de forja, consulte CONSEJOS para obtener más detalles.")</f>
        <v>Ataque físico: 6. Usos de forja, consulte CONSEJOS para obtener más detalles.</v>
      </c>
      <c r="K15" s="403" t="str">
        <f>IFERROR(__xludf.DUMMYFUNCTION("GOOGLETRANSLATE(A15,""zh-tw"",""KO"")"),"단조 망치")</f>
        <v>단조 망치</v>
      </c>
      <c r="L15" s="198" t="str">
        <f>IFERROR(__xludf.DUMMYFUNCTION("GOOGLETRANSLATE(B15,""zh-tw"",""KO"")"),"물리 공격력: 6. 단조 사용에 대한 자세한 내용은 팁을 참조하세요.")</f>
        <v>물리 공격력: 6. 단조 사용에 대한 자세한 내용은 팁을 참조하세요.</v>
      </c>
      <c r="M15" s="400" t="s">
        <v>7242</v>
      </c>
      <c r="N15" s="202" t="s">
        <v>7243</v>
      </c>
      <c r="O15" s="399" t="s">
        <v>7244</v>
      </c>
      <c r="P15" s="167" t="s">
        <v>7245</v>
      </c>
      <c r="Q15" s="401" t="s">
        <v>7246</v>
      </c>
      <c r="R15" s="402" t="s">
        <v>7247</v>
      </c>
      <c r="S15" s="197" t="s">
        <v>7248</v>
      </c>
      <c r="T15" s="198" t="s">
        <v>7249</v>
      </c>
      <c r="U15" s="197"/>
      <c r="V15" s="198"/>
      <c r="W15" s="198"/>
      <c r="X15" s="198"/>
      <c r="Y15" s="198"/>
      <c r="Z15" s="198"/>
    </row>
    <row r="16">
      <c r="A16" s="400" t="s">
        <v>7250</v>
      </c>
      <c r="B16" s="202" t="s">
        <v>7251</v>
      </c>
      <c r="C16" s="400" t="s">
        <v>7252</v>
      </c>
      <c r="D16" s="202" t="s">
        <v>7253</v>
      </c>
      <c r="E16" s="400" t="s">
        <v>7254</v>
      </c>
      <c r="F16" s="202" t="s">
        <v>7255</v>
      </c>
      <c r="G16" s="400" t="str">
        <f>IFERROR(__xludf.DUMMYFUNCTION("GOOGLETRANSLATE(A16,""zh-tw"",""zh"")"),"木弓")</f>
        <v>木弓</v>
      </c>
      <c r="H16" s="202" t="str">
        <f>IFERROR(__xludf.DUMMYFUNCTION("GOOGLETRANSLATE(B16,""zh-tw"",""zh"")"),"物攻：20
穿透(伤害递减)")</f>
        <v>物攻：20
穿透(伤害递减)</v>
      </c>
      <c r="I16" s="399" t="s">
        <v>7256</v>
      </c>
      <c r="J16" s="198" t="str">
        <f>IFERROR(__xludf.DUMMYFUNCTION("GOOGLETRANSLATE(B16,""zh-tw"",""es-MX"")"),"Ataque físico: 20 de penetración (daño decreciente)")</f>
        <v>Ataque físico: 20 de penetración (daño decreciente)</v>
      </c>
      <c r="K16" s="403" t="str">
        <f>IFERROR(__xludf.DUMMYFUNCTION("GOOGLETRANSLATE(A16,""zh-tw"",""KO"")"),"나무 활")</f>
        <v>나무 활</v>
      </c>
      <c r="L16" s="198" t="str">
        <f>IFERROR(__xludf.DUMMYFUNCTION("GOOGLETRANSLATE(B16,""zh-tw"",""KO"")"),"물리 공격: 관통력 20 (피해량 감소)")</f>
        <v>물리 공격: 관통력 20 (피해량 감소)</v>
      </c>
      <c r="M16" s="400" t="s">
        <v>7257</v>
      </c>
      <c r="N16" s="202" t="s">
        <v>7258</v>
      </c>
      <c r="O16" s="400" t="s">
        <v>7259</v>
      </c>
      <c r="P16" s="202" t="s">
        <v>7260</v>
      </c>
      <c r="Q16" s="401" t="s">
        <v>7261</v>
      </c>
      <c r="R16" s="402" t="s">
        <v>7262</v>
      </c>
      <c r="S16" s="197" t="s">
        <v>7263</v>
      </c>
      <c r="T16" s="198" t="s">
        <v>7264</v>
      </c>
      <c r="U16" s="197"/>
      <c r="V16" s="198"/>
      <c r="W16" s="198"/>
      <c r="X16" s="198"/>
      <c r="Y16" s="198"/>
      <c r="Z16" s="198"/>
    </row>
    <row r="17">
      <c r="A17" s="166" t="s">
        <v>7265</v>
      </c>
      <c r="C17" s="166" t="s">
        <v>7266</v>
      </c>
      <c r="E17" s="166" t="s">
        <v>7267</v>
      </c>
      <c r="G17" s="166" t="s">
        <v>7268</v>
      </c>
      <c r="I17" s="166"/>
      <c r="K17" s="166"/>
      <c r="M17" s="166" t="s">
        <v>7269</v>
      </c>
      <c r="O17" s="166"/>
      <c r="Q17" s="166"/>
      <c r="S17" s="166" t="s">
        <v>7270</v>
      </c>
      <c r="U17" s="166"/>
      <c r="W17" s="198"/>
      <c r="X17" s="198"/>
      <c r="Y17" s="198"/>
      <c r="Z17" s="198"/>
    </row>
    <row r="18">
      <c r="A18" s="400" t="s">
        <v>6731</v>
      </c>
      <c r="B18" s="202" t="s">
        <v>7271</v>
      </c>
      <c r="C18" s="400" t="s">
        <v>7272</v>
      </c>
      <c r="D18" s="202" t="s">
        <v>7273</v>
      </c>
      <c r="E18" s="400" t="s">
        <v>6734</v>
      </c>
      <c r="F18" s="202" t="s">
        <v>7274</v>
      </c>
      <c r="G18" s="400" t="str">
        <f>IFERROR(__xludf.DUMMYFUNCTION("GOOGLETRANSLATE(A18,""zh-tw"",""zh"")"),"骑士之剑")</f>
        <v>骑士之剑</v>
      </c>
      <c r="H18" s="202" t="str">
        <f>IFERROR(__xludf.DUMMYFUNCTION("GOOGLETRANSLATE(B18,""zh-tw"",""zh"")"),"物攻：30
满足条件后翻倍")</f>
        <v>物攻：30
满足条件后翻倍</v>
      </c>
      <c r="I18" s="399" t="s">
        <v>7275</v>
      </c>
      <c r="J18" s="198" t="str">
        <f>IFERROR(__xludf.DUMMYFUNCTION("GOOGLETRANSLATE(B18,""zh-tw"",""es-MX"")"),"Ataque físico: 30 (Se duplica al cumplir ciertas condiciones)")</f>
        <v>Ataque físico: 30 (Se duplica al cumplir ciertas condiciones)</v>
      </c>
      <c r="K18" s="403" t="str">
        <f>IFERROR(__xludf.DUMMYFUNCTION("GOOGLETRANSLATE(A18,""zh-tw"",""KO"")"),"기사의 검")</f>
        <v>기사의 검</v>
      </c>
      <c r="L18" s="167" t="s">
        <v>7276</v>
      </c>
      <c r="M18" s="400" t="s">
        <v>6738</v>
      </c>
      <c r="N18" s="202" t="s">
        <v>7277</v>
      </c>
      <c r="O18" s="400" t="s">
        <v>6740</v>
      </c>
      <c r="P18" s="202" t="s">
        <v>7278</v>
      </c>
      <c r="Q18" s="401" t="s">
        <v>7279</v>
      </c>
      <c r="R18" s="402" t="s">
        <v>7280</v>
      </c>
      <c r="S18" s="197" t="s">
        <v>6745</v>
      </c>
      <c r="T18" s="198" t="s">
        <v>7281</v>
      </c>
      <c r="U18" s="197"/>
      <c r="V18" s="198"/>
      <c r="W18" s="198"/>
      <c r="X18" s="198"/>
      <c r="Y18" s="198"/>
      <c r="Z18" s="198"/>
    </row>
    <row r="19">
      <c r="A19" s="400" t="s">
        <v>7282</v>
      </c>
      <c r="B19" s="202" t="s">
        <v>7283</v>
      </c>
      <c r="C19" s="400" t="s">
        <v>7284</v>
      </c>
      <c r="D19" s="202" t="s">
        <v>7285</v>
      </c>
      <c r="E19" s="400" t="s">
        <v>7286</v>
      </c>
      <c r="F19" s="202" t="s">
        <v>7287</v>
      </c>
      <c r="G19" s="400" t="str">
        <f>IFERROR(__xludf.DUMMYFUNCTION("GOOGLETRANSLATE(A19,""zh-tw"",""zh"")"),"臭鱼骨")</f>
        <v>臭鱼骨</v>
      </c>
      <c r="H19" s="202" t="str">
        <f>IFERROR(__xludf.DUMMYFUNCTION("GOOGLETRANSLATE(B19,""zh-tw"",""zh"")"),"物攻：14
散发恶臭")</f>
        <v>物攻：14
散发恶臭</v>
      </c>
      <c r="I19" s="399" t="s">
        <v>7288</v>
      </c>
      <c r="J19" s="198" t="str">
        <f>IFERROR(__xludf.DUMMYFUNCTION("GOOGLETRANSLATE(B19,""zh-tw"",""es-MX"")"),"Ataque físico: 14 Emite un hedor repugnante")</f>
        <v>Ataque físico: 14 Emite un hedor repugnante</v>
      </c>
      <c r="K19" s="403" t="str">
        <f>IFERROR(__xludf.DUMMYFUNCTION("GOOGLETRANSLATE(A19,""zh-tw"",""KO"")"),"냄새나는 생선 뼈")</f>
        <v>냄새나는 생선 뼈</v>
      </c>
      <c r="L19" s="167" t="s">
        <v>7289</v>
      </c>
      <c r="M19" s="400" t="s">
        <v>7290</v>
      </c>
      <c r="N19" s="202" t="s">
        <v>7291</v>
      </c>
      <c r="O19" s="400" t="s">
        <v>7292</v>
      </c>
      <c r="P19" s="202" t="s">
        <v>7293</v>
      </c>
      <c r="Q19" s="401" t="s">
        <v>7294</v>
      </c>
      <c r="R19" s="402" t="s">
        <v>7295</v>
      </c>
      <c r="S19" s="197" t="s">
        <v>7296</v>
      </c>
      <c r="T19" s="198" t="s">
        <v>7297</v>
      </c>
      <c r="U19" s="197"/>
      <c r="V19" s="198"/>
      <c r="W19" s="198"/>
      <c r="X19" s="198"/>
      <c r="Y19" s="198"/>
      <c r="Z19" s="198"/>
    </row>
    <row r="20">
      <c r="A20" s="400" t="s">
        <v>7298</v>
      </c>
      <c r="B20" s="202" t="s">
        <v>7299</v>
      </c>
      <c r="C20" s="400" t="s">
        <v>7298</v>
      </c>
      <c r="D20" s="202" t="s">
        <v>7300</v>
      </c>
      <c r="E20" s="400" t="s">
        <v>7301</v>
      </c>
      <c r="F20" s="202" t="s">
        <v>7302</v>
      </c>
      <c r="G20" s="400" t="str">
        <f>IFERROR(__xludf.DUMMYFUNCTION("GOOGLETRANSLATE(A20,""zh-tw"",""zh"")"),"阳炎")</f>
        <v>阳炎</v>
      </c>
      <c r="H20" s="202" t="str">
        <f>IFERROR(__xludf.DUMMYFUNCTION("GOOGLETRANSLATE(B20,""zh-tw"",""zh"")"),"物攻：24
魔攻：16
炎属性")</f>
        <v>物攻：24
魔攻：16
炎属性</v>
      </c>
      <c r="I20" s="399" t="s">
        <v>7303</v>
      </c>
      <c r="J20" s="198" t="str">
        <f>IFERROR(__xludf.DUMMYFUNCTION("GOOGLETRANSLATE(B20,""zh-tw"",""es-MX"")"),"Ataque físico: 24
Ataque mágico: 16
Atributo fuego")</f>
        <v>Ataque físico: 24
Ataque mágico: 16
Atributo fuego</v>
      </c>
      <c r="K20" s="400" t="s">
        <v>7304</v>
      </c>
      <c r="L20" s="167" t="s">
        <v>7305</v>
      </c>
      <c r="M20" s="400" t="s">
        <v>7306</v>
      </c>
      <c r="N20" s="202" t="s">
        <v>7307</v>
      </c>
      <c r="O20" s="400" t="s">
        <v>7308</v>
      </c>
      <c r="P20" s="202" t="s">
        <v>7309</v>
      </c>
      <c r="Q20" s="401" t="s">
        <v>7310</v>
      </c>
      <c r="R20" s="406" t="s">
        <v>7311</v>
      </c>
      <c r="S20" s="197" t="s">
        <v>7312</v>
      </c>
      <c r="T20" s="198" t="s">
        <v>7313</v>
      </c>
      <c r="U20" s="197"/>
      <c r="V20" s="198"/>
      <c r="W20" s="198"/>
      <c r="X20" s="198"/>
      <c r="Y20" s="198"/>
      <c r="Z20" s="198"/>
    </row>
    <row r="21">
      <c r="A21" s="400" t="s">
        <v>7314</v>
      </c>
      <c r="B21" s="202" t="s">
        <v>7315</v>
      </c>
      <c r="C21" s="400" t="s">
        <v>7314</v>
      </c>
      <c r="D21" s="202" t="s">
        <v>7316</v>
      </c>
      <c r="E21" s="400" t="s">
        <v>7317</v>
      </c>
      <c r="F21" s="202" t="s">
        <v>7318</v>
      </c>
      <c r="G21" s="400" t="str">
        <f>IFERROR(__xludf.DUMMYFUNCTION("GOOGLETRANSLATE(A21,""zh-tw"",""zh"")"),"霜月")</f>
        <v>霜月</v>
      </c>
      <c r="H21" s="202" t="str">
        <f>IFERROR(__xludf.DUMMYFUNCTION("GOOGLETRANSLATE(B21,""zh-tw"",""zh"")"),"物攻：20
魔攻：14
冰属性")</f>
        <v>物攻：20
魔攻：14
冰属性</v>
      </c>
      <c r="I21" s="399" t="s">
        <v>7319</v>
      </c>
      <c r="J21" s="198" t="str">
        <f>IFERROR(__xludf.DUMMYFUNCTION("GOOGLETRANSLATE(B21,""zh-tw"",""es-MX"")"),"Ataque físico: 20
Ataque mágico: 14
Atributo hielo")</f>
        <v>Ataque físico: 20
Ataque mágico: 14
Atributo hielo</v>
      </c>
      <c r="K21" s="399" t="s">
        <v>7320</v>
      </c>
      <c r="L21" s="167" t="s">
        <v>7321</v>
      </c>
      <c r="M21" s="400" t="s">
        <v>7322</v>
      </c>
      <c r="N21" s="202" t="s">
        <v>7323</v>
      </c>
      <c r="O21" s="400" t="s">
        <v>7324</v>
      </c>
      <c r="P21" s="202" t="s">
        <v>7325</v>
      </c>
      <c r="Q21" s="405" t="s">
        <v>7326</v>
      </c>
      <c r="R21" s="402" t="s">
        <v>7327</v>
      </c>
      <c r="S21" s="197" t="s">
        <v>7328</v>
      </c>
      <c r="T21" s="198" t="s">
        <v>7329</v>
      </c>
      <c r="U21" s="197"/>
      <c r="V21" s="198"/>
      <c r="W21" s="198"/>
      <c r="X21" s="198"/>
      <c r="Y21" s="198"/>
      <c r="Z21" s="198"/>
    </row>
    <row r="22">
      <c r="A22" s="400" t="s">
        <v>7330</v>
      </c>
      <c r="B22" s="202" t="s">
        <v>7331</v>
      </c>
      <c r="C22" s="400" t="s">
        <v>7332</v>
      </c>
      <c r="D22" s="202" t="s">
        <v>7333</v>
      </c>
      <c r="E22" s="400" t="s">
        <v>7334</v>
      </c>
      <c r="F22" s="202" t="s">
        <v>7335</v>
      </c>
      <c r="G22" s="400" t="str">
        <f>IFERROR(__xludf.DUMMYFUNCTION("GOOGLETRANSLATE(A22,""zh-tw"",""zh"")"),"会漏电的不良品")</f>
        <v>会漏电的不良品</v>
      </c>
      <c r="H22" s="202" t="str">
        <f>IFERROR(__xludf.DUMMYFUNCTION("GOOGLETRANSLATE(B22,""zh-tw"",""zh"")"),"物攻：28
魔攻：12
电属性")</f>
        <v>物攻：28
魔攻：12
电属性</v>
      </c>
      <c r="I22" s="399" t="s">
        <v>7336</v>
      </c>
      <c r="J22" s="198" t="str">
        <f>IFERROR(__xludf.DUMMYFUNCTION("GOOGLETRANSLATE(B22,""zh-tw"",""es-MX"")"),"Ataque físico: 28
Ataque mágico: 12
Atributo eléctrico")</f>
        <v>Ataque físico: 28
Ataque mágico: 12
Atributo eléctrico</v>
      </c>
      <c r="K22" s="399" t="s">
        <v>7337</v>
      </c>
      <c r="L22" s="198" t="str">
        <f>IFERROR(__xludf.DUMMYFUNCTION("GOOGLETRANSLATE(B22,""zh-tw"",""KO"")"),"물리 공격력: 28
마법 공격력: 12
속성: 전기")</f>
        <v>물리 공격력: 28
마법 공격력: 12
속성: 전기</v>
      </c>
      <c r="M22" s="400" t="s">
        <v>7338</v>
      </c>
      <c r="N22" s="202" t="s">
        <v>7339</v>
      </c>
      <c r="O22" s="400" t="s">
        <v>7340</v>
      </c>
      <c r="P22" s="202" t="s">
        <v>7341</v>
      </c>
      <c r="Q22" s="401" t="s">
        <v>7342</v>
      </c>
      <c r="R22" s="406" t="s">
        <v>7343</v>
      </c>
      <c r="S22" s="197" t="s">
        <v>7344</v>
      </c>
      <c r="T22" s="198" t="s">
        <v>7345</v>
      </c>
      <c r="U22" s="197"/>
      <c r="V22" s="198"/>
      <c r="W22" s="198"/>
      <c r="X22" s="198"/>
      <c r="Y22" s="198"/>
      <c r="Z22" s="198"/>
    </row>
    <row r="23">
      <c r="A23" s="400" t="s">
        <v>7346</v>
      </c>
      <c r="B23" s="202" t="s">
        <v>7347</v>
      </c>
      <c r="C23" s="400" t="s">
        <v>7348</v>
      </c>
      <c r="D23" s="202" t="s">
        <v>7349</v>
      </c>
      <c r="E23" s="400" t="s">
        <v>7350</v>
      </c>
      <c r="F23" s="202" t="s">
        <v>7351</v>
      </c>
      <c r="G23" s="400" t="str">
        <f>IFERROR(__xludf.DUMMYFUNCTION("GOOGLETRANSLATE(A23,""zh-tw"",""zh"")"),"毒孢针")</f>
        <v>毒孢针</v>
      </c>
      <c r="H23" s="202" t="str">
        <f>IFERROR(__xludf.DUMMYFUNCTION("GOOGLETRANSLATE(B23,""zh-tw"",""zh"")"),"物攻：14
毒属性")</f>
        <v>物攻：14
毒属性</v>
      </c>
      <c r="I23" s="399" t="s">
        <v>7352</v>
      </c>
      <c r="J23" s="198" t="str">
        <f>IFERROR(__xludf.DUMMYFUNCTION("GOOGLETRANSLATE(B23,""zh-tw"",""es-MX"")"),"Ataque físico: 14 Atributo de veneno")</f>
        <v>Ataque físico: 14 Atributo de veneno</v>
      </c>
      <c r="K23" s="399" t="s">
        <v>7353</v>
      </c>
      <c r="L23" s="198" t="str">
        <f>IFERROR(__xludf.DUMMYFUNCTION("GOOGLETRANSLATE(B23,""zh-tw"",""KO"")"),"물리 공격력: 14 독 속성")</f>
        <v>물리 공격력: 14 독 속성</v>
      </c>
      <c r="M23" s="400" t="s">
        <v>7354</v>
      </c>
      <c r="N23" s="202" t="s">
        <v>7355</v>
      </c>
      <c r="O23" s="400" t="s">
        <v>7356</v>
      </c>
      <c r="P23" s="202" t="s">
        <v>7357</v>
      </c>
      <c r="Q23" s="401" t="s">
        <v>7358</v>
      </c>
      <c r="R23" s="402" t="s">
        <v>7359</v>
      </c>
      <c r="S23" s="197" t="s">
        <v>7360</v>
      </c>
      <c r="T23" s="198" t="s">
        <v>7361</v>
      </c>
      <c r="U23" s="197"/>
      <c r="V23" s="198"/>
      <c r="W23" s="198"/>
      <c r="X23" s="198"/>
      <c r="Y23" s="198"/>
      <c r="Z23" s="198"/>
    </row>
    <row r="24">
      <c r="A24" s="400" t="s">
        <v>7362</v>
      </c>
      <c r="B24" s="202" t="s">
        <v>7363</v>
      </c>
      <c r="C24" s="400" t="s">
        <v>7364</v>
      </c>
      <c r="D24" s="202" t="s">
        <v>7365</v>
      </c>
      <c r="E24" s="400" t="s">
        <v>7366</v>
      </c>
      <c r="F24" s="202" t="s">
        <v>7367</v>
      </c>
      <c r="G24" s="400" t="str">
        <f>IFERROR(__xludf.DUMMYFUNCTION("GOOGLETRANSLATE(A24,""zh-tw"",""zh"")"),"银辉大剑")</f>
        <v>银辉大剑</v>
      </c>
      <c r="H24" s="202" t="str">
        <f>IFERROR(__xludf.DUMMYFUNCTION("GOOGLETRANSLATE(B24,""zh-tw"",""zh"")"),"物攻：48
魔抗：20
满足条件类型武器")</f>
        <v>物攻：48
魔抗：20
满足条件类型武器</v>
      </c>
      <c r="I24" s="399" t="s">
        <v>7368</v>
      </c>
      <c r="J24" s="198" t="str">
        <f>IFERROR(__xludf.DUMMYFUNCTION("GOOGLETRANSLATE(B24,""zh-tw"",""es-MX"")"),"Ataque físico: 48
Resistencia mágica: 20
Tipo de arma que cumple los requisitos")</f>
        <v>Ataque físico: 48
Resistencia mágica: 20
Tipo de arma que cumple los requisitos</v>
      </c>
      <c r="K24" s="399" t="s">
        <v>7369</v>
      </c>
      <c r="L24" s="198" t="str">
        <f>IFERROR(__xludf.DUMMYFUNCTION("GOOGLETRANSLATE(B24,""zh-tw"",""KO"")"),"물리 공격력: 48
마법 저항력: 20
요구 조건을 충족하는 무기 유형")</f>
        <v>물리 공격력: 48
마법 저항력: 20
요구 조건을 충족하는 무기 유형</v>
      </c>
      <c r="M24" s="400" t="s">
        <v>7370</v>
      </c>
      <c r="N24" s="202" t="s">
        <v>7371</v>
      </c>
      <c r="O24" s="400" t="s">
        <v>7372</v>
      </c>
      <c r="P24" s="202" t="s">
        <v>7373</v>
      </c>
      <c r="Q24" s="401" t="s">
        <v>7374</v>
      </c>
      <c r="R24" s="402" t="s">
        <v>7375</v>
      </c>
      <c r="S24" s="197" t="s">
        <v>7376</v>
      </c>
      <c r="T24" s="198" t="s">
        <v>7377</v>
      </c>
      <c r="U24" s="197"/>
      <c r="V24" s="198"/>
      <c r="W24" s="198"/>
      <c r="X24" s="198"/>
      <c r="Y24" s="198"/>
      <c r="Z24" s="198"/>
    </row>
    <row r="25">
      <c r="A25" s="400" t="s">
        <v>7378</v>
      </c>
      <c r="B25" s="202" t="s">
        <v>7379</v>
      </c>
      <c r="C25" s="400" t="s">
        <v>7380</v>
      </c>
      <c r="D25" s="202" t="s">
        <v>7381</v>
      </c>
      <c r="E25" s="400" t="s">
        <v>7382</v>
      </c>
      <c r="F25" s="202" t="s">
        <v>7383</v>
      </c>
      <c r="G25" s="400" t="str">
        <f>IFERROR(__xludf.DUMMYFUNCTION("GOOGLETRANSLATE(A25,""zh-tw"",""zh"")"),"甜筒大剑")</f>
        <v>甜筒大剑</v>
      </c>
      <c r="H25" s="202" t="str">
        <f>IFERROR(__xludf.DUMMYFUNCTION("GOOGLETRANSLATE(B25,""zh-tw"",""zh"")"),"物攻：1
累计伤害型武器")</f>
        <v>物攻：1
累计伤害型武器</v>
      </c>
      <c r="I25" s="399" t="s">
        <v>7384</v>
      </c>
      <c r="J25" s="198" t="str">
        <f>IFERROR(__xludf.DUMMYFUNCTION("GOOGLETRANSLATE(B25,""zh-tw"",""es-MX"")"),"Ataque físico: 1 (arma de tipo daño acumulativo)")</f>
        <v>Ataque físico: 1 (arma de tipo daño acumulativo)</v>
      </c>
      <c r="K25" s="403" t="str">
        <f>IFERROR(__xludf.DUMMYFUNCTION("GOOGLETRANSLATE(A25,""zh-tw"",""KO"")"),"아이스크림 콘 검")</f>
        <v>아이스크림 콘 검</v>
      </c>
      <c r="L25" s="198" t="str">
        <f>IFERROR(__xludf.DUMMYFUNCTION("GOOGLETRANSLATE(B25,""zh-tw"",""KO"")"),"물리 공격: 1 (누적 피해 유형 무기)")</f>
        <v>물리 공격: 1 (누적 피해 유형 무기)</v>
      </c>
      <c r="M25" s="400" t="s">
        <v>7385</v>
      </c>
      <c r="N25" s="202" t="s">
        <v>7386</v>
      </c>
      <c r="O25" s="400" t="s">
        <v>7387</v>
      </c>
      <c r="P25" s="202" t="s">
        <v>7388</v>
      </c>
      <c r="Q25" s="401" t="s">
        <v>7389</v>
      </c>
      <c r="R25" s="402" t="s">
        <v>7390</v>
      </c>
      <c r="S25" s="197" t="s">
        <v>7391</v>
      </c>
      <c r="T25" s="198" t="s">
        <v>7392</v>
      </c>
      <c r="U25" s="197"/>
      <c r="V25" s="198"/>
      <c r="W25" s="198"/>
      <c r="X25" s="198"/>
      <c r="Y25" s="198"/>
      <c r="Z25" s="198"/>
    </row>
    <row r="26">
      <c r="A26" s="399" t="s">
        <v>7393</v>
      </c>
      <c r="B26" s="167" t="s">
        <v>7379</v>
      </c>
      <c r="C26" s="399" t="s">
        <v>7394</v>
      </c>
      <c r="D26" s="167" t="s">
        <v>7395</v>
      </c>
      <c r="E26" s="399" t="s">
        <v>7396</v>
      </c>
      <c r="F26" s="167" t="s">
        <v>7397</v>
      </c>
      <c r="G26" s="399" t="s">
        <v>7393</v>
      </c>
      <c r="H26" s="167" t="s">
        <v>7398</v>
      </c>
      <c r="I26" s="403"/>
      <c r="J26" s="198"/>
      <c r="K26" s="399" t="s">
        <v>7399</v>
      </c>
      <c r="L26" s="167" t="s">
        <v>7400</v>
      </c>
      <c r="M26" s="400" t="s">
        <v>7401</v>
      </c>
      <c r="N26" s="202" t="s">
        <v>7386</v>
      </c>
      <c r="O26" s="403"/>
      <c r="P26" s="198"/>
      <c r="Q26" s="407" t="s">
        <v>7402</v>
      </c>
      <c r="R26" s="408" t="s">
        <v>7403</v>
      </c>
      <c r="S26" s="165" t="s">
        <v>7404</v>
      </c>
      <c r="T26" s="167" t="s">
        <v>7405</v>
      </c>
      <c r="U26" s="165"/>
      <c r="V26" s="167"/>
      <c r="W26" s="198"/>
      <c r="X26" s="198"/>
      <c r="Y26" s="198"/>
      <c r="Z26" s="198"/>
    </row>
    <row r="27">
      <c r="A27" s="399" t="s">
        <v>7406</v>
      </c>
      <c r="B27" s="167" t="s">
        <v>7407</v>
      </c>
      <c r="C27" s="399" t="s">
        <v>7408</v>
      </c>
      <c r="D27" s="167" t="s">
        <v>7409</v>
      </c>
      <c r="E27" s="399" t="s">
        <v>5723</v>
      </c>
      <c r="F27" s="167" t="s">
        <v>7410</v>
      </c>
      <c r="G27" s="400" t="str">
        <f>IFERROR(__xludf.DUMMYFUNCTION("GOOGLETRANSLATE(A27,""zh-tw"",""zh"")"),"冻萝卜大剑")</f>
        <v>冻萝卜大剑</v>
      </c>
      <c r="H27" s="202" t="str">
        <f>IFERROR(__xludf.DUMMYFUNCTION("GOOGLETRANSLATE(B27,""zh-tw"",""zh"")"),"物攻：26
物防：2
冻结效果
投掷穿刺效果")</f>
        <v>物攻：26
物防：2
冻结效果
投掷穿刺效果</v>
      </c>
      <c r="I27" s="399" t="s">
        <v>7411</v>
      </c>
      <c r="J27" s="198" t="str">
        <f>IFERROR(__xludf.DUMMYFUNCTION("GOOGLETRANSLATE(B27,""zh-tw"",""es-MX"")"),"Ataque físico: 26
Defensa física: 2
Efecto de congelación
Efecto de perforación al lanzar")</f>
        <v>Ataque físico: 26
Defensa física: 2
Efecto de congelación
Efecto de perforación al lanzar</v>
      </c>
      <c r="K27" s="403" t="str">
        <f>IFERROR(__xludf.DUMMYFUNCTION("GOOGLETRANSLATE(A27,""zh-tw"",""KO"")"),"얼린 무 검")</f>
        <v>얼린 무 검</v>
      </c>
      <c r="L27" s="198" t="str">
        <f>IFERROR(__xludf.DUMMYFUNCTION("GOOGLETRANSLATE(B27,""zh-tw"",""KO"")"),"물리 공격력: 26
물리 방어력: 2
빙결 효과
투척 관통 효과")</f>
        <v>물리 공격력: 26
물리 방어력: 2
빙결 효과
투척 관통 효과</v>
      </c>
      <c r="M27" s="400" t="s">
        <v>5728</v>
      </c>
      <c r="N27" s="202" t="s">
        <v>7412</v>
      </c>
      <c r="O27" s="399" t="s">
        <v>5730</v>
      </c>
      <c r="P27" s="167" t="s">
        <v>7413</v>
      </c>
      <c r="Q27" s="133" t="s">
        <v>7414</v>
      </c>
      <c r="R27" s="381" t="s">
        <v>7415</v>
      </c>
      <c r="S27" s="197" t="s">
        <v>7416</v>
      </c>
      <c r="T27" s="198" t="s">
        <v>7417</v>
      </c>
      <c r="U27" s="197"/>
      <c r="V27" s="198"/>
      <c r="W27" s="198"/>
      <c r="X27" s="198"/>
      <c r="Y27" s="198"/>
      <c r="Z27" s="198"/>
    </row>
    <row r="28">
      <c r="A28" s="399" t="s">
        <v>7418</v>
      </c>
      <c r="B28" s="167" t="s">
        <v>7419</v>
      </c>
      <c r="C28" s="399" t="s">
        <v>7420</v>
      </c>
      <c r="D28" s="167" t="s">
        <v>7421</v>
      </c>
      <c r="E28" s="399" t="s">
        <v>7422</v>
      </c>
      <c r="F28" s="167" t="s">
        <v>7423</v>
      </c>
      <c r="G28" s="400" t="str">
        <f>IFERROR(__xludf.DUMMYFUNCTION("GOOGLETRANSLATE(A28,""zh-tw"",""zh"")"),"霉萝卜大剑")</f>
        <v>霉萝卜大剑</v>
      </c>
      <c r="H28" s="202" t="str">
        <f>IFERROR(__xludf.DUMMYFUNCTION("GOOGLETRANSLATE(B28,""zh-tw"",""zh"")"),"物攻：10
魔攻：10
中毒效果
投掷穿刺效果")</f>
        <v>物攻：10
魔攻：10
中毒效果
投掷穿刺效果</v>
      </c>
      <c r="I28" s="399" t="s">
        <v>7424</v>
      </c>
      <c r="J28" s="198" t="str">
        <f>IFERROR(__xludf.DUMMYFUNCTION("GOOGLETRANSLATE(B28,""zh-tw"",""es-MX"")"),"Ataque físico: 10
Ataque mágico: 10
Efecto de veneno
Efecto de perforación al lanzar")</f>
        <v>Ataque físico: 10
Ataque mágico: 10
Efecto de veneno
Efecto de perforación al lanzar</v>
      </c>
      <c r="K28" s="403" t="str">
        <f>IFERROR(__xludf.DUMMYFUNCTION("GOOGLETRANSLATE(A28,""zh-tw"",""KO"")"),"곰팡이 핀 무 검")</f>
        <v>곰팡이 핀 무 검</v>
      </c>
      <c r="L28" s="198" t="str">
        <f>IFERROR(__xludf.DUMMYFUNCTION("GOOGLETRANSLATE(B28,""zh-tw"",""KO"")"),"물리 공격력: 10
마법 공격력: 10
독 효과
투척 관통 효과")</f>
        <v>물리 공격력: 10
마법 공격력: 10
독 효과
투척 관통 효과</v>
      </c>
      <c r="M28" s="400" t="s">
        <v>7425</v>
      </c>
      <c r="N28" s="202" t="s">
        <v>7426</v>
      </c>
      <c r="O28" s="399" t="s">
        <v>7427</v>
      </c>
      <c r="P28" s="167" t="s">
        <v>7428</v>
      </c>
      <c r="Q28" s="133" t="s">
        <v>7429</v>
      </c>
      <c r="R28" s="381" t="s">
        <v>7430</v>
      </c>
      <c r="S28" s="197" t="s">
        <v>7431</v>
      </c>
      <c r="T28" s="198" t="s">
        <v>7432</v>
      </c>
      <c r="U28" s="197"/>
      <c r="V28" s="198"/>
      <c r="W28" s="198"/>
      <c r="X28" s="198"/>
      <c r="Y28" s="198"/>
      <c r="Z28" s="198"/>
    </row>
    <row r="29">
      <c r="A29" s="400" t="s">
        <v>7433</v>
      </c>
      <c r="B29" s="202" t="s">
        <v>7434</v>
      </c>
      <c r="C29" s="400" t="s">
        <v>7435</v>
      </c>
      <c r="D29" s="202" t="s">
        <v>7436</v>
      </c>
      <c r="E29" s="400" t="s">
        <v>7437</v>
      </c>
      <c r="F29" s="202" t="s">
        <v>7438</v>
      </c>
      <c r="G29" s="400" t="str">
        <f>IFERROR(__xludf.DUMMYFUNCTION("GOOGLETRANSLATE(A29,""zh-tw"",""zh"")"),"巨蜗吸尘器")</f>
        <v>巨蜗吸尘器</v>
      </c>
      <c r="H29" s="202" t="str">
        <f>IFERROR(__xludf.DUMMYFUNCTION("GOOGLETRANSLATE(B29,""zh-tw"",""zh"")"),"物攻：1
魔攻：1
吸取物品")</f>
        <v>物攻：1
魔攻：1
吸取物品</v>
      </c>
      <c r="I29" s="399" t="s">
        <v>7439</v>
      </c>
      <c r="J29" s="198" t="str">
        <f>IFERROR(__xludf.DUMMYFUNCTION("GOOGLETRANSLATE(B29,""zh-tw"",""es-MX"")"),"Ataque físico: 1
Ataque mágico: 1
Absorción de objetos")</f>
        <v>Ataque físico: 1
Ataque mágico: 1
Absorción de objetos</v>
      </c>
      <c r="K29" s="403" t="str">
        <f>IFERROR(__xludf.DUMMYFUNCTION("GOOGLETRANSLATE(A29,""zh-tw"",""KO"")"),"거대 달팽이 진공청소기")</f>
        <v>거대 달팽이 진공청소기</v>
      </c>
      <c r="L29" s="198" t="str">
        <f>IFERROR(__xludf.DUMMYFUNCTION("GOOGLETRANSLATE(B29,""zh-tw"",""KO"")"),"물리 공격력: 1
마법 공격력: 1
아이템 흡수")</f>
        <v>물리 공격력: 1
마법 공격력: 1
아이템 흡수</v>
      </c>
      <c r="M29" s="400" t="s">
        <v>7440</v>
      </c>
      <c r="N29" s="202" t="s">
        <v>7441</v>
      </c>
      <c r="O29" s="400" t="s">
        <v>7442</v>
      </c>
      <c r="P29" s="202" t="s">
        <v>7443</v>
      </c>
      <c r="Q29" s="401" t="s">
        <v>7444</v>
      </c>
      <c r="R29" s="402" t="s">
        <v>7445</v>
      </c>
      <c r="S29" s="197" t="s">
        <v>7446</v>
      </c>
      <c r="T29" s="198" t="s">
        <v>7447</v>
      </c>
      <c r="U29" s="197"/>
      <c r="V29" s="198"/>
      <c r="W29" s="198"/>
      <c r="X29" s="198"/>
      <c r="Y29" s="198"/>
      <c r="Z29" s="198"/>
    </row>
    <row r="30">
      <c r="A30" s="400" t="s">
        <v>7448</v>
      </c>
      <c r="B30" s="202" t="s">
        <v>7449</v>
      </c>
      <c r="C30" s="400" t="s">
        <v>6987</v>
      </c>
      <c r="D30" s="202" t="s">
        <v>7450</v>
      </c>
      <c r="E30" s="400" t="s">
        <v>7451</v>
      </c>
      <c r="F30" s="202" t="s">
        <v>7452</v>
      </c>
      <c r="G30" s="400" t="str">
        <f>IFERROR(__xludf.DUMMYFUNCTION("GOOGLETRANSLATE(A30,""zh-tw"",""zh"")"),"熔岩杖")</f>
        <v>熔岩杖</v>
      </c>
      <c r="H30" s="202" t="str">
        <f>IFERROR(__xludf.DUMMYFUNCTION("GOOGLETRANSLATE(B30,""zh-tw"",""zh"")"),"物攻：1
魔攻：66
炎属性")</f>
        <v>物攻：1
魔攻：66
炎属性</v>
      </c>
      <c r="I30" s="399" t="s">
        <v>7453</v>
      </c>
      <c r="J30" s="198" t="str">
        <f>IFERROR(__xludf.DUMMYFUNCTION("GOOGLETRANSLATE(B30,""zh-tw"",""es-MX"")"),"Ataque físico: 1
Ataque mágico: 66
Atributo fuego")</f>
        <v>Ataque físico: 1
Ataque mágico: 66
Atributo fuego</v>
      </c>
      <c r="K30" s="403" t="str">
        <f>IFERROR(__xludf.DUMMYFUNCTION("GOOGLETRANSLATE(A30,""zh-tw"",""KO"")"),"라바 스태프")</f>
        <v>라바 스태프</v>
      </c>
      <c r="L30" s="198" t="str">
        <f>IFERROR(__xludf.DUMMYFUNCTION("GOOGLETRANSLATE(B30,""zh-tw"",""KO"")"),"물리 공격력: 1
마법 공격력: 66
화염 속성")</f>
        <v>물리 공격력: 1
마법 공격력: 66
화염 속성</v>
      </c>
      <c r="M30" s="400" t="s">
        <v>7454</v>
      </c>
      <c r="N30" s="202" t="s">
        <v>7455</v>
      </c>
      <c r="O30" s="400" t="s">
        <v>6994</v>
      </c>
      <c r="P30" s="202" t="s">
        <v>7456</v>
      </c>
      <c r="Q30" s="401" t="s">
        <v>7457</v>
      </c>
      <c r="R30" s="406" t="s">
        <v>7458</v>
      </c>
      <c r="S30" s="197" t="s">
        <v>7459</v>
      </c>
      <c r="T30" s="198" t="s">
        <v>7460</v>
      </c>
      <c r="U30" s="197"/>
      <c r="V30" s="198"/>
      <c r="W30" s="198"/>
      <c r="X30" s="198"/>
      <c r="Y30" s="198"/>
      <c r="Z30" s="198"/>
    </row>
    <row r="31">
      <c r="A31" s="400" t="s">
        <v>7461</v>
      </c>
      <c r="B31" s="202" t="s">
        <v>7462</v>
      </c>
      <c r="C31" s="400" t="s">
        <v>7463</v>
      </c>
      <c r="D31" s="202" t="s">
        <v>7464</v>
      </c>
      <c r="E31" s="400" t="s">
        <v>7465</v>
      </c>
      <c r="F31" s="202" t="s">
        <v>7466</v>
      </c>
      <c r="G31" s="400" t="str">
        <f>IFERROR(__xludf.DUMMYFUNCTION("GOOGLETRANSLATE(A31,""zh-tw"",""zh"")"),"寒冰杖")</f>
        <v>寒冰杖</v>
      </c>
      <c r="H31" s="202" t="str">
        <f>IFERROR(__xludf.DUMMYFUNCTION("GOOGLETRANSLATE(B31,""zh-tw"",""zh"")"),"物攻：1
魔攻：55
冰属性")</f>
        <v>物攻：1
魔攻：55
冰属性</v>
      </c>
      <c r="I31" s="399" t="s">
        <v>7467</v>
      </c>
      <c r="J31" s="198" t="str">
        <f>IFERROR(__xludf.DUMMYFUNCTION("GOOGLETRANSLATE(B31,""zh-tw"",""es-MX"")"),"Ataque físico: 1 Ataque mágico: 55 Atributo hielo")</f>
        <v>Ataque físico: 1 Ataque mágico: 55 Atributo hielo</v>
      </c>
      <c r="K31" s="403" t="str">
        <f>IFERROR(__xludf.DUMMYFUNCTION("GOOGLETRANSLATE(A31,""zh-tw"",""KO"")"),"아이스 스태프")</f>
        <v>아이스 스태프</v>
      </c>
      <c r="L31" s="198" t="str">
        <f>IFERROR(__xludf.DUMMYFUNCTION("GOOGLETRANSLATE(B31,""zh-tw"",""KO"")"),"물리 공격력: 1 마법 공격력: 55 얼음 속성")</f>
        <v>물리 공격력: 1 마법 공격력: 55 얼음 속성</v>
      </c>
      <c r="M31" s="400" t="s">
        <v>7468</v>
      </c>
      <c r="N31" s="202" t="s">
        <v>7469</v>
      </c>
      <c r="O31" s="400" t="s">
        <v>7470</v>
      </c>
      <c r="P31" s="202" t="s">
        <v>7471</v>
      </c>
      <c r="Q31" s="401" t="s">
        <v>7472</v>
      </c>
      <c r="R31" s="402" t="s">
        <v>7473</v>
      </c>
      <c r="S31" s="197" t="s">
        <v>7474</v>
      </c>
      <c r="T31" s="198" t="s">
        <v>7475</v>
      </c>
      <c r="U31" s="197"/>
      <c r="V31" s="198"/>
      <c r="W31" s="198"/>
      <c r="X31" s="198"/>
      <c r="Y31" s="198"/>
      <c r="Z31" s="198"/>
    </row>
    <row r="32">
      <c r="A32" s="403" t="s">
        <v>7476</v>
      </c>
      <c r="B32" s="167" t="s">
        <v>7477</v>
      </c>
      <c r="C32" s="403" t="s">
        <v>7478</v>
      </c>
      <c r="D32" s="167" t="s">
        <v>7479</v>
      </c>
      <c r="E32" s="403" t="s">
        <v>7480</v>
      </c>
      <c r="F32" s="167" t="s">
        <v>7481</v>
      </c>
      <c r="G32" s="403" t="s">
        <v>7482</v>
      </c>
      <c r="H32" s="167" t="s">
        <v>7483</v>
      </c>
      <c r="I32" s="399" t="s">
        <v>7484</v>
      </c>
      <c r="J32" s="198" t="str">
        <f>IFERROR(__xludf.DUMMYFUNCTION("GOOGLETRANSLATE(B32,""zh-tw"",""es-MX"")"),"Ataque mágico: 40 Exterminación de insectos")</f>
        <v>Ataque mágico: 40 Exterminación de insectos</v>
      </c>
      <c r="K32" s="403" t="str">
        <f>IFERROR(__xludf.DUMMYFUNCTION("GOOGLETRANSLATE(A32,""zh-tw"",""KO"")"),"살충제 스틱")</f>
        <v>살충제 스틱</v>
      </c>
      <c r="L32" s="198" t="str">
        <f>IFERROR(__xludf.DUMMYFUNCTION("GOOGLETRANSLATE(B32,""zh-tw"",""KO"")"),"마법 공격: 곤충 박멸 40")</f>
        <v>마법 공격: 곤충 박멸 40</v>
      </c>
      <c r="M32" s="400" t="s">
        <v>7485</v>
      </c>
      <c r="N32" s="202" t="s">
        <v>7486</v>
      </c>
      <c r="O32" s="399" t="s">
        <v>7487</v>
      </c>
      <c r="P32" s="167" t="s">
        <v>7488</v>
      </c>
      <c r="Q32" s="212" t="s">
        <v>7489</v>
      </c>
      <c r="R32" s="408" t="s">
        <v>7490</v>
      </c>
      <c r="S32" s="197" t="s">
        <v>7491</v>
      </c>
      <c r="T32" s="167" t="s">
        <v>7492</v>
      </c>
      <c r="U32" s="197"/>
      <c r="V32" s="198"/>
      <c r="W32" s="198"/>
      <c r="X32" s="198"/>
      <c r="Y32" s="198"/>
      <c r="Z32" s="198"/>
    </row>
    <row r="33">
      <c r="A33" s="400" t="s">
        <v>7493</v>
      </c>
      <c r="B33" s="202" t="s">
        <v>7494</v>
      </c>
      <c r="C33" s="400" t="s">
        <v>7495</v>
      </c>
      <c r="D33" s="202" t="s">
        <v>7496</v>
      </c>
      <c r="E33" s="400" t="s">
        <v>7497</v>
      </c>
      <c r="F33" s="202" t="s">
        <v>7498</v>
      </c>
      <c r="G33" s="400" t="str">
        <f>IFERROR(__xludf.DUMMYFUNCTION("GOOGLETRANSLATE(A33,""zh-tw"",""zh"")"),"猎人之弓")</f>
        <v>猎人之弓</v>
      </c>
      <c r="H33" s="202" t="str">
        <f>IFERROR(__xludf.DUMMYFUNCTION("GOOGLETRANSLATE(B33,""zh-tw"",""zh"")"),"物攻：24
穿透")</f>
        <v>物攻：24
穿透</v>
      </c>
      <c r="I33" s="399" t="s">
        <v>7499</v>
      </c>
      <c r="J33" s="198" t="str">
        <f>IFERROR(__xludf.DUMMYFUNCTION("GOOGLETRANSLATE(B33,""zh-tw"",""es-MX"")"),"Ataque físico: 24 de penetración")</f>
        <v>Ataque físico: 24 de penetración</v>
      </c>
      <c r="K33" s="403" t="str">
        <f>IFERROR(__xludf.DUMMYFUNCTION("GOOGLETRANSLATE(A33,""zh-tw"",""KO"")"),"사냥꾼의 활")</f>
        <v>사냥꾼의 활</v>
      </c>
      <c r="L33" s="198" t="str">
        <f>IFERROR(__xludf.DUMMYFUNCTION("GOOGLETRANSLATE(B33,""zh-tw"",""KO"")"),"물리적 공격: 관통력 24")</f>
        <v>물리적 공격: 관통력 24</v>
      </c>
      <c r="M33" s="400" t="s">
        <v>7500</v>
      </c>
      <c r="N33" s="202" t="s">
        <v>7501</v>
      </c>
      <c r="O33" s="400" t="s">
        <v>7502</v>
      </c>
      <c r="P33" s="202" t="s">
        <v>7503</v>
      </c>
      <c r="Q33" s="401" t="s">
        <v>7504</v>
      </c>
      <c r="R33" s="402" t="s">
        <v>7505</v>
      </c>
      <c r="S33" s="197" t="s">
        <v>7506</v>
      </c>
      <c r="T33" s="198" t="s">
        <v>7507</v>
      </c>
      <c r="U33" s="197"/>
      <c r="V33" s="198"/>
      <c r="W33" s="198"/>
      <c r="X33" s="198"/>
      <c r="Y33" s="198"/>
      <c r="Z33" s="198"/>
    </row>
    <row r="34">
      <c r="A34" s="166" t="s">
        <v>7508</v>
      </c>
      <c r="C34" s="166" t="s">
        <v>7509</v>
      </c>
      <c r="E34" s="166" t="s">
        <v>7510</v>
      </c>
      <c r="G34" s="166" t="s">
        <v>7511</v>
      </c>
      <c r="I34" s="166"/>
      <c r="K34" s="166"/>
      <c r="M34" s="166" t="s">
        <v>7512</v>
      </c>
      <c r="O34" s="166"/>
      <c r="Q34" s="166"/>
      <c r="S34" s="166" t="s">
        <v>7513</v>
      </c>
      <c r="U34" s="166"/>
      <c r="W34" s="198"/>
      <c r="X34" s="198"/>
      <c r="Y34" s="198"/>
      <c r="Z34" s="198"/>
    </row>
    <row r="35">
      <c r="A35" s="400" t="s">
        <v>7514</v>
      </c>
      <c r="B35" s="202" t="s">
        <v>7515</v>
      </c>
      <c r="C35" s="400" t="s">
        <v>7516</v>
      </c>
      <c r="D35" s="202" t="s">
        <v>7517</v>
      </c>
      <c r="E35" s="400" t="s">
        <v>7518</v>
      </c>
      <c r="F35" s="202" t="s">
        <v>7519</v>
      </c>
      <c r="G35" s="400" t="str">
        <f>IFERROR(__xludf.DUMMYFUNCTION("GOOGLETRANSLATE(A35,""zh-tw"",""zh"")"),"古树残骸")</f>
        <v>古树残骸</v>
      </c>
      <c r="H35" s="202" t="str">
        <f>IFERROR(__xludf.DUMMYFUNCTION("GOOGLETRANSLATE(B35,""zh-tw"",""zh"")"),"物攻：20
物抗：2
累计素质型武器")</f>
        <v>物攻：20
物抗：2
累计素质型武器</v>
      </c>
      <c r="I35" s="399" t="s">
        <v>7520</v>
      </c>
      <c r="J35" s="198" t="str">
        <f>IFERROR(__xludf.DUMMYFUNCTION("GOOGLETRANSLATE(B35,""zh-tw"",""es-MX"")"),"Ataque físico: 20
Resistencia física: 2
Arma basada en estadísticas acumulativas")</f>
        <v>Ataque físico: 20
Resistencia física: 2
Arma basada en estadísticas acumulativas</v>
      </c>
      <c r="K35" s="403" t="str">
        <f>IFERROR(__xludf.DUMMYFUNCTION("GOOGLETRANSLATE(A35,""zh-tw"",""KO"")"),"고대 나무의 잔해")</f>
        <v>고대 나무의 잔해</v>
      </c>
      <c r="L35" s="198" t="str">
        <f>IFERROR(__xludf.DUMMYFUNCTION("GOOGLETRANSLATE(B35,""zh-tw"",""KO"")"),"물리 공격력: 20
물리 저항력: 2
누적형 능력치 기반 무기")</f>
        <v>물리 공격력: 20
물리 저항력: 2
누적형 능력치 기반 무기</v>
      </c>
      <c r="M35" s="400" t="s">
        <v>7521</v>
      </c>
      <c r="N35" s="202" t="s">
        <v>7522</v>
      </c>
      <c r="O35" s="400" t="s">
        <v>7523</v>
      </c>
      <c r="P35" s="202" t="s">
        <v>7524</v>
      </c>
      <c r="Q35" s="401" t="s">
        <v>7525</v>
      </c>
      <c r="R35" s="402" t="s">
        <v>7526</v>
      </c>
      <c r="S35" s="197" t="s">
        <v>7527</v>
      </c>
      <c r="T35" s="198" t="s">
        <v>7528</v>
      </c>
      <c r="U35" s="197"/>
      <c r="V35" s="198"/>
      <c r="W35" s="198"/>
      <c r="X35" s="198"/>
      <c r="Y35" s="198"/>
      <c r="Z35" s="198"/>
    </row>
    <row r="36">
      <c r="A36" s="400" t="s">
        <v>7529</v>
      </c>
      <c r="B36" s="202" t="s">
        <v>7530</v>
      </c>
      <c r="C36" s="400" t="s">
        <v>7531</v>
      </c>
      <c r="D36" s="202" t="s">
        <v>7532</v>
      </c>
      <c r="E36" s="400" t="s">
        <v>7533</v>
      </c>
      <c r="F36" s="202" t="s">
        <v>7534</v>
      </c>
      <c r="G36" s="400" t="str">
        <f>IFERROR(__xludf.DUMMYFUNCTION("GOOGLETRANSLATE(A36,""zh-tw"",""zh"")"),"来自地狱")</f>
        <v>来自地狱</v>
      </c>
      <c r="H36" s="202" t="str">
        <f>IFERROR(__xludf.DUMMYFUNCTION("GOOGLETRANSLATE(B36,""zh-tw"",""zh"")"),"物攻：30
出血")</f>
        <v>物攻：30
出血</v>
      </c>
      <c r="I36" s="399" t="s">
        <v>7535</v>
      </c>
      <c r="J36" s="198" t="str">
        <f>IFERROR(__xludf.DUMMYFUNCTION("GOOGLETRANSLATE(B36,""zh-tw"",""es-MX"")"),"Ataque físico: 30 sangrado")</f>
        <v>Ataque físico: 30 sangrado</v>
      </c>
      <c r="K36" s="399" t="s">
        <v>7536</v>
      </c>
      <c r="L36" s="198" t="str">
        <f>IFERROR(__xludf.DUMMYFUNCTION("GOOGLETRANSLATE(B36,""zh-tw"",""KO"")"),"물리 공격: 출혈 30")</f>
        <v>물리 공격: 출혈 30</v>
      </c>
      <c r="M36" s="400" t="s">
        <v>7537</v>
      </c>
      <c r="N36" s="202" t="s">
        <v>7538</v>
      </c>
      <c r="O36" s="400" t="s">
        <v>7539</v>
      </c>
      <c r="P36" s="202" t="s">
        <v>7540</v>
      </c>
      <c r="Q36" s="401" t="s">
        <v>7541</v>
      </c>
      <c r="R36" s="402" t="s">
        <v>7542</v>
      </c>
      <c r="S36" s="197" t="s">
        <v>7543</v>
      </c>
      <c r="T36" s="198" t="s">
        <v>7544</v>
      </c>
      <c r="U36" s="197"/>
      <c r="V36" s="198"/>
      <c r="W36" s="198"/>
      <c r="X36" s="198"/>
      <c r="Y36" s="198"/>
      <c r="Z36" s="198"/>
    </row>
    <row r="37">
      <c r="A37" s="400" t="s">
        <v>7545</v>
      </c>
      <c r="B37" s="202" t="s">
        <v>7546</v>
      </c>
      <c r="C37" s="400" t="s">
        <v>7547</v>
      </c>
      <c r="D37" s="202" t="s">
        <v>7548</v>
      </c>
      <c r="E37" s="400" t="s">
        <v>7549</v>
      </c>
      <c r="F37" s="202" t="s">
        <v>7550</v>
      </c>
      <c r="G37" s="400" t="str">
        <f>IFERROR(__xludf.DUMMYFUNCTION("GOOGLETRANSLATE(A37,""zh-tw"",""zh"")"),"寄生刃")</f>
        <v>寄生刃</v>
      </c>
      <c r="H37" s="202" t="str">
        <f>IFERROR(__xludf.DUMMYFUNCTION("GOOGLETRANSLATE(B37,""zh-tw"",""zh"")"),"物攻：32
击倒回复")</f>
        <v>物攻：32
击倒回复</v>
      </c>
      <c r="I37" s="399" t="s">
        <v>7551</v>
      </c>
      <c r="J37" s="198" t="str">
        <f>IFERROR(__xludf.DUMMYFUNCTION("GOOGLETRANSLATE(B37,""zh-tw"",""es-MX"")"),"Ataque físico: 32 Recuperación tras derribo")</f>
        <v>Ataque físico: 32 Recuperación tras derribo</v>
      </c>
      <c r="K37" s="399" t="s">
        <v>7552</v>
      </c>
      <c r="L37" s="167" t="s">
        <v>7553</v>
      </c>
      <c r="M37" s="400" t="s">
        <v>7554</v>
      </c>
      <c r="N37" s="202" t="s">
        <v>7555</v>
      </c>
      <c r="O37" s="400" t="s">
        <v>7556</v>
      </c>
      <c r="P37" s="202" t="s">
        <v>7557</v>
      </c>
      <c r="Q37" s="401" t="s">
        <v>7558</v>
      </c>
      <c r="R37" s="402" t="s">
        <v>7559</v>
      </c>
      <c r="S37" s="197" t="s">
        <v>7560</v>
      </c>
      <c r="T37" s="198" t="s">
        <v>7561</v>
      </c>
      <c r="U37" s="197"/>
      <c r="V37" s="198"/>
      <c r="W37" s="198"/>
      <c r="X37" s="198"/>
      <c r="Y37" s="198"/>
      <c r="Z37" s="198"/>
    </row>
    <row r="38">
      <c r="A38" s="403" t="s">
        <v>7562</v>
      </c>
      <c r="B38" s="198" t="s">
        <v>7563</v>
      </c>
      <c r="C38" s="403" t="s">
        <v>7562</v>
      </c>
      <c r="D38" s="167" t="s">
        <v>7564</v>
      </c>
      <c r="E38" s="403" t="s">
        <v>7565</v>
      </c>
      <c r="F38" s="167" t="s">
        <v>7566</v>
      </c>
      <c r="G38" s="400" t="str">
        <f>IFERROR(__xludf.DUMMYFUNCTION("GOOGLETRANSLATE(A38,""zh-tw"",""zh"")"),"日轮")</f>
        <v>日轮</v>
      </c>
      <c r="H38" s="202" t="str">
        <f>IFERROR(__xludf.DUMMYFUNCTION("GOOGLETRANSLATE(B38,""zh-tw"",""zh"")"),"物攻：12
魔攻：30
魔防：30
召唤陨石")</f>
        <v>物攻：12
魔攻：30
魔防：30
召唤陨石</v>
      </c>
      <c r="I38" s="399" t="s">
        <v>7565</v>
      </c>
      <c r="J38" s="198" t="str">
        <f>IFERROR(__xludf.DUMMYFUNCTION("GOOGLETRANSLATE(B38,""zh-tw"",""es-MX"")"),"Ataque físico: 12
Ataque mágico: 30
Defensa mágica: 30
Invocar meteorito")</f>
        <v>Ataque físico: 12
Ataque mágico: 30
Defensa mágica: 30
Invocar meteorito</v>
      </c>
      <c r="K38" s="403" t="str">
        <f>IFERROR(__xludf.DUMMYFUNCTION("GOOGLETRANSLATE(A38,""zh-tw"",""KO"")"),"태양 바퀴")</f>
        <v>태양 바퀴</v>
      </c>
      <c r="L38" s="198" t="str">
        <f>IFERROR(__xludf.DUMMYFUNCTION("GOOGLETRANSLATE(B38,""zh-tw"",""KO"")"),"물리 공격력: 12
마법 공격력: 30
마법 방어력: 30
소환 메테오")</f>
        <v>물리 공격력: 12
마법 공격력: 30
마법 방어력: 30
소환 메테오</v>
      </c>
      <c r="M38" s="400" t="s">
        <v>7567</v>
      </c>
      <c r="N38" s="202" t="s">
        <v>7568</v>
      </c>
      <c r="O38" s="404" t="s">
        <v>7569</v>
      </c>
      <c r="P38" s="155" t="s">
        <v>7570</v>
      </c>
      <c r="Q38" s="401" t="s">
        <v>7571</v>
      </c>
      <c r="R38" s="402" t="s">
        <v>7572</v>
      </c>
      <c r="S38" s="197" t="s">
        <v>7565</v>
      </c>
      <c r="T38" s="198" t="s">
        <v>7573</v>
      </c>
      <c r="U38" s="197"/>
      <c r="V38" s="198"/>
      <c r="W38" s="198"/>
      <c r="X38" s="198"/>
      <c r="Y38" s="198"/>
      <c r="Z38" s="198"/>
    </row>
    <row r="39">
      <c r="A39" s="403" t="s">
        <v>7574</v>
      </c>
      <c r="B39" s="167" t="s">
        <v>7575</v>
      </c>
      <c r="C39" s="403" t="s">
        <v>7576</v>
      </c>
      <c r="D39" s="198" t="s">
        <v>7577</v>
      </c>
      <c r="E39" s="403" t="s">
        <v>7578</v>
      </c>
      <c r="F39" s="198" t="s">
        <v>7579</v>
      </c>
      <c r="G39" s="400" t="str">
        <f>IFERROR(__xludf.DUMMYFUNCTION("GOOGLETRANSLATE(A39,""zh-tw"",""zh"")"),"登的阴郁手镰")</f>
        <v>登的阴郁手镰</v>
      </c>
      <c r="H39" s="202" t="str">
        <f>IFERROR(__xludf.DUMMYFUNCTION("GOOGLETRANSLATE(B39,""zh-tw"",""zh"")"),"
物攻：18
魔攻：9
回力镖类型武器")</f>
        <v>
物攻：18
魔攻：9
回力镖类型武器</v>
      </c>
      <c r="I39" s="399" t="s">
        <v>7580</v>
      </c>
      <c r="J39" s="198" t="str">
        <f>IFERROR(__xludf.DUMMYFUNCTION("GOOGLETRANSLATE(B39,""zh-tw"",""es-MX"")"),"Ataque físico: 18 Ataque mágico: 9 Arma tipo bumerán")</f>
        <v>Ataque físico: 18 Ataque mágico: 9 Arma tipo bumerán</v>
      </c>
      <c r="K39" s="403" t="str">
        <f>IFERROR(__xludf.DUMMYFUNCTION("GOOGLETRANSLATE(A39,""zh-tw"",""KO"")"),"덩샤오핑의 음울한 낫")</f>
        <v>덩샤오핑의 음울한 낫</v>
      </c>
      <c r="L39" s="198" t="str">
        <f>IFERROR(__xludf.DUMMYFUNCTION("GOOGLETRANSLATE(B39,""zh-tw"",""KO"")"),"물리 공격력: 18 마법 공격력: 9 부메랑형 무기")</f>
        <v>물리 공격력: 18 마법 공격력: 9 부메랑형 무기</v>
      </c>
      <c r="M39" s="400" t="s">
        <v>7581</v>
      </c>
      <c r="N39" s="202" t="s">
        <v>7582</v>
      </c>
      <c r="O39" s="404" t="s">
        <v>7583</v>
      </c>
      <c r="P39" s="155" t="s">
        <v>7584</v>
      </c>
      <c r="Q39" s="401" t="s">
        <v>7585</v>
      </c>
      <c r="R39" s="402" t="s">
        <v>7586</v>
      </c>
      <c r="S39" s="197" t="s">
        <v>7587</v>
      </c>
      <c r="T39" s="198" t="s">
        <v>7588</v>
      </c>
      <c r="U39" s="197"/>
      <c r="V39" s="198"/>
      <c r="W39" s="198"/>
      <c r="X39" s="198"/>
      <c r="Y39" s="198"/>
      <c r="Z39" s="198"/>
    </row>
    <row r="40">
      <c r="A40" s="400" t="s">
        <v>7589</v>
      </c>
      <c r="B40" s="202" t="s">
        <v>7590</v>
      </c>
      <c r="C40" s="400" t="s">
        <v>7591</v>
      </c>
      <c r="D40" s="202" t="s">
        <v>7592</v>
      </c>
      <c r="E40" s="400" t="s">
        <v>7593</v>
      </c>
      <c r="F40" s="202" t="s">
        <v>7594</v>
      </c>
      <c r="G40" s="400" t="str">
        <f>IFERROR(__xludf.DUMMYFUNCTION("GOOGLETRANSLATE(A40,""zh-tw"",""zh"")"),"星月夜")</f>
        <v>星月夜</v>
      </c>
      <c r="H40" s="202" t="str">
        <f>IFERROR(__xludf.DUMMYFUNCTION("GOOGLETRANSLATE(B40,""zh-tw"",""zh"")"),"物攻：1
魔攻：68
黑洞")</f>
        <v>物攻：1
魔攻：68
黑洞</v>
      </c>
      <c r="I40" s="399" t="s">
        <v>7595</v>
      </c>
      <c r="J40" s="198" t="str">
        <f>IFERROR(__xludf.DUMMYFUNCTION("GOOGLETRANSLATE(B40,""zh-tw"",""es-MX"")"),"Ataque físico: 1 Ataque mágico: 68 Agujero negro")</f>
        <v>Ataque físico: 1 Ataque mágico: 68 Agujero negro</v>
      </c>
      <c r="K40" s="403" t="str">
        <f>IFERROR(__xludf.DUMMYFUNCTION("GOOGLETRANSLATE(A40,""zh-tw"",""KO"")"),"별이 빛나는 달밤")</f>
        <v>별이 빛나는 달밤</v>
      </c>
      <c r="L40" s="198" t="str">
        <f>IFERROR(__xludf.DUMMYFUNCTION("GOOGLETRANSLATE(B40,""zh-tw"",""KO"")"),"물리 공격력: 1 마법 공격력: 68 블랙홀")</f>
        <v>물리 공격력: 1 마법 공격력: 68 블랙홀</v>
      </c>
      <c r="M40" s="400" t="s">
        <v>7596</v>
      </c>
      <c r="N40" s="202" t="s">
        <v>7597</v>
      </c>
      <c r="O40" s="400" t="s">
        <v>7598</v>
      </c>
      <c r="P40" s="202" t="s">
        <v>7599</v>
      </c>
      <c r="Q40" s="401" t="s">
        <v>7600</v>
      </c>
      <c r="R40" s="402" t="s">
        <v>7601</v>
      </c>
      <c r="S40" s="197" t="s">
        <v>7602</v>
      </c>
      <c r="T40" s="198" t="s">
        <v>7603</v>
      </c>
      <c r="U40" s="197"/>
      <c r="V40" s="198"/>
      <c r="W40" s="198"/>
      <c r="X40" s="198"/>
      <c r="Y40" s="198"/>
      <c r="Z40" s="198"/>
    </row>
    <row r="41">
      <c r="A41" s="399" t="s">
        <v>7604</v>
      </c>
      <c r="B41" s="167" t="s">
        <v>7605</v>
      </c>
      <c r="C41" s="399" t="s">
        <v>7606</v>
      </c>
      <c r="D41" s="167" t="s">
        <v>7607</v>
      </c>
      <c r="E41" s="399" t="s">
        <v>7608</v>
      </c>
      <c r="F41" s="167" t="s">
        <v>7609</v>
      </c>
      <c r="G41" s="400" t="str">
        <f>IFERROR(__xludf.DUMMYFUNCTION("GOOGLETRANSLATE(A41,""zh-tw"",""zh"")"),"潮汐之诗")</f>
        <v>潮汐之诗</v>
      </c>
      <c r="H41" s="202" t="str">
        <f>IFERROR(__xludf.DUMMYFUNCTION("GOOGLETRANSLATE(B41,""zh-tw"",""zh"")"),"物攻：1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1" s="399" t="s">
        <v>7610</v>
      </c>
      <c r="J41" s="198" t="str">
        <f>IFERROR(__xludf.DUMMYFUNCTION("GOOGLETRANSLATE(B41,""zh-tw"",""es-MX"")"),"Ataque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1" s="403" t="str">
        <f>IFERROR(__xludf.DUMMYFUNCTION("GOOGLETRANSLATE(A41,""zh-tw"",""KO"")"),"조수의 시")</f>
        <v>조수의 시</v>
      </c>
      <c r="L41" s="198" t="str">
        <f>IFERROR(__xludf.DUMMYFUNCTION("GOOGLETRANSLATE(B41,""zh-tw"",""KO"")"),"물리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1" s="400" t="s">
        <v>7611</v>
      </c>
      <c r="N41" s="202" t="s">
        <v>7612</v>
      </c>
      <c r="O41" s="399" t="s">
        <v>7613</v>
      </c>
      <c r="P41" s="167" t="s">
        <v>7614</v>
      </c>
      <c r="Q41" s="118" t="s">
        <v>7615</v>
      </c>
      <c r="R41" s="49" t="s">
        <v>7616</v>
      </c>
      <c r="S41" s="409" t="s">
        <v>7617</v>
      </c>
      <c r="T41" s="198" t="s">
        <v>7618</v>
      </c>
      <c r="U41" s="197"/>
      <c r="V41" s="198"/>
      <c r="W41" s="198"/>
      <c r="X41" s="198"/>
      <c r="Y41" s="198"/>
      <c r="Z41" s="198"/>
    </row>
    <row r="42">
      <c r="A42" s="404" t="s">
        <v>7619</v>
      </c>
      <c r="B42" s="167" t="s">
        <v>7620</v>
      </c>
      <c r="C42" s="404" t="s">
        <v>7619</v>
      </c>
      <c r="D42" s="167" t="s">
        <v>7621</v>
      </c>
      <c r="E42" s="404" t="s">
        <v>7622</v>
      </c>
      <c r="F42" s="167" t="s">
        <v>7623</v>
      </c>
      <c r="G42" s="400" t="str">
        <f>IFERROR(__xludf.DUMMYFUNCTION("GOOGLETRANSLATE(A42,""zh-tw"",""zh"")"),"血狩")</f>
        <v>血狩</v>
      </c>
      <c r="H42" s="202" t="str">
        <f>IFERROR(__xludf.DUMMYFUNCTION("GOOGLETRANSLATE(B42,""zh-tw"",""zh"")"),"物攻：20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2" s="399" t="s">
        <v>7624</v>
      </c>
      <c r="J42" s="198" t="str">
        <f>IFERROR(__xludf.DUMMYFUNCTION("GOOGLETRANSLATE(B42,""zh-tw"",""es-MX"")"),"Ataque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2" s="403" t="str">
        <f>IFERROR(__xludf.DUMMYFUNCTION("GOOGLETRANSLATE(A42,""zh-tw"",""KO"")"),"블러드 헌트")</f>
        <v>블러드 헌트</v>
      </c>
      <c r="L42" s="198" t="str">
        <f>IFERROR(__xludf.DUMMYFUNCTION("GOOGLETRANSLATE(B42,""zh-tw"",""KO"")"),"물리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2" s="400" t="s">
        <v>7625</v>
      </c>
      <c r="N42" s="202" t="s">
        <v>7626</v>
      </c>
      <c r="O42" s="404" t="s">
        <v>7627</v>
      </c>
      <c r="P42" s="167" t="s">
        <v>7628</v>
      </c>
      <c r="Q42" s="401" t="s">
        <v>7629</v>
      </c>
      <c r="R42" s="406" t="s">
        <v>7630</v>
      </c>
      <c r="S42" s="197" t="s">
        <v>7631</v>
      </c>
      <c r="T42" s="198" t="s">
        <v>7632</v>
      </c>
      <c r="U42" s="197"/>
      <c r="V42" s="198"/>
      <c r="W42" s="198"/>
      <c r="X42" s="198"/>
      <c r="Y42" s="198"/>
      <c r="Z42" s="198"/>
    </row>
    <row r="43">
      <c r="A43" s="400" t="s">
        <v>7633</v>
      </c>
      <c r="B43" s="202" t="s">
        <v>7634</v>
      </c>
      <c r="C43" s="400" t="s">
        <v>7633</v>
      </c>
      <c r="D43" s="202" t="s">
        <v>7635</v>
      </c>
      <c r="E43" s="400" t="s">
        <v>7636</v>
      </c>
      <c r="F43" s="202" t="s">
        <v>7637</v>
      </c>
      <c r="G43" s="400" t="str">
        <f>IFERROR(__xludf.DUMMYFUNCTION("GOOGLETRANSLATE(A43,""zh-tw"",""zh"")"),"千鸟")</f>
        <v>千鸟</v>
      </c>
      <c r="H43" s="202" t="str">
        <f>IFERROR(__xludf.DUMMYFUNCTION("GOOGLETRANSLATE(B43,""zh-tw"",""zh"")"),"物攻：16
魔攻：16
雷属性")</f>
        <v>物攻：16
魔攻：16
雷属性</v>
      </c>
      <c r="I43" s="403" t="str">
        <f>IFERROR(__xludf.DUMMYFUNCTION("GOOGLETRANSLATE(A43,""zh-tw"",""es-MX"")"),"Chidori")</f>
        <v>Chidori</v>
      </c>
      <c r="J43" s="198" t="str">
        <f>IFERROR(__xludf.DUMMYFUNCTION("GOOGLETRANSLATE(B43,""zh-tw"",""es-MX"")"),"Ataque físico: 16
Ataque mágico: 16
Atributo de rayo")</f>
        <v>Ataque físico: 16
Ataque mágico: 16
Atributo de rayo</v>
      </c>
      <c r="K43" s="403" t="str">
        <f>IFERROR(__xludf.DUMMYFUNCTION("GOOGLETRANSLATE(A43,""zh-tw"",""KO"")"),"치도리")</f>
        <v>치도리</v>
      </c>
      <c r="L43" s="198" t="str">
        <f>IFERROR(__xludf.DUMMYFUNCTION("GOOGLETRANSLATE(B43,""zh-tw"",""KO"")"),"물리 공격력: 16
마법 공격력: 16
번개 속성")</f>
        <v>물리 공격력: 16
마법 공격력: 16
번개 속성</v>
      </c>
      <c r="M43" s="400" t="s">
        <v>7638</v>
      </c>
      <c r="N43" s="202" t="s">
        <v>7639</v>
      </c>
      <c r="O43" s="400" t="s">
        <v>7640</v>
      </c>
      <c r="P43" s="202" t="s">
        <v>7641</v>
      </c>
      <c r="Q43" s="401" t="s">
        <v>7642</v>
      </c>
      <c r="R43" s="402" t="s">
        <v>7643</v>
      </c>
      <c r="S43" s="197" t="s">
        <v>7636</v>
      </c>
      <c r="T43" s="198" t="s">
        <v>7644</v>
      </c>
      <c r="U43" s="197"/>
      <c r="V43" s="198"/>
      <c r="W43" s="198"/>
      <c r="X43" s="198"/>
      <c r="Y43" s="198"/>
      <c r="Z43" s="198"/>
    </row>
    <row r="44">
      <c r="A44" s="400" t="s">
        <v>7645</v>
      </c>
      <c r="B44" s="202" t="s">
        <v>7646</v>
      </c>
      <c r="C44" s="400" t="s">
        <v>7647</v>
      </c>
      <c r="D44" s="202" t="s">
        <v>7648</v>
      </c>
      <c r="E44" s="400" t="s">
        <v>7649</v>
      </c>
      <c r="F44" s="202" t="s">
        <v>7650</v>
      </c>
      <c r="G44" s="400" t="str">
        <f>IFERROR(__xludf.DUMMYFUNCTION("GOOGLETRANSLATE(A44,""zh-tw"",""zh"")"),"火烧云")</f>
        <v>火烧云</v>
      </c>
      <c r="H44" s="202" t="str">
        <f>IFERROR(__xludf.DUMMYFUNCTION("GOOGLETRANSLATE(B44,""zh-tw"",""zh"")"),"物攻：18
魔攻：18
炎属性")</f>
        <v>物攻：18
魔攻：18
炎属性</v>
      </c>
      <c r="I44" s="399" t="s">
        <v>7651</v>
      </c>
      <c r="J44" s="198" t="str">
        <f>IFERROR(__xludf.DUMMYFUNCTION("GOOGLETRANSLATE(B44,""zh-tw"",""es-MX"")"),"Ataque físico: 18
Ataque mágico: 18
Atributo fuego")</f>
        <v>Ataque físico: 18
Ataque mágico: 18
Atributo fuego</v>
      </c>
      <c r="K44" s="403" t="str">
        <f>IFERROR(__xludf.DUMMYFUNCTION("GOOGLETRANSLATE(A44,""zh-tw"",""KO"")"),"불타는 구름")</f>
        <v>불타는 구름</v>
      </c>
      <c r="L44" s="198" t="str">
        <f>IFERROR(__xludf.DUMMYFUNCTION("GOOGLETRANSLATE(B44,""zh-tw"",""KO"")"),"물리 공격력: 18
마법 공격력: 18
불 속성")</f>
        <v>물리 공격력: 18
마법 공격력: 18
불 속성</v>
      </c>
      <c r="M44" s="400" t="s">
        <v>7652</v>
      </c>
      <c r="N44" s="202" t="s">
        <v>7653</v>
      </c>
      <c r="O44" s="400" t="s">
        <v>7654</v>
      </c>
      <c r="P44" s="202" t="s">
        <v>7655</v>
      </c>
      <c r="Q44" s="401" t="s">
        <v>7656</v>
      </c>
      <c r="R44" s="402" t="s">
        <v>7657</v>
      </c>
      <c r="S44" s="165" t="s">
        <v>7658</v>
      </c>
      <c r="T44" s="198" t="s">
        <v>7659</v>
      </c>
      <c r="U44" s="197"/>
      <c r="V44" s="198"/>
      <c r="W44" s="198"/>
      <c r="X44" s="198"/>
      <c r="Y44" s="198"/>
      <c r="Z44" s="198"/>
    </row>
    <row r="45">
      <c r="A45" s="400" t="s">
        <v>7660</v>
      </c>
      <c r="B45" s="202" t="s">
        <v>7661</v>
      </c>
      <c r="C45" s="400" t="s">
        <v>7660</v>
      </c>
      <c r="D45" s="202" t="s">
        <v>7662</v>
      </c>
      <c r="E45" s="400" t="s">
        <v>7663</v>
      </c>
      <c r="F45" s="202" t="s">
        <v>7664</v>
      </c>
      <c r="G45" s="400" t="str">
        <f>IFERROR(__xludf.DUMMYFUNCTION("GOOGLETRANSLATE(A45,""zh-tw"",""zh"")"),"雪见")</f>
        <v>雪见</v>
      </c>
      <c r="H45" s="202" t="str">
        <f>IFERROR(__xludf.DUMMYFUNCTION("GOOGLETRANSLATE(B45,""zh-tw"",""zh"")"),"物攻：16
魔攻：16
冰属性")</f>
        <v>物攻：16
魔攻：16
冰属性</v>
      </c>
      <c r="I45" s="399" t="s">
        <v>7665</v>
      </c>
      <c r="J45" s="198" t="str">
        <f>IFERROR(__xludf.DUMMYFUNCTION("GOOGLETRANSLATE(B45,""zh-tw"",""es-MX"")"),"Ataque físico: 16
Ataque mágico: 16
Atributo hielo")</f>
        <v>Ataque físico: 16
Ataque mágico: 16
Atributo hielo</v>
      </c>
      <c r="K45" s="403" t="str">
        <f>IFERROR(__xludf.DUMMYFUNCTION("GOOGLETRANSLATE(A45,""zh-tw"",""KO"")"),"쉐지안")</f>
        <v>쉐지안</v>
      </c>
      <c r="L45" s="198" t="str">
        <f>IFERROR(__xludf.DUMMYFUNCTION("GOOGLETRANSLATE(B45,""zh-tw"",""KO"")"),"물리 공격력: 16
마법 공격력: 16
얼음 속성")</f>
        <v>물리 공격력: 16
마법 공격력: 16
얼음 속성</v>
      </c>
      <c r="M45" s="400" t="s">
        <v>7666</v>
      </c>
      <c r="N45" s="202" t="s">
        <v>7667</v>
      </c>
      <c r="O45" s="400" t="s">
        <v>7668</v>
      </c>
      <c r="P45" s="202" t="s">
        <v>7669</v>
      </c>
      <c r="Q45" s="401" t="s">
        <v>7670</v>
      </c>
      <c r="R45" s="402" t="s">
        <v>7671</v>
      </c>
      <c r="S45" s="197" t="s">
        <v>7672</v>
      </c>
      <c r="T45" s="198" t="s">
        <v>7673</v>
      </c>
      <c r="U45" s="197"/>
      <c r="V45" s="198"/>
      <c r="W45" s="198"/>
      <c r="X45" s="198"/>
      <c r="Y45" s="198"/>
      <c r="Z45" s="198"/>
    </row>
    <row r="46">
      <c r="A46" s="166" t="s">
        <v>7674</v>
      </c>
      <c r="C46" s="166" t="s">
        <v>7675</v>
      </c>
      <c r="E46" s="166" t="s">
        <v>7676</v>
      </c>
      <c r="G46" s="166" t="s">
        <v>7677</v>
      </c>
      <c r="I46" s="166"/>
      <c r="K46" s="166"/>
      <c r="M46" s="166" t="s">
        <v>7678</v>
      </c>
      <c r="O46" s="166"/>
      <c r="Q46" s="166"/>
      <c r="S46" s="166" t="s">
        <v>7679</v>
      </c>
      <c r="U46" s="166"/>
      <c r="W46" s="198"/>
      <c r="X46" s="198"/>
      <c r="Y46" s="198"/>
      <c r="Z46" s="198"/>
    </row>
    <row r="47">
      <c r="A47" s="400" t="s">
        <v>7680</v>
      </c>
      <c r="B47" s="202" t="s">
        <v>7681</v>
      </c>
      <c r="C47" s="400" t="s">
        <v>7682</v>
      </c>
      <c r="D47" s="202" t="s">
        <v>7683</v>
      </c>
      <c r="E47" s="399" t="s">
        <v>7684</v>
      </c>
      <c r="F47" s="167" t="s">
        <v>7685</v>
      </c>
      <c r="G47" s="400" t="str">
        <f>IFERROR(__xludf.DUMMYFUNCTION("GOOGLETRANSLATE(A47,""zh-tw"",""zh"")"),"柳叶长剑")</f>
        <v>柳叶长剑</v>
      </c>
      <c r="H47" s="202" t="str">
        <f>IFERROR(__xludf.DUMMYFUNCTION("GOOGLETRANSLATE(B47,""zh-tw"",""zh"")"),"物攻：32
分裂攻击")</f>
        <v>物攻：32
分裂攻击</v>
      </c>
      <c r="I47" s="403" t="str">
        <f>IFERROR(__xludf.DUMMYFUNCTION("GOOGLETRANSLATE(A47,""zh-tw"",""es-MX"")"),"Espada larga de hoja de sauce")</f>
        <v>Espada larga de hoja de sauce</v>
      </c>
      <c r="J47" s="198" t="str">
        <f>IFERROR(__xludf.DUMMYFUNCTION("GOOGLETRANSLATE(B47,""zh-tw"",""es-MX"")"),"Ataque físico: 32 Ataque dividido")</f>
        <v>Ataque físico: 32 Ataque dividido</v>
      </c>
      <c r="K47" s="403" t="str">
        <f>IFERROR(__xludf.DUMMYFUNCTION("GOOGLETRANSLATE(A47,""zh-tw"",""KO"")"),"버드나무 잎 장검")</f>
        <v>버드나무 잎 장검</v>
      </c>
      <c r="L47" s="198" t="str">
        <f>IFERROR(__xludf.DUMMYFUNCTION("GOOGLETRANSLATE(B47,""zh-tw"",""KO"")"),"물리 공격: 32 분할 공격")</f>
        <v>물리 공격: 32 분할 공격</v>
      </c>
      <c r="M47" s="400" t="s">
        <v>7686</v>
      </c>
      <c r="N47" s="202" t="s">
        <v>7687</v>
      </c>
      <c r="O47" s="400" t="s">
        <v>7688</v>
      </c>
      <c r="P47" s="202" t="s">
        <v>7689</v>
      </c>
      <c r="Q47" s="401" t="s">
        <v>7690</v>
      </c>
      <c r="R47" s="406" t="s">
        <v>7691</v>
      </c>
      <c r="S47" s="197" t="s">
        <v>7692</v>
      </c>
      <c r="T47" s="198" t="s">
        <v>7693</v>
      </c>
      <c r="U47" s="197"/>
      <c r="V47" s="198"/>
      <c r="W47" s="198"/>
      <c r="X47" s="198"/>
      <c r="Y47" s="198"/>
      <c r="Z47" s="198"/>
    </row>
    <row r="48">
      <c r="A48" s="400" t="s">
        <v>7694</v>
      </c>
      <c r="B48" s="202" t="s">
        <v>7695</v>
      </c>
      <c r="C48" s="400" t="s">
        <v>7696</v>
      </c>
      <c r="D48" s="202" t="s">
        <v>7697</v>
      </c>
      <c r="E48" s="400" t="s">
        <v>7698</v>
      </c>
      <c r="F48" s="202" t="s">
        <v>7699</v>
      </c>
      <c r="G48" s="400" t="str">
        <f>IFERROR(__xludf.DUMMYFUNCTION("GOOGLETRANSLATE(A48,""zh-tw"",""zh"")"),"斩裂剑提尔锋")</f>
        <v>斩裂剑提尔锋</v>
      </c>
      <c r="H48" s="202" t="str">
        <f>IFERROR(__xludf.DUMMYFUNCTION("GOOGLETRANSLATE(B48,""zh-tw"",""zh"")"),"物攻：40
发射剑波")</f>
        <v>物攻：40
发射剑波</v>
      </c>
      <c r="I48" s="399" t="s">
        <v>7700</v>
      </c>
      <c r="J48" s="198" t="str">
        <f>IFERROR(__xludf.DUMMYFUNCTION("GOOGLETRANSLATE(B48,""zh-tw"",""es-MX"")"),"Ataque físico: 40 Lanza una onda de espada")</f>
        <v>Ataque físico: 40 Lanza una onda de espada</v>
      </c>
      <c r="K48" s="403" t="str">
        <f>IFERROR(__xludf.DUMMYFUNCTION("GOOGLETRANSLATE(A48,""zh-tw"",""KO"")"),"절단검의 날, 티르의 날")</f>
        <v>절단검의 날, 티르의 날</v>
      </c>
      <c r="L48" s="198" t="str">
        <f>IFERROR(__xludf.DUMMYFUNCTION("GOOGLETRANSLATE(B48,""zh-tw"",""KO"")"),"물리 공격: 40 검파를 발사합니다")</f>
        <v>물리 공격: 40 검파를 발사합니다</v>
      </c>
      <c r="M48" s="400" t="s">
        <v>7701</v>
      </c>
      <c r="N48" s="202" t="s">
        <v>7702</v>
      </c>
      <c r="O48" s="400" t="s">
        <v>7703</v>
      </c>
      <c r="P48" s="202" t="s">
        <v>7704</v>
      </c>
      <c r="Q48" s="401" t="s">
        <v>7705</v>
      </c>
      <c r="R48" s="402" t="s">
        <v>7706</v>
      </c>
      <c r="S48" s="197" t="s">
        <v>7698</v>
      </c>
      <c r="T48" s="198" t="s">
        <v>7707</v>
      </c>
      <c r="U48" s="197"/>
      <c r="V48" s="198"/>
      <c r="W48" s="198"/>
      <c r="X48" s="198"/>
      <c r="Y48" s="198"/>
      <c r="Z48" s="198"/>
    </row>
    <row r="49">
      <c r="A49" s="404" t="s">
        <v>7708</v>
      </c>
      <c r="B49" s="155" t="s">
        <v>7709</v>
      </c>
      <c r="C49" s="404" t="s">
        <v>7710</v>
      </c>
      <c r="D49" s="155" t="s">
        <v>7711</v>
      </c>
      <c r="E49" s="404" t="s">
        <v>7712</v>
      </c>
      <c r="F49" s="155" t="s">
        <v>7713</v>
      </c>
      <c r="G49" s="400" t="str">
        <f>IFERROR(__xludf.DUMMYFUNCTION("GOOGLETRANSLATE(A49,""zh-tw"",""zh"")"),"寄坏剑")</f>
        <v>寄坏剑</v>
      </c>
      <c r="H49" s="202" t="str">
        <f>IFERROR(__xludf.DUMMYFUNCTION("GOOGLETRANSLATE(B49,""zh-tw"",""zh"")"),"物攻：36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49" s="399" t="s">
        <v>7714</v>
      </c>
      <c r="J49" s="198" t="str">
        <f>IFERROR(__xludf.DUMMYFUNCTION("GOOGLETRANSLATE(B49,""zh-tw"",""es-MX"")"),"Ataque físico: 36
1. Aumenta el daño contra objetivos sangrantes
2. Restaura salud al derrotar a un objetivo sangrante
(La salud puede recuperarse en exceso, superando el máximo y otorgando invulnerabilidad)")</f>
        <v>Ataque físico: 36
1. Aumenta el daño contra objetivos sangrantes
2. Restaura salud al derrotar a un objetivo sangrante
(La salud puede recuperarse en exceso, superando el máximo y otorgando invulnerabilidad)</v>
      </c>
      <c r="K49" s="399" t="s">
        <v>7715</v>
      </c>
      <c r="L49" s="198" t="str">
        <f>IFERROR(__xludf.DUMMYFUNCTION("GOOGLETRANSLATE(B49,""zh-tw"",""KO"")"),"물리 공격력: 36
1. 출혈 상태의 적에게 가하는 피해량이 증가합니다.
2. 출혈 상태의 적을 처치하면 체력이 회복됩니다.
(체력이 최대치를 초과하여 회복될 수 있으며, 이 경우 무적 상태가 됩니다.)")</f>
        <v>물리 공격력: 36
1. 출혈 상태의 적에게 가하는 피해량이 증가합니다.
2. 출혈 상태의 적을 처치하면 체력이 회복됩니다.
(체력이 최대치를 초과하여 회복될 수 있으며, 이 경우 무적 상태가 됩니다.)</v>
      </c>
      <c r="M49" s="400" t="s">
        <v>7716</v>
      </c>
      <c r="N49" s="202" t="s">
        <v>7717</v>
      </c>
      <c r="O49" s="404" t="s">
        <v>7718</v>
      </c>
      <c r="P49" s="155" t="s">
        <v>7719</v>
      </c>
      <c r="Q49" s="401" t="s">
        <v>7720</v>
      </c>
      <c r="R49" s="406" t="s">
        <v>7721</v>
      </c>
      <c r="S49" s="197" t="s">
        <v>7722</v>
      </c>
      <c r="T49" s="198" t="s">
        <v>7723</v>
      </c>
      <c r="U49" s="197"/>
      <c r="V49" s="198"/>
      <c r="W49" s="198"/>
      <c r="X49" s="198"/>
      <c r="Y49" s="198"/>
      <c r="Z49" s="198"/>
    </row>
    <row r="50">
      <c r="A50" s="400" t="s">
        <v>7724</v>
      </c>
      <c r="B50" s="202" t="s">
        <v>7725</v>
      </c>
      <c r="C50" s="400" t="s">
        <v>7726</v>
      </c>
      <c r="D50" s="202" t="s">
        <v>7727</v>
      </c>
      <c r="E50" s="400" t="s">
        <v>7728</v>
      </c>
      <c r="F50" s="202" t="s">
        <v>7729</v>
      </c>
      <c r="G50" s="400" t="str">
        <f>IFERROR(__xludf.DUMMYFUNCTION("GOOGLETRANSLATE(A50,""zh-tw"",""zh"")"),"2号机")</f>
        <v>2号机</v>
      </c>
      <c r="H50" s="202" t="str">
        <f>IFERROR(__xludf.DUMMYFUNCTION("GOOGLETRANSLATE(B50,""zh-tw"",""zh"")"),"消耗金币进行攻击
物攻：2
魔防：20
幸运：20
*可消耗此物品使初号核心升级
(可于商店车购买)")</f>
        <v>消耗金币进行攻击
物攻：2
魔防：20
幸运：20
*可消耗此物品使初号核心升级
(可于商店车购买)</v>
      </c>
      <c r="I50" s="399" t="s">
        <v>7730</v>
      </c>
      <c r="J50" s="198" t="str">
        <f>IFERROR(__xludf.DUMMYFUNCTION("GOOGLETRANSLATE(B50,""zh-tw"",""es-MX"")"),"Ataca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0" s="403" t="str">
        <f>IFERROR(__xludf.DUMMYFUNCTION("GOOGLETRANSLATE(A50,""zh-tw"",""KO"")"),"2단원")</f>
        <v>2단원</v>
      </c>
      <c r="L50" s="198" t="str">
        <f>IFERROR(__xludf.DUMMYFUNCTION("GOOGLETRANSLATE(B50,""zh-tw"",""KO"")"),"금화를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0" s="400" t="s">
        <v>7731</v>
      </c>
      <c r="N50" s="202" t="s">
        <v>7732</v>
      </c>
      <c r="O50" s="400" t="s">
        <v>7733</v>
      </c>
      <c r="P50" s="202" t="s">
        <v>7734</v>
      </c>
      <c r="Q50" s="401" t="s">
        <v>7735</v>
      </c>
      <c r="R50" s="402" t="s">
        <v>7736</v>
      </c>
      <c r="S50" s="197" t="s">
        <v>7737</v>
      </c>
      <c r="T50" s="198" t="s">
        <v>7738</v>
      </c>
      <c r="U50" s="197"/>
      <c r="V50" s="198"/>
      <c r="W50" s="198"/>
      <c r="X50" s="198"/>
      <c r="Y50" s="198"/>
      <c r="Z50" s="198"/>
    </row>
    <row r="51">
      <c r="A51" s="400" t="s">
        <v>7739</v>
      </c>
      <c r="B51" s="202" t="s">
        <v>7740</v>
      </c>
      <c r="C51" s="400" t="s">
        <v>7741</v>
      </c>
      <c r="D51" s="202" t="s">
        <v>7742</v>
      </c>
      <c r="E51" s="400" t="s">
        <v>7743</v>
      </c>
      <c r="F51" s="202" t="s">
        <v>7744</v>
      </c>
      <c r="G51" s="400" t="str">
        <f>IFERROR(__xludf.DUMMYFUNCTION("GOOGLETRANSLATE(A51,""zh-tw"",""zh"")"),"三头连弓地狱犬")</f>
        <v>三头连弓地狱犬</v>
      </c>
      <c r="H51" s="202" t="str">
        <f>IFERROR(__xludf.DUMMYFUNCTION("GOOGLETRANSLATE(B51,""zh-tw"",""zh"")"),"物攻：32
连发")</f>
        <v>物攻：32
连发</v>
      </c>
      <c r="I51" s="399" t="s">
        <v>7745</v>
      </c>
      <c r="J51" s="198" t="str">
        <f>IFERROR(__xludf.DUMMYFUNCTION("GOOGLETRANSLATE(B51,""zh-tw"",""es-MX"")"),"Ataque físico: 32 (Disparo rápido)")</f>
        <v>Ataque físico: 32 (Disparo rápido)</v>
      </c>
      <c r="K51" s="403" t="str">
        <f>IFERROR(__xludf.DUMMYFUNCTION("GOOGLETRANSLATE(A51,""zh-tw"",""KO"")"),"세 머리 케르베로스")</f>
        <v>세 머리 케르베로스</v>
      </c>
      <c r="L51" s="198" t="str">
        <f>IFERROR(__xludf.DUMMYFUNCTION("GOOGLETRANSLATE(B51,""zh-tw"",""KO"")"),"물리 공격력: 32 (연사)")</f>
        <v>물리 공격력: 32 (연사)</v>
      </c>
      <c r="M51" s="400" t="s">
        <v>7746</v>
      </c>
      <c r="N51" s="202" t="s">
        <v>7747</v>
      </c>
      <c r="O51" s="400" t="s">
        <v>7748</v>
      </c>
      <c r="P51" s="202" t="s">
        <v>7749</v>
      </c>
      <c r="Q51" s="401" t="s">
        <v>7750</v>
      </c>
      <c r="R51" s="402" t="s">
        <v>7751</v>
      </c>
      <c r="S51" s="197" t="s">
        <v>7752</v>
      </c>
      <c r="T51" s="198" t="s">
        <v>7753</v>
      </c>
      <c r="U51" s="197"/>
      <c r="V51" s="198"/>
      <c r="W51" s="198"/>
      <c r="X51" s="198"/>
      <c r="Y51" s="198"/>
      <c r="Z51" s="198"/>
    </row>
    <row r="52">
      <c r="A52" s="166" t="s">
        <v>7754</v>
      </c>
      <c r="C52" s="166" t="s">
        <v>7755</v>
      </c>
      <c r="E52" s="166" t="s">
        <v>7756</v>
      </c>
      <c r="G52" s="166" t="s">
        <v>7757</v>
      </c>
      <c r="I52" s="166"/>
      <c r="K52" s="166"/>
      <c r="M52" s="166" t="s">
        <v>7758</v>
      </c>
      <c r="O52" s="166"/>
      <c r="Q52" s="166"/>
      <c r="S52" s="166" t="s">
        <v>7759</v>
      </c>
      <c r="U52" s="166"/>
      <c r="W52" s="198"/>
      <c r="X52" s="198"/>
      <c r="Y52" s="198"/>
      <c r="Z52" s="198"/>
    </row>
    <row r="53">
      <c r="A53" s="400" t="s">
        <v>7760</v>
      </c>
      <c r="B53" s="202" t="s">
        <v>7761</v>
      </c>
      <c r="C53" s="400" t="s">
        <v>7762</v>
      </c>
      <c r="D53" s="202" t="s">
        <v>7763</v>
      </c>
      <c r="E53" s="400" t="s">
        <v>7764</v>
      </c>
      <c r="F53" s="202" t="s">
        <v>7765</v>
      </c>
      <c r="G53" s="400" t="str">
        <f>IFERROR(__xludf.DUMMYFUNCTION("GOOGLETRANSLATE(A53,""zh-tw"",""zh"")"),"克里乌之光")</f>
        <v>克里乌之光</v>
      </c>
      <c r="H53" s="202" t="s">
        <v>7766</v>
      </c>
      <c r="I53" s="399" t="s">
        <v>7764</v>
      </c>
      <c r="J53" s="198" t="str">
        <f>IFERROR(__xludf.DUMMYFUNCTION("GOOGLETRANSLATE(B53,""zh-tw"",""es-MX"")"),"Ataque físico: 32
Ataque mágico: 36
Ignora la defensa, Hoja invisible
*Objeto raro de gacha")</f>
        <v>Ataque físico: 32
Ataque mágico: 36
Ignora la defensa, Hoja invisible
*Objeto raro de gacha</v>
      </c>
      <c r="K53" s="403" t="str">
        <f>IFERROR(__xludf.DUMMYFUNCTION("GOOGLETRANSLATE(A53,""zh-tw"",""KO"")"),"크리우의 빛")</f>
        <v>크리우의 빛</v>
      </c>
      <c r="L53" s="198" t="str">
        <f>IFERROR(__xludf.DUMMYFUNCTION("GOOGLETRANSLATE(B53,""zh-tw"",""KO"")"),"물리 공격력: 32
마법 공격력: 36
방어력 무시, 투명 칼날
*레어 가챠 아이템")</f>
        <v>물리 공격력: 32
마법 공격력: 36
방어력 무시, 투명 칼날
*레어 가챠 아이템</v>
      </c>
      <c r="M53" s="400" t="s">
        <v>7767</v>
      </c>
      <c r="N53" s="202" t="s">
        <v>7768</v>
      </c>
      <c r="O53" s="400" t="s">
        <v>7769</v>
      </c>
      <c r="P53" s="202" t="s">
        <v>7770</v>
      </c>
      <c r="Q53" s="401" t="s">
        <v>7771</v>
      </c>
      <c r="R53" s="402" t="s">
        <v>7772</v>
      </c>
      <c r="S53" s="197" t="s">
        <v>7764</v>
      </c>
      <c r="T53" s="198" t="s">
        <v>7773</v>
      </c>
      <c r="U53" s="197"/>
      <c r="V53" s="198"/>
      <c r="W53" s="198"/>
      <c r="X53" s="198"/>
      <c r="Y53" s="198"/>
      <c r="Z53" s="198"/>
    </row>
    <row r="54">
      <c r="A54" s="400" t="s">
        <v>7774</v>
      </c>
      <c r="B54" s="202" t="s">
        <v>7775</v>
      </c>
      <c r="C54" s="400" t="s">
        <v>7776</v>
      </c>
      <c r="D54" s="202" t="s">
        <v>7777</v>
      </c>
      <c r="E54" s="400" t="s">
        <v>7778</v>
      </c>
      <c r="F54" s="202" t="s">
        <v>7779</v>
      </c>
      <c r="G54" s="400" t="str">
        <f>IFERROR(__xludf.DUMMYFUNCTION("GOOGLETRANSLATE(A54,""zh-tw"",""zh"")"),"荒古荣光")</f>
        <v>荒古荣光</v>
      </c>
      <c r="H54" s="202" t="str">
        <f>IFERROR(__xludf.DUMMYFUNCTION("GOOGLETRANSLATE(B54,""zh-tw"",""zh"")"),"物攻：36
特殊指令强化
*稀有品扭蛋品")</f>
        <v>物攻：36
特殊指令强化
*稀有品扭蛋品</v>
      </c>
      <c r="I54" s="403" t="str">
        <f>IFERROR(__xludf.DUMMYFUNCTION("GOOGLETRANSLATE(A54,""zh-tw"",""es-MX"")"),"Gloria antigua")</f>
        <v>Gloria antigua</v>
      </c>
      <c r="J54" s="198" t="str">
        <f>IFERROR(__xludf.DUMMYFUNCTION("GOOGLETRANSLATE(B54,""zh-tw"",""es-MX"")"),"Ataque físico: 36
Mejora de comando especial
*Objeto raro de gacha")</f>
        <v>Ataque físico: 36
Mejora de comando especial
*Objeto raro de gacha</v>
      </c>
      <c r="K54" s="403" t="str">
        <f>IFERROR(__xludf.DUMMYFUNCTION("GOOGLETRANSLATE(A54,""zh-tw"",""KO"")"),"고대의 영광")</f>
        <v>고대의 영광</v>
      </c>
      <c r="L54" s="198" t="str">
        <f>IFERROR(__xludf.DUMMYFUNCTION("GOOGLETRANSLATE(B54,""zh-tw"",""KO"")"),"물리 공격력: 36
특수 명령 강화
*레어 가챠 아이템")</f>
        <v>물리 공격력: 36
특수 명령 강화
*레어 가챠 아이템</v>
      </c>
      <c r="M54" s="400" t="s">
        <v>7780</v>
      </c>
      <c r="N54" s="202" t="s">
        <v>7781</v>
      </c>
      <c r="O54" s="400" t="s">
        <v>7782</v>
      </c>
      <c r="P54" s="202" t="s">
        <v>7783</v>
      </c>
      <c r="Q54" s="401" t="s">
        <v>7784</v>
      </c>
      <c r="R54" s="402" t="s">
        <v>7785</v>
      </c>
      <c r="S54" s="197" t="s">
        <v>7786</v>
      </c>
      <c r="T54" s="198" t="s">
        <v>7787</v>
      </c>
      <c r="U54" s="197"/>
      <c r="V54" s="198"/>
      <c r="W54" s="198"/>
      <c r="X54" s="198"/>
      <c r="Y54" s="198"/>
      <c r="Z54" s="198"/>
    </row>
    <row r="55">
      <c r="A55" s="399" t="s">
        <v>7788</v>
      </c>
      <c r="B55" s="167" t="s">
        <v>7789</v>
      </c>
      <c r="C55" s="399" t="s">
        <v>7790</v>
      </c>
      <c r="D55" s="167" t="s">
        <v>7791</v>
      </c>
      <c r="E55" s="399" t="s">
        <v>7792</v>
      </c>
      <c r="F55" s="167" t="s">
        <v>7793</v>
      </c>
      <c r="G55" s="399" t="str">
        <f>IFERROR(__xludf.DUMMYFUNCTION("GOOGLETRANSLATE(A55,""zh-tw"",""zh"")"),"仪式的御柱")</f>
        <v>仪式的御柱</v>
      </c>
      <c r="H55" s="167" t="str">
        <f>IFERROR(__xludf.DUMMYFUNCTION("GOOGLETRANSLATE(B55,""zh-tw"",""zh"")"),"物攻：66
物防：6
魔防：66
高耐久度
游戏时间整点时，可提升大量属性增益")</f>
        <v>物攻：66
物防：6
魔防：66
高耐久度
游戏时间整点时，可提升大量属性增益</v>
      </c>
      <c r="I55" s="403" t="str">
        <f>IFERROR(__xludf.DUMMYFUNCTION("GOOGLETRANSLATE(A55,""zh-tw"",""es-MX"")"),"Pilares rituales")</f>
        <v>Pilares rituales</v>
      </c>
      <c r="J55" s="198" t="str">
        <f>IFERROR(__xludf.DUMMYFUNCTION("GOOGLETRANSLATE(B55,""zh-tw"",""es-MX"")"),"Ataque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5" s="399" t="str">
        <f>IFERROR(__xludf.DUMMYFUNCTION("GOOGLETRANSLATE(A55,""zh-tw"",""KO"")"),"의례 기둥")</f>
        <v>의례 기둥</v>
      </c>
      <c r="L55" s="167" t="str">
        <f>IFERROR(__xludf.DUMMYFUNCTION("GOOGLETRANSLATE(B55,""zh-tw"",""KO"")"),"물리 공격력: 66
물리 방어력: 6
마법 방어력: 66
높은 내구력
게임 내 최고 시간대에 사용하면 능력치 보너스를 크게 증가시킬 수 있습니다.")</f>
        <v>물리 공격력: 66
물리 방어력: 6
마법 방어력: 66
높은 내구력
게임 내 최고 시간대에 사용하면 능력치 보너스를 크게 증가시킬 수 있습니다.</v>
      </c>
      <c r="M55" s="400" t="s">
        <v>7794</v>
      </c>
      <c r="N55" s="202" t="s">
        <v>7795</v>
      </c>
      <c r="O55" s="403" t="s">
        <v>7796</v>
      </c>
      <c r="P55" s="198" t="s">
        <v>7797</v>
      </c>
      <c r="Q55" s="407" t="s">
        <v>7798</v>
      </c>
      <c r="R55" s="408" t="s">
        <v>7799</v>
      </c>
      <c r="S55" s="165" t="s">
        <v>7800</v>
      </c>
      <c r="T55" s="167" t="s">
        <v>7801</v>
      </c>
      <c r="U55" s="165" t="str">
        <f>IFERROR(__xludf.DUMMYFUNCTION("GOOGLETRANSLATE(A55,""zh-tw"",""ID"")"),"Pilar ritual")</f>
        <v>Pilar ritual</v>
      </c>
      <c r="V55" s="167" t="str">
        <f>IFERROR(__xludf.DUMMYFUNCTION("GOOGLETRANSLATE(B55,""zh-tw"",""ID"")"),"Serangan Fisik: 66
Pertahanan Fisik: 6
Pertahanan Sihir: 66
Daya Tahan Tinggi
Pada awal permainan, ini dapat meningkatkan bonus atribut secara signifikan.")</f>
        <v>Serangan Fisik: 66
Pertahanan Fisik: 6
Pertahanan Sihir: 66
Daya Tahan Tinggi
Pada awal permainan, ini dapat meningkatkan bonus atribut secara signifikan.</v>
      </c>
      <c r="W55" s="198"/>
      <c r="X55" s="198"/>
      <c r="Y55" s="198"/>
      <c r="Z55" s="198"/>
    </row>
    <row r="56">
      <c r="A56" s="403"/>
      <c r="B56" s="167"/>
      <c r="C56" s="403"/>
      <c r="D56" s="142"/>
      <c r="E56" s="399"/>
      <c r="F56" s="167"/>
      <c r="G56" s="403"/>
      <c r="H56" s="198"/>
      <c r="I56" s="410"/>
      <c r="J56" s="142"/>
      <c r="K56" s="410"/>
      <c r="L56" s="142"/>
      <c r="M56" s="410"/>
      <c r="N56" s="142"/>
      <c r="O56" s="403"/>
      <c r="P56" s="198"/>
      <c r="Q56" s="197"/>
      <c r="R56" s="198"/>
      <c r="S56" s="197"/>
      <c r="T56" s="198"/>
      <c r="U56" s="197"/>
      <c r="V56" s="198"/>
      <c r="W56" s="198"/>
      <c r="X56" s="198"/>
      <c r="Y56" s="198"/>
      <c r="Z56" s="198"/>
    </row>
    <row r="57">
      <c r="A57" s="403"/>
      <c r="B57" s="198"/>
      <c r="C57" s="403"/>
      <c r="D57" s="142"/>
      <c r="E57" s="403"/>
      <c r="F57" s="198"/>
      <c r="G57" s="403"/>
      <c r="H57" s="198"/>
      <c r="I57" s="410"/>
      <c r="J57" s="142"/>
      <c r="K57" s="410"/>
      <c r="L57" s="142"/>
      <c r="M57" s="410"/>
      <c r="N57" s="142"/>
      <c r="O57" s="403"/>
      <c r="P57" s="198"/>
      <c r="Q57" s="197"/>
      <c r="R57" s="198"/>
      <c r="S57" s="197"/>
      <c r="T57" s="198"/>
      <c r="U57" s="197"/>
      <c r="V57" s="198"/>
      <c r="W57" s="198"/>
      <c r="X57" s="198"/>
      <c r="Y57" s="198"/>
      <c r="Z57" s="198"/>
    </row>
    <row r="58">
      <c r="A58" s="403"/>
      <c r="B58" s="198"/>
      <c r="C58" s="403"/>
      <c r="D58" s="142"/>
      <c r="E58" s="403"/>
      <c r="F58" s="198"/>
      <c r="G58" s="403"/>
      <c r="H58" s="198"/>
      <c r="I58" s="410"/>
      <c r="J58" s="142"/>
      <c r="K58" s="410"/>
      <c r="L58" s="142"/>
      <c r="M58" s="410"/>
      <c r="N58" s="142"/>
      <c r="O58" s="403"/>
      <c r="P58" s="198"/>
      <c r="Q58" s="197"/>
      <c r="R58" s="198"/>
      <c r="S58" s="197"/>
      <c r="T58" s="198"/>
      <c r="U58" s="197"/>
      <c r="V58" s="198"/>
      <c r="W58" s="198"/>
      <c r="X58" s="198"/>
      <c r="Y58" s="198"/>
      <c r="Z58" s="198"/>
    </row>
    <row r="59">
      <c r="A59" s="403"/>
      <c r="B59" s="198"/>
      <c r="C59" s="403"/>
      <c r="D59" s="142"/>
      <c r="E59" s="403"/>
      <c r="F59" s="198"/>
      <c r="G59" s="403"/>
      <c r="H59" s="198"/>
      <c r="I59" s="410"/>
      <c r="J59" s="142"/>
      <c r="K59" s="410"/>
      <c r="L59" s="142"/>
      <c r="M59" s="410"/>
      <c r="N59" s="142"/>
      <c r="O59" s="403"/>
      <c r="P59" s="198"/>
      <c r="Q59" s="197"/>
      <c r="R59" s="198"/>
      <c r="S59" s="197"/>
      <c r="T59" s="198"/>
      <c r="U59" s="197"/>
      <c r="V59" s="198"/>
      <c r="W59" s="198"/>
      <c r="X59" s="198"/>
      <c r="Y59" s="198"/>
      <c r="Z59" s="198"/>
    </row>
    <row r="60">
      <c r="A60" s="403"/>
      <c r="B60" s="198"/>
      <c r="C60" s="403"/>
      <c r="D60" s="142"/>
      <c r="E60" s="403"/>
      <c r="F60" s="198"/>
      <c r="G60" s="403"/>
      <c r="H60" s="198"/>
      <c r="I60" s="410"/>
      <c r="J60" s="142"/>
      <c r="K60" s="410"/>
      <c r="L60" s="142"/>
      <c r="M60" s="410"/>
      <c r="N60" s="142"/>
      <c r="O60" s="403"/>
      <c r="P60" s="198"/>
      <c r="Q60" s="197"/>
      <c r="R60" s="198"/>
      <c r="S60" s="197"/>
      <c r="T60" s="198"/>
      <c r="U60" s="197"/>
      <c r="V60" s="198"/>
      <c r="W60" s="198"/>
      <c r="X60" s="198"/>
      <c r="Y60" s="198"/>
      <c r="Z60" s="198"/>
    </row>
    <row r="61">
      <c r="A61" s="403"/>
      <c r="B61" s="198"/>
      <c r="C61" s="403"/>
      <c r="D61" s="142"/>
      <c r="E61" s="403"/>
      <c r="F61" s="198"/>
      <c r="G61" s="403"/>
      <c r="H61" s="198"/>
      <c r="I61" s="410"/>
      <c r="J61" s="142"/>
      <c r="K61" s="410"/>
      <c r="L61" s="142"/>
      <c r="M61" s="410"/>
      <c r="N61" s="142"/>
      <c r="O61" s="403"/>
      <c r="P61" s="198"/>
      <c r="Q61" s="197"/>
      <c r="R61" s="198"/>
      <c r="S61" s="197"/>
      <c r="T61" s="198"/>
      <c r="U61" s="197"/>
      <c r="V61" s="198"/>
      <c r="W61" s="198"/>
      <c r="X61" s="198"/>
      <c r="Y61" s="198"/>
      <c r="Z61" s="198"/>
    </row>
    <row r="62">
      <c r="A62" s="403"/>
      <c r="B62" s="198"/>
      <c r="C62" s="403"/>
      <c r="D62" s="142"/>
      <c r="E62" s="403"/>
      <c r="F62" s="198"/>
      <c r="G62" s="403"/>
      <c r="H62" s="198"/>
      <c r="I62" s="410"/>
      <c r="J62" s="142"/>
      <c r="K62" s="410"/>
      <c r="L62" s="142"/>
      <c r="M62" s="410"/>
      <c r="N62" s="142"/>
      <c r="O62" s="403"/>
      <c r="P62" s="198"/>
      <c r="Q62" s="197"/>
      <c r="R62" s="198"/>
      <c r="S62" s="197"/>
      <c r="T62" s="198"/>
      <c r="U62" s="197"/>
      <c r="V62" s="198"/>
      <c r="W62" s="198"/>
      <c r="X62" s="198"/>
      <c r="Y62" s="198"/>
      <c r="Z62" s="198"/>
    </row>
    <row r="63">
      <c r="A63" s="403"/>
      <c r="B63" s="198"/>
      <c r="C63" s="403"/>
      <c r="D63" s="142"/>
      <c r="E63" s="403"/>
      <c r="F63" s="198"/>
      <c r="G63" s="403"/>
      <c r="H63" s="198"/>
      <c r="I63" s="410"/>
      <c r="J63" s="142"/>
      <c r="K63" s="410"/>
      <c r="L63" s="142"/>
      <c r="M63" s="410"/>
      <c r="N63" s="142"/>
      <c r="O63" s="403"/>
      <c r="P63" s="198"/>
      <c r="Q63" s="197"/>
      <c r="R63" s="198"/>
      <c r="S63" s="197"/>
      <c r="T63" s="198"/>
      <c r="U63" s="197"/>
      <c r="V63" s="198"/>
      <c r="W63" s="198"/>
      <c r="X63" s="198"/>
      <c r="Y63" s="198"/>
      <c r="Z63" s="198"/>
    </row>
    <row r="64">
      <c r="A64" s="403"/>
      <c r="B64" s="198"/>
      <c r="C64" s="403"/>
      <c r="D64" s="142"/>
      <c r="E64" s="403"/>
      <c r="F64" s="198"/>
      <c r="G64" s="403"/>
      <c r="H64" s="198"/>
      <c r="I64" s="410"/>
      <c r="J64" s="142"/>
      <c r="K64" s="410"/>
      <c r="L64" s="142"/>
      <c r="M64" s="410"/>
      <c r="N64" s="142"/>
      <c r="O64" s="403"/>
      <c r="P64" s="198"/>
      <c r="Q64" s="197"/>
      <c r="R64" s="198"/>
      <c r="S64" s="197"/>
      <c r="T64" s="198"/>
      <c r="U64" s="197"/>
      <c r="V64" s="198"/>
      <c r="W64" s="198"/>
      <c r="X64" s="198"/>
      <c r="Y64" s="198"/>
      <c r="Z64" s="198"/>
    </row>
    <row r="65">
      <c r="A65" s="403"/>
      <c r="B65" s="198"/>
      <c r="C65" s="403"/>
      <c r="D65" s="142"/>
      <c r="E65" s="403"/>
      <c r="F65" s="198"/>
      <c r="G65" s="403"/>
      <c r="H65" s="198"/>
      <c r="I65" s="410"/>
      <c r="J65" s="142"/>
      <c r="K65" s="410"/>
      <c r="L65" s="142"/>
      <c r="M65" s="410"/>
      <c r="N65" s="142"/>
      <c r="O65" s="403"/>
      <c r="P65" s="198"/>
      <c r="Q65" s="197"/>
      <c r="R65" s="198"/>
      <c r="S65" s="197"/>
      <c r="T65" s="198"/>
      <c r="U65" s="197"/>
      <c r="V65" s="198"/>
      <c r="W65" s="198"/>
      <c r="X65" s="198"/>
      <c r="Y65" s="198"/>
      <c r="Z65" s="198"/>
    </row>
    <row r="66">
      <c r="A66" s="403"/>
      <c r="B66" s="198"/>
      <c r="C66" s="403"/>
      <c r="D66" s="142"/>
      <c r="E66" s="403"/>
      <c r="F66" s="198"/>
      <c r="G66" s="403"/>
      <c r="H66" s="198"/>
      <c r="I66" s="410"/>
      <c r="J66" s="142"/>
      <c r="K66" s="410"/>
      <c r="L66" s="142"/>
      <c r="M66" s="410"/>
      <c r="N66" s="142"/>
      <c r="O66" s="403"/>
      <c r="P66" s="198"/>
      <c r="Q66" s="197"/>
      <c r="R66" s="198"/>
      <c r="S66" s="197"/>
      <c r="T66" s="198"/>
      <c r="U66" s="197"/>
      <c r="V66" s="198"/>
      <c r="W66" s="198"/>
      <c r="X66" s="198"/>
      <c r="Y66" s="198"/>
      <c r="Z66" s="198"/>
    </row>
    <row r="67">
      <c r="A67" s="403"/>
      <c r="B67" s="198"/>
      <c r="C67" s="403"/>
      <c r="D67" s="142"/>
      <c r="E67" s="403"/>
      <c r="F67" s="198"/>
      <c r="G67" s="403"/>
      <c r="H67" s="198"/>
      <c r="I67" s="410"/>
      <c r="J67" s="142"/>
      <c r="K67" s="410"/>
      <c r="L67" s="142"/>
      <c r="M67" s="410"/>
      <c r="N67" s="142"/>
      <c r="O67" s="403"/>
      <c r="P67" s="198"/>
      <c r="Q67" s="197"/>
      <c r="R67" s="198"/>
      <c r="S67" s="197"/>
      <c r="T67" s="198"/>
      <c r="U67" s="197"/>
      <c r="V67" s="198"/>
      <c r="W67" s="198"/>
      <c r="X67" s="198"/>
      <c r="Y67" s="198"/>
      <c r="Z67" s="198"/>
    </row>
    <row r="68">
      <c r="A68" s="403"/>
      <c r="B68" s="198"/>
      <c r="C68" s="403"/>
      <c r="D68" s="142"/>
      <c r="E68" s="403"/>
      <c r="F68" s="198"/>
      <c r="G68" s="403"/>
      <c r="H68" s="198"/>
      <c r="I68" s="410"/>
      <c r="J68" s="142"/>
      <c r="K68" s="410"/>
      <c r="L68" s="142"/>
      <c r="M68" s="410"/>
      <c r="N68" s="142"/>
      <c r="O68" s="403"/>
      <c r="P68" s="198"/>
      <c r="Q68" s="197"/>
      <c r="R68" s="198"/>
      <c r="S68" s="197"/>
      <c r="T68" s="198"/>
      <c r="U68" s="197"/>
      <c r="V68" s="198"/>
      <c r="W68" s="198"/>
      <c r="X68" s="198"/>
      <c r="Y68" s="198"/>
      <c r="Z68" s="198"/>
    </row>
    <row r="69">
      <c r="A69" s="403"/>
      <c r="B69" s="198"/>
      <c r="C69" s="403"/>
      <c r="D69" s="142"/>
      <c r="E69" s="403"/>
      <c r="F69" s="198"/>
      <c r="G69" s="403"/>
      <c r="H69" s="198"/>
      <c r="I69" s="410"/>
      <c r="J69" s="142"/>
      <c r="K69" s="410"/>
      <c r="L69" s="142"/>
      <c r="M69" s="410"/>
      <c r="N69" s="142"/>
      <c r="O69" s="403"/>
      <c r="P69" s="198"/>
      <c r="Q69" s="197"/>
      <c r="R69" s="198"/>
      <c r="S69" s="197"/>
      <c r="T69" s="198"/>
      <c r="U69" s="197"/>
      <c r="V69" s="198"/>
      <c r="W69" s="198"/>
      <c r="X69" s="198"/>
      <c r="Y69" s="198"/>
      <c r="Z69" s="198"/>
    </row>
    <row r="70">
      <c r="A70" s="403"/>
      <c r="B70" s="198"/>
      <c r="C70" s="403"/>
      <c r="D70" s="142"/>
      <c r="E70" s="403"/>
      <c r="F70" s="198"/>
      <c r="G70" s="403"/>
      <c r="H70" s="198"/>
      <c r="I70" s="410"/>
      <c r="J70" s="142"/>
      <c r="K70" s="410"/>
      <c r="L70" s="142"/>
      <c r="M70" s="410"/>
      <c r="N70" s="142"/>
      <c r="O70" s="403"/>
      <c r="P70" s="198"/>
      <c r="Q70" s="197"/>
      <c r="R70" s="198"/>
      <c r="S70" s="197"/>
      <c r="T70" s="198"/>
      <c r="U70" s="197"/>
      <c r="V70" s="198"/>
      <c r="W70" s="198"/>
      <c r="X70" s="198"/>
      <c r="Y70" s="198"/>
      <c r="Z70" s="198"/>
    </row>
    <row r="71">
      <c r="A71" s="403"/>
      <c r="B71" s="198"/>
      <c r="C71" s="403"/>
      <c r="D71" s="142"/>
      <c r="E71" s="403"/>
      <c r="F71" s="198"/>
      <c r="G71" s="403"/>
      <c r="H71" s="198"/>
      <c r="I71" s="410"/>
      <c r="J71" s="142"/>
      <c r="K71" s="410"/>
      <c r="L71" s="142"/>
      <c r="M71" s="410"/>
      <c r="N71" s="142"/>
      <c r="O71" s="403"/>
      <c r="P71" s="198"/>
      <c r="Q71" s="197"/>
      <c r="R71" s="198"/>
      <c r="S71" s="197"/>
      <c r="T71" s="198"/>
      <c r="U71" s="197"/>
      <c r="V71" s="198"/>
      <c r="W71" s="198"/>
      <c r="X71" s="198"/>
      <c r="Y71" s="198"/>
      <c r="Z71" s="198"/>
    </row>
    <row r="72">
      <c r="A72" s="403"/>
      <c r="B72" s="198"/>
      <c r="C72" s="403"/>
      <c r="D72" s="142"/>
      <c r="E72" s="403"/>
      <c r="F72" s="198"/>
      <c r="G72" s="403"/>
      <c r="H72" s="198"/>
      <c r="I72" s="410"/>
      <c r="J72" s="142"/>
      <c r="K72" s="410"/>
      <c r="L72" s="142"/>
      <c r="M72" s="410"/>
      <c r="N72" s="142"/>
      <c r="O72" s="403"/>
      <c r="P72" s="198"/>
      <c r="Q72" s="197"/>
      <c r="R72" s="198"/>
      <c r="S72" s="197"/>
      <c r="T72" s="198"/>
      <c r="U72" s="197"/>
      <c r="V72" s="198"/>
      <c r="W72" s="198"/>
      <c r="X72" s="198"/>
      <c r="Y72" s="198"/>
      <c r="Z72" s="198"/>
    </row>
    <row r="73">
      <c r="A73" s="403"/>
      <c r="B73" s="198"/>
      <c r="C73" s="403"/>
      <c r="D73" s="142"/>
      <c r="E73" s="403"/>
      <c r="F73" s="198"/>
      <c r="G73" s="403"/>
      <c r="H73" s="198"/>
      <c r="I73" s="410"/>
      <c r="J73" s="142"/>
      <c r="K73" s="410"/>
      <c r="L73" s="142"/>
      <c r="M73" s="410"/>
      <c r="N73" s="142"/>
      <c r="O73" s="403"/>
      <c r="P73" s="198"/>
      <c r="Q73" s="197"/>
      <c r="R73" s="198"/>
      <c r="S73" s="197"/>
      <c r="T73" s="198"/>
      <c r="U73" s="197"/>
      <c r="V73" s="198"/>
      <c r="W73" s="198"/>
      <c r="X73" s="198"/>
      <c r="Y73" s="198"/>
      <c r="Z73" s="198"/>
    </row>
    <row r="74">
      <c r="A74" s="403"/>
      <c r="B74" s="198"/>
      <c r="C74" s="403"/>
      <c r="D74" s="142"/>
      <c r="E74" s="403"/>
      <c r="F74" s="198"/>
      <c r="G74" s="403"/>
      <c r="H74" s="198"/>
      <c r="I74" s="410"/>
      <c r="J74" s="142"/>
      <c r="K74" s="410"/>
      <c r="L74" s="142"/>
      <c r="M74" s="410"/>
      <c r="N74" s="142"/>
      <c r="O74" s="403"/>
      <c r="P74" s="198"/>
      <c r="Q74" s="197"/>
      <c r="R74" s="198"/>
      <c r="S74" s="197"/>
      <c r="T74" s="198"/>
      <c r="U74" s="197"/>
      <c r="V74" s="198"/>
      <c r="W74" s="198"/>
      <c r="X74" s="198"/>
      <c r="Y74" s="198"/>
      <c r="Z74" s="198"/>
    </row>
    <row r="75">
      <c r="A75" s="403"/>
      <c r="B75" s="198"/>
      <c r="C75" s="403"/>
      <c r="D75" s="142"/>
      <c r="E75" s="403"/>
      <c r="F75" s="198"/>
      <c r="G75" s="403"/>
      <c r="H75" s="198"/>
      <c r="I75" s="410"/>
      <c r="J75" s="142"/>
      <c r="K75" s="410"/>
      <c r="L75" s="142"/>
      <c r="M75" s="410"/>
      <c r="N75" s="142"/>
      <c r="O75" s="403"/>
      <c r="P75" s="198"/>
      <c r="Q75" s="197"/>
      <c r="R75" s="198"/>
      <c r="S75" s="197"/>
      <c r="T75" s="198"/>
      <c r="U75" s="197"/>
      <c r="V75" s="198"/>
      <c r="W75" s="198"/>
      <c r="X75" s="198"/>
      <c r="Y75" s="198"/>
      <c r="Z75" s="198"/>
    </row>
    <row r="76">
      <c r="A76" s="403"/>
      <c r="B76" s="198"/>
      <c r="C76" s="403"/>
      <c r="D76" s="142"/>
      <c r="E76" s="403"/>
      <c r="F76" s="198"/>
      <c r="G76" s="403"/>
      <c r="H76" s="198"/>
      <c r="I76" s="410"/>
      <c r="J76" s="142"/>
      <c r="K76" s="410"/>
      <c r="L76" s="142"/>
      <c r="M76" s="410"/>
      <c r="N76" s="142"/>
      <c r="O76" s="403"/>
      <c r="P76" s="198"/>
      <c r="Q76" s="197"/>
      <c r="R76" s="198"/>
      <c r="S76" s="197"/>
      <c r="T76" s="198"/>
      <c r="U76" s="197"/>
      <c r="V76" s="198"/>
      <c r="W76" s="198"/>
      <c r="X76" s="198"/>
      <c r="Y76" s="198"/>
      <c r="Z76" s="198"/>
    </row>
    <row r="77">
      <c r="A77" s="403"/>
      <c r="B77" s="198"/>
      <c r="C77" s="403"/>
      <c r="D77" s="142"/>
      <c r="E77" s="403"/>
      <c r="F77" s="198"/>
      <c r="G77" s="403"/>
      <c r="H77" s="198"/>
      <c r="I77" s="410"/>
      <c r="J77" s="142"/>
      <c r="K77" s="410"/>
      <c r="L77" s="142"/>
      <c r="M77" s="410"/>
      <c r="N77" s="142"/>
      <c r="O77" s="403"/>
      <c r="P77" s="198"/>
      <c r="Q77" s="197"/>
      <c r="R77" s="198"/>
      <c r="S77" s="197"/>
      <c r="T77" s="198"/>
      <c r="U77" s="197"/>
      <c r="V77" s="198"/>
      <c r="W77" s="198"/>
      <c r="X77" s="198"/>
      <c r="Y77" s="198"/>
      <c r="Z77" s="198"/>
    </row>
    <row r="78">
      <c r="A78" s="403"/>
      <c r="B78" s="198"/>
      <c r="C78" s="403"/>
      <c r="D78" s="142"/>
      <c r="E78" s="403"/>
      <c r="F78" s="198"/>
      <c r="G78" s="403"/>
      <c r="H78" s="198"/>
      <c r="I78" s="410"/>
      <c r="J78" s="142"/>
      <c r="K78" s="410"/>
      <c r="L78" s="142"/>
      <c r="M78" s="410"/>
      <c r="N78" s="142"/>
      <c r="O78" s="403"/>
      <c r="P78" s="198"/>
      <c r="Q78" s="197"/>
      <c r="R78" s="198"/>
      <c r="S78" s="197"/>
      <c r="T78" s="198"/>
      <c r="U78" s="197"/>
      <c r="V78" s="198"/>
      <c r="W78" s="198"/>
      <c r="X78" s="198"/>
      <c r="Y78" s="198"/>
      <c r="Z78" s="198"/>
    </row>
    <row r="79">
      <c r="A79" s="403"/>
      <c r="B79" s="198"/>
      <c r="C79" s="403"/>
      <c r="D79" s="142"/>
      <c r="E79" s="403"/>
      <c r="F79" s="198"/>
      <c r="G79" s="403"/>
      <c r="H79" s="198"/>
      <c r="I79" s="410"/>
      <c r="J79" s="142"/>
      <c r="K79" s="410"/>
      <c r="L79" s="142"/>
      <c r="M79" s="410"/>
      <c r="N79" s="142"/>
      <c r="O79" s="403"/>
      <c r="P79" s="198"/>
      <c r="Q79" s="197"/>
      <c r="R79" s="198"/>
      <c r="S79" s="197"/>
      <c r="T79" s="198"/>
      <c r="U79" s="197"/>
      <c r="V79" s="198"/>
      <c r="W79" s="198"/>
      <c r="X79" s="198"/>
      <c r="Y79" s="198"/>
      <c r="Z79" s="198"/>
    </row>
    <row r="80">
      <c r="A80" s="403"/>
      <c r="B80" s="198"/>
      <c r="C80" s="403"/>
      <c r="D80" s="142"/>
      <c r="E80" s="403"/>
      <c r="F80" s="198"/>
      <c r="G80" s="403"/>
      <c r="H80" s="198"/>
      <c r="I80" s="410"/>
      <c r="J80" s="142"/>
      <c r="K80" s="410"/>
      <c r="L80" s="142"/>
      <c r="M80" s="410"/>
      <c r="N80" s="142"/>
      <c r="O80" s="403"/>
      <c r="P80" s="198"/>
      <c r="Q80" s="197"/>
      <c r="R80" s="198"/>
      <c r="S80" s="197"/>
      <c r="T80" s="198"/>
      <c r="U80" s="197"/>
      <c r="V80" s="198"/>
      <c r="W80" s="198"/>
      <c r="X80" s="198"/>
      <c r="Y80" s="198"/>
      <c r="Z80" s="198"/>
    </row>
    <row r="81">
      <c r="A81" s="403"/>
      <c r="B81" s="198"/>
      <c r="C81" s="403"/>
      <c r="D81" s="142"/>
      <c r="E81" s="403"/>
      <c r="F81" s="198"/>
      <c r="G81" s="403"/>
      <c r="H81" s="198"/>
      <c r="I81" s="410"/>
      <c r="J81" s="142"/>
      <c r="K81" s="410"/>
      <c r="L81" s="142"/>
      <c r="M81" s="410"/>
      <c r="N81" s="142"/>
      <c r="O81" s="403"/>
      <c r="P81" s="198"/>
      <c r="Q81" s="197"/>
      <c r="R81" s="198"/>
      <c r="S81" s="197"/>
      <c r="T81" s="198"/>
      <c r="U81" s="197"/>
      <c r="V81" s="198"/>
      <c r="W81" s="198"/>
      <c r="X81" s="198"/>
      <c r="Y81" s="198"/>
      <c r="Z81" s="198"/>
    </row>
    <row r="82">
      <c r="A82" s="403"/>
      <c r="B82" s="198"/>
      <c r="C82" s="403"/>
      <c r="D82" s="142"/>
      <c r="E82" s="403"/>
      <c r="F82" s="198"/>
      <c r="G82" s="403"/>
      <c r="H82" s="198"/>
      <c r="I82" s="410"/>
      <c r="J82" s="142"/>
      <c r="K82" s="410"/>
      <c r="L82" s="142"/>
      <c r="M82" s="410"/>
      <c r="N82" s="142"/>
      <c r="O82" s="403"/>
      <c r="P82" s="198"/>
      <c r="Q82" s="197"/>
      <c r="R82" s="198"/>
      <c r="S82" s="197"/>
      <c r="T82" s="198"/>
      <c r="U82" s="197"/>
      <c r="V82" s="198"/>
      <c r="W82" s="198"/>
      <c r="X82" s="198"/>
      <c r="Y82" s="198"/>
      <c r="Z82" s="198"/>
    </row>
    <row r="83">
      <c r="A83" s="403"/>
      <c r="B83" s="198"/>
      <c r="C83" s="403"/>
      <c r="D83" s="142"/>
      <c r="E83" s="403"/>
      <c r="F83" s="198"/>
      <c r="G83" s="403"/>
      <c r="H83" s="198"/>
      <c r="I83" s="410"/>
      <c r="J83" s="142"/>
      <c r="K83" s="410"/>
      <c r="L83" s="142"/>
      <c r="M83" s="410"/>
      <c r="N83" s="142"/>
      <c r="O83" s="403"/>
      <c r="P83" s="198"/>
      <c r="Q83" s="197"/>
      <c r="R83" s="198"/>
      <c r="S83" s="197"/>
      <c r="T83" s="198"/>
      <c r="U83" s="197"/>
      <c r="V83" s="198"/>
      <c r="W83" s="198"/>
      <c r="X83" s="198"/>
      <c r="Y83" s="198"/>
      <c r="Z83" s="198"/>
    </row>
    <row r="84">
      <c r="A84" s="403"/>
      <c r="B84" s="198"/>
      <c r="C84" s="403"/>
      <c r="D84" s="142"/>
      <c r="E84" s="403"/>
      <c r="F84" s="198"/>
      <c r="G84" s="403"/>
      <c r="H84" s="198"/>
      <c r="I84" s="410"/>
      <c r="J84" s="142"/>
      <c r="K84" s="410"/>
      <c r="L84" s="142"/>
      <c r="M84" s="410"/>
      <c r="N84" s="142"/>
      <c r="O84" s="403"/>
      <c r="P84" s="198"/>
      <c r="Q84" s="197"/>
      <c r="R84" s="198"/>
      <c r="S84" s="197"/>
      <c r="T84" s="198"/>
      <c r="U84" s="197"/>
      <c r="V84" s="198"/>
      <c r="W84" s="198"/>
      <c r="X84" s="198"/>
      <c r="Y84" s="198"/>
      <c r="Z84" s="198"/>
    </row>
    <row r="85">
      <c r="A85" s="403"/>
      <c r="B85" s="198"/>
      <c r="C85" s="403"/>
      <c r="D85" s="142"/>
      <c r="E85" s="403"/>
      <c r="F85" s="198"/>
      <c r="G85" s="403"/>
      <c r="H85" s="198"/>
      <c r="I85" s="410"/>
      <c r="J85" s="142"/>
      <c r="K85" s="410"/>
      <c r="L85" s="142"/>
      <c r="M85" s="410"/>
      <c r="N85" s="142"/>
      <c r="O85" s="403"/>
      <c r="P85" s="198"/>
      <c r="Q85" s="197"/>
      <c r="R85" s="198"/>
      <c r="S85" s="197"/>
      <c r="T85" s="198"/>
      <c r="U85" s="197"/>
      <c r="V85" s="198"/>
      <c r="W85" s="198"/>
      <c r="X85" s="198"/>
      <c r="Y85" s="198"/>
      <c r="Z85" s="198"/>
    </row>
    <row r="86">
      <c r="A86" s="403"/>
      <c r="B86" s="198"/>
      <c r="C86" s="403"/>
      <c r="D86" s="142"/>
      <c r="E86" s="403"/>
      <c r="F86" s="198"/>
      <c r="G86" s="403"/>
      <c r="H86" s="198"/>
      <c r="I86" s="410"/>
      <c r="J86" s="142"/>
      <c r="K86" s="410"/>
      <c r="L86" s="142"/>
      <c r="M86" s="410"/>
      <c r="N86" s="142"/>
      <c r="O86" s="403"/>
      <c r="P86" s="198"/>
      <c r="Q86" s="197"/>
      <c r="R86" s="198"/>
      <c r="S86" s="197"/>
      <c r="T86" s="198"/>
      <c r="U86" s="197"/>
      <c r="V86" s="198"/>
      <c r="W86" s="198"/>
      <c r="X86" s="198"/>
      <c r="Y86" s="198"/>
      <c r="Z86" s="198"/>
    </row>
    <row r="87">
      <c r="A87" s="403"/>
      <c r="B87" s="198"/>
      <c r="C87" s="403"/>
      <c r="D87" s="142"/>
      <c r="E87" s="403"/>
      <c r="F87" s="198"/>
      <c r="G87" s="403"/>
      <c r="H87" s="198"/>
      <c r="I87" s="410"/>
      <c r="J87" s="142"/>
      <c r="K87" s="410"/>
      <c r="L87" s="142"/>
      <c r="M87" s="410"/>
      <c r="N87" s="142"/>
      <c r="O87" s="403"/>
      <c r="P87" s="198"/>
      <c r="Q87" s="197"/>
      <c r="R87" s="198"/>
      <c r="S87" s="197"/>
      <c r="T87" s="198"/>
      <c r="U87" s="197"/>
      <c r="V87" s="198"/>
      <c r="W87" s="198"/>
      <c r="X87" s="198"/>
      <c r="Y87" s="198"/>
      <c r="Z87" s="198"/>
    </row>
    <row r="88">
      <c r="A88" s="403"/>
      <c r="B88" s="198"/>
      <c r="C88" s="403"/>
      <c r="D88" s="142"/>
      <c r="E88" s="403"/>
      <c r="F88" s="198"/>
      <c r="G88" s="403"/>
      <c r="H88" s="198"/>
      <c r="I88" s="410"/>
      <c r="J88" s="142"/>
      <c r="K88" s="410"/>
      <c r="L88" s="142"/>
      <c r="M88" s="410"/>
      <c r="N88" s="142"/>
      <c r="O88" s="403"/>
      <c r="P88" s="198"/>
      <c r="Q88" s="197"/>
      <c r="R88" s="198"/>
      <c r="S88" s="197"/>
      <c r="T88" s="198"/>
      <c r="U88" s="197"/>
      <c r="V88" s="198"/>
      <c r="W88" s="198"/>
      <c r="X88" s="198"/>
      <c r="Y88" s="198"/>
      <c r="Z88" s="198"/>
    </row>
    <row r="89">
      <c r="A89" s="403"/>
      <c r="B89" s="198"/>
      <c r="C89" s="403"/>
      <c r="D89" s="142"/>
      <c r="E89" s="403"/>
      <c r="F89" s="198"/>
      <c r="G89" s="403"/>
      <c r="H89" s="198"/>
      <c r="I89" s="410"/>
      <c r="J89" s="142"/>
      <c r="K89" s="410"/>
      <c r="L89" s="142"/>
      <c r="M89" s="410"/>
      <c r="N89" s="142"/>
      <c r="O89" s="403"/>
      <c r="P89" s="198"/>
      <c r="Q89" s="197"/>
      <c r="R89" s="198"/>
      <c r="S89" s="197"/>
      <c r="T89" s="198"/>
      <c r="U89" s="197"/>
      <c r="V89" s="198"/>
      <c r="W89" s="198"/>
      <c r="X89" s="198"/>
      <c r="Y89" s="198"/>
      <c r="Z89" s="198"/>
    </row>
    <row r="90">
      <c r="A90" s="403"/>
      <c r="B90" s="198"/>
      <c r="C90" s="403"/>
      <c r="D90" s="142"/>
      <c r="E90" s="403"/>
      <c r="F90" s="198"/>
      <c r="G90" s="403"/>
      <c r="H90" s="198"/>
      <c r="I90" s="410"/>
      <c r="J90" s="142"/>
      <c r="K90" s="410"/>
      <c r="L90" s="142"/>
      <c r="M90" s="410"/>
      <c r="N90" s="142"/>
      <c r="O90" s="403"/>
      <c r="P90" s="198"/>
      <c r="Q90" s="197"/>
      <c r="R90" s="198"/>
      <c r="S90" s="197"/>
      <c r="T90" s="198"/>
      <c r="U90" s="197"/>
      <c r="V90" s="198"/>
      <c r="W90" s="198"/>
      <c r="X90" s="198"/>
      <c r="Y90" s="198"/>
      <c r="Z90" s="198"/>
    </row>
    <row r="91">
      <c r="A91" s="403"/>
      <c r="B91" s="198"/>
      <c r="C91" s="403"/>
      <c r="D91" s="142"/>
      <c r="E91" s="403"/>
      <c r="F91" s="198"/>
      <c r="G91" s="403"/>
      <c r="H91" s="198"/>
      <c r="I91" s="410"/>
      <c r="J91" s="142"/>
      <c r="K91" s="410"/>
      <c r="L91" s="142"/>
      <c r="M91" s="410"/>
      <c r="N91" s="142"/>
      <c r="O91" s="403"/>
      <c r="P91" s="198"/>
      <c r="Q91" s="197"/>
      <c r="R91" s="198"/>
      <c r="S91" s="197"/>
      <c r="T91" s="198"/>
      <c r="U91" s="197"/>
      <c r="V91" s="198"/>
      <c r="W91" s="198"/>
      <c r="X91" s="198"/>
      <c r="Y91" s="198"/>
      <c r="Z91" s="198"/>
    </row>
    <row r="92">
      <c r="A92" s="403"/>
      <c r="B92" s="198"/>
      <c r="C92" s="403"/>
      <c r="D92" s="142"/>
      <c r="E92" s="403"/>
      <c r="F92" s="198"/>
      <c r="G92" s="403"/>
      <c r="H92" s="198"/>
      <c r="I92" s="410"/>
      <c r="J92" s="142"/>
      <c r="K92" s="410"/>
      <c r="L92" s="142"/>
      <c r="M92" s="410"/>
      <c r="N92" s="142"/>
      <c r="O92" s="403"/>
      <c r="P92" s="198"/>
      <c r="Q92" s="197"/>
      <c r="R92" s="198"/>
      <c r="S92" s="197"/>
      <c r="T92" s="198"/>
      <c r="U92" s="197"/>
      <c r="V92" s="198"/>
      <c r="W92" s="198"/>
      <c r="X92" s="198"/>
      <c r="Y92" s="198"/>
      <c r="Z92" s="198"/>
    </row>
    <row r="93">
      <c r="A93" s="403"/>
      <c r="B93" s="198"/>
      <c r="C93" s="403"/>
      <c r="D93" s="142"/>
      <c r="E93" s="403"/>
      <c r="F93" s="198"/>
      <c r="G93" s="403"/>
      <c r="H93" s="198"/>
      <c r="I93" s="410"/>
      <c r="J93" s="142"/>
      <c r="K93" s="410"/>
      <c r="L93" s="142"/>
      <c r="M93" s="410"/>
      <c r="N93" s="142"/>
      <c r="O93" s="403"/>
      <c r="P93" s="198"/>
      <c r="Q93" s="411"/>
      <c r="R93" s="76"/>
      <c r="S93" s="197"/>
      <c r="T93" s="198"/>
      <c r="U93" s="197"/>
      <c r="V93" s="198"/>
      <c r="W93" s="198"/>
      <c r="X93" s="198"/>
      <c r="Y93" s="198"/>
      <c r="Z93" s="198"/>
    </row>
    <row r="94">
      <c r="A94" s="403"/>
      <c r="B94" s="198"/>
      <c r="C94" s="403"/>
      <c r="D94" s="142"/>
      <c r="E94" s="403"/>
      <c r="F94" s="198"/>
      <c r="G94" s="403"/>
      <c r="H94" s="198"/>
      <c r="I94" s="410"/>
      <c r="J94" s="142"/>
      <c r="K94" s="410"/>
      <c r="L94" s="142"/>
      <c r="M94" s="410"/>
      <c r="N94" s="142"/>
      <c r="O94" s="403"/>
      <c r="P94" s="198"/>
      <c r="Q94" s="411"/>
      <c r="R94" s="76"/>
      <c r="S94" s="197"/>
      <c r="T94" s="198"/>
      <c r="U94" s="197"/>
      <c r="V94" s="198"/>
      <c r="W94" s="198"/>
      <c r="X94" s="198"/>
      <c r="Y94" s="198"/>
      <c r="Z94" s="198"/>
    </row>
    <row r="95">
      <c r="A95" s="403"/>
      <c r="B95" s="198"/>
      <c r="C95" s="403"/>
      <c r="D95" s="142"/>
      <c r="E95" s="403"/>
      <c r="F95" s="198"/>
      <c r="G95" s="403"/>
      <c r="H95" s="198"/>
      <c r="I95" s="410"/>
      <c r="J95" s="142"/>
      <c r="K95" s="410"/>
      <c r="L95" s="142"/>
      <c r="M95" s="410"/>
      <c r="N95" s="142"/>
      <c r="O95" s="403"/>
      <c r="P95" s="198"/>
      <c r="Q95" s="411"/>
      <c r="R95" s="76"/>
      <c r="S95" s="197"/>
      <c r="T95" s="198"/>
      <c r="U95" s="197"/>
      <c r="V95" s="198"/>
      <c r="W95" s="198"/>
      <c r="X95" s="198"/>
      <c r="Y95" s="198"/>
      <c r="Z95" s="198"/>
    </row>
    <row r="96">
      <c r="A96" s="403"/>
      <c r="B96" s="198"/>
      <c r="C96" s="403"/>
      <c r="D96" s="142"/>
      <c r="E96" s="403"/>
      <c r="F96" s="198"/>
      <c r="G96" s="403"/>
      <c r="H96" s="198"/>
      <c r="I96" s="410"/>
      <c r="J96" s="142"/>
      <c r="K96" s="410"/>
      <c r="L96" s="142"/>
      <c r="M96" s="410"/>
      <c r="N96" s="142"/>
      <c r="O96" s="403"/>
      <c r="P96" s="198"/>
      <c r="Q96" s="411"/>
      <c r="R96" s="76"/>
      <c r="S96" s="197"/>
      <c r="T96" s="198"/>
      <c r="U96" s="197"/>
      <c r="V96" s="198"/>
      <c r="W96" s="198"/>
      <c r="X96" s="198"/>
      <c r="Y96" s="198"/>
      <c r="Z96" s="198"/>
    </row>
    <row r="97">
      <c r="A97" s="403"/>
      <c r="B97" s="198"/>
      <c r="C97" s="403"/>
      <c r="D97" s="142"/>
      <c r="E97" s="403"/>
      <c r="F97" s="198"/>
      <c r="G97" s="403"/>
      <c r="H97" s="198"/>
      <c r="I97" s="410"/>
      <c r="J97" s="142"/>
      <c r="K97" s="410"/>
      <c r="L97" s="142"/>
      <c r="M97" s="410"/>
      <c r="N97" s="142"/>
      <c r="O97" s="403"/>
      <c r="P97" s="198"/>
      <c r="Q97" s="411"/>
      <c r="R97" s="76"/>
      <c r="S97" s="197"/>
      <c r="T97" s="198"/>
      <c r="U97" s="197"/>
      <c r="V97" s="198"/>
      <c r="W97" s="198"/>
      <c r="X97" s="198"/>
      <c r="Y97" s="198"/>
      <c r="Z97" s="198"/>
    </row>
    <row r="98">
      <c r="A98" s="403"/>
      <c r="B98" s="198"/>
      <c r="C98" s="403"/>
      <c r="D98" s="142"/>
      <c r="E98" s="403"/>
      <c r="F98" s="198"/>
      <c r="G98" s="403"/>
      <c r="H98" s="198"/>
      <c r="I98" s="410"/>
      <c r="J98" s="142"/>
      <c r="K98" s="410"/>
      <c r="L98" s="142"/>
      <c r="M98" s="410"/>
      <c r="N98" s="142"/>
      <c r="O98" s="403"/>
      <c r="P98" s="198"/>
      <c r="Q98" s="411"/>
      <c r="R98" s="76"/>
      <c r="S98" s="197"/>
      <c r="T98" s="198"/>
      <c r="U98" s="197"/>
      <c r="V98" s="198"/>
      <c r="W98" s="198"/>
      <c r="X98" s="198"/>
      <c r="Y98" s="198"/>
      <c r="Z98" s="198"/>
    </row>
    <row r="99">
      <c r="A99" s="403"/>
      <c r="B99" s="198"/>
      <c r="C99" s="403"/>
      <c r="D99" s="142"/>
      <c r="E99" s="403"/>
      <c r="F99" s="198"/>
      <c r="G99" s="403"/>
      <c r="H99" s="198"/>
      <c r="I99" s="410"/>
      <c r="J99" s="142"/>
      <c r="K99" s="410"/>
      <c r="L99" s="142"/>
      <c r="M99" s="410"/>
      <c r="N99" s="142"/>
      <c r="O99" s="403"/>
      <c r="P99" s="198"/>
      <c r="Q99" s="411"/>
      <c r="R99" s="76"/>
      <c r="S99" s="197"/>
      <c r="T99" s="198"/>
      <c r="U99" s="197"/>
      <c r="V99" s="198"/>
      <c r="W99" s="198"/>
      <c r="X99" s="198"/>
      <c r="Y99" s="198"/>
      <c r="Z99" s="198"/>
    </row>
    <row r="100">
      <c r="A100" s="403"/>
      <c r="B100" s="198"/>
      <c r="C100" s="403"/>
      <c r="D100" s="142"/>
      <c r="E100" s="403"/>
      <c r="F100" s="198"/>
      <c r="G100" s="403"/>
      <c r="H100" s="198"/>
      <c r="I100" s="410"/>
      <c r="J100" s="142"/>
      <c r="K100" s="410"/>
      <c r="L100" s="142"/>
      <c r="M100" s="410"/>
      <c r="N100" s="142"/>
      <c r="O100" s="403"/>
      <c r="P100" s="198"/>
      <c r="Q100" s="411"/>
      <c r="R100" s="76"/>
      <c r="S100" s="197"/>
      <c r="T100" s="198"/>
      <c r="U100" s="197"/>
      <c r="V100" s="198"/>
      <c r="W100" s="198"/>
      <c r="X100" s="198"/>
      <c r="Y100" s="198"/>
      <c r="Z100" s="198"/>
    </row>
    <row r="101">
      <c r="A101" s="403"/>
      <c r="B101" s="198"/>
      <c r="C101" s="403"/>
      <c r="D101" s="142"/>
      <c r="E101" s="403"/>
      <c r="F101" s="198"/>
      <c r="G101" s="403"/>
      <c r="H101" s="198"/>
      <c r="I101" s="410"/>
      <c r="J101" s="142"/>
      <c r="K101" s="410"/>
      <c r="L101" s="142"/>
      <c r="M101" s="410"/>
      <c r="N101" s="142"/>
      <c r="O101" s="403"/>
      <c r="P101" s="198"/>
      <c r="Q101" s="411"/>
      <c r="R101" s="76"/>
      <c r="S101" s="197"/>
      <c r="T101" s="198"/>
      <c r="U101" s="197"/>
      <c r="V101" s="198"/>
      <c r="W101" s="198"/>
      <c r="X101" s="198"/>
      <c r="Y101" s="198"/>
      <c r="Z101" s="198"/>
    </row>
    <row r="102">
      <c r="A102" s="403"/>
      <c r="B102" s="198"/>
      <c r="C102" s="403"/>
      <c r="D102" s="142"/>
      <c r="E102" s="403"/>
      <c r="F102" s="198"/>
      <c r="G102" s="403"/>
      <c r="H102" s="198"/>
      <c r="I102" s="410"/>
      <c r="J102" s="142"/>
      <c r="K102" s="410"/>
      <c r="L102" s="142"/>
      <c r="M102" s="410"/>
      <c r="N102" s="142"/>
      <c r="O102" s="403"/>
      <c r="P102" s="198"/>
      <c r="Q102" s="411"/>
      <c r="R102" s="76"/>
      <c r="S102" s="197"/>
      <c r="T102" s="198"/>
      <c r="U102" s="197"/>
      <c r="V102" s="198"/>
      <c r="W102" s="198"/>
      <c r="X102" s="198"/>
      <c r="Y102" s="198"/>
      <c r="Z102" s="198"/>
    </row>
    <row r="103">
      <c r="A103" s="403"/>
      <c r="B103" s="198"/>
      <c r="C103" s="403"/>
      <c r="D103" s="142"/>
      <c r="E103" s="403"/>
      <c r="F103" s="198"/>
      <c r="G103" s="403"/>
      <c r="H103" s="198"/>
      <c r="I103" s="410"/>
      <c r="J103" s="142"/>
      <c r="K103" s="410"/>
      <c r="L103" s="142"/>
      <c r="M103" s="410"/>
      <c r="N103" s="142"/>
      <c r="O103" s="403"/>
      <c r="P103" s="198"/>
      <c r="Q103" s="411"/>
      <c r="R103" s="76"/>
      <c r="S103" s="197"/>
      <c r="T103" s="198"/>
      <c r="U103" s="197"/>
      <c r="V103" s="198"/>
      <c r="W103" s="198"/>
      <c r="X103" s="198"/>
      <c r="Y103" s="198"/>
      <c r="Z103" s="198"/>
    </row>
    <row r="104">
      <c r="A104" s="403"/>
      <c r="B104" s="198"/>
      <c r="C104" s="403"/>
      <c r="D104" s="142"/>
      <c r="E104" s="403"/>
      <c r="F104" s="198"/>
      <c r="G104" s="403"/>
      <c r="H104" s="198"/>
      <c r="I104" s="410"/>
      <c r="J104" s="142"/>
      <c r="K104" s="410"/>
      <c r="L104" s="142"/>
      <c r="M104" s="410"/>
      <c r="N104" s="142"/>
      <c r="O104" s="403"/>
      <c r="P104" s="198"/>
      <c r="Q104" s="411"/>
      <c r="R104" s="76"/>
      <c r="S104" s="197"/>
      <c r="T104" s="198"/>
      <c r="U104" s="197"/>
      <c r="V104" s="198"/>
      <c r="W104" s="198"/>
      <c r="X104" s="198"/>
      <c r="Y104" s="198"/>
      <c r="Z104" s="198"/>
    </row>
    <row r="105">
      <c r="A105" s="403"/>
      <c r="B105" s="198"/>
      <c r="C105" s="403"/>
      <c r="D105" s="142"/>
      <c r="E105" s="403"/>
      <c r="F105" s="198"/>
      <c r="G105" s="403"/>
      <c r="H105" s="198"/>
      <c r="I105" s="410"/>
      <c r="J105" s="142"/>
      <c r="K105" s="410"/>
      <c r="L105" s="142"/>
      <c r="M105" s="410"/>
      <c r="N105" s="142"/>
      <c r="O105" s="403"/>
      <c r="P105" s="198"/>
      <c r="Q105" s="411"/>
      <c r="R105" s="76"/>
      <c r="S105" s="197"/>
      <c r="T105" s="198"/>
      <c r="U105" s="197"/>
      <c r="V105" s="198"/>
      <c r="W105" s="198"/>
      <c r="X105" s="198"/>
      <c r="Y105" s="198"/>
      <c r="Z105" s="198"/>
    </row>
    <row r="106">
      <c r="A106" s="403"/>
      <c r="B106" s="198"/>
      <c r="C106" s="403"/>
      <c r="D106" s="142"/>
      <c r="E106" s="403"/>
      <c r="F106" s="198"/>
      <c r="G106" s="403"/>
      <c r="H106" s="198"/>
      <c r="I106" s="410"/>
      <c r="J106" s="142"/>
      <c r="K106" s="410"/>
      <c r="L106" s="142"/>
      <c r="M106" s="410"/>
      <c r="N106" s="142"/>
      <c r="O106" s="403"/>
      <c r="P106" s="198"/>
      <c r="Q106" s="411"/>
      <c r="R106" s="76"/>
      <c r="S106" s="197"/>
      <c r="T106" s="198"/>
      <c r="U106" s="197"/>
      <c r="V106" s="198"/>
      <c r="W106" s="198"/>
      <c r="X106" s="198"/>
      <c r="Y106" s="198"/>
      <c r="Z106" s="198"/>
    </row>
    <row r="107">
      <c r="A107" s="403"/>
      <c r="B107" s="198"/>
      <c r="C107" s="403"/>
      <c r="D107" s="142"/>
      <c r="E107" s="403"/>
      <c r="F107" s="198"/>
      <c r="G107" s="403"/>
      <c r="H107" s="198"/>
      <c r="I107" s="410"/>
      <c r="J107" s="142"/>
      <c r="K107" s="410"/>
      <c r="L107" s="142"/>
      <c r="M107" s="410"/>
      <c r="N107" s="142"/>
      <c r="O107" s="403"/>
      <c r="P107" s="198"/>
      <c r="Q107" s="411"/>
      <c r="R107" s="76"/>
      <c r="S107" s="197"/>
      <c r="T107" s="198"/>
      <c r="U107" s="197"/>
      <c r="V107" s="198"/>
      <c r="W107" s="198"/>
      <c r="X107" s="198"/>
      <c r="Y107" s="198"/>
      <c r="Z107" s="198"/>
    </row>
    <row r="108">
      <c r="A108" s="403"/>
      <c r="B108" s="198"/>
      <c r="C108" s="403"/>
      <c r="D108" s="142"/>
      <c r="E108" s="403"/>
      <c r="F108" s="198"/>
      <c r="G108" s="403"/>
      <c r="H108" s="198"/>
      <c r="I108" s="410"/>
      <c r="J108" s="142"/>
      <c r="K108" s="410"/>
      <c r="L108" s="142"/>
      <c r="M108" s="410"/>
      <c r="N108" s="142"/>
      <c r="O108" s="403"/>
      <c r="P108" s="198"/>
      <c r="Q108" s="411"/>
      <c r="R108" s="76"/>
      <c r="S108" s="197"/>
      <c r="T108" s="198"/>
      <c r="U108" s="197"/>
      <c r="V108" s="198"/>
      <c r="W108" s="198"/>
      <c r="X108" s="198"/>
      <c r="Y108" s="198"/>
      <c r="Z108" s="198"/>
    </row>
    <row r="109">
      <c r="A109" s="403"/>
      <c r="B109" s="198"/>
      <c r="C109" s="403"/>
      <c r="D109" s="142"/>
      <c r="E109" s="403"/>
      <c r="F109" s="198"/>
      <c r="G109" s="403"/>
      <c r="H109" s="198"/>
      <c r="I109" s="410"/>
      <c r="J109" s="142"/>
      <c r="K109" s="410"/>
      <c r="L109" s="142"/>
      <c r="M109" s="410"/>
      <c r="N109" s="142"/>
      <c r="O109" s="403"/>
      <c r="P109" s="198"/>
      <c r="Q109" s="411"/>
      <c r="R109" s="76"/>
      <c r="S109" s="197"/>
      <c r="T109" s="198"/>
      <c r="U109" s="197"/>
      <c r="V109" s="198"/>
      <c r="W109" s="198"/>
      <c r="X109" s="198"/>
      <c r="Y109" s="198"/>
      <c r="Z109" s="198"/>
    </row>
    <row r="110">
      <c r="A110" s="403"/>
      <c r="B110" s="198"/>
      <c r="C110" s="403"/>
      <c r="D110" s="142"/>
      <c r="E110" s="403"/>
      <c r="F110" s="198"/>
      <c r="G110" s="403"/>
      <c r="H110" s="198"/>
      <c r="I110" s="410"/>
      <c r="J110" s="142"/>
      <c r="K110" s="410"/>
      <c r="L110" s="142"/>
      <c r="M110" s="410"/>
      <c r="N110" s="142"/>
      <c r="O110" s="403"/>
      <c r="P110" s="198"/>
      <c r="Q110" s="411"/>
      <c r="R110" s="76"/>
      <c r="S110" s="197"/>
      <c r="T110" s="198"/>
      <c r="U110" s="197"/>
      <c r="V110" s="198"/>
      <c r="W110" s="198"/>
      <c r="X110" s="198"/>
      <c r="Y110" s="198"/>
      <c r="Z110" s="198"/>
    </row>
    <row r="111">
      <c r="A111" s="403"/>
      <c r="B111" s="198"/>
      <c r="C111" s="403"/>
      <c r="D111" s="142"/>
      <c r="E111" s="403"/>
      <c r="F111" s="198"/>
      <c r="G111" s="403"/>
      <c r="H111" s="198"/>
      <c r="I111" s="410"/>
      <c r="J111" s="142"/>
      <c r="K111" s="410"/>
      <c r="L111" s="142"/>
      <c r="M111" s="410"/>
      <c r="N111" s="142"/>
      <c r="O111" s="403"/>
      <c r="P111" s="198"/>
      <c r="Q111" s="411"/>
      <c r="R111" s="76"/>
      <c r="S111" s="197"/>
      <c r="T111" s="198"/>
      <c r="U111" s="197"/>
      <c r="V111" s="198"/>
      <c r="W111" s="198"/>
      <c r="X111" s="198"/>
      <c r="Y111" s="198"/>
      <c r="Z111" s="198"/>
    </row>
    <row r="112">
      <c r="A112" s="403"/>
      <c r="B112" s="198"/>
      <c r="C112" s="403"/>
      <c r="D112" s="142"/>
      <c r="E112" s="403"/>
      <c r="F112" s="198"/>
      <c r="G112" s="403"/>
      <c r="H112" s="198"/>
      <c r="I112" s="410"/>
      <c r="J112" s="142"/>
      <c r="K112" s="410"/>
      <c r="L112" s="142"/>
      <c r="M112" s="410"/>
      <c r="N112" s="142"/>
      <c r="O112" s="403"/>
      <c r="P112" s="198"/>
      <c r="Q112" s="411"/>
      <c r="R112" s="76"/>
      <c r="S112" s="197"/>
      <c r="T112" s="198"/>
      <c r="U112" s="197"/>
      <c r="V112" s="198"/>
      <c r="W112" s="198"/>
      <c r="X112" s="198"/>
      <c r="Y112" s="198"/>
      <c r="Z112" s="198"/>
    </row>
    <row r="113">
      <c r="A113" s="403"/>
      <c r="B113" s="198"/>
      <c r="C113" s="403"/>
      <c r="D113" s="142"/>
      <c r="E113" s="403"/>
      <c r="F113" s="198"/>
      <c r="G113" s="403"/>
      <c r="H113" s="198"/>
      <c r="I113" s="410"/>
      <c r="J113" s="142"/>
      <c r="K113" s="410"/>
      <c r="L113" s="142"/>
      <c r="M113" s="410"/>
      <c r="N113" s="142"/>
      <c r="O113" s="403"/>
      <c r="P113" s="198"/>
      <c r="Q113" s="411"/>
      <c r="R113" s="76"/>
      <c r="S113" s="197"/>
      <c r="T113" s="198"/>
      <c r="U113" s="197"/>
      <c r="V113" s="198"/>
      <c r="W113" s="198"/>
      <c r="X113" s="198"/>
      <c r="Y113" s="198"/>
      <c r="Z113" s="198"/>
    </row>
    <row r="114">
      <c r="A114" s="403"/>
      <c r="B114" s="198"/>
      <c r="C114" s="403"/>
      <c r="D114" s="142"/>
      <c r="E114" s="403"/>
      <c r="F114" s="198"/>
      <c r="G114" s="403"/>
      <c r="H114" s="198"/>
      <c r="I114" s="410"/>
      <c r="J114" s="142"/>
      <c r="K114" s="410"/>
      <c r="L114" s="142"/>
      <c r="M114" s="410"/>
      <c r="N114" s="142"/>
      <c r="O114" s="403"/>
      <c r="P114" s="198"/>
      <c r="Q114" s="411"/>
      <c r="R114" s="76"/>
      <c r="S114" s="197"/>
      <c r="T114" s="198"/>
      <c r="U114" s="197"/>
      <c r="V114" s="198"/>
      <c r="W114" s="198"/>
      <c r="X114" s="198"/>
      <c r="Y114" s="198"/>
      <c r="Z114" s="198"/>
    </row>
    <row r="115">
      <c r="A115" s="403"/>
      <c r="B115" s="198"/>
      <c r="C115" s="403"/>
      <c r="D115" s="142"/>
      <c r="E115" s="403"/>
      <c r="F115" s="198"/>
      <c r="G115" s="403"/>
      <c r="H115" s="198"/>
      <c r="I115" s="410"/>
      <c r="J115" s="142"/>
      <c r="K115" s="410"/>
      <c r="L115" s="142"/>
      <c r="M115" s="410"/>
      <c r="N115" s="142"/>
      <c r="O115" s="403"/>
      <c r="P115" s="198"/>
      <c r="Q115" s="411"/>
      <c r="R115" s="76"/>
      <c r="S115" s="197"/>
      <c r="T115" s="198"/>
      <c r="U115" s="197"/>
      <c r="V115" s="198"/>
      <c r="W115" s="198"/>
      <c r="X115" s="198"/>
      <c r="Y115" s="198"/>
      <c r="Z115" s="198"/>
    </row>
    <row r="116">
      <c r="A116" s="403"/>
      <c r="B116" s="198"/>
      <c r="C116" s="403"/>
      <c r="D116" s="142"/>
      <c r="E116" s="403"/>
      <c r="F116" s="198"/>
      <c r="G116" s="403"/>
      <c r="H116" s="198"/>
      <c r="I116" s="410"/>
      <c r="J116" s="142"/>
      <c r="K116" s="410"/>
      <c r="L116" s="142"/>
      <c r="M116" s="410"/>
      <c r="N116" s="142"/>
      <c r="O116" s="403"/>
      <c r="P116" s="198"/>
      <c r="Q116" s="411"/>
      <c r="R116" s="76"/>
      <c r="S116" s="197"/>
      <c r="T116" s="198"/>
      <c r="U116" s="197"/>
      <c r="V116" s="198"/>
      <c r="W116" s="198"/>
      <c r="X116" s="198"/>
      <c r="Y116" s="198"/>
      <c r="Z116" s="198"/>
    </row>
    <row r="117">
      <c r="A117" s="403"/>
      <c r="B117" s="198"/>
      <c r="C117" s="403"/>
      <c r="D117" s="142"/>
      <c r="E117" s="403"/>
      <c r="F117" s="198"/>
      <c r="G117" s="403"/>
      <c r="H117" s="198"/>
      <c r="I117" s="410"/>
      <c r="J117" s="142"/>
      <c r="K117" s="410"/>
      <c r="L117" s="142"/>
      <c r="M117" s="410"/>
      <c r="N117" s="142"/>
      <c r="O117" s="403"/>
      <c r="P117" s="198"/>
      <c r="Q117" s="411"/>
      <c r="R117" s="76"/>
      <c r="S117" s="197"/>
      <c r="T117" s="198"/>
      <c r="U117" s="197"/>
      <c r="V117" s="198"/>
      <c r="W117" s="198"/>
      <c r="X117" s="198"/>
      <c r="Y117" s="198"/>
      <c r="Z117" s="198"/>
    </row>
    <row r="118">
      <c r="A118" s="403"/>
      <c r="B118" s="198"/>
      <c r="C118" s="403"/>
      <c r="D118" s="142"/>
      <c r="E118" s="403"/>
      <c r="F118" s="198"/>
      <c r="G118" s="403"/>
      <c r="H118" s="198"/>
      <c r="I118" s="410"/>
      <c r="J118" s="142"/>
      <c r="K118" s="410"/>
      <c r="L118" s="142"/>
      <c r="M118" s="410"/>
      <c r="N118" s="142"/>
      <c r="O118" s="403"/>
      <c r="P118" s="198"/>
      <c r="Q118" s="411"/>
      <c r="R118" s="76"/>
      <c r="S118" s="197"/>
      <c r="T118" s="198"/>
      <c r="U118" s="197"/>
      <c r="V118" s="198"/>
      <c r="W118" s="198"/>
      <c r="X118" s="198"/>
      <c r="Y118" s="198"/>
      <c r="Z118" s="198"/>
    </row>
    <row r="119">
      <c r="A119" s="403"/>
      <c r="B119" s="198"/>
      <c r="C119" s="403"/>
      <c r="D119" s="142"/>
      <c r="E119" s="403"/>
      <c r="F119" s="198"/>
      <c r="G119" s="403"/>
      <c r="H119" s="198"/>
      <c r="I119" s="410"/>
      <c r="J119" s="142"/>
      <c r="K119" s="410"/>
      <c r="L119" s="142"/>
      <c r="M119" s="410"/>
      <c r="N119" s="142"/>
      <c r="O119" s="403"/>
      <c r="P119" s="198"/>
      <c r="Q119" s="411"/>
      <c r="R119" s="76"/>
      <c r="S119" s="197"/>
      <c r="T119" s="198"/>
      <c r="U119" s="197"/>
      <c r="V119" s="198"/>
      <c r="W119" s="198"/>
      <c r="X119" s="198"/>
      <c r="Y119" s="198"/>
      <c r="Z119" s="198"/>
    </row>
    <row r="120">
      <c r="A120" s="403"/>
      <c r="B120" s="198"/>
      <c r="C120" s="403"/>
      <c r="D120" s="142"/>
      <c r="E120" s="403"/>
      <c r="F120" s="198"/>
      <c r="G120" s="403"/>
      <c r="H120" s="198"/>
      <c r="I120" s="410"/>
      <c r="J120" s="142"/>
      <c r="K120" s="410"/>
      <c r="L120" s="142"/>
      <c r="M120" s="410"/>
      <c r="N120" s="142"/>
      <c r="O120" s="403"/>
      <c r="P120" s="198"/>
      <c r="Q120" s="411"/>
      <c r="R120" s="76"/>
      <c r="S120" s="197"/>
      <c r="T120" s="198"/>
      <c r="U120" s="197"/>
      <c r="V120" s="198"/>
      <c r="W120" s="198"/>
      <c r="X120" s="198"/>
      <c r="Y120" s="198"/>
      <c r="Z120" s="198"/>
    </row>
    <row r="121">
      <c r="A121" s="403"/>
      <c r="B121" s="198"/>
      <c r="C121" s="403"/>
      <c r="D121" s="142"/>
      <c r="E121" s="403"/>
      <c r="F121" s="198"/>
      <c r="G121" s="403"/>
      <c r="H121" s="198"/>
      <c r="I121" s="410"/>
      <c r="J121" s="142"/>
      <c r="K121" s="410"/>
      <c r="L121" s="142"/>
      <c r="M121" s="410"/>
      <c r="N121" s="142"/>
      <c r="O121" s="403"/>
      <c r="P121" s="198"/>
      <c r="Q121" s="411"/>
      <c r="R121" s="76"/>
      <c r="S121" s="197"/>
      <c r="T121" s="198"/>
      <c r="U121" s="197"/>
      <c r="V121" s="198"/>
      <c r="W121" s="198"/>
      <c r="X121" s="198"/>
      <c r="Y121" s="198"/>
      <c r="Z121" s="198"/>
    </row>
    <row r="122">
      <c r="A122" s="403"/>
      <c r="B122" s="198"/>
      <c r="C122" s="403"/>
      <c r="D122" s="142"/>
      <c r="E122" s="403"/>
      <c r="F122" s="198"/>
      <c r="G122" s="403"/>
      <c r="H122" s="198"/>
      <c r="I122" s="410"/>
      <c r="J122" s="142"/>
      <c r="K122" s="410"/>
      <c r="L122" s="142"/>
      <c r="M122" s="410"/>
      <c r="N122" s="142"/>
      <c r="O122" s="403"/>
      <c r="P122" s="198"/>
      <c r="Q122" s="411"/>
      <c r="R122" s="76"/>
      <c r="S122" s="197"/>
      <c r="T122" s="198"/>
      <c r="U122" s="197"/>
      <c r="V122" s="198"/>
      <c r="W122" s="198"/>
      <c r="X122" s="198"/>
      <c r="Y122" s="198"/>
      <c r="Z122" s="198"/>
    </row>
    <row r="123">
      <c r="A123" s="403"/>
      <c r="B123" s="198"/>
      <c r="C123" s="403"/>
      <c r="D123" s="142"/>
      <c r="E123" s="403"/>
      <c r="F123" s="198"/>
      <c r="G123" s="403"/>
      <c r="H123" s="198"/>
      <c r="I123" s="410"/>
      <c r="J123" s="142"/>
      <c r="K123" s="410"/>
      <c r="L123" s="142"/>
      <c r="M123" s="410"/>
      <c r="N123" s="142"/>
      <c r="O123" s="403"/>
      <c r="P123" s="198"/>
      <c r="Q123" s="411"/>
      <c r="R123" s="76"/>
      <c r="S123" s="197"/>
      <c r="T123" s="198"/>
      <c r="U123" s="197"/>
      <c r="V123" s="198"/>
      <c r="W123" s="198"/>
      <c r="X123" s="198"/>
      <c r="Y123" s="198"/>
      <c r="Z123" s="198"/>
    </row>
    <row r="124">
      <c r="A124" s="403"/>
      <c r="B124" s="198"/>
      <c r="C124" s="403"/>
      <c r="D124" s="142"/>
      <c r="E124" s="403"/>
      <c r="F124" s="198"/>
      <c r="G124" s="403"/>
      <c r="H124" s="198"/>
      <c r="I124" s="410"/>
      <c r="J124" s="142"/>
      <c r="K124" s="410"/>
      <c r="L124" s="142"/>
      <c r="M124" s="410"/>
      <c r="N124" s="142"/>
      <c r="O124" s="403"/>
      <c r="P124" s="198"/>
      <c r="Q124" s="411"/>
      <c r="R124" s="76"/>
      <c r="S124" s="197"/>
      <c r="T124" s="198"/>
      <c r="U124" s="197"/>
      <c r="V124" s="198"/>
      <c r="W124" s="198"/>
      <c r="X124" s="198"/>
      <c r="Y124" s="198"/>
      <c r="Z124" s="198"/>
    </row>
    <row r="125">
      <c r="A125" s="403"/>
      <c r="B125" s="198"/>
      <c r="C125" s="403"/>
      <c r="D125" s="142"/>
      <c r="E125" s="403"/>
      <c r="F125" s="198"/>
      <c r="G125" s="403"/>
      <c r="H125" s="198"/>
      <c r="I125" s="410"/>
      <c r="J125" s="142"/>
      <c r="K125" s="410"/>
      <c r="L125" s="142"/>
      <c r="M125" s="410"/>
      <c r="N125" s="142"/>
      <c r="O125" s="403"/>
      <c r="P125" s="198"/>
      <c r="Q125" s="411"/>
      <c r="R125" s="76"/>
      <c r="S125" s="197"/>
      <c r="T125" s="198"/>
      <c r="U125" s="197"/>
      <c r="V125" s="198"/>
      <c r="W125" s="198"/>
      <c r="X125" s="198"/>
      <c r="Y125" s="198"/>
      <c r="Z125" s="198"/>
    </row>
    <row r="126">
      <c r="A126" s="403"/>
      <c r="B126" s="198"/>
      <c r="C126" s="403"/>
      <c r="D126" s="142"/>
      <c r="E126" s="403"/>
      <c r="F126" s="198"/>
      <c r="G126" s="403"/>
      <c r="H126" s="198"/>
      <c r="I126" s="410"/>
      <c r="J126" s="142"/>
      <c r="K126" s="410"/>
      <c r="L126" s="142"/>
      <c r="M126" s="410"/>
      <c r="N126" s="142"/>
      <c r="O126" s="403"/>
      <c r="P126" s="198"/>
      <c r="Q126" s="411"/>
      <c r="R126" s="76"/>
      <c r="S126" s="197"/>
      <c r="T126" s="198"/>
      <c r="U126" s="197"/>
      <c r="V126" s="198"/>
      <c r="W126" s="198"/>
      <c r="X126" s="198"/>
      <c r="Y126" s="198"/>
      <c r="Z126" s="198"/>
    </row>
    <row r="127">
      <c r="A127" s="403"/>
      <c r="B127" s="198"/>
      <c r="C127" s="403"/>
      <c r="D127" s="142"/>
      <c r="E127" s="403"/>
      <c r="F127" s="198"/>
      <c r="G127" s="403"/>
      <c r="H127" s="198"/>
      <c r="I127" s="410"/>
      <c r="J127" s="142"/>
      <c r="K127" s="410"/>
      <c r="L127" s="142"/>
      <c r="M127" s="410"/>
      <c r="N127" s="142"/>
      <c r="O127" s="403"/>
      <c r="P127" s="198"/>
      <c r="Q127" s="411"/>
      <c r="R127" s="76"/>
      <c r="S127" s="197"/>
      <c r="T127" s="198"/>
      <c r="U127" s="197"/>
      <c r="V127" s="198"/>
      <c r="W127" s="198"/>
      <c r="X127" s="198"/>
      <c r="Y127" s="198"/>
      <c r="Z127" s="198"/>
    </row>
    <row r="128">
      <c r="A128" s="403"/>
      <c r="B128" s="198"/>
      <c r="C128" s="403"/>
      <c r="D128" s="142"/>
      <c r="E128" s="403"/>
      <c r="F128" s="198"/>
      <c r="G128" s="403"/>
      <c r="H128" s="198"/>
      <c r="I128" s="410"/>
      <c r="J128" s="142"/>
      <c r="K128" s="410"/>
      <c r="L128" s="142"/>
      <c r="M128" s="410"/>
      <c r="N128" s="142"/>
      <c r="O128" s="403"/>
      <c r="P128" s="198"/>
      <c r="Q128" s="411"/>
      <c r="R128" s="76"/>
      <c r="S128" s="197"/>
      <c r="T128" s="198"/>
      <c r="U128" s="197"/>
      <c r="V128" s="198"/>
      <c r="W128" s="198"/>
      <c r="X128" s="198"/>
      <c r="Y128" s="198"/>
      <c r="Z128" s="198"/>
    </row>
    <row r="129">
      <c r="A129" s="403"/>
      <c r="B129" s="198"/>
      <c r="C129" s="403"/>
      <c r="D129" s="142"/>
      <c r="E129" s="403"/>
      <c r="F129" s="198"/>
      <c r="G129" s="403"/>
      <c r="H129" s="198"/>
      <c r="I129" s="410"/>
      <c r="J129" s="142"/>
      <c r="K129" s="410"/>
      <c r="L129" s="142"/>
      <c r="M129" s="410"/>
      <c r="N129" s="142"/>
      <c r="O129" s="403"/>
      <c r="P129" s="198"/>
      <c r="Q129" s="411"/>
      <c r="R129" s="76"/>
      <c r="S129" s="197"/>
      <c r="T129" s="198"/>
      <c r="U129" s="197"/>
      <c r="V129" s="198"/>
      <c r="W129" s="198"/>
      <c r="X129" s="198"/>
      <c r="Y129" s="198"/>
      <c r="Z129" s="198"/>
    </row>
    <row r="130">
      <c r="A130" s="403"/>
      <c r="B130" s="198"/>
      <c r="C130" s="403"/>
      <c r="D130" s="142"/>
      <c r="E130" s="403"/>
      <c r="F130" s="198"/>
      <c r="G130" s="403"/>
      <c r="H130" s="198"/>
      <c r="I130" s="410"/>
      <c r="J130" s="142"/>
      <c r="K130" s="410"/>
      <c r="L130" s="142"/>
      <c r="M130" s="410"/>
      <c r="N130" s="142"/>
      <c r="O130" s="403"/>
      <c r="P130" s="198"/>
      <c r="Q130" s="411"/>
      <c r="R130" s="76"/>
      <c r="S130" s="197"/>
      <c r="T130" s="198"/>
      <c r="U130" s="197"/>
      <c r="V130" s="198"/>
      <c r="W130" s="198"/>
      <c r="X130" s="198"/>
      <c r="Y130" s="198"/>
      <c r="Z130" s="198"/>
    </row>
    <row r="131">
      <c r="A131" s="403"/>
      <c r="B131" s="198"/>
      <c r="C131" s="403"/>
      <c r="D131" s="142"/>
      <c r="E131" s="403"/>
      <c r="F131" s="198"/>
      <c r="G131" s="403"/>
      <c r="H131" s="198"/>
      <c r="I131" s="410"/>
      <c r="J131" s="142"/>
      <c r="K131" s="410"/>
      <c r="L131" s="142"/>
      <c r="M131" s="410"/>
      <c r="N131" s="142"/>
      <c r="O131" s="403"/>
      <c r="P131" s="198"/>
      <c r="Q131" s="411"/>
      <c r="R131" s="76"/>
      <c r="S131" s="197"/>
      <c r="T131" s="198"/>
      <c r="U131" s="197"/>
      <c r="V131" s="198"/>
      <c r="W131" s="198"/>
      <c r="X131" s="198"/>
      <c r="Y131" s="198"/>
      <c r="Z131" s="198"/>
    </row>
    <row r="132">
      <c r="A132" s="403"/>
      <c r="B132" s="198"/>
      <c r="C132" s="403"/>
      <c r="D132" s="142"/>
      <c r="E132" s="403"/>
      <c r="F132" s="198"/>
      <c r="G132" s="403"/>
      <c r="H132" s="198"/>
      <c r="I132" s="410"/>
      <c r="J132" s="142"/>
      <c r="K132" s="410"/>
      <c r="L132" s="142"/>
      <c r="M132" s="410"/>
      <c r="N132" s="142"/>
      <c r="O132" s="403"/>
      <c r="P132" s="198"/>
      <c r="Q132" s="411"/>
      <c r="R132" s="76"/>
      <c r="S132" s="197"/>
      <c r="T132" s="198"/>
      <c r="U132" s="197"/>
      <c r="V132" s="198"/>
      <c r="W132" s="198"/>
      <c r="X132" s="198"/>
      <c r="Y132" s="198"/>
      <c r="Z132" s="198"/>
    </row>
    <row r="133">
      <c r="A133" s="403"/>
      <c r="B133" s="198"/>
      <c r="C133" s="403"/>
      <c r="D133" s="142"/>
      <c r="E133" s="403"/>
      <c r="F133" s="198"/>
      <c r="G133" s="403"/>
      <c r="H133" s="198"/>
      <c r="I133" s="410"/>
      <c r="J133" s="142"/>
      <c r="K133" s="410"/>
      <c r="L133" s="142"/>
      <c r="M133" s="410"/>
      <c r="N133" s="142"/>
      <c r="O133" s="403"/>
      <c r="P133" s="198"/>
      <c r="Q133" s="411"/>
      <c r="R133" s="76"/>
      <c r="S133" s="197"/>
      <c r="T133" s="198"/>
      <c r="U133" s="197"/>
      <c r="V133" s="198"/>
      <c r="W133" s="198"/>
      <c r="X133" s="198"/>
      <c r="Y133" s="198"/>
      <c r="Z133" s="198"/>
    </row>
    <row r="134">
      <c r="A134" s="403"/>
      <c r="B134" s="198"/>
      <c r="C134" s="403"/>
      <c r="D134" s="142"/>
      <c r="E134" s="403"/>
      <c r="F134" s="198"/>
      <c r="G134" s="403"/>
      <c r="H134" s="198"/>
      <c r="I134" s="410"/>
      <c r="J134" s="142"/>
      <c r="K134" s="410"/>
      <c r="L134" s="142"/>
      <c r="M134" s="410"/>
      <c r="N134" s="142"/>
      <c r="O134" s="403"/>
      <c r="P134" s="198"/>
      <c r="Q134" s="411"/>
      <c r="R134" s="76"/>
      <c r="S134" s="197"/>
      <c r="T134" s="198"/>
      <c r="U134" s="197"/>
      <c r="V134" s="198"/>
      <c r="W134" s="198"/>
      <c r="X134" s="198"/>
      <c r="Y134" s="198"/>
      <c r="Z134" s="198"/>
    </row>
    <row r="135">
      <c r="A135" s="403"/>
      <c r="B135" s="198"/>
      <c r="C135" s="403"/>
      <c r="D135" s="142"/>
      <c r="E135" s="403"/>
      <c r="F135" s="198"/>
      <c r="G135" s="403"/>
      <c r="H135" s="198"/>
      <c r="I135" s="410"/>
      <c r="J135" s="142"/>
      <c r="K135" s="410"/>
      <c r="L135" s="142"/>
      <c r="M135" s="410"/>
      <c r="N135" s="142"/>
      <c r="O135" s="403"/>
      <c r="P135" s="198"/>
      <c r="Q135" s="411"/>
      <c r="R135" s="76"/>
      <c r="S135" s="197"/>
      <c r="T135" s="198"/>
      <c r="U135" s="197"/>
      <c r="V135" s="198"/>
      <c r="W135" s="198"/>
      <c r="X135" s="198"/>
      <c r="Y135" s="198"/>
      <c r="Z135" s="198"/>
    </row>
    <row r="136">
      <c r="A136" s="403"/>
      <c r="B136" s="198"/>
      <c r="C136" s="403"/>
      <c r="D136" s="142"/>
      <c r="E136" s="403"/>
      <c r="F136" s="198"/>
      <c r="G136" s="403"/>
      <c r="H136" s="198"/>
      <c r="I136" s="410"/>
      <c r="J136" s="142"/>
      <c r="K136" s="410"/>
      <c r="L136" s="142"/>
      <c r="M136" s="410"/>
      <c r="N136" s="142"/>
      <c r="O136" s="403"/>
      <c r="P136" s="198"/>
      <c r="Q136" s="411"/>
      <c r="R136" s="76"/>
      <c r="S136" s="197"/>
      <c r="T136" s="198"/>
      <c r="U136" s="197"/>
      <c r="V136" s="198"/>
      <c r="W136" s="198"/>
      <c r="X136" s="198"/>
      <c r="Y136" s="198"/>
      <c r="Z136" s="198"/>
    </row>
    <row r="137">
      <c r="A137" s="403"/>
      <c r="B137" s="198"/>
      <c r="C137" s="403"/>
      <c r="D137" s="142"/>
      <c r="E137" s="403"/>
      <c r="F137" s="198"/>
      <c r="G137" s="403"/>
      <c r="H137" s="198"/>
      <c r="I137" s="410"/>
      <c r="J137" s="142"/>
      <c r="K137" s="410"/>
      <c r="L137" s="142"/>
      <c r="M137" s="410"/>
      <c r="N137" s="142"/>
      <c r="O137" s="403"/>
      <c r="P137" s="198"/>
      <c r="Q137" s="411"/>
      <c r="R137" s="76"/>
      <c r="S137" s="197"/>
      <c r="T137" s="198"/>
      <c r="U137" s="197"/>
      <c r="V137" s="198"/>
      <c r="W137" s="198"/>
      <c r="X137" s="198"/>
      <c r="Y137" s="198"/>
      <c r="Z137" s="198"/>
    </row>
    <row r="138">
      <c r="A138" s="403"/>
      <c r="B138" s="198"/>
      <c r="C138" s="403"/>
      <c r="D138" s="142"/>
      <c r="E138" s="403"/>
      <c r="F138" s="198"/>
      <c r="G138" s="403"/>
      <c r="H138" s="198"/>
      <c r="I138" s="410"/>
      <c r="J138" s="142"/>
      <c r="K138" s="410"/>
      <c r="L138" s="142"/>
      <c r="M138" s="410"/>
      <c r="N138" s="142"/>
      <c r="O138" s="403"/>
      <c r="P138" s="198"/>
      <c r="Q138" s="411"/>
      <c r="R138" s="76"/>
      <c r="S138" s="197"/>
      <c r="T138" s="198"/>
      <c r="U138" s="197"/>
      <c r="V138" s="198"/>
      <c r="W138" s="198"/>
      <c r="X138" s="198"/>
      <c r="Y138" s="198"/>
      <c r="Z138" s="198"/>
    </row>
    <row r="139">
      <c r="A139" s="403"/>
      <c r="B139" s="198"/>
      <c r="C139" s="403"/>
      <c r="D139" s="142"/>
      <c r="E139" s="403"/>
      <c r="F139" s="198"/>
      <c r="G139" s="403"/>
      <c r="H139" s="198"/>
      <c r="I139" s="410"/>
      <c r="J139" s="142"/>
      <c r="K139" s="410"/>
      <c r="L139" s="142"/>
      <c r="M139" s="410"/>
      <c r="N139" s="142"/>
      <c r="O139" s="403"/>
      <c r="P139" s="198"/>
      <c r="Q139" s="411"/>
      <c r="R139" s="76"/>
      <c r="S139" s="197"/>
      <c r="T139" s="198"/>
      <c r="U139" s="197"/>
      <c r="V139" s="198"/>
      <c r="W139" s="198"/>
      <c r="X139" s="198"/>
      <c r="Y139" s="198"/>
      <c r="Z139" s="198"/>
    </row>
    <row r="140">
      <c r="A140" s="403"/>
      <c r="B140" s="198"/>
      <c r="C140" s="403"/>
      <c r="D140" s="142"/>
      <c r="E140" s="403"/>
      <c r="F140" s="198"/>
      <c r="G140" s="403"/>
      <c r="H140" s="198"/>
      <c r="I140" s="410"/>
      <c r="J140" s="142"/>
      <c r="K140" s="410"/>
      <c r="L140" s="142"/>
      <c r="M140" s="410"/>
      <c r="N140" s="142"/>
      <c r="O140" s="403"/>
      <c r="P140" s="198"/>
      <c r="Q140" s="411"/>
      <c r="R140" s="76"/>
      <c r="S140" s="197"/>
      <c r="T140" s="198"/>
      <c r="U140" s="197"/>
      <c r="V140" s="198"/>
      <c r="W140" s="198"/>
      <c r="X140" s="198"/>
      <c r="Y140" s="198"/>
      <c r="Z140" s="198"/>
    </row>
    <row r="141">
      <c r="A141" s="403"/>
      <c r="B141" s="198"/>
      <c r="C141" s="403"/>
      <c r="D141" s="142"/>
      <c r="E141" s="403"/>
      <c r="F141" s="198"/>
      <c r="G141" s="403"/>
      <c r="H141" s="198"/>
      <c r="I141" s="410"/>
      <c r="J141" s="142"/>
      <c r="K141" s="410"/>
      <c r="L141" s="142"/>
      <c r="M141" s="410"/>
      <c r="N141" s="142"/>
      <c r="O141" s="403"/>
      <c r="P141" s="198"/>
      <c r="Q141" s="411"/>
      <c r="R141" s="76"/>
      <c r="S141" s="197"/>
      <c r="T141" s="198"/>
      <c r="U141" s="197"/>
      <c r="V141" s="198"/>
      <c r="W141" s="198"/>
      <c r="X141" s="198"/>
      <c r="Y141" s="198"/>
      <c r="Z141" s="198"/>
    </row>
    <row r="142">
      <c r="A142" s="403"/>
      <c r="B142" s="198"/>
      <c r="C142" s="403"/>
      <c r="D142" s="142"/>
      <c r="E142" s="403"/>
      <c r="F142" s="198"/>
      <c r="G142" s="403"/>
      <c r="H142" s="198"/>
      <c r="I142" s="410"/>
      <c r="J142" s="142"/>
      <c r="K142" s="410"/>
      <c r="L142" s="142"/>
      <c r="M142" s="410"/>
      <c r="N142" s="142"/>
      <c r="O142" s="403"/>
      <c r="P142" s="198"/>
      <c r="Q142" s="411"/>
      <c r="R142" s="76"/>
      <c r="S142" s="197"/>
      <c r="T142" s="198"/>
      <c r="U142" s="197"/>
      <c r="V142" s="198"/>
      <c r="W142" s="198"/>
      <c r="X142" s="198"/>
      <c r="Y142" s="198"/>
      <c r="Z142" s="198"/>
    </row>
    <row r="143">
      <c r="A143" s="403"/>
      <c r="B143" s="198"/>
      <c r="C143" s="403"/>
      <c r="D143" s="142"/>
      <c r="E143" s="403"/>
      <c r="F143" s="198"/>
      <c r="G143" s="403"/>
      <c r="H143" s="198"/>
      <c r="I143" s="410"/>
      <c r="J143" s="142"/>
      <c r="K143" s="410"/>
      <c r="L143" s="142"/>
      <c r="M143" s="410"/>
      <c r="N143" s="142"/>
      <c r="O143" s="403"/>
      <c r="P143" s="198"/>
      <c r="Q143" s="411"/>
      <c r="R143" s="76"/>
      <c r="S143" s="197"/>
      <c r="T143" s="198"/>
      <c r="U143" s="197"/>
      <c r="V143" s="198"/>
      <c r="W143" s="198"/>
      <c r="X143" s="198"/>
      <c r="Y143" s="198"/>
      <c r="Z143" s="198"/>
    </row>
    <row r="144">
      <c r="A144" s="403"/>
      <c r="B144" s="198"/>
      <c r="C144" s="403"/>
      <c r="D144" s="142"/>
      <c r="E144" s="403"/>
      <c r="F144" s="198"/>
      <c r="G144" s="403"/>
      <c r="H144" s="198"/>
      <c r="I144" s="410"/>
      <c r="J144" s="142"/>
      <c r="K144" s="410"/>
      <c r="L144" s="142"/>
      <c r="M144" s="410"/>
      <c r="N144" s="142"/>
      <c r="O144" s="403"/>
      <c r="P144" s="198"/>
      <c r="Q144" s="411"/>
      <c r="R144" s="76"/>
      <c r="S144" s="197"/>
      <c r="T144" s="198"/>
      <c r="U144" s="197"/>
      <c r="V144" s="198"/>
      <c r="W144" s="198"/>
      <c r="X144" s="198"/>
      <c r="Y144" s="198"/>
      <c r="Z144" s="198"/>
    </row>
    <row r="145">
      <c r="A145" s="403"/>
      <c r="B145" s="198"/>
      <c r="C145" s="403"/>
      <c r="D145" s="142"/>
      <c r="E145" s="403"/>
      <c r="F145" s="198"/>
      <c r="G145" s="403"/>
      <c r="H145" s="198"/>
      <c r="I145" s="410"/>
      <c r="J145" s="142"/>
      <c r="K145" s="410"/>
      <c r="L145" s="142"/>
      <c r="M145" s="410"/>
      <c r="N145" s="142"/>
      <c r="O145" s="403"/>
      <c r="P145" s="198"/>
      <c r="Q145" s="411"/>
      <c r="R145" s="76"/>
      <c r="S145" s="197"/>
      <c r="T145" s="198"/>
      <c r="U145" s="197"/>
      <c r="V145" s="198"/>
      <c r="W145" s="198"/>
      <c r="X145" s="198"/>
      <c r="Y145" s="198"/>
      <c r="Z145" s="198"/>
    </row>
    <row r="146">
      <c r="A146" s="403"/>
      <c r="B146" s="198"/>
      <c r="C146" s="403"/>
      <c r="D146" s="142"/>
      <c r="E146" s="403"/>
      <c r="F146" s="198"/>
      <c r="G146" s="403"/>
      <c r="H146" s="198"/>
      <c r="I146" s="410"/>
      <c r="J146" s="142"/>
      <c r="K146" s="410"/>
      <c r="L146" s="142"/>
      <c r="M146" s="410"/>
      <c r="N146" s="142"/>
      <c r="O146" s="403"/>
      <c r="P146" s="198"/>
      <c r="Q146" s="411"/>
      <c r="R146" s="76"/>
      <c r="S146" s="197"/>
      <c r="T146" s="198"/>
      <c r="U146" s="197"/>
      <c r="V146" s="198"/>
      <c r="W146" s="198"/>
      <c r="X146" s="198"/>
      <c r="Y146" s="198"/>
      <c r="Z146" s="198"/>
    </row>
    <row r="147">
      <c r="A147" s="403"/>
      <c r="B147" s="198"/>
      <c r="C147" s="403"/>
      <c r="D147" s="142"/>
      <c r="E147" s="403"/>
      <c r="F147" s="198"/>
      <c r="G147" s="403"/>
      <c r="H147" s="198"/>
      <c r="I147" s="410"/>
      <c r="J147" s="142"/>
      <c r="K147" s="410"/>
      <c r="L147" s="142"/>
      <c r="M147" s="410"/>
      <c r="N147" s="142"/>
      <c r="O147" s="403"/>
      <c r="P147" s="198"/>
      <c r="Q147" s="411"/>
      <c r="R147" s="76"/>
      <c r="S147" s="197"/>
      <c r="T147" s="198"/>
      <c r="U147" s="197"/>
      <c r="V147" s="198"/>
      <c r="W147" s="198"/>
      <c r="X147" s="198"/>
      <c r="Y147" s="198"/>
      <c r="Z147" s="198"/>
    </row>
    <row r="148">
      <c r="A148" s="403"/>
      <c r="B148" s="198"/>
      <c r="C148" s="403"/>
      <c r="D148" s="142"/>
      <c r="E148" s="403"/>
      <c r="F148" s="198"/>
      <c r="G148" s="403"/>
      <c r="H148" s="198"/>
      <c r="I148" s="410"/>
      <c r="J148" s="142"/>
      <c r="K148" s="410"/>
      <c r="L148" s="142"/>
      <c r="M148" s="410"/>
      <c r="N148" s="142"/>
      <c r="O148" s="403"/>
      <c r="P148" s="198"/>
      <c r="Q148" s="411"/>
      <c r="R148" s="76"/>
      <c r="S148" s="197"/>
      <c r="T148" s="198"/>
      <c r="U148" s="197"/>
      <c r="V148" s="198"/>
      <c r="W148" s="198"/>
      <c r="X148" s="198"/>
      <c r="Y148" s="198"/>
      <c r="Z148" s="198"/>
    </row>
    <row r="149">
      <c r="A149" s="403"/>
      <c r="B149" s="198"/>
      <c r="C149" s="403"/>
      <c r="D149" s="142"/>
      <c r="E149" s="403"/>
      <c r="F149" s="198"/>
      <c r="G149" s="403"/>
      <c r="H149" s="198"/>
      <c r="I149" s="410"/>
      <c r="J149" s="142"/>
      <c r="K149" s="410"/>
      <c r="L149" s="142"/>
      <c r="M149" s="410"/>
      <c r="N149" s="142"/>
      <c r="O149" s="403"/>
      <c r="P149" s="198"/>
      <c r="Q149" s="411"/>
      <c r="R149" s="76"/>
      <c r="S149" s="197"/>
      <c r="T149" s="198"/>
      <c r="U149" s="197"/>
      <c r="V149" s="198"/>
      <c r="W149" s="198"/>
      <c r="X149" s="198"/>
      <c r="Y149" s="198"/>
      <c r="Z149" s="198"/>
    </row>
    <row r="150">
      <c r="A150" s="403"/>
      <c r="B150" s="198"/>
      <c r="C150" s="403"/>
      <c r="D150" s="142"/>
      <c r="E150" s="403"/>
      <c r="F150" s="198"/>
      <c r="G150" s="403"/>
      <c r="H150" s="198"/>
      <c r="I150" s="410"/>
      <c r="J150" s="142"/>
      <c r="K150" s="410"/>
      <c r="L150" s="142"/>
      <c r="M150" s="410"/>
      <c r="N150" s="142"/>
      <c r="O150" s="403"/>
      <c r="P150" s="198"/>
      <c r="Q150" s="411"/>
      <c r="R150" s="76"/>
      <c r="S150" s="197"/>
      <c r="T150" s="198"/>
      <c r="U150" s="197"/>
      <c r="V150" s="198"/>
      <c r="W150" s="198"/>
      <c r="X150" s="198"/>
      <c r="Y150" s="198"/>
      <c r="Z150" s="198"/>
    </row>
    <row r="151">
      <c r="A151" s="403"/>
      <c r="B151" s="198"/>
      <c r="C151" s="403"/>
      <c r="D151" s="142"/>
      <c r="E151" s="403"/>
      <c r="F151" s="198"/>
      <c r="G151" s="403"/>
      <c r="H151" s="198"/>
      <c r="I151" s="410"/>
      <c r="J151" s="142"/>
      <c r="K151" s="410"/>
      <c r="L151" s="142"/>
      <c r="M151" s="410"/>
      <c r="N151" s="142"/>
      <c r="O151" s="403"/>
      <c r="P151" s="198"/>
      <c r="Q151" s="411"/>
      <c r="R151" s="76"/>
      <c r="S151" s="197"/>
      <c r="T151" s="198"/>
      <c r="U151" s="197"/>
      <c r="V151" s="198"/>
      <c r="W151" s="198"/>
      <c r="X151" s="198"/>
      <c r="Y151" s="198"/>
      <c r="Z151" s="198"/>
    </row>
    <row r="152">
      <c r="A152" s="403"/>
      <c r="B152" s="198"/>
      <c r="C152" s="403"/>
      <c r="D152" s="142"/>
      <c r="E152" s="403"/>
      <c r="F152" s="198"/>
      <c r="G152" s="403"/>
      <c r="H152" s="198"/>
      <c r="I152" s="410"/>
      <c r="J152" s="142"/>
      <c r="K152" s="410"/>
      <c r="L152" s="142"/>
      <c r="M152" s="410"/>
      <c r="N152" s="142"/>
      <c r="O152" s="403"/>
      <c r="P152" s="198"/>
      <c r="Q152" s="411"/>
      <c r="R152" s="76"/>
      <c r="S152" s="197"/>
      <c r="T152" s="198"/>
      <c r="U152" s="197"/>
      <c r="V152" s="198"/>
      <c r="W152" s="198"/>
      <c r="X152" s="198"/>
      <c r="Y152" s="198"/>
      <c r="Z152" s="198"/>
    </row>
    <row r="153">
      <c r="A153" s="403"/>
      <c r="B153" s="198"/>
      <c r="C153" s="403"/>
      <c r="D153" s="142"/>
      <c r="E153" s="403"/>
      <c r="F153" s="198"/>
      <c r="G153" s="403"/>
      <c r="H153" s="198"/>
      <c r="I153" s="410"/>
      <c r="J153" s="142"/>
      <c r="K153" s="410"/>
      <c r="L153" s="142"/>
      <c r="M153" s="410"/>
      <c r="N153" s="142"/>
      <c r="O153" s="403"/>
      <c r="P153" s="198"/>
      <c r="Q153" s="411"/>
      <c r="R153" s="76"/>
      <c r="S153" s="197"/>
      <c r="T153" s="198"/>
      <c r="U153" s="197"/>
      <c r="V153" s="198"/>
      <c r="W153" s="198"/>
      <c r="X153" s="198"/>
      <c r="Y153" s="198"/>
      <c r="Z153" s="198"/>
    </row>
    <row r="154">
      <c r="A154" s="403"/>
      <c r="B154" s="198"/>
      <c r="C154" s="403"/>
      <c r="D154" s="142"/>
      <c r="E154" s="403"/>
      <c r="F154" s="198"/>
      <c r="G154" s="403"/>
      <c r="H154" s="198"/>
      <c r="I154" s="410"/>
      <c r="J154" s="142"/>
      <c r="K154" s="410"/>
      <c r="L154" s="142"/>
      <c r="M154" s="410"/>
      <c r="N154" s="142"/>
      <c r="O154" s="403"/>
      <c r="P154" s="198"/>
      <c r="Q154" s="411"/>
      <c r="R154" s="76"/>
      <c r="S154" s="197"/>
      <c r="T154" s="198"/>
      <c r="U154" s="197"/>
      <c r="V154" s="198"/>
      <c r="W154" s="198"/>
      <c r="X154" s="198"/>
      <c r="Y154" s="198"/>
      <c r="Z154" s="198"/>
    </row>
    <row r="155">
      <c r="A155" s="403"/>
      <c r="B155" s="198"/>
      <c r="C155" s="403"/>
      <c r="D155" s="142"/>
      <c r="E155" s="403"/>
      <c r="F155" s="198"/>
      <c r="G155" s="403"/>
      <c r="H155" s="198"/>
      <c r="I155" s="410"/>
      <c r="J155" s="142"/>
      <c r="K155" s="410"/>
      <c r="L155" s="142"/>
      <c r="M155" s="410"/>
      <c r="N155" s="142"/>
      <c r="O155" s="403"/>
      <c r="P155" s="198"/>
      <c r="Q155" s="411"/>
      <c r="R155" s="76"/>
      <c r="S155" s="197"/>
      <c r="T155" s="198"/>
      <c r="U155" s="197"/>
      <c r="V155" s="198"/>
      <c r="W155" s="198"/>
      <c r="X155" s="198"/>
      <c r="Y155" s="198"/>
      <c r="Z155" s="198"/>
    </row>
    <row r="156">
      <c r="A156" s="403"/>
      <c r="B156" s="198"/>
      <c r="C156" s="403"/>
      <c r="D156" s="142"/>
      <c r="E156" s="403"/>
      <c r="F156" s="198"/>
      <c r="G156" s="403"/>
      <c r="H156" s="198"/>
      <c r="I156" s="410"/>
      <c r="J156" s="142"/>
      <c r="K156" s="410"/>
      <c r="L156" s="142"/>
      <c r="M156" s="410"/>
      <c r="N156" s="142"/>
      <c r="O156" s="403"/>
      <c r="P156" s="198"/>
      <c r="Q156" s="411"/>
      <c r="R156" s="76"/>
      <c r="S156" s="197"/>
      <c r="T156" s="198"/>
      <c r="U156" s="197"/>
      <c r="V156" s="198"/>
      <c r="W156" s="198"/>
      <c r="X156" s="198"/>
      <c r="Y156" s="198"/>
      <c r="Z156" s="198"/>
    </row>
    <row r="157">
      <c r="A157" s="403"/>
      <c r="B157" s="198"/>
      <c r="C157" s="403"/>
      <c r="D157" s="142"/>
      <c r="E157" s="403"/>
      <c r="F157" s="198"/>
      <c r="G157" s="403"/>
      <c r="H157" s="198"/>
      <c r="I157" s="410"/>
      <c r="J157" s="142"/>
      <c r="K157" s="410"/>
      <c r="L157" s="142"/>
      <c r="M157" s="410"/>
      <c r="N157" s="142"/>
      <c r="O157" s="403"/>
      <c r="P157" s="198"/>
      <c r="Q157" s="411"/>
      <c r="R157" s="76"/>
      <c r="S157" s="197"/>
      <c r="T157" s="198"/>
      <c r="U157" s="197"/>
      <c r="V157" s="198"/>
      <c r="W157" s="198"/>
      <c r="X157" s="198"/>
      <c r="Y157" s="198"/>
      <c r="Z157" s="198"/>
    </row>
    <row r="158">
      <c r="A158" s="403"/>
      <c r="B158" s="198"/>
      <c r="C158" s="403"/>
      <c r="D158" s="142"/>
      <c r="E158" s="403"/>
      <c r="F158" s="198"/>
      <c r="G158" s="403"/>
      <c r="H158" s="198"/>
      <c r="I158" s="410"/>
      <c r="J158" s="142"/>
      <c r="K158" s="410"/>
      <c r="L158" s="142"/>
      <c r="M158" s="410"/>
      <c r="N158" s="142"/>
      <c r="O158" s="403"/>
      <c r="P158" s="198"/>
      <c r="Q158" s="411"/>
      <c r="R158" s="76"/>
      <c r="S158" s="197"/>
      <c r="T158" s="198"/>
      <c r="U158" s="197"/>
      <c r="V158" s="198"/>
      <c r="W158" s="198"/>
      <c r="X158" s="198"/>
      <c r="Y158" s="198"/>
      <c r="Z158" s="198"/>
    </row>
    <row r="159">
      <c r="A159" s="403"/>
      <c r="B159" s="198"/>
      <c r="C159" s="403"/>
      <c r="D159" s="142"/>
      <c r="E159" s="403"/>
      <c r="F159" s="198"/>
      <c r="G159" s="403"/>
      <c r="H159" s="198"/>
      <c r="I159" s="410"/>
      <c r="J159" s="142"/>
      <c r="K159" s="410"/>
      <c r="L159" s="142"/>
      <c r="M159" s="410"/>
      <c r="N159" s="142"/>
      <c r="O159" s="403"/>
      <c r="P159" s="198"/>
      <c r="Q159" s="411"/>
      <c r="R159" s="76"/>
      <c r="S159" s="197"/>
      <c r="T159" s="198"/>
      <c r="U159" s="197"/>
      <c r="V159" s="198"/>
      <c r="W159" s="198"/>
      <c r="X159" s="198"/>
      <c r="Y159" s="198"/>
      <c r="Z159" s="198"/>
    </row>
    <row r="160">
      <c r="A160" s="403"/>
      <c r="B160" s="198"/>
      <c r="C160" s="403"/>
      <c r="D160" s="142"/>
      <c r="E160" s="403"/>
      <c r="F160" s="198"/>
      <c r="G160" s="403"/>
      <c r="H160" s="198"/>
      <c r="I160" s="410"/>
      <c r="J160" s="142"/>
      <c r="K160" s="410"/>
      <c r="L160" s="142"/>
      <c r="M160" s="410"/>
      <c r="N160" s="142"/>
      <c r="O160" s="403"/>
      <c r="P160" s="198"/>
      <c r="Q160" s="411"/>
      <c r="R160" s="76"/>
      <c r="S160" s="197"/>
      <c r="T160" s="198"/>
      <c r="U160" s="197"/>
      <c r="V160" s="198"/>
      <c r="W160" s="198"/>
      <c r="X160" s="198"/>
      <c r="Y160" s="198"/>
      <c r="Z160" s="198"/>
    </row>
    <row r="161">
      <c r="A161" s="403"/>
      <c r="B161" s="198"/>
      <c r="C161" s="403"/>
      <c r="D161" s="142"/>
      <c r="E161" s="403"/>
      <c r="F161" s="198"/>
      <c r="G161" s="403"/>
      <c r="H161" s="198"/>
      <c r="I161" s="410"/>
      <c r="J161" s="142"/>
      <c r="K161" s="410"/>
      <c r="L161" s="142"/>
      <c r="M161" s="410"/>
      <c r="N161" s="142"/>
      <c r="O161" s="403"/>
      <c r="P161" s="198"/>
      <c r="Q161" s="411"/>
      <c r="R161" s="76"/>
      <c r="S161" s="197"/>
      <c r="T161" s="198"/>
      <c r="U161" s="197"/>
      <c r="V161" s="198"/>
      <c r="W161" s="198"/>
      <c r="X161" s="198"/>
      <c r="Y161" s="198"/>
      <c r="Z161" s="198"/>
    </row>
    <row r="162">
      <c r="A162" s="403"/>
      <c r="B162" s="198"/>
      <c r="C162" s="403"/>
      <c r="D162" s="142"/>
      <c r="E162" s="403"/>
      <c r="F162" s="198"/>
      <c r="G162" s="403"/>
      <c r="H162" s="198"/>
      <c r="I162" s="410"/>
      <c r="J162" s="142"/>
      <c r="K162" s="410"/>
      <c r="L162" s="142"/>
      <c r="M162" s="410"/>
      <c r="N162" s="142"/>
      <c r="O162" s="403"/>
      <c r="P162" s="198"/>
      <c r="Q162" s="411"/>
      <c r="R162" s="76"/>
      <c r="S162" s="197"/>
      <c r="T162" s="198"/>
      <c r="U162" s="197"/>
      <c r="V162" s="198"/>
      <c r="W162" s="198"/>
      <c r="X162" s="198"/>
      <c r="Y162" s="198"/>
      <c r="Z162" s="198"/>
    </row>
    <row r="163">
      <c r="A163" s="403"/>
      <c r="B163" s="198"/>
      <c r="C163" s="403"/>
      <c r="D163" s="142"/>
      <c r="E163" s="403"/>
      <c r="F163" s="198"/>
      <c r="G163" s="403"/>
      <c r="H163" s="198"/>
      <c r="I163" s="410"/>
      <c r="J163" s="142"/>
      <c r="K163" s="410"/>
      <c r="L163" s="142"/>
      <c r="M163" s="410"/>
      <c r="N163" s="142"/>
      <c r="O163" s="403"/>
      <c r="P163" s="198"/>
      <c r="Q163" s="411"/>
      <c r="R163" s="76"/>
      <c r="S163" s="197"/>
      <c r="T163" s="198"/>
      <c r="U163" s="197"/>
      <c r="V163" s="198"/>
      <c r="W163" s="198"/>
      <c r="X163" s="198"/>
      <c r="Y163" s="198"/>
      <c r="Z163" s="198"/>
    </row>
    <row r="164">
      <c r="A164" s="403"/>
      <c r="B164" s="198"/>
      <c r="C164" s="403"/>
      <c r="D164" s="142"/>
      <c r="E164" s="403"/>
      <c r="F164" s="198"/>
      <c r="G164" s="403"/>
      <c r="H164" s="198"/>
      <c r="I164" s="410"/>
      <c r="J164" s="142"/>
      <c r="K164" s="410"/>
      <c r="L164" s="142"/>
      <c r="M164" s="410"/>
      <c r="N164" s="142"/>
      <c r="O164" s="403"/>
      <c r="P164" s="198"/>
      <c r="Q164" s="411"/>
      <c r="R164" s="76"/>
      <c r="S164" s="197"/>
      <c r="T164" s="198"/>
      <c r="U164" s="197"/>
      <c r="V164" s="198"/>
      <c r="W164" s="198"/>
      <c r="X164" s="198"/>
      <c r="Y164" s="198"/>
      <c r="Z164" s="198"/>
    </row>
    <row r="165">
      <c r="A165" s="403"/>
      <c r="B165" s="198"/>
      <c r="C165" s="403"/>
      <c r="D165" s="142"/>
      <c r="E165" s="403"/>
      <c r="F165" s="198"/>
      <c r="G165" s="403"/>
      <c r="H165" s="198"/>
      <c r="I165" s="410"/>
      <c r="J165" s="142"/>
      <c r="K165" s="410"/>
      <c r="L165" s="142"/>
      <c r="M165" s="410"/>
      <c r="N165" s="142"/>
      <c r="O165" s="403"/>
      <c r="P165" s="198"/>
      <c r="Q165" s="411"/>
      <c r="R165" s="76"/>
      <c r="S165" s="197"/>
      <c r="T165" s="198"/>
      <c r="U165" s="197"/>
      <c r="V165" s="198"/>
      <c r="W165" s="198"/>
      <c r="X165" s="198"/>
      <c r="Y165" s="198"/>
      <c r="Z165" s="198"/>
    </row>
    <row r="166">
      <c r="A166" s="403"/>
      <c r="B166" s="198"/>
      <c r="C166" s="403"/>
      <c r="D166" s="142"/>
      <c r="E166" s="403"/>
      <c r="F166" s="198"/>
      <c r="G166" s="403"/>
      <c r="H166" s="198"/>
      <c r="I166" s="410"/>
      <c r="J166" s="142"/>
      <c r="K166" s="410"/>
      <c r="L166" s="142"/>
      <c r="M166" s="410"/>
      <c r="N166" s="142"/>
      <c r="O166" s="403"/>
      <c r="P166" s="198"/>
      <c r="Q166" s="411"/>
      <c r="R166" s="76"/>
      <c r="S166" s="197"/>
      <c r="T166" s="198"/>
      <c r="U166" s="197"/>
      <c r="V166" s="198"/>
      <c r="W166" s="198"/>
      <c r="X166" s="198"/>
      <c r="Y166" s="198"/>
      <c r="Z166" s="198"/>
    </row>
    <row r="167">
      <c r="A167" s="403"/>
      <c r="B167" s="198"/>
      <c r="C167" s="403"/>
      <c r="D167" s="142"/>
      <c r="E167" s="403"/>
      <c r="F167" s="198"/>
      <c r="G167" s="403"/>
      <c r="H167" s="198"/>
      <c r="I167" s="410"/>
      <c r="J167" s="142"/>
      <c r="K167" s="410"/>
      <c r="L167" s="142"/>
      <c r="M167" s="410"/>
      <c r="N167" s="142"/>
      <c r="O167" s="403"/>
      <c r="P167" s="198"/>
      <c r="Q167" s="411"/>
      <c r="R167" s="76"/>
      <c r="S167" s="197"/>
      <c r="T167" s="198"/>
      <c r="U167" s="197"/>
      <c r="V167" s="198"/>
      <c r="W167" s="198"/>
      <c r="X167" s="198"/>
      <c r="Y167" s="198"/>
      <c r="Z167" s="198"/>
    </row>
    <row r="168">
      <c r="A168" s="403"/>
      <c r="B168" s="198"/>
      <c r="C168" s="403"/>
      <c r="D168" s="142"/>
      <c r="E168" s="403"/>
      <c r="F168" s="198"/>
      <c r="G168" s="403"/>
      <c r="H168" s="198"/>
      <c r="I168" s="410"/>
      <c r="J168" s="142"/>
      <c r="K168" s="410"/>
      <c r="L168" s="142"/>
      <c r="M168" s="410"/>
      <c r="N168" s="142"/>
      <c r="O168" s="403"/>
      <c r="P168" s="198"/>
      <c r="Q168" s="411"/>
      <c r="R168" s="76"/>
      <c r="S168" s="197"/>
      <c r="T168" s="198"/>
      <c r="U168" s="197"/>
      <c r="V168" s="198"/>
      <c r="W168" s="198"/>
      <c r="X168" s="198"/>
      <c r="Y168" s="198"/>
      <c r="Z168" s="198"/>
    </row>
    <row r="169">
      <c r="A169" s="403"/>
      <c r="B169" s="198"/>
      <c r="C169" s="403"/>
      <c r="D169" s="142"/>
      <c r="E169" s="403"/>
      <c r="F169" s="198"/>
      <c r="G169" s="403"/>
      <c r="H169" s="198"/>
      <c r="I169" s="410"/>
      <c r="J169" s="142"/>
      <c r="K169" s="410"/>
      <c r="L169" s="142"/>
      <c r="M169" s="410"/>
      <c r="N169" s="142"/>
      <c r="O169" s="403"/>
      <c r="P169" s="198"/>
      <c r="Q169" s="411"/>
      <c r="R169" s="76"/>
      <c r="S169" s="197"/>
      <c r="T169" s="198"/>
      <c r="U169" s="197"/>
      <c r="V169" s="198"/>
      <c r="W169" s="198"/>
      <c r="X169" s="198"/>
      <c r="Y169" s="198"/>
      <c r="Z169" s="198"/>
    </row>
    <row r="170">
      <c r="A170" s="403"/>
      <c r="B170" s="198"/>
      <c r="C170" s="403"/>
      <c r="D170" s="142"/>
      <c r="E170" s="403"/>
      <c r="F170" s="198"/>
      <c r="G170" s="403"/>
      <c r="H170" s="198"/>
      <c r="I170" s="410"/>
      <c r="J170" s="142"/>
      <c r="K170" s="410"/>
      <c r="L170" s="142"/>
      <c r="M170" s="410"/>
      <c r="N170" s="142"/>
      <c r="O170" s="403"/>
      <c r="P170" s="198"/>
      <c r="Q170" s="411"/>
      <c r="R170" s="76"/>
      <c r="S170" s="197"/>
      <c r="T170" s="198"/>
      <c r="U170" s="197"/>
      <c r="V170" s="198"/>
      <c r="W170" s="198"/>
      <c r="X170" s="198"/>
      <c r="Y170" s="198"/>
      <c r="Z170" s="198"/>
    </row>
    <row r="171">
      <c r="A171" s="403"/>
      <c r="B171" s="198"/>
      <c r="C171" s="403"/>
      <c r="D171" s="142"/>
      <c r="E171" s="403"/>
      <c r="F171" s="198"/>
      <c r="G171" s="403"/>
      <c r="H171" s="198"/>
      <c r="I171" s="410"/>
      <c r="J171" s="142"/>
      <c r="K171" s="410"/>
      <c r="L171" s="142"/>
      <c r="M171" s="410"/>
      <c r="N171" s="142"/>
      <c r="O171" s="403"/>
      <c r="P171" s="198"/>
      <c r="Q171" s="411"/>
      <c r="R171" s="76"/>
      <c r="S171" s="197"/>
      <c r="T171" s="198"/>
      <c r="U171" s="197"/>
      <c r="V171" s="198"/>
      <c r="W171" s="198"/>
      <c r="X171" s="198"/>
      <c r="Y171" s="198"/>
      <c r="Z171" s="198"/>
    </row>
    <row r="172">
      <c r="A172" s="403"/>
      <c r="B172" s="198"/>
      <c r="C172" s="403"/>
      <c r="D172" s="142"/>
      <c r="E172" s="403"/>
      <c r="F172" s="198"/>
      <c r="G172" s="403"/>
      <c r="H172" s="198"/>
      <c r="I172" s="410"/>
      <c r="J172" s="142"/>
      <c r="K172" s="410"/>
      <c r="L172" s="142"/>
      <c r="M172" s="410"/>
      <c r="N172" s="142"/>
      <c r="O172" s="403"/>
      <c r="P172" s="198"/>
      <c r="Q172" s="411"/>
      <c r="R172" s="76"/>
      <c r="S172" s="197"/>
      <c r="T172" s="198"/>
      <c r="U172" s="197"/>
      <c r="V172" s="198"/>
      <c r="W172" s="198"/>
      <c r="X172" s="198"/>
      <c r="Y172" s="198"/>
      <c r="Z172" s="198"/>
    </row>
    <row r="173">
      <c r="A173" s="403"/>
      <c r="B173" s="198"/>
      <c r="C173" s="403"/>
      <c r="D173" s="142"/>
      <c r="E173" s="403"/>
      <c r="F173" s="198"/>
      <c r="G173" s="403"/>
      <c r="H173" s="198"/>
      <c r="I173" s="410"/>
      <c r="J173" s="142"/>
      <c r="K173" s="410"/>
      <c r="L173" s="142"/>
      <c r="M173" s="410"/>
      <c r="N173" s="142"/>
      <c r="O173" s="403"/>
      <c r="P173" s="198"/>
      <c r="Q173" s="411"/>
      <c r="R173" s="76"/>
      <c r="S173" s="197"/>
      <c r="T173" s="198"/>
      <c r="U173" s="197"/>
      <c r="V173" s="198"/>
      <c r="W173" s="198"/>
      <c r="X173" s="198"/>
      <c r="Y173" s="198"/>
      <c r="Z173" s="198"/>
    </row>
    <row r="174">
      <c r="A174" s="403"/>
      <c r="B174" s="198"/>
      <c r="C174" s="403"/>
      <c r="D174" s="142"/>
      <c r="E174" s="403"/>
      <c r="F174" s="198"/>
      <c r="G174" s="403"/>
      <c r="H174" s="198"/>
      <c r="I174" s="410"/>
      <c r="J174" s="142"/>
      <c r="K174" s="410"/>
      <c r="L174" s="142"/>
      <c r="M174" s="410"/>
      <c r="N174" s="142"/>
      <c r="O174" s="403"/>
      <c r="P174" s="198"/>
      <c r="Q174" s="411"/>
      <c r="R174" s="76"/>
      <c r="S174" s="197"/>
      <c r="T174" s="198"/>
      <c r="U174" s="197"/>
      <c r="V174" s="198"/>
      <c r="W174" s="198"/>
      <c r="X174" s="198"/>
      <c r="Y174" s="198"/>
      <c r="Z174" s="198"/>
    </row>
    <row r="175">
      <c r="A175" s="403"/>
      <c r="B175" s="198"/>
      <c r="C175" s="403"/>
      <c r="D175" s="142"/>
      <c r="E175" s="403"/>
      <c r="F175" s="198"/>
      <c r="G175" s="403"/>
      <c r="H175" s="198"/>
      <c r="I175" s="410"/>
      <c r="J175" s="142"/>
      <c r="K175" s="410"/>
      <c r="L175" s="142"/>
      <c r="M175" s="410"/>
      <c r="N175" s="142"/>
      <c r="O175" s="403"/>
      <c r="P175" s="198"/>
      <c r="Q175" s="411"/>
      <c r="R175" s="76"/>
      <c r="S175" s="197"/>
      <c r="T175" s="198"/>
      <c r="U175" s="197"/>
      <c r="V175" s="198"/>
      <c r="W175" s="198"/>
      <c r="X175" s="198"/>
      <c r="Y175" s="198"/>
      <c r="Z175" s="198"/>
    </row>
    <row r="176">
      <c r="A176" s="403"/>
      <c r="B176" s="198"/>
      <c r="C176" s="403"/>
      <c r="D176" s="142"/>
      <c r="E176" s="403"/>
      <c r="F176" s="198"/>
      <c r="G176" s="403"/>
      <c r="H176" s="198"/>
      <c r="I176" s="410"/>
      <c r="J176" s="142"/>
      <c r="K176" s="410"/>
      <c r="L176" s="142"/>
      <c r="M176" s="410"/>
      <c r="N176" s="142"/>
      <c r="O176" s="403"/>
      <c r="P176" s="198"/>
      <c r="Q176" s="411"/>
      <c r="R176" s="76"/>
      <c r="S176" s="197"/>
      <c r="T176" s="198"/>
      <c r="U176" s="197"/>
      <c r="V176" s="198"/>
      <c r="W176" s="198"/>
      <c r="X176" s="198"/>
      <c r="Y176" s="198"/>
      <c r="Z176" s="198"/>
    </row>
    <row r="177">
      <c r="A177" s="403"/>
      <c r="B177" s="198"/>
      <c r="C177" s="403"/>
      <c r="D177" s="142"/>
      <c r="E177" s="403"/>
      <c r="F177" s="198"/>
      <c r="G177" s="403"/>
      <c r="H177" s="198"/>
      <c r="I177" s="410"/>
      <c r="J177" s="142"/>
      <c r="K177" s="410"/>
      <c r="L177" s="142"/>
      <c r="M177" s="410"/>
      <c r="N177" s="142"/>
      <c r="O177" s="403"/>
      <c r="P177" s="198"/>
      <c r="Q177" s="411"/>
      <c r="R177" s="76"/>
      <c r="S177" s="197"/>
      <c r="T177" s="198"/>
      <c r="U177" s="197"/>
      <c r="V177" s="198"/>
      <c r="W177" s="198"/>
      <c r="X177" s="198"/>
      <c r="Y177" s="198"/>
      <c r="Z177" s="198"/>
    </row>
    <row r="178">
      <c r="A178" s="403"/>
      <c r="B178" s="198"/>
      <c r="C178" s="403"/>
      <c r="D178" s="142"/>
      <c r="E178" s="403"/>
      <c r="F178" s="198"/>
      <c r="G178" s="403"/>
      <c r="H178" s="198"/>
      <c r="I178" s="410"/>
      <c r="J178" s="142"/>
      <c r="K178" s="410"/>
      <c r="L178" s="142"/>
      <c r="M178" s="410"/>
      <c r="N178" s="142"/>
      <c r="O178" s="403"/>
      <c r="P178" s="198"/>
      <c r="Q178" s="411"/>
      <c r="R178" s="76"/>
      <c r="S178" s="197"/>
      <c r="T178" s="198"/>
      <c r="U178" s="197"/>
      <c r="V178" s="198"/>
      <c r="W178" s="198"/>
      <c r="X178" s="198"/>
      <c r="Y178" s="198"/>
      <c r="Z178" s="198"/>
    </row>
    <row r="179">
      <c r="A179" s="403"/>
      <c r="B179" s="198"/>
      <c r="C179" s="403"/>
      <c r="D179" s="142"/>
      <c r="E179" s="403"/>
      <c r="F179" s="198"/>
      <c r="G179" s="403"/>
      <c r="H179" s="198"/>
      <c r="I179" s="410"/>
      <c r="J179" s="142"/>
      <c r="K179" s="410"/>
      <c r="L179" s="142"/>
      <c r="M179" s="410"/>
      <c r="N179" s="142"/>
      <c r="O179" s="403"/>
      <c r="P179" s="198"/>
      <c r="Q179" s="411"/>
      <c r="R179" s="76"/>
      <c r="S179" s="197"/>
      <c r="T179" s="198"/>
      <c r="U179" s="197"/>
      <c r="V179" s="198"/>
      <c r="W179" s="198"/>
      <c r="X179" s="198"/>
      <c r="Y179" s="198"/>
      <c r="Z179" s="198"/>
    </row>
    <row r="180">
      <c r="A180" s="403"/>
      <c r="B180" s="198"/>
      <c r="C180" s="403"/>
      <c r="D180" s="142"/>
      <c r="E180" s="403"/>
      <c r="F180" s="198"/>
      <c r="G180" s="403"/>
      <c r="H180" s="198"/>
      <c r="I180" s="410"/>
      <c r="J180" s="142"/>
      <c r="K180" s="410"/>
      <c r="L180" s="142"/>
      <c r="M180" s="410"/>
      <c r="N180" s="142"/>
      <c r="O180" s="403"/>
      <c r="P180" s="198"/>
      <c r="Q180" s="411"/>
      <c r="R180" s="76"/>
      <c r="S180" s="197"/>
      <c r="T180" s="198"/>
      <c r="U180" s="197"/>
      <c r="V180" s="198"/>
      <c r="W180" s="198"/>
      <c r="X180" s="198"/>
      <c r="Y180" s="198"/>
      <c r="Z180" s="198"/>
    </row>
    <row r="181">
      <c r="A181" s="403"/>
      <c r="B181" s="198"/>
      <c r="C181" s="403"/>
      <c r="D181" s="142"/>
      <c r="E181" s="403"/>
      <c r="F181" s="198"/>
      <c r="G181" s="403"/>
      <c r="H181" s="198"/>
      <c r="I181" s="410"/>
      <c r="J181" s="142"/>
      <c r="K181" s="410"/>
      <c r="L181" s="142"/>
      <c r="M181" s="410"/>
      <c r="N181" s="142"/>
      <c r="O181" s="403"/>
      <c r="P181" s="198"/>
      <c r="Q181" s="411"/>
      <c r="R181" s="76"/>
      <c r="S181" s="197"/>
      <c r="T181" s="198"/>
      <c r="U181" s="197"/>
      <c r="V181" s="198"/>
      <c r="W181" s="198"/>
      <c r="X181" s="198"/>
      <c r="Y181" s="198"/>
      <c r="Z181" s="198"/>
    </row>
    <row r="182">
      <c r="A182" s="403"/>
      <c r="B182" s="198"/>
      <c r="C182" s="403"/>
      <c r="D182" s="142"/>
      <c r="E182" s="403"/>
      <c r="F182" s="198"/>
      <c r="G182" s="403"/>
      <c r="H182" s="198"/>
      <c r="I182" s="410"/>
      <c r="J182" s="142"/>
      <c r="K182" s="410"/>
      <c r="L182" s="142"/>
      <c r="M182" s="410"/>
      <c r="N182" s="142"/>
      <c r="O182" s="403"/>
      <c r="P182" s="198"/>
      <c r="Q182" s="411"/>
      <c r="R182" s="76"/>
      <c r="S182" s="197"/>
      <c r="T182" s="198"/>
      <c r="U182" s="197"/>
      <c r="V182" s="198"/>
      <c r="W182" s="198"/>
      <c r="X182" s="198"/>
      <c r="Y182" s="198"/>
      <c r="Z182" s="198"/>
    </row>
    <row r="183">
      <c r="A183" s="403"/>
      <c r="B183" s="198"/>
      <c r="C183" s="403"/>
      <c r="D183" s="142"/>
      <c r="E183" s="403"/>
      <c r="F183" s="198"/>
      <c r="G183" s="403"/>
      <c r="H183" s="198"/>
      <c r="I183" s="410"/>
      <c r="J183" s="142"/>
      <c r="K183" s="410"/>
      <c r="L183" s="142"/>
      <c r="M183" s="410"/>
      <c r="N183" s="142"/>
      <c r="O183" s="403"/>
      <c r="P183" s="198"/>
      <c r="Q183" s="411"/>
      <c r="R183" s="76"/>
      <c r="S183" s="197"/>
      <c r="T183" s="198"/>
      <c r="U183" s="197"/>
      <c r="V183" s="198"/>
      <c r="W183" s="198"/>
      <c r="X183" s="198"/>
      <c r="Y183" s="198"/>
      <c r="Z183" s="198"/>
    </row>
    <row r="184">
      <c r="A184" s="403"/>
      <c r="B184" s="198"/>
      <c r="C184" s="403"/>
      <c r="D184" s="142"/>
      <c r="E184" s="403"/>
      <c r="F184" s="198"/>
      <c r="G184" s="403"/>
      <c r="H184" s="198"/>
      <c r="I184" s="410"/>
      <c r="J184" s="142"/>
      <c r="K184" s="410"/>
      <c r="L184" s="142"/>
      <c r="M184" s="410"/>
      <c r="N184" s="142"/>
      <c r="O184" s="403"/>
      <c r="P184" s="198"/>
      <c r="Q184" s="411"/>
      <c r="R184" s="76"/>
      <c r="S184" s="197"/>
      <c r="T184" s="198"/>
      <c r="U184" s="197"/>
      <c r="V184" s="198"/>
      <c r="W184" s="198"/>
      <c r="X184" s="198"/>
      <c r="Y184" s="198"/>
      <c r="Z184" s="198"/>
    </row>
    <row r="185">
      <c r="A185" s="403"/>
      <c r="B185" s="198"/>
      <c r="C185" s="403"/>
      <c r="D185" s="142"/>
      <c r="E185" s="403"/>
      <c r="F185" s="198"/>
      <c r="G185" s="403"/>
      <c r="H185" s="198"/>
      <c r="I185" s="410"/>
      <c r="J185" s="142"/>
      <c r="K185" s="410"/>
      <c r="L185" s="142"/>
      <c r="M185" s="410"/>
      <c r="N185" s="142"/>
      <c r="O185" s="403"/>
      <c r="P185" s="198"/>
      <c r="Q185" s="411"/>
      <c r="R185" s="76"/>
      <c r="S185" s="197"/>
      <c r="T185" s="198"/>
      <c r="U185" s="197"/>
      <c r="V185" s="198"/>
      <c r="W185" s="198"/>
      <c r="X185" s="198"/>
      <c r="Y185" s="198"/>
      <c r="Z185" s="198"/>
    </row>
    <row r="186">
      <c r="A186" s="403"/>
      <c r="B186" s="198"/>
      <c r="C186" s="403"/>
      <c r="D186" s="142"/>
      <c r="E186" s="403"/>
      <c r="F186" s="198"/>
      <c r="G186" s="403"/>
      <c r="H186" s="198"/>
      <c r="I186" s="410"/>
      <c r="J186" s="142"/>
      <c r="K186" s="410"/>
      <c r="L186" s="142"/>
      <c r="M186" s="410"/>
      <c r="N186" s="142"/>
      <c r="O186" s="403"/>
      <c r="P186" s="198"/>
      <c r="Q186" s="411"/>
      <c r="R186" s="76"/>
      <c r="S186" s="197"/>
      <c r="T186" s="198"/>
      <c r="U186" s="197"/>
      <c r="V186" s="198"/>
      <c r="W186" s="198"/>
      <c r="X186" s="198"/>
      <c r="Y186" s="198"/>
      <c r="Z186" s="198"/>
    </row>
    <row r="187">
      <c r="A187" s="403"/>
      <c r="B187" s="198"/>
      <c r="C187" s="403"/>
      <c r="D187" s="142"/>
      <c r="E187" s="403"/>
      <c r="F187" s="198"/>
      <c r="G187" s="403"/>
      <c r="H187" s="198"/>
      <c r="I187" s="410"/>
      <c r="J187" s="142"/>
      <c r="K187" s="410"/>
      <c r="L187" s="142"/>
      <c r="M187" s="410"/>
      <c r="N187" s="142"/>
      <c r="O187" s="403"/>
      <c r="P187" s="198"/>
      <c r="Q187" s="411"/>
      <c r="R187" s="76"/>
      <c r="S187" s="197"/>
      <c r="T187" s="198"/>
      <c r="U187" s="197"/>
      <c r="V187" s="198"/>
      <c r="W187" s="198"/>
      <c r="X187" s="198"/>
      <c r="Y187" s="198"/>
      <c r="Z187" s="198"/>
    </row>
    <row r="188">
      <c r="A188" s="403"/>
      <c r="B188" s="198"/>
      <c r="C188" s="403"/>
      <c r="D188" s="142"/>
      <c r="E188" s="403"/>
      <c r="F188" s="198"/>
      <c r="G188" s="403"/>
      <c r="H188" s="198"/>
      <c r="I188" s="410"/>
      <c r="J188" s="142"/>
      <c r="K188" s="410"/>
      <c r="L188" s="142"/>
      <c r="M188" s="410"/>
      <c r="N188" s="142"/>
      <c r="O188" s="403"/>
      <c r="P188" s="198"/>
      <c r="Q188" s="411"/>
      <c r="R188" s="76"/>
      <c r="S188" s="197"/>
      <c r="T188" s="198"/>
      <c r="U188" s="197"/>
      <c r="V188" s="198"/>
      <c r="W188" s="198"/>
      <c r="X188" s="198"/>
      <c r="Y188" s="198"/>
      <c r="Z188" s="198"/>
    </row>
    <row r="189">
      <c r="A189" s="403"/>
      <c r="B189" s="198"/>
      <c r="C189" s="403"/>
      <c r="D189" s="142"/>
      <c r="E189" s="403"/>
      <c r="F189" s="198"/>
      <c r="G189" s="403"/>
      <c r="H189" s="198"/>
      <c r="I189" s="410"/>
      <c r="J189" s="142"/>
      <c r="K189" s="410"/>
      <c r="L189" s="142"/>
      <c r="M189" s="410"/>
      <c r="N189" s="142"/>
      <c r="O189" s="403"/>
      <c r="P189" s="198"/>
      <c r="Q189" s="411"/>
      <c r="R189" s="76"/>
      <c r="S189" s="197"/>
      <c r="T189" s="198"/>
      <c r="U189" s="197"/>
      <c r="V189" s="198"/>
      <c r="W189" s="198"/>
      <c r="X189" s="198"/>
      <c r="Y189" s="198"/>
      <c r="Z189" s="198"/>
    </row>
    <row r="190">
      <c r="A190" s="403"/>
      <c r="B190" s="198"/>
      <c r="C190" s="403"/>
      <c r="D190" s="142"/>
      <c r="E190" s="403"/>
      <c r="F190" s="198"/>
      <c r="G190" s="403"/>
      <c r="H190" s="198"/>
      <c r="I190" s="410"/>
      <c r="J190" s="142"/>
      <c r="K190" s="410"/>
      <c r="L190" s="142"/>
      <c r="M190" s="410"/>
      <c r="N190" s="142"/>
      <c r="O190" s="403"/>
      <c r="P190" s="198"/>
      <c r="Q190" s="411"/>
      <c r="R190" s="76"/>
      <c r="S190" s="197"/>
      <c r="T190" s="198"/>
      <c r="U190" s="197"/>
      <c r="V190" s="198"/>
      <c r="W190" s="198"/>
      <c r="X190" s="198"/>
      <c r="Y190" s="198"/>
      <c r="Z190" s="198"/>
    </row>
    <row r="191">
      <c r="A191" s="403"/>
      <c r="B191" s="198"/>
      <c r="C191" s="403"/>
      <c r="D191" s="142"/>
      <c r="E191" s="403"/>
      <c r="F191" s="198"/>
      <c r="G191" s="403"/>
      <c r="H191" s="198"/>
      <c r="I191" s="410"/>
      <c r="J191" s="142"/>
      <c r="K191" s="410"/>
      <c r="L191" s="142"/>
      <c r="M191" s="410"/>
      <c r="N191" s="142"/>
      <c r="O191" s="403"/>
      <c r="P191" s="198"/>
      <c r="Q191" s="411"/>
      <c r="R191" s="76"/>
      <c r="S191" s="197"/>
      <c r="T191" s="198"/>
      <c r="U191" s="197"/>
      <c r="V191" s="198"/>
      <c r="W191" s="198"/>
      <c r="X191" s="198"/>
      <c r="Y191" s="198"/>
      <c r="Z191" s="198"/>
    </row>
    <row r="192">
      <c r="A192" s="403"/>
      <c r="B192" s="198"/>
      <c r="C192" s="403"/>
      <c r="D192" s="142"/>
      <c r="E192" s="403"/>
      <c r="F192" s="198"/>
      <c r="G192" s="403"/>
      <c r="H192" s="198"/>
      <c r="I192" s="410"/>
      <c r="J192" s="142"/>
      <c r="K192" s="410"/>
      <c r="L192" s="142"/>
      <c r="M192" s="410"/>
      <c r="N192" s="142"/>
      <c r="O192" s="403"/>
      <c r="P192" s="198"/>
      <c r="Q192" s="411"/>
      <c r="R192" s="76"/>
      <c r="S192" s="197"/>
      <c r="T192" s="198"/>
      <c r="U192" s="197"/>
      <c r="V192" s="198"/>
      <c r="W192" s="198"/>
      <c r="X192" s="198"/>
      <c r="Y192" s="198"/>
      <c r="Z192" s="198"/>
    </row>
    <row r="193">
      <c r="A193" s="403"/>
      <c r="B193" s="198"/>
      <c r="C193" s="403"/>
      <c r="D193" s="142"/>
      <c r="E193" s="403"/>
      <c r="F193" s="198"/>
      <c r="G193" s="403"/>
      <c r="H193" s="198"/>
      <c r="I193" s="410"/>
      <c r="J193" s="142"/>
      <c r="K193" s="410"/>
      <c r="L193" s="142"/>
      <c r="M193" s="410"/>
      <c r="N193" s="142"/>
      <c r="O193" s="403"/>
      <c r="P193" s="198"/>
      <c r="Q193" s="411"/>
      <c r="R193" s="76"/>
      <c r="S193" s="197"/>
      <c r="T193" s="198"/>
      <c r="U193" s="197"/>
      <c r="V193" s="198"/>
      <c r="W193" s="198"/>
      <c r="X193" s="198"/>
      <c r="Y193" s="198"/>
      <c r="Z193" s="198"/>
    </row>
    <row r="194">
      <c r="A194" s="403"/>
      <c r="B194" s="198"/>
      <c r="C194" s="403"/>
      <c r="D194" s="142"/>
      <c r="E194" s="403"/>
      <c r="F194" s="198"/>
      <c r="G194" s="403"/>
      <c r="H194" s="198"/>
      <c r="I194" s="410"/>
      <c r="J194" s="142"/>
      <c r="K194" s="410"/>
      <c r="L194" s="142"/>
      <c r="M194" s="410"/>
      <c r="N194" s="142"/>
      <c r="O194" s="403"/>
      <c r="P194" s="198"/>
      <c r="Q194" s="411"/>
      <c r="R194" s="76"/>
      <c r="S194" s="197"/>
      <c r="T194" s="198"/>
      <c r="U194" s="197"/>
      <c r="V194" s="198"/>
      <c r="W194" s="198"/>
      <c r="X194" s="198"/>
      <c r="Y194" s="198"/>
      <c r="Z194" s="198"/>
    </row>
    <row r="195">
      <c r="A195" s="403"/>
      <c r="B195" s="198"/>
      <c r="C195" s="403"/>
      <c r="D195" s="142"/>
      <c r="E195" s="403"/>
      <c r="F195" s="198"/>
      <c r="G195" s="403"/>
      <c r="H195" s="198"/>
      <c r="I195" s="410"/>
      <c r="J195" s="142"/>
      <c r="K195" s="410"/>
      <c r="L195" s="142"/>
      <c r="M195" s="410"/>
      <c r="N195" s="142"/>
      <c r="O195" s="403"/>
      <c r="P195" s="198"/>
      <c r="Q195" s="411"/>
      <c r="R195" s="76"/>
      <c r="S195" s="197"/>
      <c r="T195" s="198"/>
      <c r="U195" s="197"/>
      <c r="V195" s="198"/>
      <c r="W195" s="198"/>
      <c r="X195" s="198"/>
      <c r="Y195" s="198"/>
      <c r="Z195" s="198"/>
    </row>
    <row r="196">
      <c r="A196" s="403"/>
      <c r="B196" s="198"/>
      <c r="C196" s="403"/>
      <c r="D196" s="142"/>
      <c r="E196" s="403"/>
      <c r="F196" s="198"/>
      <c r="G196" s="403"/>
      <c r="H196" s="198"/>
      <c r="I196" s="410"/>
      <c r="J196" s="142"/>
      <c r="K196" s="410"/>
      <c r="L196" s="142"/>
      <c r="M196" s="410"/>
      <c r="N196" s="142"/>
      <c r="O196" s="403"/>
      <c r="P196" s="198"/>
      <c r="Q196" s="411"/>
      <c r="R196" s="76"/>
      <c r="S196" s="197"/>
      <c r="T196" s="198"/>
      <c r="U196" s="197"/>
      <c r="V196" s="198"/>
      <c r="W196" s="198"/>
      <c r="X196" s="198"/>
      <c r="Y196" s="198"/>
      <c r="Z196" s="198"/>
    </row>
    <row r="197">
      <c r="A197" s="403"/>
      <c r="B197" s="198"/>
      <c r="C197" s="403"/>
      <c r="D197" s="142"/>
      <c r="E197" s="403"/>
      <c r="F197" s="198"/>
      <c r="G197" s="403"/>
      <c r="H197" s="198"/>
      <c r="I197" s="410"/>
      <c r="J197" s="142"/>
      <c r="K197" s="410"/>
      <c r="L197" s="142"/>
      <c r="M197" s="410"/>
      <c r="N197" s="142"/>
      <c r="O197" s="403"/>
      <c r="P197" s="198"/>
      <c r="Q197" s="411"/>
      <c r="R197" s="76"/>
      <c r="S197" s="197"/>
      <c r="T197" s="198"/>
      <c r="U197" s="197"/>
      <c r="V197" s="198"/>
      <c r="W197" s="198"/>
      <c r="X197" s="198"/>
      <c r="Y197" s="198"/>
      <c r="Z197" s="198"/>
    </row>
    <row r="198">
      <c r="A198" s="403"/>
      <c r="B198" s="198"/>
      <c r="C198" s="403"/>
      <c r="D198" s="142"/>
      <c r="E198" s="403"/>
      <c r="F198" s="198"/>
      <c r="G198" s="403"/>
      <c r="H198" s="198"/>
      <c r="I198" s="410"/>
      <c r="J198" s="142"/>
      <c r="K198" s="410"/>
      <c r="L198" s="142"/>
      <c r="M198" s="410"/>
      <c r="N198" s="142"/>
      <c r="O198" s="403"/>
      <c r="P198" s="198"/>
      <c r="Q198" s="411"/>
      <c r="R198" s="76"/>
      <c r="S198" s="197"/>
      <c r="T198" s="198"/>
      <c r="U198" s="197"/>
      <c r="V198" s="198"/>
      <c r="W198" s="198"/>
      <c r="X198" s="198"/>
      <c r="Y198" s="198"/>
      <c r="Z198" s="198"/>
    </row>
    <row r="199">
      <c r="A199" s="403"/>
      <c r="B199" s="198"/>
      <c r="C199" s="403"/>
      <c r="D199" s="142"/>
      <c r="E199" s="403"/>
      <c r="F199" s="198"/>
      <c r="G199" s="403"/>
      <c r="H199" s="198"/>
      <c r="I199" s="410"/>
      <c r="J199" s="142"/>
      <c r="K199" s="410"/>
      <c r="L199" s="142"/>
      <c r="M199" s="410"/>
      <c r="N199" s="142"/>
      <c r="O199" s="403"/>
      <c r="P199" s="198"/>
      <c r="Q199" s="411"/>
      <c r="R199" s="76"/>
      <c r="S199" s="197"/>
      <c r="T199" s="198"/>
      <c r="U199" s="197"/>
      <c r="V199" s="198"/>
      <c r="W199" s="198"/>
      <c r="X199" s="198"/>
      <c r="Y199" s="198"/>
      <c r="Z199" s="198"/>
    </row>
    <row r="200">
      <c r="A200" s="403"/>
      <c r="B200" s="198"/>
      <c r="C200" s="403"/>
      <c r="D200" s="142"/>
      <c r="E200" s="403"/>
      <c r="F200" s="198"/>
      <c r="G200" s="403"/>
      <c r="H200" s="198"/>
      <c r="I200" s="410"/>
      <c r="J200" s="142"/>
      <c r="K200" s="410"/>
      <c r="L200" s="142"/>
      <c r="M200" s="410"/>
      <c r="N200" s="142"/>
      <c r="O200" s="403"/>
      <c r="P200" s="198"/>
      <c r="Q200" s="411"/>
      <c r="R200" s="76"/>
      <c r="S200" s="197"/>
      <c r="T200" s="198"/>
      <c r="U200" s="197"/>
      <c r="V200" s="198"/>
      <c r="W200" s="198"/>
      <c r="X200" s="198"/>
      <c r="Y200" s="198"/>
      <c r="Z200" s="198"/>
    </row>
    <row r="201">
      <c r="A201" s="403"/>
      <c r="B201" s="198"/>
      <c r="C201" s="403"/>
      <c r="D201" s="142"/>
      <c r="E201" s="403"/>
      <c r="F201" s="198"/>
      <c r="G201" s="403"/>
      <c r="H201" s="198"/>
      <c r="I201" s="410"/>
      <c r="J201" s="142"/>
      <c r="K201" s="410"/>
      <c r="L201" s="142"/>
      <c r="M201" s="410"/>
      <c r="N201" s="142"/>
      <c r="O201" s="403"/>
      <c r="P201" s="198"/>
      <c r="Q201" s="411"/>
      <c r="R201" s="76"/>
      <c r="S201" s="197"/>
      <c r="T201" s="198"/>
      <c r="U201" s="197"/>
      <c r="V201" s="198"/>
      <c r="W201" s="198"/>
      <c r="X201" s="198"/>
      <c r="Y201" s="198"/>
      <c r="Z201" s="198"/>
    </row>
    <row r="202">
      <c r="A202" s="403"/>
      <c r="B202" s="198"/>
      <c r="C202" s="403"/>
      <c r="D202" s="142"/>
      <c r="E202" s="403"/>
      <c r="F202" s="198"/>
      <c r="G202" s="403"/>
      <c r="H202" s="198"/>
      <c r="I202" s="410"/>
      <c r="J202" s="142"/>
      <c r="K202" s="410"/>
      <c r="L202" s="142"/>
      <c r="M202" s="410"/>
      <c r="N202" s="142"/>
      <c r="O202" s="403"/>
      <c r="P202" s="198"/>
      <c r="Q202" s="411"/>
      <c r="R202" s="76"/>
      <c r="S202" s="197"/>
      <c r="T202" s="198"/>
      <c r="U202" s="197"/>
      <c r="V202" s="198"/>
      <c r="W202" s="198"/>
      <c r="X202" s="198"/>
      <c r="Y202" s="198"/>
      <c r="Z202" s="198"/>
    </row>
    <row r="203">
      <c r="A203" s="403"/>
      <c r="B203" s="198"/>
      <c r="C203" s="403"/>
      <c r="D203" s="142"/>
      <c r="E203" s="403"/>
      <c r="F203" s="198"/>
      <c r="G203" s="403"/>
      <c r="H203" s="198"/>
      <c r="I203" s="410"/>
      <c r="J203" s="142"/>
      <c r="K203" s="410"/>
      <c r="L203" s="142"/>
      <c r="M203" s="410"/>
      <c r="N203" s="142"/>
      <c r="O203" s="403"/>
      <c r="P203" s="198"/>
      <c r="Q203" s="411"/>
      <c r="R203" s="76"/>
      <c r="S203" s="197"/>
      <c r="T203" s="198"/>
      <c r="U203" s="197"/>
      <c r="V203" s="198"/>
      <c r="W203" s="198"/>
      <c r="X203" s="198"/>
      <c r="Y203" s="198"/>
      <c r="Z203" s="198"/>
    </row>
    <row r="204">
      <c r="A204" s="403"/>
      <c r="B204" s="198"/>
      <c r="C204" s="403"/>
      <c r="D204" s="142"/>
      <c r="E204" s="403"/>
      <c r="F204" s="198"/>
      <c r="G204" s="403"/>
      <c r="H204" s="198"/>
      <c r="I204" s="410"/>
      <c r="J204" s="142"/>
      <c r="K204" s="410"/>
      <c r="L204" s="142"/>
      <c r="M204" s="410"/>
      <c r="N204" s="142"/>
      <c r="O204" s="403"/>
      <c r="P204" s="198"/>
      <c r="Q204" s="411"/>
      <c r="R204" s="76"/>
      <c r="S204" s="197"/>
      <c r="T204" s="198"/>
      <c r="U204" s="197"/>
      <c r="V204" s="198"/>
      <c r="W204" s="198"/>
      <c r="X204" s="198"/>
      <c r="Y204" s="198"/>
      <c r="Z204" s="198"/>
    </row>
    <row r="205">
      <c r="A205" s="403"/>
      <c r="B205" s="198"/>
      <c r="C205" s="403"/>
      <c r="D205" s="142"/>
      <c r="E205" s="403"/>
      <c r="F205" s="198"/>
      <c r="G205" s="403"/>
      <c r="H205" s="198"/>
      <c r="I205" s="410"/>
      <c r="J205" s="142"/>
      <c r="K205" s="410"/>
      <c r="L205" s="142"/>
      <c r="M205" s="410"/>
      <c r="N205" s="142"/>
      <c r="O205" s="403"/>
      <c r="P205" s="198"/>
      <c r="Q205" s="411"/>
      <c r="R205" s="76"/>
      <c r="S205" s="197"/>
      <c r="T205" s="198"/>
      <c r="U205" s="197"/>
      <c r="V205" s="198"/>
      <c r="W205" s="198"/>
      <c r="X205" s="198"/>
      <c r="Y205" s="198"/>
      <c r="Z205" s="198"/>
    </row>
    <row r="206">
      <c r="A206" s="403"/>
      <c r="B206" s="198"/>
      <c r="C206" s="403"/>
      <c r="D206" s="142"/>
      <c r="E206" s="403"/>
      <c r="F206" s="198"/>
      <c r="G206" s="403"/>
      <c r="H206" s="198"/>
      <c r="I206" s="410"/>
      <c r="J206" s="142"/>
      <c r="K206" s="410"/>
      <c r="L206" s="142"/>
      <c r="M206" s="410"/>
      <c r="N206" s="142"/>
      <c r="O206" s="403"/>
      <c r="P206" s="198"/>
      <c r="Q206" s="411"/>
      <c r="R206" s="76"/>
      <c r="S206" s="197"/>
      <c r="T206" s="198"/>
      <c r="U206" s="197"/>
      <c r="V206" s="198"/>
      <c r="W206" s="198"/>
      <c r="X206" s="198"/>
      <c r="Y206" s="198"/>
      <c r="Z206" s="198"/>
    </row>
    <row r="207">
      <c r="A207" s="403"/>
      <c r="B207" s="198"/>
      <c r="C207" s="403"/>
      <c r="D207" s="142"/>
      <c r="E207" s="403"/>
      <c r="F207" s="198"/>
      <c r="G207" s="403"/>
      <c r="H207" s="198"/>
      <c r="I207" s="410"/>
      <c r="J207" s="142"/>
      <c r="K207" s="410"/>
      <c r="L207" s="142"/>
      <c r="M207" s="410"/>
      <c r="N207" s="142"/>
      <c r="O207" s="403"/>
      <c r="P207" s="198"/>
      <c r="Q207" s="411"/>
      <c r="R207" s="76"/>
      <c r="S207" s="197"/>
      <c r="T207" s="198"/>
      <c r="U207" s="197"/>
      <c r="V207" s="198"/>
      <c r="W207" s="198"/>
      <c r="X207" s="198"/>
      <c r="Y207" s="198"/>
      <c r="Z207" s="198"/>
    </row>
    <row r="208">
      <c r="A208" s="403"/>
      <c r="B208" s="198"/>
      <c r="C208" s="403"/>
      <c r="D208" s="142"/>
      <c r="E208" s="403"/>
      <c r="F208" s="198"/>
      <c r="G208" s="403"/>
      <c r="H208" s="198"/>
      <c r="I208" s="410"/>
      <c r="J208" s="142"/>
      <c r="K208" s="410"/>
      <c r="L208" s="142"/>
      <c r="M208" s="410"/>
      <c r="N208" s="142"/>
      <c r="O208" s="403"/>
      <c r="P208" s="198"/>
      <c r="Q208" s="411"/>
      <c r="R208" s="76"/>
      <c r="S208" s="197"/>
      <c r="T208" s="198"/>
      <c r="U208" s="197"/>
      <c r="V208" s="198"/>
      <c r="W208" s="198"/>
      <c r="X208" s="198"/>
      <c r="Y208" s="198"/>
      <c r="Z208" s="198"/>
    </row>
    <row r="209">
      <c r="A209" s="403"/>
      <c r="B209" s="198"/>
      <c r="C209" s="403"/>
      <c r="D209" s="142"/>
      <c r="E209" s="403"/>
      <c r="F209" s="198"/>
      <c r="G209" s="403"/>
      <c r="H209" s="198"/>
      <c r="I209" s="410"/>
      <c r="J209" s="142"/>
      <c r="K209" s="410"/>
      <c r="L209" s="142"/>
      <c r="M209" s="410"/>
      <c r="N209" s="142"/>
      <c r="O209" s="403"/>
      <c r="P209" s="198"/>
      <c r="Q209" s="411"/>
      <c r="R209" s="76"/>
      <c r="S209" s="197"/>
      <c r="T209" s="198"/>
      <c r="U209" s="197"/>
      <c r="V209" s="198"/>
      <c r="W209" s="198"/>
      <c r="X209" s="198"/>
      <c r="Y209" s="198"/>
      <c r="Z209" s="198"/>
    </row>
    <row r="210">
      <c r="A210" s="403"/>
      <c r="B210" s="198"/>
      <c r="C210" s="403"/>
      <c r="D210" s="142"/>
      <c r="E210" s="403"/>
      <c r="F210" s="198"/>
      <c r="G210" s="403"/>
      <c r="H210" s="198"/>
      <c r="I210" s="410"/>
      <c r="J210" s="142"/>
      <c r="K210" s="410"/>
      <c r="L210" s="142"/>
      <c r="M210" s="410"/>
      <c r="N210" s="142"/>
      <c r="O210" s="403"/>
      <c r="P210" s="198"/>
      <c r="Q210" s="411"/>
      <c r="R210" s="76"/>
      <c r="S210" s="197"/>
      <c r="T210" s="198"/>
      <c r="U210" s="197"/>
      <c r="V210" s="198"/>
      <c r="W210" s="198"/>
      <c r="X210" s="198"/>
      <c r="Y210" s="198"/>
      <c r="Z210" s="198"/>
    </row>
    <row r="211">
      <c r="A211" s="403"/>
      <c r="B211" s="198"/>
      <c r="C211" s="403"/>
      <c r="D211" s="142"/>
      <c r="E211" s="403"/>
      <c r="F211" s="198"/>
      <c r="G211" s="403"/>
      <c r="H211" s="198"/>
      <c r="I211" s="410"/>
      <c r="J211" s="142"/>
      <c r="K211" s="410"/>
      <c r="L211" s="142"/>
      <c r="M211" s="410"/>
      <c r="N211" s="142"/>
      <c r="O211" s="403"/>
      <c r="P211" s="198"/>
      <c r="Q211" s="411"/>
      <c r="R211" s="76"/>
      <c r="S211" s="197"/>
      <c r="T211" s="198"/>
      <c r="U211" s="197"/>
      <c r="V211" s="198"/>
      <c r="W211" s="198"/>
      <c r="X211" s="198"/>
      <c r="Y211" s="198"/>
      <c r="Z211" s="198"/>
    </row>
    <row r="212">
      <c r="A212" s="403"/>
      <c r="B212" s="198"/>
      <c r="C212" s="403"/>
      <c r="D212" s="142"/>
      <c r="E212" s="403"/>
      <c r="F212" s="198"/>
      <c r="G212" s="403"/>
      <c r="H212" s="198"/>
      <c r="I212" s="410"/>
      <c r="J212" s="142"/>
      <c r="K212" s="410"/>
      <c r="L212" s="142"/>
      <c r="M212" s="410"/>
      <c r="N212" s="142"/>
      <c r="O212" s="403"/>
      <c r="P212" s="198"/>
      <c r="Q212" s="411"/>
      <c r="R212" s="76"/>
      <c r="S212" s="197"/>
      <c r="T212" s="198"/>
      <c r="U212" s="197"/>
      <c r="V212" s="198"/>
      <c r="W212" s="198"/>
      <c r="X212" s="198"/>
      <c r="Y212" s="198"/>
      <c r="Z212" s="198"/>
    </row>
    <row r="213">
      <c r="A213" s="403"/>
      <c r="B213" s="198"/>
      <c r="C213" s="403"/>
      <c r="D213" s="142"/>
      <c r="E213" s="403"/>
      <c r="F213" s="198"/>
      <c r="G213" s="403"/>
      <c r="H213" s="198"/>
      <c r="I213" s="410"/>
      <c r="J213" s="142"/>
      <c r="K213" s="410"/>
      <c r="L213" s="142"/>
      <c r="M213" s="410"/>
      <c r="N213" s="142"/>
      <c r="O213" s="403"/>
      <c r="P213" s="198"/>
      <c r="Q213" s="411"/>
      <c r="R213" s="76"/>
      <c r="S213" s="197"/>
      <c r="T213" s="198"/>
      <c r="U213" s="197"/>
      <c r="V213" s="198"/>
      <c r="W213" s="198"/>
      <c r="X213" s="198"/>
      <c r="Y213" s="198"/>
      <c r="Z213" s="198"/>
    </row>
    <row r="214">
      <c r="A214" s="403"/>
      <c r="B214" s="198"/>
      <c r="C214" s="403"/>
      <c r="D214" s="142"/>
      <c r="E214" s="403"/>
      <c r="F214" s="198"/>
      <c r="G214" s="403"/>
      <c r="H214" s="198"/>
      <c r="I214" s="410"/>
      <c r="J214" s="142"/>
      <c r="K214" s="410"/>
      <c r="L214" s="142"/>
      <c r="M214" s="410"/>
      <c r="N214" s="142"/>
      <c r="O214" s="403"/>
      <c r="P214" s="198"/>
      <c r="Q214" s="411"/>
      <c r="R214" s="76"/>
      <c r="S214" s="197"/>
      <c r="T214" s="198"/>
      <c r="U214" s="197"/>
      <c r="V214" s="198"/>
      <c r="W214" s="198"/>
      <c r="X214" s="198"/>
      <c r="Y214" s="198"/>
      <c r="Z214" s="198"/>
    </row>
    <row r="215">
      <c r="A215" s="403"/>
      <c r="B215" s="198"/>
      <c r="C215" s="403"/>
      <c r="D215" s="142"/>
      <c r="E215" s="403"/>
      <c r="F215" s="198"/>
      <c r="G215" s="403"/>
      <c r="H215" s="198"/>
      <c r="I215" s="410"/>
      <c r="J215" s="142"/>
      <c r="K215" s="410"/>
      <c r="L215" s="142"/>
      <c r="M215" s="410"/>
      <c r="N215" s="142"/>
      <c r="O215" s="403"/>
      <c r="P215" s="198"/>
      <c r="Q215" s="411"/>
      <c r="R215" s="76"/>
      <c r="S215" s="197"/>
      <c r="T215" s="198"/>
      <c r="U215" s="197"/>
      <c r="V215" s="198"/>
      <c r="W215" s="198"/>
      <c r="X215" s="198"/>
      <c r="Y215" s="198"/>
      <c r="Z215" s="198"/>
    </row>
    <row r="216">
      <c r="A216" s="403"/>
      <c r="B216" s="198"/>
      <c r="C216" s="403"/>
      <c r="D216" s="142"/>
      <c r="E216" s="403"/>
      <c r="F216" s="198"/>
      <c r="G216" s="403"/>
      <c r="H216" s="198"/>
      <c r="I216" s="410"/>
      <c r="J216" s="142"/>
      <c r="K216" s="410"/>
      <c r="L216" s="142"/>
      <c r="M216" s="410"/>
      <c r="N216" s="142"/>
      <c r="O216" s="403"/>
      <c r="P216" s="198"/>
      <c r="Q216" s="411"/>
      <c r="R216" s="76"/>
      <c r="S216" s="197"/>
      <c r="T216" s="198"/>
      <c r="U216" s="197"/>
      <c r="V216" s="198"/>
      <c r="W216" s="198"/>
      <c r="X216" s="198"/>
      <c r="Y216" s="198"/>
      <c r="Z216" s="198"/>
    </row>
    <row r="217">
      <c r="A217" s="403"/>
      <c r="B217" s="198"/>
      <c r="C217" s="403"/>
      <c r="D217" s="142"/>
      <c r="E217" s="403"/>
      <c r="F217" s="198"/>
      <c r="G217" s="403"/>
      <c r="H217" s="198"/>
      <c r="I217" s="410"/>
      <c r="J217" s="142"/>
      <c r="K217" s="410"/>
      <c r="L217" s="142"/>
      <c r="M217" s="410"/>
      <c r="N217" s="142"/>
      <c r="O217" s="403"/>
      <c r="P217" s="198"/>
      <c r="Q217" s="411"/>
      <c r="R217" s="76"/>
      <c r="S217" s="197"/>
      <c r="T217" s="198"/>
      <c r="U217" s="197"/>
      <c r="V217" s="198"/>
      <c r="W217" s="198"/>
      <c r="X217" s="198"/>
      <c r="Y217" s="198"/>
      <c r="Z217" s="198"/>
    </row>
    <row r="218">
      <c r="A218" s="403"/>
      <c r="B218" s="198"/>
      <c r="C218" s="403"/>
      <c r="D218" s="142"/>
      <c r="E218" s="403"/>
      <c r="F218" s="198"/>
      <c r="G218" s="403"/>
      <c r="H218" s="198"/>
      <c r="I218" s="410"/>
      <c r="J218" s="142"/>
      <c r="K218" s="410"/>
      <c r="L218" s="142"/>
      <c r="M218" s="410"/>
      <c r="N218" s="142"/>
      <c r="O218" s="403"/>
      <c r="P218" s="198"/>
      <c r="Q218" s="411"/>
      <c r="R218" s="76"/>
      <c r="S218" s="197"/>
      <c r="T218" s="198"/>
      <c r="U218" s="197"/>
      <c r="V218" s="198"/>
      <c r="W218" s="198"/>
      <c r="X218" s="198"/>
      <c r="Y218" s="198"/>
      <c r="Z218" s="198"/>
    </row>
    <row r="219">
      <c r="A219" s="403"/>
      <c r="B219" s="198"/>
      <c r="C219" s="403"/>
      <c r="D219" s="142"/>
      <c r="E219" s="403"/>
      <c r="F219" s="198"/>
      <c r="G219" s="403"/>
      <c r="H219" s="198"/>
      <c r="I219" s="410"/>
      <c r="J219" s="142"/>
      <c r="K219" s="410"/>
      <c r="L219" s="142"/>
      <c r="M219" s="410"/>
      <c r="N219" s="142"/>
      <c r="O219" s="403"/>
      <c r="P219" s="198"/>
      <c r="Q219" s="411"/>
      <c r="R219" s="76"/>
      <c r="S219" s="197"/>
      <c r="T219" s="198"/>
      <c r="U219" s="197"/>
      <c r="V219" s="198"/>
      <c r="W219" s="198"/>
      <c r="X219" s="198"/>
      <c r="Y219" s="198"/>
      <c r="Z219" s="198"/>
    </row>
    <row r="220">
      <c r="A220" s="403"/>
      <c r="B220" s="198"/>
      <c r="C220" s="403"/>
      <c r="D220" s="142"/>
      <c r="E220" s="403"/>
      <c r="F220" s="198"/>
      <c r="G220" s="403"/>
      <c r="H220" s="198"/>
      <c r="I220" s="410"/>
      <c r="J220" s="142"/>
      <c r="K220" s="410"/>
      <c r="L220" s="142"/>
      <c r="M220" s="410"/>
      <c r="N220" s="142"/>
      <c r="O220" s="403"/>
      <c r="P220" s="198"/>
      <c r="Q220" s="411"/>
      <c r="R220" s="76"/>
      <c r="S220" s="197"/>
      <c r="T220" s="198"/>
      <c r="U220" s="197"/>
      <c r="V220" s="198"/>
      <c r="W220" s="198"/>
      <c r="X220" s="198"/>
      <c r="Y220" s="198"/>
      <c r="Z220" s="198"/>
    </row>
    <row r="221">
      <c r="A221" s="403"/>
      <c r="B221" s="198"/>
      <c r="C221" s="403"/>
      <c r="D221" s="142"/>
      <c r="E221" s="403"/>
      <c r="F221" s="198"/>
      <c r="G221" s="403"/>
      <c r="H221" s="198"/>
      <c r="I221" s="410"/>
      <c r="J221" s="142"/>
      <c r="K221" s="410"/>
      <c r="L221" s="142"/>
      <c r="M221" s="410"/>
      <c r="N221" s="142"/>
      <c r="O221" s="403"/>
      <c r="P221" s="198"/>
      <c r="Q221" s="411"/>
      <c r="R221" s="76"/>
      <c r="S221" s="197"/>
      <c r="T221" s="198"/>
      <c r="U221" s="197"/>
      <c r="V221" s="198"/>
      <c r="W221" s="198"/>
      <c r="X221" s="198"/>
      <c r="Y221" s="198"/>
      <c r="Z221" s="198"/>
    </row>
    <row r="222">
      <c r="A222" s="403"/>
      <c r="B222" s="198"/>
      <c r="C222" s="403"/>
      <c r="D222" s="142"/>
      <c r="E222" s="403"/>
      <c r="F222" s="198"/>
      <c r="G222" s="403"/>
      <c r="H222" s="198"/>
      <c r="I222" s="410"/>
      <c r="J222" s="142"/>
      <c r="K222" s="410"/>
      <c r="L222" s="142"/>
      <c r="M222" s="410"/>
      <c r="N222" s="142"/>
      <c r="O222" s="403"/>
      <c r="P222" s="198"/>
      <c r="Q222" s="411"/>
      <c r="R222" s="76"/>
      <c r="S222" s="197"/>
      <c r="T222" s="198"/>
      <c r="U222" s="197"/>
      <c r="V222" s="198"/>
      <c r="W222" s="198"/>
      <c r="X222" s="198"/>
      <c r="Y222" s="198"/>
      <c r="Z222" s="198"/>
    </row>
    <row r="223">
      <c r="A223" s="403"/>
      <c r="B223" s="198"/>
      <c r="C223" s="403"/>
      <c r="D223" s="142"/>
      <c r="E223" s="403"/>
      <c r="F223" s="198"/>
      <c r="G223" s="403"/>
      <c r="H223" s="198"/>
      <c r="I223" s="410"/>
      <c r="J223" s="142"/>
      <c r="K223" s="410"/>
      <c r="L223" s="142"/>
      <c r="M223" s="410"/>
      <c r="N223" s="142"/>
      <c r="O223" s="403"/>
      <c r="P223" s="198"/>
      <c r="Q223" s="411"/>
      <c r="R223" s="76"/>
      <c r="S223" s="197"/>
      <c r="T223" s="198"/>
      <c r="U223" s="197"/>
      <c r="V223" s="198"/>
      <c r="W223" s="198"/>
      <c r="X223" s="198"/>
      <c r="Y223" s="198"/>
      <c r="Z223" s="198"/>
    </row>
    <row r="224">
      <c r="A224" s="403"/>
      <c r="B224" s="198"/>
      <c r="C224" s="403"/>
      <c r="D224" s="142"/>
      <c r="E224" s="403"/>
      <c r="F224" s="198"/>
      <c r="G224" s="403"/>
      <c r="H224" s="198"/>
      <c r="I224" s="410"/>
      <c r="J224" s="142"/>
      <c r="K224" s="410"/>
      <c r="L224" s="142"/>
      <c r="M224" s="410"/>
      <c r="N224" s="142"/>
      <c r="O224" s="403"/>
      <c r="P224" s="198"/>
      <c r="Q224" s="411"/>
      <c r="R224" s="76"/>
      <c r="S224" s="197"/>
      <c r="T224" s="198"/>
      <c r="U224" s="197"/>
      <c r="V224" s="198"/>
      <c r="W224" s="198"/>
      <c r="X224" s="198"/>
      <c r="Y224" s="198"/>
      <c r="Z224" s="198"/>
    </row>
    <row r="225">
      <c r="A225" s="403"/>
      <c r="B225" s="198"/>
      <c r="C225" s="403"/>
      <c r="D225" s="142"/>
      <c r="E225" s="403"/>
      <c r="F225" s="198"/>
      <c r="G225" s="403"/>
      <c r="H225" s="198"/>
      <c r="I225" s="410"/>
      <c r="J225" s="142"/>
      <c r="K225" s="410"/>
      <c r="L225" s="142"/>
      <c r="M225" s="410"/>
      <c r="N225" s="142"/>
      <c r="O225" s="403"/>
      <c r="P225" s="198"/>
      <c r="Q225" s="411"/>
      <c r="R225" s="76"/>
      <c r="S225" s="197"/>
      <c r="T225" s="198"/>
      <c r="U225" s="197"/>
      <c r="V225" s="198"/>
      <c r="W225" s="198"/>
      <c r="X225" s="198"/>
      <c r="Y225" s="198"/>
      <c r="Z225" s="198"/>
    </row>
    <row r="226">
      <c r="A226" s="403"/>
      <c r="B226" s="198"/>
      <c r="C226" s="403"/>
      <c r="D226" s="142"/>
      <c r="E226" s="403"/>
      <c r="F226" s="198"/>
      <c r="G226" s="403"/>
      <c r="H226" s="198"/>
      <c r="I226" s="410"/>
      <c r="J226" s="142"/>
      <c r="K226" s="410"/>
      <c r="L226" s="142"/>
      <c r="M226" s="410"/>
      <c r="N226" s="142"/>
      <c r="O226" s="403"/>
      <c r="P226" s="198"/>
      <c r="Q226" s="411"/>
      <c r="R226" s="76"/>
      <c r="S226" s="197"/>
      <c r="T226" s="198"/>
      <c r="U226" s="197"/>
      <c r="V226" s="198"/>
      <c r="W226" s="198"/>
      <c r="X226" s="198"/>
      <c r="Y226" s="198"/>
      <c r="Z226" s="198"/>
    </row>
    <row r="227">
      <c r="A227" s="403"/>
      <c r="B227" s="198"/>
      <c r="C227" s="403"/>
      <c r="D227" s="142"/>
      <c r="E227" s="403"/>
      <c r="F227" s="198"/>
      <c r="G227" s="403"/>
      <c r="H227" s="198"/>
      <c r="I227" s="410"/>
      <c r="J227" s="142"/>
      <c r="K227" s="410"/>
      <c r="L227" s="142"/>
      <c r="M227" s="410"/>
      <c r="N227" s="142"/>
      <c r="O227" s="403"/>
      <c r="P227" s="198"/>
      <c r="Q227" s="411"/>
      <c r="R227" s="76"/>
      <c r="S227" s="197"/>
      <c r="T227" s="198"/>
      <c r="U227" s="197"/>
      <c r="V227" s="198"/>
      <c r="W227" s="198"/>
      <c r="X227" s="198"/>
      <c r="Y227" s="198"/>
      <c r="Z227" s="198"/>
    </row>
    <row r="228">
      <c r="A228" s="403"/>
      <c r="B228" s="198"/>
      <c r="C228" s="403"/>
      <c r="D228" s="142"/>
      <c r="E228" s="403"/>
      <c r="F228" s="198"/>
      <c r="G228" s="403"/>
      <c r="H228" s="198"/>
      <c r="I228" s="410"/>
      <c r="J228" s="142"/>
      <c r="K228" s="410"/>
      <c r="L228" s="142"/>
      <c r="M228" s="410"/>
      <c r="N228" s="142"/>
      <c r="O228" s="403"/>
      <c r="P228" s="198"/>
      <c r="Q228" s="411"/>
      <c r="R228" s="76"/>
      <c r="S228" s="197"/>
      <c r="T228" s="198"/>
      <c r="U228" s="197"/>
      <c r="V228" s="198"/>
      <c r="W228" s="198"/>
      <c r="X228" s="198"/>
      <c r="Y228" s="198"/>
      <c r="Z228" s="198"/>
    </row>
    <row r="229">
      <c r="A229" s="403"/>
      <c r="B229" s="198"/>
      <c r="C229" s="403"/>
      <c r="D229" s="142"/>
      <c r="E229" s="403"/>
      <c r="F229" s="198"/>
      <c r="G229" s="403"/>
      <c r="H229" s="198"/>
      <c r="I229" s="410"/>
      <c r="J229" s="142"/>
      <c r="K229" s="410"/>
      <c r="L229" s="142"/>
      <c r="M229" s="410"/>
      <c r="N229" s="142"/>
      <c r="O229" s="403"/>
      <c r="P229" s="198"/>
      <c r="Q229" s="411"/>
      <c r="R229" s="76"/>
      <c r="S229" s="197"/>
      <c r="T229" s="198"/>
      <c r="U229" s="197"/>
      <c r="V229" s="198"/>
      <c r="W229" s="198"/>
      <c r="X229" s="198"/>
      <c r="Y229" s="198"/>
      <c r="Z229" s="198"/>
    </row>
    <row r="230">
      <c r="A230" s="403"/>
      <c r="B230" s="198"/>
      <c r="C230" s="403"/>
      <c r="D230" s="142"/>
      <c r="E230" s="403"/>
      <c r="F230" s="198"/>
      <c r="G230" s="403"/>
      <c r="H230" s="198"/>
      <c r="I230" s="410"/>
      <c r="J230" s="142"/>
      <c r="K230" s="410"/>
      <c r="L230" s="142"/>
      <c r="M230" s="410"/>
      <c r="N230" s="142"/>
      <c r="O230" s="403"/>
      <c r="P230" s="198"/>
      <c r="Q230" s="411"/>
      <c r="R230" s="76"/>
      <c r="S230" s="197"/>
      <c r="T230" s="198"/>
      <c r="U230" s="197"/>
      <c r="V230" s="198"/>
      <c r="W230" s="198"/>
      <c r="X230" s="198"/>
      <c r="Y230" s="198"/>
      <c r="Z230" s="198"/>
    </row>
    <row r="231">
      <c r="A231" s="403"/>
      <c r="B231" s="198"/>
      <c r="C231" s="403"/>
      <c r="D231" s="142"/>
      <c r="E231" s="403"/>
      <c r="F231" s="198"/>
      <c r="G231" s="403"/>
      <c r="H231" s="198"/>
      <c r="I231" s="410"/>
      <c r="J231" s="142"/>
      <c r="K231" s="410"/>
      <c r="L231" s="142"/>
      <c r="M231" s="410"/>
      <c r="N231" s="142"/>
      <c r="O231" s="403"/>
      <c r="P231" s="198"/>
      <c r="Q231" s="411"/>
      <c r="R231" s="76"/>
      <c r="S231" s="197"/>
      <c r="T231" s="198"/>
      <c r="U231" s="197"/>
      <c r="V231" s="198"/>
      <c r="W231" s="198"/>
      <c r="X231" s="198"/>
      <c r="Y231" s="198"/>
      <c r="Z231" s="198"/>
    </row>
    <row r="232">
      <c r="A232" s="403"/>
      <c r="B232" s="198"/>
      <c r="C232" s="403"/>
      <c r="D232" s="142"/>
      <c r="E232" s="403"/>
      <c r="F232" s="198"/>
      <c r="G232" s="403"/>
      <c r="H232" s="198"/>
      <c r="I232" s="410"/>
      <c r="J232" s="142"/>
      <c r="K232" s="410"/>
      <c r="L232" s="142"/>
      <c r="M232" s="410"/>
      <c r="N232" s="142"/>
      <c r="O232" s="403"/>
      <c r="P232" s="198"/>
      <c r="Q232" s="411"/>
      <c r="R232" s="76"/>
      <c r="S232" s="197"/>
      <c r="T232" s="198"/>
      <c r="U232" s="197"/>
      <c r="V232" s="198"/>
      <c r="W232" s="198"/>
      <c r="X232" s="198"/>
      <c r="Y232" s="198"/>
      <c r="Z232" s="198"/>
    </row>
    <row r="233">
      <c r="A233" s="403"/>
      <c r="B233" s="198"/>
      <c r="C233" s="403"/>
      <c r="D233" s="142"/>
      <c r="E233" s="403"/>
      <c r="F233" s="198"/>
      <c r="G233" s="403"/>
      <c r="H233" s="198"/>
      <c r="I233" s="410"/>
      <c r="J233" s="142"/>
      <c r="K233" s="410"/>
      <c r="L233" s="142"/>
      <c r="M233" s="410"/>
      <c r="N233" s="142"/>
      <c r="O233" s="403"/>
      <c r="P233" s="198"/>
      <c r="Q233" s="411"/>
      <c r="R233" s="76"/>
      <c r="S233" s="197"/>
      <c r="T233" s="198"/>
      <c r="U233" s="197"/>
      <c r="V233" s="198"/>
      <c r="W233" s="198"/>
      <c r="X233" s="198"/>
      <c r="Y233" s="198"/>
      <c r="Z233" s="198"/>
    </row>
    <row r="234">
      <c r="A234" s="403"/>
      <c r="B234" s="198"/>
      <c r="C234" s="403"/>
      <c r="D234" s="142"/>
      <c r="E234" s="403"/>
      <c r="F234" s="198"/>
      <c r="G234" s="403"/>
      <c r="H234" s="198"/>
      <c r="I234" s="410"/>
      <c r="J234" s="142"/>
      <c r="K234" s="410"/>
      <c r="L234" s="142"/>
      <c r="M234" s="410"/>
      <c r="N234" s="142"/>
      <c r="O234" s="403"/>
      <c r="P234" s="198"/>
      <c r="Q234" s="411"/>
      <c r="R234" s="76"/>
      <c r="S234" s="197"/>
      <c r="T234" s="198"/>
      <c r="U234" s="197"/>
      <c r="V234" s="198"/>
      <c r="W234" s="198"/>
      <c r="X234" s="198"/>
      <c r="Y234" s="198"/>
      <c r="Z234" s="198"/>
    </row>
    <row r="235">
      <c r="A235" s="403"/>
      <c r="B235" s="198"/>
      <c r="C235" s="403"/>
      <c r="D235" s="142"/>
      <c r="E235" s="403"/>
      <c r="F235" s="198"/>
      <c r="G235" s="403"/>
      <c r="H235" s="198"/>
      <c r="I235" s="410"/>
      <c r="J235" s="142"/>
      <c r="K235" s="410"/>
      <c r="L235" s="142"/>
      <c r="M235" s="410"/>
      <c r="N235" s="142"/>
      <c r="O235" s="403"/>
      <c r="P235" s="198"/>
      <c r="Q235" s="411"/>
      <c r="R235" s="76"/>
      <c r="S235" s="197"/>
      <c r="T235" s="198"/>
      <c r="U235" s="197"/>
      <c r="V235" s="198"/>
      <c r="W235" s="198"/>
      <c r="X235" s="198"/>
      <c r="Y235" s="198"/>
      <c r="Z235" s="198"/>
    </row>
    <row r="236">
      <c r="A236" s="403"/>
      <c r="B236" s="198"/>
      <c r="C236" s="403"/>
      <c r="D236" s="142"/>
      <c r="E236" s="403"/>
      <c r="F236" s="198"/>
      <c r="G236" s="403"/>
      <c r="H236" s="198"/>
      <c r="I236" s="410"/>
      <c r="J236" s="142"/>
      <c r="K236" s="410"/>
      <c r="L236" s="142"/>
      <c r="M236" s="410"/>
      <c r="N236" s="142"/>
      <c r="O236" s="403"/>
      <c r="P236" s="198"/>
      <c r="Q236" s="411"/>
      <c r="R236" s="76"/>
      <c r="S236" s="197"/>
      <c r="T236" s="198"/>
      <c r="U236" s="197"/>
      <c r="V236" s="198"/>
      <c r="W236" s="198"/>
      <c r="X236" s="198"/>
      <c r="Y236" s="198"/>
      <c r="Z236" s="198"/>
    </row>
    <row r="237">
      <c r="A237" s="403"/>
      <c r="B237" s="198"/>
      <c r="C237" s="403"/>
      <c r="D237" s="142"/>
      <c r="E237" s="403"/>
      <c r="F237" s="198"/>
      <c r="G237" s="403"/>
      <c r="H237" s="198"/>
      <c r="I237" s="410"/>
      <c r="J237" s="142"/>
      <c r="K237" s="410"/>
      <c r="L237" s="142"/>
      <c r="M237" s="410"/>
      <c r="N237" s="142"/>
      <c r="O237" s="403"/>
      <c r="P237" s="198"/>
      <c r="Q237" s="411"/>
      <c r="R237" s="76"/>
      <c r="S237" s="197"/>
      <c r="T237" s="198"/>
      <c r="U237" s="197"/>
      <c r="V237" s="198"/>
      <c r="W237" s="198"/>
      <c r="X237" s="198"/>
      <c r="Y237" s="198"/>
      <c r="Z237" s="198"/>
    </row>
    <row r="238">
      <c r="A238" s="403"/>
      <c r="B238" s="198"/>
      <c r="C238" s="403"/>
      <c r="D238" s="142"/>
      <c r="E238" s="403"/>
      <c r="F238" s="198"/>
      <c r="G238" s="403"/>
      <c r="H238" s="198"/>
      <c r="I238" s="410"/>
      <c r="J238" s="142"/>
      <c r="K238" s="410"/>
      <c r="L238" s="142"/>
      <c r="M238" s="410"/>
      <c r="N238" s="142"/>
      <c r="O238" s="403"/>
      <c r="P238" s="198"/>
      <c r="Q238" s="411"/>
      <c r="R238" s="76"/>
      <c r="S238" s="197"/>
      <c r="T238" s="198"/>
      <c r="U238" s="197"/>
      <c r="V238" s="198"/>
      <c r="W238" s="198"/>
      <c r="X238" s="198"/>
      <c r="Y238" s="198"/>
      <c r="Z238" s="198"/>
    </row>
    <row r="239">
      <c r="A239" s="403"/>
      <c r="B239" s="198"/>
      <c r="C239" s="403"/>
      <c r="D239" s="142"/>
      <c r="E239" s="403"/>
      <c r="F239" s="198"/>
      <c r="G239" s="403"/>
      <c r="H239" s="198"/>
      <c r="I239" s="410"/>
      <c r="J239" s="142"/>
      <c r="K239" s="410"/>
      <c r="L239" s="142"/>
      <c r="M239" s="410"/>
      <c r="N239" s="142"/>
      <c r="O239" s="403"/>
      <c r="P239" s="198"/>
      <c r="Q239" s="411"/>
      <c r="R239" s="76"/>
      <c r="S239" s="197"/>
      <c r="T239" s="198"/>
      <c r="U239" s="197"/>
      <c r="V239" s="198"/>
      <c r="W239" s="198"/>
      <c r="X239" s="198"/>
      <c r="Y239" s="198"/>
      <c r="Z239" s="198"/>
    </row>
    <row r="240">
      <c r="A240" s="403"/>
      <c r="B240" s="198"/>
      <c r="C240" s="403"/>
      <c r="D240" s="142"/>
      <c r="E240" s="403"/>
      <c r="F240" s="198"/>
      <c r="G240" s="403"/>
      <c r="H240" s="198"/>
      <c r="I240" s="410"/>
      <c r="J240" s="142"/>
      <c r="K240" s="410"/>
      <c r="L240" s="142"/>
      <c r="M240" s="410"/>
      <c r="N240" s="142"/>
      <c r="O240" s="403"/>
      <c r="P240" s="198"/>
      <c r="Q240" s="411"/>
      <c r="R240" s="76"/>
      <c r="S240" s="197"/>
      <c r="T240" s="198"/>
      <c r="U240" s="197"/>
      <c r="V240" s="198"/>
      <c r="W240" s="198"/>
      <c r="X240" s="198"/>
      <c r="Y240" s="198"/>
      <c r="Z240" s="198"/>
    </row>
    <row r="241">
      <c r="A241" s="403"/>
      <c r="B241" s="198"/>
      <c r="C241" s="403"/>
      <c r="D241" s="142"/>
      <c r="E241" s="403"/>
      <c r="F241" s="198"/>
      <c r="G241" s="403"/>
      <c r="H241" s="198"/>
      <c r="I241" s="410"/>
      <c r="J241" s="142"/>
      <c r="K241" s="410"/>
      <c r="L241" s="142"/>
      <c r="M241" s="410"/>
      <c r="N241" s="142"/>
      <c r="O241" s="403"/>
      <c r="P241" s="198"/>
      <c r="Q241" s="411"/>
      <c r="R241" s="76"/>
      <c r="S241" s="197"/>
      <c r="T241" s="198"/>
      <c r="U241" s="197"/>
      <c r="V241" s="198"/>
      <c r="W241" s="198"/>
      <c r="X241" s="198"/>
      <c r="Y241" s="198"/>
      <c r="Z241" s="198"/>
    </row>
    <row r="242">
      <c r="A242" s="403"/>
      <c r="B242" s="198"/>
      <c r="C242" s="403"/>
      <c r="D242" s="142"/>
      <c r="E242" s="403"/>
      <c r="F242" s="198"/>
      <c r="G242" s="403"/>
      <c r="H242" s="198"/>
      <c r="I242" s="410"/>
      <c r="J242" s="142"/>
      <c r="K242" s="410"/>
      <c r="L242" s="142"/>
      <c r="M242" s="410"/>
      <c r="N242" s="142"/>
      <c r="O242" s="403"/>
      <c r="P242" s="198"/>
      <c r="Q242" s="411"/>
      <c r="R242" s="76"/>
      <c r="S242" s="197"/>
      <c r="T242" s="198"/>
      <c r="U242" s="197"/>
      <c r="V242" s="198"/>
      <c r="W242" s="198"/>
      <c r="X242" s="198"/>
      <c r="Y242" s="198"/>
      <c r="Z242" s="198"/>
    </row>
    <row r="243">
      <c r="A243" s="403"/>
      <c r="B243" s="198"/>
      <c r="C243" s="403"/>
      <c r="D243" s="142"/>
      <c r="E243" s="403"/>
      <c r="F243" s="198"/>
      <c r="G243" s="403"/>
      <c r="H243" s="198"/>
      <c r="I243" s="410"/>
      <c r="J243" s="142"/>
      <c r="K243" s="410"/>
      <c r="L243" s="142"/>
      <c r="M243" s="410"/>
      <c r="N243" s="142"/>
      <c r="O243" s="403"/>
      <c r="P243" s="198"/>
      <c r="Q243" s="411"/>
      <c r="R243" s="76"/>
      <c r="S243" s="197"/>
      <c r="T243" s="198"/>
      <c r="U243" s="197"/>
      <c r="V243" s="198"/>
      <c r="W243" s="198"/>
      <c r="X243" s="198"/>
      <c r="Y243" s="198"/>
      <c r="Z243" s="198"/>
    </row>
    <row r="244">
      <c r="A244" s="403"/>
      <c r="B244" s="198"/>
      <c r="C244" s="403"/>
      <c r="D244" s="142"/>
      <c r="E244" s="403"/>
      <c r="F244" s="198"/>
      <c r="G244" s="403"/>
      <c r="H244" s="198"/>
      <c r="I244" s="410"/>
      <c r="J244" s="142"/>
      <c r="K244" s="410"/>
      <c r="L244" s="142"/>
      <c r="M244" s="410"/>
      <c r="N244" s="142"/>
      <c r="O244" s="403"/>
      <c r="P244" s="198"/>
      <c r="Q244" s="411"/>
      <c r="R244" s="76"/>
      <c r="S244" s="197"/>
      <c r="T244" s="198"/>
      <c r="U244" s="197"/>
      <c r="V244" s="198"/>
      <c r="W244" s="198"/>
      <c r="X244" s="198"/>
      <c r="Y244" s="198"/>
      <c r="Z244" s="198"/>
    </row>
    <row r="245">
      <c r="A245" s="403"/>
      <c r="B245" s="198"/>
      <c r="C245" s="403"/>
      <c r="D245" s="142"/>
      <c r="E245" s="403"/>
      <c r="F245" s="198"/>
      <c r="G245" s="403"/>
      <c r="H245" s="198"/>
      <c r="I245" s="410"/>
      <c r="J245" s="142"/>
      <c r="K245" s="410"/>
      <c r="L245" s="142"/>
      <c r="M245" s="410"/>
      <c r="N245" s="142"/>
      <c r="O245" s="403"/>
      <c r="P245" s="198"/>
      <c r="Q245" s="411"/>
      <c r="R245" s="76"/>
      <c r="S245" s="197"/>
      <c r="T245" s="198"/>
      <c r="U245" s="197"/>
      <c r="V245" s="198"/>
      <c r="W245" s="198"/>
      <c r="X245" s="198"/>
      <c r="Y245" s="198"/>
      <c r="Z245" s="198"/>
    </row>
    <row r="246">
      <c r="A246" s="403"/>
      <c r="B246" s="198"/>
      <c r="C246" s="403"/>
      <c r="D246" s="142"/>
      <c r="E246" s="403"/>
      <c r="F246" s="198"/>
      <c r="G246" s="403"/>
      <c r="H246" s="198"/>
      <c r="I246" s="410"/>
      <c r="J246" s="142"/>
      <c r="K246" s="410"/>
      <c r="L246" s="142"/>
      <c r="M246" s="410"/>
      <c r="N246" s="142"/>
      <c r="O246" s="403"/>
      <c r="P246" s="198"/>
      <c r="Q246" s="411"/>
      <c r="R246" s="76"/>
      <c r="S246" s="197"/>
      <c r="T246" s="198"/>
      <c r="U246" s="197"/>
      <c r="V246" s="198"/>
      <c r="W246" s="198"/>
      <c r="X246" s="198"/>
      <c r="Y246" s="198"/>
      <c r="Z246" s="198"/>
    </row>
    <row r="247">
      <c r="A247" s="403"/>
      <c r="B247" s="198"/>
      <c r="C247" s="403"/>
      <c r="D247" s="142"/>
      <c r="E247" s="403"/>
      <c r="F247" s="198"/>
      <c r="G247" s="403"/>
      <c r="H247" s="198"/>
      <c r="I247" s="410"/>
      <c r="J247" s="142"/>
      <c r="K247" s="410"/>
      <c r="L247" s="142"/>
      <c r="M247" s="410"/>
      <c r="N247" s="142"/>
      <c r="O247" s="403"/>
      <c r="P247" s="198"/>
      <c r="Q247" s="411"/>
      <c r="R247" s="76"/>
      <c r="S247" s="197"/>
      <c r="T247" s="198"/>
      <c r="U247" s="197"/>
      <c r="V247" s="198"/>
      <c r="W247" s="198"/>
      <c r="X247" s="198"/>
      <c r="Y247" s="198"/>
      <c r="Z247" s="198"/>
    </row>
    <row r="248">
      <c r="A248" s="403"/>
      <c r="B248" s="198"/>
      <c r="C248" s="403"/>
      <c r="D248" s="142"/>
      <c r="E248" s="403"/>
      <c r="F248" s="198"/>
      <c r="G248" s="403"/>
      <c r="H248" s="198"/>
      <c r="I248" s="410"/>
      <c r="J248" s="142"/>
      <c r="K248" s="410"/>
      <c r="L248" s="142"/>
      <c r="M248" s="410"/>
      <c r="N248" s="142"/>
      <c r="O248" s="403"/>
      <c r="P248" s="198"/>
      <c r="Q248" s="411"/>
      <c r="R248" s="76"/>
      <c r="S248" s="197"/>
      <c r="T248" s="198"/>
      <c r="U248" s="197"/>
      <c r="V248" s="198"/>
      <c r="W248" s="198"/>
      <c r="X248" s="198"/>
      <c r="Y248" s="198"/>
      <c r="Z248" s="198"/>
    </row>
    <row r="249">
      <c r="A249" s="403"/>
      <c r="B249" s="198"/>
      <c r="C249" s="403"/>
      <c r="D249" s="142"/>
      <c r="E249" s="403"/>
      <c r="F249" s="198"/>
      <c r="G249" s="403"/>
      <c r="H249" s="198"/>
      <c r="I249" s="410"/>
      <c r="J249" s="142"/>
      <c r="K249" s="410"/>
      <c r="L249" s="142"/>
      <c r="M249" s="410"/>
      <c r="N249" s="142"/>
      <c r="O249" s="403"/>
      <c r="P249" s="198"/>
      <c r="Q249" s="411"/>
      <c r="R249" s="76"/>
      <c r="S249" s="197"/>
      <c r="T249" s="198"/>
      <c r="U249" s="197"/>
      <c r="V249" s="198"/>
      <c r="W249" s="198"/>
      <c r="X249" s="198"/>
      <c r="Y249" s="198"/>
      <c r="Z249" s="198"/>
    </row>
    <row r="250">
      <c r="A250" s="403"/>
      <c r="B250" s="198"/>
      <c r="C250" s="403"/>
      <c r="D250" s="142"/>
      <c r="E250" s="403"/>
      <c r="F250" s="198"/>
      <c r="G250" s="403"/>
      <c r="H250" s="198"/>
      <c r="I250" s="410"/>
      <c r="J250" s="142"/>
      <c r="K250" s="410"/>
      <c r="L250" s="142"/>
      <c r="M250" s="410"/>
      <c r="N250" s="142"/>
      <c r="O250" s="403"/>
      <c r="P250" s="198"/>
      <c r="Q250" s="411"/>
      <c r="R250" s="76"/>
      <c r="S250" s="197"/>
      <c r="T250" s="198"/>
      <c r="U250" s="197"/>
      <c r="V250" s="198"/>
      <c r="W250" s="198"/>
      <c r="X250" s="198"/>
      <c r="Y250" s="198"/>
      <c r="Z250" s="198"/>
    </row>
    <row r="251">
      <c r="A251" s="403"/>
      <c r="B251" s="198"/>
      <c r="C251" s="403"/>
      <c r="D251" s="142"/>
      <c r="E251" s="403"/>
      <c r="F251" s="198"/>
      <c r="G251" s="403"/>
      <c r="H251" s="198"/>
      <c r="I251" s="410"/>
      <c r="J251" s="142"/>
      <c r="K251" s="410"/>
      <c r="L251" s="142"/>
      <c r="M251" s="410"/>
      <c r="N251" s="142"/>
      <c r="O251" s="403"/>
      <c r="P251" s="198"/>
      <c r="Q251" s="411"/>
      <c r="R251" s="76"/>
      <c r="S251" s="197"/>
      <c r="T251" s="198"/>
      <c r="U251" s="197"/>
      <c r="V251" s="198"/>
      <c r="W251" s="198"/>
      <c r="X251" s="198"/>
      <c r="Y251" s="198"/>
      <c r="Z251" s="198"/>
    </row>
    <row r="252">
      <c r="A252" s="403"/>
      <c r="B252" s="198"/>
      <c r="C252" s="403"/>
      <c r="D252" s="142"/>
      <c r="E252" s="403"/>
      <c r="F252" s="198"/>
      <c r="G252" s="403"/>
      <c r="H252" s="198"/>
      <c r="I252" s="410"/>
      <c r="J252" s="142"/>
      <c r="K252" s="410"/>
      <c r="L252" s="142"/>
      <c r="M252" s="410"/>
      <c r="N252" s="142"/>
      <c r="O252" s="403"/>
      <c r="P252" s="198"/>
      <c r="Q252" s="411"/>
      <c r="R252" s="76"/>
      <c r="S252" s="197"/>
      <c r="T252" s="198"/>
      <c r="U252" s="197"/>
      <c r="V252" s="198"/>
      <c r="W252" s="198"/>
      <c r="X252" s="198"/>
      <c r="Y252" s="198"/>
      <c r="Z252" s="198"/>
    </row>
    <row r="253">
      <c r="A253" s="403"/>
      <c r="B253" s="198"/>
      <c r="C253" s="403"/>
      <c r="D253" s="142"/>
      <c r="E253" s="403"/>
      <c r="F253" s="198"/>
      <c r="G253" s="403"/>
      <c r="H253" s="198"/>
      <c r="I253" s="410"/>
      <c r="J253" s="142"/>
      <c r="K253" s="410"/>
      <c r="L253" s="142"/>
      <c r="M253" s="410"/>
      <c r="N253" s="142"/>
      <c r="O253" s="403"/>
      <c r="P253" s="198"/>
      <c r="Q253" s="411"/>
      <c r="R253" s="76"/>
      <c r="S253" s="197"/>
      <c r="T253" s="198"/>
      <c r="U253" s="197"/>
      <c r="V253" s="198"/>
      <c r="W253" s="198"/>
      <c r="X253" s="198"/>
      <c r="Y253" s="198"/>
      <c r="Z253" s="198"/>
    </row>
    <row r="254">
      <c r="A254" s="403"/>
      <c r="B254" s="198"/>
      <c r="C254" s="403"/>
      <c r="D254" s="142"/>
      <c r="E254" s="403"/>
      <c r="F254" s="198"/>
      <c r="G254" s="403"/>
      <c r="H254" s="198"/>
      <c r="I254" s="410"/>
      <c r="J254" s="142"/>
      <c r="K254" s="410"/>
      <c r="L254" s="142"/>
      <c r="M254" s="410"/>
      <c r="N254" s="142"/>
      <c r="O254" s="403"/>
      <c r="P254" s="198"/>
      <c r="Q254" s="411"/>
      <c r="R254" s="76"/>
      <c r="S254" s="197"/>
      <c r="T254" s="198"/>
      <c r="U254" s="197"/>
      <c r="V254" s="198"/>
      <c r="W254" s="198"/>
      <c r="X254" s="198"/>
      <c r="Y254" s="198"/>
      <c r="Z254" s="198"/>
    </row>
    <row r="255">
      <c r="A255" s="403"/>
      <c r="B255" s="198"/>
      <c r="C255" s="403"/>
      <c r="D255" s="142"/>
      <c r="E255" s="403"/>
      <c r="F255" s="198"/>
      <c r="G255" s="403"/>
      <c r="H255" s="198"/>
      <c r="I255" s="410"/>
      <c r="J255" s="142"/>
      <c r="K255" s="410"/>
      <c r="L255" s="142"/>
      <c r="M255" s="410"/>
      <c r="N255" s="142"/>
      <c r="O255" s="403"/>
      <c r="P255" s="198"/>
      <c r="Q255" s="411"/>
      <c r="R255" s="76"/>
      <c r="S255" s="197"/>
      <c r="T255" s="198"/>
      <c r="U255" s="197"/>
      <c r="V255" s="198"/>
      <c r="W255" s="198"/>
      <c r="X255" s="198"/>
      <c r="Y255" s="198"/>
      <c r="Z255" s="198"/>
    </row>
    <row r="256">
      <c r="A256" s="403"/>
      <c r="B256" s="198"/>
      <c r="C256" s="403"/>
      <c r="D256" s="142"/>
      <c r="E256" s="403"/>
      <c r="F256" s="198"/>
      <c r="G256" s="403"/>
      <c r="H256" s="198"/>
      <c r="I256" s="410"/>
      <c r="J256" s="142"/>
      <c r="K256" s="410"/>
      <c r="L256" s="142"/>
      <c r="M256" s="410"/>
      <c r="N256" s="142"/>
      <c r="O256" s="403"/>
      <c r="P256" s="198"/>
      <c r="Q256" s="411"/>
      <c r="R256" s="76"/>
      <c r="S256" s="197"/>
      <c r="T256" s="198"/>
      <c r="U256" s="197"/>
      <c r="V256" s="198"/>
      <c r="W256" s="198"/>
      <c r="X256" s="198"/>
      <c r="Y256" s="198"/>
      <c r="Z256" s="198"/>
    </row>
    <row r="257">
      <c r="A257" s="403"/>
      <c r="B257" s="198"/>
      <c r="C257" s="403"/>
      <c r="D257" s="142"/>
      <c r="E257" s="403"/>
      <c r="F257" s="198"/>
      <c r="G257" s="403"/>
      <c r="H257" s="198"/>
      <c r="I257" s="410"/>
      <c r="J257" s="142"/>
      <c r="K257" s="410"/>
      <c r="L257" s="142"/>
      <c r="M257" s="410"/>
      <c r="N257" s="142"/>
      <c r="O257" s="403"/>
      <c r="P257" s="198"/>
      <c r="Q257" s="411"/>
      <c r="R257" s="76"/>
      <c r="S257" s="197"/>
      <c r="T257" s="198"/>
      <c r="U257" s="197"/>
      <c r="V257" s="198"/>
      <c r="W257" s="198"/>
      <c r="X257" s="198"/>
      <c r="Y257" s="198"/>
      <c r="Z257" s="198"/>
    </row>
    <row r="258">
      <c r="A258" s="403"/>
      <c r="B258" s="198"/>
      <c r="C258" s="403"/>
      <c r="D258" s="142"/>
      <c r="E258" s="403"/>
      <c r="F258" s="198"/>
      <c r="G258" s="403"/>
      <c r="H258" s="198"/>
      <c r="I258" s="410"/>
      <c r="J258" s="142"/>
      <c r="K258" s="410"/>
      <c r="L258" s="142"/>
      <c r="M258" s="410"/>
      <c r="N258" s="142"/>
      <c r="O258" s="403"/>
      <c r="P258" s="198"/>
      <c r="Q258" s="411"/>
      <c r="R258" s="76"/>
      <c r="S258" s="197"/>
      <c r="T258" s="198"/>
      <c r="U258" s="197"/>
      <c r="V258" s="198"/>
      <c r="W258" s="198"/>
      <c r="X258" s="198"/>
      <c r="Y258" s="198"/>
      <c r="Z258" s="198"/>
    </row>
    <row r="259">
      <c r="A259" s="403"/>
      <c r="B259" s="198"/>
      <c r="C259" s="403"/>
      <c r="D259" s="142"/>
      <c r="E259" s="403"/>
      <c r="F259" s="198"/>
      <c r="G259" s="403"/>
      <c r="H259" s="198"/>
      <c r="I259" s="410"/>
      <c r="J259" s="142"/>
      <c r="K259" s="410"/>
      <c r="L259" s="142"/>
      <c r="M259" s="410"/>
      <c r="N259" s="142"/>
      <c r="O259" s="403"/>
      <c r="P259" s="198"/>
      <c r="Q259" s="411"/>
      <c r="R259" s="76"/>
      <c r="S259" s="197"/>
      <c r="T259" s="198"/>
      <c r="U259" s="197"/>
      <c r="V259" s="198"/>
      <c r="W259" s="198"/>
      <c r="X259" s="198"/>
      <c r="Y259" s="198"/>
      <c r="Z259" s="198"/>
    </row>
    <row r="260">
      <c r="A260" s="403"/>
      <c r="B260" s="198"/>
      <c r="C260" s="403"/>
      <c r="D260" s="142"/>
      <c r="E260" s="403"/>
      <c r="F260" s="198"/>
      <c r="G260" s="403"/>
      <c r="H260" s="198"/>
      <c r="I260" s="410"/>
      <c r="J260" s="142"/>
      <c r="K260" s="410"/>
      <c r="L260" s="142"/>
      <c r="M260" s="410"/>
      <c r="N260" s="142"/>
      <c r="O260" s="403"/>
      <c r="P260" s="198"/>
      <c r="Q260" s="411"/>
      <c r="R260" s="76"/>
      <c r="S260" s="197"/>
      <c r="T260" s="198"/>
      <c r="U260" s="197"/>
      <c r="V260" s="198"/>
      <c r="W260" s="198"/>
      <c r="X260" s="198"/>
      <c r="Y260" s="198"/>
      <c r="Z260" s="198"/>
    </row>
    <row r="261">
      <c r="A261" s="403"/>
      <c r="B261" s="198"/>
      <c r="C261" s="403"/>
      <c r="D261" s="142"/>
      <c r="E261" s="403"/>
      <c r="F261" s="198"/>
      <c r="G261" s="403"/>
      <c r="H261" s="198"/>
      <c r="I261" s="410"/>
      <c r="J261" s="142"/>
      <c r="K261" s="410"/>
      <c r="L261" s="142"/>
      <c r="M261" s="410"/>
      <c r="N261" s="142"/>
      <c r="O261" s="403"/>
      <c r="P261" s="198"/>
      <c r="Q261" s="411"/>
      <c r="R261" s="76"/>
      <c r="S261" s="197"/>
      <c r="T261" s="198"/>
      <c r="U261" s="197"/>
      <c r="V261" s="198"/>
      <c r="W261" s="198"/>
      <c r="X261" s="198"/>
      <c r="Y261" s="198"/>
      <c r="Z261" s="198"/>
    </row>
    <row r="262">
      <c r="A262" s="403"/>
      <c r="B262" s="198"/>
      <c r="C262" s="403"/>
      <c r="D262" s="142"/>
      <c r="E262" s="403"/>
      <c r="F262" s="198"/>
      <c r="G262" s="403"/>
      <c r="H262" s="198"/>
      <c r="I262" s="410"/>
      <c r="J262" s="142"/>
      <c r="K262" s="410"/>
      <c r="L262" s="142"/>
      <c r="M262" s="410"/>
      <c r="N262" s="142"/>
      <c r="O262" s="403"/>
      <c r="P262" s="198"/>
      <c r="Q262" s="411"/>
      <c r="R262" s="76"/>
      <c r="S262" s="197"/>
      <c r="T262" s="198"/>
      <c r="U262" s="197"/>
      <c r="V262" s="198"/>
      <c r="W262" s="198"/>
      <c r="X262" s="198"/>
      <c r="Y262" s="198"/>
      <c r="Z262" s="198"/>
    </row>
    <row r="263">
      <c r="A263" s="403"/>
      <c r="B263" s="198"/>
      <c r="C263" s="403"/>
      <c r="D263" s="142"/>
      <c r="E263" s="403"/>
      <c r="F263" s="198"/>
      <c r="G263" s="403"/>
      <c r="H263" s="198"/>
      <c r="I263" s="410"/>
      <c r="J263" s="142"/>
      <c r="K263" s="410"/>
      <c r="L263" s="142"/>
      <c r="M263" s="410"/>
      <c r="N263" s="142"/>
      <c r="O263" s="403"/>
      <c r="P263" s="198"/>
      <c r="Q263" s="411"/>
      <c r="R263" s="76"/>
      <c r="S263" s="197"/>
      <c r="T263" s="198"/>
      <c r="U263" s="197"/>
      <c r="V263" s="198"/>
      <c r="W263" s="198"/>
      <c r="X263" s="198"/>
      <c r="Y263" s="198"/>
      <c r="Z263" s="198"/>
    </row>
    <row r="264">
      <c r="A264" s="403"/>
      <c r="B264" s="198"/>
      <c r="C264" s="403"/>
      <c r="D264" s="142"/>
      <c r="E264" s="403"/>
      <c r="F264" s="198"/>
      <c r="G264" s="403"/>
      <c r="H264" s="198"/>
      <c r="I264" s="410"/>
      <c r="J264" s="142"/>
      <c r="K264" s="410"/>
      <c r="L264" s="142"/>
      <c r="M264" s="410"/>
      <c r="N264" s="142"/>
      <c r="O264" s="403"/>
      <c r="P264" s="198"/>
      <c r="Q264" s="411"/>
      <c r="R264" s="76"/>
      <c r="S264" s="197"/>
      <c r="T264" s="198"/>
      <c r="U264" s="197"/>
      <c r="V264" s="198"/>
      <c r="W264" s="198"/>
      <c r="X264" s="198"/>
      <c r="Y264" s="198"/>
      <c r="Z264" s="198"/>
    </row>
    <row r="265">
      <c r="A265" s="403"/>
      <c r="B265" s="198"/>
      <c r="C265" s="403"/>
      <c r="D265" s="142"/>
      <c r="E265" s="403"/>
      <c r="F265" s="198"/>
      <c r="G265" s="403"/>
      <c r="H265" s="198"/>
      <c r="I265" s="410"/>
      <c r="J265" s="142"/>
      <c r="K265" s="410"/>
      <c r="L265" s="142"/>
      <c r="M265" s="410"/>
      <c r="N265" s="142"/>
      <c r="O265" s="403"/>
      <c r="P265" s="198"/>
      <c r="Q265" s="411"/>
      <c r="R265" s="76"/>
      <c r="S265" s="197"/>
      <c r="T265" s="198"/>
      <c r="U265" s="197"/>
      <c r="V265" s="198"/>
      <c r="W265" s="198"/>
      <c r="X265" s="198"/>
      <c r="Y265" s="198"/>
      <c r="Z265" s="198"/>
    </row>
    <row r="266">
      <c r="A266" s="403"/>
      <c r="B266" s="198"/>
      <c r="C266" s="403"/>
      <c r="D266" s="142"/>
      <c r="E266" s="403"/>
      <c r="F266" s="198"/>
      <c r="G266" s="403"/>
      <c r="H266" s="198"/>
      <c r="I266" s="410"/>
      <c r="J266" s="142"/>
      <c r="K266" s="410"/>
      <c r="L266" s="142"/>
      <c r="M266" s="410"/>
      <c r="N266" s="142"/>
      <c r="O266" s="403"/>
      <c r="P266" s="198"/>
      <c r="Q266" s="411"/>
      <c r="R266" s="76"/>
      <c r="S266" s="197"/>
      <c r="T266" s="198"/>
      <c r="U266" s="197"/>
      <c r="V266" s="198"/>
      <c r="W266" s="198"/>
      <c r="X266" s="198"/>
      <c r="Y266" s="198"/>
      <c r="Z266" s="198"/>
    </row>
    <row r="267">
      <c r="A267" s="403"/>
      <c r="B267" s="198"/>
      <c r="C267" s="403"/>
      <c r="D267" s="142"/>
      <c r="E267" s="403"/>
      <c r="F267" s="198"/>
      <c r="G267" s="403"/>
      <c r="H267" s="198"/>
      <c r="I267" s="410"/>
      <c r="J267" s="142"/>
      <c r="K267" s="410"/>
      <c r="L267" s="142"/>
      <c r="M267" s="410"/>
      <c r="N267" s="142"/>
      <c r="O267" s="403"/>
      <c r="P267" s="198"/>
      <c r="Q267" s="411"/>
      <c r="R267" s="76"/>
      <c r="S267" s="197"/>
      <c r="T267" s="198"/>
      <c r="U267" s="197"/>
      <c r="V267" s="198"/>
      <c r="W267" s="198"/>
      <c r="X267" s="198"/>
      <c r="Y267" s="198"/>
      <c r="Z267" s="198"/>
    </row>
    <row r="268">
      <c r="A268" s="403"/>
      <c r="B268" s="198"/>
      <c r="C268" s="403"/>
      <c r="D268" s="142"/>
      <c r="E268" s="403"/>
      <c r="F268" s="198"/>
      <c r="G268" s="403"/>
      <c r="H268" s="198"/>
      <c r="I268" s="410"/>
      <c r="J268" s="142"/>
      <c r="K268" s="410"/>
      <c r="L268" s="142"/>
      <c r="M268" s="410"/>
      <c r="N268" s="142"/>
      <c r="O268" s="403"/>
      <c r="P268" s="198"/>
      <c r="Q268" s="411"/>
      <c r="R268" s="76"/>
      <c r="S268" s="197"/>
      <c r="T268" s="198"/>
      <c r="U268" s="197"/>
      <c r="V268" s="198"/>
      <c r="W268" s="198"/>
      <c r="X268" s="198"/>
      <c r="Y268" s="198"/>
      <c r="Z268" s="198"/>
    </row>
    <row r="269">
      <c r="A269" s="403"/>
      <c r="B269" s="198"/>
      <c r="C269" s="403"/>
      <c r="D269" s="142"/>
      <c r="E269" s="403"/>
      <c r="F269" s="198"/>
      <c r="G269" s="403"/>
      <c r="H269" s="198"/>
      <c r="I269" s="410"/>
      <c r="J269" s="142"/>
      <c r="K269" s="410"/>
      <c r="L269" s="142"/>
      <c r="M269" s="410"/>
      <c r="N269" s="142"/>
      <c r="O269" s="403"/>
      <c r="P269" s="198"/>
      <c r="Q269" s="411"/>
      <c r="R269" s="76"/>
      <c r="S269" s="197"/>
      <c r="T269" s="198"/>
      <c r="U269" s="197"/>
      <c r="V269" s="198"/>
      <c r="W269" s="198"/>
      <c r="X269" s="198"/>
      <c r="Y269" s="198"/>
      <c r="Z269" s="198"/>
    </row>
    <row r="270">
      <c r="A270" s="403"/>
      <c r="B270" s="198"/>
      <c r="C270" s="403"/>
      <c r="D270" s="142"/>
      <c r="E270" s="403"/>
      <c r="F270" s="198"/>
      <c r="G270" s="403"/>
      <c r="H270" s="198"/>
      <c r="I270" s="410"/>
      <c r="J270" s="142"/>
      <c r="K270" s="410"/>
      <c r="L270" s="142"/>
      <c r="M270" s="410"/>
      <c r="N270" s="142"/>
      <c r="O270" s="403"/>
      <c r="P270" s="198"/>
      <c r="Q270" s="411"/>
      <c r="R270" s="76"/>
      <c r="S270" s="197"/>
      <c r="T270" s="198"/>
      <c r="U270" s="197"/>
      <c r="V270" s="198"/>
      <c r="W270" s="198"/>
      <c r="X270" s="198"/>
      <c r="Y270" s="198"/>
      <c r="Z270" s="198"/>
    </row>
    <row r="271">
      <c r="A271" s="403"/>
      <c r="B271" s="198"/>
      <c r="C271" s="403"/>
      <c r="D271" s="142"/>
      <c r="E271" s="403"/>
      <c r="F271" s="198"/>
      <c r="G271" s="403"/>
      <c r="H271" s="198"/>
      <c r="I271" s="410"/>
      <c r="J271" s="142"/>
      <c r="K271" s="410"/>
      <c r="L271" s="142"/>
      <c r="M271" s="410"/>
      <c r="N271" s="142"/>
      <c r="O271" s="403"/>
      <c r="P271" s="198"/>
      <c r="Q271" s="411"/>
      <c r="R271" s="76"/>
      <c r="S271" s="197"/>
      <c r="T271" s="198"/>
      <c r="U271" s="197"/>
      <c r="V271" s="198"/>
      <c r="W271" s="198"/>
      <c r="X271" s="198"/>
      <c r="Y271" s="198"/>
      <c r="Z271" s="198"/>
    </row>
    <row r="272">
      <c r="A272" s="403"/>
      <c r="B272" s="198"/>
      <c r="C272" s="403"/>
      <c r="D272" s="142"/>
      <c r="E272" s="403"/>
      <c r="F272" s="198"/>
      <c r="G272" s="403"/>
      <c r="H272" s="198"/>
      <c r="I272" s="410"/>
      <c r="J272" s="142"/>
      <c r="K272" s="410"/>
      <c r="L272" s="142"/>
      <c r="M272" s="410"/>
      <c r="N272" s="142"/>
      <c r="O272" s="403"/>
      <c r="P272" s="198"/>
      <c r="Q272" s="411"/>
      <c r="R272" s="76"/>
      <c r="S272" s="197"/>
      <c r="T272" s="198"/>
      <c r="U272" s="197"/>
      <c r="V272" s="198"/>
      <c r="W272" s="198"/>
      <c r="X272" s="198"/>
      <c r="Y272" s="198"/>
      <c r="Z272" s="198"/>
    </row>
    <row r="273">
      <c r="A273" s="403"/>
      <c r="B273" s="198"/>
      <c r="C273" s="403"/>
      <c r="D273" s="142"/>
      <c r="E273" s="403"/>
      <c r="F273" s="198"/>
      <c r="G273" s="403"/>
      <c r="H273" s="198"/>
      <c r="I273" s="410"/>
      <c r="J273" s="142"/>
      <c r="K273" s="410"/>
      <c r="L273" s="142"/>
      <c r="M273" s="410"/>
      <c r="N273" s="142"/>
      <c r="O273" s="403"/>
      <c r="P273" s="198"/>
      <c r="Q273" s="411"/>
      <c r="R273" s="76"/>
      <c r="S273" s="197"/>
      <c r="T273" s="198"/>
      <c r="U273" s="197"/>
      <c r="V273" s="198"/>
      <c r="W273" s="198"/>
      <c r="X273" s="198"/>
      <c r="Y273" s="198"/>
      <c r="Z273" s="198"/>
    </row>
    <row r="274">
      <c r="A274" s="403"/>
      <c r="B274" s="198"/>
      <c r="C274" s="403"/>
      <c r="D274" s="142"/>
      <c r="E274" s="403"/>
      <c r="F274" s="198"/>
      <c r="G274" s="403"/>
      <c r="H274" s="198"/>
      <c r="I274" s="410"/>
      <c r="J274" s="142"/>
      <c r="K274" s="410"/>
      <c r="L274" s="142"/>
      <c r="M274" s="410"/>
      <c r="N274" s="142"/>
      <c r="O274" s="403"/>
      <c r="P274" s="198"/>
      <c r="Q274" s="411"/>
      <c r="R274" s="76"/>
      <c r="S274" s="197"/>
      <c r="T274" s="198"/>
      <c r="U274" s="197"/>
      <c r="V274" s="198"/>
      <c r="W274" s="198"/>
      <c r="X274" s="198"/>
      <c r="Y274" s="198"/>
      <c r="Z274" s="198"/>
    </row>
    <row r="275">
      <c r="A275" s="403"/>
      <c r="B275" s="198"/>
      <c r="C275" s="403"/>
      <c r="D275" s="142"/>
      <c r="E275" s="403"/>
      <c r="F275" s="198"/>
      <c r="G275" s="403"/>
      <c r="H275" s="198"/>
      <c r="I275" s="410"/>
      <c r="J275" s="142"/>
      <c r="K275" s="410"/>
      <c r="L275" s="142"/>
      <c r="M275" s="410"/>
      <c r="N275" s="142"/>
      <c r="O275" s="403"/>
      <c r="P275" s="198"/>
      <c r="Q275" s="411"/>
      <c r="R275" s="76"/>
      <c r="S275" s="197"/>
      <c r="T275" s="198"/>
      <c r="U275" s="197"/>
      <c r="V275" s="198"/>
      <c r="W275" s="198"/>
      <c r="X275" s="198"/>
      <c r="Y275" s="198"/>
      <c r="Z275" s="198"/>
    </row>
    <row r="276">
      <c r="A276" s="403"/>
      <c r="B276" s="198"/>
      <c r="C276" s="403"/>
      <c r="D276" s="142"/>
      <c r="E276" s="403"/>
      <c r="F276" s="198"/>
      <c r="G276" s="403"/>
      <c r="H276" s="198"/>
      <c r="I276" s="410"/>
      <c r="J276" s="142"/>
      <c r="K276" s="410"/>
      <c r="L276" s="142"/>
      <c r="M276" s="410"/>
      <c r="N276" s="142"/>
      <c r="O276" s="403"/>
      <c r="P276" s="198"/>
      <c r="Q276" s="411"/>
      <c r="R276" s="76"/>
      <c r="S276" s="197"/>
      <c r="T276" s="198"/>
      <c r="U276" s="197"/>
      <c r="V276" s="198"/>
      <c r="W276" s="198"/>
      <c r="X276" s="198"/>
      <c r="Y276" s="198"/>
      <c r="Z276" s="198"/>
    </row>
    <row r="277">
      <c r="A277" s="403"/>
      <c r="B277" s="198"/>
      <c r="C277" s="403"/>
      <c r="D277" s="142"/>
      <c r="E277" s="403"/>
      <c r="F277" s="198"/>
      <c r="G277" s="403"/>
      <c r="H277" s="198"/>
      <c r="I277" s="410"/>
      <c r="J277" s="142"/>
      <c r="K277" s="410"/>
      <c r="L277" s="142"/>
      <c r="M277" s="410"/>
      <c r="N277" s="142"/>
      <c r="O277" s="403"/>
      <c r="P277" s="198"/>
      <c r="Q277" s="411"/>
      <c r="R277" s="76"/>
      <c r="S277" s="197"/>
      <c r="T277" s="198"/>
      <c r="U277" s="197"/>
      <c r="V277" s="198"/>
      <c r="W277" s="198"/>
      <c r="X277" s="198"/>
      <c r="Y277" s="198"/>
      <c r="Z277" s="198"/>
    </row>
    <row r="278">
      <c r="A278" s="403"/>
      <c r="B278" s="198"/>
      <c r="C278" s="403"/>
      <c r="D278" s="142"/>
      <c r="E278" s="403"/>
      <c r="F278" s="198"/>
      <c r="G278" s="403"/>
      <c r="H278" s="198"/>
      <c r="I278" s="410"/>
      <c r="J278" s="142"/>
      <c r="K278" s="410"/>
      <c r="L278" s="142"/>
      <c r="M278" s="410"/>
      <c r="N278" s="142"/>
      <c r="O278" s="403"/>
      <c r="P278" s="198"/>
      <c r="Q278" s="411"/>
      <c r="R278" s="76"/>
      <c r="S278" s="197"/>
      <c r="T278" s="198"/>
      <c r="U278" s="197"/>
      <c r="V278" s="198"/>
      <c r="W278" s="198"/>
      <c r="X278" s="198"/>
      <c r="Y278" s="198"/>
      <c r="Z278" s="198"/>
    </row>
    <row r="279">
      <c r="A279" s="403"/>
      <c r="B279" s="198"/>
      <c r="C279" s="403"/>
      <c r="D279" s="142"/>
      <c r="E279" s="403"/>
      <c r="F279" s="198"/>
      <c r="G279" s="403"/>
      <c r="H279" s="198"/>
      <c r="I279" s="410"/>
      <c r="J279" s="142"/>
      <c r="K279" s="410"/>
      <c r="L279" s="142"/>
      <c r="M279" s="410"/>
      <c r="N279" s="142"/>
      <c r="O279" s="403"/>
      <c r="P279" s="198"/>
      <c r="Q279" s="411"/>
      <c r="R279" s="76"/>
      <c r="S279" s="197"/>
      <c r="T279" s="198"/>
      <c r="U279" s="197"/>
      <c r="V279" s="198"/>
      <c r="W279" s="198"/>
      <c r="X279" s="198"/>
      <c r="Y279" s="198"/>
      <c r="Z279" s="198"/>
    </row>
    <row r="280">
      <c r="A280" s="403"/>
      <c r="B280" s="198"/>
      <c r="C280" s="403"/>
      <c r="D280" s="142"/>
      <c r="E280" s="403"/>
      <c r="F280" s="198"/>
      <c r="G280" s="403"/>
      <c r="H280" s="198"/>
      <c r="I280" s="410"/>
      <c r="J280" s="142"/>
      <c r="K280" s="410"/>
      <c r="L280" s="142"/>
      <c r="M280" s="410"/>
      <c r="N280" s="142"/>
      <c r="O280" s="403"/>
      <c r="P280" s="198"/>
      <c r="Q280" s="411"/>
      <c r="R280" s="76"/>
      <c r="S280" s="197"/>
      <c r="T280" s="198"/>
      <c r="U280" s="197"/>
      <c r="V280" s="198"/>
      <c r="W280" s="198"/>
      <c r="X280" s="198"/>
      <c r="Y280" s="198"/>
      <c r="Z280" s="198"/>
    </row>
    <row r="281">
      <c r="A281" s="403"/>
      <c r="B281" s="198"/>
      <c r="C281" s="403"/>
      <c r="D281" s="142"/>
      <c r="E281" s="403"/>
      <c r="F281" s="198"/>
      <c r="G281" s="403"/>
      <c r="H281" s="198"/>
      <c r="I281" s="410"/>
      <c r="J281" s="142"/>
      <c r="K281" s="410"/>
      <c r="L281" s="142"/>
      <c r="M281" s="410"/>
      <c r="N281" s="142"/>
      <c r="O281" s="403"/>
      <c r="P281" s="198"/>
      <c r="Q281" s="411"/>
      <c r="R281" s="76"/>
      <c r="S281" s="197"/>
      <c r="T281" s="198"/>
      <c r="U281" s="197"/>
      <c r="V281" s="198"/>
      <c r="W281" s="198"/>
      <c r="X281" s="198"/>
      <c r="Y281" s="198"/>
      <c r="Z281" s="198"/>
    </row>
    <row r="282">
      <c r="A282" s="403"/>
      <c r="B282" s="198"/>
      <c r="C282" s="403"/>
      <c r="D282" s="142"/>
      <c r="E282" s="403"/>
      <c r="F282" s="198"/>
      <c r="G282" s="403"/>
      <c r="H282" s="198"/>
      <c r="I282" s="410"/>
      <c r="J282" s="142"/>
      <c r="K282" s="410"/>
      <c r="L282" s="142"/>
      <c r="M282" s="410"/>
      <c r="N282" s="142"/>
      <c r="O282" s="403"/>
      <c r="P282" s="198"/>
      <c r="Q282" s="411"/>
      <c r="R282" s="76"/>
      <c r="S282" s="197"/>
      <c r="T282" s="198"/>
      <c r="U282" s="197"/>
      <c r="V282" s="198"/>
      <c r="W282" s="198"/>
      <c r="X282" s="198"/>
      <c r="Y282" s="198"/>
      <c r="Z282" s="198"/>
    </row>
    <row r="283">
      <c r="A283" s="403"/>
      <c r="B283" s="198"/>
      <c r="C283" s="403"/>
      <c r="D283" s="142"/>
      <c r="E283" s="403"/>
      <c r="F283" s="198"/>
      <c r="G283" s="403"/>
      <c r="H283" s="198"/>
      <c r="I283" s="410"/>
      <c r="J283" s="142"/>
      <c r="K283" s="410"/>
      <c r="L283" s="142"/>
      <c r="M283" s="410"/>
      <c r="N283" s="142"/>
      <c r="O283" s="403"/>
      <c r="P283" s="198"/>
      <c r="Q283" s="411"/>
      <c r="R283" s="76"/>
      <c r="S283" s="197"/>
      <c r="T283" s="198"/>
      <c r="U283" s="197"/>
      <c r="V283" s="198"/>
      <c r="W283" s="198"/>
      <c r="X283" s="198"/>
      <c r="Y283" s="198"/>
      <c r="Z283" s="198"/>
    </row>
    <row r="284">
      <c r="A284" s="403"/>
      <c r="B284" s="198"/>
      <c r="C284" s="403"/>
      <c r="D284" s="142"/>
      <c r="E284" s="403"/>
      <c r="F284" s="198"/>
      <c r="G284" s="403"/>
      <c r="H284" s="198"/>
      <c r="I284" s="410"/>
      <c r="J284" s="142"/>
      <c r="K284" s="410"/>
      <c r="L284" s="142"/>
      <c r="M284" s="410"/>
      <c r="N284" s="142"/>
      <c r="O284" s="403"/>
      <c r="P284" s="198"/>
      <c r="Q284" s="411"/>
      <c r="R284" s="76"/>
      <c r="S284" s="197"/>
      <c r="T284" s="198"/>
      <c r="U284" s="197"/>
      <c r="V284" s="198"/>
      <c r="W284" s="198"/>
      <c r="X284" s="198"/>
      <c r="Y284" s="198"/>
      <c r="Z284" s="198"/>
    </row>
    <row r="285">
      <c r="A285" s="403"/>
      <c r="B285" s="198"/>
      <c r="C285" s="403"/>
      <c r="D285" s="142"/>
      <c r="E285" s="403"/>
      <c r="F285" s="198"/>
      <c r="G285" s="403"/>
      <c r="H285" s="198"/>
      <c r="I285" s="410"/>
      <c r="J285" s="142"/>
      <c r="K285" s="410"/>
      <c r="L285" s="142"/>
      <c r="M285" s="410"/>
      <c r="N285" s="142"/>
      <c r="O285" s="403"/>
      <c r="P285" s="198"/>
      <c r="Q285" s="411"/>
      <c r="R285" s="76"/>
      <c r="S285" s="197"/>
      <c r="T285" s="198"/>
      <c r="U285" s="197"/>
      <c r="V285" s="198"/>
      <c r="W285" s="198"/>
      <c r="X285" s="198"/>
      <c r="Y285" s="198"/>
      <c r="Z285" s="198"/>
    </row>
    <row r="286">
      <c r="A286" s="403"/>
      <c r="B286" s="198"/>
      <c r="C286" s="403"/>
      <c r="D286" s="142"/>
      <c r="E286" s="403"/>
      <c r="F286" s="198"/>
      <c r="G286" s="403"/>
      <c r="H286" s="198"/>
      <c r="I286" s="410"/>
      <c r="J286" s="142"/>
      <c r="K286" s="410"/>
      <c r="L286" s="142"/>
      <c r="M286" s="410"/>
      <c r="N286" s="142"/>
      <c r="O286" s="403"/>
      <c r="P286" s="198"/>
      <c r="Q286" s="411"/>
      <c r="R286" s="76"/>
      <c r="S286" s="197"/>
      <c r="T286" s="198"/>
      <c r="U286" s="197"/>
      <c r="V286" s="198"/>
      <c r="W286" s="198"/>
      <c r="X286" s="198"/>
      <c r="Y286" s="198"/>
      <c r="Z286" s="198"/>
    </row>
    <row r="287">
      <c r="A287" s="403"/>
      <c r="B287" s="198"/>
      <c r="C287" s="403"/>
      <c r="D287" s="142"/>
      <c r="E287" s="403"/>
      <c r="F287" s="198"/>
      <c r="G287" s="403"/>
      <c r="H287" s="198"/>
      <c r="I287" s="410"/>
      <c r="J287" s="142"/>
      <c r="K287" s="410"/>
      <c r="L287" s="142"/>
      <c r="M287" s="410"/>
      <c r="N287" s="142"/>
      <c r="O287" s="403"/>
      <c r="P287" s="198"/>
      <c r="Q287" s="411"/>
      <c r="R287" s="76"/>
      <c r="S287" s="197"/>
      <c r="T287" s="198"/>
      <c r="U287" s="197"/>
      <c r="V287" s="198"/>
      <c r="W287" s="198"/>
      <c r="X287" s="198"/>
      <c r="Y287" s="198"/>
      <c r="Z287" s="198"/>
    </row>
    <row r="288">
      <c r="A288" s="403"/>
      <c r="B288" s="198"/>
      <c r="C288" s="403"/>
      <c r="D288" s="142"/>
      <c r="E288" s="403"/>
      <c r="F288" s="198"/>
      <c r="G288" s="403"/>
      <c r="H288" s="198"/>
      <c r="I288" s="410"/>
      <c r="J288" s="142"/>
      <c r="K288" s="410"/>
      <c r="L288" s="142"/>
      <c r="M288" s="410"/>
      <c r="N288" s="142"/>
      <c r="O288" s="403"/>
      <c r="P288" s="198"/>
      <c r="Q288" s="411"/>
      <c r="R288" s="76"/>
      <c r="S288" s="197"/>
      <c r="T288" s="198"/>
      <c r="U288" s="197"/>
      <c r="V288" s="198"/>
      <c r="W288" s="198"/>
      <c r="X288" s="198"/>
      <c r="Y288" s="198"/>
      <c r="Z288" s="198"/>
    </row>
    <row r="289">
      <c r="A289" s="403"/>
      <c r="B289" s="198"/>
      <c r="C289" s="403"/>
      <c r="D289" s="142"/>
      <c r="E289" s="403"/>
      <c r="F289" s="198"/>
      <c r="G289" s="403"/>
      <c r="H289" s="198"/>
      <c r="I289" s="410"/>
      <c r="J289" s="142"/>
      <c r="K289" s="410"/>
      <c r="L289" s="142"/>
      <c r="M289" s="410"/>
      <c r="N289" s="142"/>
      <c r="O289" s="403"/>
      <c r="P289" s="198"/>
      <c r="Q289" s="411"/>
      <c r="R289" s="76"/>
      <c r="S289" s="197"/>
      <c r="T289" s="198"/>
      <c r="U289" s="197"/>
      <c r="V289" s="198"/>
      <c r="W289" s="198"/>
      <c r="X289" s="198"/>
      <c r="Y289" s="198"/>
      <c r="Z289" s="198"/>
    </row>
    <row r="290">
      <c r="A290" s="403"/>
      <c r="B290" s="198"/>
      <c r="C290" s="403"/>
      <c r="D290" s="142"/>
      <c r="E290" s="403"/>
      <c r="F290" s="198"/>
      <c r="G290" s="403"/>
      <c r="H290" s="198"/>
      <c r="I290" s="410"/>
      <c r="J290" s="142"/>
      <c r="K290" s="410"/>
      <c r="L290" s="142"/>
      <c r="M290" s="410"/>
      <c r="N290" s="142"/>
      <c r="O290" s="403"/>
      <c r="P290" s="198"/>
      <c r="Q290" s="411"/>
      <c r="R290" s="76"/>
      <c r="S290" s="197"/>
      <c r="T290" s="198"/>
      <c r="U290" s="197"/>
      <c r="V290" s="198"/>
      <c r="W290" s="198"/>
      <c r="X290" s="198"/>
      <c r="Y290" s="198"/>
      <c r="Z290" s="198"/>
    </row>
    <row r="291">
      <c r="A291" s="403"/>
      <c r="B291" s="198"/>
      <c r="C291" s="403"/>
      <c r="D291" s="142"/>
      <c r="E291" s="403"/>
      <c r="F291" s="198"/>
      <c r="G291" s="403"/>
      <c r="H291" s="198"/>
      <c r="I291" s="410"/>
      <c r="J291" s="142"/>
      <c r="K291" s="410"/>
      <c r="L291" s="142"/>
      <c r="M291" s="410"/>
      <c r="N291" s="142"/>
      <c r="O291" s="403"/>
      <c r="P291" s="198"/>
      <c r="Q291" s="411"/>
      <c r="R291" s="76"/>
      <c r="S291" s="197"/>
      <c r="T291" s="198"/>
      <c r="U291" s="197"/>
      <c r="V291" s="198"/>
      <c r="W291" s="198"/>
      <c r="X291" s="198"/>
      <c r="Y291" s="198"/>
      <c r="Z291" s="198"/>
    </row>
    <row r="292">
      <c r="A292" s="403"/>
      <c r="B292" s="198"/>
      <c r="C292" s="403"/>
      <c r="D292" s="142"/>
      <c r="E292" s="403"/>
      <c r="F292" s="198"/>
      <c r="G292" s="403"/>
      <c r="H292" s="198"/>
      <c r="I292" s="410"/>
      <c r="J292" s="142"/>
      <c r="K292" s="410"/>
      <c r="L292" s="142"/>
      <c r="M292" s="410"/>
      <c r="N292" s="142"/>
      <c r="O292" s="403"/>
      <c r="P292" s="198"/>
      <c r="Q292" s="411"/>
      <c r="R292" s="76"/>
      <c r="S292" s="197"/>
      <c r="T292" s="198"/>
      <c r="U292" s="197"/>
      <c r="V292" s="198"/>
      <c r="W292" s="198"/>
      <c r="X292" s="198"/>
      <c r="Y292" s="198"/>
      <c r="Z292" s="198"/>
    </row>
    <row r="293">
      <c r="A293" s="403"/>
      <c r="B293" s="198"/>
      <c r="C293" s="403"/>
      <c r="D293" s="142"/>
      <c r="E293" s="403"/>
      <c r="F293" s="198"/>
      <c r="G293" s="403"/>
      <c r="H293" s="198"/>
      <c r="I293" s="410"/>
      <c r="J293" s="142"/>
      <c r="K293" s="410"/>
      <c r="L293" s="142"/>
      <c r="M293" s="410"/>
      <c r="N293" s="142"/>
      <c r="O293" s="403"/>
      <c r="P293" s="198"/>
      <c r="Q293" s="411"/>
      <c r="R293" s="76"/>
      <c r="S293" s="197"/>
      <c r="T293" s="198"/>
      <c r="U293" s="197"/>
      <c r="V293" s="198"/>
      <c r="W293" s="198"/>
      <c r="X293" s="198"/>
      <c r="Y293" s="198"/>
      <c r="Z293" s="198"/>
    </row>
    <row r="294">
      <c r="A294" s="403"/>
      <c r="B294" s="198"/>
      <c r="C294" s="403"/>
      <c r="D294" s="142"/>
      <c r="E294" s="403"/>
      <c r="F294" s="198"/>
      <c r="G294" s="403"/>
      <c r="H294" s="198"/>
      <c r="I294" s="410"/>
      <c r="J294" s="142"/>
      <c r="K294" s="410"/>
      <c r="L294" s="142"/>
      <c r="M294" s="410"/>
      <c r="N294" s="142"/>
      <c r="O294" s="403"/>
      <c r="P294" s="198"/>
      <c r="Q294" s="411"/>
      <c r="R294" s="76"/>
      <c r="S294" s="197"/>
      <c r="T294" s="198"/>
      <c r="U294" s="197"/>
      <c r="V294" s="198"/>
      <c r="W294" s="198"/>
      <c r="X294" s="198"/>
      <c r="Y294" s="198"/>
      <c r="Z294" s="198"/>
    </row>
    <row r="295">
      <c r="A295" s="403"/>
      <c r="B295" s="198"/>
      <c r="C295" s="403"/>
      <c r="D295" s="142"/>
      <c r="E295" s="403"/>
      <c r="F295" s="198"/>
      <c r="G295" s="403"/>
      <c r="H295" s="198"/>
      <c r="I295" s="410"/>
      <c r="J295" s="142"/>
      <c r="K295" s="410"/>
      <c r="L295" s="142"/>
      <c r="M295" s="410"/>
      <c r="N295" s="142"/>
      <c r="O295" s="403"/>
      <c r="P295" s="198"/>
      <c r="Q295" s="411"/>
      <c r="R295" s="76"/>
      <c r="S295" s="197"/>
      <c r="T295" s="198"/>
      <c r="U295" s="197"/>
      <c r="V295" s="198"/>
      <c r="W295" s="198"/>
      <c r="X295" s="198"/>
      <c r="Y295" s="198"/>
      <c r="Z295" s="198"/>
    </row>
    <row r="296">
      <c r="A296" s="403"/>
      <c r="B296" s="198"/>
      <c r="C296" s="403"/>
      <c r="D296" s="142"/>
      <c r="E296" s="403"/>
      <c r="F296" s="198"/>
      <c r="G296" s="403"/>
      <c r="H296" s="198"/>
      <c r="I296" s="410"/>
      <c r="J296" s="142"/>
      <c r="K296" s="410"/>
      <c r="L296" s="142"/>
      <c r="M296" s="410"/>
      <c r="N296" s="142"/>
      <c r="O296" s="403"/>
      <c r="P296" s="198"/>
      <c r="Q296" s="411"/>
      <c r="R296" s="76"/>
      <c r="S296" s="197"/>
      <c r="T296" s="198"/>
      <c r="U296" s="197"/>
      <c r="V296" s="198"/>
      <c r="W296" s="198"/>
      <c r="X296" s="198"/>
      <c r="Y296" s="198"/>
      <c r="Z296" s="198"/>
    </row>
    <row r="297">
      <c r="A297" s="403"/>
      <c r="B297" s="198"/>
      <c r="C297" s="403"/>
      <c r="D297" s="142"/>
      <c r="E297" s="403"/>
      <c r="F297" s="198"/>
      <c r="G297" s="403"/>
      <c r="H297" s="198"/>
      <c r="I297" s="410"/>
      <c r="J297" s="142"/>
      <c r="K297" s="410"/>
      <c r="L297" s="142"/>
      <c r="M297" s="410"/>
      <c r="N297" s="142"/>
      <c r="O297" s="403"/>
      <c r="P297" s="198"/>
      <c r="Q297" s="411"/>
      <c r="R297" s="76"/>
      <c r="S297" s="197"/>
      <c r="T297" s="198"/>
      <c r="U297" s="197"/>
      <c r="V297" s="198"/>
      <c r="W297" s="198"/>
      <c r="X297" s="198"/>
      <c r="Y297" s="198"/>
      <c r="Z297" s="198"/>
    </row>
    <row r="298">
      <c r="A298" s="403"/>
      <c r="B298" s="198"/>
      <c r="C298" s="403"/>
      <c r="D298" s="142"/>
      <c r="E298" s="403"/>
      <c r="F298" s="198"/>
      <c r="G298" s="403"/>
      <c r="H298" s="198"/>
      <c r="I298" s="410"/>
      <c r="J298" s="142"/>
      <c r="K298" s="410"/>
      <c r="L298" s="142"/>
      <c r="M298" s="410"/>
      <c r="N298" s="142"/>
      <c r="O298" s="403"/>
      <c r="P298" s="198"/>
      <c r="Q298" s="411"/>
      <c r="R298" s="76"/>
      <c r="S298" s="197"/>
      <c r="T298" s="198"/>
      <c r="U298" s="197"/>
      <c r="V298" s="198"/>
      <c r="W298" s="198"/>
      <c r="X298" s="198"/>
      <c r="Y298" s="198"/>
      <c r="Z298" s="198"/>
    </row>
    <row r="299">
      <c r="A299" s="403"/>
      <c r="B299" s="198"/>
      <c r="C299" s="403"/>
      <c r="D299" s="142"/>
      <c r="E299" s="403"/>
      <c r="F299" s="198"/>
      <c r="G299" s="403"/>
      <c r="H299" s="198"/>
      <c r="I299" s="410"/>
      <c r="J299" s="142"/>
      <c r="K299" s="410"/>
      <c r="L299" s="142"/>
      <c r="M299" s="410"/>
      <c r="N299" s="142"/>
      <c r="O299" s="403"/>
      <c r="P299" s="198"/>
      <c r="Q299" s="411"/>
      <c r="R299" s="76"/>
      <c r="S299" s="197"/>
      <c r="T299" s="198"/>
      <c r="U299" s="197"/>
      <c r="V299" s="198"/>
      <c r="W299" s="198"/>
      <c r="X299" s="198"/>
      <c r="Y299" s="198"/>
      <c r="Z299" s="198"/>
    </row>
    <row r="300">
      <c r="A300" s="403"/>
      <c r="B300" s="198"/>
      <c r="C300" s="403"/>
      <c r="D300" s="142"/>
      <c r="E300" s="403"/>
      <c r="F300" s="198"/>
      <c r="G300" s="403"/>
      <c r="H300" s="198"/>
      <c r="I300" s="410"/>
      <c r="J300" s="142"/>
      <c r="K300" s="410"/>
      <c r="L300" s="142"/>
      <c r="M300" s="410"/>
      <c r="N300" s="142"/>
      <c r="O300" s="403"/>
      <c r="P300" s="198"/>
      <c r="Q300" s="411"/>
      <c r="R300" s="76"/>
      <c r="S300" s="197"/>
      <c r="T300" s="198"/>
      <c r="U300" s="197"/>
      <c r="V300" s="198"/>
      <c r="W300" s="198"/>
      <c r="X300" s="198"/>
      <c r="Y300" s="198"/>
      <c r="Z300" s="198"/>
    </row>
    <row r="301">
      <c r="A301" s="403"/>
      <c r="B301" s="198"/>
      <c r="C301" s="403"/>
      <c r="D301" s="142"/>
      <c r="E301" s="403"/>
      <c r="F301" s="198"/>
      <c r="G301" s="403"/>
      <c r="H301" s="198"/>
      <c r="I301" s="410"/>
      <c r="J301" s="142"/>
      <c r="K301" s="410"/>
      <c r="L301" s="142"/>
      <c r="M301" s="410"/>
      <c r="N301" s="142"/>
      <c r="O301" s="403"/>
      <c r="P301" s="198"/>
      <c r="Q301" s="411"/>
      <c r="R301" s="76"/>
      <c r="S301" s="197"/>
      <c r="T301" s="198"/>
      <c r="U301" s="197"/>
      <c r="V301" s="198"/>
      <c r="W301" s="198"/>
      <c r="X301" s="198"/>
      <c r="Y301" s="198"/>
      <c r="Z301" s="198"/>
    </row>
    <row r="302">
      <c r="A302" s="403"/>
      <c r="B302" s="198"/>
      <c r="C302" s="403"/>
      <c r="D302" s="142"/>
      <c r="E302" s="403"/>
      <c r="F302" s="198"/>
      <c r="G302" s="403"/>
      <c r="H302" s="198"/>
      <c r="I302" s="410"/>
      <c r="J302" s="142"/>
      <c r="K302" s="410"/>
      <c r="L302" s="142"/>
      <c r="M302" s="410"/>
      <c r="N302" s="142"/>
      <c r="O302" s="403"/>
      <c r="P302" s="198"/>
      <c r="Q302" s="411"/>
      <c r="R302" s="76"/>
      <c r="S302" s="197"/>
      <c r="T302" s="198"/>
      <c r="U302" s="197"/>
      <c r="V302" s="198"/>
      <c r="W302" s="198"/>
      <c r="X302" s="198"/>
      <c r="Y302" s="198"/>
      <c r="Z302" s="198"/>
    </row>
    <row r="303">
      <c r="A303" s="403"/>
      <c r="B303" s="198"/>
      <c r="C303" s="403"/>
      <c r="D303" s="142"/>
      <c r="E303" s="403"/>
      <c r="F303" s="198"/>
      <c r="G303" s="403"/>
      <c r="H303" s="198"/>
      <c r="I303" s="410"/>
      <c r="J303" s="142"/>
      <c r="K303" s="410"/>
      <c r="L303" s="142"/>
      <c r="M303" s="410"/>
      <c r="N303" s="142"/>
      <c r="O303" s="403"/>
      <c r="P303" s="198"/>
      <c r="Q303" s="411"/>
      <c r="R303" s="76"/>
      <c r="S303" s="197"/>
      <c r="T303" s="198"/>
      <c r="U303" s="197"/>
      <c r="V303" s="198"/>
      <c r="W303" s="198"/>
      <c r="X303" s="198"/>
      <c r="Y303" s="198"/>
      <c r="Z303" s="198"/>
    </row>
    <row r="304">
      <c r="A304" s="403"/>
      <c r="B304" s="198"/>
      <c r="C304" s="403"/>
      <c r="D304" s="142"/>
      <c r="E304" s="403"/>
      <c r="F304" s="198"/>
      <c r="G304" s="403"/>
      <c r="H304" s="198"/>
      <c r="I304" s="410"/>
      <c r="J304" s="142"/>
      <c r="K304" s="410"/>
      <c r="L304" s="142"/>
      <c r="M304" s="410"/>
      <c r="N304" s="142"/>
      <c r="O304" s="403"/>
      <c r="P304" s="198"/>
      <c r="Q304" s="411"/>
      <c r="R304" s="76"/>
      <c r="S304" s="197"/>
      <c r="T304" s="198"/>
      <c r="U304" s="197"/>
      <c r="V304" s="198"/>
      <c r="W304" s="198"/>
      <c r="X304" s="198"/>
      <c r="Y304" s="198"/>
      <c r="Z304" s="198"/>
    </row>
    <row r="305">
      <c r="A305" s="403"/>
      <c r="B305" s="198"/>
      <c r="C305" s="403"/>
      <c r="D305" s="142"/>
      <c r="E305" s="403"/>
      <c r="F305" s="198"/>
      <c r="G305" s="403"/>
      <c r="H305" s="198"/>
      <c r="I305" s="410"/>
      <c r="J305" s="142"/>
      <c r="K305" s="410"/>
      <c r="L305" s="142"/>
      <c r="M305" s="410"/>
      <c r="N305" s="142"/>
      <c r="O305" s="403"/>
      <c r="P305" s="198"/>
      <c r="Q305" s="411"/>
      <c r="R305" s="76"/>
      <c r="S305" s="197"/>
      <c r="T305" s="198"/>
      <c r="U305" s="197"/>
      <c r="V305" s="198"/>
      <c r="W305" s="198"/>
      <c r="X305" s="198"/>
      <c r="Y305" s="198"/>
      <c r="Z305" s="198"/>
    </row>
    <row r="306">
      <c r="A306" s="403"/>
      <c r="B306" s="198"/>
      <c r="C306" s="403"/>
      <c r="D306" s="142"/>
      <c r="E306" s="403"/>
      <c r="F306" s="198"/>
      <c r="G306" s="403"/>
      <c r="H306" s="198"/>
      <c r="I306" s="410"/>
      <c r="J306" s="142"/>
      <c r="K306" s="410"/>
      <c r="L306" s="142"/>
      <c r="M306" s="410"/>
      <c r="N306" s="142"/>
      <c r="O306" s="403"/>
      <c r="P306" s="198"/>
      <c r="Q306" s="411"/>
      <c r="R306" s="76"/>
      <c r="S306" s="197"/>
      <c r="T306" s="198"/>
      <c r="U306" s="197"/>
      <c r="V306" s="198"/>
      <c r="W306" s="198"/>
      <c r="X306" s="198"/>
      <c r="Y306" s="198"/>
      <c r="Z306" s="198"/>
    </row>
    <row r="307">
      <c r="A307" s="403"/>
      <c r="B307" s="198"/>
      <c r="C307" s="403"/>
      <c r="D307" s="142"/>
      <c r="E307" s="403"/>
      <c r="F307" s="198"/>
      <c r="G307" s="403"/>
      <c r="H307" s="198"/>
      <c r="I307" s="410"/>
      <c r="J307" s="142"/>
      <c r="K307" s="410"/>
      <c r="L307" s="142"/>
      <c r="M307" s="410"/>
      <c r="N307" s="142"/>
      <c r="O307" s="403"/>
      <c r="P307" s="198"/>
      <c r="Q307" s="411"/>
      <c r="R307" s="76"/>
      <c r="S307" s="197"/>
      <c r="T307" s="198"/>
      <c r="U307" s="197"/>
      <c r="V307" s="198"/>
      <c r="W307" s="198"/>
      <c r="X307" s="198"/>
      <c r="Y307" s="198"/>
      <c r="Z307" s="198"/>
    </row>
    <row r="308">
      <c r="A308" s="403"/>
      <c r="B308" s="198"/>
      <c r="C308" s="403"/>
      <c r="D308" s="142"/>
      <c r="E308" s="403"/>
      <c r="F308" s="198"/>
      <c r="G308" s="403"/>
      <c r="H308" s="198"/>
      <c r="I308" s="410"/>
      <c r="J308" s="142"/>
      <c r="K308" s="410"/>
      <c r="L308" s="142"/>
      <c r="M308" s="410"/>
      <c r="N308" s="142"/>
      <c r="O308" s="403"/>
      <c r="P308" s="198"/>
      <c r="Q308" s="411"/>
      <c r="R308" s="76"/>
      <c r="S308" s="197"/>
      <c r="T308" s="198"/>
      <c r="U308" s="197"/>
      <c r="V308" s="198"/>
      <c r="W308" s="198"/>
      <c r="X308" s="198"/>
      <c r="Y308" s="198"/>
      <c r="Z308" s="198"/>
    </row>
    <row r="309">
      <c r="A309" s="403"/>
      <c r="B309" s="198"/>
      <c r="C309" s="403"/>
      <c r="D309" s="142"/>
      <c r="E309" s="403"/>
      <c r="F309" s="198"/>
      <c r="G309" s="403"/>
      <c r="H309" s="198"/>
      <c r="I309" s="410"/>
      <c r="J309" s="142"/>
      <c r="K309" s="410"/>
      <c r="L309" s="142"/>
      <c r="M309" s="410"/>
      <c r="N309" s="142"/>
      <c r="O309" s="403"/>
      <c r="P309" s="198"/>
      <c r="Q309" s="411"/>
      <c r="R309" s="76"/>
      <c r="S309" s="197"/>
      <c r="T309" s="198"/>
      <c r="U309" s="197"/>
      <c r="V309" s="198"/>
      <c r="W309" s="198"/>
      <c r="X309" s="198"/>
      <c r="Y309" s="198"/>
      <c r="Z309" s="198"/>
    </row>
    <row r="310">
      <c r="A310" s="403"/>
      <c r="B310" s="198"/>
      <c r="C310" s="403"/>
      <c r="D310" s="142"/>
      <c r="E310" s="403"/>
      <c r="F310" s="198"/>
      <c r="G310" s="403"/>
      <c r="H310" s="198"/>
      <c r="I310" s="410"/>
      <c r="J310" s="142"/>
      <c r="K310" s="410"/>
      <c r="L310" s="142"/>
      <c r="M310" s="410"/>
      <c r="N310" s="142"/>
      <c r="O310" s="403"/>
      <c r="P310" s="198"/>
      <c r="Q310" s="411"/>
      <c r="R310" s="76"/>
      <c r="S310" s="197"/>
      <c r="T310" s="198"/>
      <c r="U310" s="197"/>
      <c r="V310" s="198"/>
      <c r="W310" s="198"/>
      <c r="X310" s="198"/>
      <c r="Y310" s="198"/>
      <c r="Z310" s="198"/>
    </row>
    <row r="311">
      <c r="A311" s="403"/>
      <c r="B311" s="198"/>
      <c r="C311" s="403"/>
      <c r="D311" s="142"/>
      <c r="E311" s="403"/>
      <c r="F311" s="198"/>
      <c r="G311" s="403"/>
      <c r="H311" s="198"/>
      <c r="I311" s="410"/>
      <c r="J311" s="142"/>
      <c r="K311" s="410"/>
      <c r="L311" s="142"/>
      <c r="M311" s="410"/>
      <c r="N311" s="142"/>
      <c r="O311" s="403"/>
      <c r="P311" s="198"/>
      <c r="Q311" s="411"/>
      <c r="R311" s="76"/>
      <c r="S311" s="197"/>
      <c r="T311" s="198"/>
      <c r="U311" s="197"/>
      <c r="V311" s="198"/>
      <c r="W311" s="198"/>
      <c r="X311" s="198"/>
      <c r="Y311" s="198"/>
      <c r="Z311" s="198"/>
    </row>
    <row r="312">
      <c r="A312" s="403"/>
      <c r="B312" s="198"/>
      <c r="C312" s="403"/>
      <c r="D312" s="142"/>
      <c r="E312" s="403"/>
      <c r="F312" s="198"/>
      <c r="G312" s="403"/>
      <c r="H312" s="198"/>
      <c r="I312" s="410"/>
      <c r="J312" s="142"/>
      <c r="K312" s="410"/>
      <c r="L312" s="142"/>
      <c r="M312" s="410"/>
      <c r="N312" s="142"/>
      <c r="O312" s="403"/>
      <c r="P312" s="198"/>
      <c r="Q312" s="411"/>
      <c r="R312" s="76"/>
      <c r="S312" s="197"/>
      <c r="T312" s="198"/>
      <c r="U312" s="197"/>
      <c r="V312" s="198"/>
      <c r="W312" s="198"/>
      <c r="X312" s="198"/>
      <c r="Y312" s="198"/>
      <c r="Z312" s="198"/>
    </row>
    <row r="313">
      <c r="A313" s="403"/>
      <c r="B313" s="198"/>
      <c r="C313" s="403"/>
      <c r="D313" s="142"/>
      <c r="E313" s="403"/>
      <c r="F313" s="198"/>
      <c r="G313" s="403"/>
      <c r="H313" s="198"/>
      <c r="I313" s="410"/>
      <c r="J313" s="142"/>
      <c r="K313" s="410"/>
      <c r="L313" s="142"/>
      <c r="M313" s="410"/>
      <c r="N313" s="142"/>
      <c r="O313" s="403"/>
      <c r="P313" s="198"/>
      <c r="Q313" s="411"/>
      <c r="R313" s="76"/>
      <c r="S313" s="197"/>
      <c r="T313" s="198"/>
      <c r="U313" s="197"/>
      <c r="V313" s="198"/>
      <c r="W313" s="198"/>
      <c r="X313" s="198"/>
      <c r="Y313" s="198"/>
      <c r="Z313" s="198"/>
    </row>
    <row r="314">
      <c r="A314" s="403"/>
      <c r="B314" s="198"/>
      <c r="C314" s="403"/>
      <c r="D314" s="142"/>
      <c r="E314" s="403"/>
      <c r="F314" s="198"/>
      <c r="G314" s="403"/>
      <c r="H314" s="198"/>
      <c r="I314" s="410"/>
      <c r="J314" s="142"/>
      <c r="K314" s="410"/>
      <c r="L314" s="142"/>
      <c r="M314" s="410"/>
      <c r="N314" s="142"/>
      <c r="O314" s="403"/>
      <c r="P314" s="198"/>
      <c r="Q314" s="411"/>
      <c r="R314" s="76"/>
      <c r="S314" s="197"/>
      <c r="T314" s="198"/>
      <c r="U314" s="197"/>
      <c r="V314" s="198"/>
      <c r="W314" s="198"/>
      <c r="X314" s="198"/>
      <c r="Y314" s="198"/>
      <c r="Z314" s="198"/>
    </row>
    <row r="315">
      <c r="A315" s="403"/>
      <c r="B315" s="198"/>
      <c r="C315" s="403"/>
      <c r="D315" s="142"/>
      <c r="E315" s="403"/>
      <c r="F315" s="198"/>
      <c r="G315" s="403"/>
      <c r="H315" s="198"/>
      <c r="I315" s="410"/>
      <c r="J315" s="142"/>
      <c r="K315" s="410"/>
      <c r="L315" s="142"/>
      <c r="M315" s="410"/>
      <c r="N315" s="142"/>
      <c r="O315" s="403"/>
      <c r="P315" s="198"/>
      <c r="Q315" s="411"/>
      <c r="R315" s="76"/>
      <c r="S315" s="197"/>
      <c r="T315" s="198"/>
      <c r="U315" s="197"/>
      <c r="V315" s="198"/>
      <c r="W315" s="198"/>
      <c r="X315" s="198"/>
      <c r="Y315" s="198"/>
      <c r="Z315" s="198"/>
    </row>
    <row r="316">
      <c r="A316" s="403"/>
      <c r="B316" s="198"/>
      <c r="C316" s="403"/>
      <c r="D316" s="142"/>
      <c r="E316" s="403"/>
      <c r="F316" s="198"/>
      <c r="G316" s="403"/>
      <c r="H316" s="198"/>
      <c r="I316" s="410"/>
      <c r="J316" s="142"/>
      <c r="K316" s="410"/>
      <c r="L316" s="142"/>
      <c r="M316" s="410"/>
      <c r="N316" s="142"/>
      <c r="O316" s="403"/>
      <c r="P316" s="198"/>
      <c r="Q316" s="411"/>
      <c r="R316" s="76"/>
      <c r="S316" s="197"/>
      <c r="T316" s="198"/>
      <c r="U316" s="197"/>
      <c r="V316" s="198"/>
      <c r="W316" s="198"/>
      <c r="X316" s="198"/>
      <c r="Y316" s="198"/>
      <c r="Z316" s="198"/>
    </row>
    <row r="317">
      <c r="A317" s="403"/>
      <c r="B317" s="198"/>
      <c r="C317" s="403"/>
      <c r="D317" s="142"/>
      <c r="E317" s="403"/>
      <c r="F317" s="198"/>
      <c r="G317" s="403"/>
      <c r="H317" s="198"/>
      <c r="I317" s="410"/>
      <c r="J317" s="142"/>
      <c r="K317" s="410"/>
      <c r="L317" s="142"/>
      <c r="M317" s="410"/>
      <c r="N317" s="142"/>
      <c r="O317" s="403"/>
      <c r="P317" s="198"/>
      <c r="Q317" s="411"/>
      <c r="R317" s="76"/>
      <c r="S317" s="197"/>
      <c r="T317" s="198"/>
      <c r="U317" s="197"/>
      <c r="V317" s="198"/>
      <c r="W317" s="198"/>
      <c r="X317" s="198"/>
      <c r="Y317" s="198"/>
      <c r="Z317" s="198"/>
    </row>
    <row r="318">
      <c r="A318" s="403"/>
      <c r="B318" s="198"/>
      <c r="C318" s="403"/>
      <c r="D318" s="142"/>
      <c r="E318" s="403"/>
      <c r="F318" s="198"/>
      <c r="G318" s="403"/>
      <c r="H318" s="198"/>
      <c r="I318" s="410"/>
      <c r="J318" s="142"/>
      <c r="K318" s="410"/>
      <c r="L318" s="142"/>
      <c r="M318" s="410"/>
      <c r="N318" s="142"/>
      <c r="O318" s="403"/>
      <c r="P318" s="198"/>
      <c r="Q318" s="411"/>
      <c r="R318" s="76"/>
      <c r="S318" s="197"/>
      <c r="T318" s="198"/>
      <c r="U318" s="197"/>
      <c r="V318" s="198"/>
      <c r="W318" s="198"/>
      <c r="X318" s="198"/>
      <c r="Y318" s="198"/>
      <c r="Z318" s="198"/>
    </row>
    <row r="319">
      <c r="A319" s="403"/>
      <c r="B319" s="198"/>
      <c r="C319" s="403"/>
      <c r="D319" s="142"/>
      <c r="E319" s="403"/>
      <c r="F319" s="198"/>
      <c r="G319" s="403"/>
      <c r="H319" s="198"/>
      <c r="I319" s="410"/>
      <c r="J319" s="142"/>
      <c r="K319" s="410"/>
      <c r="L319" s="142"/>
      <c r="M319" s="410"/>
      <c r="N319" s="142"/>
      <c r="O319" s="403"/>
      <c r="P319" s="198"/>
      <c r="Q319" s="411"/>
      <c r="R319" s="76"/>
      <c r="S319" s="197"/>
      <c r="T319" s="198"/>
      <c r="U319" s="197"/>
      <c r="V319" s="198"/>
      <c r="W319" s="198"/>
      <c r="X319" s="198"/>
      <c r="Y319" s="198"/>
      <c r="Z319" s="198"/>
    </row>
    <row r="320">
      <c r="A320" s="403"/>
      <c r="B320" s="198"/>
      <c r="C320" s="403"/>
      <c r="D320" s="142"/>
      <c r="E320" s="403"/>
      <c r="F320" s="198"/>
      <c r="G320" s="403"/>
      <c r="H320" s="198"/>
      <c r="I320" s="410"/>
      <c r="J320" s="142"/>
      <c r="K320" s="410"/>
      <c r="L320" s="142"/>
      <c r="M320" s="410"/>
      <c r="N320" s="142"/>
      <c r="O320" s="403"/>
      <c r="P320" s="198"/>
      <c r="Q320" s="411"/>
      <c r="R320" s="76"/>
      <c r="S320" s="197"/>
      <c r="T320" s="198"/>
      <c r="U320" s="197"/>
      <c r="V320" s="198"/>
      <c r="W320" s="198"/>
      <c r="X320" s="198"/>
      <c r="Y320" s="198"/>
      <c r="Z320" s="198"/>
    </row>
    <row r="321">
      <c r="A321" s="403"/>
      <c r="B321" s="198"/>
      <c r="C321" s="403"/>
      <c r="D321" s="142"/>
      <c r="E321" s="403"/>
      <c r="F321" s="198"/>
      <c r="G321" s="403"/>
      <c r="H321" s="198"/>
      <c r="I321" s="410"/>
      <c r="J321" s="142"/>
      <c r="K321" s="410"/>
      <c r="L321" s="142"/>
      <c r="M321" s="410"/>
      <c r="N321" s="142"/>
      <c r="O321" s="403"/>
      <c r="P321" s="198"/>
      <c r="Q321" s="411"/>
      <c r="R321" s="76"/>
      <c r="S321" s="197"/>
      <c r="T321" s="198"/>
      <c r="U321" s="197"/>
      <c r="V321" s="198"/>
      <c r="W321" s="198"/>
      <c r="X321" s="198"/>
      <c r="Y321" s="198"/>
      <c r="Z321" s="198"/>
    </row>
    <row r="322">
      <c r="A322" s="403"/>
      <c r="B322" s="198"/>
      <c r="C322" s="403"/>
      <c r="D322" s="142"/>
      <c r="E322" s="403"/>
      <c r="F322" s="198"/>
      <c r="G322" s="403"/>
      <c r="H322" s="198"/>
      <c r="I322" s="410"/>
      <c r="J322" s="142"/>
      <c r="K322" s="410"/>
      <c r="L322" s="142"/>
      <c r="M322" s="410"/>
      <c r="N322" s="142"/>
      <c r="O322" s="403"/>
      <c r="P322" s="198"/>
      <c r="Q322" s="411"/>
      <c r="R322" s="76"/>
      <c r="S322" s="197"/>
      <c r="T322" s="198"/>
      <c r="U322" s="197"/>
      <c r="V322" s="198"/>
      <c r="W322" s="198"/>
      <c r="X322" s="198"/>
      <c r="Y322" s="198"/>
      <c r="Z322" s="198"/>
    </row>
    <row r="323">
      <c r="A323" s="403"/>
      <c r="B323" s="198"/>
      <c r="C323" s="403"/>
      <c r="D323" s="142"/>
      <c r="E323" s="403"/>
      <c r="F323" s="198"/>
      <c r="G323" s="403"/>
      <c r="H323" s="198"/>
      <c r="I323" s="410"/>
      <c r="J323" s="142"/>
      <c r="K323" s="410"/>
      <c r="L323" s="142"/>
      <c r="M323" s="410"/>
      <c r="N323" s="142"/>
      <c r="O323" s="403"/>
      <c r="P323" s="198"/>
      <c r="Q323" s="411"/>
      <c r="R323" s="76"/>
      <c r="S323" s="197"/>
      <c r="T323" s="198"/>
      <c r="U323" s="197"/>
      <c r="V323" s="198"/>
      <c r="W323" s="198"/>
      <c r="X323" s="198"/>
      <c r="Y323" s="198"/>
      <c r="Z323" s="198"/>
    </row>
    <row r="324">
      <c r="A324" s="403"/>
      <c r="B324" s="198"/>
      <c r="C324" s="403"/>
      <c r="D324" s="142"/>
      <c r="E324" s="403"/>
      <c r="F324" s="198"/>
      <c r="G324" s="403"/>
      <c r="H324" s="198"/>
      <c r="I324" s="410"/>
      <c r="J324" s="142"/>
      <c r="K324" s="410"/>
      <c r="L324" s="142"/>
      <c r="M324" s="410"/>
      <c r="N324" s="142"/>
      <c r="O324" s="403"/>
      <c r="P324" s="198"/>
      <c r="Q324" s="411"/>
      <c r="R324" s="76"/>
      <c r="S324" s="197"/>
      <c r="T324" s="198"/>
      <c r="U324" s="197"/>
      <c r="V324" s="198"/>
      <c r="W324" s="198"/>
      <c r="X324" s="198"/>
      <c r="Y324" s="198"/>
      <c r="Z324" s="198"/>
    </row>
    <row r="325">
      <c r="A325" s="403"/>
      <c r="B325" s="198"/>
      <c r="C325" s="403"/>
      <c r="D325" s="142"/>
      <c r="E325" s="403"/>
      <c r="F325" s="198"/>
      <c r="G325" s="403"/>
      <c r="H325" s="198"/>
      <c r="I325" s="410"/>
      <c r="J325" s="142"/>
      <c r="K325" s="410"/>
      <c r="L325" s="142"/>
      <c r="M325" s="410"/>
      <c r="N325" s="142"/>
      <c r="O325" s="403"/>
      <c r="P325" s="198"/>
      <c r="Q325" s="411"/>
      <c r="R325" s="76"/>
      <c r="S325" s="197"/>
      <c r="T325" s="198"/>
      <c r="U325" s="197"/>
      <c r="V325" s="198"/>
      <c r="W325" s="198"/>
      <c r="X325" s="198"/>
      <c r="Y325" s="198"/>
      <c r="Z325" s="198"/>
    </row>
    <row r="326">
      <c r="A326" s="403"/>
      <c r="B326" s="198"/>
      <c r="C326" s="403"/>
      <c r="D326" s="142"/>
      <c r="E326" s="403"/>
      <c r="F326" s="198"/>
      <c r="G326" s="403"/>
      <c r="H326" s="198"/>
      <c r="I326" s="410"/>
      <c r="J326" s="142"/>
      <c r="K326" s="410"/>
      <c r="L326" s="142"/>
      <c r="M326" s="410"/>
      <c r="N326" s="142"/>
      <c r="O326" s="403"/>
      <c r="P326" s="198"/>
      <c r="Q326" s="411"/>
      <c r="R326" s="76"/>
      <c r="S326" s="197"/>
      <c r="T326" s="198"/>
      <c r="U326" s="197"/>
      <c r="V326" s="198"/>
      <c r="W326" s="198"/>
      <c r="X326" s="198"/>
      <c r="Y326" s="198"/>
      <c r="Z326" s="198"/>
    </row>
    <row r="327">
      <c r="A327" s="403"/>
      <c r="B327" s="198"/>
      <c r="C327" s="403"/>
      <c r="D327" s="142"/>
      <c r="E327" s="403"/>
      <c r="F327" s="198"/>
      <c r="G327" s="403"/>
      <c r="H327" s="198"/>
      <c r="I327" s="410"/>
      <c r="J327" s="142"/>
      <c r="K327" s="410"/>
      <c r="L327" s="142"/>
      <c r="M327" s="410"/>
      <c r="N327" s="142"/>
      <c r="O327" s="403"/>
      <c r="P327" s="198"/>
      <c r="Q327" s="411"/>
      <c r="R327" s="76"/>
      <c r="S327" s="197"/>
      <c r="T327" s="198"/>
      <c r="U327" s="197"/>
      <c r="V327" s="198"/>
      <c r="W327" s="198"/>
      <c r="X327" s="198"/>
      <c r="Y327" s="198"/>
      <c r="Z327" s="198"/>
    </row>
    <row r="328">
      <c r="A328" s="403"/>
      <c r="B328" s="198"/>
      <c r="C328" s="403"/>
      <c r="D328" s="142"/>
      <c r="E328" s="403"/>
      <c r="F328" s="198"/>
      <c r="G328" s="403"/>
      <c r="H328" s="198"/>
      <c r="I328" s="410"/>
      <c r="J328" s="142"/>
      <c r="K328" s="410"/>
      <c r="L328" s="142"/>
      <c r="M328" s="410"/>
      <c r="N328" s="142"/>
      <c r="O328" s="403"/>
      <c r="P328" s="198"/>
      <c r="Q328" s="411"/>
      <c r="R328" s="76"/>
      <c r="S328" s="197"/>
      <c r="T328" s="198"/>
      <c r="U328" s="197"/>
      <c r="V328" s="198"/>
      <c r="W328" s="198"/>
      <c r="X328" s="198"/>
      <c r="Y328" s="198"/>
      <c r="Z328" s="198"/>
    </row>
    <row r="329">
      <c r="A329" s="403"/>
      <c r="B329" s="198"/>
      <c r="C329" s="403"/>
      <c r="D329" s="142"/>
      <c r="E329" s="403"/>
      <c r="F329" s="198"/>
      <c r="G329" s="403"/>
      <c r="H329" s="198"/>
      <c r="I329" s="410"/>
      <c r="J329" s="142"/>
      <c r="K329" s="410"/>
      <c r="L329" s="142"/>
      <c r="M329" s="410"/>
      <c r="N329" s="142"/>
      <c r="O329" s="403"/>
      <c r="P329" s="198"/>
      <c r="Q329" s="411"/>
      <c r="R329" s="76"/>
      <c r="S329" s="197"/>
      <c r="T329" s="198"/>
      <c r="U329" s="197"/>
      <c r="V329" s="198"/>
      <c r="W329" s="198"/>
      <c r="X329" s="198"/>
      <c r="Y329" s="198"/>
      <c r="Z329" s="198"/>
    </row>
    <row r="330">
      <c r="A330" s="403"/>
      <c r="B330" s="198"/>
      <c r="C330" s="403"/>
      <c r="D330" s="142"/>
      <c r="E330" s="403"/>
      <c r="F330" s="198"/>
      <c r="G330" s="403"/>
      <c r="H330" s="198"/>
      <c r="I330" s="410"/>
      <c r="J330" s="142"/>
      <c r="K330" s="410"/>
      <c r="L330" s="142"/>
      <c r="M330" s="410"/>
      <c r="N330" s="142"/>
      <c r="O330" s="403"/>
      <c r="P330" s="198"/>
      <c r="Q330" s="411"/>
      <c r="R330" s="76"/>
      <c r="S330" s="197"/>
      <c r="T330" s="198"/>
      <c r="U330" s="197"/>
      <c r="V330" s="198"/>
      <c r="W330" s="198"/>
      <c r="X330" s="198"/>
      <c r="Y330" s="198"/>
      <c r="Z330" s="198"/>
    </row>
    <row r="331">
      <c r="A331" s="403"/>
      <c r="B331" s="198"/>
      <c r="C331" s="403"/>
      <c r="D331" s="142"/>
      <c r="E331" s="403"/>
      <c r="F331" s="198"/>
      <c r="G331" s="403"/>
      <c r="H331" s="198"/>
      <c r="I331" s="410"/>
      <c r="J331" s="142"/>
      <c r="K331" s="410"/>
      <c r="L331" s="142"/>
      <c r="M331" s="410"/>
      <c r="N331" s="142"/>
      <c r="O331" s="403"/>
      <c r="P331" s="198"/>
      <c r="Q331" s="411"/>
      <c r="R331" s="76"/>
      <c r="S331" s="197"/>
      <c r="T331" s="198"/>
      <c r="U331" s="197"/>
      <c r="V331" s="198"/>
      <c r="W331" s="198"/>
      <c r="X331" s="198"/>
      <c r="Y331" s="198"/>
      <c r="Z331" s="198"/>
    </row>
    <row r="332">
      <c r="A332" s="403"/>
      <c r="B332" s="198"/>
      <c r="C332" s="403"/>
      <c r="D332" s="142"/>
      <c r="E332" s="403"/>
      <c r="F332" s="198"/>
      <c r="G332" s="403"/>
      <c r="H332" s="198"/>
      <c r="I332" s="410"/>
      <c r="J332" s="142"/>
      <c r="K332" s="410"/>
      <c r="L332" s="142"/>
      <c r="M332" s="410"/>
      <c r="N332" s="142"/>
      <c r="O332" s="403"/>
      <c r="P332" s="198"/>
      <c r="Q332" s="411"/>
      <c r="R332" s="76"/>
      <c r="S332" s="197"/>
      <c r="T332" s="198"/>
      <c r="U332" s="197"/>
      <c r="V332" s="198"/>
      <c r="W332" s="198"/>
      <c r="X332" s="198"/>
      <c r="Y332" s="198"/>
      <c r="Z332" s="198"/>
    </row>
    <row r="333">
      <c r="A333" s="403"/>
      <c r="B333" s="198"/>
      <c r="C333" s="403"/>
      <c r="D333" s="142"/>
      <c r="E333" s="403"/>
      <c r="F333" s="198"/>
      <c r="G333" s="403"/>
      <c r="H333" s="198"/>
      <c r="I333" s="410"/>
      <c r="J333" s="142"/>
      <c r="K333" s="410"/>
      <c r="L333" s="142"/>
      <c r="M333" s="410"/>
      <c r="N333" s="142"/>
      <c r="O333" s="403"/>
      <c r="P333" s="198"/>
      <c r="Q333" s="411"/>
      <c r="R333" s="76"/>
      <c r="S333" s="197"/>
      <c r="T333" s="198"/>
      <c r="U333" s="197"/>
      <c r="V333" s="198"/>
      <c r="W333" s="198"/>
      <c r="X333" s="198"/>
      <c r="Y333" s="198"/>
      <c r="Z333" s="198"/>
    </row>
    <row r="334">
      <c r="A334" s="403"/>
      <c r="B334" s="198"/>
      <c r="C334" s="403"/>
      <c r="D334" s="142"/>
      <c r="E334" s="403"/>
      <c r="F334" s="198"/>
      <c r="G334" s="403"/>
      <c r="H334" s="198"/>
      <c r="I334" s="410"/>
      <c r="J334" s="142"/>
      <c r="K334" s="410"/>
      <c r="L334" s="142"/>
      <c r="M334" s="410"/>
      <c r="N334" s="142"/>
      <c r="O334" s="403"/>
      <c r="P334" s="198"/>
      <c r="Q334" s="411"/>
      <c r="R334" s="76"/>
      <c r="S334" s="197"/>
      <c r="T334" s="198"/>
      <c r="U334" s="197"/>
      <c r="V334" s="198"/>
      <c r="W334" s="198"/>
      <c r="X334" s="198"/>
      <c r="Y334" s="198"/>
      <c r="Z334" s="198"/>
    </row>
    <row r="335">
      <c r="A335" s="403"/>
      <c r="B335" s="198"/>
      <c r="C335" s="403"/>
      <c r="D335" s="142"/>
      <c r="E335" s="403"/>
      <c r="F335" s="198"/>
      <c r="G335" s="403"/>
      <c r="H335" s="198"/>
      <c r="I335" s="410"/>
      <c r="J335" s="142"/>
      <c r="K335" s="410"/>
      <c r="L335" s="142"/>
      <c r="M335" s="410"/>
      <c r="N335" s="142"/>
      <c r="O335" s="403"/>
      <c r="P335" s="198"/>
      <c r="Q335" s="411"/>
      <c r="R335" s="76"/>
      <c r="S335" s="197"/>
      <c r="T335" s="198"/>
      <c r="U335" s="197"/>
      <c r="V335" s="198"/>
      <c r="W335" s="198"/>
      <c r="X335" s="198"/>
      <c r="Y335" s="198"/>
      <c r="Z335" s="198"/>
    </row>
    <row r="336">
      <c r="A336" s="403"/>
      <c r="B336" s="198"/>
      <c r="C336" s="403"/>
      <c r="D336" s="142"/>
      <c r="E336" s="403"/>
      <c r="F336" s="198"/>
      <c r="G336" s="403"/>
      <c r="H336" s="198"/>
      <c r="I336" s="410"/>
      <c r="J336" s="142"/>
      <c r="K336" s="410"/>
      <c r="L336" s="142"/>
      <c r="M336" s="410"/>
      <c r="N336" s="142"/>
      <c r="O336" s="403"/>
      <c r="P336" s="198"/>
      <c r="Q336" s="411"/>
      <c r="R336" s="76"/>
      <c r="S336" s="197"/>
      <c r="T336" s="198"/>
      <c r="U336" s="197"/>
      <c r="V336" s="198"/>
      <c r="W336" s="198"/>
      <c r="X336" s="198"/>
      <c r="Y336" s="198"/>
      <c r="Z336" s="198"/>
    </row>
    <row r="337">
      <c r="A337" s="403"/>
      <c r="B337" s="198"/>
      <c r="C337" s="403"/>
      <c r="D337" s="142"/>
      <c r="E337" s="403"/>
      <c r="F337" s="198"/>
      <c r="G337" s="403"/>
      <c r="H337" s="198"/>
      <c r="I337" s="410"/>
      <c r="J337" s="142"/>
      <c r="K337" s="410"/>
      <c r="L337" s="142"/>
      <c r="M337" s="410"/>
      <c r="N337" s="142"/>
      <c r="O337" s="403"/>
      <c r="P337" s="198"/>
      <c r="Q337" s="411"/>
      <c r="R337" s="76"/>
      <c r="S337" s="197"/>
      <c r="T337" s="198"/>
      <c r="U337" s="197"/>
      <c r="V337" s="198"/>
      <c r="W337" s="198"/>
      <c r="X337" s="198"/>
      <c r="Y337" s="198"/>
      <c r="Z337" s="198"/>
    </row>
    <row r="338">
      <c r="A338" s="403"/>
      <c r="B338" s="198"/>
      <c r="C338" s="403"/>
      <c r="D338" s="142"/>
      <c r="E338" s="403"/>
      <c r="F338" s="198"/>
      <c r="G338" s="403"/>
      <c r="H338" s="198"/>
      <c r="I338" s="410"/>
      <c r="J338" s="142"/>
      <c r="K338" s="410"/>
      <c r="L338" s="142"/>
      <c r="M338" s="410"/>
      <c r="N338" s="142"/>
      <c r="O338" s="403"/>
      <c r="P338" s="198"/>
      <c r="Q338" s="411"/>
      <c r="R338" s="76"/>
      <c r="S338" s="197"/>
      <c r="T338" s="198"/>
      <c r="U338" s="197"/>
      <c r="V338" s="198"/>
      <c r="W338" s="198"/>
      <c r="X338" s="198"/>
      <c r="Y338" s="198"/>
      <c r="Z338" s="198"/>
    </row>
    <row r="339">
      <c r="A339" s="403"/>
      <c r="B339" s="198"/>
      <c r="C339" s="403"/>
      <c r="D339" s="142"/>
      <c r="E339" s="403"/>
      <c r="F339" s="198"/>
      <c r="G339" s="403"/>
      <c r="H339" s="198"/>
      <c r="I339" s="410"/>
      <c r="J339" s="142"/>
      <c r="K339" s="410"/>
      <c r="L339" s="142"/>
      <c r="M339" s="410"/>
      <c r="N339" s="142"/>
      <c r="O339" s="403"/>
      <c r="P339" s="198"/>
      <c r="Q339" s="411"/>
      <c r="R339" s="76"/>
      <c r="S339" s="197"/>
      <c r="T339" s="198"/>
      <c r="U339" s="197"/>
      <c r="V339" s="198"/>
      <c r="W339" s="198"/>
      <c r="X339" s="198"/>
      <c r="Y339" s="198"/>
      <c r="Z339" s="198"/>
    </row>
    <row r="340">
      <c r="A340" s="403"/>
      <c r="B340" s="198"/>
      <c r="C340" s="403"/>
      <c r="D340" s="142"/>
      <c r="E340" s="403"/>
      <c r="F340" s="198"/>
      <c r="G340" s="403"/>
      <c r="H340" s="198"/>
      <c r="I340" s="410"/>
      <c r="J340" s="142"/>
      <c r="K340" s="410"/>
      <c r="L340" s="142"/>
      <c r="M340" s="410"/>
      <c r="N340" s="142"/>
      <c r="O340" s="403"/>
      <c r="P340" s="198"/>
      <c r="Q340" s="411"/>
      <c r="R340" s="76"/>
      <c r="S340" s="197"/>
      <c r="T340" s="198"/>
      <c r="U340" s="197"/>
      <c r="V340" s="198"/>
      <c r="W340" s="198"/>
      <c r="X340" s="198"/>
      <c r="Y340" s="198"/>
      <c r="Z340" s="198"/>
    </row>
    <row r="341">
      <c r="A341" s="403"/>
      <c r="B341" s="198"/>
      <c r="C341" s="403"/>
      <c r="D341" s="142"/>
      <c r="E341" s="403"/>
      <c r="F341" s="198"/>
      <c r="G341" s="403"/>
      <c r="H341" s="198"/>
      <c r="I341" s="410"/>
      <c r="J341" s="142"/>
      <c r="K341" s="410"/>
      <c r="L341" s="142"/>
      <c r="M341" s="410"/>
      <c r="N341" s="142"/>
      <c r="O341" s="403"/>
      <c r="P341" s="198"/>
      <c r="Q341" s="411"/>
      <c r="R341" s="76"/>
      <c r="S341" s="197"/>
      <c r="T341" s="198"/>
      <c r="U341" s="197"/>
      <c r="V341" s="198"/>
      <c r="W341" s="198"/>
      <c r="X341" s="198"/>
      <c r="Y341" s="198"/>
      <c r="Z341" s="198"/>
    </row>
    <row r="342">
      <c r="A342" s="403"/>
      <c r="B342" s="198"/>
      <c r="C342" s="403"/>
      <c r="D342" s="142"/>
      <c r="E342" s="403"/>
      <c r="F342" s="198"/>
      <c r="G342" s="403"/>
      <c r="H342" s="198"/>
      <c r="I342" s="410"/>
      <c r="J342" s="142"/>
      <c r="K342" s="410"/>
      <c r="L342" s="142"/>
      <c r="M342" s="410"/>
      <c r="N342" s="142"/>
      <c r="O342" s="403"/>
      <c r="P342" s="198"/>
      <c r="Q342" s="411"/>
      <c r="R342" s="76"/>
      <c r="S342" s="197"/>
      <c r="T342" s="198"/>
      <c r="U342" s="197"/>
      <c r="V342" s="198"/>
      <c r="W342" s="198"/>
      <c r="X342" s="198"/>
      <c r="Y342" s="198"/>
      <c r="Z342" s="198"/>
    </row>
    <row r="343">
      <c r="A343" s="403"/>
      <c r="B343" s="198"/>
      <c r="C343" s="403"/>
      <c r="D343" s="142"/>
      <c r="E343" s="403"/>
      <c r="F343" s="198"/>
      <c r="G343" s="403"/>
      <c r="H343" s="198"/>
      <c r="I343" s="410"/>
      <c r="J343" s="142"/>
      <c r="K343" s="410"/>
      <c r="L343" s="142"/>
      <c r="M343" s="410"/>
      <c r="N343" s="142"/>
      <c r="O343" s="403"/>
      <c r="P343" s="198"/>
      <c r="Q343" s="411"/>
      <c r="R343" s="76"/>
      <c r="S343" s="197"/>
      <c r="T343" s="198"/>
      <c r="U343" s="197"/>
      <c r="V343" s="198"/>
      <c r="W343" s="198"/>
      <c r="X343" s="198"/>
      <c r="Y343" s="198"/>
      <c r="Z343" s="198"/>
    </row>
    <row r="344">
      <c r="A344" s="403"/>
      <c r="B344" s="198"/>
      <c r="C344" s="403"/>
      <c r="D344" s="142"/>
      <c r="E344" s="403"/>
      <c r="F344" s="198"/>
      <c r="G344" s="403"/>
      <c r="H344" s="198"/>
      <c r="I344" s="410"/>
      <c r="J344" s="142"/>
      <c r="K344" s="410"/>
      <c r="L344" s="142"/>
      <c r="M344" s="410"/>
      <c r="N344" s="142"/>
      <c r="O344" s="403"/>
      <c r="P344" s="198"/>
      <c r="Q344" s="411"/>
      <c r="R344" s="76"/>
      <c r="S344" s="197"/>
      <c r="T344" s="198"/>
      <c r="U344" s="197"/>
      <c r="V344" s="198"/>
      <c r="W344" s="198"/>
      <c r="X344" s="198"/>
      <c r="Y344" s="198"/>
      <c r="Z344" s="198"/>
    </row>
    <row r="345">
      <c r="A345" s="403"/>
      <c r="B345" s="198"/>
      <c r="C345" s="403"/>
      <c r="D345" s="142"/>
      <c r="E345" s="403"/>
      <c r="F345" s="198"/>
      <c r="G345" s="403"/>
      <c r="H345" s="198"/>
      <c r="I345" s="410"/>
      <c r="J345" s="142"/>
      <c r="K345" s="410"/>
      <c r="L345" s="142"/>
      <c r="M345" s="410"/>
      <c r="N345" s="142"/>
      <c r="O345" s="403"/>
      <c r="P345" s="198"/>
      <c r="Q345" s="411"/>
      <c r="R345" s="76"/>
      <c r="S345" s="197"/>
      <c r="T345" s="198"/>
      <c r="U345" s="197"/>
      <c r="V345" s="198"/>
      <c r="W345" s="198"/>
      <c r="X345" s="198"/>
      <c r="Y345" s="198"/>
      <c r="Z345" s="198"/>
    </row>
    <row r="346">
      <c r="A346" s="403"/>
      <c r="B346" s="198"/>
      <c r="C346" s="403"/>
      <c r="D346" s="142"/>
      <c r="E346" s="403"/>
      <c r="F346" s="198"/>
      <c r="G346" s="403"/>
      <c r="H346" s="198"/>
      <c r="I346" s="410"/>
      <c r="J346" s="142"/>
      <c r="K346" s="410"/>
      <c r="L346" s="142"/>
      <c r="M346" s="410"/>
      <c r="N346" s="142"/>
      <c r="O346" s="403"/>
      <c r="P346" s="198"/>
      <c r="Q346" s="411"/>
      <c r="R346" s="76"/>
      <c r="S346" s="197"/>
      <c r="T346" s="198"/>
      <c r="U346" s="197"/>
      <c r="V346" s="198"/>
      <c r="W346" s="198"/>
      <c r="X346" s="198"/>
      <c r="Y346" s="198"/>
      <c r="Z346" s="198"/>
    </row>
    <row r="347">
      <c r="A347" s="403"/>
      <c r="B347" s="198"/>
      <c r="C347" s="403"/>
      <c r="D347" s="142"/>
      <c r="E347" s="403"/>
      <c r="F347" s="198"/>
      <c r="G347" s="403"/>
      <c r="H347" s="198"/>
      <c r="I347" s="410"/>
      <c r="J347" s="142"/>
      <c r="K347" s="410"/>
      <c r="L347" s="142"/>
      <c r="M347" s="410"/>
      <c r="N347" s="142"/>
      <c r="O347" s="403"/>
      <c r="P347" s="198"/>
      <c r="Q347" s="411"/>
      <c r="R347" s="76"/>
      <c r="S347" s="197"/>
      <c r="T347" s="198"/>
      <c r="U347" s="197"/>
      <c r="V347" s="198"/>
      <c r="W347" s="198"/>
      <c r="X347" s="198"/>
      <c r="Y347" s="198"/>
      <c r="Z347" s="198"/>
    </row>
    <row r="348">
      <c r="A348" s="403"/>
      <c r="B348" s="198"/>
      <c r="C348" s="403"/>
      <c r="D348" s="142"/>
      <c r="E348" s="403"/>
      <c r="F348" s="198"/>
      <c r="G348" s="403"/>
      <c r="H348" s="198"/>
      <c r="I348" s="410"/>
      <c r="J348" s="142"/>
      <c r="K348" s="410"/>
      <c r="L348" s="142"/>
      <c r="M348" s="410"/>
      <c r="N348" s="142"/>
      <c r="O348" s="403"/>
      <c r="P348" s="198"/>
      <c r="Q348" s="411"/>
      <c r="R348" s="76"/>
      <c r="S348" s="197"/>
      <c r="T348" s="198"/>
      <c r="U348" s="197"/>
      <c r="V348" s="198"/>
      <c r="W348" s="198"/>
      <c r="X348" s="198"/>
      <c r="Y348" s="198"/>
      <c r="Z348" s="198"/>
    </row>
    <row r="349">
      <c r="A349" s="403"/>
      <c r="B349" s="198"/>
      <c r="C349" s="403"/>
      <c r="D349" s="142"/>
      <c r="E349" s="403"/>
      <c r="F349" s="198"/>
      <c r="G349" s="403"/>
      <c r="H349" s="198"/>
      <c r="I349" s="410"/>
      <c r="J349" s="142"/>
      <c r="K349" s="410"/>
      <c r="L349" s="142"/>
      <c r="M349" s="410"/>
      <c r="N349" s="142"/>
      <c r="O349" s="403"/>
      <c r="P349" s="198"/>
      <c r="Q349" s="411"/>
      <c r="R349" s="76"/>
      <c r="S349" s="197"/>
      <c r="T349" s="198"/>
      <c r="U349" s="197"/>
      <c r="V349" s="198"/>
      <c r="W349" s="198"/>
      <c r="X349" s="198"/>
      <c r="Y349" s="198"/>
      <c r="Z349" s="198"/>
    </row>
    <row r="350">
      <c r="A350" s="403"/>
      <c r="B350" s="198"/>
      <c r="C350" s="403"/>
      <c r="D350" s="142"/>
      <c r="E350" s="403"/>
      <c r="F350" s="198"/>
      <c r="G350" s="403"/>
      <c r="H350" s="198"/>
      <c r="I350" s="410"/>
      <c r="J350" s="142"/>
      <c r="K350" s="410"/>
      <c r="L350" s="142"/>
      <c r="M350" s="410"/>
      <c r="N350" s="142"/>
      <c r="O350" s="403"/>
      <c r="P350" s="198"/>
      <c r="Q350" s="411"/>
      <c r="R350" s="76"/>
      <c r="S350" s="197"/>
      <c r="T350" s="198"/>
      <c r="U350" s="197"/>
      <c r="V350" s="198"/>
      <c r="W350" s="198"/>
      <c r="X350" s="198"/>
      <c r="Y350" s="198"/>
      <c r="Z350" s="198"/>
    </row>
    <row r="351">
      <c r="A351" s="403"/>
      <c r="B351" s="198"/>
      <c r="C351" s="403"/>
      <c r="D351" s="142"/>
      <c r="E351" s="403"/>
      <c r="F351" s="198"/>
      <c r="G351" s="403"/>
      <c r="H351" s="198"/>
      <c r="I351" s="410"/>
      <c r="J351" s="142"/>
      <c r="K351" s="410"/>
      <c r="L351" s="142"/>
      <c r="M351" s="410"/>
      <c r="N351" s="142"/>
      <c r="O351" s="403"/>
      <c r="P351" s="198"/>
      <c r="Q351" s="411"/>
      <c r="R351" s="76"/>
      <c r="S351" s="197"/>
      <c r="T351" s="198"/>
      <c r="U351" s="197"/>
      <c r="V351" s="198"/>
      <c r="W351" s="198"/>
      <c r="X351" s="198"/>
      <c r="Y351" s="198"/>
      <c r="Z351" s="198"/>
    </row>
    <row r="352">
      <c r="A352" s="403"/>
      <c r="B352" s="198"/>
      <c r="C352" s="403"/>
      <c r="D352" s="142"/>
      <c r="E352" s="403"/>
      <c r="F352" s="198"/>
      <c r="G352" s="403"/>
      <c r="H352" s="198"/>
      <c r="I352" s="410"/>
      <c r="J352" s="142"/>
      <c r="K352" s="410"/>
      <c r="L352" s="142"/>
      <c r="M352" s="410"/>
      <c r="N352" s="142"/>
      <c r="O352" s="403"/>
      <c r="P352" s="198"/>
      <c r="Q352" s="411"/>
      <c r="R352" s="76"/>
      <c r="S352" s="197"/>
      <c r="T352" s="198"/>
      <c r="U352" s="197"/>
      <c r="V352" s="198"/>
      <c r="W352" s="198"/>
      <c r="X352" s="198"/>
      <c r="Y352" s="198"/>
      <c r="Z352" s="198"/>
    </row>
    <row r="353">
      <c r="A353" s="403"/>
      <c r="B353" s="198"/>
      <c r="C353" s="403"/>
      <c r="D353" s="142"/>
      <c r="E353" s="403"/>
      <c r="F353" s="198"/>
      <c r="G353" s="403"/>
      <c r="H353" s="198"/>
      <c r="I353" s="410"/>
      <c r="J353" s="142"/>
      <c r="K353" s="410"/>
      <c r="L353" s="142"/>
      <c r="M353" s="410"/>
      <c r="N353" s="142"/>
      <c r="O353" s="403"/>
      <c r="P353" s="198"/>
      <c r="Q353" s="411"/>
      <c r="R353" s="76"/>
      <c r="S353" s="197"/>
      <c r="T353" s="198"/>
      <c r="U353" s="197"/>
      <c r="V353" s="198"/>
      <c r="W353" s="198"/>
      <c r="X353" s="198"/>
      <c r="Y353" s="198"/>
      <c r="Z353" s="198"/>
    </row>
    <row r="354">
      <c r="A354" s="403"/>
      <c r="B354" s="198"/>
      <c r="C354" s="403"/>
      <c r="D354" s="142"/>
      <c r="E354" s="403"/>
      <c r="F354" s="198"/>
      <c r="G354" s="403"/>
      <c r="H354" s="198"/>
      <c r="I354" s="410"/>
      <c r="J354" s="142"/>
      <c r="K354" s="410"/>
      <c r="L354" s="142"/>
      <c r="M354" s="410"/>
      <c r="N354" s="142"/>
      <c r="O354" s="403"/>
      <c r="P354" s="198"/>
      <c r="Q354" s="411"/>
      <c r="R354" s="76"/>
      <c r="S354" s="197"/>
      <c r="T354" s="198"/>
      <c r="U354" s="197"/>
      <c r="V354" s="198"/>
      <c r="W354" s="198"/>
      <c r="X354" s="198"/>
      <c r="Y354" s="198"/>
      <c r="Z354" s="198"/>
    </row>
    <row r="355">
      <c r="A355" s="403"/>
      <c r="B355" s="198"/>
      <c r="C355" s="403"/>
      <c r="D355" s="142"/>
      <c r="E355" s="403"/>
      <c r="F355" s="198"/>
      <c r="G355" s="403"/>
      <c r="H355" s="198"/>
      <c r="I355" s="410"/>
      <c r="J355" s="142"/>
      <c r="K355" s="410"/>
      <c r="L355" s="142"/>
      <c r="M355" s="410"/>
      <c r="N355" s="142"/>
      <c r="O355" s="403"/>
      <c r="P355" s="198"/>
      <c r="Q355" s="411"/>
      <c r="R355" s="76"/>
      <c r="S355" s="197"/>
      <c r="T355" s="198"/>
      <c r="U355" s="197"/>
      <c r="V355" s="198"/>
      <c r="W355" s="198"/>
      <c r="X355" s="198"/>
      <c r="Y355" s="198"/>
      <c r="Z355" s="198"/>
    </row>
    <row r="356">
      <c r="A356" s="403"/>
      <c r="B356" s="198"/>
      <c r="C356" s="403"/>
      <c r="D356" s="142"/>
      <c r="E356" s="403"/>
      <c r="F356" s="198"/>
      <c r="G356" s="403"/>
      <c r="H356" s="198"/>
      <c r="I356" s="410"/>
      <c r="J356" s="142"/>
      <c r="K356" s="410"/>
      <c r="L356" s="142"/>
      <c r="M356" s="410"/>
      <c r="N356" s="142"/>
      <c r="O356" s="403"/>
      <c r="P356" s="198"/>
      <c r="Q356" s="411"/>
      <c r="R356" s="76"/>
      <c r="S356" s="197"/>
      <c r="T356" s="198"/>
      <c r="U356" s="197"/>
      <c r="V356" s="198"/>
      <c r="W356" s="198"/>
      <c r="X356" s="198"/>
      <c r="Y356" s="198"/>
      <c r="Z356" s="198"/>
    </row>
    <row r="357">
      <c r="A357" s="403"/>
      <c r="B357" s="198"/>
      <c r="C357" s="403"/>
      <c r="D357" s="142"/>
      <c r="E357" s="403"/>
      <c r="F357" s="198"/>
      <c r="G357" s="403"/>
      <c r="H357" s="198"/>
      <c r="I357" s="410"/>
      <c r="J357" s="142"/>
      <c r="K357" s="410"/>
      <c r="L357" s="142"/>
      <c r="M357" s="410"/>
      <c r="N357" s="142"/>
      <c r="O357" s="403"/>
      <c r="P357" s="198"/>
      <c r="Q357" s="411"/>
      <c r="R357" s="76"/>
      <c r="S357" s="197"/>
      <c r="T357" s="198"/>
      <c r="U357" s="197"/>
      <c r="V357" s="198"/>
      <c r="W357" s="198"/>
      <c r="X357" s="198"/>
      <c r="Y357" s="198"/>
      <c r="Z357" s="198"/>
    </row>
    <row r="358">
      <c r="A358" s="403"/>
      <c r="B358" s="198"/>
      <c r="C358" s="403"/>
      <c r="D358" s="142"/>
      <c r="E358" s="403"/>
      <c r="F358" s="198"/>
      <c r="G358" s="403"/>
      <c r="H358" s="198"/>
      <c r="I358" s="410"/>
      <c r="J358" s="142"/>
      <c r="K358" s="410"/>
      <c r="L358" s="142"/>
      <c r="M358" s="410"/>
      <c r="N358" s="142"/>
      <c r="O358" s="403"/>
      <c r="P358" s="198"/>
      <c r="Q358" s="411"/>
      <c r="R358" s="76"/>
      <c r="S358" s="197"/>
      <c r="T358" s="198"/>
      <c r="U358" s="197"/>
      <c r="V358" s="198"/>
      <c r="W358" s="198"/>
      <c r="X358" s="198"/>
      <c r="Y358" s="198"/>
      <c r="Z358" s="198"/>
    </row>
    <row r="359">
      <c r="A359" s="403"/>
      <c r="B359" s="198"/>
      <c r="C359" s="403"/>
      <c r="D359" s="142"/>
      <c r="E359" s="403"/>
      <c r="F359" s="198"/>
      <c r="G359" s="403"/>
      <c r="H359" s="198"/>
      <c r="I359" s="410"/>
      <c r="J359" s="142"/>
      <c r="K359" s="410"/>
      <c r="L359" s="142"/>
      <c r="M359" s="410"/>
      <c r="N359" s="142"/>
      <c r="O359" s="403"/>
      <c r="P359" s="198"/>
      <c r="Q359" s="411"/>
      <c r="R359" s="76"/>
      <c r="S359" s="197"/>
      <c r="T359" s="198"/>
      <c r="U359" s="197"/>
      <c r="V359" s="198"/>
      <c r="W359" s="198"/>
      <c r="X359" s="198"/>
      <c r="Y359" s="198"/>
      <c r="Z359" s="198"/>
    </row>
    <row r="360">
      <c r="A360" s="403"/>
      <c r="B360" s="198"/>
      <c r="C360" s="403"/>
      <c r="D360" s="142"/>
      <c r="E360" s="403"/>
      <c r="F360" s="198"/>
      <c r="G360" s="403"/>
      <c r="H360" s="198"/>
      <c r="I360" s="410"/>
      <c r="J360" s="142"/>
      <c r="K360" s="410"/>
      <c r="L360" s="142"/>
      <c r="M360" s="410"/>
      <c r="N360" s="142"/>
      <c r="O360" s="403"/>
      <c r="P360" s="198"/>
      <c r="Q360" s="411"/>
      <c r="R360" s="76"/>
      <c r="S360" s="197"/>
      <c r="T360" s="198"/>
      <c r="U360" s="197"/>
      <c r="V360" s="198"/>
      <c r="W360" s="198"/>
      <c r="X360" s="198"/>
      <c r="Y360" s="198"/>
      <c r="Z360" s="198"/>
    </row>
    <row r="361">
      <c r="A361" s="403"/>
      <c r="B361" s="198"/>
      <c r="C361" s="403"/>
      <c r="D361" s="142"/>
      <c r="E361" s="403"/>
      <c r="F361" s="198"/>
      <c r="G361" s="403"/>
      <c r="H361" s="198"/>
      <c r="I361" s="410"/>
      <c r="J361" s="142"/>
      <c r="K361" s="410"/>
      <c r="L361" s="142"/>
      <c r="M361" s="410"/>
      <c r="N361" s="142"/>
      <c r="O361" s="403"/>
      <c r="P361" s="198"/>
      <c r="Q361" s="411"/>
      <c r="R361" s="76"/>
      <c r="S361" s="197"/>
      <c r="T361" s="198"/>
      <c r="U361" s="197"/>
      <c r="V361" s="198"/>
      <c r="W361" s="198"/>
      <c r="X361" s="198"/>
      <c r="Y361" s="198"/>
      <c r="Z361" s="198"/>
    </row>
    <row r="362">
      <c r="A362" s="403"/>
      <c r="B362" s="198"/>
      <c r="C362" s="403"/>
      <c r="D362" s="142"/>
      <c r="E362" s="403"/>
      <c r="F362" s="198"/>
      <c r="G362" s="403"/>
      <c r="H362" s="198"/>
      <c r="I362" s="410"/>
      <c r="J362" s="142"/>
      <c r="K362" s="410"/>
      <c r="L362" s="142"/>
      <c r="M362" s="410"/>
      <c r="N362" s="142"/>
      <c r="O362" s="403"/>
      <c r="P362" s="198"/>
      <c r="Q362" s="411"/>
      <c r="R362" s="76"/>
      <c r="S362" s="197"/>
      <c r="T362" s="198"/>
      <c r="U362" s="197"/>
      <c r="V362" s="198"/>
      <c r="W362" s="198"/>
      <c r="X362" s="198"/>
      <c r="Y362" s="198"/>
      <c r="Z362" s="198"/>
    </row>
    <row r="363">
      <c r="A363" s="403"/>
      <c r="B363" s="198"/>
      <c r="C363" s="403"/>
      <c r="D363" s="142"/>
      <c r="E363" s="403"/>
      <c r="F363" s="198"/>
      <c r="G363" s="403"/>
      <c r="H363" s="198"/>
      <c r="I363" s="410"/>
      <c r="J363" s="142"/>
      <c r="K363" s="410"/>
      <c r="L363" s="142"/>
      <c r="M363" s="410"/>
      <c r="N363" s="142"/>
      <c r="O363" s="403"/>
      <c r="P363" s="198"/>
      <c r="Q363" s="411"/>
      <c r="R363" s="76"/>
      <c r="S363" s="197"/>
      <c r="T363" s="198"/>
      <c r="U363" s="197"/>
      <c r="V363" s="198"/>
      <c r="W363" s="198"/>
      <c r="X363" s="198"/>
      <c r="Y363" s="198"/>
      <c r="Z363" s="198"/>
    </row>
    <row r="364">
      <c r="A364" s="403"/>
      <c r="B364" s="198"/>
      <c r="C364" s="403"/>
      <c r="D364" s="142"/>
      <c r="E364" s="403"/>
      <c r="F364" s="198"/>
      <c r="G364" s="403"/>
      <c r="H364" s="198"/>
      <c r="I364" s="410"/>
      <c r="J364" s="142"/>
      <c r="K364" s="410"/>
      <c r="L364" s="142"/>
      <c r="M364" s="410"/>
      <c r="N364" s="142"/>
      <c r="O364" s="403"/>
      <c r="P364" s="198"/>
      <c r="Q364" s="411"/>
      <c r="R364" s="76"/>
      <c r="S364" s="197"/>
      <c r="T364" s="198"/>
      <c r="U364" s="197"/>
      <c r="V364" s="198"/>
      <c r="W364" s="198"/>
      <c r="X364" s="198"/>
      <c r="Y364" s="198"/>
      <c r="Z364" s="198"/>
    </row>
    <row r="365">
      <c r="A365" s="403"/>
      <c r="B365" s="198"/>
      <c r="C365" s="403"/>
      <c r="D365" s="142"/>
      <c r="E365" s="403"/>
      <c r="F365" s="198"/>
      <c r="G365" s="403"/>
      <c r="H365" s="198"/>
      <c r="I365" s="410"/>
      <c r="J365" s="142"/>
      <c r="K365" s="410"/>
      <c r="L365" s="142"/>
      <c r="M365" s="410"/>
      <c r="N365" s="142"/>
      <c r="O365" s="403"/>
      <c r="P365" s="198"/>
      <c r="Q365" s="411"/>
      <c r="R365" s="76"/>
      <c r="S365" s="197"/>
      <c r="T365" s="198"/>
      <c r="U365" s="197"/>
      <c r="V365" s="198"/>
      <c r="W365" s="198"/>
      <c r="X365" s="198"/>
      <c r="Y365" s="198"/>
      <c r="Z365" s="198"/>
    </row>
    <row r="366">
      <c r="A366" s="403"/>
      <c r="B366" s="198"/>
      <c r="C366" s="403"/>
      <c r="D366" s="142"/>
      <c r="E366" s="403"/>
      <c r="F366" s="198"/>
      <c r="G366" s="403"/>
      <c r="H366" s="198"/>
      <c r="I366" s="410"/>
      <c r="J366" s="142"/>
      <c r="K366" s="410"/>
      <c r="L366" s="142"/>
      <c r="M366" s="410"/>
      <c r="N366" s="142"/>
      <c r="O366" s="403"/>
      <c r="P366" s="198"/>
      <c r="Q366" s="411"/>
      <c r="R366" s="76"/>
      <c r="S366" s="197"/>
      <c r="T366" s="198"/>
      <c r="U366" s="197"/>
      <c r="V366" s="198"/>
      <c r="W366" s="198"/>
      <c r="X366" s="198"/>
      <c r="Y366" s="198"/>
      <c r="Z366" s="198"/>
    </row>
    <row r="367">
      <c r="A367" s="403"/>
      <c r="B367" s="198"/>
      <c r="C367" s="403"/>
      <c r="D367" s="142"/>
      <c r="E367" s="403"/>
      <c r="F367" s="198"/>
      <c r="G367" s="403"/>
      <c r="H367" s="198"/>
      <c r="I367" s="410"/>
      <c r="J367" s="142"/>
      <c r="K367" s="410"/>
      <c r="L367" s="142"/>
      <c r="M367" s="410"/>
      <c r="N367" s="142"/>
      <c r="O367" s="403"/>
      <c r="P367" s="198"/>
      <c r="Q367" s="411"/>
      <c r="R367" s="76"/>
      <c r="S367" s="197"/>
      <c r="T367" s="198"/>
      <c r="U367" s="197"/>
      <c r="V367" s="198"/>
      <c r="W367" s="198"/>
      <c r="X367" s="198"/>
      <c r="Y367" s="198"/>
      <c r="Z367" s="198"/>
    </row>
    <row r="368">
      <c r="A368" s="403"/>
      <c r="B368" s="198"/>
      <c r="C368" s="403"/>
      <c r="D368" s="142"/>
      <c r="E368" s="403"/>
      <c r="F368" s="198"/>
      <c r="G368" s="403"/>
      <c r="H368" s="198"/>
      <c r="I368" s="410"/>
      <c r="J368" s="142"/>
      <c r="K368" s="410"/>
      <c r="L368" s="142"/>
      <c r="M368" s="410"/>
      <c r="N368" s="142"/>
      <c r="O368" s="403"/>
      <c r="P368" s="198"/>
      <c r="Q368" s="411"/>
      <c r="R368" s="76"/>
      <c r="S368" s="197"/>
      <c r="T368" s="198"/>
      <c r="U368" s="197"/>
      <c r="V368" s="198"/>
      <c r="W368" s="198"/>
      <c r="X368" s="198"/>
      <c r="Y368" s="198"/>
      <c r="Z368" s="198"/>
    </row>
    <row r="369">
      <c r="A369" s="403"/>
      <c r="B369" s="198"/>
      <c r="C369" s="403"/>
      <c r="D369" s="142"/>
      <c r="E369" s="403"/>
      <c r="F369" s="198"/>
      <c r="G369" s="403"/>
      <c r="H369" s="198"/>
      <c r="I369" s="410"/>
      <c r="J369" s="142"/>
      <c r="K369" s="410"/>
      <c r="L369" s="142"/>
      <c r="M369" s="410"/>
      <c r="N369" s="142"/>
      <c r="O369" s="403"/>
      <c r="P369" s="198"/>
      <c r="Q369" s="411"/>
      <c r="R369" s="76"/>
      <c r="S369" s="197"/>
      <c r="T369" s="198"/>
      <c r="U369" s="197"/>
      <c r="V369" s="198"/>
      <c r="W369" s="198"/>
      <c r="X369" s="198"/>
      <c r="Y369" s="198"/>
      <c r="Z369" s="198"/>
    </row>
    <row r="370">
      <c r="A370" s="403"/>
      <c r="B370" s="198"/>
      <c r="C370" s="403"/>
      <c r="D370" s="142"/>
      <c r="E370" s="403"/>
      <c r="F370" s="198"/>
      <c r="G370" s="403"/>
      <c r="H370" s="198"/>
      <c r="I370" s="410"/>
      <c r="J370" s="142"/>
      <c r="K370" s="410"/>
      <c r="L370" s="142"/>
      <c r="M370" s="410"/>
      <c r="N370" s="142"/>
      <c r="O370" s="403"/>
      <c r="P370" s="198"/>
      <c r="Q370" s="411"/>
      <c r="R370" s="76"/>
      <c r="S370" s="197"/>
      <c r="T370" s="198"/>
      <c r="U370" s="197"/>
      <c r="V370" s="198"/>
      <c r="W370" s="198"/>
      <c r="X370" s="198"/>
      <c r="Y370" s="198"/>
      <c r="Z370" s="198"/>
    </row>
    <row r="371">
      <c r="A371" s="403"/>
      <c r="B371" s="198"/>
      <c r="C371" s="403"/>
      <c r="D371" s="142"/>
      <c r="E371" s="403"/>
      <c r="F371" s="198"/>
      <c r="G371" s="403"/>
      <c r="H371" s="198"/>
      <c r="I371" s="410"/>
      <c r="J371" s="142"/>
      <c r="K371" s="410"/>
      <c r="L371" s="142"/>
      <c r="M371" s="410"/>
      <c r="N371" s="142"/>
      <c r="O371" s="403"/>
      <c r="P371" s="198"/>
      <c r="Q371" s="411"/>
      <c r="R371" s="76"/>
      <c r="S371" s="197"/>
      <c r="T371" s="198"/>
      <c r="U371" s="197"/>
      <c r="V371" s="198"/>
      <c r="W371" s="198"/>
      <c r="X371" s="198"/>
      <c r="Y371" s="198"/>
      <c r="Z371" s="198"/>
    </row>
    <row r="372">
      <c r="A372" s="403"/>
      <c r="B372" s="198"/>
      <c r="C372" s="403"/>
      <c r="D372" s="142"/>
      <c r="E372" s="403"/>
      <c r="F372" s="198"/>
      <c r="G372" s="403"/>
      <c r="H372" s="198"/>
      <c r="I372" s="410"/>
      <c r="J372" s="142"/>
      <c r="K372" s="410"/>
      <c r="L372" s="142"/>
      <c r="M372" s="410"/>
      <c r="N372" s="142"/>
      <c r="O372" s="403"/>
      <c r="P372" s="198"/>
      <c r="Q372" s="411"/>
      <c r="R372" s="76"/>
      <c r="S372" s="197"/>
      <c r="T372" s="198"/>
      <c r="U372" s="197"/>
      <c r="V372" s="198"/>
      <c r="W372" s="198"/>
      <c r="X372" s="198"/>
      <c r="Y372" s="198"/>
      <c r="Z372" s="198"/>
    </row>
    <row r="373">
      <c r="A373" s="403"/>
      <c r="B373" s="198"/>
      <c r="C373" s="403"/>
      <c r="D373" s="142"/>
      <c r="E373" s="403"/>
      <c r="F373" s="198"/>
      <c r="G373" s="403"/>
      <c r="H373" s="198"/>
      <c r="I373" s="410"/>
      <c r="J373" s="142"/>
      <c r="K373" s="410"/>
      <c r="L373" s="142"/>
      <c r="M373" s="410"/>
      <c r="N373" s="142"/>
      <c r="O373" s="403"/>
      <c r="P373" s="198"/>
      <c r="Q373" s="411"/>
      <c r="R373" s="76"/>
      <c r="S373" s="197"/>
      <c r="T373" s="198"/>
      <c r="U373" s="197"/>
      <c r="V373" s="198"/>
      <c r="W373" s="198"/>
      <c r="X373" s="198"/>
      <c r="Y373" s="198"/>
      <c r="Z373" s="198"/>
    </row>
    <row r="374">
      <c r="A374" s="403"/>
      <c r="B374" s="198"/>
      <c r="C374" s="403"/>
      <c r="D374" s="142"/>
      <c r="E374" s="403"/>
      <c r="F374" s="198"/>
      <c r="G374" s="403"/>
      <c r="H374" s="198"/>
      <c r="I374" s="410"/>
      <c r="J374" s="142"/>
      <c r="K374" s="410"/>
      <c r="L374" s="142"/>
      <c r="M374" s="410"/>
      <c r="N374" s="142"/>
      <c r="O374" s="403"/>
      <c r="P374" s="198"/>
      <c r="Q374" s="411"/>
      <c r="R374" s="76"/>
      <c r="S374" s="197"/>
      <c r="T374" s="198"/>
      <c r="U374" s="197"/>
      <c r="V374" s="198"/>
      <c r="W374" s="198"/>
      <c r="X374" s="198"/>
      <c r="Y374" s="198"/>
      <c r="Z374" s="198"/>
    </row>
    <row r="375">
      <c r="A375" s="403"/>
      <c r="B375" s="198"/>
      <c r="C375" s="403"/>
      <c r="D375" s="142"/>
      <c r="E375" s="403"/>
      <c r="F375" s="198"/>
      <c r="G375" s="403"/>
      <c r="H375" s="198"/>
      <c r="I375" s="410"/>
      <c r="J375" s="142"/>
      <c r="K375" s="410"/>
      <c r="L375" s="142"/>
      <c r="M375" s="410"/>
      <c r="N375" s="142"/>
      <c r="O375" s="403"/>
      <c r="P375" s="198"/>
      <c r="Q375" s="411"/>
      <c r="R375" s="76"/>
      <c r="S375" s="197"/>
      <c r="T375" s="198"/>
      <c r="U375" s="197"/>
      <c r="V375" s="198"/>
      <c r="W375" s="198"/>
      <c r="X375" s="198"/>
      <c r="Y375" s="198"/>
      <c r="Z375" s="198"/>
    </row>
    <row r="376">
      <c r="A376" s="403"/>
      <c r="B376" s="198"/>
      <c r="C376" s="403"/>
      <c r="D376" s="142"/>
      <c r="E376" s="403"/>
      <c r="F376" s="198"/>
      <c r="G376" s="403"/>
      <c r="H376" s="198"/>
      <c r="I376" s="410"/>
      <c r="J376" s="142"/>
      <c r="K376" s="410"/>
      <c r="L376" s="142"/>
      <c r="M376" s="410"/>
      <c r="N376" s="142"/>
      <c r="O376" s="403"/>
      <c r="P376" s="198"/>
      <c r="Q376" s="411"/>
      <c r="R376" s="76"/>
      <c r="S376" s="197"/>
      <c r="T376" s="198"/>
      <c r="U376" s="197"/>
      <c r="V376" s="198"/>
      <c r="W376" s="198"/>
      <c r="X376" s="198"/>
      <c r="Y376" s="198"/>
      <c r="Z376" s="198"/>
    </row>
    <row r="377">
      <c r="A377" s="403"/>
      <c r="B377" s="198"/>
      <c r="C377" s="403"/>
      <c r="D377" s="142"/>
      <c r="E377" s="403"/>
      <c r="F377" s="198"/>
      <c r="G377" s="403"/>
      <c r="H377" s="198"/>
      <c r="I377" s="410"/>
      <c r="J377" s="142"/>
      <c r="K377" s="410"/>
      <c r="L377" s="142"/>
      <c r="M377" s="410"/>
      <c r="N377" s="142"/>
      <c r="O377" s="403"/>
      <c r="P377" s="198"/>
      <c r="Q377" s="411"/>
      <c r="R377" s="76"/>
      <c r="S377" s="197"/>
      <c r="T377" s="198"/>
      <c r="U377" s="197"/>
      <c r="V377" s="198"/>
      <c r="W377" s="198"/>
      <c r="X377" s="198"/>
      <c r="Y377" s="198"/>
      <c r="Z377" s="198"/>
    </row>
    <row r="378">
      <c r="A378" s="403"/>
      <c r="B378" s="198"/>
      <c r="C378" s="403"/>
      <c r="D378" s="142"/>
      <c r="E378" s="403"/>
      <c r="F378" s="198"/>
      <c r="G378" s="403"/>
      <c r="H378" s="198"/>
      <c r="I378" s="410"/>
      <c r="J378" s="142"/>
      <c r="K378" s="410"/>
      <c r="L378" s="142"/>
      <c r="M378" s="410"/>
      <c r="N378" s="142"/>
      <c r="O378" s="403"/>
      <c r="P378" s="198"/>
      <c r="Q378" s="411"/>
      <c r="R378" s="76"/>
      <c r="S378" s="197"/>
      <c r="T378" s="198"/>
      <c r="U378" s="197"/>
      <c r="V378" s="198"/>
      <c r="W378" s="198"/>
      <c r="X378" s="198"/>
      <c r="Y378" s="198"/>
      <c r="Z378" s="198"/>
    </row>
    <row r="379">
      <c r="A379" s="403"/>
      <c r="B379" s="198"/>
      <c r="C379" s="403"/>
      <c r="D379" s="142"/>
      <c r="E379" s="403"/>
      <c r="F379" s="198"/>
      <c r="G379" s="403"/>
      <c r="H379" s="198"/>
      <c r="I379" s="410"/>
      <c r="J379" s="142"/>
      <c r="K379" s="410"/>
      <c r="L379" s="142"/>
      <c r="M379" s="410"/>
      <c r="N379" s="142"/>
      <c r="O379" s="403"/>
      <c r="P379" s="198"/>
      <c r="Q379" s="411"/>
      <c r="R379" s="76"/>
      <c r="S379" s="197"/>
      <c r="T379" s="198"/>
      <c r="U379" s="197"/>
      <c r="V379" s="198"/>
      <c r="W379" s="198"/>
      <c r="X379" s="198"/>
      <c r="Y379" s="198"/>
      <c r="Z379" s="198"/>
    </row>
    <row r="380">
      <c r="A380" s="403"/>
      <c r="B380" s="198"/>
      <c r="C380" s="403"/>
      <c r="D380" s="142"/>
      <c r="E380" s="403"/>
      <c r="F380" s="198"/>
      <c r="G380" s="403"/>
      <c r="H380" s="198"/>
      <c r="I380" s="410"/>
      <c r="J380" s="142"/>
      <c r="K380" s="410"/>
      <c r="L380" s="142"/>
      <c r="M380" s="410"/>
      <c r="N380" s="142"/>
      <c r="O380" s="403"/>
      <c r="P380" s="198"/>
      <c r="Q380" s="411"/>
      <c r="R380" s="76"/>
      <c r="S380" s="197"/>
      <c r="T380" s="198"/>
      <c r="U380" s="197"/>
      <c r="V380" s="198"/>
      <c r="W380" s="198"/>
      <c r="X380" s="198"/>
      <c r="Y380" s="198"/>
      <c r="Z380" s="198"/>
    </row>
    <row r="381">
      <c r="A381" s="403"/>
      <c r="B381" s="198"/>
      <c r="C381" s="403"/>
      <c r="D381" s="142"/>
      <c r="E381" s="403"/>
      <c r="F381" s="198"/>
      <c r="G381" s="403"/>
      <c r="H381" s="198"/>
      <c r="I381" s="410"/>
      <c r="J381" s="142"/>
      <c r="K381" s="410"/>
      <c r="L381" s="142"/>
      <c r="M381" s="410"/>
      <c r="N381" s="142"/>
      <c r="O381" s="403"/>
      <c r="P381" s="198"/>
      <c r="Q381" s="411"/>
      <c r="R381" s="76"/>
      <c r="S381" s="197"/>
      <c r="T381" s="198"/>
      <c r="U381" s="197"/>
      <c r="V381" s="198"/>
      <c r="W381" s="198"/>
      <c r="X381" s="198"/>
      <c r="Y381" s="198"/>
      <c r="Z381" s="198"/>
    </row>
    <row r="382">
      <c r="A382" s="403"/>
      <c r="B382" s="198"/>
      <c r="C382" s="403"/>
      <c r="D382" s="142"/>
      <c r="E382" s="403"/>
      <c r="F382" s="198"/>
      <c r="G382" s="403"/>
      <c r="H382" s="198"/>
      <c r="I382" s="410"/>
      <c r="J382" s="142"/>
      <c r="K382" s="410"/>
      <c r="L382" s="142"/>
      <c r="M382" s="410"/>
      <c r="N382" s="142"/>
      <c r="O382" s="403"/>
      <c r="P382" s="198"/>
      <c r="Q382" s="411"/>
      <c r="R382" s="76"/>
      <c r="S382" s="197"/>
      <c r="T382" s="198"/>
      <c r="U382" s="197"/>
      <c r="V382" s="198"/>
      <c r="W382" s="198"/>
      <c r="X382" s="198"/>
      <c r="Y382" s="198"/>
      <c r="Z382" s="198"/>
    </row>
    <row r="383">
      <c r="A383" s="403"/>
      <c r="B383" s="198"/>
      <c r="C383" s="403"/>
      <c r="D383" s="142"/>
      <c r="E383" s="403"/>
      <c r="F383" s="198"/>
      <c r="G383" s="403"/>
      <c r="H383" s="198"/>
      <c r="I383" s="410"/>
      <c r="J383" s="142"/>
      <c r="K383" s="410"/>
      <c r="L383" s="142"/>
      <c r="M383" s="410"/>
      <c r="N383" s="142"/>
      <c r="O383" s="403"/>
      <c r="P383" s="198"/>
      <c r="Q383" s="411"/>
      <c r="R383" s="76"/>
      <c r="S383" s="197"/>
      <c r="T383" s="198"/>
      <c r="U383" s="197"/>
      <c r="V383" s="198"/>
      <c r="W383" s="198"/>
      <c r="X383" s="198"/>
      <c r="Y383" s="198"/>
      <c r="Z383" s="198"/>
    </row>
    <row r="384">
      <c r="A384" s="403"/>
      <c r="B384" s="198"/>
      <c r="C384" s="403"/>
      <c r="D384" s="142"/>
      <c r="E384" s="403"/>
      <c r="F384" s="198"/>
      <c r="G384" s="403"/>
      <c r="H384" s="198"/>
      <c r="I384" s="410"/>
      <c r="J384" s="142"/>
      <c r="K384" s="410"/>
      <c r="L384" s="142"/>
      <c r="M384" s="410"/>
      <c r="N384" s="142"/>
      <c r="O384" s="403"/>
      <c r="P384" s="198"/>
      <c r="Q384" s="411"/>
      <c r="R384" s="76"/>
      <c r="S384" s="197"/>
      <c r="T384" s="198"/>
      <c r="U384" s="197"/>
      <c r="V384" s="198"/>
      <c r="W384" s="198"/>
      <c r="X384" s="198"/>
      <c r="Y384" s="198"/>
      <c r="Z384" s="198"/>
    </row>
    <row r="385">
      <c r="A385" s="403"/>
      <c r="B385" s="198"/>
      <c r="C385" s="403"/>
      <c r="D385" s="142"/>
      <c r="E385" s="403"/>
      <c r="F385" s="198"/>
      <c r="G385" s="403"/>
      <c r="H385" s="198"/>
      <c r="I385" s="410"/>
      <c r="J385" s="142"/>
      <c r="K385" s="410"/>
      <c r="L385" s="142"/>
      <c r="M385" s="410"/>
      <c r="N385" s="142"/>
      <c r="O385" s="403"/>
      <c r="P385" s="198"/>
      <c r="Q385" s="411"/>
      <c r="R385" s="76"/>
      <c r="S385" s="197"/>
      <c r="T385" s="198"/>
      <c r="U385" s="197"/>
      <c r="V385" s="198"/>
      <c r="W385" s="198"/>
      <c r="X385" s="198"/>
      <c r="Y385" s="198"/>
      <c r="Z385" s="198"/>
    </row>
    <row r="386">
      <c r="A386" s="403"/>
      <c r="B386" s="198"/>
      <c r="C386" s="403"/>
      <c r="D386" s="142"/>
      <c r="E386" s="403"/>
      <c r="F386" s="198"/>
      <c r="G386" s="403"/>
      <c r="H386" s="198"/>
      <c r="I386" s="410"/>
      <c r="J386" s="142"/>
      <c r="K386" s="410"/>
      <c r="L386" s="142"/>
      <c r="M386" s="410"/>
      <c r="N386" s="142"/>
      <c r="O386" s="403"/>
      <c r="P386" s="198"/>
      <c r="Q386" s="411"/>
      <c r="R386" s="76"/>
      <c r="S386" s="197"/>
      <c r="T386" s="198"/>
      <c r="U386" s="197"/>
      <c r="V386" s="198"/>
      <c r="W386" s="198"/>
      <c r="X386" s="198"/>
      <c r="Y386" s="198"/>
      <c r="Z386" s="198"/>
    </row>
    <row r="387">
      <c r="A387" s="403"/>
      <c r="B387" s="198"/>
      <c r="C387" s="403"/>
      <c r="D387" s="142"/>
      <c r="E387" s="403"/>
      <c r="F387" s="198"/>
      <c r="G387" s="403"/>
      <c r="H387" s="198"/>
      <c r="I387" s="410"/>
      <c r="J387" s="142"/>
      <c r="K387" s="410"/>
      <c r="L387" s="142"/>
      <c r="M387" s="410"/>
      <c r="N387" s="142"/>
      <c r="O387" s="403"/>
      <c r="P387" s="198"/>
      <c r="Q387" s="411"/>
      <c r="R387" s="76"/>
      <c r="S387" s="197"/>
      <c r="T387" s="198"/>
      <c r="U387" s="197"/>
      <c r="V387" s="198"/>
      <c r="W387" s="198"/>
      <c r="X387" s="198"/>
      <c r="Y387" s="198"/>
      <c r="Z387" s="198"/>
    </row>
    <row r="388">
      <c r="A388" s="403"/>
      <c r="B388" s="198"/>
      <c r="C388" s="403"/>
      <c r="D388" s="142"/>
      <c r="E388" s="403"/>
      <c r="F388" s="198"/>
      <c r="G388" s="403"/>
      <c r="H388" s="198"/>
      <c r="I388" s="410"/>
      <c r="J388" s="142"/>
      <c r="K388" s="410"/>
      <c r="L388" s="142"/>
      <c r="M388" s="410"/>
      <c r="N388" s="142"/>
      <c r="O388" s="403"/>
      <c r="P388" s="198"/>
      <c r="Q388" s="411"/>
      <c r="R388" s="76"/>
      <c r="S388" s="197"/>
      <c r="T388" s="198"/>
      <c r="U388" s="197"/>
      <c r="V388" s="198"/>
      <c r="W388" s="198"/>
      <c r="X388" s="198"/>
      <c r="Y388" s="198"/>
      <c r="Z388" s="198"/>
    </row>
    <row r="389">
      <c r="A389" s="403"/>
      <c r="B389" s="198"/>
      <c r="C389" s="403"/>
      <c r="D389" s="142"/>
      <c r="E389" s="403"/>
      <c r="F389" s="198"/>
      <c r="G389" s="403"/>
      <c r="H389" s="198"/>
      <c r="I389" s="410"/>
      <c r="J389" s="142"/>
      <c r="K389" s="410"/>
      <c r="L389" s="142"/>
      <c r="M389" s="410"/>
      <c r="N389" s="142"/>
      <c r="O389" s="403"/>
      <c r="P389" s="198"/>
      <c r="Q389" s="411"/>
      <c r="R389" s="76"/>
      <c r="S389" s="197"/>
      <c r="T389" s="198"/>
      <c r="U389" s="197"/>
      <c r="V389" s="198"/>
      <c r="W389" s="198"/>
      <c r="X389" s="198"/>
      <c r="Y389" s="198"/>
      <c r="Z389" s="198"/>
    </row>
    <row r="390">
      <c r="A390" s="403"/>
      <c r="B390" s="198"/>
      <c r="C390" s="403"/>
      <c r="D390" s="142"/>
      <c r="E390" s="403"/>
      <c r="F390" s="198"/>
      <c r="G390" s="403"/>
      <c r="H390" s="198"/>
      <c r="I390" s="410"/>
      <c r="J390" s="142"/>
      <c r="K390" s="410"/>
      <c r="L390" s="142"/>
      <c r="M390" s="410"/>
      <c r="N390" s="142"/>
      <c r="O390" s="403"/>
      <c r="P390" s="198"/>
      <c r="Q390" s="411"/>
      <c r="R390" s="76"/>
      <c r="S390" s="197"/>
      <c r="T390" s="198"/>
      <c r="U390" s="197"/>
      <c r="V390" s="198"/>
      <c r="W390" s="198"/>
      <c r="X390" s="198"/>
      <c r="Y390" s="198"/>
      <c r="Z390" s="198"/>
    </row>
    <row r="391">
      <c r="A391" s="403"/>
      <c r="B391" s="198"/>
      <c r="C391" s="403"/>
      <c r="D391" s="142"/>
      <c r="E391" s="403"/>
      <c r="F391" s="198"/>
      <c r="G391" s="403"/>
      <c r="H391" s="198"/>
      <c r="I391" s="410"/>
      <c r="J391" s="142"/>
      <c r="K391" s="410"/>
      <c r="L391" s="142"/>
      <c r="M391" s="410"/>
      <c r="N391" s="142"/>
      <c r="O391" s="403"/>
      <c r="P391" s="198"/>
      <c r="Q391" s="411"/>
      <c r="R391" s="76"/>
      <c r="S391" s="197"/>
      <c r="T391" s="198"/>
      <c r="U391" s="197"/>
      <c r="V391" s="198"/>
      <c r="W391" s="198"/>
      <c r="X391" s="198"/>
      <c r="Y391" s="198"/>
      <c r="Z391" s="198"/>
    </row>
    <row r="392">
      <c r="A392" s="403"/>
      <c r="B392" s="198"/>
      <c r="C392" s="403"/>
      <c r="D392" s="142"/>
      <c r="E392" s="403"/>
      <c r="F392" s="198"/>
      <c r="G392" s="403"/>
      <c r="H392" s="198"/>
      <c r="I392" s="410"/>
      <c r="J392" s="142"/>
      <c r="K392" s="410"/>
      <c r="L392" s="142"/>
      <c r="M392" s="410"/>
      <c r="N392" s="142"/>
      <c r="O392" s="403"/>
      <c r="P392" s="198"/>
      <c r="Q392" s="411"/>
      <c r="R392" s="76"/>
      <c r="S392" s="197"/>
      <c r="T392" s="198"/>
      <c r="U392" s="197"/>
      <c r="V392" s="198"/>
      <c r="W392" s="198"/>
      <c r="X392" s="198"/>
      <c r="Y392" s="198"/>
      <c r="Z392" s="198"/>
    </row>
    <row r="393">
      <c r="A393" s="403"/>
      <c r="B393" s="198"/>
      <c r="C393" s="403"/>
      <c r="D393" s="142"/>
      <c r="E393" s="403"/>
      <c r="F393" s="198"/>
      <c r="G393" s="403"/>
      <c r="H393" s="198"/>
      <c r="I393" s="410"/>
      <c r="J393" s="142"/>
      <c r="K393" s="410"/>
      <c r="L393" s="142"/>
      <c r="M393" s="410"/>
      <c r="N393" s="142"/>
      <c r="O393" s="403"/>
      <c r="P393" s="198"/>
      <c r="Q393" s="411"/>
      <c r="R393" s="76"/>
      <c r="S393" s="197"/>
      <c r="T393" s="198"/>
      <c r="U393" s="197"/>
      <c r="V393" s="198"/>
      <c r="W393" s="198"/>
      <c r="X393" s="198"/>
      <c r="Y393" s="198"/>
      <c r="Z393" s="198"/>
    </row>
    <row r="394">
      <c r="A394" s="403"/>
      <c r="B394" s="198"/>
      <c r="C394" s="403"/>
      <c r="D394" s="142"/>
      <c r="E394" s="403"/>
      <c r="F394" s="198"/>
      <c r="G394" s="403"/>
      <c r="H394" s="198"/>
      <c r="I394" s="410"/>
      <c r="J394" s="142"/>
      <c r="K394" s="410"/>
      <c r="L394" s="142"/>
      <c r="M394" s="410"/>
      <c r="N394" s="142"/>
      <c r="O394" s="403"/>
      <c r="P394" s="198"/>
      <c r="Q394" s="411"/>
      <c r="R394" s="76"/>
      <c r="S394" s="197"/>
      <c r="T394" s="198"/>
      <c r="U394" s="197"/>
      <c r="V394" s="198"/>
      <c r="W394" s="198"/>
      <c r="X394" s="198"/>
      <c r="Y394" s="198"/>
      <c r="Z394" s="198"/>
    </row>
    <row r="395">
      <c r="A395" s="403"/>
      <c r="B395" s="198"/>
      <c r="C395" s="403"/>
      <c r="D395" s="142"/>
      <c r="E395" s="403"/>
      <c r="F395" s="198"/>
      <c r="G395" s="403"/>
      <c r="H395" s="198"/>
      <c r="I395" s="410"/>
      <c r="J395" s="142"/>
      <c r="K395" s="410"/>
      <c r="L395" s="142"/>
      <c r="M395" s="410"/>
      <c r="N395" s="142"/>
      <c r="O395" s="403"/>
      <c r="P395" s="198"/>
      <c r="Q395" s="411"/>
      <c r="R395" s="76"/>
      <c r="S395" s="197"/>
      <c r="T395" s="198"/>
      <c r="U395" s="197"/>
      <c r="V395" s="198"/>
      <c r="W395" s="198"/>
      <c r="X395" s="198"/>
      <c r="Y395" s="198"/>
      <c r="Z395" s="198"/>
    </row>
    <row r="396">
      <c r="A396" s="403"/>
      <c r="B396" s="198"/>
      <c r="C396" s="403"/>
      <c r="D396" s="142"/>
      <c r="E396" s="403"/>
      <c r="F396" s="198"/>
      <c r="G396" s="403"/>
      <c r="H396" s="198"/>
      <c r="I396" s="410"/>
      <c r="J396" s="142"/>
      <c r="K396" s="410"/>
      <c r="L396" s="142"/>
      <c r="M396" s="410"/>
      <c r="N396" s="142"/>
      <c r="O396" s="403"/>
      <c r="P396" s="198"/>
      <c r="Q396" s="411"/>
      <c r="R396" s="76"/>
      <c r="S396" s="197"/>
      <c r="T396" s="198"/>
      <c r="U396" s="197"/>
      <c r="V396" s="198"/>
      <c r="W396" s="198"/>
      <c r="X396" s="198"/>
      <c r="Y396" s="198"/>
      <c r="Z396" s="198"/>
    </row>
    <row r="397">
      <c r="A397" s="403"/>
      <c r="B397" s="198"/>
      <c r="C397" s="403"/>
      <c r="D397" s="142"/>
      <c r="E397" s="403"/>
      <c r="F397" s="198"/>
      <c r="G397" s="403"/>
      <c r="H397" s="198"/>
      <c r="I397" s="410"/>
      <c r="J397" s="142"/>
      <c r="K397" s="410"/>
      <c r="L397" s="142"/>
      <c r="M397" s="410"/>
      <c r="N397" s="142"/>
      <c r="O397" s="403"/>
      <c r="P397" s="198"/>
      <c r="Q397" s="411"/>
      <c r="R397" s="76"/>
      <c r="S397" s="197"/>
      <c r="T397" s="198"/>
      <c r="U397" s="197"/>
      <c r="V397" s="198"/>
      <c r="W397" s="198"/>
      <c r="X397" s="198"/>
      <c r="Y397" s="198"/>
      <c r="Z397" s="198"/>
    </row>
    <row r="398">
      <c r="A398" s="403"/>
      <c r="B398" s="198"/>
      <c r="C398" s="403"/>
      <c r="D398" s="142"/>
      <c r="E398" s="403"/>
      <c r="F398" s="198"/>
      <c r="G398" s="403"/>
      <c r="H398" s="198"/>
      <c r="I398" s="410"/>
      <c r="J398" s="142"/>
      <c r="K398" s="410"/>
      <c r="L398" s="142"/>
      <c r="M398" s="410"/>
      <c r="N398" s="142"/>
      <c r="O398" s="403"/>
      <c r="P398" s="198"/>
      <c r="Q398" s="411"/>
      <c r="R398" s="76"/>
      <c r="S398" s="197"/>
      <c r="T398" s="198"/>
      <c r="U398" s="197"/>
      <c r="V398" s="198"/>
      <c r="W398" s="198"/>
      <c r="X398" s="198"/>
      <c r="Y398" s="198"/>
      <c r="Z398" s="198"/>
    </row>
    <row r="399">
      <c r="A399" s="403"/>
      <c r="B399" s="198"/>
      <c r="C399" s="403"/>
      <c r="D399" s="142"/>
      <c r="E399" s="403"/>
      <c r="F399" s="198"/>
      <c r="G399" s="403"/>
      <c r="H399" s="198"/>
      <c r="I399" s="410"/>
      <c r="J399" s="142"/>
      <c r="K399" s="410"/>
      <c r="L399" s="142"/>
      <c r="M399" s="410"/>
      <c r="N399" s="142"/>
      <c r="O399" s="403"/>
      <c r="P399" s="198"/>
      <c r="Q399" s="411"/>
      <c r="R399" s="76"/>
      <c r="S399" s="197"/>
      <c r="T399" s="198"/>
      <c r="U399" s="197"/>
      <c r="V399" s="198"/>
      <c r="W399" s="198"/>
      <c r="X399" s="198"/>
      <c r="Y399" s="198"/>
      <c r="Z399" s="198"/>
    </row>
    <row r="400">
      <c r="A400" s="403"/>
      <c r="B400" s="198"/>
      <c r="C400" s="403"/>
      <c r="D400" s="142"/>
      <c r="E400" s="403"/>
      <c r="F400" s="198"/>
      <c r="G400" s="403"/>
      <c r="H400" s="198"/>
      <c r="I400" s="410"/>
      <c r="J400" s="142"/>
      <c r="K400" s="410"/>
      <c r="L400" s="142"/>
      <c r="M400" s="410"/>
      <c r="N400" s="142"/>
      <c r="O400" s="403"/>
      <c r="P400" s="198"/>
      <c r="Q400" s="411"/>
      <c r="R400" s="76"/>
      <c r="S400" s="197"/>
      <c r="T400" s="198"/>
      <c r="U400" s="197"/>
      <c r="V400" s="198"/>
      <c r="W400" s="198"/>
      <c r="X400" s="198"/>
      <c r="Y400" s="198"/>
      <c r="Z400" s="198"/>
    </row>
    <row r="401">
      <c r="A401" s="403"/>
      <c r="B401" s="198"/>
      <c r="C401" s="403"/>
      <c r="D401" s="142"/>
      <c r="E401" s="403"/>
      <c r="F401" s="198"/>
      <c r="G401" s="403"/>
      <c r="H401" s="198"/>
      <c r="I401" s="410"/>
      <c r="J401" s="142"/>
      <c r="K401" s="410"/>
      <c r="L401" s="142"/>
      <c r="M401" s="410"/>
      <c r="N401" s="142"/>
      <c r="O401" s="403"/>
      <c r="P401" s="198"/>
      <c r="Q401" s="411"/>
      <c r="R401" s="76"/>
      <c r="S401" s="197"/>
      <c r="T401" s="198"/>
      <c r="U401" s="197"/>
      <c r="V401" s="198"/>
      <c r="W401" s="198"/>
      <c r="X401" s="198"/>
      <c r="Y401" s="198"/>
      <c r="Z401" s="198"/>
    </row>
    <row r="402">
      <c r="A402" s="403"/>
      <c r="B402" s="198"/>
      <c r="C402" s="403"/>
      <c r="D402" s="142"/>
      <c r="E402" s="403"/>
      <c r="F402" s="198"/>
      <c r="G402" s="403"/>
      <c r="H402" s="198"/>
      <c r="I402" s="410"/>
      <c r="J402" s="142"/>
      <c r="K402" s="410"/>
      <c r="L402" s="142"/>
      <c r="M402" s="410"/>
      <c r="N402" s="142"/>
      <c r="O402" s="403"/>
      <c r="P402" s="198"/>
      <c r="Q402" s="411"/>
      <c r="R402" s="76"/>
      <c r="S402" s="197"/>
      <c r="T402" s="198"/>
      <c r="U402" s="197"/>
      <c r="V402" s="198"/>
      <c r="W402" s="198"/>
      <c r="X402" s="198"/>
      <c r="Y402" s="198"/>
      <c r="Z402" s="198"/>
    </row>
    <row r="403">
      <c r="A403" s="403"/>
      <c r="B403" s="198"/>
      <c r="C403" s="403"/>
      <c r="D403" s="142"/>
      <c r="E403" s="403"/>
      <c r="F403" s="198"/>
      <c r="G403" s="403"/>
      <c r="H403" s="198"/>
      <c r="I403" s="410"/>
      <c r="J403" s="142"/>
      <c r="K403" s="410"/>
      <c r="L403" s="142"/>
      <c r="M403" s="410"/>
      <c r="N403" s="142"/>
      <c r="O403" s="403"/>
      <c r="P403" s="198"/>
      <c r="Q403" s="411"/>
      <c r="R403" s="76"/>
      <c r="S403" s="197"/>
      <c r="T403" s="198"/>
      <c r="U403" s="197"/>
      <c r="V403" s="198"/>
      <c r="W403" s="198"/>
      <c r="X403" s="198"/>
      <c r="Y403" s="198"/>
      <c r="Z403" s="198"/>
    </row>
    <row r="404">
      <c r="A404" s="403"/>
      <c r="B404" s="198"/>
      <c r="C404" s="403"/>
      <c r="D404" s="142"/>
      <c r="E404" s="403"/>
      <c r="F404" s="198"/>
      <c r="G404" s="403"/>
      <c r="H404" s="198"/>
      <c r="I404" s="410"/>
      <c r="J404" s="142"/>
      <c r="K404" s="410"/>
      <c r="L404" s="142"/>
      <c r="M404" s="410"/>
      <c r="N404" s="142"/>
      <c r="O404" s="403"/>
      <c r="P404" s="198"/>
      <c r="Q404" s="411"/>
      <c r="R404" s="76"/>
      <c r="S404" s="197"/>
      <c r="T404" s="198"/>
      <c r="U404" s="197"/>
      <c r="V404" s="198"/>
      <c r="W404" s="198"/>
      <c r="X404" s="198"/>
      <c r="Y404" s="198"/>
      <c r="Z404" s="198"/>
    </row>
    <row r="405">
      <c r="A405" s="403"/>
      <c r="B405" s="198"/>
      <c r="C405" s="403"/>
      <c r="D405" s="142"/>
      <c r="E405" s="403"/>
      <c r="F405" s="198"/>
      <c r="G405" s="403"/>
      <c r="H405" s="198"/>
      <c r="I405" s="410"/>
      <c r="J405" s="142"/>
      <c r="K405" s="410"/>
      <c r="L405" s="142"/>
      <c r="M405" s="410"/>
      <c r="N405" s="142"/>
      <c r="O405" s="403"/>
      <c r="P405" s="198"/>
      <c r="Q405" s="411"/>
      <c r="R405" s="76"/>
      <c r="S405" s="197"/>
      <c r="T405" s="198"/>
      <c r="U405" s="197"/>
      <c r="V405" s="198"/>
      <c r="W405" s="198"/>
      <c r="X405" s="198"/>
      <c r="Y405" s="198"/>
      <c r="Z405" s="198"/>
    </row>
    <row r="406">
      <c r="A406" s="403"/>
      <c r="B406" s="198"/>
      <c r="C406" s="403"/>
      <c r="D406" s="142"/>
      <c r="E406" s="403"/>
      <c r="F406" s="198"/>
      <c r="G406" s="403"/>
      <c r="H406" s="198"/>
      <c r="I406" s="410"/>
      <c r="J406" s="142"/>
      <c r="K406" s="410"/>
      <c r="L406" s="142"/>
      <c r="M406" s="410"/>
      <c r="N406" s="142"/>
      <c r="O406" s="403"/>
      <c r="P406" s="198"/>
      <c r="Q406" s="411"/>
      <c r="R406" s="76"/>
      <c r="S406" s="197"/>
      <c r="T406" s="198"/>
      <c r="U406" s="197"/>
      <c r="V406" s="198"/>
      <c r="W406" s="198"/>
      <c r="X406" s="198"/>
      <c r="Y406" s="198"/>
      <c r="Z406" s="198"/>
    </row>
    <row r="407">
      <c r="A407" s="403"/>
      <c r="B407" s="198"/>
      <c r="C407" s="403"/>
      <c r="D407" s="142"/>
      <c r="E407" s="403"/>
      <c r="F407" s="198"/>
      <c r="G407" s="403"/>
      <c r="H407" s="198"/>
      <c r="I407" s="410"/>
      <c r="J407" s="142"/>
      <c r="K407" s="410"/>
      <c r="L407" s="142"/>
      <c r="M407" s="410"/>
      <c r="N407" s="142"/>
      <c r="O407" s="403"/>
      <c r="P407" s="198"/>
      <c r="Q407" s="411"/>
      <c r="R407" s="76"/>
      <c r="S407" s="197"/>
      <c r="T407" s="198"/>
      <c r="U407" s="197"/>
      <c r="V407" s="198"/>
      <c r="W407" s="198"/>
      <c r="X407" s="198"/>
      <c r="Y407" s="198"/>
      <c r="Z407" s="198"/>
    </row>
    <row r="408">
      <c r="A408" s="403"/>
      <c r="B408" s="198"/>
      <c r="C408" s="403"/>
      <c r="D408" s="142"/>
      <c r="E408" s="403"/>
      <c r="F408" s="198"/>
      <c r="G408" s="403"/>
      <c r="H408" s="198"/>
      <c r="I408" s="410"/>
      <c r="J408" s="142"/>
      <c r="K408" s="410"/>
      <c r="L408" s="142"/>
      <c r="M408" s="410"/>
      <c r="N408" s="142"/>
      <c r="O408" s="403"/>
      <c r="P408" s="198"/>
      <c r="Q408" s="411"/>
      <c r="R408" s="76"/>
      <c r="S408" s="197"/>
      <c r="T408" s="198"/>
      <c r="U408" s="197"/>
      <c r="V408" s="198"/>
      <c r="W408" s="198"/>
      <c r="X408" s="198"/>
      <c r="Y408" s="198"/>
      <c r="Z408" s="198"/>
    </row>
    <row r="409">
      <c r="A409" s="403"/>
      <c r="B409" s="198"/>
      <c r="C409" s="403"/>
      <c r="D409" s="142"/>
      <c r="E409" s="403"/>
      <c r="F409" s="198"/>
      <c r="G409" s="403"/>
      <c r="H409" s="198"/>
      <c r="I409" s="410"/>
      <c r="J409" s="142"/>
      <c r="K409" s="410"/>
      <c r="L409" s="142"/>
      <c r="M409" s="410"/>
      <c r="N409" s="142"/>
      <c r="O409" s="403"/>
      <c r="P409" s="198"/>
      <c r="Q409" s="411"/>
      <c r="R409" s="76"/>
      <c r="S409" s="197"/>
      <c r="T409" s="198"/>
      <c r="U409" s="197"/>
      <c r="V409" s="198"/>
      <c r="W409" s="198"/>
      <c r="X409" s="198"/>
      <c r="Y409" s="198"/>
      <c r="Z409" s="198"/>
    </row>
    <row r="410">
      <c r="A410" s="403"/>
      <c r="B410" s="198"/>
      <c r="C410" s="403"/>
      <c r="D410" s="142"/>
      <c r="E410" s="403"/>
      <c r="F410" s="198"/>
      <c r="G410" s="403"/>
      <c r="H410" s="198"/>
      <c r="I410" s="410"/>
      <c r="J410" s="142"/>
      <c r="K410" s="410"/>
      <c r="L410" s="142"/>
      <c r="M410" s="410"/>
      <c r="N410" s="142"/>
      <c r="O410" s="403"/>
      <c r="P410" s="198"/>
      <c r="Q410" s="411"/>
      <c r="R410" s="76"/>
      <c r="S410" s="197"/>
      <c r="T410" s="198"/>
      <c r="U410" s="197"/>
      <c r="V410" s="198"/>
      <c r="W410" s="198"/>
      <c r="X410" s="198"/>
      <c r="Y410" s="198"/>
      <c r="Z410" s="198"/>
    </row>
    <row r="411">
      <c r="A411" s="403"/>
      <c r="B411" s="198"/>
      <c r="C411" s="403"/>
      <c r="D411" s="142"/>
      <c r="E411" s="403"/>
      <c r="F411" s="198"/>
      <c r="G411" s="403"/>
      <c r="H411" s="198"/>
      <c r="I411" s="410"/>
      <c r="J411" s="142"/>
      <c r="K411" s="410"/>
      <c r="L411" s="142"/>
      <c r="M411" s="410"/>
      <c r="N411" s="142"/>
      <c r="O411" s="403"/>
      <c r="P411" s="198"/>
      <c r="Q411" s="411"/>
      <c r="R411" s="76"/>
      <c r="S411" s="197"/>
      <c r="T411" s="198"/>
      <c r="U411" s="197"/>
      <c r="V411" s="198"/>
      <c r="W411" s="198"/>
      <c r="X411" s="198"/>
      <c r="Y411" s="198"/>
      <c r="Z411" s="198"/>
    </row>
    <row r="412">
      <c r="A412" s="403"/>
      <c r="B412" s="198"/>
      <c r="C412" s="403"/>
      <c r="D412" s="142"/>
      <c r="E412" s="403"/>
      <c r="F412" s="198"/>
      <c r="G412" s="403"/>
      <c r="H412" s="198"/>
      <c r="I412" s="410"/>
      <c r="J412" s="142"/>
      <c r="K412" s="410"/>
      <c r="L412" s="142"/>
      <c r="M412" s="410"/>
      <c r="N412" s="142"/>
      <c r="O412" s="403"/>
      <c r="P412" s="198"/>
      <c r="Q412" s="411"/>
      <c r="R412" s="76"/>
      <c r="S412" s="197"/>
      <c r="T412" s="198"/>
      <c r="U412" s="197"/>
      <c r="V412" s="198"/>
      <c r="W412" s="198"/>
      <c r="X412" s="198"/>
      <c r="Y412" s="198"/>
      <c r="Z412" s="198"/>
    </row>
    <row r="413">
      <c r="A413" s="403"/>
      <c r="B413" s="198"/>
      <c r="C413" s="403"/>
      <c r="D413" s="142"/>
      <c r="E413" s="403"/>
      <c r="F413" s="198"/>
      <c r="G413" s="403"/>
      <c r="H413" s="198"/>
      <c r="I413" s="410"/>
      <c r="J413" s="142"/>
      <c r="K413" s="410"/>
      <c r="L413" s="142"/>
      <c r="M413" s="410"/>
      <c r="N413" s="142"/>
      <c r="O413" s="403"/>
      <c r="P413" s="198"/>
      <c r="Q413" s="411"/>
      <c r="R413" s="76"/>
      <c r="S413" s="197"/>
      <c r="T413" s="198"/>
      <c r="U413" s="197"/>
      <c r="V413" s="198"/>
      <c r="W413" s="198"/>
      <c r="X413" s="198"/>
      <c r="Y413" s="198"/>
      <c r="Z413" s="198"/>
    </row>
    <row r="414">
      <c r="A414" s="403"/>
      <c r="B414" s="198"/>
      <c r="C414" s="403"/>
      <c r="D414" s="142"/>
      <c r="E414" s="403"/>
      <c r="F414" s="198"/>
      <c r="G414" s="403"/>
      <c r="H414" s="198"/>
      <c r="I414" s="410"/>
      <c r="J414" s="142"/>
      <c r="K414" s="410"/>
      <c r="L414" s="142"/>
      <c r="M414" s="410"/>
      <c r="N414" s="142"/>
      <c r="O414" s="403"/>
      <c r="P414" s="198"/>
      <c r="Q414" s="411"/>
      <c r="R414" s="76"/>
      <c r="S414" s="197"/>
      <c r="T414" s="198"/>
      <c r="U414" s="197"/>
      <c r="V414" s="198"/>
      <c r="W414" s="198"/>
      <c r="X414" s="198"/>
      <c r="Y414" s="198"/>
      <c r="Z414" s="198"/>
    </row>
    <row r="415">
      <c r="A415" s="403"/>
      <c r="B415" s="198"/>
      <c r="C415" s="403"/>
      <c r="D415" s="142"/>
      <c r="E415" s="403"/>
      <c r="F415" s="198"/>
      <c r="G415" s="403"/>
      <c r="H415" s="198"/>
      <c r="I415" s="410"/>
      <c r="J415" s="142"/>
      <c r="K415" s="410"/>
      <c r="L415" s="142"/>
      <c r="M415" s="410"/>
      <c r="N415" s="142"/>
      <c r="O415" s="403"/>
      <c r="P415" s="198"/>
      <c r="Q415" s="411"/>
      <c r="R415" s="76"/>
      <c r="S415" s="197"/>
      <c r="T415" s="198"/>
      <c r="U415" s="197"/>
      <c r="V415" s="198"/>
      <c r="W415" s="198"/>
      <c r="X415" s="198"/>
      <c r="Y415" s="198"/>
      <c r="Z415" s="198"/>
    </row>
    <row r="416">
      <c r="A416" s="403"/>
      <c r="B416" s="198"/>
      <c r="C416" s="403"/>
      <c r="D416" s="142"/>
      <c r="E416" s="403"/>
      <c r="F416" s="198"/>
      <c r="G416" s="403"/>
      <c r="H416" s="198"/>
      <c r="I416" s="410"/>
      <c r="J416" s="142"/>
      <c r="K416" s="410"/>
      <c r="L416" s="142"/>
      <c r="M416" s="410"/>
      <c r="N416" s="142"/>
      <c r="O416" s="403"/>
      <c r="P416" s="198"/>
      <c r="Q416" s="411"/>
      <c r="R416" s="76"/>
      <c r="S416" s="197"/>
      <c r="T416" s="198"/>
      <c r="U416" s="197"/>
      <c r="V416" s="198"/>
      <c r="W416" s="198"/>
      <c r="X416" s="198"/>
      <c r="Y416" s="198"/>
      <c r="Z416" s="198"/>
    </row>
    <row r="417">
      <c r="A417" s="403"/>
      <c r="B417" s="198"/>
      <c r="C417" s="403"/>
      <c r="D417" s="142"/>
      <c r="E417" s="403"/>
      <c r="F417" s="198"/>
      <c r="G417" s="403"/>
      <c r="H417" s="198"/>
      <c r="I417" s="410"/>
      <c r="J417" s="142"/>
      <c r="K417" s="410"/>
      <c r="L417" s="142"/>
      <c r="M417" s="410"/>
      <c r="N417" s="142"/>
      <c r="O417" s="403"/>
      <c r="P417" s="198"/>
      <c r="Q417" s="411"/>
      <c r="R417" s="76"/>
      <c r="S417" s="197"/>
      <c r="T417" s="198"/>
      <c r="U417" s="197"/>
      <c r="V417" s="198"/>
      <c r="W417" s="198"/>
      <c r="X417" s="198"/>
      <c r="Y417" s="198"/>
      <c r="Z417" s="198"/>
    </row>
    <row r="418">
      <c r="A418" s="403"/>
      <c r="B418" s="198"/>
      <c r="C418" s="403"/>
      <c r="D418" s="142"/>
      <c r="E418" s="403"/>
      <c r="F418" s="198"/>
      <c r="G418" s="403"/>
      <c r="H418" s="198"/>
      <c r="I418" s="410"/>
      <c r="J418" s="142"/>
      <c r="K418" s="410"/>
      <c r="L418" s="142"/>
      <c r="M418" s="410"/>
      <c r="N418" s="142"/>
      <c r="O418" s="403"/>
      <c r="P418" s="198"/>
      <c r="Q418" s="411"/>
      <c r="R418" s="76"/>
      <c r="S418" s="197"/>
      <c r="T418" s="198"/>
      <c r="U418" s="197"/>
      <c r="V418" s="198"/>
      <c r="W418" s="198"/>
      <c r="X418" s="198"/>
      <c r="Y418" s="198"/>
      <c r="Z418" s="198"/>
    </row>
    <row r="419">
      <c r="A419" s="403"/>
      <c r="B419" s="198"/>
      <c r="C419" s="403"/>
      <c r="D419" s="142"/>
      <c r="E419" s="403"/>
      <c r="F419" s="198"/>
      <c r="G419" s="403"/>
      <c r="H419" s="198"/>
      <c r="I419" s="410"/>
      <c r="J419" s="142"/>
      <c r="K419" s="410"/>
      <c r="L419" s="142"/>
      <c r="M419" s="410"/>
      <c r="N419" s="142"/>
      <c r="O419" s="403"/>
      <c r="P419" s="198"/>
      <c r="Q419" s="411"/>
      <c r="R419" s="76"/>
      <c r="S419" s="197"/>
      <c r="T419" s="198"/>
      <c r="U419" s="197"/>
      <c r="V419" s="198"/>
      <c r="W419" s="198"/>
      <c r="X419" s="198"/>
      <c r="Y419" s="198"/>
      <c r="Z419" s="198"/>
    </row>
    <row r="420">
      <c r="A420" s="403"/>
      <c r="B420" s="198"/>
      <c r="C420" s="403"/>
      <c r="D420" s="142"/>
      <c r="E420" s="403"/>
      <c r="F420" s="198"/>
      <c r="G420" s="403"/>
      <c r="H420" s="198"/>
      <c r="I420" s="410"/>
      <c r="J420" s="142"/>
      <c r="K420" s="410"/>
      <c r="L420" s="142"/>
      <c r="M420" s="410"/>
      <c r="N420" s="142"/>
      <c r="O420" s="403"/>
      <c r="P420" s="198"/>
      <c r="Q420" s="411"/>
      <c r="R420" s="76"/>
      <c r="S420" s="197"/>
      <c r="T420" s="198"/>
      <c r="U420" s="197"/>
      <c r="V420" s="198"/>
      <c r="W420" s="198"/>
      <c r="X420" s="198"/>
      <c r="Y420" s="198"/>
      <c r="Z420" s="198"/>
    </row>
    <row r="421">
      <c r="A421" s="403"/>
      <c r="B421" s="198"/>
      <c r="C421" s="403"/>
      <c r="D421" s="142"/>
      <c r="E421" s="403"/>
      <c r="F421" s="198"/>
      <c r="G421" s="403"/>
      <c r="H421" s="198"/>
      <c r="I421" s="410"/>
      <c r="J421" s="142"/>
      <c r="K421" s="410"/>
      <c r="L421" s="142"/>
      <c r="M421" s="410"/>
      <c r="N421" s="142"/>
      <c r="O421" s="403"/>
      <c r="P421" s="198"/>
      <c r="Q421" s="411"/>
      <c r="R421" s="76"/>
      <c r="S421" s="197"/>
      <c r="T421" s="198"/>
      <c r="U421" s="197"/>
      <c r="V421" s="198"/>
      <c r="W421" s="198"/>
      <c r="X421" s="198"/>
      <c r="Y421" s="198"/>
      <c r="Z421" s="198"/>
    </row>
    <row r="422">
      <c r="A422" s="403"/>
      <c r="B422" s="198"/>
      <c r="C422" s="403"/>
      <c r="D422" s="142"/>
      <c r="E422" s="403"/>
      <c r="F422" s="198"/>
      <c r="G422" s="403"/>
      <c r="H422" s="198"/>
      <c r="I422" s="410"/>
      <c r="J422" s="142"/>
      <c r="K422" s="410"/>
      <c r="L422" s="142"/>
      <c r="M422" s="410"/>
      <c r="N422" s="142"/>
      <c r="O422" s="403"/>
      <c r="P422" s="198"/>
      <c r="Q422" s="411"/>
      <c r="R422" s="76"/>
      <c r="S422" s="197"/>
      <c r="T422" s="198"/>
      <c r="U422" s="197"/>
      <c r="V422" s="198"/>
      <c r="W422" s="198"/>
      <c r="X422" s="198"/>
      <c r="Y422" s="198"/>
      <c r="Z422" s="198"/>
    </row>
    <row r="423">
      <c r="A423" s="403"/>
      <c r="B423" s="198"/>
      <c r="C423" s="403"/>
      <c r="D423" s="142"/>
      <c r="E423" s="403"/>
      <c r="F423" s="198"/>
      <c r="G423" s="403"/>
      <c r="H423" s="198"/>
      <c r="I423" s="410"/>
      <c r="J423" s="142"/>
      <c r="K423" s="410"/>
      <c r="L423" s="142"/>
      <c r="M423" s="410"/>
      <c r="N423" s="142"/>
      <c r="O423" s="403"/>
      <c r="P423" s="198"/>
      <c r="Q423" s="411"/>
      <c r="R423" s="76"/>
      <c r="S423" s="197"/>
      <c r="T423" s="198"/>
      <c r="U423" s="197"/>
      <c r="V423" s="198"/>
      <c r="W423" s="198"/>
      <c r="X423" s="198"/>
      <c r="Y423" s="198"/>
      <c r="Z423" s="198"/>
    </row>
    <row r="424">
      <c r="A424" s="403"/>
      <c r="B424" s="198"/>
      <c r="C424" s="403"/>
      <c r="D424" s="142"/>
      <c r="E424" s="403"/>
      <c r="F424" s="198"/>
      <c r="G424" s="403"/>
      <c r="H424" s="198"/>
      <c r="I424" s="410"/>
      <c r="J424" s="142"/>
      <c r="K424" s="410"/>
      <c r="L424" s="142"/>
      <c r="M424" s="410"/>
      <c r="N424" s="142"/>
      <c r="O424" s="403"/>
      <c r="P424" s="198"/>
      <c r="Q424" s="411"/>
      <c r="R424" s="76"/>
      <c r="S424" s="197"/>
      <c r="T424" s="198"/>
      <c r="U424" s="197"/>
      <c r="V424" s="198"/>
      <c r="W424" s="198"/>
      <c r="X424" s="198"/>
      <c r="Y424" s="198"/>
      <c r="Z424" s="198"/>
    </row>
    <row r="425">
      <c r="A425" s="403"/>
      <c r="B425" s="198"/>
      <c r="C425" s="403"/>
      <c r="D425" s="142"/>
      <c r="E425" s="403"/>
      <c r="F425" s="198"/>
      <c r="G425" s="403"/>
      <c r="H425" s="198"/>
      <c r="I425" s="410"/>
      <c r="J425" s="142"/>
      <c r="K425" s="410"/>
      <c r="L425" s="142"/>
      <c r="M425" s="410"/>
      <c r="N425" s="142"/>
      <c r="O425" s="403"/>
      <c r="P425" s="198"/>
      <c r="Q425" s="411"/>
      <c r="R425" s="76"/>
      <c r="S425" s="197"/>
      <c r="T425" s="198"/>
      <c r="U425" s="197"/>
      <c r="V425" s="198"/>
      <c r="W425" s="198"/>
      <c r="X425" s="198"/>
      <c r="Y425" s="198"/>
      <c r="Z425" s="198"/>
    </row>
    <row r="426">
      <c r="A426" s="403"/>
      <c r="B426" s="198"/>
      <c r="C426" s="403"/>
      <c r="D426" s="142"/>
      <c r="E426" s="403"/>
      <c r="F426" s="198"/>
      <c r="G426" s="403"/>
      <c r="H426" s="198"/>
      <c r="I426" s="410"/>
      <c r="J426" s="142"/>
      <c r="K426" s="410"/>
      <c r="L426" s="142"/>
      <c r="M426" s="410"/>
      <c r="N426" s="142"/>
      <c r="O426" s="403"/>
      <c r="P426" s="198"/>
      <c r="Q426" s="411"/>
      <c r="R426" s="76"/>
      <c r="S426" s="197"/>
      <c r="T426" s="198"/>
      <c r="U426" s="197"/>
      <c r="V426" s="198"/>
      <c r="W426" s="198"/>
      <c r="X426" s="198"/>
      <c r="Y426" s="198"/>
      <c r="Z426" s="198"/>
    </row>
    <row r="427">
      <c r="A427" s="403"/>
      <c r="B427" s="198"/>
      <c r="C427" s="403"/>
      <c r="D427" s="142"/>
      <c r="E427" s="403"/>
      <c r="F427" s="198"/>
      <c r="G427" s="403"/>
      <c r="H427" s="198"/>
      <c r="I427" s="410"/>
      <c r="J427" s="142"/>
      <c r="K427" s="410"/>
      <c r="L427" s="142"/>
      <c r="M427" s="410"/>
      <c r="N427" s="142"/>
      <c r="O427" s="403"/>
      <c r="P427" s="198"/>
      <c r="Q427" s="411"/>
      <c r="R427" s="76"/>
      <c r="S427" s="197"/>
      <c r="T427" s="198"/>
      <c r="U427" s="197"/>
      <c r="V427" s="198"/>
      <c r="W427" s="198"/>
      <c r="X427" s="198"/>
      <c r="Y427" s="198"/>
      <c r="Z427" s="198"/>
    </row>
    <row r="428">
      <c r="A428" s="403"/>
      <c r="B428" s="198"/>
      <c r="C428" s="403"/>
      <c r="D428" s="142"/>
      <c r="E428" s="403"/>
      <c r="F428" s="198"/>
      <c r="G428" s="403"/>
      <c r="H428" s="198"/>
      <c r="I428" s="410"/>
      <c r="J428" s="142"/>
      <c r="K428" s="410"/>
      <c r="L428" s="142"/>
      <c r="M428" s="410"/>
      <c r="N428" s="142"/>
      <c r="O428" s="403"/>
      <c r="P428" s="198"/>
      <c r="Q428" s="411"/>
      <c r="R428" s="76"/>
      <c r="S428" s="197"/>
      <c r="T428" s="198"/>
      <c r="U428" s="197"/>
      <c r="V428" s="198"/>
      <c r="W428" s="198"/>
      <c r="X428" s="198"/>
      <c r="Y428" s="198"/>
      <c r="Z428" s="198"/>
    </row>
    <row r="429">
      <c r="A429" s="403"/>
      <c r="B429" s="198"/>
      <c r="C429" s="403"/>
      <c r="D429" s="142"/>
      <c r="E429" s="403"/>
      <c r="F429" s="198"/>
      <c r="G429" s="403"/>
      <c r="H429" s="198"/>
      <c r="I429" s="410"/>
      <c r="J429" s="142"/>
      <c r="K429" s="410"/>
      <c r="L429" s="142"/>
      <c r="M429" s="410"/>
      <c r="N429" s="142"/>
      <c r="O429" s="403"/>
      <c r="P429" s="198"/>
      <c r="Q429" s="411"/>
      <c r="R429" s="76"/>
      <c r="S429" s="197"/>
      <c r="T429" s="198"/>
      <c r="U429" s="197"/>
      <c r="V429" s="198"/>
      <c r="W429" s="198"/>
      <c r="X429" s="198"/>
      <c r="Y429" s="198"/>
      <c r="Z429" s="198"/>
    </row>
    <row r="430">
      <c r="A430" s="403"/>
      <c r="B430" s="198"/>
      <c r="C430" s="403"/>
      <c r="D430" s="142"/>
      <c r="E430" s="403"/>
      <c r="F430" s="198"/>
      <c r="G430" s="403"/>
      <c r="H430" s="198"/>
      <c r="I430" s="410"/>
      <c r="J430" s="142"/>
      <c r="K430" s="410"/>
      <c r="L430" s="142"/>
      <c r="M430" s="410"/>
      <c r="N430" s="142"/>
      <c r="O430" s="403"/>
      <c r="P430" s="198"/>
      <c r="Q430" s="411"/>
      <c r="R430" s="76"/>
      <c r="S430" s="197"/>
      <c r="T430" s="198"/>
      <c r="U430" s="197"/>
      <c r="V430" s="198"/>
      <c r="W430" s="198"/>
      <c r="X430" s="198"/>
      <c r="Y430" s="198"/>
      <c r="Z430" s="198"/>
    </row>
    <row r="431">
      <c r="A431" s="403"/>
      <c r="B431" s="198"/>
      <c r="C431" s="403"/>
      <c r="D431" s="142"/>
      <c r="E431" s="403"/>
      <c r="F431" s="198"/>
      <c r="G431" s="403"/>
      <c r="H431" s="198"/>
      <c r="I431" s="410"/>
      <c r="J431" s="142"/>
      <c r="K431" s="410"/>
      <c r="L431" s="142"/>
      <c r="M431" s="410"/>
      <c r="N431" s="142"/>
      <c r="O431" s="403"/>
      <c r="P431" s="198"/>
      <c r="Q431" s="411"/>
      <c r="R431" s="76"/>
      <c r="S431" s="197"/>
      <c r="T431" s="198"/>
      <c r="U431" s="197"/>
      <c r="V431" s="198"/>
      <c r="W431" s="198"/>
      <c r="X431" s="198"/>
      <c r="Y431" s="198"/>
      <c r="Z431" s="198"/>
    </row>
    <row r="432">
      <c r="A432" s="403"/>
      <c r="B432" s="198"/>
      <c r="C432" s="403"/>
      <c r="D432" s="142"/>
      <c r="E432" s="403"/>
      <c r="F432" s="198"/>
      <c r="G432" s="403"/>
      <c r="H432" s="198"/>
      <c r="I432" s="410"/>
      <c r="J432" s="142"/>
      <c r="K432" s="410"/>
      <c r="L432" s="142"/>
      <c r="M432" s="410"/>
      <c r="N432" s="142"/>
      <c r="O432" s="403"/>
      <c r="P432" s="198"/>
      <c r="Q432" s="411"/>
      <c r="R432" s="76"/>
      <c r="S432" s="197"/>
      <c r="T432" s="198"/>
      <c r="U432" s="197"/>
      <c r="V432" s="198"/>
      <c r="W432" s="198"/>
      <c r="X432" s="198"/>
      <c r="Y432" s="198"/>
      <c r="Z432" s="198"/>
    </row>
    <row r="433">
      <c r="A433" s="403"/>
      <c r="B433" s="198"/>
      <c r="C433" s="403"/>
      <c r="D433" s="142"/>
      <c r="E433" s="403"/>
      <c r="F433" s="198"/>
      <c r="G433" s="403"/>
      <c r="H433" s="198"/>
      <c r="I433" s="410"/>
      <c r="J433" s="142"/>
      <c r="K433" s="410"/>
      <c r="L433" s="142"/>
      <c r="M433" s="410"/>
      <c r="N433" s="142"/>
      <c r="O433" s="403"/>
      <c r="P433" s="198"/>
      <c r="Q433" s="411"/>
      <c r="R433" s="76"/>
      <c r="S433" s="197"/>
      <c r="T433" s="198"/>
      <c r="U433" s="197"/>
      <c r="V433" s="198"/>
      <c r="W433" s="198"/>
      <c r="X433" s="198"/>
      <c r="Y433" s="198"/>
      <c r="Z433" s="198"/>
    </row>
    <row r="434">
      <c r="A434" s="403"/>
      <c r="B434" s="198"/>
      <c r="C434" s="403"/>
      <c r="D434" s="142"/>
      <c r="E434" s="403"/>
      <c r="F434" s="198"/>
      <c r="G434" s="403"/>
      <c r="H434" s="198"/>
      <c r="I434" s="410"/>
      <c r="J434" s="142"/>
      <c r="K434" s="410"/>
      <c r="L434" s="142"/>
      <c r="M434" s="410"/>
      <c r="N434" s="142"/>
      <c r="O434" s="403"/>
      <c r="P434" s="198"/>
      <c r="Q434" s="411"/>
      <c r="R434" s="76"/>
      <c r="S434" s="197"/>
      <c r="T434" s="198"/>
      <c r="U434" s="197"/>
      <c r="V434" s="198"/>
      <c r="W434" s="198"/>
      <c r="X434" s="198"/>
      <c r="Y434" s="198"/>
      <c r="Z434" s="198"/>
    </row>
    <row r="435">
      <c r="A435" s="403"/>
      <c r="B435" s="198"/>
      <c r="C435" s="403"/>
      <c r="D435" s="142"/>
      <c r="E435" s="403"/>
      <c r="F435" s="198"/>
      <c r="G435" s="403"/>
      <c r="H435" s="198"/>
      <c r="I435" s="410"/>
      <c r="J435" s="142"/>
      <c r="K435" s="410"/>
      <c r="L435" s="142"/>
      <c r="M435" s="410"/>
      <c r="N435" s="142"/>
      <c r="O435" s="403"/>
      <c r="P435" s="198"/>
      <c r="Q435" s="411"/>
      <c r="R435" s="76"/>
      <c r="S435" s="197"/>
      <c r="T435" s="198"/>
      <c r="U435" s="197"/>
      <c r="V435" s="198"/>
      <c r="W435" s="198"/>
      <c r="X435" s="198"/>
      <c r="Y435" s="198"/>
      <c r="Z435" s="198"/>
    </row>
    <row r="436">
      <c r="A436" s="403"/>
      <c r="B436" s="198"/>
      <c r="C436" s="403"/>
      <c r="D436" s="142"/>
      <c r="E436" s="403"/>
      <c r="F436" s="198"/>
      <c r="G436" s="403"/>
      <c r="H436" s="198"/>
      <c r="I436" s="410"/>
      <c r="J436" s="142"/>
      <c r="K436" s="410"/>
      <c r="L436" s="142"/>
      <c r="M436" s="410"/>
      <c r="N436" s="142"/>
      <c r="O436" s="403"/>
      <c r="P436" s="198"/>
      <c r="Q436" s="411"/>
      <c r="R436" s="76"/>
      <c r="S436" s="197"/>
      <c r="T436" s="198"/>
      <c r="U436" s="197"/>
      <c r="V436" s="198"/>
      <c r="W436" s="198"/>
      <c r="X436" s="198"/>
      <c r="Y436" s="198"/>
      <c r="Z436" s="198"/>
    </row>
    <row r="437">
      <c r="A437" s="403"/>
      <c r="B437" s="198"/>
      <c r="C437" s="403"/>
      <c r="D437" s="142"/>
      <c r="E437" s="403"/>
      <c r="F437" s="198"/>
      <c r="G437" s="403"/>
      <c r="H437" s="198"/>
      <c r="I437" s="410"/>
      <c r="J437" s="142"/>
      <c r="K437" s="410"/>
      <c r="L437" s="142"/>
      <c r="M437" s="410"/>
      <c r="N437" s="142"/>
      <c r="O437" s="403"/>
      <c r="P437" s="198"/>
      <c r="Q437" s="411"/>
      <c r="R437" s="76"/>
      <c r="S437" s="197"/>
      <c r="T437" s="198"/>
      <c r="U437" s="197"/>
      <c r="V437" s="198"/>
      <c r="W437" s="198"/>
      <c r="X437" s="198"/>
      <c r="Y437" s="198"/>
      <c r="Z437" s="198"/>
    </row>
    <row r="438">
      <c r="A438" s="403"/>
      <c r="B438" s="198"/>
      <c r="C438" s="403"/>
      <c r="D438" s="142"/>
      <c r="E438" s="403"/>
      <c r="F438" s="198"/>
      <c r="G438" s="403"/>
      <c r="H438" s="198"/>
      <c r="I438" s="410"/>
      <c r="J438" s="142"/>
      <c r="K438" s="410"/>
      <c r="L438" s="142"/>
      <c r="M438" s="410"/>
      <c r="N438" s="142"/>
      <c r="O438" s="403"/>
      <c r="P438" s="198"/>
      <c r="Q438" s="411"/>
      <c r="R438" s="76"/>
      <c r="S438" s="197"/>
      <c r="T438" s="198"/>
      <c r="U438" s="197"/>
      <c r="V438" s="198"/>
      <c r="W438" s="198"/>
      <c r="X438" s="198"/>
      <c r="Y438" s="198"/>
      <c r="Z438" s="198"/>
    </row>
    <row r="439">
      <c r="A439" s="403"/>
      <c r="B439" s="198"/>
      <c r="C439" s="403"/>
      <c r="D439" s="142"/>
      <c r="E439" s="403"/>
      <c r="F439" s="198"/>
      <c r="G439" s="403"/>
      <c r="H439" s="198"/>
      <c r="I439" s="410"/>
      <c r="J439" s="142"/>
      <c r="K439" s="410"/>
      <c r="L439" s="142"/>
      <c r="M439" s="410"/>
      <c r="N439" s="142"/>
      <c r="O439" s="403"/>
      <c r="P439" s="198"/>
      <c r="Q439" s="411"/>
      <c r="R439" s="76"/>
      <c r="S439" s="197"/>
      <c r="T439" s="198"/>
      <c r="U439" s="197"/>
      <c r="V439" s="198"/>
      <c r="W439" s="198"/>
      <c r="X439" s="198"/>
      <c r="Y439" s="198"/>
      <c r="Z439" s="198"/>
    </row>
    <row r="440">
      <c r="A440" s="403"/>
      <c r="B440" s="198"/>
      <c r="C440" s="403"/>
      <c r="D440" s="142"/>
      <c r="E440" s="403"/>
      <c r="F440" s="198"/>
      <c r="G440" s="403"/>
      <c r="H440" s="198"/>
      <c r="I440" s="410"/>
      <c r="J440" s="142"/>
      <c r="K440" s="410"/>
      <c r="L440" s="142"/>
      <c r="M440" s="410"/>
      <c r="N440" s="142"/>
      <c r="O440" s="403"/>
      <c r="P440" s="198"/>
      <c r="Q440" s="411"/>
      <c r="R440" s="76"/>
      <c r="S440" s="197"/>
      <c r="T440" s="198"/>
      <c r="U440" s="197"/>
      <c r="V440" s="198"/>
      <c r="W440" s="198"/>
      <c r="X440" s="198"/>
      <c r="Y440" s="198"/>
      <c r="Z440" s="198"/>
    </row>
    <row r="441">
      <c r="A441" s="403"/>
      <c r="B441" s="198"/>
      <c r="C441" s="403"/>
      <c r="D441" s="142"/>
      <c r="E441" s="403"/>
      <c r="F441" s="198"/>
      <c r="G441" s="403"/>
      <c r="H441" s="198"/>
      <c r="I441" s="410"/>
      <c r="J441" s="142"/>
      <c r="K441" s="410"/>
      <c r="L441" s="142"/>
      <c r="M441" s="410"/>
      <c r="N441" s="142"/>
      <c r="O441" s="403"/>
      <c r="P441" s="198"/>
      <c r="Q441" s="411"/>
      <c r="R441" s="76"/>
      <c r="S441" s="197"/>
      <c r="T441" s="198"/>
      <c r="U441" s="197"/>
      <c r="V441" s="198"/>
      <c r="W441" s="198"/>
      <c r="X441" s="198"/>
      <c r="Y441" s="198"/>
      <c r="Z441" s="198"/>
    </row>
    <row r="442">
      <c r="A442" s="403"/>
      <c r="B442" s="198"/>
      <c r="C442" s="403"/>
      <c r="D442" s="142"/>
      <c r="E442" s="403"/>
      <c r="F442" s="198"/>
      <c r="G442" s="403"/>
      <c r="H442" s="198"/>
      <c r="I442" s="410"/>
      <c r="J442" s="142"/>
      <c r="K442" s="410"/>
      <c r="L442" s="142"/>
      <c r="M442" s="410"/>
      <c r="N442" s="142"/>
      <c r="O442" s="403"/>
      <c r="P442" s="198"/>
      <c r="Q442" s="411"/>
      <c r="R442" s="76"/>
      <c r="S442" s="197"/>
      <c r="T442" s="198"/>
      <c r="U442" s="197"/>
      <c r="V442" s="198"/>
      <c r="W442" s="198"/>
      <c r="X442" s="198"/>
      <c r="Y442" s="198"/>
      <c r="Z442" s="198"/>
    </row>
    <row r="443">
      <c r="A443" s="403"/>
      <c r="B443" s="198"/>
      <c r="C443" s="403"/>
      <c r="D443" s="142"/>
      <c r="E443" s="403"/>
      <c r="F443" s="198"/>
      <c r="G443" s="403"/>
      <c r="H443" s="198"/>
      <c r="I443" s="410"/>
      <c r="J443" s="142"/>
      <c r="K443" s="410"/>
      <c r="L443" s="142"/>
      <c r="M443" s="410"/>
      <c r="N443" s="142"/>
      <c r="O443" s="403"/>
      <c r="P443" s="198"/>
      <c r="Q443" s="411"/>
      <c r="R443" s="76"/>
      <c r="S443" s="197"/>
      <c r="T443" s="198"/>
      <c r="U443" s="197"/>
      <c r="V443" s="198"/>
      <c r="W443" s="198"/>
      <c r="X443" s="198"/>
      <c r="Y443" s="198"/>
      <c r="Z443" s="198"/>
    </row>
    <row r="444">
      <c r="A444" s="403"/>
      <c r="B444" s="198"/>
      <c r="C444" s="403"/>
      <c r="D444" s="142"/>
      <c r="E444" s="403"/>
      <c r="F444" s="198"/>
      <c r="G444" s="403"/>
      <c r="H444" s="198"/>
      <c r="I444" s="410"/>
      <c r="J444" s="142"/>
      <c r="K444" s="410"/>
      <c r="L444" s="142"/>
      <c r="M444" s="410"/>
      <c r="N444" s="142"/>
      <c r="O444" s="403"/>
      <c r="P444" s="198"/>
      <c r="Q444" s="411"/>
      <c r="R444" s="76"/>
      <c r="S444" s="197"/>
      <c r="T444" s="198"/>
      <c r="U444" s="197"/>
      <c r="V444" s="198"/>
      <c r="W444" s="198"/>
      <c r="X444" s="198"/>
      <c r="Y444" s="198"/>
      <c r="Z444" s="198"/>
    </row>
    <row r="445">
      <c r="A445" s="403"/>
      <c r="B445" s="198"/>
      <c r="C445" s="403"/>
      <c r="D445" s="142"/>
      <c r="E445" s="403"/>
      <c r="F445" s="198"/>
      <c r="G445" s="403"/>
      <c r="H445" s="198"/>
      <c r="I445" s="410"/>
      <c r="J445" s="142"/>
      <c r="K445" s="410"/>
      <c r="L445" s="142"/>
      <c r="M445" s="410"/>
      <c r="N445" s="142"/>
      <c r="O445" s="403"/>
      <c r="P445" s="198"/>
      <c r="Q445" s="411"/>
      <c r="R445" s="76"/>
      <c r="S445" s="197"/>
      <c r="T445" s="198"/>
      <c r="U445" s="197"/>
      <c r="V445" s="198"/>
      <c r="W445" s="198"/>
      <c r="X445" s="198"/>
      <c r="Y445" s="198"/>
      <c r="Z445" s="198"/>
    </row>
    <row r="446">
      <c r="A446" s="403"/>
      <c r="B446" s="198"/>
      <c r="C446" s="403"/>
      <c r="D446" s="142"/>
      <c r="E446" s="403"/>
      <c r="F446" s="198"/>
      <c r="G446" s="403"/>
      <c r="H446" s="198"/>
      <c r="I446" s="410"/>
      <c r="J446" s="142"/>
      <c r="K446" s="410"/>
      <c r="L446" s="142"/>
      <c r="M446" s="410"/>
      <c r="N446" s="142"/>
      <c r="O446" s="403"/>
      <c r="P446" s="198"/>
      <c r="Q446" s="411"/>
      <c r="R446" s="76"/>
      <c r="S446" s="197"/>
      <c r="T446" s="198"/>
      <c r="U446" s="197"/>
      <c r="V446" s="198"/>
      <c r="W446" s="198"/>
      <c r="X446" s="198"/>
      <c r="Y446" s="198"/>
      <c r="Z446" s="198"/>
    </row>
    <row r="447">
      <c r="A447" s="403"/>
      <c r="B447" s="198"/>
      <c r="C447" s="403"/>
      <c r="D447" s="142"/>
      <c r="E447" s="403"/>
      <c r="F447" s="198"/>
      <c r="G447" s="403"/>
      <c r="H447" s="198"/>
      <c r="I447" s="410"/>
      <c r="J447" s="142"/>
      <c r="K447" s="410"/>
      <c r="L447" s="142"/>
      <c r="M447" s="410"/>
      <c r="N447" s="142"/>
      <c r="O447" s="403"/>
      <c r="P447" s="198"/>
      <c r="Q447" s="411"/>
      <c r="R447" s="76"/>
      <c r="S447" s="197"/>
      <c r="T447" s="198"/>
      <c r="U447" s="197"/>
      <c r="V447" s="198"/>
      <c r="W447" s="198"/>
      <c r="X447" s="198"/>
      <c r="Y447" s="198"/>
      <c r="Z447" s="198"/>
    </row>
    <row r="448">
      <c r="A448" s="403"/>
      <c r="B448" s="198"/>
      <c r="C448" s="403"/>
      <c r="D448" s="142"/>
      <c r="E448" s="403"/>
      <c r="F448" s="198"/>
      <c r="G448" s="403"/>
      <c r="H448" s="198"/>
      <c r="I448" s="410"/>
      <c r="J448" s="142"/>
      <c r="K448" s="410"/>
      <c r="L448" s="142"/>
      <c r="M448" s="410"/>
      <c r="N448" s="142"/>
      <c r="O448" s="403"/>
      <c r="P448" s="198"/>
      <c r="Q448" s="411"/>
      <c r="R448" s="76"/>
      <c r="S448" s="197"/>
      <c r="T448" s="198"/>
      <c r="U448" s="197"/>
      <c r="V448" s="198"/>
      <c r="W448" s="198"/>
      <c r="X448" s="198"/>
      <c r="Y448" s="198"/>
      <c r="Z448" s="198"/>
    </row>
    <row r="449">
      <c r="A449" s="403"/>
      <c r="B449" s="198"/>
      <c r="C449" s="403"/>
      <c r="D449" s="142"/>
      <c r="E449" s="403"/>
      <c r="F449" s="198"/>
      <c r="G449" s="403"/>
      <c r="H449" s="198"/>
      <c r="I449" s="410"/>
      <c r="J449" s="142"/>
      <c r="K449" s="410"/>
      <c r="L449" s="142"/>
      <c r="M449" s="410"/>
      <c r="N449" s="142"/>
      <c r="O449" s="403"/>
      <c r="P449" s="198"/>
      <c r="Q449" s="411"/>
      <c r="R449" s="76"/>
      <c r="S449" s="197"/>
      <c r="T449" s="198"/>
      <c r="U449" s="197"/>
      <c r="V449" s="198"/>
      <c r="W449" s="198"/>
      <c r="X449" s="198"/>
      <c r="Y449" s="198"/>
      <c r="Z449" s="198"/>
    </row>
    <row r="450">
      <c r="A450" s="403"/>
      <c r="B450" s="198"/>
      <c r="C450" s="403"/>
      <c r="D450" s="142"/>
      <c r="E450" s="403"/>
      <c r="F450" s="198"/>
      <c r="G450" s="403"/>
      <c r="H450" s="198"/>
      <c r="I450" s="410"/>
      <c r="J450" s="142"/>
      <c r="K450" s="410"/>
      <c r="L450" s="142"/>
      <c r="M450" s="410"/>
      <c r="N450" s="142"/>
      <c r="O450" s="403"/>
      <c r="P450" s="198"/>
      <c r="Q450" s="411"/>
      <c r="R450" s="76"/>
      <c r="S450" s="197"/>
      <c r="T450" s="198"/>
      <c r="U450" s="197"/>
      <c r="V450" s="198"/>
      <c r="W450" s="198"/>
      <c r="X450" s="198"/>
      <c r="Y450" s="198"/>
      <c r="Z450" s="198"/>
    </row>
    <row r="451">
      <c r="A451" s="403"/>
      <c r="B451" s="198"/>
      <c r="C451" s="403"/>
      <c r="D451" s="142"/>
      <c r="E451" s="403"/>
      <c r="F451" s="198"/>
      <c r="G451" s="403"/>
      <c r="H451" s="198"/>
      <c r="I451" s="410"/>
      <c r="J451" s="142"/>
      <c r="K451" s="410"/>
      <c r="L451" s="142"/>
      <c r="M451" s="410"/>
      <c r="N451" s="142"/>
      <c r="O451" s="403"/>
      <c r="P451" s="198"/>
      <c r="Q451" s="411"/>
      <c r="R451" s="76"/>
      <c r="S451" s="197"/>
      <c r="T451" s="198"/>
      <c r="U451" s="197"/>
      <c r="V451" s="198"/>
      <c r="W451" s="198"/>
      <c r="X451" s="198"/>
      <c r="Y451" s="198"/>
      <c r="Z451" s="198"/>
    </row>
    <row r="452">
      <c r="A452" s="403"/>
      <c r="B452" s="198"/>
      <c r="C452" s="403"/>
      <c r="D452" s="142"/>
      <c r="E452" s="403"/>
      <c r="F452" s="198"/>
      <c r="G452" s="403"/>
      <c r="H452" s="198"/>
      <c r="I452" s="410"/>
      <c r="J452" s="142"/>
      <c r="K452" s="410"/>
      <c r="L452" s="142"/>
      <c r="M452" s="410"/>
      <c r="N452" s="142"/>
      <c r="O452" s="403"/>
      <c r="P452" s="198"/>
      <c r="Q452" s="411"/>
      <c r="R452" s="76"/>
      <c r="S452" s="197"/>
      <c r="T452" s="198"/>
      <c r="U452" s="197"/>
      <c r="V452" s="198"/>
      <c r="W452" s="198"/>
      <c r="X452" s="198"/>
      <c r="Y452" s="198"/>
      <c r="Z452" s="198"/>
    </row>
    <row r="453">
      <c r="A453" s="403"/>
      <c r="B453" s="198"/>
      <c r="C453" s="403"/>
      <c r="D453" s="142"/>
      <c r="E453" s="403"/>
      <c r="F453" s="198"/>
      <c r="G453" s="403"/>
      <c r="H453" s="198"/>
      <c r="I453" s="410"/>
      <c r="J453" s="142"/>
      <c r="K453" s="410"/>
      <c r="L453" s="142"/>
      <c r="M453" s="410"/>
      <c r="N453" s="142"/>
      <c r="O453" s="403"/>
      <c r="P453" s="198"/>
      <c r="Q453" s="411"/>
      <c r="R453" s="76"/>
      <c r="S453" s="197"/>
      <c r="T453" s="198"/>
      <c r="U453" s="197"/>
      <c r="V453" s="198"/>
      <c r="W453" s="198"/>
      <c r="X453" s="198"/>
      <c r="Y453" s="198"/>
      <c r="Z453" s="198"/>
    </row>
    <row r="454">
      <c r="A454" s="403"/>
      <c r="B454" s="198"/>
      <c r="C454" s="403"/>
      <c r="D454" s="142"/>
      <c r="E454" s="403"/>
      <c r="F454" s="198"/>
      <c r="G454" s="403"/>
      <c r="H454" s="198"/>
      <c r="I454" s="410"/>
      <c r="J454" s="142"/>
      <c r="K454" s="410"/>
      <c r="L454" s="142"/>
      <c r="M454" s="410"/>
      <c r="N454" s="142"/>
      <c r="O454" s="403"/>
      <c r="P454" s="198"/>
      <c r="Q454" s="411"/>
      <c r="R454" s="76"/>
      <c r="S454" s="197"/>
      <c r="T454" s="198"/>
      <c r="U454" s="197"/>
      <c r="V454" s="198"/>
      <c r="W454" s="198"/>
      <c r="X454" s="198"/>
      <c r="Y454" s="198"/>
      <c r="Z454" s="198"/>
    </row>
    <row r="455">
      <c r="A455" s="403"/>
      <c r="B455" s="198"/>
      <c r="C455" s="403"/>
      <c r="D455" s="142"/>
      <c r="E455" s="403"/>
      <c r="F455" s="198"/>
      <c r="G455" s="403"/>
      <c r="H455" s="198"/>
      <c r="I455" s="410"/>
      <c r="J455" s="142"/>
      <c r="K455" s="410"/>
      <c r="L455" s="142"/>
      <c r="M455" s="410"/>
      <c r="N455" s="142"/>
      <c r="O455" s="403"/>
      <c r="P455" s="198"/>
      <c r="Q455" s="411"/>
      <c r="R455" s="76"/>
      <c r="S455" s="197"/>
      <c r="T455" s="198"/>
      <c r="U455" s="197"/>
      <c r="V455" s="198"/>
      <c r="W455" s="198"/>
      <c r="X455" s="198"/>
      <c r="Y455" s="198"/>
      <c r="Z455" s="198"/>
    </row>
    <row r="456">
      <c r="A456" s="403"/>
      <c r="B456" s="198"/>
      <c r="C456" s="403"/>
      <c r="D456" s="142"/>
      <c r="E456" s="403"/>
      <c r="F456" s="198"/>
      <c r="G456" s="403"/>
      <c r="H456" s="198"/>
      <c r="I456" s="410"/>
      <c r="J456" s="142"/>
      <c r="K456" s="410"/>
      <c r="L456" s="142"/>
      <c r="M456" s="410"/>
      <c r="N456" s="142"/>
      <c r="O456" s="403"/>
      <c r="P456" s="198"/>
      <c r="Q456" s="411"/>
      <c r="R456" s="76"/>
      <c r="S456" s="197"/>
      <c r="T456" s="198"/>
      <c r="U456" s="197"/>
      <c r="V456" s="198"/>
      <c r="W456" s="198"/>
      <c r="X456" s="198"/>
      <c r="Y456" s="198"/>
      <c r="Z456" s="198"/>
    </row>
    <row r="457">
      <c r="A457" s="403"/>
      <c r="B457" s="198"/>
      <c r="C457" s="403"/>
      <c r="D457" s="142"/>
      <c r="E457" s="403"/>
      <c r="F457" s="198"/>
      <c r="G457" s="403"/>
      <c r="H457" s="198"/>
      <c r="I457" s="410"/>
      <c r="J457" s="142"/>
      <c r="K457" s="410"/>
      <c r="L457" s="142"/>
      <c r="M457" s="410"/>
      <c r="N457" s="142"/>
      <c r="O457" s="403"/>
      <c r="P457" s="198"/>
      <c r="Q457" s="411"/>
      <c r="R457" s="76"/>
      <c r="S457" s="197"/>
      <c r="T457" s="198"/>
      <c r="U457" s="197"/>
      <c r="V457" s="198"/>
      <c r="W457" s="198"/>
      <c r="X457" s="198"/>
      <c r="Y457" s="198"/>
      <c r="Z457" s="198"/>
    </row>
    <row r="458">
      <c r="A458" s="403"/>
      <c r="B458" s="198"/>
      <c r="C458" s="403"/>
      <c r="D458" s="142"/>
      <c r="E458" s="403"/>
      <c r="F458" s="198"/>
      <c r="G458" s="403"/>
      <c r="H458" s="198"/>
      <c r="I458" s="410"/>
      <c r="J458" s="142"/>
      <c r="K458" s="410"/>
      <c r="L458" s="142"/>
      <c r="M458" s="410"/>
      <c r="N458" s="142"/>
      <c r="O458" s="403"/>
      <c r="P458" s="198"/>
      <c r="Q458" s="411"/>
      <c r="R458" s="76"/>
      <c r="S458" s="197"/>
      <c r="T458" s="198"/>
      <c r="U458" s="197"/>
      <c r="V458" s="198"/>
      <c r="W458" s="198"/>
      <c r="X458" s="198"/>
      <c r="Y458" s="198"/>
      <c r="Z458" s="198"/>
    </row>
    <row r="459">
      <c r="A459" s="403"/>
      <c r="B459" s="198"/>
      <c r="C459" s="403"/>
      <c r="D459" s="142"/>
      <c r="E459" s="403"/>
      <c r="F459" s="198"/>
      <c r="G459" s="403"/>
      <c r="H459" s="198"/>
      <c r="I459" s="410"/>
      <c r="J459" s="142"/>
      <c r="K459" s="410"/>
      <c r="L459" s="142"/>
      <c r="M459" s="410"/>
      <c r="N459" s="142"/>
      <c r="O459" s="403"/>
      <c r="P459" s="198"/>
      <c r="Q459" s="411"/>
      <c r="R459" s="76"/>
      <c r="S459" s="197"/>
      <c r="T459" s="198"/>
      <c r="U459" s="197"/>
      <c r="V459" s="198"/>
      <c r="W459" s="198"/>
      <c r="X459" s="198"/>
      <c r="Y459" s="198"/>
      <c r="Z459" s="198"/>
    </row>
    <row r="460">
      <c r="A460" s="403"/>
      <c r="B460" s="198"/>
      <c r="C460" s="403"/>
      <c r="D460" s="142"/>
      <c r="E460" s="403"/>
      <c r="F460" s="198"/>
      <c r="G460" s="403"/>
      <c r="H460" s="198"/>
      <c r="I460" s="410"/>
      <c r="J460" s="142"/>
      <c r="K460" s="410"/>
      <c r="L460" s="142"/>
      <c r="M460" s="410"/>
      <c r="N460" s="142"/>
      <c r="O460" s="403"/>
      <c r="P460" s="198"/>
      <c r="Q460" s="411"/>
      <c r="R460" s="76"/>
      <c r="S460" s="197"/>
      <c r="T460" s="198"/>
      <c r="U460" s="197"/>
      <c r="V460" s="198"/>
      <c r="W460" s="198"/>
      <c r="X460" s="198"/>
      <c r="Y460" s="198"/>
      <c r="Z460" s="198"/>
    </row>
    <row r="461">
      <c r="A461" s="403"/>
      <c r="B461" s="198"/>
      <c r="C461" s="403"/>
      <c r="D461" s="142"/>
      <c r="E461" s="403"/>
      <c r="F461" s="198"/>
      <c r="G461" s="403"/>
      <c r="H461" s="198"/>
      <c r="I461" s="410"/>
      <c r="J461" s="142"/>
      <c r="K461" s="410"/>
      <c r="L461" s="142"/>
      <c r="M461" s="410"/>
      <c r="N461" s="142"/>
      <c r="O461" s="403"/>
      <c r="P461" s="198"/>
      <c r="Q461" s="411"/>
      <c r="R461" s="76"/>
      <c r="S461" s="197"/>
      <c r="T461" s="198"/>
      <c r="U461" s="197"/>
      <c r="V461" s="198"/>
      <c r="W461" s="198"/>
      <c r="X461" s="198"/>
      <c r="Y461" s="198"/>
      <c r="Z461" s="198"/>
    </row>
    <row r="462">
      <c r="A462" s="403"/>
      <c r="B462" s="198"/>
      <c r="C462" s="403"/>
      <c r="D462" s="142"/>
      <c r="E462" s="403"/>
      <c r="F462" s="198"/>
      <c r="G462" s="403"/>
      <c r="H462" s="198"/>
      <c r="I462" s="410"/>
      <c r="J462" s="142"/>
      <c r="K462" s="410"/>
      <c r="L462" s="142"/>
      <c r="M462" s="410"/>
      <c r="N462" s="142"/>
      <c r="O462" s="403"/>
      <c r="P462" s="198"/>
      <c r="Q462" s="411"/>
      <c r="R462" s="76"/>
      <c r="S462" s="197"/>
      <c r="T462" s="198"/>
      <c r="U462" s="197"/>
      <c r="V462" s="198"/>
      <c r="W462" s="198"/>
      <c r="X462" s="198"/>
      <c r="Y462" s="198"/>
      <c r="Z462" s="198"/>
    </row>
    <row r="463">
      <c r="A463" s="403"/>
      <c r="B463" s="198"/>
      <c r="C463" s="403"/>
      <c r="D463" s="142"/>
      <c r="E463" s="403"/>
      <c r="F463" s="198"/>
      <c r="G463" s="403"/>
      <c r="H463" s="198"/>
      <c r="I463" s="410"/>
      <c r="J463" s="142"/>
      <c r="K463" s="410"/>
      <c r="L463" s="142"/>
      <c r="M463" s="410"/>
      <c r="N463" s="142"/>
      <c r="O463" s="403"/>
      <c r="P463" s="198"/>
      <c r="Q463" s="411"/>
      <c r="R463" s="76"/>
      <c r="S463" s="197"/>
      <c r="T463" s="198"/>
      <c r="U463" s="197"/>
      <c r="V463" s="198"/>
      <c r="W463" s="198"/>
      <c r="X463" s="198"/>
      <c r="Y463" s="198"/>
      <c r="Z463" s="198"/>
    </row>
    <row r="464">
      <c r="A464" s="403"/>
      <c r="B464" s="198"/>
      <c r="C464" s="403"/>
      <c r="D464" s="142"/>
      <c r="E464" s="403"/>
      <c r="F464" s="198"/>
      <c r="G464" s="403"/>
      <c r="H464" s="198"/>
      <c r="I464" s="410"/>
      <c r="J464" s="142"/>
      <c r="K464" s="410"/>
      <c r="L464" s="142"/>
      <c r="M464" s="410"/>
      <c r="N464" s="142"/>
      <c r="O464" s="403"/>
      <c r="P464" s="198"/>
      <c r="Q464" s="411"/>
      <c r="R464" s="76"/>
      <c r="S464" s="197"/>
      <c r="T464" s="198"/>
      <c r="U464" s="197"/>
      <c r="V464" s="198"/>
      <c r="W464" s="198"/>
      <c r="X464" s="198"/>
      <c r="Y464" s="198"/>
      <c r="Z464" s="198"/>
    </row>
    <row r="465">
      <c r="A465" s="403"/>
      <c r="B465" s="198"/>
      <c r="C465" s="403"/>
      <c r="D465" s="142"/>
      <c r="E465" s="403"/>
      <c r="F465" s="198"/>
      <c r="G465" s="403"/>
      <c r="H465" s="198"/>
      <c r="I465" s="410"/>
      <c r="J465" s="142"/>
      <c r="K465" s="410"/>
      <c r="L465" s="142"/>
      <c r="M465" s="410"/>
      <c r="N465" s="142"/>
      <c r="O465" s="403"/>
      <c r="P465" s="198"/>
      <c r="Q465" s="411"/>
      <c r="R465" s="76"/>
      <c r="S465" s="197"/>
      <c r="T465" s="198"/>
      <c r="U465" s="197"/>
      <c r="V465" s="198"/>
      <c r="W465" s="198"/>
      <c r="X465" s="198"/>
      <c r="Y465" s="198"/>
      <c r="Z465" s="198"/>
    </row>
    <row r="466">
      <c r="A466" s="403"/>
      <c r="B466" s="198"/>
      <c r="C466" s="403"/>
      <c r="D466" s="142"/>
      <c r="E466" s="403"/>
      <c r="F466" s="198"/>
      <c r="G466" s="403"/>
      <c r="H466" s="198"/>
      <c r="I466" s="410"/>
      <c r="J466" s="142"/>
      <c r="K466" s="410"/>
      <c r="L466" s="142"/>
      <c r="M466" s="410"/>
      <c r="N466" s="142"/>
      <c r="O466" s="403"/>
      <c r="P466" s="198"/>
      <c r="Q466" s="411"/>
      <c r="R466" s="76"/>
      <c r="S466" s="197"/>
      <c r="T466" s="198"/>
      <c r="U466" s="197"/>
      <c r="V466" s="198"/>
      <c r="W466" s="198"/>
      <c r="X466" s="198"/>
      <c r="Y466" s="198"/>
      <c r="Z466" s="198"/>
    </row>
    <row r="467">
      <c r="A467" s="403"/>
      <c r="B467" s="198"/>
      <c r="C467" s="403"/>
      <c r="D467" s="142"/>
      <c r="E467" s="403"/>
      <c r="F467" s="198"/>
      <c r="G467" s="403"/>
      <c r="H467" s="198"/>
      <c r="I467" s="410"/>
      <c r="J467" s="142"/>
      <c r="K467" s="410"/>
      <c r="L467" s="142"/>
      <c r="M467" s="410"/>
      <c r="N467" s="142"/>
      <c r="O467" s="403"/>
      <c r="P467" s="198"/>
      <c r="Q467" s="411"/>
      <c r="R467" s="76"/>
      <c r="S467" s="197"/>
      <c r="T467" s="198"/>
      <c r="U467" s="197"/>
      <c r="V467" s="198"/>
      <c r="W467" s="198"/>
      <c r="X467" s="198"/>
      <c r="Y467" s="198"/>
      <c r="Z467" s="198"/>
    </row>
    <row r="468">
      <c r="A468" s="403"/>
      <c r="B468" s="198"/>
      <c r="C468" s="403"/>
      <c r="D468" s="142"/>
      <c r="E468" s="403"/>
      <c r="F468" s="198"/>
      <c r="G468" s="403"/>
      <c r="H468" s="198"/>
      <c r="I468" s="410"/>
      <c r="J468" s="142"/>
      <c r="K468" s="410"/>
      <c r="L468" s="142"/>
      <c r="M468" s="410"/>
      <c r="N468" s="142"/>
      <c r="O468" s="403"/>
      <c r="P468" s="198"/>
      <c r="Q468" s="411"/>
      <c r="R468" s="76"/>
      <c r="S468" s="197"/>
      <c r="T468" s="198"/>
      <c r="U468" s="197"/>
      <c r="V468" s="198"/>
      <c r="W468" s="198"/>
      <c r="X468" s="198"/>
      <c r="Y468" s="198"/>
      <c r="Z468" s="198"/>
    </row>
    <row r="469">
      <c r="A469" s="403"/>
      <c r="B469" s="198"/>
      <c r="C469" s="403"/>
      <c r="D469" s="142"/>
      <c r="E469" s="403"/>
      <c r="F469" s="198"/>
      <c r="G469" s="403"/>
      <c r="H469" s="198"/>
      <c r="I469" s="410"/>
      <c r="J469" s="142"/>
      <c r="K469" s="410"/>
      <c r="L469" s="142"/>
      <c r="M469" s="410"/>
      <c r="N469" s="142"/>
      <c r="O469" s="403"/>
      <c r="P469" s="198"/>
      <c r="Q469" s="411"/>
      <c r="R469" s="76"/>
      <c r="S469" s="197"/>
      <c r="T469" s="198"/>
      <c r="U469" s="197"/>
      <c r="V469" s="198"/>
      <c r="W469" s="198"/>
      <c r="X469" s="198"/>
      <c r="Y469" s="198"/>
      <c r="Z469" s="198"/>
    </row>
    <row r="470">
      <c r="A470" s="403"/>
      <c r="B470" s="198"/>
      <c r="C470" s="403"/>
      <c r="D470" s="142"/>
      <c r="E470" s="403"/>
      <c r="F470" s="198"/>
      <c r="G470" s="403"/>
      <c r="H470" s="198"/>
      <c r="I470" s="410"/>
      <c r="J470" s="142"/>
      <c r="K470" s="410"/>
      <c r="L470" s="142"/>
      <c r="M470" s="410"/>
      <c r="N470" s="142"/>
      <c r="O470" s="403"/>
      <c r="P470" s="198"/>
      <c r="Q470" s="411"/>
      <c r="R470" s="76"/>
      <c r="S470" s="197"/>
      <c r="T470" s="198"/>
      <c r="U470" s="197"/>
      <c r="V470" s="198"/>
      <c r="W470" s="198"/>
      <c r="X470" s="198"/>
      <c r="Y470" s="198"/>
      <c r="Z470" s="198"/>
    </row>
    <row r="471">
      <c r="A471" s="403"/>
      <c r="B471" s="198"/>
      <c r="C471" s="403"/>
      <c r="D471" s="142"/>
      <c r="E471" s="403"/>
      <c r="F471" s="198"/>
      <c r="G471" s="403"/>
      <c r="H471" s="198"/>
      <c r="I471" s="410"/>
      <c r="J471" s="142"/>
      <c r="K471" s="410"/>
      <c r="L471" s="142"/>
      <c r="M471" s="410"/>
      <c r="N471" s="142"/>
      <c r="O471" s="403"/>
      <c r="P471" s="198"/>
      <c r="Q471" s="411"/>
      <c r="R471" s="76"/>
      <c r="S471" s="197"/>
      <c r="T471" s="198"/>
      <c r="U471" s="197"/>
      <c r="V471" s="198"/>
      <c r="W471" s="198"/>
      <c r="X471" s="198"/>
      <c r="Y471" s="198"/>
      <c r="Z471" s="198"/>
    </row>
    <row r="472">
      <c r="A472" s="403"/>
      <c r="B472" s="198"/>
      <c r="C472" s="403"/>
      <c r="D472" s="142"/>
      <c r="E472" s="403"/>
      <c r="F472" s="198"/>
      <c r="G472" s="403"/>
      <c r="H472" s="198"/>
      <c r="I472" s="410"/>
      <c r="J472" s="142"/>
      <c r="K472" s="410"/>
      <c r="L472" s="142"/>
      <c r="M472" s="410"/>
      <c r="N472" s="142"/>
      <c r="O472" s="403"/>
      <c r="P472" s="198"/>
      <c r="Q472" s="411"/>
      <c r="R472" s="76"/>
      <c r="S472" s="197"/>
      <c r="T472" s="198"/>
      <c r="U472" s="197"/>
      <c r="V472" s="198"/>
      <c r="W472" s="198"/>
      <c r="X472" s="198"/>
      <c r="Y472" s="198"/>
      <c r="Z472" s="198"/>
    </row>
    <row r="473">
      <c r="A473" s="403"/>
      <c r="B473" s="198"/>
      <c r="C473" s="403"/>
      <c r="D473" s="142"/>
      <c r="E473" s="403"/>
      <c r="F473" s="198"/>
      <c r="G473" s="403"/>
      <c r="H473" s="198"/>
      <c r="I473" s="410"/>
      <c r="J473" s="142"/>
      <c r="K473" s="410"/>
      <c r="L473" s="142"/>
      <c r="M473" s="410"/>
      <c r="N473" s="142"/>
      <c r="O473" s="403"/>
      <c r="P473" s="198"/>
      <c r="Q473" s="411"/>
      <c r="R473" s="76"/>
      <c r="S473" s="197"/>
      <c r="T473" s="198"/>
      <c r="U473" s="197"/>
      <c r="V473" s="198"/>
      <c r="W473" s="198"/>
      <c r="X473" s="198"/>
      <c r="Y473" s="198"/>
      <c r="Z473" s="198"/>
    </row>
    <row r="474">
      <c r="A474" s="403"/>
      <c r="B474" s="198"/>
      <c r="C474" s="403"/>
      <c r="D474" s="142"/>
      <c r="E474" s="403"/>
      <c r="F474" s="198"/>
      <c r="G474" s="403"/>
      <c r="H474" s="198"/>
      <c r="I474" s="410"/>
      <c r="J474" s="142"/>
      <c r="K474" s="410"/>
      <c r="L474" s="142"/>
      <c r="M474" s="410"/>
      <c r="N474" s="142"/>
      <c r="O474" s="403"/>
      <c r="P474" s="198"/>
      <c r="Q474" s="411"/>
      <c r="R474" s="76"/>
      <c r="S474" s="197"/>
      <c r="T474" s="198"/>
      <c r="U474" s="197"/>
      <c r="V474" s="198"/>
      <c r="W474" s="198"/>
      <c r="X474" s="198"/>
      <c r="Y474" s="198"/>
      <c r="Z474" s="198"/>
    </row>
    <row r="475">
      <c r="A475" s="403"/>
      <c r="B475" s="198"/>
      <c r="C475" s="403"/>
      <c r="D475" s="142"/>
      <c r="E475" s="403"/>
      <c r="F475" s="198"/>
      <c r="G475" s="403"/>
      <c r="H475" s="198"/>
      <c r="I475" s="410"/>
      <c r="J475" s="142"/>
      <c r="K475" s="410"/>
      <c r="L475" s="142"/>
      <c r="M475" s="410"/>
      <c r="N475" s="142"/>
      <c r="O475" s="403"/>
      <c r="P475" s="198"/>
      <c r="Q475" s="411"/>
      <c r="R475" s="76"/>
      <c r="S475" s="197"/>
      <c r="T475" s="198"/>
      <c r="U475" s="197"/>
      <c r="V475" s="198"/>
      <c r="W475" s="198"/>
      <c r="X475" s="198"/>
      <c r="Y475" s="198"/>
      <c r="Z475" s="198"/>
    </row>
    <row r="476">
      <c r="A476" s="403"/>
      <c r="B476" s="198"/>
      <c r="C476" s="403"/>
      <c r="D476" s="142"/>
      <c r="E476" s="403"/>
      <c r="F476" s="198"/>
      <c r="G476" s="403"/>
      <c r="H476" s="198"/>
      <c r="I476" s="410"/>
      <c r="J476" s="142"/>
      <c r="K476" s="410"/>
      <c r="L476" s="142"/>
      <c r="M476" s="410"/>
      <c r="N476" s="142"/>
      <c r="O476" s="403"/>
      <c r="P476" s="198"/>
      <c r="Q476" s="411"/>
      <c r="R476" s="76"/>
      <c r="S476" s="197"/>
      <c r="T476" s="198"/>
      <c r="U476" s="197"/>
      <c r="V476" s="198"/>
      <c r="W476" s="198"/>
      <c r="X476" s="198"/>
      <c r="Y476" s="198"/>
      <c r="Z476" s="198"/>
    </row>
    <row r="477">
      <c r="A477" s="403"/>
      <c r="B477" s="198"/>
      <c r="C477" s="403"/>
      <c r="D477" s="142"/>
      <c r="E477" s="403"/>
      <c r="F477" s="198"/>
      <c r="G477" s="403"/>
      <c r="H477" s="198"/>
      <c r="I477" s="410"/>
      <c r="J477" s="142"/>
      <c r="K477" s="410"/>
      <c r="L477" s="142"/>
      <c r="M477" s="410"/>
      <c r="N477" s="142"/>
      <c r="O477" s="403"/>
      <c r="P477" s="198"/>
      <c r="Q477" s="411"/>
      <c r="R477" s="76"/>
      <c r="S477" s="197"/>
      <c r="T477" s="198"/>
      <c r="U477" s="197"/>
      <c r="V477" s="198"/>
      <c r="W477" s="198"/>
      <c r="X477" s="198"/>
      <c r="Y477" s="198"/>
      <c r="Z477" s="198"/>
    </row>
    <row r="478">
      <c r="A478" s="403"/>
      <c r="B478" s="198"/>
      <c r="C478" s="403"/>
      <c r="D478" s="142"/>
      <c r="E478" s="403"/>
      <c r="F478" s="198"/>
      <c r="G478" s="403"/>
      <c r="H478" s="198"/>
      <c r="I478" s="410"/>
      <c r="J478" s="142"/>
      <c r="K478" s="410"/>
      <c r="L478" s="142"/>
      <c r="M478" s="410"/>
      <c r="N478" s="142"/>
      <c r="O478" s="403"/>
      <c r="P478" s="198"/>
      <c r="Q478" s="411"/>
      <c r="R478" s="76"/>
      <c r="S478" s="197"/>
      <c r="T478" s="198"/>
      <c r="U478" s="197"/>
      <c r="V478" s="198"/>
      <c r="W478" s="198"/>
      <c r="X478" s="198"/>
      <c r="Y478" s="198"/>
      <c r="Z478" s="198"/>
    </row>
    <row r="479">
      <c r="A479" s="403"/>
      <c r="B479" s="198"/>
      <c r="C479" s="403"/>
      <c r="D479" s="142"/>
      <c r="E479" s="403"/>
      <c r="F479" s="198"/>
      <c r="G479" s="403"/>
      <c r="H479" s="198"/>
      <c r="I479" s="410"/>
      <c r="J479" s="142"/>
      <c r="K479" s="410"/>
      <c r="L479" s="142"/>
      <c r="M479" s="410"/>
      <c r="N479" s="142"/>
      <c r="O479" s="403"/>
      <c r="P479" s="198"/>
      <c r="Q479" s="411"/>
      <c r="R479" s="76"/>
      <c r="S479" s="197"/>
      <c r="T479" s="198"/>
      <c r="U479" s="197"/>
      <c r="V479" s="198"/>
      <c r="W479" s="198"/>
      <c r="X479" s="198"/>
      <c r="Y479" s="198"/>
      <c r="Z479" s="198"/>
    </row>
    <row r="480">
      <c r="A480" s="403"/>
      <c r="B480" s="198"/>
      <c r="C480" s="403"/>
      <c r="D480" s="142"/>
      <c r="E480" s="403"/>
      <c r="F480" s="198"/>
      <c r="G480" s="403"/>
      <c r="H480" s="198"/>
      <c r="I480" s="410"/>
      <c r="J480" s="142"/>
      <c r="K480" s="410"/>
      <c r="L480" s="142"/>
      <c r="M480" s="410"/>
      <c r="N480" s="142"/>
      <c r="O480" s="403"/>
      <c r="P480" s="198"/>
      <c r="Q480" s="411"/>
      <c r="R480" s="76"/>
      <c r="S480" s="197"/>
      <c r="T480" s="198"/>
      <c r="U480" s="197"/>
      <c r="V480" s="198"/>
      <c r="W480" s="198"/>
      <c r="X480" s="198"/>
      <c r="Y480" s="198"/>
      <c r="Z480" s="198"/>
    </row>
    <row r="481">
      <c r="A481" s="403"/>
      <c r="B481" s="198"/>
      <c r="C481" s="403"/>
      <c r="D481" s="142"/>
      <c r="E481" s="403"/>
      <c r="F481" s="198"/>
      <c r="G481" s="403"/>
      <c r="H481" s="198"/>
      <c r="I481" s="410"/>
      <c r="J481" s="142"/>
      <c r="K481" s="410"/>
      <c r="L481" s="142"/>
      <c r="M481" s="410"/>
      <c r="N481" s="142"/>
      <c r="O481" s="403"/>
      <c r="P481" s="198"/>
      <c r="Q481" s="411"/>
      <c r="R481" s="76"/>
      <c r="S481" s="197"/>
      <c r="T481" s="198"/>
      <c r="U481" s="197"/>
      <c r="V481" s="198"/>
      <c r="W481" s="198"/>
      <c r="X481" s="198"/>
      <c r="Y481" s="198"/>
      <c r="Z481" s="198"/>
    </row>
    <row r="482">
      <c r="A482" s="403"/>
      <c r="B482" s="198"/>
      <c r="C482" s="403"/>
      <c r="D482" s="142"/>
      <c r="E482" s="403"/>
      <c r="F482" s="198"/>
      <c r="G482" s="403"/>
      <c r="H482" s="198"/>
      <c r="I482" s="410"/>
      <c r="J482" s="142"/>
      <c r="K482" s="410"/>
      <c r="L482" s="142"/>
      <c r="M482" s="410"/>
      <c r="N482" s="142"/>
      <c r="O482" s="403"/>
      <c r="P482" s="198"/>
      <c r="Q482" s="411"/>
      <c r="R482" s="76"/>
      <c r="S482" s="197"/>
      <c r="T482" s="198"/>
      <c r="U482" s="197"/>
      <c r="V482" s="198"/>
      <c r="W482" s="198"/>
      <c r="X482" s="198"/>
      <c r="Y482" s="198"/>
      <c r="Z482" s="198"/>
    </row>
    <row r="483">
      <c r="A483" s="403"/>
      <c r="B483" s="198"/>
      <c r="C483" s="403"/>
      <c r="D483" s="142"/>
      <c r="E483" s="403"/>
      <c r="F483" s="198"/>
      <c r="G483" s="403"/>
      <c r="H483" s="198"/>
      <c r="I483" s="410"/>
      <c r="J483" s="142"/>
      <c r="K483" s="410"/>
      <c r="L483" s="142"/>
      <c r="M483" s="410"/>
      <c r="N483" s="142"/>
      <c r="O483" s="403"/>
      <c r="P483" s="198"/>
      <c r="Q483" s="411"/>
      <c r="R483" s="76"/>
      <c r="S483" s="197"/>
      <c r="T483" s="198"/>
      <c r="U483" s="197"/>
      <c r="V483" s="198"/>
      <c r="W483" s="198"/>
      <c r="X483" s="198"/>
      <c r="Y483" s="198"/>
      <c r="Z483" s="198"/>
    </row>
    <row r="484">
      <c r="A484" s="403"/>
      <c r="B484" s="198"/>
      <c r="C484" s="403"/>
      <c r="D484" s="142"/>
      <c r="E484" s="403"/>
      <c r="F484" s="198"/>
      <c r="G484" s="403"/>
      <c r="H484" s="198"/>
      <c r="I484" s="410"/>
      <c r="J484" s="142"/>
      <c r="K484" s="410"/>
      <c r="L484" s="142"/>
      <c r="M484" s="410"/>
      <c r="N484" s="142"/>
      <c r="O484" s="403"/>
      <c r="P484" s="198"/>
      <c r="Q484" s="411"/>
      <c r="R484" s="76"/>
      <c r="S484" s="197"/>
      <c r="T484" s="198"/>
      <c r="U484" s="197"/>
      <c r="V484" s="198"/>
      <c r="W484" s="198"/>
      <c r="X484" s="198"/>
      <c r="Y484" s="198"/>
      <c r="Z484" s="198"/>
    </row>
    <row r="485">
      <c r="A485" s="403"/>
      <c r="B485" s="198"/>
      <c r="C485" s="403"/>
      <c r="D485" s="142"/>
      <c r="E485" s="403"/>
      <c r="F485" s="198"/>
      <c r="G485" s="403"/>
      <c r="H485" s="198"/>
      <c r="I485" s="410"/>
      <c r="J485" s="142"/>
      <c r="K485" s="410"/>
      <c r="L485" s="142"/>
      <c r="M485" s="410"/>
      <c r="N485" s="142"/>
      <c r="O485" s="403"/>
      <c r="P485" s="198"/>
      <c r="Q485" s="411"/>
      <c r="R485" s="76"/>
      <c r="S485" s="197"/>
      <c r="T485" s="198"/>
      <c r="U485" s="197"/>
      <c r="V485" s="198"/>
      <c r="W485" s="198"/>
      <c r="X485" s="198"/>
      <c r="Y485" s="198"/>
      <c r="Z485" s="198"/>
    </row>
    <row r="486">
      <c r="A486" s="403"/>
      <c r="B486" s="198"/>
      <c r="C486" s="403"/>
      <c r="D486" s="142"/>
      <c r="E486" s="403"/>
      <c r="F486" s="198"/>
      <c r="G486" s="403"/>
      <c r="H486" s="198"/>
      <c r="I486" s="410"/>
      <c r="J486" s="142"/>
      <c r="K486" s="410"/>
      <c r="L486" s="142"/>
      <c r="M486" s="410"/>
      <c r="N486" s="142"/>
      <c r="O486" s="403"/>
      <c r="P486" s="198"/>
      <c r="Q486" s="411"/>
      <c r="R486" s="76"/>
      <c r="S486" s="197"/>
      <c r="T486" s="198"/>
      <c r="U486" s="197"/>
      <c r="V486" s="198"/>
      <c r="W486" s="198"/>
      <c r="X486" s="198"/>
      <c r="Y486" s="198"/>
      <c r="Z486" s="198"/>
    </row>
    <row r="487">
      <c r="A487" s="403"/>
      <c r="B487" s="198"/>
      <c r="C487" s="403"/>
      <c r="D487" s="142"/>
      <c r="E487" s="403"/>
      <c r="F487" s="198"/>
      <c r="G487" s="403"/>
      <c r="H487" s="198"/>
      <c r="I487" s="410"/>
      <c r="J487" s="142"/>
      <c r="K487" s="410"/>
      <c r="L487" s="142"/>
      <c r="M487" s="410"/>
      <c r="N487" s="142"/>
      <c r="O487" s="403"/>
      <c r="P487" s="198"/>
      <c r="Q487" s="411"/>
      <c r="R487" s="76"/>
      <c r="S487" s="197"/>
      <c r="T487" s="198"/>
      <c r="U487" s="197"/>
      <c r="V487" s="198"/>
      <c r="W487" s="198"/>
      <c r="X487" s="198"/>
      <c r="Y487" s="198"/>
      <c r="Z487" s="198"/>
    </row>
    <row r="488">
      <c r="A488" s="403"/>
      <c r="B488" s="198"/>
      <c r="C488" s="403"/>
      <c r="D488" s="142"/>
      <c r="E488" s="403"/>
      <c r="F488" s="198"/>
      <c r="G488" s="403"/>
      <c r="H488" s="198"/>
      <c r="I488" s="410"/>
      <c r="J488" s="142"/>
      <c r="K488" s="410"/>
      <c r="L488" s="142"/>
      <c r="M488" s="410"/>
      <c r="N488" s="142"/>
      <c r="O488" s="403"/>
      <c r="P488" s="198"/>
      <c r="Q488" s="411"/>
      <c r="R488" s="76"/>
      <c r="S488" s="197"/>
      <c r="T488" s="198"/>
      <c r="U488" s="197"/>
      <c r="V488" s="198"/>
      <c r="W488" s="198"/>
      <c r="X488" s="198"/>
      <c r="Y488" s="198"/>
      <c r="Z488" s="198"/>
    </row>
    <row r="489">
      <c r="A489" s="403"/>
      <c r="B489" s="198"/>
      <c r="C489" s="403"/>
      <c r="D489" s="142"/>
      <c r="E489" s="403"/>
      <c r="F489" s="198"/>
      <c r="G489" s="403"/>
      <c r="H489" s="198"/>
      <c r="I489" s="410"/>
      <c r="J489" s="142"/>
      <c r="K489" s="410"/>
      <c r="L489" s="142"/>
      <c r="M489" s="410"/>
      <c r="N489" s="142"/>
      <c r="O489" s="403"/>
      <c r="P489" s="198"/>
      <c r="Q489" s="411"/>
      <c r="R489" s="76"/>
      <c r="S489" s="197"/>
      <c r="T489" s="198"/>
      <c r="U489" s="197"/>
      <c r="V489" s="198"/>
      <c r="W489" s="198"/>
      <c r="X489" s="198"/>
      <c r="Y489" s="198"/>
      <c r="Z489" s="198"/>
    </row>
    <row r="490">
      <c r="A490" s="403"/>
      <c r="B490" s="198"/>
      <c r="C490" s="403"/>
      <c r="D490" s="142"/>
      <c r="E490" s="403"/>
      <c r="F490" s="198"/>
      <c r="G490" s="403"/>
      <c r="H490" s="198"/>
      <c r="I490" s="410"/>
      <c r="J490" s="142"/>
      <c r="K490" s="410"/>
      <c r="L490" s="142"/>
      <c r="M490" s="410"/>
      <c r="N490" s="142"/>
      <c r="O490" s="403"/>
      <c r="P490" s="198"/>
      <c r="Q490" s="411"/>
      <c r="R490" s="76"/>
      <c r="S490" s="197"/>
      <c r="T490" s="198"/>
      <c r="U490" s="197"/>
      <c r="V490" s="198"/>
      <c r="W490" s="198"/>
      <c r="X490" s="198"/>
      <c r="Y490" s="198"/>
      <c r="Z490" s="198"/>
    </row>
    <row r="491">
      <c r="A491" s="403"/>
      <c r="B491" s="198"/>
      <c r="C491" s="403"/>
      <c r="D491" s="142"/>
      <c r="E491" s="403"/>
      <c r="F491" s="198"/>
      <c r="G491" s="403"/>
      <c r="H491" s="198"/>
      <c r="I491" s="410"/>
      <c r="J491" s="142"/>
      <c r="K491" s="410"/>
      <c r="L491" s="142"/>
      <c r="M491" s="410"/>
      <c r="N491" s="142"/>
      <c r="O491" s="403"/>
      <c r="P491" s="198"/>
      <c r="Q491" s="411"/>
      <c r="R491" s="76"/>
      <c r="S491" s="197"/>
      <c r="T491" s="198"/>
      <c r="U491" s="197"/>
      <c r="V491" s="198"/>
      <c r="W491" s="198"/>
      <c r="X491" s="198"/>
      <c r="Y491" s="198"/>
      <c r="Z491" s="198"/>
    </row>
    <row r="492">
      <c r="A492" s="403"/>
      <c r="B492" s="198"/>
      <c r="C492" s="403"/>
      <c r="D492" s="142"/>
      <c r="E492" s="403"/>
      <c r="F492" s="198"/>
      <c r="G492" s="403"/>
      <c r="H492" s="198"/>
      <c r="I492" s="410"/>
      <c r="J492" s="142"/>
      <c r="K492" s="410"/>
      <c r="L492" s="142"/>
      <c r="M492" s="410"/>
      <c r="N492" s="142"/>
      <c r="O492" s="403"/>
      <c r="P492" s="198"/>
      <c r="Q492" s="411"/>
      <c r="R492" s="76"/>
      <c r="S492" s="197"/>
      <c r="T492" s="198"/>
      <c r="U492" s="197"/>
      <c r="V492" s="198"/>
      <c r="W492" s="198"/>
      <c r="X492" s="198"/>
      <c r="Y492" s="198"/>
      <c r="Z492" s="198"/>
    </row>
    <row r="493">
      <c r="A493" s="403"/>
      <c r="B493" s="198"/>
      <c r="C493" s="403"/>
      <c r="D493" s="142"/>
      <c r="E493" s="403"/>
      <c r="F493" s="198"/>
      <c r="G493" s="403"/>
      <c r="H493" s="198"/>
      <c r="I493" s="410"/>
      <c r="J493" s="142"/>
      <c r="K493" s="410"/>
      <c r="L493" s="142"/>
      <c r="M493" s="410"/>
      <c r="N493" s="142"/>
      <c r="O493" s="403"/>
      <c r="P493" s="198"/>
      <c r="Q493" s="411"/>
      <c r="R493" s="76"/>
      <c r="S493" s="197"/>
      <c r="T493" s="198"/>
      <c r="U493" s="197"/>
      <c r="V493" s="198"/>
      <c r="W493" s="198"/>
      <c r="X493" s="198"/>
      <c r="Y493" s="198"/>
      <c r="Z493" s="198"/>
    </row>
    <row r="494">
      <c r="A494" s="403"/>
      <c r="B494" s="198"/>
      <c r="C494" s="403"/>
      <c r="D494" s="142"/>
      <c r="E494" s="403"/>
      <c r="F494" s="198"/>
      <c r="G494" s="403"/>
      <c r="H494" s="198"/>
      <c r="I494" s="410"/>
      <c r="J494" s="142"/>
      <c r="K494" s="410"/>
      <c r="L494" s="142"/>
      <c r="M494" s="410"/>
      <c r="N494" s="142"/>
      <c r="O494" s="403"/>
      <c r="P494" s="198"/>
      <c r="Q494" s="411"/>
      <c r="R494" s="76"/>
      <c r="S494" s="197"/>
      <c r="T494" s="198"/>
      <c r="U494" s="197"/>
      <c r="V494" s="198"/>
      <c r="W494" s="198"/>
      <c r="X494" s="198"/>
      <c r="Y494" s="198"/>
      <c r="Z494" s="198"/>
    </row>
    <row r="495">
      <c r="A495" s="403"/>
      <c r="B495" s="198"/>
      <c r="C495" s="403"/>
      <c r="D495" s="142"/>
      <c r="E495" s="403"/>
      <c r="F495" s="198"/>
      <c r="G495" s="403"/>
      <c r="H495" s="198"/>
      <c r="I495" s="410"/>
      <c r="J495" s="142"/>
      <c r="K495" s="410"/>
      <c r="L495" s="142"/>
      <c r="M495" s="410"/>
      <c r="N495" s="142"/>
      <c r="O495" s="403"/>
      <c r="P495" s="198"/>
      <c r="Q495" s="411"/>
      <c r="R495" s="76"/>
      <c r="S495" s="197"/>
      <c r="T495" s="198"/>
      <c r="U495" s="197"/>
      <c r="V495" s="198"/>
      <c r="W495" s="198"/>
      <c r="X495" s="198"/>
      <c r="Y495" s="198"/>
      <c r="Z495" s="198"/>
    </row>
    <row r="496">
      <c r="A496" s="403"/>
      <c r="B496" s="198"/>
      <c r="C496" s="403"/>
      <c r="D496" s="142"/>
      <c r="E496" s="403"/>
      <c r="F496" s="198"/>
      <c r="G496" s="403"/>
      <c r="H496" s="198"/>
      <c r="I496" s="410"/>
      <c r="J496" s="142"/>
      <c r="K496" s="410"/>
      <c r="L496" s="142"/>
      <c r="M496" s="410"/>
      <c r="N496" s="142"/>
      <c r="O496" s="403"/>
      <c r="P496" s="198"/>
      <c r="Q496" s="411"/>
      <c r="R496" s="76"/>
      <c r="S496" s="197"/>
      <c r="T496" s="198"/>
      <c r="U496" s="197"/>
      <c r="V496" s="198"/>
      <c r="W496" s="198"/>
      <c r="X496" s="198"/>
      <c r="Y496" s="198"/>
      <c r="Z496" s="198"/>
    </row>
    <row r="497">
      <c r="A497" s="403"/>
      <c r="B497" s="198"/>
      <c r="C497" s="403"/>
      <c r="D497" s="142"/>
      <c r="E497" s="403"/>
      <c r="F497" s="198"/>
      <c r="G497" s="403"/>
      <c r="H497" s="198"/>
      <c r="I497" s="410"/>
      <c r="J497" s="142"/>
      <c r="K497" s="410"/>
      <c r="L497" s="142"/>
      <c r="M497" s="410"/>
      <c r="N497" s="142"/>
      <c r="O497" s="403"/>
      <c r="P497" s="198"/>
      <c r="Q497" s="411"/>
      <c r="R497" s="76"/>
      <c r="S497" s="197"/>
      <c r="T497" s="198"/>
      <c r="U497" s="197"/>
      <c r="V497" s="198"/>
      <c r="W497" s="198"/>
      <c r="X497" s="198"/>
      <c r="Y497" s="198"/>
      <c r="Z497" s="198"/>
    </row>
    <row r="498">
      <c r="A498" s="403"/>
      <c r="B498" s="198"/>
      <c r="C498" s="403"/>
      <c r="D498" s="142"/>
      <c r="E498" s="403"/>
      <c r="F498" s="198"/>
      <c r="G498" s="403"/>
      <c r="H498" s="198"/>
      <c r="I498" s="410"/>
      <c r="J498" s="142"/>
      <c r="K498" s="410"/>
      <c r="L498" s="142"/>
      <c r="M498" s="410"/>
      <c r="N498" s="142"/>
      <c r="O498" s="403"/>
      <c r="P498" s="198"/>
      <c r="Q498" s="411"/>
      <c r="R498" s="76"/>
      <c r="S498" s="197"/>
      <c r="T498" s="198"/>
      <c r="U498" s="197"/>
      <c r="V498" s="198"/>
      <c r="W498" s="198"/>
      <c r="X498" s="198"/>
      <c r="Y498" s="198"/>
      <c r="Z498" s="198"/>
    </row>
    <row r="499">
      <c r="A499" s="403"/>
      <c r="B499" s="198"/>
      <c r="C499" s="403"/>
      <c r="D499" s="142"/>
      <c r="E499" s="403"/>
      <c r="F499" s="198"/>
      <c r="G499" s="403"/>
      <c r="H499" s="198"/>
      <c r="I499" s="410"/>
      <c r="J499" s="142"/>
      <c r="K499" s="410"/>
      <c r="L499" s="142"/>
      <c r="M499" s="410"/>
      <c r="N499" s="142"/>
      <c r="O499" s="403"/>
      <c r="P499" s="198"/>
      <c r="Q499" s="411"/>
      <c r="R499" s="76"/>
      <c r="S499" s="197"/>
      <c r="T499" s="198"/>
      <c r="U499" s="197"/>
      <c r="V499" s="198"/>
      <c r="W499" s="198"/>
      <c r="X499" s="198"/>
      <c r="Y499" s="198"/>
      <c r="Z499" s="198"/>
    </row>
    <row r="500">
      <c r="A500" s="403"/>
      <c r="B500" s="198"/>
      <c r="C500" s="403"/>
      <c r="D500" s="142"/>
      <c r="E500" s="403"/>
      <c r="F500" s="198"/>
      <c r="G500" s="403"/>
      <c r="H500" s="198"/>
      <c r="I500" s="410"/>
      <c r="J500" s="142"/>
      <c r="K500" s="410"/>
      <c r="L500" s="142"/>
      <c r="M500" s="410"/>
      <c r="N500" s="142"/>
      <c r="O500" s="403"/>
      <c r="P500" s="198"/>
      <c r="Q500" s="411"/>
      <c r="R500" s="76"/>
      <c r="S500" s="197"/>
      <c r="T500" s="198"/>
      <c r="U500" s="197"/>
      <c r="V500" s="198"/>
      <c r="W500" s="198"/>
      <c r="X500" s="198"/>
      <c r="Y500" s="198"/>
      <c r="Z500" s="198"/>
    </row>
    <row r="501">
      <c r="A501" s="403"/>
      <c r="B501" s="198"/>
      <c r="C501" s="403"/>
      <c r="D501" s="142"/>
      <c r="E501" s="403"/>
      <c r="F501" s="198"/>
      <c r="G501" s="403"/>
      <c r="H501" s="198"/>
      <c r="I501" s="410"/>
      <c r="J501" s="142"/>
      <c r="K501" s="410"/>
      <c r="L501" s="142"/>
      <c r="M501" s="410"/>
      <c r="N501" s="142"/>
      <c r="O501" s="403"/>
      <c r="P501" s="198"/>
      <c r="Q501" s="411"/>
      <c r="R501" s="76"/>
      <c r="S501" s="197"/>
      <c r="T501" s="198"/>
      <c r="U501" s="197"/>
      <c r="V501" s="198"/>
      <c r="W501" s="198"/>
      <c r="X501" s="198"/>
      <c r="Y501" s="198"/>
      <c r="Z501" s="198"/>
    </row>
    <row r="502">
      <c r="A502" s="403"/>
      <c r="B502" s="198"/>
      <c r="C502" s="403"/>
      <c r="D502" s="142"/>
      <c r="E502" s="403"/>
      <c r="F502" s="198"/>
      <c r="G502" s="403"/>
      <c r="H502" s="198"/>
      <c r="I502" s="410"/>
      <c r="J502" s="142"/>
      <c r="K502" s="410"/>
      <c r="L502" s="142"/>
      <c r="M502" s="410"/>
      <c r="N502" s="142"/>
      <c r="O502" s="403"/>
      <c r="P502" s="198"/>
      <c r="Q502" s="411"/>
      <c r="R502" s="76"/>
      <c r="S502" s="197"/>
      <c r="T502" s="198"/>
      <c r="U502" s="197"/>
      <c r="V502" s="198"/>
      <c r="W502" s="198"/>
      <c r="X502" s="198"/>
      <c r="Y502" s="198"/>
      <c r="Z502" s="198"/>
    </row>
    <row r="503">
      <c r="A503" s="403"/>
      <c r="B503" s="198"/>
      <c r="C503" s="403"/>
      <c r="D503" s="142"/>
      <c r="E503" s="403"/>
      <c r="F503" s="198"/>
      <c r="G503" s="403"/>
      <c r="H503" s="198"/>
      <c r="I503" s="410"/>
      <c r="J503" s="142"/>
      <c r="K503" s="410"/>
      <c r="L503" s="142"/>
      <c r="M503" s="410"/>
      <c r="N503" s="142"/>
      <c r="O503" s="403"/>
      <c r="P503" s="198"/>
      <c r="Q503" s="411"/>
      <c r="R503" s="76"/>
      <c r="S503" s="197"/>
      <c r="T503" s="198"/>
      <c r="U503" s="197"/>
      <c r="V503" s="198"/>
      <c r="W503" s="198"/>
      <c r="X503" s="198"/>
      <c r="Y503" s="198"/>
      <c r="Z503" s="198"/>
    </row>
    <row r="504">
      <c r="A504" s="403"/>
      <c r="B504" s="198"/>
      <c r="C504" s="403"/>
      <c r="D504" s="142"/>
      <c r="E504" s="403"/>
      <c r="F504" s="198"/>
      <c r="G504" s="403"/>
      <c r="H504" s="198"/>
      <c r="I504" s="410"/>
      <c r="J504" s="142"/>
      <c r="K504" s="410"/>
      <c r="L504" s="142"/>
      <c r="M504" s="410"/>
      <c r="N504" s="142"/>
      <c r="O504" s="403"/>
      <c r="P504" s="198"/>
      <c r="Q504" s="411"/>
      <c r="R504" s="76"/>
      <c r="S504" s="197"/>
      <c r="T504" s="198"/>
      <c r="U504" s="197"/>
      <c r="V504" s="198"/>
      <c r="W504" s="198"/>
      <c r="X504" s="198"/>
      <c r="Y504" s="198"/>
      <c r="Z504" s="198"/>
    </row>
    <row r="505">
      <c r="A505" s="403"/>
      <c r="B505" s="198"/>
      <c r="C505" s="403"/>
      <c r="D505" s="142"/>
      <c r="E505" s="403"/>
      <c r="F505" s="198"/>
      <c r="G505" s="403"/>
      <c r="H505" s="198"/>
      <c r="I505" s="410"/>
      <c r="J505" s="142"/>
      <c r="K505" s="410"/>
      <c r="L505" s="142"/>
      <c r="M505" s="410"/>
      <c r="N505" s="142"/>
      <c r="O505" s="403"/>
      <c r="P505" s="198"/>
      <c r="Q505" s="411"/>
      <c r="R505" s="76"/>
      <c r="S505" s="197"/>
      <c r="T505" s="198"/>
      <c r="U505" s="197"/>
      <c r="V505" s="198"/>
      <c r="W505" s="198"/>
      <c r="X505" s="198"/>
      <c r="Y505" s="198"/>
      <c r="Z505" s="198"/>
    </row>
    <row r="506">
      <c r="A506" s="403"/>
      <c r="B506" s="198"/>
      <c r="C506" s="403"/>
      <c r="D506" s="142"/>
      <c r="E506" s="403"/>
      <c r="F506" s="198"/>
      <c r="G506" s="403"/>
      <c r="H506" s="198"/>
      <c r="I506" s="410"/>
      <c r="J506" s="142"/>
      <c r="K506" s="410"/>
      <c r="L506" s="142"/>
      <c r="M506" s="410"/>
      <c r="N506" s="142"/>
      <c r="O506" s="403"/>
      <c r="P506" s="198"/>
      <c r="Q506" s="411"/>
      <c r="R506" s="76"/>
      <c r="S506" s="197"/>
      <c r="T506" s="198"/>
      <c r="U506" s="197"/>
      <c r="V506" s="198"/>
      <c r="W506" s="198"/>
      <c r="X506" s="198"/>
      <c r="Y506" s="198"/>
      <c r="Z506" s="198"/>
    </row>
    <row r="507">
      <c r="A507" s="403"/>
      <c r="B507" s="198"/>
      <c r="C507" s="403"/>
      <c r="D507" s="142"/>
      <c r="E507" s="403"/>
      <c r="F507" s="198"/>
      <c r="G507" s="403"/>
      <c r="H507" s="198"/>
      <c r="I507" s="410"/>
      <c r="J507" s="142"/>
      <c r="K507" s="410"/>
      <c r="L507" s="142"/>
      <c r="M507" s="410"/>
      <c r="N507" s="142"/>
      <c r="O507" s="403"/>
      <c r="P507" s="198"/>
      <c r="Q507" s="411"/>
      <c r="R507" s="76"/>
      <c r="S507" s="197"/>
      <c r="T507" s="198"/>
      <c r="U507" s="197"/>
      <c r="V507" s="198"/>
      <c r="W507" s="198"/>
      <c r="X507" s="198"/>
      <c r="Y507" s="198"/>
      <c r="Z507" s="198"/>
    </row>
    <row r="508">
      <c r="A508" s="403"/>
      <c r="B508" s="198"/>
      <c r="C508" s="403"/>
      <c r="D508" s="142"/>
      <c r="E508" s="403"/>
      <c r="F508" s="198"/>
      <c r="G508" s="403"/>
      <c r="H508" s="198"/>
      <c r="I508" s="410"/>
      <c r="J508" s="142"/>
      <c r="K508" s="410"/>
      <c r="L508" s="142"/>
      <c r="M508" s="410"/>
      <c r="N508" s="142"/>
      <c r="O508" s="403"/>
      <c r="P508" s="198"/>
      <c r="Q508" s="411"/>
      <c r="R508" s="76"/>
      <c r="S508" s="197"/>
      <c r="T508" s="198"/>
      <c r="U508" s="197"/>
      <c r="V508" s="198"/>
      <c r="W508" s="198"/>
      <c r="X508" s="198"/>
      <c r="Y508" s="198"/>
      <c r="Z508" s="198"/>
    </row>
    <row r="509">
      <c r="A509" s="403"/>
      <c r="B509" s="198"/>
      <c r="C509" s="403"/>
      <c r="D509" s="142"/>
      <c r="E509" s="403"/>
      <c r="F509" s="198"/>
      <c r="G509" s="403"/>
      <c r="H509" s="198"/>
      <c r="I509" s="410"/>
      <c r="J509" s="142"/>
      <c r="K509" s="410"/>
      <c r="L509" s="142"/>
      <c r="M509" s="410"/>
      <c r="N509" s="142"/>
      <c r="O509" s="403"/>
      <c r="P509" s="198"/>
      <c r="Q509" s="411"/>
      <c r="R509" s="76"/>
      <c r="S509" s="197"/>
      <c r="T509" s="198"/>
      <c r="U509" s="197"/>
      <c r="V509" s="198"/>
      <c r="W509" s="198"/>
      <c r="X509" s="198"/>
      <c r="Y509" s="198"/>
      <c r="Z509" s="198"/>
    </row>
    <row r="510">
      <c r="A510" s="403"/>
      <c r="B510" s="198"/>
      <c r="C510" s="403"/>
      <c r="D510" s="142"/>
      <c r="E510" s="403"/>
      <c r="F510" s="198"/>
      <c r="G510" s="403"/>
      <c r="H510" s="198"/>
      <c r="I510" s="410"/>
      <c r="J510" s="142"/>
      <c r="K510" s="410"/>
      <c r="L510" s="142"/>
      <c r="M510" s="410"/>
      <c r="N510" s="142"/>
      <c r="O510" s="403"/>
      <c r="P510" s="198"/>
      <c r="Q510" s="411"/>
      <c r="R510" s="76"/>
      <c r="S510" s="197"/>
      <c r="T510" s="198"/>
      <c r="U510" s="197"/>
      <c r="V510" s="198"/>
      <c r="W510" s="198"/>
      <c r="X510" s="198"/>
      <c r="Y510" s="198"/>
      <c r="Z510" s="198"/>
    </row>
    <row r="511">
      <c r="A511" s="403"/>
      <c r="B511" s="198"/>
      <c r="C511" s="403"/>
      <c r="D511" s="142"/>
      <c r="E511" s="403"/>
      <c r="F511" s="198"/>
      <c r="G511" s="403"/>
      <c r="H511" s="198"/>
      <c r="I511" s="410"/>
      <c r="J511" s="142"/>
      <c r="K511" s="410"/>
      <c r="L511" s="142"/>
      <c r="M511" s="410"/>
      <c r="N511" s="142"/>
      <c r="O511" s="403"/>
      <c r="P511" s="198"/>
      <c r="Q511" s="411"/>
      <c r="R511" s="76"/>
      <c r="S511" s="197"/>
      <c r="T511" s="198"/>
      <c r="U511" s="197"/>
      <c r="V511" s="198"/>
      <c r="W511" s="198"/>
      <c r="X511" s="198"/>
      <c r="Y511" s="198"/>
      <c r="Z511" s="198"/>
    </row>
    <row r="512">
      <c r="A512" s="403"/>
      <c r="B512" s="198"/>
      <c r="C512" s="403"/>
      <c r="D512" s="142"/>
      <c r="E512" s="403"/>
      <c r="F512" s="198"/>
      <c r="G512" s="403"/>
      <c r="H512" s="198"/>
      <c r="I512" s="410"/>
      <c r="J512" s="142"/>
      <c r="K512" s="410"/>
      <c r="L512" s="142"/>
      <c r="M512" s="410"/>
      <c r="N512" s="142"/>
      <c r="O512" s="403"/>
      <c r="P512" s="198"/>
      <c r="Q512" s="411"/>
      <c r="R512" s="76"/>
      <c r="S512" s="197"/>
      <c r="T512" s="198"/>
      <c r="U512" s="197"/>
      <c r="V512" s="198"/>
      <c r="W512" s="198"/>
      <c r="X512" s="198"/>
      <c r="Y512" s="198"/>
      <c r="Z512" s="198"/>
    </row>
    <row r="513">
      <c r="A513" s="403"/>
      <c r="B513" s="198"/>
      <c r="C513" s="403"/>
      <c r="D513" s="142"/>
      <c r="E513" s="403"/>
      <c r="F513" s="198"/>
      <c r="G513" s="403"/>
      <c r="H513" s="198"/>
      <c r="I513" s="410"/>
      <c r="J513" s="142"/>
      <c r="K513" s="410"/>
      <c r="L513" s="142"/>
      <c r="M513" s="410"/>
      <c r="N513" s="142"/>
      <c r="O513" s="403"/>
      <c r="P513" s="198"/>
      <c r="Q513" s="411"/>
      <c r="R513" s="76"/>
      <c r="S513" s="197"/>
      <c r="T513" s="198"/>
      <c r="U513" s="197"/>
      <c r="V513" s="198"/>
      <c r="W513" s="198"/>
      <c r="X513" s="198"/>
      <c r="Y513" s="198"/>
      <c r="Z513" s="198"/>
    </row>
    <row r="514">
      <c r="A514" s="403"/>
      <c r="B514" s="198"/>
      <c r="C514" s="403"/>
      <c r="D514" s="142"/>
      <c r="E514" s="403"/>
      <c r="F514" s="198"/>
      <c r="G514" s="403"/>
      <c r="H514" s="198"/>
      <c r="I514" s="410"/>
      <c r="J514" s="142"/>
      <c r="K514" s="410"/>
      <c r="L514" s="142"/>
      <c r="M514" s="410"/>
      <c r="N514" s="142"/>
      <c r="O514" s="403"/>
      <c r="P514" s="198"/>
      <c r="Q514" s="411"/>
      <c r="R514" s="76"/>
      <c r="S514" s="197"/>
      <c r="T514" s="198"/>
      <c r="U514" s="197"/>
      <c r="V514" s="198"/>
      <c r="W514" s="198"/>
      <c r="X514" s="198"/>
      <c r="Y514" s="198"/>
      <c r="Z514" s="198"/>
    </row>
    <row r="515">
      <c r="A515" s="403"/>
      <c r="B515" s="198"/>
      <c r="C515" s="403"/>
      <c r="D515" s="142"/>
      <c r="E515" s="403"/>
      <c r="F515" s="198"/>
      <c r="G515" s="403"/>
      <c r="H515" s="198"/>
      <c r="I515" s="410"/>
      <c r="J515" s="142"/>
      <c r="K515" s="410"/>
      <c r="L515" s="142"/>
      <c r="M515" s="410"/>
      <c r="N515" s="142"/>
      <c r="O515" s="403"/>
      <c r="P515" s="198"/>
      <c r="Q515" s="411"/>
      <c r="R515" s="76"/>
      <c r="S515" s="197"/>
      <c r="T515" s="198"/>
      <c r="U515" s="197"/>
      <c r="V515" s="198"/>
      <c r="W515" s="198"/>
      <c r="X515" s="198"/>
      <c r="Y515" s="198"/>
      <c r="Z515" s="198"/>
    </row>
    <row r="516">
      <c r="A516" s="403"/>
      <c r="B516" s="198"/>
      <c r="C516" s="403"/>
      <c r="D516" s="142"/>
      <c r="E516" s="403"/>
      <c r="F516" s="198"/>
      <c r="G516" s="403"/>
      <c r="H516" s="198"/>
      <c r="I516" s="410"/>
      <c r="J516" s="142"/>
      <c r="K516" s="410"/>
      <c r="L516" s="142"/>
      <c r="M516" s="410"/>
      <c r="N516" s="142"/>
      <c r="O516" s="403"/>
      <c r="P516" s="198"/>
      <c r="Q516" s="411"/>
      <c r="R516" s="76"/>
      <c r="S516" s="197"/>
      <c r="T516" s="198"/>
      <c r="U516" s="197"/>
      <c r="V516" s="198"/>
      <c r="W516" s="198"/>
      <c r="X516" s="198"/>
      <c r="Y516" s="198"/>
      <c r="Z516" s="198"/>
    </row>
    <row r="517">
      <c r="A517" s="403"/>
      <c r="B517" s="198"/>
      <c r="C517" s="403"/>
      <c r="D517" s="142"/>
      <c r="E517" s="403"/>
      <c r="F517" s="198"/>
      <c r="G517" s="403"/>
      <c r="H517" s="198"/>
      <c r="I517" s="410"/>
      <c r="J517" s="142"/>
      <c r="K517" s="410"/>
      <c r="L517" s="142"/>
      <c r="M517" s="410"/>
      <c r="N517" s="142"/>
      <c r="O517" s="403"/>
      <c r="P517" s="198"/>
      <c r="Q517" s="411"/>
      <c r="R517" s="76"/>
      <c r="S517" s="197"/>
      <c r="T517" s="198"/>
      <c r="U517" s="197"/>
      <c r="V517" s="198"/>
      <c r="W517" s="198"/>
      <c r="X517" s="198"/>
      <c r="Y517" s="198"/>
      <c r="Z517" s="198"/>
    </row>
    <row r="518">
      <c r="A518" s="403"/>
      <c r="B518" s="198"/>
      <c r="C518" s="403"/>
      <c r="D518" s="142"/>
      <c r="E518" s="403"/>
      <c r="F518" s="198"/>
      <c r="G518" s="403"/>
      <c r="H518" s="198"/>
      <c r="I518" s="410"/>
      <c r="J518" s="142"/>
      <c r="K518" s="410"/>
      <c r="L518" s="142"/>
      <c r="M518" s="410"/>
      <c r="N518" s="142"/>
      <c r="O518" s="403"/>
      <c r="P518" s="198"/>
      <c r="Q518" s="411"/>
      <c r="R518" s="76"/>
      <c r="S518" s="197"/>
      <c r="T518" s="198"/>
      <c r="U518" s="197"/>
      <c r="V518" s="198"/>
      <c r="W518" s="198"/>
      <c r="X518" s="198"/>
      <c r="Y518" s="198"/>
      <c r="Z518" s="198"/>
    </row>
    <row r="519">
      <c r="A519" s="403"/>
      <c r="B519" s="198"/>
      <c r="C519" s="403"/>
      <c r="D519" s="142"/>
      <c r="E519" s="403"/>
      <c r="F519" s="198"/>
      <c r="G519" s="403"/>
      <c r="H519" s="198"/>
      <c r="I519" s="410"/>
      <c r="J519" s="142"/>
      <c r="K519" s="410"/>
      <c r="L519" s="142"/>
      <c r="M519" s="410"/>
      <c r="N519" s="142"/>
      <c r="O519" s="403"/>
      <c r="P519" s="198"/>
      <c r="Q519" s="411"/>
      <c r="R519" s="76"/>
      <c r="S519" s="197"/>
      <c r="T519" s="198"/>
      <c r="U519" s="197"/>
      <c r="V519" s="198"/>
      <c r="W519" s="198"/>
      <c r="X519" s="198"/>
      <c r="Y519" s="198"/>
      <c r="Z519" s="198"/>
    </row>
    <row r="520">
      <c r="A520" s="403"/>
      <c r="B520" s="198"/>
      <c r="C520" s="403"/>
      <c r="D520" s="142"/>
      <c r="E520" s="403"/>
      <c r="F520" s="198"/>
      <c r="G520" s="403"/>
      <c r="H520" s="198"/>
      <c r="I520" s="410"/>
      <c r="J520" s="142"/>
      <c r="K520" s="410"/>
      <c r="L520" s="142"/>
      <c r="M520" s="410"/>
      <c r="N520" s="142"/>
      <c r="O520" s="403"/>
      <c r="P520" s="198"/>
      <c r="Q520" s="411"/>
      <c r="R520" s="76"/>
      <c r="S520" s="197"/>
      <c r="T520" s="198"/>
      <c r="U520" s="197"/>
      <c r="V520" s="198"/>
      <c r="W520" s="198"/>
      <c r="X520" s="198"/>
      <c r="Y520" s="198"/>
      <c r="Z520" s="198"/>
    </row>
    <row r="521">
      <c r="A521" s="403"/>
      <c r="B521" s="198"/>
      <c r="C521" s="403"/>
      <c r="D521" s="142"/>
      <c r="E521" s="403"/>
      <c r="F521" s="198"/>
      <c r="G521" s="403"/>
      <c r="H521" s="198"/>
      <c r="I521" s="410"/>
      <c r="J521" s="142"/>
      <c r="K521" s="410"/>
      <c r="L521" s="142"/>
      <c r="M521" s="410"/>
      <c r="N521" s="142"/>
      <c r="O521" s="403"/>
      <c r="P521" s="198"/>
      <c r="Q521" s="411"/>
      <c r="R521" s="76"/>
      <c r="S521" s="197"/>
      <c r="T521" s="198"/>
      <c r="U521" s="197"/>
      <c r="V521" s="198"/>
      <c r="W521" s="198"/>
      <c r="X521" s="198"/>
      <c r="Y521" s="198"/>
      <c r="Z521" s="198"/>
    </row>
    <row r="522">
      <c r="A522" s="403"/>
      <c r="B522" s="198"/>
      <c r="C522" s="403"/>
      <c r="D522" s="142"/>
      <c r="E522" s="403"/>
      <c r="F522" s="198"/>
      <c r="G522" s="403"/>
      <c r="H522" s="198"/>
      <c r="I522" s="410"/>
      <c r="J522" s="142"/>
      <c r="K522" s="410"/>
      <c r="L522" s="142"/>
      <c r="M522" s="410"/>
      <c r="N522" s="142"/>
      <c r="O522" s="403"/>
      <c r="P522" s="198"/>
      <c r="Q522" s="411"/>
      <c r="R522" s="76"/>
      <c r="S522" s="197"/>
      <c r="T522" s="198"/>
      <c r="U522" s="197"/>
      <c r="V522" s="198"/>
      <c r="W522" s="198"/>
      <c r="X522" s="198"/>
      <c r="Y522" s="198"/>
      <c r="Z522" s="198"/>
    </row>
    <row r="523">
      <c r="A523" s="403"/>
      <c r="B523" s="198"/>
      <c r="C523" s="403"/>
      <c r="D523" s="142"/>
      <c r="E523" s="403"/>
      <c r="F523" s="198"/>
      <c r="G523" s="403"/>
      <c r="H523" s="198"/>
      <c r="I523" s="410"/>
      <c r="J523" s="142"/>
      <c r="K523" s="410"/>
      <c r="L523" s="142"/>
      <c r="M523" s="410"/>
      <c r="N523" s="142"/>
      <c r="O523" s="403"/>
      <c r="P523" s="198"/>
      <c r="Q523" s="411"/>
      <c r="R523" s="76"/>
      <c r="S523" s="197"/>
      <c r="T523" s="198"/>
      <c r="U523" s="197"/>
      <c r="V523" s="198"/>
      <c r="W523" s="198"/>
      <c r="X523" s="198"/>
      <c r="Y523" s="198"/>
      <c r="Z523" s="198"/>
    </row>
    <row r="524">
      <c r="A524" s="403"/>
      <c r="B524" s="198"/>
      <c r="C524" s="403"/>
      <c r="D524" s="142"/>
      <c r="E524" s="403"/>
      <c r="F524" s="198"/>
      <c r="G524" s="403"/>
      <c r="H524" s="198"/>
      <c r="I524" s="410"/>
      <c r="J524" s="142"/>
      <c r="K524" s="410"/>
      <c r="L524" s="142"/>
      <c r="M524" s="410"/>
      <c r="N524" s="142"/>
      <c r="O524" s="403"/>
      <c r="P524" s="198"/>
      <c r="Q524" s="411"/>
      <c r="R524" s="76"/>
      <c r="S524" s="197"/>
      <c r="T524" s="198"/>
      <c r="U524" s="197"/>
      <c r="V524" s="198"/>
      <c r="W524" s="198"/>
      <c r="X524" s="198"/>
      <c r="Y524" s="198"/>
      <c r="Z524" s="198"/>
    </row>
    <row r="525">
      <c r="A525" s="403"/>
      <c r="B525" s="198"/>
      <c r="C525" s="403"/>
      <c r="D525" s="142"/>
      <c r="E525" s="403"/>
      <c r="F525" s="198"/>
      <c r="G525" s="403"/>
      <c r="H525" s="198"/>
      <c r="I525" s="410"/>
      <c r="J525" s="142"/>
      <c r="K525" s="410"/>
      <c r="L525" s="142"/>
      <c r="M525" s="410"/>
      <c r="N525" s="142"/>
      <c r="O525" s="403"/>
      <c r="P525" s="198"/>
      <c r="Q525" s="411"/>
      <c r="R525" s="76"/>
      <c r="S525" s="197"/>
      <c r="T525" s="198"/>
      <c r="U525" s="197"/>
      <c r="V525" s="198"/>
      <c r="W525" s="198"/>
      <c r="X525" s="198"/>
      <c r="Y525" s="198"/>
      <c r="Z525" s="198"/>
    </row>
    <row r="526">
      <c r="A526" s="403"/>
      <c r="B526" s="198"/>
      <c r="C526" s="403"/>
      <c r="D526" s="142"/>
      <c r="E526" s="403"/>
      <c r="F526" s="198"/>
      <c r="G526" s="403"/>
      <c r="H526" s="198"/>
      <c r="I526" s="410"/>
      <c r="J526" s="142"/>
      <c r="K526" s="410"/>
      <c r="L526" s="142"/>
      <c r="M526" s="410"/>
      <c r="N526" s="142"/>
      <c r="O526" s="403"/>
      <c r="P526" s="198"/>
      <c r="Q526" s="411"/>
      <c r="R526" s="76"/>
      <c r="S526" s="197"/>
      <c r="T526" s="198"/>
      <c r="U526" s="197"/>
      <c r="V526" s="198"/>
      <c r="W526" s="198"/>
      <c r="X526" s="198"/>
      <c r="Y526" s="198"/>
      <c r="Z526" s="198"/>
    </row>
    <row r="527">
      <c r="A527" s="403"/>
      <c r="B527" s="198"/>
      <c r="C527" s="403"/>
      <c r="D527" s="142"/>
      <c r="E527" s="403"/>
      <c r="F527" s="198"/>
      <c r="G527" s="403"/>
      <c r="H527" s="198"/>
      <c r="I527" s="410"/>
      <c r="J527" s="142"/>
      <c r="K527" s="410"/>
      <c r="L527" s="142"/>
      <c r="M527" s="410"/>
      <c r="N527" s="142"/>
      <c r="O527" s="403"/>
      <c r="P527" s="198"/>
      <c r="Q527" s="411"/>
      <c r="R527" s="76"/>
      <c r="S527" s="197"/>
      <c r="T527" s="198"/>
      <c r="U527" s="197"/>
      <c r="V527" s="198"/>
      <c r="W527" s="198"/>
      <c r="X527" s="198"/>
      <c r="Y527" s="198"/>
      <c r="Z527" s="198"/>
    </row>
    <row r="528">
      <c r="A528" s="403"/>
      <c r="B528" s="198"/>
      <c r="C528" s="403"/>
      <c r="D528" s="142"/>
      <c r="E528" s="403"/>
      <c r="F528" s="198"/>
      <c r="G528" s="403"/>
      <c r="H528" s="198"/>
      <c r="I528" s="410"/>
      <c r="J528" s="142"/>
      <c r="K528" s="410"/>
      <c r="L528" s="142"/>
      <c r="M528" s="410"/>
      <c r="N528" s="142"/>
      <c r="O528" s="403"/>
      <c r="P528" s="198"/>
      <c r="Q528" s="411"/>
      <c r="R528" s="76"/>
      <c r="S528" s="197"/>
      <c r="T528" s="198"/>
      <c r="U528" s="197"/>
      <c r="V528" s="198"/>
      <c r="W528" s="198"/>
      <c r="X528" s="198"/>
      <c r="Y528" s="198"/>
      <c r="Z528" s="198"/>
    </row>
    <row r="529">
      <c r="A529" s="403"/>
      <c r="B529" s="198"/>
      <c r="C529" s="403"/>
      <c r="D529" s="142"/>
      <c r="E529" s="403"/>
      <c r="F529" s="198"/>
      <c r="G529" s="403"/>
      <c r="H529" s="198"/>
      <c r="I529" s="410"/>
      <c r="J529" s="142"/>
      <c r="K529" s="410"/>
      <c r="L529" s="142"/>
      <c r="M529" s="410"/>
      <c r="N529" s="142"/>
      <c r="O529" s="403"/>
      <c r="P529" s="198"/>
      <c r="Q529" s="411"/>
      <c r="R529" s="76"/>
      <c r="S529" s="197"/>
      <c r="T529" s="198"/>
      <c r="U529" s="197"/>
      <c r="V529" s="198"/>
      <c r="W529" s="198"/>
      <c r="X529" s="198"/>
      <c r="Y529" s="198"/>
      <c r="Z529" s="198"/>
    </row>
    <row r="530">
      <c r="A530" s="403"/>
      <c r="B530" s="198"/>
      <c r="C530" s="403"/>
      <c r="D530" s="142"/>
      <c r="E530" s="403"/>
      <c r="F530" s="198"/>
      <c r="G530" s="403"/>
      <c r="H530" s="198"/>
      <c r="I530" s="410"/>
      <c r="J530" s="142"/>
      <c r="K530" s="410"/>
      <c r="L530" s="142"/>
      <c r="M530" s="410"/>
      <c r="N530" s="142"/>
      <c r="O530" s="403"/>
      <c r="P530" s="198"/>
      <c r="Q530" s="411"/>
      <c r="R530" s="76"/>
      <c r="S530" s="197"/>
      <c r="T530" s="198"/>
      <c r="U530" s="197"/>
      <c r="V530" s="198"/>
      <c r="W530" s="198"/>
      <c r="X530" s="198"/>
      <c r="Y530" s="198"/>
      <c r="Z530" s="198"/>
    </row>
    <row r="531">
      <c r="A531" s="403"/>
      <c r="B531" s="198"/>
      <c r="C531" s="403"/>
      <c r="D531" s="142"/>
      <c r="E531" s="403"/>
      <c r="F531" s="198"/>
      <c r="G531" s="403"/>
      <c r="H531" s="198"/>
      <c r="I531" s="410"/>
      <c r="J531" s="142"/>
      <c r="K531" s="410"/>
      <c r="L531" s="142"/>
      <c r="M531" s="410"/>
      <c r="N531" s="142"/>
      <c r="O531" s="403"/>
      <c r="P531" s="198"/>
      <c r="Q531" s="411"/>
      <c r="R531" s="76"/>
      <c r="S531" s="197"/>
      <c r="T531" s="198"/>
      <c r="U531" s="197"/>
      <c r="V531" s="198"/>
      <c r="W531" s="198"/>
      <c r="X531" s="198"/>
      <c r="Y531" s="198"/>
      <c r="Z531" s="198"/>
    </row>
    <row r="532">
      <c r="A532" s="403"/>
      <c r="B532" s="198"/>
      <c r="C532" s="403"/>
      <c r="D532" s="142"/>
      <c r="E532" s="403"/>
      <c r="F532" s="198"/>
      <c r="G532" s="403"/>
      <c r="H532" s="198"/>
      <c r="I532" s="410"/>
      <c r="J532" s="142"/>
      <c r="K532" s="410"/>
      <c r="L532" s="142"/>
      <c r="M532" s="410"/>
      <c r="N532" s="142"/>
      <c r="O532" s="403"/>
      <c r="P532" s="198"/>
      <c r="Q532" s="411"/>
      <c r="R532" s="76"/>
      <c r="S532" s="197"/>
      <c r="T532" s="198"/>
      <c r="U532" s="197"/>
      <c r="V532" s="198"/>
      <c r="W532" s="198"/>
      <c r="X532" s="198"/>
      <c r="Y532" s="198"/>
      <c r="Z532" s="198"/>
    </row>
    <row r="533">
      <c r="A533" s="403"/>
      <c r="B533" s="198"/>
      <c r="C533" s="403"/>
      <c r="D533" s="142"/>
      <c r="E533" s="403"/>
      <c r="F533" s="198"/>
      <c r="G533" s="403"/>
      <c r="H533" s="198"/>
      <c r="I533" s="410"/>
      <c r="J533" s="142"/>
      <c r="K533" s="410"/>
      <c r="L533" s="142"/>
      <c r="M533" s="410"/>
      <c r="N533" s="142"/>
      <c r="O533" s="403"/>
      <c r="P533" s="198"/>
      <c r="Q533" s="411"/>
      <c r="R533" s="76"/>
      <c r="S533" s="197"/>
      <c r="T533" s="198"/>
      <c r="U533" s="197"/>
      <c r="V533" s="198"/>
      <c r="W533" s="198"/>
      <c r="X533" s="198"/>
      <c r="Y533" s="198"/>
      <c r="Z533" s="198"/>
    </row>
    <row r="534">
      <c r="A534" s="403"/>
      <c r="B534" s="198"/>
      <c r="C534" s="403"/>
      <c r="D534" s="142"/>
      <c r="E534" s="403"/>
      <c r="F534" s="198"/>
      <c r="G534" s="403"/>
      <c r="H534" s="198"/>
      <c r="I534" s="410"/>
      <c r="J534" s="142"/>
      <c r="K534" s="410"/>
      <c r="L534" s="142"/>
      <c r="M534" s="410"/>
      <c r="N534" s="142"/>
      <c r="O534" s="403"/>
      <c r="P534" s="198"/>
      <c r="Q534" s="411"/>
      <c r="R534" s="76"/>
      <c r="S534" s="197"/>
      <c r="T534" s="198"/>
      <c r="U534" s="197"/>
      <c r="V534" s="198"/>
      <c r="W534" s="198"/>
      <c r="X534" s="198"/>
      <c r="Y534" s="198"/>
      <c r="Z534" s="198"/>
    </row>
    <row r="535">
      <c r="A535" s="403"/>
      <c r="B535" s="198"/>
      <c r="C535" s="403"/>
      <c r="D535" s="142"/>
      <c r="E535" s="403"/>
      <c r="F535" s="198"/>
      <c r="G535" s="403"/>
      <c r="H535" s="198"/>
      <c r="I535" s="410"/>
      <c r="J535" s="142"/>
      <c r="K535" s="410"/>
      <c r="L535" s="142"/>
      <c r="M535" s="410"/>
      <c r="N535" s="142"/>
      <c r="O535" s="403"/>
      <c r="P535" s="198"/>
      <c r="Q535" s="411"/>
      <c r="R535" s="76"/>
      <c r="S535" s="197"/>
      <c r="T535" s="198"/>
      <c r="U535" s="197"/>
      <c r="V535" s="198"/>
      <c r="W535" s="198"/>
      <c r="X535" s="198"/>
      <c r="Y535" s="198"/>
      <c r="Z535" s="198"/>
    </row>
    <row r="536">
      <c r="A536" s="403"/>
      <c r="B536" s="198"/>
      <c r="C536" s="403"/>
      <c r="D536" s="142"/>
      <c r="E536" s="403"/>
      <c r="F536" s="198"/>
      <c r="G536" s="403"/>
      <c r="H536" s="198"/>
      <c r="I536" s="410"/>
      <c r="J536" s="142"/>
      <c r="K536" s="410"/>
      <c r="L536" s="142"/>
      <c r="M536" s="410"/>
      <c r="N536" s="142"/>
      <c r="O536" s="403"/>
      <c r="P536" s="198"/>
      <c r="Q536" s="411"/>
      <c r="R536" s="76"/>
      <c r="S536" s="197"/>
      <c r="T536" s="198"/>
      <c r="U536" s="197"/>
      <c r="V536" s="198"/>
      <c r="W536" s="198"/>
      <c r="X536" s="198"/>
      <c r="Y536" s="198"/>
      <c r="Z536" s="198"/>
    </row>
    <row r="537">
      <c r="A537" s="403"/>
      <c r="B537" s="198"/>
      <c r="C537" s="403"/>
      <c r="D537" s="142"/>
      <c r="E537" s="403"/>
      <c r="F537" s="198"/>
      <c r="G537" s="403"/>
      <c r="H537" s="198"/>
      <c r="I537" s="410"/>
      <c r="J537" s="142"/>
      <c r="K537" s="410"/>
      <c r="L537" s="142"/>
      <c r="M537" s="410"/>
      <c r="N537" s="142"/>
      <c r="O537" s="403"/>
      <c r="P537" s="198"/>
      <c r="Q537" s="411"/>
      <c r="R537" s="76"/>
      <c r="S537" s="197"/>
      <c r="T537" s="198"/>
      <c r="U537" s="197"/>
      <c r="V537" s="198"/>
      <c r="W537" s="198"/>
      <c r="X537" s="198"/>
      <c r="Y537" s="198"/>
      <c r="Z537" s="198"/>
    </row>
    <row r="538">
      <c r="A538" s="403"/>
      <c r="B538" s="198"/>
      <c r="C538" s="403"/>
      <c r="D538" s="142"/>
      <c r="E538" s="403"/>
      <c r="F538" s="198"/>
      <c r="G538" s="403"/>
      <c r="H538" s="198"/>
      <c r="I538" s="410"/>
      <c r="J538" s="142"/>
      <c r="K538" s="410"/>
      <c r="L538" s="142"/>
      <c r="M538" s="410"/>
      <c r="N538" s="142"/>
      <c r="O538" s="403"/>
      <c r="P538" s="198"/>
      <c r="Q538" s="411"/>
      <c r="R538" s="76"/>
      <c r="S538" s="197"/>
      <c r="T538" s="198"/>
      <c r="U538" s="197"/>
      <c r="V538" s="198"/>
      <c r="W538" s="198"/>
      <c r="X538" s="198"/>
      <c r="Y538" s="198"/>
      <c r="Z538" s="198"/>
    </row>
    <row r="539">
      <c r="A539" s="403"/>
      <c r="B539" s="198"/>
      <c r="C539" s="403"/>
      <c r="D539" s="142"/>
      <c r="E539" s="403"/>
      <c r="F539" s="198"/>
      <c r="G539" s="403"/>
      <c r="H539" s="198"/>
      <c r="I539" s="410"/>
      <c r="J539" s="142"/>
      <c r="K539" s="410"/>
      <c r="L539" s="142"/>
      <c r="M539" s="410"/>
      <c r="N539" s="142"/>
      <c r="O539" s="403"/>
      <c r="P539" s="198"/>
      <c r="Q539" s="411"/>
      <c r="R539" s="76"/>
      <c r="S539" s="197"/>
      <c r="T539" s="198"/>
      <c r="U539" s="197"/>
      <c r="V539" s="198"/>
      <c r="W539" s="198"/>
      <c r="X539" s="198"/>
      <c r="Y539" s="198"/>
      <c r="Z539" s="198"/>
    </row>
    <row r="540">
      <c r="A540" s="403"/>
      <c r="B540" s="198"/>
      <c r="C540" s="403"/>
      <c r="D540" s="142"/>
      <c r="E540" s="403"/>
      <c r="F540" s="198"/>
      <c r="G540" s="403"/>
      <c r="H540" s="198"/>
      <c r="I540" s="410"/>
      <c r="J540" s="142"/>
      <c r="K540" s="410"/>
      <c r="L540" s="142"/>
      <c r="M540" s="410"/>
      <c r="N540" s="142"/>
      <c r="O540" s="403"/>
      <c r="P540" s="198"/>
      <c r="Q540" s="411"/>
      <c r="R540" s="76"/>
      <c r="S540" s="197"/>
      <c r="T540" s="198"/>
      <c r="U540" s="197"/>
      <c r="V540" s="198"/>
      <c r="W540" s="198"/>
      <c r="X540" s="198"/>
      <c r="Y540" s="198"/>
      <c r="Z540" s="198"/>
    </row>
    <row r="541">
      <c r="A541" s="403"/>
      <c r="B541" s="198"/>
      <c r="C541" s="403"/>
      <c r="D541" s="142"/>
      <c r="E541" s="403"/>
      <c r="F541" s="198"/>
      <c r="G541" s="403"/>
      <c r="H541" s="198"/>
      <c r="I541" s="410"/>
      <c r="J541" s="142"/>
      <c r="K541" s="410"/>
      <c r="L541" s="142"/>
      <c r="M541" s="410"/>
      <c r="N541" s="142"/>
      <c r="O541" s="403"/>
      <c r="P541" s="198"/>
      <c r="Q541" s="411"/>
      <c r="R541" s="76"/>
      <c r="S541" s="197"/>
      <c r="T541" s="198"/>
      <c r="U541" s="197"/>
      <c r="V541" s="198"/>
      <c r="W541" s="198"/>
      <c r="X541" s="198"/>
      <c r="Y541" s="198"/>
      <c r="Z541" s="198"/>
    </row>
    <row r="542">
      <c r="A542" s="403"/>
      <c r="B542" s="198"/>
      <c r="C542" s="403"/>
      <c r="D542" s="142"/>
      <c r="E542" s="403"/>
      <c r="F542" s="198"/>
      <c r="G542" s="403"/>
      <c r="H542" s="198"/>
      <c r="I542" s="410"/>
      <c r="J542" s="142"/>
      <c r="K542" s="410"/>
      <c r="L542" s="142"/>
      <c r="M542" s="410"/>
      <c r="N542" s="142"/>
      <c r="O542" s="403"/>
      <c r="P542" s="198"/>
      <c r="Q542" s="411"/>
      <c r="R542" s="76"/>
      <c r="S542" s="197"/>
      <c r="T542" s="198"/>
      <c r="U542" s="197"/>
      <c r="V542" s="198"/>
      <c r="W542" s="198"/>
      <c r="X542" s="198"/>
      <c r="Y542" s="198"/>
      <c r="Z542" s="198"/>
    </row>
    <row r="543">
      <c r="A543" s="403"/>
      <c r="B543" s="198"/>
      <c r="C543" s="403"/>
      <c r="D543" s="142"/>
      <c r="E543" s="403"/>
      <c r="F543" s="198"/>
      <c r="G543" s="403"/>
      <c r="H543" s="198"/>
      <c r="I543" s="410"/>
      <c r="J543" s="142"/>
      <c r="K543" s="410"/>
      <c r="L543" s="142"/>
      <c r="M543" s="410"/>
      <c r="N543" s="142"/>
      <c r="O543" s="403"/>
      <c r="P543" s="198"/>
      <c r="Q543" s="411"/>
      <c r="R543" s="76"/>
      <c r="S543" s="197"/>
      <c r="T543" s="198"/>
      <c r="U543" s="197"/>
      <c r="V543" s="198"/>
      <c r="W543" s="198"/>
      <c r="X543" s="198"/>
      <c r="Y543" s="198"/>
      <c r="Z543" s="198"/>
    </row>
    <row r="544">
      <c r="A544" s="403"/>
      <c r="B544" s="198"/>
      <c r="C544" s="403"/>
      <c r="D544" s="142"/>
      <c r="E544" s="403"/>
      <c r="F544" s="198"/>
      <c r="G544" s="403"/>
      <c r="H544" s="198"/>
      <c r="I544" s="410"/>
      <c r="J544" s="142"/>
      <c r="K544" s="410"/>
      <c r="L544" s="142"/>
      <c r="M544" s="410"/>
      <c r="N544" s="142"/>
      <c r="O544" s="403"/>
      <c r="P544" s="198"/>
      <c r="Q544" s="411"/>
      <c r="R544" s="76"/>
      <c r="S544" s="197"/>
      <c r="T544" s="198"/>
      <c r="U544" s="197"/>
      <c r="V544" s="198"/>
      <c r="W544" s="198"/>
      <c r="X544" s="198"/>
      <c r="Y544" s="198"/>
      <c r="Z544" s="198"/>
    </row>
    <row r="545">
      <c r="A545" s="403"/>
      <c r="B545" s="198"/>
      <c r="C545" s="403"/>
      <c r="D545" s="142"/>
      <c r="E545" s="403"/>
      <c r="F545" s="198"/>
      <c r="G545" s="403"/>
      <c r="H545" s="198"/>
      <c r="I545" s="410"/>
      <c r="J545" s="142"/>
      <c r="K545" s="410"/>
      <c r="L545" s="142"/>
      <c r="M545" s="410"/>
      <c r="N545" s="142"/>
      <c r="O545" s="403"/>
      <c r="P545" s="198"/>
      <c r="Q545" s="411"/>
      <c r="R545" s="76"/>
      <c r="S545" s="197"/>
      <c r="T545" s="198"/>
      <c r="U545" s="197"/>
      <c r="V545" s="198"/>
      <c r="W545" s="198"/>
      <c r="X545" s="198"/>
      <c r="Y545" s="198"/>
      <c r="Z545" s="198"/>
    </row>
    <row r="546">
      <c r="A546" s="403"/>
      <c r="B546" s="198"/>
      <c r="C546" s="403"/>
      <c r="D546" s="142"/>
      <c r="E546" s="403"/>
      <c r="F546" s="198"/>
      <c r="G546" s="403"/>
      <c r="H546" s="198"/>
      <c r="I546" s="410"/>
      <c r="J546" s="142"/>
      <c r="K546" s="410"/>
      <c r="L546" s="142"/>
      <c r="M546" s="410"/>
      <c r="N546" s="142"/>
      <c r="O546" s="403"/>
      <c r="P546" s="198"/>
      <c r="Q546" s="411"/>
      <c r="R546" s="76"/>
      <c r="S546" s="197"/>
      <c r="T546" s="198"/>
      <c r="U546" s="197"/>
      <c r="V546" s="198"/>
      <c r="W546" s="198"/>
      <c r="X546" s="198"/>
      <c r="Y546" s="198"/>
      <c r="Z546" s="198"/>
    </row>
    <row r="547">
      <c r="A547" s="403"/>
      <c r="B547" s="198"/>
      <c r="C547" s="403"/>
      <c r="D547" s="142"/>
      <c r="E547" s="403"/>
      <c r="F547" s="198"/>
      <c r="G547" s="403"/>
      <c r="H547" s="198"/>
      <c r="I547" s="410"/>
      <c r="J547" s="142"/>
      <c r="K547" s="410"/>
      <c r="L547" s="142"/>
      <c r="M547" s="410"/>
      <c r="N547" s="142"/>
      <c r="O547" s="403"/>
      <c r="P547" s="198"/>
      <c r="Q547" s="411"/>
      <c r="R547" s="76"/>
      <c r="S547" s="197"/>
      <c r="T547" s="198"/>
      <c r="U547" s="197"/>
      <c r="V547" s="198"/>
      <c r="W547" s="198"/>
      <c r="X547" s="198"/>
      <c r="Y547" s="198"/>
      <c r="Z547" s="198"/>
    </row>
    <row r="548">
      <c r="A548" s="403"/>
      <c r="B548" s="198"/>
      <c r="C548" s="403"/>
      <c r="D548" s="142"/>
      <c r="E548" s="403"/>
      <c r="F548" s="198"/>
      <c r="G548" s="403"/>
      <c r="H548" s="198"/>
      <c r="I548" s="410"/>
      <c r="J548" s="142"/>
      <c r="K548" s="410"/>
      <c r="L548" s="142"/>
      <c r="M548" s="410"/>
      <c r="N548" s="142"/>
      <c r="O548" s="403"/>
      <c r="P548" s="198"/>
      <c r="Q548" s="411"/>
      <c r="R548" s="76"/>
      <c r="S548" s="197"/>
      <c r="T548" s="198"/>
      <c r="U548" s="197"/>
      <c r="V548" s="198"/>
      <c r="W548" s="198"/>
      <c r="X548" s="198"/>
      <c r="Y548" s="198"/>
      <c r="Z548" s="198"/>
    </row>
    <row r="549">
      <c r="A549" s="403"/>
      <c r="B549" s="198"/>
      <c r="C549" s="403"/>
      <c r="D549" s="142"/>
      <c r="E549" s="403"/>
      <c r="F549" s="198"/>
      <c r="G549" s="403"/>
      <c r="H549" s="198"/>
      <c r="I549" s="410"/>
      <c r="J549" s="142"/>
      <c r="K549" s="410"/>
      <c r="L549" s="142"/>
      <c r="M549" s="410"/>
      <c r="N549" s="142"/>
      <c r="O549" s="403"/>
      <c r="P549" s="198"/>
      <c r="Q549" s="411"/>
      <c r="R549" s="76"/>
      <c r="S549" s="197"/>
      <c r="T549" s="198"/>
      <c r="U549" s="197"/>
      <c r="V549" s="198"/>
      <c r="W549" s="198"/>
      <c r="X549" s="198"/>
      <c r="Y549" s="198"/>
      <c r="Z549" s="198"/>
    </row>
    <row r="550">
      <c r="A550" s="403"/>
      <c r="B550" s="198"/>
      <c r="C550" s="403"/>
      <c r="D550" s="142"/>
      <c r="E550" s="403"/>
      <c r="F550" s="198"/>
      <c r="G550" s="403"/>
      <c r="H550" s="198"/>
      <c r="I550" s="410"/>
      <c r="J550" s="142"/>
      <c r="K550" s="410"/>
      <c r="L550" s="142"/>
      <c r="M550" s="410"/>
      <c r="N550" s="142"/>
      <c r="O550" s="403"/>
      <c r="P550" s="198"/>
      <c r="Q550" s="411"/>
      <c r="R550" s="76"/>
      <c r="S550" s="197"/>
      <c r="T550" s="198"/>
      <c r="U550" s="197"/>
      <c r="V550" s="198"/>
      <c r="W550" s="198"/>
      <c r="X550" s="198"/>
      <c r="Y550" s="198"/>
      <c r="Z550" s="198"/>
    </row>
    <row r="551">
      <c r="A551" s="403"/>
      <c r="B551" s="198"/>
      <c r="C551" s="403"/>
      <c r="D551" s="142"/>
      <c r="E551" s="403"/>
      <c r="F551" s="198"/>
      <c r="G551" s="403"/>
      <c r="H551" s="198"/>
      <c r="I551" s="410"/>
      <c r="J551" s="142"/>
      <c r="K551" s="410"/>
      <c r="L551" s="142"/>
      <c r="M551" s="410"/>
      <c r="N551" s="142"/>
      <c r="O551" s="403"/>
      <c r="P551" s="198"/>
      <c r="Q551" s="411"/>
      <c r="R551" s="76"/>
      <c r="S551" s="197"/>
      <c r="T551" s="198"/>
      <c r="U551" s="197"/>
      <c r="V551" s="198"/>
      <c r="W551" s="198"/>
      <c r="X551" s="198"/>
      <c r="Y551" s="198"/>
      <c r="Z551" s="198"/>
    </row>
    <row r="552">
      <c r="A552" s="403"/>
      <c r="B552" s="198"/>
      <c r="C552" s="403"/>
      <c r="D552" s="142"/>
      <c r="E552" s="403"/>
      <c r="F552" s="198"/>
      <c r="G552" s="403"/>
      <c r="H552" s="198"/>
      <c r="I552" s="410"/>
      <c r="J552" s="142"/>
      <c r="K552" s="410"/>
      <c r="L552" s="142"/>
      <c r="M552" s="410"/>
      <c r="N552" s="142"/>
      <c r="O552" s="403"/>
      <c r="P552" s="198"/>
      <c r="Q552" s="411"/>
      <c r="R552" s="76"/>
      <c r="S552" s="197"/>
      <c r="T552" s="198"/>
      <c r="U552" s="197"/>
      <c r="V552" s="198"/>
      <c r="W552" s="198"/>
      <c r="X552" s="198"/>
      <c r="Y552" s="198"/>
      <c r="Z552" s="198"/>
    </row>
    <row r="553">
      <c r="A553" s="403"/>
      <c r="B553" s="198"/>
      <c r="C553" s="403"/>
      <c r="D553" s="142"/>
      <c r="E553" s="403"/>
      <c r="F553" s="198"/>
      <c r="G553" s="403"/>
      <c r="H553" s="198"/>
      <c r="I553" s="410"/>
      <c r="J553" s="142"/>
      <c r="K553" s="410"/>
      <c r="L553" s="142"/>
      <c r="M553" s="410"/>
      <c r="N553" s="142"/>
      <c r="O553" s="403"/>
      <c r="P553" s="198"/>
      <c r="Q553" s="411"/>
      <c r="R553" s="76"/>
      <c r="S553" s="197"/>
      <c r="T553" s="198"/>
      <c r="U553" s="197"/>
      <c r="V553" s="198"/>
      <c r="W553" s="198"/>
      <c r="X553" s="198"/>
      <c r="Y553" s="198"/>
      <c r="Z553" s="198"/>
    </row>
    <row r="554">
      <c r="A554" s="403"/>
      <c r="B554" s="198"/>
      <c r="C554" s="403"/>
      <c r="D554" s="142"/>
      <c r="E554" s="403"/>
      <c r="F554" s="198"/>
      <c r="G554" s="403"/>
      <c r="H554" s="198"/>
      <c r="I554" s="410"/>
      <c r="J554" s="142"/>
      <c r="K554" s="410"/>
      <c r="L554" s="142"/>
      <c r="M554" s="410"/>
      <c r="N554" s="142"/>
      <c r="O554" s="403"/>
      <c r="P554" s="198"/>
      <c r="Q554" s="411"/>
      <c r="R554" s="76"/>
      <c r="S554" s="197"/>
      <c r="T554" s="198"/>
      <c r="U554" s="197"/>
      <c r="V554" s="198"/>
      <c r="W554" s="198"/>
      <c r="X554" s="198"/>
      <c r="Y554" s="198"/>
      <c r="Z554" s="198"/>
    </row>
    <row r="555">
      <c r="A555" s="403"/>
      <c r="B555" s="198"/>
      <c r="C555" s="403"/>
      <c r="D555" s="142"/>
      <c r="E555" s="403"/>
      <c r="F555" s="198"/>
      <c r="G555" s="403"/>
      <c r="H555" s="198"/>
      <c r="I555" s="410"/>
      <c r="J555" s="142"/>
      <c r="K555" s="410"/>
      <c r="L555" s="142"/>
      <c r="M555" s="410"/>
      <c r="N555" s="142"/>
      <c r="O555" s="403"/>
      <c r="P555" s="198"/>
      <c r="Q555" s="411"/>
      <c r="R555" s="76"/>
      <c r="S555" s="197"/>
      <c r="T555" s="198"/>
      <c r="U555" s="197"/>
      <c r="V555" s="198"/>
      <c r="W555" s="198"/>
      <c r="X555" s="198"/>
      <c r="Y555" s="198"/>
      <c r="Z555" s="198"/>
    </row>
    <row r="556">
      <c r="A556" s="403"/>
      <c r="B556" s="198"/>
      <c r="C556" s="403"/>
      <c r="D556" s="142"/>
      <c r="E556" s="403"/>
      <c r="F556" s="198"/>
      <c r="G556" s="403"/>
      <c r="H556" s="198"/>
      <c r="I556" s="410"/>
      <c r="J556" s="142"/>
      <c r="K556" s="410"/>
      <c r="L556" s="142"/>
      <c r="M556" s="410"/>
      <c r="N556" s="142"/>
      <c r="O556" s="403"/>
      <c r="P556" s="198"/>
      <c r="Q556" s="411"/>
      <c r="R556" s="76"/>
      <c r="S556" s="197"/>
      <c r="T556" s="198"/>
      <c r="U556" s="197"/>
      <c r="V556" s="198"/>
      <c r="W556" s="198"/>
      <c r="X556" s="198"/>
      <c r="Y556" s="198"/>
      <c r="Z556" s="198"/>
    </row>
    <row r="557">
      <c r="A557" s="403"/>
      <c r="B557" s="198"/>
      <c r="C557" s="403"/>
      <c r="D557" s="142"/>
      <c r="E557" s="403"/>
      <c r="F557" s="198"/>
      <c r="G557" s="403"/>
      <c r="H557" s="198"/>
      <c r="I557" s="410"/>
      <c r="J557" s="142"/>
      <c r="K557" s="410"/>
      <c r="L557" s="142"/>
      <c r="M557" s="410"/>
      <c r="N557" s="142"/>
      <c r="O557" s="403"/>
      <c r="P557" s="198"/>
      <c r="Q557" s="411"/>
      <c r="R557" s="76"/>
      <c r="S557" s="197"/>
      <c r="T557" s="198"/>
      <c r="U557" s="197"/>
      <c r="V557" s="198"/>
      <c r="W557" s="198"/>
      <c r="X557" s="198"/>
      <c r="Y557" s="198"/>
      <c r="Z557" s="198"/>
    </row>
    <row r="558">
      <c r="A558" s="403"/>
      <c r="B558" s="198"/>
      <c r="C558" s="403"/>
      <c r="D558" s="142"/>
      <c r="E558" s="403"/>
      <c r="F558" s="198"/>
      <c r="G558" s="403"/>
      <c r="H558" s="198"/>
      <c r="I558" s="410"/>
      <c r="J558" s="142"/>
      <c r="K558" s="410"/>
      <c r="L558" s="142"/>
      <c r="M558" s="410"/>
      <c r="N558" s="142"/>
      <c r="O558" s="403"/>
      <c r="P558" s="198"/>
      <c r="Q558" s="411"/>
      <c r="R558" s="76"/>
      <c r="S558" s="197"/>
      <c r="T558" s="198"/>
      <c r="U558" s="197"/>
      <c r="V558" s="198"/>
      <c r="W558" s="198"/>
      <c r="X558" s="198"/>
      <c r="Y558" s="198"/>
      <c r="Z558" s="198"/>
    </row>
    <row r="559">
      <c r="A559" s="403"/>
      <c r="B559" s="198"/>
      <c r="C559" s="403"/>
      <c r="D559" s="142"/>
      <c r="E559" s="403"/>
      <c r="F559" s="198"/>
      <c r="G559" s="403"/>
      <c r="H559" s="198"/>
      <c r="I559" s="410"/>
      <c r="J559" s="142"/>
      <c r="K559" s="410"/>
      <c r="L559" s="142"/>
      <c r="M559" s="410"/>
      <c r="N559" s="142"/>
      <c r="O559" s="403"/>
      <c r="P559" s="198"/>
      <c r="Q559" s="411"/>
      <c r="R559" s="76"/>
      <c r="S559" s="197"/>
      <c r="T559" s="198"/>
      <c r="U559" s="197"/>
      <c r="V559" s="198"/>
      <c r="W559" s="198"/>
      <c r="X559" s="198"/>
      <c r="Y559" s="198"/>
      <c r="Z559" s="198"/>
    </row>
    <row r="560">
      <c r="A560" s="403"/>
      <c r="B560" s="198"/>
      <c r="C560" s="403"/>
      <c r="D560" s="142"/>
      <c r="E560" s="403"/>
      <c r="F560" s="198"/>
      <c r="G560" s="403"/>
      <c r="H560" s="198"/>
      <c r="I560" s="410"/>
      <c r="J560" s="142"/>
      <c r="K560" s="410"/>
      <c r="L560" s="142"/>
      <c r="M560" s="410"/>
      <c r="N560" s="142"/>
      <c r="O560" s="403"/>
      <c r="P560" s="198"/>
      <c r="Q560" s="411"/>
      <c r="R560" s="76"/>
      <c r="S560" s="197"/>
      <c r="T560" s="198"/>
      <c r="U560" s="197"/>
      <c r="V560" s="198"/>
      <c r="W560" s="198"/>
      <c r="X560" s="198"/>
      <c r="Y560" s="198"/>
      <c r="Z560" s="198"/>
    </row>
    <row r="561">
      <c r="A561" s="403"/>
      <c r="B561" s="198"/>
      <c r="C561" s="403"/>
      <c r="D561" s="142"/>
      <c r="E561" s="403"/>
      <c r="F561" s="198"/>
      <c r="G561" s="403"/>
      <c r="H561" s="198"/>
      <c r="I561" s="410"/>
      <c r="J561" s="142"/>
      <c r="K561" s="410"/>
      <c r="L561" s="142"/>
      <c r="M561" s="410"/>
      <c r="N561" s="142"/>
      <c r="O561" s="403"/>
      <c r="P561" s="198"/>
      <c r="Q561" s="411"/>
      <c r="R561" s="76"/>
      <c r="S561" s="197"/>
      <c r="T561" s="198"/>
      <c r="U561" s="197"/>
      <c r="V561" s="198"/>
      <c r="W561" s="198"/>
      <c r="X561" s="198"/>
      <c r="Y561" s="198"/>
      <c r="Z561" s="198"/>
    </row>
    <row r="562">
      <c r="A562" s="403"/>
      <c r="B562" s="198"/>
      <c r="C562" s="403"/>
      <c r="D562" s="142"/>
      <c r="E562" s="403"/>
      <c r="F562" s="198"/>
      <c r="G562" s="403"/>
      <c r="H562" s="198"/>
      <c r="I562" s="410"/>
      <c r="J562" s="142"/>
      <c r="K562" s="410"/>
      <c r="L562" s="142"/>
      <c r="M562" s="410"/>
      <c r="N562" s="142"/>
      <c r="O562" s="403"/>
      <c r="P562" s="198"/>
      <c r="Q562" s="411"/>
      <c r="R562" s="76"/>
      <c r="S562" s="197"/>
      <c r="T562" s="198"/>
      <c r="U562" s="197"/>
      <c r="V562" s="198"/>
      <c r="W562" s="198"/>
      <c r="X562" s="198"/>
      <c r="Y562" s="198"/>
      <c r="Z562" s="198"/>
    </row>
    <row r="563">
      <c r="A563" s="403"/>
      <c r="B563" s="198"/>
      <c r="C563" s="403"/>
      <c r="D563" s="142"/>
      <c r="E563" s="403"/>
      <c r="F563" s="198"/>
      <c r="G563" s="403"/>
      <c r="H563" s="198"/>
      <c r="I563" s="410"/>
      <c r="J563" s="142"/>
      <c r="K563" s="410"/>
      <c r="L563" s="142"/>
      <c r="M563" s="410"/>
      <c r="N563" s="142"/>
      <c r="O563" s="403"/>
      <c r="P563" s="198"/>
      <c r="Q563" s="411"/>
      <c r="R563" s="76"/>
      <c r="S563" s="197"/>
      <c r="T563" s="198"/>
      <c r="U563" s="197"/>
      <c r="V563" s="198"/>
      <c r="W563" s="198"/>
      <c r="X563" s="198"/>
      <c r="Y563" s="198"/>
      <c r="Z563" s="198"/>
    </row>
    <row r="564">
      <c r="A564" s="403"/>
      <c r="B564" s="198"/>
      <c r="C564" s="403"/>
      <c r="D564" s="142"/>
      <c r="E564" s="403"/>
      <c r="F564" s="198"/>
      <c r="G564" s="403"/>
      <c r="H564" s="198"/>
      <c r="I564" s="410"/>
      <c r="J564" s="142"/>
      <c r="K564" s="410"/>
      <c r="L564" s="142"/>
      <c r="M564" s="410"/>
      <c r="N564" s="142"/>
      <c r="O564" s="403"/>
      <c r="P564" s="198"/>
      <c r="Q564" s="411"/>
      <c r="R564" s="76"/>
      <c r="S564" s="197"/>
      <c r="T564" s="198"/>
      <c r="U564" s="197"/>
      <c r="V564" s="198"/>
      <c r="W564" s="198"/>
      <c r="X564" s="198"/>
      <c r="Y564" s="198"/>
      <c r="Z564" s="198"/>
    </row>
    <row r="565">
      <c r="A565" s="403"/>
      <c r="B565" s="198"/>
      <c r="C565" s="403"/>
      <c r="D565" s="142"/>
      <c r="E565" s="403"/>
      <c r="F565" s="198"/>
      <c r="G565" s="403"/>
      <c r="H565" s="198"/>
      <c r="I565" s="410"/>
      <c r="J565" s="142"/>
      <c r="K565" s="410"/>
      <c r="L565" s="142"/>
      <c r="M565" s="410"/>
      <c r="N565" s="142"/>
      <c r="O565" s="403"/>
      <c r="P565" s="198"/>
      <c r="Q565" s="411"/>
      <c r="R565" s="76"/>
      <c r="S565" s="197"/>
      <c r="T565" s="198"/>
      <c r="U565" s="197"/>
      <c r="V565" s="198"/>
      <c r="W565" s="198"/>
      <c r="X565" s="198"/>
      <c r="Y565" s="198"/>
      <c r="Z565" s="198"/>
    </row>
    <row r="566">
      <c r="A566" s="403"/>
      <c r="B566" s="198"/>
      <c r="C566" s="403"/>
      <c r="D566" s="142"/>
      <c r="E566" s="403"/>
      <c r="F566" s="198"/>
      <c r="G566" s="403"/>
      <c r="H566" s="198"/>
      <c r="I566" s="410"/>
      <c r="J566" s="142"/>
      <c r="K566" s="410"/>
      <c r="L566" s="142"/>
      <c r="M566" s="410"/>
      <c r="N566" s="142"/>
      <c r="O566" s="403"/>
      <c r="P566" s="198"/>
      <c r="Q566" s="411"/>
      <c r="R566" s="76"/>
      <c r="S566" s="197"/>
      <c r="T566" s="198"/>
      <c r="U566" s="197"/>
      <c r="V566" s="198"/>
      <c r="W566" s="198"/>
      <c r="X566" s="198"/>
      <c r="Y566" s="198"/>
      <c r="Z566" s="198"/>
    </row>
    <row r="567">
      <c r="A567" s="403"/>
      <c r="B567" s="198"/>
      <c r="C567" s="403"/>
      <c r="D567" s="142"/>
      <c r="E567" s="403"/>
      <c r="F567" s="198"/>
      <c r="G567" s="403"/>
      <c r="H567" s="198"/>
      <c r="I567" s="410"/>
      <c r="J567" s="142"/>
      <c r="K567" s="410"/>
      <c r="L567" s="142"/>
      <c r="M567" s="410"/>
      <c r="N567" s="142"/>
      <c r="O567" s="403"/>
      <c r="P567" s="198"/>
      <c r="Q567" s="411"/>
      <c r="R567" s="76"/>
      <c r="S567" s="197"/>
      <c r="T567" s="198"/>
      <c r="U567" s="197"/>
      <c r="V567" s="198"/>
      <c r="W567" s="198"/>
      <c r="X567" s="198"/>
      <c r="Y567" s="198"/>
      <c r="Z567" s="198"/>
    </row>
    <row r="568">
      <c r="A568" s="403"/>
      <c r="B568" s="198"/>
      <c r="C568" s="403"/>
      <c r="D568" s="142"/>
      <c r="E568" s="403"/>
      <c r="F568" s="198"/>
      <c r="G568" s="403"/>
      <c r="H568" s="198"/>
      <c r="I568" s="410"/>
      <c r="J568" s="142"/>
      <c r="K568" s="410"/>
      <c r="L568" s="142"/>
      <c r="M568" s="410"/>
      <c r="N568" s="142"/>
      <c r="O568" s="403"/>
      <c r="P568" s="198"/>
      <c r="Q568" s="411"/>
      <c r="R568" s="76"/>
      <c r="S568" s="197"/>
      <c r="T568" s="198"/>
      <c r="U568" s="197"/>
      <c r="V568" s="198"/>
      <c r="W568" s="198"/>
      <c r="X568" s="198"/>
      <c r="Y568" s="198"/>
      <c r="Z568" s="198"/>
    </row>
    <row r="569">
      <c r="A569" s="403"/>
      <c r="B569" s="198"/>
      <c r="C569" s="403"/>
      <c r="D569" s="142"/>
      <c r="E569" s="403"/>
      <c r="F569" s="198"/>
      <c r="G569" s="403"/>
      <c r="H569" s="198"/>
      <c r="I569" s="410"/>
      <c r="J569" s="142"/>
      <c r="K569" s="410"/>
      <c r="L569" s="142"/>
      <c r="M569" s="410"/>
      <c r="N569" s="142"/>
      <c r="O569" s="403"/>
      <c r="P569" s="198"/>
      <c r="Q569" s="411"/>
      <c r="R569" s="76"/>
      <c r="S569" s="197"/>
      <c r="T569" s="198"/>
      <c r="U569" s="197"/>
      <c r="V569" s="198"/>
      <c r="W569" s="198"/>
      <c r="X569" s="198"/>
      <c r="Y569" s="198"/>
      <c r="Z569" s="198"/>
    </row>
    <row r="570">
      <c r="A570" s="403"/>
      <c r="B570" s="198"/>
      <c r="C570" s="403"/>
      <c r="D570" s="142"/>
      <c r="E570" s="403"/>
      <c r="F570" s="198"/>
      <c r="G570" s="403"/>
      <c r="H570" s="198"/>
      <c r="I570" s="410"/>
      <c r="J570" s="142"/>
      <c r="K570" s="410"/>
      <c r="L570" s="142"/>
      <c r="M570" s="410"/>
      <c r="N570" s="142"/>
      <c r="O570" s="403"/>
      <c r="P570" s="198"/>
      <c r="Q570" s="411"/>
      <c r="R570" s="76"/>
      <c r="S570" s="197"/>
      <c r="T570" s="198"/>
      <c r="U570" s="197"/>
      <c r="V570" s="198"/>
      <c r="W570" s="198"/>
      <c r="X570" s="198"/>
      <c r="Y570" s="198"/>
      <c r="Z570" s="198"/>
    </row>
    <row r="571">
      <c r="A571" s="403"/>
      <c r="B571" s="198"/>
      <c r="C571" s="403"/>
      <c r="D571" s="142"/>
      <c r="E571" s="403"/>
      <c r="F571" s="198"/>
      <c r="G571" s="403"/>
      <c r="H571" s="198"/>
      <c r="I571" s="410"/>
      <c r="J571" s="142"/>
      <c r="K571" s="410"/>
      <c r="L571" s="142"/>
      <c r="M571" s="410"/>
      <c r="N571" s="142"/>
      <c r="O571" s="403"/>
      <c r="P571" s="198"/>
      <c r="Q571" s="411"/>
      <c r="R571" s="76"/>
      <c r="S571" s="197"/>
      <c r="T571" s="198"/>
      <c r="U571" s="197"/>
      <c r="V571" s="198"/>
      <c r="W571" s="198"/>
      <c r="X571" s="198"/>
      <c r="Y571" s="198"/>
      <c r="Z571" s="198"/>
    </row>
    <row r="572">
      <c r="A572" s="403"/>
      <c r="B572" s="198"/>
      <c r="C572" s="403"/>
      <c r="D572" s="142"/>
      <c r="E572" s="403"/>
      <c r="F572" s="198"/>
      <c r="G572" s="403"/>
      <c r="H572" s="198"/>
      <c r="I572" s="410"/>
      <c r="J572" s="142"/>
      <c r="K572" s="410"/>
      <c r="L572" s="142"/>
      <c r="M572" s="410"/>
      <c r="N572" s="142"/>
      <c r="O572" s="403"/>
      <c r="P572" s="198"/>
      <c r="Q572" s="411"/>
      <c r="R572" s="76"/>
      <c r="S572" s="197"/>
      <c r="T572" s="198"/>
      <c r="U572" s="197"/>
      <c r="V572" s="198"/>
      <c r="W572" s="198"/>
      <c r="X572" s="198"/>
      <c r="Y572" s="198"/>
      <c r="Z572" s="198"/>
    </row>
    <row r="573">
      <c r="A573" s="403"/>
      <c r="B573" s="198"/>
      <c r="C573" s="403"/>
      <c r="D573" s="142"/>
      <c r="E573" s="403"/>
      <c r="F573" s="198"/>
      <c r="G573" s="403"/>
      <c r="H573" s="198"/>
      <c r="I573" s="410"/>
      <c r="J573" s="142"/>
      <c r="K573" s="410"/>
      <c r="L573" s="142"/>
      <c r="M573" s="410"/>
      <c r="N573" s="142"/>
      <c r="O573" s="403"/>
      <c r="P573" s="198"/>
      <c r="Q573" s="411"/>
      <c r="R573" s="76"/>
      <c r="S573" s="197"/>
      <c r="T573" s="198"/>
      <c r="U573" s="197"/>
      <c r="V573" s="198"/>
      <c r="W573" s="198"/>
      <c r="X573" s="198"/>
      <c r="Y573" s="198"/>
      <c r="Z573" s="198"/>
    </row>
    <row r="574">
      <c r="A574" s="403"/>
      <c r="B574" s="198"/>
      <c r="C574" s="403"/>
      <c r="D574" s="142"/>
      <c r="E574" s="403"/>
      <c r="F574" s="198"/>
      <c r="G574" s="403"/>
      <c r="H574" s="198"/>
      <c r="I574" s="410"/>
      <c r="J574" s="142"/>
      <c r="K574" s="410"/>
      <c r="L574" s="142"/>
      <c r="M574" s="410"/>
      <c r="N574" s="142"/>
      <c r="O574" s="403"/>
      <c r="P574" s="198"/>
      <c r="Q574" s="411"/>
      <c r="R574" s="76"/>
      <c r="S574" s="197"/>
      <c r="T574" s="198"/>
      <c r="U574" s="197"/>
      <c r="V574" s="198"/>
      <c r="W574" s="198"/>
      <c r="X574" s="198"/>
      <c r="Y574" s="198"/>
      <c r="Z574" s="198"/>
    </row>
    <row r="575">
      <c r="A575" s="403"/>
      <c r="B575" s="198"/>
      <c r="C575" s="403"/>
      <c r="D575" s="142"/>
      <c r="E575" s="403"/>
      <c r="F575" s="198"/>
      <c r="G575" s="403"/>
      <c r="H575" s="198"/>
      <c r="I575" s="410"/>
      <c r="J575" s="142"/>
      <c r="K575" s="410"/>
      <c r="L575" s="142"/>
      <c r="M575" s="410"/>
      <c r="N575" s="142"/>
      <c r="O575" s="403"/>
      <c r="P575" s="198"/>
      <c r="Q575" s="411"/>
      <c r="R575" s="76"/>
      <c r="S575" s="197"/>
      <c r="T575" s="198"/>
      <c r="U575" s="197"/>
      <c r="V575" s="198"/>
      <c r="W575" s="198"/>
      <c r="X575" s="198"/>
      <c r="Y575" s="198"/>
      <c r="Z575" s="198"/>
    </row>
    <row r="576">
      <c r="A576" s="403"/>
      <c r="B576" s="198"/>
      <c r="C576" s="403"/>
      <c r="D576" s="142"/>
      <c r="E576" s="403"/>
      <c r="F576" s="198"/>
      <c r="G576" s="403"/>
      <c r="H576" s="198"/>
      <c r="I576" s="410"/>
      <c r="J576" s="142"/>
      <c r="K576" s="410"/>
      <c r="L576" s="142"/>
      <c r="M576" s="410"/>
      <c r="N576" s="142"/>
      <c r="O576" s="403"/>
      <c r="P576" s="198"/>
      <c r="Q576" s="411"/>
      <c r="R576" s="76"/>
      <c r="S576" s="197"/>
      <c r="T576" s="198"/>
      <c r="U576" s="197"/>
      <c r="V576" s="198"/>
      <c r="W576" s="198"/>
      <c r="X576" s="198"/>
      <c r="Y576" s="198"/>
      <c r="Z576" s="198"/>
    </row>
    <row r="577">
      <c r="A577" s="403"/>
      <c r="B577" s="198"/>
      <c r="C577" s="403"/>
      <c r="D577" s="142"/>
      <c r="E577" s="403"/>
      <c r="F577" s="198"/>
      <c r="G577" s="403"/>
      <c r="H577" s="198"/>
      <c r="I577" s="410"/>
      <c r="J577" s="142"/>
      <c r="K577" s="410"/>
      <c r="L577" s="142"/>
      <c r="M577" s="410"/>
      <c r="N577" s="142"/>
      <c r="O577" s="403"/>
      <c r="P577" s="198"/>
      <c r="Q577" s="411"/>
      <c r="R577" s="76"/>
      <c r="S577" s="197"/>
      <c r="T577" s="198"/>
      <c r="U577" s="197"/>
      <c r="V577" s="198"/>
      <c r="W577" s="198"/>
      <c r="X577" s="198"/>
      <c r="Y577" s="198"/>
      <c r="Z577" s="198"/>
    </row>
    <row r="578">
      <c r="A578" s="403"/>
      <c r="B578" s="198"/>
      <c r="C578" s="403"/>
      <c r="D578" s="142"/>
      <c r="E578" s="403"/>
      <c r="F578" s="198"/>
      <c r="G578" s="403"/>
      <c r="H578" s="198"/>
      <c r="I578" s="410"/>
      <c r="J578" s="142"/>
      <c r="K578" s="410"/>
      <c r="L578" s="142"/>
      <c r="M578" s="410"/>
      <c r="N578" s="142"/>
      <c r="O578" s="403"/>
      <c r="P578" s="198"/>
      <c r="Q578" s="411"/>
      <c r="R578" s="76"/>
      <c r="S578" s="197"/>
      <c r="T578" s="198"/>
      <c r="U578" s="197"/>
      <c r="V578" s="198"/>
      <c r="W578" s="198"/>
      <c r="X578" s="198"/>
      <c r="Y578" s="198"/>
      <c r="Z578" s="198"/>
    </row>
    <row r="579">
      <c r="A579" s="403"/>
      <c r="B579" s="198"/>
      <c r="C579" s="403"/>
      <c r="D579" s="142"/>
      <c r="E579" s="403"/>
      <c r="F579" s="198"/>
      <c r="G579" s="403"/>
      <c r="H579" s="198"/>
      <c r="I579" s="410"/>
      <c r="J579" s="142"/>
      <c r="K579" s="410"/>
      <c r="L579" s="142"/>
      <c r="M579" s="410"/>
      <c r="N579" s="142"/>
      <c r="O579" s="403"/>
      <c r="P579" s="198"/>
      <c r="Q579" s="411"/>
      <c r="R579" s="76"/>
      <c r="S579" s="197"/>
      <c r="T579" s="198"/>
      <c r="U579" s="197"/>
      <c r="V579" s="198"/>
      <c r="W579" s="198"/>
      <c r="X579" s="198"/>
      <c r="Y579" s="198"/>
      <c r="Z579" s="198"/>
    </row>
    <row r="580">
      <c r="A580" s="403"/>
      <c r="B580" s="198"/>
      <c r="C580" s="403"/>
      <c r="D580" s="142"/>
      <c r="E580" s="403"/>
      <c r="F580" s="198"/>
      <c r="G580" s="403"/>
      <c r="H580" s="198"/>
      <c r="I580" s="410"/>
      <c r="J580" s="142"/>
      <c r="K580" s="410"/>
      <c r="L580" s="142"/>
      <c r="M580" s="410"/>
      <c r="N580" s="142"/>
      <c r="O580" s="403"/>
      <c r="P580" s="198"/>
      <c r="Q580" s="411"/>
      <c r="R580" s="76"/>
      <c r="S580" s="197"/>
      <c r="T580" s="198"/>
      <c r="U580" s="197"/>
      <c r="V580" s="198"/>
      <c r="W580" s="198"/>
      <c r="X580" s="198"/>
      <c r="Y580" s="198"/>
      <c r="Z580" s="198"/>
    </row>
    <row r="581">
      <c r="A581" s="403"/>
      <c r="B581" s="198"/>
      <c r="C581" s="403"/>
      <c r="D581" s="142"/>
      <c r="E581" s="403"/>
      <c r="F581" s="198"/>
      <c r="G581" s="403"/>
      <c r="H581" s="198"/>
      <c r="I581" s="410"/>
      <c r="J581" s="142"/>
      <c r="K581" s="410"/>
      <c r="L581" s="142"/>
      <c r="M581" s="410"/>
      <c r="N581" s="142"/>
      <c r="O581" s="403"/>
      <c r="P581" s="198"/>
      <c r="Q581" s="411"/>
      <c r="R581" s="76"/>
      <c r="S581" s="197"/>
      <c r="T581" s="198"/>
      <c r="U581" s="197"/>
      <c r="V581" s="198"/>
      <c r="W581" s="198"/>
      <c r="X581" s="198"/>
      <c r="Y581" s="198"/>
      <c r="Z581" s="198"/>
    </row>
    <row r="582">
      <c r="A582" s="403"/>
      <c r="B582" s="198"/>
      <c r="C582" s="403"/>
      <c r="D582" s="142"/>
      <c r="E582" s="403"/>
      <c r="F582" s="198"/>
      <c r="G582" s="403"/>
      <c r="H582" s="198"/>
      <c r="I582" s="410"/>
      <c r="J582" s="142"/>
      <c r="K582" s="410"/>
      <c r="L582" s="142"/>
      <c r="M582" s="410"/>
      <c r="N582" s="142"/>
      <c r="O582" s="403"/>
      <c r="P582" s="198"/>
      <c r="Q582" s="411"/>
      <c r="R582" s="76"/>
      <c r="S582" s="197"/>
      <c r="T582" s="198"/>
      <c r="U582" s="197"/>
      <c r="V582" s="198"/>
      <c r="W582" s="198"/>
      <c r="X582" s="198"/>
      <c r="Y582" s="198"/>
      <c r="Z582" s="198"/>
    </row>
    <row r="583">
      <c r="A583" s="403"/>
      <c r="B583" s="198"/>
      <c r="C583" s="403"/>
      <c r="D583" s="142"/>
      <c r="E583" s="403"/>
      <c r="F583" s="198"/>
      <c r="G583" s="403"/>
      <c r="H583" s="198"/>
      <c r="I583" s="410"/>
      <c r="J583" s="142"/>
      <c r="K583" s="410"/>
      <c r="L583" s="142"/>
      <c r="M583" s="410"/>
      <c r="N583" s="142"/>
      <c r="O583" s="403"/>
      <c r="P583" s="198"/>
      <c r="Q583" s="411"/>
      <c r="R583" s="76"/>
      <c r="S583" s="197"/>
      <c r="T583" s="198"/>
      <c r="U583" s="197"/>
      <c r="V583" s="198"/>
      <c r="W583" s="198"/>
      <c r="X583" s="198"/>
      <c r="Y583" s="198"/>
      <c r="Z583" s="198"/>
    </row>
    <row r="584">
      <c r="A584" s="403"/>
      <c r="B584" s="198"/>
      <c r="C584" s="403"/>
      <c r="D584" s="142"/>
      <c r="E584" s="403"/>
      <c r="F584" s="198"/>
      <c r="G584" s="403"/>
      <c r="H584" s="198"/>
      <c r="I584" s="410"/>
      <c r="J584" s="142"/>
      <c r="K584" s="410"/>
      <c r="L584" s="142"/>
      <c r="M584" s="410"/>
      <c r="N584" s="142"/>
      <c r="O584" s="403"/>
      <c r="P584" s="198"/>
      <c r="Q584" s="411"/>
      <c r="R584" s="76"/>
      <c r="S584" s="197"/>
      <c r="T584" s="198"/>
      <c r="U584" s="197"/>
      <c r="V584" s="198"/>
      <c r="W584" s="198"/>
      <c r="X584" s="198"/>
      <c r="Y584" s="198"/>
      <c r="Z584" s="198"/>
    </row>
    <row r="585">
      <c r="A585" s="403"/>
      <c r="B585" s="198"/>
      <c r="C585" s="403"/>
      <c r="D585" s="142"/>
      <c r="E585" s="403"/>
      <c r="F585" s="198"/>
      <c r="G585" s="403"/>
      <c r="H585" s="198"/>
      <c r="I585" s="410"/>
      <c r="J585" s="142"/>
      <c r="K585" s="410"/>
      <c r="L585" s="142"/>
      <c r="M585" s="410"/>
      <c r="N585" s="142"/>
      <c r="O585" s="403"/>
      <c r="P585" s="198"/>
      <c r="Q585" s="411"/>
      <c r="R585" s="76"/>
      <c r="S585" s="197"/>
      <c r="T585" s="198"/>
      <c r="U585" s="197"/>
      <c r="V585" s="198"/>
      <c r="W585" s="198"/>
      <c r="X585" s="198"/>
      <c r="Y585" s="198"/>
      <c r="Z585" s="198"/>
    </row>
    <row r="586">
      <c r="A586" s="403"/>
      <c r="B586" s="198"/>
      <c r="C586" s="403"/>
      <c r="D586" s="142"/>
      <c r="E586" s="403"/>
      <c r="F586" s="198"/>
      <c r="G586" s="403"/>
      <c r="H586" s="198"/>
      <c r="I586" s="410"/>
      <c r="J586" s="142"/>
      <c r="K586" s="410"/>
      <c r="L586" s="142"/>
      <c r="M586" s="410"/>
      <c r="N586" s="142"/>
      <c r="O586" s="403"/>
      <c r="P586" s="198"/>
      <c r="Q586" s="411"/>
      <c r="R586" s="76"/>
      <c r="S586" s="197"/>
      <c r="T586" s="198"/>
      <c r="U586" s="197"/>
      <c r="V586" s="198"/>
      <c r="W586" s="198"/>
      <c r="X586" s="198"/>
      <c r="Y586" s="198"/>
      <c r="Z586" s="198"/>
    </row>
    <row r="587">
      <c r="A587" s="403"/>
      <c r="B587" s="198"/>
      <c r="C587" s="403"/>
      <c r="D587" s="142"/>
      <c r="E587" s="403"/>
      <c r="F587" s="198"/>
      <c r="G587" s="403"/>
      <c r="H587" s="198"/>
      <c r="I587" s="410"/>
      <c r="J587" s="142"/>
      <c r="K587" s="410"/>
      <c r="L587" s="142"/>
      <c r="M587" s="410"/>
      <c r="N587" s="142"/>
      <c r="O587" s="403"/>
      <c r="P587" s="198"/>
      <c r="Q587" s="411"/>
      <c r="R587" s="76"/>
      <c r="S587" s="197"/>
      <c r="T587" s="198"/>
      <c r="U587" s="197"/>
      <c r="V587" s="198"/>
      <c r="W587" s="198"/>
      <c r="X587" s="198"/>
      <c r="Y587" s="198"/>
      <c r="Z587" s="198"/>
    </row>
    <row r="588">
      <c r="A588" s="403"/>
      <c r="B588" s="198"/>
      <c r="C588" s="403"/>
      <c r="D588" s="142"/>
      <c r="E588" s="403"/>
      <c r="F588" s="198"/>
      <c r="G588" s="403"/>
      <c r="H588" s="198"/>
      <c r="I588" s="410"/>
      <c r="J588" s="142"/>
      <c r="K588" s="410"/>
      <c r="L588" s="142"/>
      <c r="M588" s="410"/>
      <c r="N588" s="142"/>
      <c r="O588" s="403"/>
      <c r="P588" s="198"/>
      <c r="Q588" s="411"/>
      <c r="R588" s="76"/>
      <c r="S588" s="197"/>
      <c r="T588" s="198"/>
      <c r="U588" s="197"/>
      <c r="V588" s="198"/>
      <c r="W588" s="198"/>
      <c r="X588" s="198"/>
      <c r="Y588" s="198"/>
      <c r="Z588" s="198"/>
    </row>
    <row r="589">
      <c r="A589" s="403"/>
      <c r="B589" s="198"/>
      <c r="C589" s="403"/>
      <c r="D589" s="142"/>
      <c r="E589" s="403"/>
      <c r="F589" s="198"/>
      <c r="G589" s="403"/>
      <c r="H589" s="198"/>
      <c r="I589" s="410"/>
      <c r="J589" s="142"/>
      <c r="K589" s="410"/>
      <c r="L589" s="142"/>
      <c r="M589" s="410"/>
      <c r="N589" s="142"/>
      <c r="O589" s="403"/>
      <c r="P589" s="198"/>
      <c r="Q589" s="411"/>
      <c r="R589" s="76"/>
      <c r="S589" s="197"/>
      <c r="T589" s="198"/>
      <c r="U589" s="197"/>
      <c r="V589" s="198"/>
      <c r="W589" s="198"/>
      <c r="X589" s="198"/>
      <c r="Y589" s="198"/>
      <c r="Z589" s="198"/>
    </row>
    <row r="590">
      <c r="A590" s="403"/>
      <c r="B590" s="198"/>
      <c r="C590" s="403"/>
      <c r="D590" s="142"/>
      <c r="E590" s="403"/>
      <c r="F590" s="198"/>
      <c r="G590" s="403"/>
      <c r="H590" s="198"/>
      <c r="I590" s="410"/>
      <c r="J590" s="142"/>
      <c r="K590" s="410"/>
      <c r="L590" s="142"/>
      <c r="M590" s="410"/>
      <c r="N590" s="142"/>
      <c r="O590" s="403"/>
      <c r="P590" s="198"/>
      <c r="Q590" s="411"/>
      <c r="R590" s="76"/>
      <c r="S590" s="197"/>
      <c r="T590" s="198"/>
      <c r="U590" s="197"/>
      <c r="V590" s="198"/>
      <c r="W590" s="198"/>
      <c r="X590" s="198"/>
      <c r="Y590" s="198"/>
      <c r="Z590" s="198"/>
    </row>
    <row r="591">
      <c r="A591" s="403"/>
      <c r="B591" s="198"/>
      <c r="C591" s="403"/>
      <c r="D591" s="142"/>
      <c r="E591" s="403"/>
      <c r="F591" s="198"/>
      <c r="G591" s="403"/>
      <c r="H591" s="198"/>
      <c r="I591" s="410"/>
      <c r="J591" s="142"/>
      <c r="K591" s="410"/>
      <c r="L591" s="142"/>
      <c r="M591" s="410"/>
      <c r="N591" s="142"/>
      <c r="O591" s="403"/>
      <c r="P591" s="198"/>
      <c r="Q591" s="411"/>
      <c r="R591" s="76"/>
      <c r="S591" s="197"/>
      <c r="T591" s="198"/>
      <c r="U591" s="197"/>
      <c r="V591" s="198"/>
      <c r="W591" s="198"/>
      <c r="X591" s="198"/>
      <c r="Y591" s="198"/>
      <c r="Z591" s="198"/>
    </row>
    <row r="592">
      <c r="A592" s="403"/>
      <c r="B592" s="198"/>
      <c r="C592" s="403"/>
      <c r="D592" s="142"/>
      <c r="E592" s="403"/>
      <c r="F592" s="198"/>
      <c r="G592" s="403"/>
      <c r="H592" s="198"/>
      <c r="I592" s="410"/>
      <c r="J592" s="142"/>
      <c r="K592" s="410"/>
      <c r="L592" s="142"/>
      <c r="M592" s="410"/>
      <c r="N592" s="142"/>
      <c r="O592" s="403"/>
      <c r="P592" s="198"/>
      <c r="Q592" s="411"/>
      <c r="R592" s="76"/>
      <c r="S592" s="197"/>
      <c r="T592" s="198"/>
      <c r="U592" s="197"/>
      <c r="V592" s="198"/>
      <c r="W592" s="198"/>
      <c r="X592" s="198"/>
      <c r="Y592" s="198"/>
      <c r="Z592" s="198"/>
    </row>
    <row r="593">
      <c r="A593" s="403"/>
      <c r="B593" s="198"/>
      <c r="C593" s="403"/>
      <c r="D593" s="142"/>
      <c r="E593" s="403"/>
      <c r="F593" s="198"/>
      <c r="G593" s="403"/>
      <c r="H593" s="198"/>
      <c r="I593" s="410"/>
      <c r="J593" s="142"/>
      <c r="K593" s="410"/>
      <c r="L593" s="142"/>
      <c r="M593" s="410"/>
      <c r="N593" s="142"/>
      <c r="O593" s="403"/>
      <c r="P593" s="198"/>
      <c r="Q593" s="411"/>
      <c r="R593" s="76"/>
      <c r="S593" s="197"/>
      <c r="T593" s="198"/>
      <c r="U593" s="197"/>
      <c r="V593" s="198"/>
      <c r="W593" s="198"/>
      <c r="X593" s="198"/>
      <c r="Y593" s="198"/>
      <c r="Z593" s="198"/>
    </row>
    <row r="594">
      <c r="A594" s="403"/>
      <c r="B594" s="198"/>
      <c r="C594" s="403"/>
      <c r="D594" s="142"/>
      <c r="E594" s="403"/>
      <c r="F594" s="198"/>
      <c r="G594" s="403"/>
      <c r="H594" s="198"/>
      <c r="I594" s="410"/>
      <c r="J594" s="142"/>
      <c r="K594" s="410"/>
      <c r="L594" s="142"/>
      <c r="M594" s="410"/>
      <c r="N594" s="142"/>
      <c r="O594" s="403"/>
      <c r="P594" s="198"/>
      <c r="Q594" s="411"/>
      <c r="R594" s="76"/>
      <c r="S594" s="197"/>
      <c r="T594" s="198"/>
      <c r="U594" s="197"/>
      <c r="V594" s="198"/>
      <c r="W594" s="198"/>
      <c r="X594" s="198"/>
      <c r="Y594" s="198"/>
      <c r="Z594" s="198"/>
    </row>
    <row r="595">
      <c r="A595" s="403"/>
      <c r="B595" s="198"/>
      <c r="C595" s="403"/>
      <c r="D595" s="142"/>
      <c r="E595" s="403"/>
      <c r="F595" s="198"/>
      <c r="G595" s="403"/>
      <c r="H595" s="198"/>
      <c r="I595" s="410"/>
      <c r="J595" s="142"/>
      <c r="K595" s="410"/>
      <c r="L595" s="142"/>
      <c r="M595" s="410"/>
      <c r="N595" s="142"/>
      <c r="O595" s="403"/>
      <c r="P595" s="198"/>
      <c r="Q595" s="411"/>
      <c r="R595" s="76"/>
      <c r="S595" s="197"/>
      <c r="T595" s="198"/>
      <c r="U595" s="197"/>
      <c r="V595" s="198"/>
      <c r="W595" s="198"/>
      <c r="X595" s="198"/>
      <c r="Y595" s="198"/>
      <c r="Z595" s="198"/>
    </row>
    <row r="596">
      <c r="A596" s="403"/>
      <c r="B596" s="198"/>
      <c r="C596" s="403"/>
      <c r="D596" s="142"/>
      <c r="E596" s="403"/>
      <c r="F596" s="198"/>
      <c r="G596" s="403"/>
      <c r="H596" s="198"/>
      <c r="I596" s="410"/>
      <c r="J596" s="142"/>
      <c r="K596" s="410"/>
      <c r="L596" s="142"/>
      <c r="M596" s="410"/>
      <c r="N596" s="142"/>
      <c r="O596" s="403"/>
      <c r="P596" s="198"/>
      <c r="Q596" s="411"/>
      <c r="R596" s="76"/>
      <c r="S596" s="197"/>
      <c r="T596" s="198"/>
      <c r="U596" s="197"/>
      <c r="V596" s="198"/>
      <c r="W596" s="198"/>
      <c r="X596" s="198"/>
      <c r="Y596" s="198"/>
      <c r="Z596" s="198"/>
    </row>
    <row r="597">
      <c r="A597" s="403"/>
      <c r="B597" s="198"/>
      <c r="C597" s="403"/>
      <c r="D597" s="142"/>
      <c r="E597" s="403"/>
      <c r="F597" s="198"/>
      <c r="G597" s="403"/>
      <c r="H597" s="198"/>
      <c r="I597" s="410"/>
      <c r="J597" s="142"/>
      <c r="K597" s="410"/>
      <c r="L597" s="142"/>
      <c r="M597" s="410"/>
      <c r="N597" s="142"/>
      <c r="O597" s="403"/>
      <c r="P597" s="198"/>
      <c r="Q597" s="411"/>
      <c r="R597" s="76"/>
      <c r="S597" s="197"/>
      <c r="T597" s="198"/>
      <c r="U597" s="197"/>
      <c r="V597" s="198"/>
      <c r="W597" s="198"/>
      <c r="X597" s="198"/>
      <c r="Y597" s="198"/>
      <c r="Z597" s="198"/>
    </row>
    <row r="598">
      <c r="A598" s="403"/>
      <c r="B598" s="198"/>
      <c r="C598" s="403"/>
      <c r="D598" s="142"/>
      <c r="E598" s="403"/>
      <c r="F598" s="198"/>
      <c r="G598" s="403"/>
      <c r="H598" s="198"/>
      <c r="I598" s="410"/>
      <c r="J598" s="142"/>
      <c r="K598" s="410"/>
      <c r="L598" s="142"/>
      <c r="M598" s="410"/>
      <c r="N598" s="142"/>
      <c r="O598" s="403"/>
      <c r="P598" s="198"/>
      <c r="Q598" s="411"/>
      <c r="R598" s="76"/>
      <c r="S598" s="197"/>
      <c r="T598" s="198"/>
      <c r="U598" s="197"/>
      <c r="V598" s="198"/>
      <c r="W598" s="198"/>
      <c r="X598" s="198"/>
      <c r="Y598" s="198"/>
      <c r="Z598" s="198"/>
    </row>
    <row r="599">
      <c r="A599" s="403"/>
      <c r="B599" s="198"/>
      <c r="C599" s="403"/>
      <c r="D599" s="142"/>
      <c r="E599" s="403"/>
      <c r="F599" s="198"/>
      <c r="G599" s="403"/>
      <c r="H599" s="198"/>
      <c r="I599" s="410"/>
      <c r="J599" s="142"/>
      <c r="K599" s="410"/>
      <c r="L599" s="142"/>
      <c r="M599" s="410"/>
      <c r="N599" s="142"/>
      <c r="O599" s="403"/>
      <c r="P599" s="198"/>
      <c r="Q599" s="411"/>
      <c r="R599" s="76"/>
      <c r="S599" s="197"/>
      <c r="T599" s="198"/>
      <c r="U599" s="197"/>
      <c r="V599" s="198"/>
      <c r="W599" s="198"/>
      <c r="X599" s="198"/>
      <c r="Y599" s="198"/>
      <c r="Z599" s="198"/>
    </row>
    <row r="600">
      <c r="A600" s="403"/>
      <c r="B600" s="198"/>
      <c r="C600" s="403"/>
      <c r="D600" s="142"/>
      <c r="E600" s="403"/>
      <c r="F600" s="198"/>
      <c r="G600" s="403"/>
      <c r="H600" s="198"/>
      <c r="I600" s="410"/>
      <c r="J600" s="142"/>
      <c r="K600" s="410"/>
      <c r="L600" s="142"/>
      <c r="M600" s="410"/>
      <c r="N600" s="142"/>
      <c r="O600" s="403"/>
      <c r="P600" s="198"/>
      <c r="Q600" s="411"/>
      <c r="R600" s="76"/>
      <c r="S600" s="197"/>
      <c r="T600" s="198"/>
      <c r="U600" s="197"/>
      <c r="V600" s="198"/>
      <c r="W600" s="198"/>
      <c r="X600" s="198"/>
      <c r="Y600" s="198"/>
      <c r="Z600" s="198"/>
    </row>
    <row r="601">
      <c r="A601" s="403"/>
      <c r="B601" s="198"/>
      <c r="C601" s="403"/>
      <c r="D601" s="142"/>
      <c r="E601" s="403"/>
      <c r="F601" s="198"/>
      <c r="G601" s="403"/>
      <c r="H601" s="198"/>
      <c r="I601" s="410"/>
      <c r="J601" s="142"/>
      <c r="K601" s="410"/>
      <c r="L601" s="142"/>
      <c r="M601" s="410"/>
      <c r="N601" s="142"/>
      <c r="O601" s="403"/>
      <c r="P601" s="198"/>
      <c r="Q601" s="411"/>
      <c r="R601" s="76"/>
      <c r="S601" s="197"/>
      <c r="T601" s="198"/>
      <c r="U601" s="197"/>
      <c r="V601" s="198"/>
      <c r="W601" s="198"/>
      <c r="X601" s="198"/>
      <c r="Y601" s="198"/>
      <c r="Z601" s="198"/>
    </row>
    <row r="602">
      <c r="A602" s="403"/>
      <c r="B602" s="198"/>
      <c r="C602" s="403"/>
      <c r="D602" s="142"/>
      <c r="E602" s="403"/>
      <c r="F602" s="198"/>
      <c r="G602" s="403"/>
      <c r="H602" s="198"/>
      <c r="I602" s="410"/>
      <c r="J602" s="142"/>
      <c r="K602" s="410"/>
      <c r="L602" s="142"/>
      <c r="M602" s="410"/>
      <c r="N602" s="142"/>
      <c r="O602" s="403"/>
      <c r="P602" s="198"/>
      <c r="Q602" s="411"/>
      <c r="R602" s="76"/>
      <c r="S602" s="197"/>
      <c r="T602" s="198"/>
      <c r="U602" s="197"/>
      <c r="V602" s="198"/>
      <c r="W602" s="198"/>
      <c r="X602" s="198"/>
      <c r="Y602" s="198"/>
      <c r="Z602" s="198"/>
    </row>
    <row r="603">
      <c r="A603" s="403"/>
      <c r="B603" s="198"/>
      <c r="C603" s="403"/>
      <c r="D603" s="142"/>
      <c r="E603" s="403"/>
      <c r="F603" s="198"/>
      <c r="G603" s="403"/>
      <c r="H603" s="198"/>
      <c r="I603" s="410"/>
      <c r="J603" s="142"/>
      <c r="K603" s="410"/>
      <c r="L603" s="142"/>
      <c r="M603" s="410"/>
      <c r="N603" s="142"/>
      <c r="O603" s="403"/>
      <c r="P603" s="198"/>
      <c r="Q603" s="411"/>
      <c r="R603" s="76"/>
      <c r="S603" s="197"/>
      <c r="T603" s="198"/>
      <c r="U603" s="197"/>
      <c r="V603" s="198"/>
      <c r="W603" s="198"/>
      <c r="X603" s="198"/>
      <c r="Y603" s="198"/>
      <c r="Z603" s="198"/>
    </row>
    <row r="604">
      <c r="A604" s="403"/>
      <c r="B604" s="198"/>
      <c r="C604" s="403"/>
      <c r="D604" s="142"/>
      <c r="E604" s="403"/>
      <c r="F604" s="198"/>
      <c r="G604" s="403"/>
      <c r="H604" s="198"/>
      <c r="I604" s="410"/>
      <c r="J604" s="142"/>
      <c r="K604" s="410"/>
      <c r="L604" s="142"/>
      <c r="M604" s="410"/>
      <c r="N604" s="142"/>
      <c r="O604" s="403"/>
      <c r="P604" s="198"/>
      <c r="Q604" s="411"/>
      <c r="R604" s="76"/>
      <c r="S604" s="197"/>
      <c r="T604" s="198"/>
      <c r="U604" s="197"/>
      <c r="V604" s="198"/>
      <c r="W604" s="198"/>
      <c r="X604" s="198"/>
      <c r="Y604" s="198"/>
      <c r="Z604" s="198"/>
    </row>
    <row r="605">
      <c r="A605" s="403"/>
      <c r="B605" s="198"/>
      <c r="C605" s="403"/>
      <c r="D605" s="142"/>
      <c r="E605" s="403"/>
      <c r="F605" s="198"/>
      <c r="G605" s="403"/>
      <c r="H605" s="198"/>
      <c r="I605" s="410"/>
      <c r="J605" s="142"/>
      <c r="K605" s="410"/>
      <c r="L605" s="142"/>
      <c r="M605" s="410"/>
      <c r="N605" s="142"/>
      <c r="O605" s="403"/>
      <c r="P605" s="198"/>
      <c r="Q605" s="411"/>
      <c r="R605" s="76"/>
      <c r="S605" s="197"/>
      <c r="T605" s="198"/>
      <c r="U605" s="197"/>
      <c r="V605" s="198"/>
      <c r="W605" s="198"/>
      <c r="X605" s="198"/>
      <c r="Y605" s="198"/>
      <c r="Z605" s="198"/>
    </row>
    <row r="606">
      <c r="A606" s="403"/>
      <c r="B606" s="198"/>
      <c r="C606" s="403"/>
      <c r="D606" s="142"/>
      <c r="E606" s="403"/>
      <c r="F606" s="198"/>
      <c r="G606" s="403"/>
      <c r="H606" s="198"/>
      <c r="I606" s="410"/>
      <c r="J606" s="142"/>
      <c r="K606" s="410"/>
      <c r="L606" s="142"/>
      <c r="M606" s="410"/>
      <c r="N606" s="142"/>
      <c r="O606" s="403"/>
      <c r="P606" s="198"/>
      <c r="Q606" s="411"/>
      <c r="R606" s="76"/>
      <c r="S606" s="197"/>
      <c r="T606" s="198"/>
      <c r="U606" s="197"/>
      <c r="V606" s="198"/>
      <c r="W606" s="198"/>
      <c r="X606" s="198"/>
      <c r="Y606" s="198"/>
      <c r="Z606" s="198"/>
    </row>
    <row r="607">
      <c r="A607" s="403"/>
      <c r="B607" s="198"/>
      <c r="C607" s="403"/>
      <c r="D607" s="142"/>
      <c r="E607" s="403"/>
      <c r="F607" s="198"/>
      <c r="G607" s="403"/>
      <c r="H607" s="198"/>
      <c r="I607" s="410"/>
      <c r="J607" s="142"/>
      <c r="K607" s="410"/>
      <c r="L607" s="142"/>
      <c r="M607" s="410"/>
      <c r="N607" s="142"/>
      <c r="O607" s="403"/>
      <c r="P607" s="198"/>
      <c r="Q607" s="411"/>
      <c r="R607" s="76"/>
      <c r="S607" s="197"/>
      <c r="T607" s="198"/>
      <c r="U607" s="197"/>
      <c r="V607" s="198"/>
      <c r="W607" s="198"/>
      <c r="X607" s="198"/>
      <c r="Y607" s="198"/>
      <c r="Z607" s="198"/>
    </row>
    <row r="608">
      <c r="A608" s="403"/>
      <c r="B608" s="198"/>
      <c r="C608" s="403"/>
      <c r="D608" s="142"/>
      <c r="E608" s="403"/>
      <c r="F608" s="198"/>
      <c r="G608" s="403"/>
      <c r="H608" s="198"/>
      <c r="I608" s="410"/>
      <c r="J608" s="142"/>
      <c r="K608" s="410"/>
      <c r="L608" s="142"/>
      <c r="M608" s="410"/>
      <c r="N608" s="142"/>
      <c r="O608" s="403"/>
      <c r="P608" s="198"/>
      <c r="Q608" s="411"/>
      <c r="R608" s="76"/>
      <c r="S608" s="197"/>
      <c r="T608" s="198"/>
      <c r="U608" s="197"/>
      <c r="V608" s="198"/>
      <c r="W608" s="198"/>
      <c r="X608" s="198"/>
      <c r="Y608" s="198"/>
      <c r="Z608" s="198"/>
    </row>
    <row r="609">
      <c r="A609" s="403"/>
      <c r="B609" s="198"/>
      <c r="C609" s="403"/>
      <c r="D609" s="142"/>
      <c r="E609" s="403"/>
      <c r="F609" s="198"/>
      <c r="G609" s="403"/>
      <c r="H609" s="198"/>
      <c r="I609" s="410"/>
      <c r="J609" s="142"/>
      <c r="K609" s="410"/>
      <c r="L609" s="142"/>
      <c r="M609" s="410"/>
      <c r="N609" s="142"/>
      <c r="O609" s="403"/>
      <c r="P609" s="198"/>
      <c r="Q609" s="411"/>
      <c r="R609" s="76"/>
      <c r="S609" s="197"/>
      <c r="T609" s="198"/>
      <c r="U609" s="197"/>
      <c r="V609" s="198"/>
      <c r="W609" s="198"/>
      <c r="X609" s="198"/>
      <c r="Y609" s="198"/>
      <c r="Z609" s="198"/>
    </row>
    <row r="610">
      <c r="A610" s="403"/>
      <c r="B610" s="198"/>
      <c r="C610" s="403"/>
      <c r="D610" s="142"/>
      <c r="E610" s="403"/>
      <c r="F610" s="198"/>
      <c r="G610" s="403"/>
      <c r="H610" s="198"/>
      <c r="I610" s="410"/>
      <c r="J610" s="142"/>
      <c r="K610" s="410"/>
      <c r="L610" s="142"/>
      <c r="M610" s="410"/>
      <c r="N610" s="142"/>
      <c r="O610" s="403"/>
      <c r="P610" s="198"/>
      <c r="Q610" s="411"/>
      <c r="R610" s="76"/>
      <c r="S610" s="197"/>
      <c r="T610" s="198"/>
      <c r="U610" s="197"/>
      <c r="V610" s="198"/>
      <c r="W610" s="198"/>
      <c r="X610" s="198"/>
      <c r="Y610" s="198"/>
      <c r="Z610" s="198"/>
    </row>
    <row r="611">
      <c r="A611" s="403"/>
      <c r="B611" s="198"/>
      <c r="C611" s="403"/>
      <c r="D611" s="142"/>
      <c r="E611" s="403"/>
      <c r="F611" s="198"/>
      <c r="G611" s="403"/>
      <c r="H611" s="198"/>
      <c r="I611" s="410"/>
      <c r="J611" s="142"/>
      <c r="K611" s="410"/>
      <c r="L611" s="142"/>
      <c r="M611" s="410"/>
      <c r="N611" s="142"/>
      <c r="O611" s="403"/>
      <c r="P611" s="198"/>
      <c r="Q611" s="411"/>
      <c r="R611" s="76"/>
      <c r="S611" s="197"/>
      <c r="T611" s="198"/>
      <c r="U611" s="197"/>
      <c r="V611" s="198"/>
      <c r="W611" s="198"/>
      <c r="X611" s="198"/>
      <c r="Y611" s="198"/>
      <c r="Z611" s="198"/>
    </row>
    <row r="612">
      <c r="A612" s="403"/>
      <c r="B612" s="198"/>
      <c r="C612" s="403"/>
      <c r="D612" s="142"/>
      <c r="E612" s="403"/>
      <c r="F612" s="198"/>
      <c r="G612" s="403"/>
      <c r="H612" s="198"/>
      <c r="I612" s="410"/>
      <c r="J612" s="142"/>
      <c r="K612" s="410"/>
      <c r="L612" s="142"/>
      <c r="M612" s="410"/>
      <c r="N612" s="142"/>
      <c r="O612" s="403"/>
      <c r="P612" s="198"/>
      <c r="Q612" s="411"/>
      <c r="R612" s="76"/>
      <c r="S612" s="197"/>
      <c r="T612" s="198"/>
      <c r="U612" s="197"/>
      <c r="V612" s="198"/>
      <c r="W612" s="198"/>
      <c r="X612" s="198"/>
      <c r="Y612" s="198"/>
      <c r="Z612" s="198"/>
    </row>
    <row r="613">
      <c r="A613" s="403"/>
      <c r="B613" s="198"/>
      <c r="C613" s="403"/>
      <c r="D613" s="142"/>
      <c r="E613" s="403"/>
      <c r="F613" s="198"/>
      <c r="G613" s="403"/>
      <c r="H613" s="198"/>
      <c r="I613" s="410"/>
      <c r="J613" s="142"/>
      <c r="K613" s="410"/>
      <c r="L613" s="142"/>
      <c r="M613" s="410"/>
      <c r="N613" s="142"/>
      <c r="O613" s="403"/>
      <c r="P613" s="198"/>
      <c r="Q613" s="411"/>
      <c r="R613" s="76"/>
      <c r="S613" s="197"/>
      <c r="T613" s="198"/>
      <c r="U613" s="197"/>
      <c r="V613" s="198"/>
      <c r="W613" s="198"/>
      <c r="X613" s="198"/>
      <c r="Y613" s="198"/>
      <c r="Z613" s="198"/>
    </row>
    <row r="614">
      <c r="A614" s="403"/>
      <c r="B614" s="198"/>
      <c r="C614" s="403"/>
      <c r="D614" s="142"/>
      <c r="E614" s="403"/>
      <c r="F614" s="198"/>
      <c r="G614" s="403"/>
      <c r="H614" s="198"/>
      <c r="I614" s="410"/>
      <c r="J614" s="142"/>
      <c r="K614" s="410"/>
      <c r="L614" s="142"/>
      <c r="M614" s="410"/>
      <c r="N614" s="142"/>
      <c r="O614" s="403"/>
      <c r="P614" s="198"/>
      <c r="Q614" s="411"/>
      <c r="R614" s="76"/>
      <c r="S614" s="197"/>
      <c r="T614" s="198"/>
      <c r="U614" s="197"/>
      <c r="V614" s="198"/>
      <c r="W614" s="198"/>
      <c r="X614" s="198"/>
      <c r="Y614" s="198"/>
      <c r="Z614" s="198"/>
    </row>
    <row r="615">
      <c r="A615" s="403"/>
      <c r="B615" s="198"/>
      <c r="C615" s="403"/>
      <c r="D615" s="142"/>
      <c r="E615" s="403"/>
      <c r="F615" s="198"/>
      <c r="G615" s="403"/>
      <c r="H615" s="198"/>
      <c r="I615" s="410"/>
      <c r="J615" s="142"/>
      <c r="K615" s="410"/>
      <c r="L615" s="142"/>
      <c r="M615" s="410"/>
      <c r="N615" s="142"/>
      <c r="O615" s="403"/>
      <c r="P615" s="198"/>
      <c r="Q615" s="411"/>
      <c r="R615" s="76"/>
      <c r="S615" s="197"/>
      <c r="T615" s="198"/>
      <c r="U615" s="197"/>
      <c r="V615" s="198"/>
      <c r="W615" s="198"/>
      <c r="X615" s="198"/>
      <c r="Y615" s="198"/>
      <c r="Z615" s="198"/>
    </row>
    <row r="616">
      <c r="A616" s="403"/>
      <c r="B616" s="198"/>
      <c r="C616" s="403"/>
      <c r="D616" s="142"/>
      <c r="E616" s="403"/>
      <c r="F616" s="198"/>
      <c r="G616" s="403"/>
      <c r="H616" s="198"/>
      <c r="I616" s="410"/>
      <c r="J616" s="142"/>
      <c r="K616" s="410"/>
      <c r="L616" s="142"/>
      <c r="M616" s="410"/>
      <c r="N616" s="142"/>
      <c r="O616" s="403"/>
      <c r="P616" s="198"/>
      <c r="Q616" s="411"/>
      <c r="R616" s="76"/>
      <c r="S616" s="197"/>
      <c r="T616" s="198"/>
      <c r="U616" s="197"/>
      <c r="V616" s="198"/>
      <c r="W616" s="198"/>
      <c r="X616" s="198"/>
      <c r="Y616" s="198"/>
      <c r="Z616" s="198"/>
    </row>
    <row r="617">
      <c r="A617" s="403"/>
      <c r="B617" s="198"/>
      <c r="C617" s="403"/>
      <c r="D617" s="142"/>
      <c r="E617" s="403"/>
      <c r="F617" s="198"/>
      <c r="G617" s="403"/>
      <c r="H617" s="198"/>
      <c r="I617" s="410"/>
      <c r="J617" s="142"/>
      <c r="K617" s="410"/>
      <c r="L617" s="142"/>
      <c r="M617" s="410"/>
      <c r="N617" s="142"/>
      <c r="O617" s="403"/>
      <c r="P617" s="198"/>
      <c r="Q617" s="411"/>
      <c r="R617" s="76"/>
      <c r="S617" s="197"/>
      <c r="T617" s="198"/>
      <c r="U617" s="197"/>
      <c r="V617" s="198"/>
      <c r="W617" s="198"/>
      <c r="X617" s="198"/>
      <c r="Y617" s="198"/>
      <c r="Z617" s="198"/>
    </row>
    <row r="618">
      <c r="A618" s="403"/>
      <c r="B618" s="198"/>
      <c r="C618" s="403"/>
      <c r="D618" s="142"/>
      <c r="E618" s="403"/>
      <c r="F618" s="198"/>
      <c r="G618" s="403"/>
      <c r="H618" s="198"/>
      <c r="I618" s="410"/>
      <c r="J618" s="142"/>
      <c r="K618" s="410"/>
      <c r="L618" s="142"/>
      <c r="M618" s="410"/>
      <c r="N618" s="142"/>
      <c r="O618" s="403"/>
      <c r="P618" s="198"/>
      <c r="Q618" s="411"/>
      <c r="R618" s="76"/>
      <c r="S618" s="197"/>
      <c r="T618" s="198"/>
      <c r="U618" s="197"/>
      <c r="V618" s="198"/>
      <c r="W618" s="198"/>
      <c r="X618" s="198"/>
      <c r="Y618" s="198"/>
      <c r="Z618" s="198"/>
    </row>
    <row r="619">
      <c r="A619" s="403"/>
      <c r="B619" s="198"/>
      <c r="C619" s="403"/>
      <c r="D619" s="142"/>
      <c r="E619" s="403"/>
      <c r="F619" s="198"/>
      <c r="G619" s="403"/>
      <c r="H619" s="198"/>
      <c r="I619" s="410"/>
      <c r="J619" s="142"/>
      <c r="K619" s="410"/>
      <c r="L619" s="142"/>
      <c r="M619" s="410"/>
      <c r="N619" s="142"/>
      <c r="O619" s="403"/>
      <c r="P619" s="198"/>
      <c r="Q619" s="411"/>
      <c r="R619" s="76"/>
      <c r="S619" s="197"/>
      <c r="T619" s="198"/>
      <c r="U619" s="197"/>
      <c r="V619" s="198"/>
      <c r="W619" s="198"/>
      <c r="X619" s="198"/>
      <c r="Y619" s="198"/>
      <c r="Z619" s="198"/>
    </row>
    <row r="620">
      <c r="A620" s="403"/>
      <c r="B620" s="198"/>
      <c r="C620" s="403"/>
      <c r="D620" s="142"/>
      <c r="E620" s="403"/>
      <c r="F620" s="198"/>
      <c r="G620" s="403"/>
      <c r="H620" s="198"/>
      <c r="I620" s="410"/>
      <c r="J620" s="142"/>
      <c r="K620" s="410"/>
      <c r="L620" s="142"/>
      <c r="M620" s="410"/>
      <c r="N620" s="142"/>
      <c r="O620" s="403"/>
      <c r="P620" s="198"/>
      <c r="Q620" s="411"/>
      <c r="R620" s="76"/>
      <c r="S620" s="197"/>
      <c r="T620" s="198"/>
      <c r="U620" s="197"/>
      <c r="V620" s="198"/>
      <c r="W620" s="198"/>
      <c r="X620" s="198"/>
      <c r="Y620" s="198"/>
      <c r="Z620" s="198"/>
    </row>
    <row r="621">
      <c r="A621" s="403"/>
      <c r="B621" s="198"/>
      <c r="C621" s="403"/>
      <c r="D621" s="142"/>
      <c r="E621" s="403"/>
      <c r="F621" s="198"/>
      <c r="G621" s="403"/>
      <c r="H621" s="198"/>
      <c r="I621" s="410"/>
      <c r="J621" s="142"/>
      <c r="K621" s="410"/>
      <c r="L621" s="142"/>
      <c r="M621" s="410"/>
      <c r="N621" s="142"/>
      <c r="O621" s="403"/>
      <c r="P621" s="198"/>
      <c r="Q621" s="411"/>
      <c r="R621" s="76"/>
      <c r="S621" s="197"/>
      <c r="T621" s="198"/>
      <c r="U621" s="197"/>
      <c r="V621" s="198"/>
      <c r="W621" s="198"/>
      <c r="X621" s="198"/>
      <c r="Y621" s="198"/>
      <c r="Z621" s="198"/>
    </row>
    <row r="622">
      <c r="A622" s="403"/>
      <c r="B622" s="198"/>
      <c r="C622" s="403"/>
      <c r="D622" s="142"/>
      <c r="E622" s="403"/>
      <c r="F622" s="198"/>
      <c r="G622" s="403"/>
      <c r="H622" s="198"/>
      <c r="I622" s="410"/>
      <c r="J622" s="142"/>
      <c r="K622" s="410"/>
      <c r="L622" s="142"/>
      <c r="M622" s="410"/>
      <c r="N622" s="142"/>
      <c r="O622" s="403"/>
      <c r="P622" s="198"/>
      <c r="Q622" s="411"/>
      <c r="R622" s="76"/>
      <c r="S622" s="197"/>
      <c r="T622" s="198"/>
      <c r="U622" s="197"/>
      <c r="V622" s="198"/>
      <c r="W622" s="198"/>
      <c r="X622" s="198"/>
      <c r="Y622" s="198"/>
      <c r="Z622" s="198"/>
    </row>
    <row r="623">
      <c r="A623" s="403"/>
      <c r="B623" s="198"/>
      <c r="C623" s="403"/>
      <c r="D623" s="142"/>
      <c r="E623" s="403"/>
      <c r="F623" s="198"/>
      <c r="G623" s="403"/>
      <c r="H623" s="198"/>
      <c r="I623" s="410"/>
      <c r="J623" s="142"/>
      <c r="K623" s="410"/>
      <c r="L623" s="142"/>
      <c r="M623" s="410"/>
      <c r="N623" s="142"/>
      <c r="O623" s="403"/>
      <c r="P623" s="198"/>
      <c r="Q623" s="411"/>
      <c r="R623" s="76"/>
      <c r="S623" s="197"/>
      <c r="T623" s="198"/>
      <c r="U623" s="197"/>
      <c r="V623" s="198"/>
      <c r="W623" s="198"/>
      <c r="X623" s="198"/>
      <c r="Y623" s="198"/>
      <c r="Z623" s="198"/>
    </row>
    <row r="624">
      <c r="A624" s="403"/>
      <c r="B624" s="198"/>
      <c r="C624" s="403"/>
      <c r="D624" s="142"/>
      <c r="E624" s="403"/>
      <c r="F624" s="198"/>
      <c r="G624" s="403"/>
      <c r="H624" s="198"/>
      <c r="I624" s="410"/>
      <c r="J624" s="142"/>
      <c r="K624" s="410"/>
      <c r="L624" s="142"/>
      <c r="M624" s="410"/>
      <c r="N624" s="142"/>
      <c r="O624" s="403"/>
      <c r="P624" s="198"/>
      <c r="Q624" s="411"/>
      <c r="R624" s="76"/>
      <c r="S624" s="197"/>
      <c r="T624" s="198"/>
      <c r="U624" s="197"/>
      <c r="V624" s="198"/>
      <c r="W624" s="198"/>
      <c r="X624" s="198"/>
      <c r="Y624" s="198"/>
      <c r="Z624" s="198"/>
    </row>
    <row r="625">
      <c r="A625" s="403"/>
      <c r="B625" s="198"/>
      <c r="C625" s="403"/>
      <c r="D625" s="142"/>
      <c r="E625" s="403"/>
      <c r="F625" s="198"/>
      <c r="G625" s="403"/>
      <c r="H625" s="198"/>
      <c r="I625" s="410"/>
      <c r="J625" s="142"/>
      <c r="K625" s="410"/>
      <c r="L625" s="142"/>
      <c r="M625" s="410"/>
      <c r="N625" s="142"/>
      <c r="O625" s="403"/>
      <c r="P625" s="198"/>
      <c r="Q625" s="411"/>
      <c r="R625" s="76"/>
      <c r="S625" s="197"/>
      <c r="T625" s="198"/>
      <c r="U625" s="197"/>
      <c r="V625" s="198"/>
      <c r="W625" s="198"/>
      <c r="X625" s="198"/>
      <c r="Y625" s="198"/>
      <c r="Z625" s="198"/>
    </row>
    <row r="626">
      <c r="A626" s="403"/>
      <c r="B626" s="198"/>
      <c r="C626" s="403"/>
      <c r="D626" s="142"/>
      <c r="E626" s="403"/>
      <c r="F626" s="198"/>
      <c r="G626" s="403"/>
      <c r="H626" s="198"/>
      <c r="I626" s="410"/>
      <c r="J626" s="142"/>
      <c r="K626" s="410"/>
      <c r="L626" s="142"/>
      <c r="M626" s="410"/>
      <c r="N626" s="142"/>
      <c r="O626" s="403"/>
      <c r="P626" s="198"/>
      <c r="Q626" s="411"/>
      <c r="R626" s="76"/>
      <c r="S626" s="197"/>
      <c r="T626" s="198"/>
      <c r="U626" s="197"/>
      <c r="V626" s="198"/>
      <c r="W626" s="198"/>
      <c r="X626" s="198"/>
      <c r="Y626" s="198"/>
      <c r="Z626" s="198"/>
    </row>
    <row r="627">
      <c r="A627" s="403"/>
      <c r="B627" s="198"/>
      <c r="C627" s="403"/>
      <c r="D627" s="142"/>
      <c r="E627" s="403"/>
      <c r="F627" s="198"/>
      <c r="G627" s="403"/>
      <c r="H627" s="198"/>
      <c r="I627" s="410"/>
      <c r="J627" s="142"/>
      <c r="K627" s="410"/>
      <c r="L627" s="142"/>
      <c r="M627" s="410"/>
      <c r="N627" s="142"/>
      <c r="O627" s="403"/>
      <c r="P627" s="198"/>
      <c r="Q627" s="411"/>
      <c r="R627" s="76"/>
      <c r="S627" s="197"/>
      <c r="T627" s="198"/>
      <c r="U627" s="197"/>
      <c r="V627" s="198"/>
      <c r="W627" s="198"/>
      <c r="X627" s="198"/>
      <c r="Y627" s="198"/>
      <c r="Z627" s="198"/>
    </row>
    <row r="628">
      <c r="A628" s="403"/>
      <c r="B628" s="198"/>
      <c r="C628" s="403"/>
      <c r="D628" s="142"/>
      <c r="E628" s="403"/>
      <c r="F628" s="198"/>
      <c r="G628" s="403"/>
      <c r="H628" s="198"/>
      <c r="I628" s="410"/>
      <c r="J628" s="142"/>
      <c r="K628" s="410"/>
      <c r="L628" s="142"/>
      <c r="M628" s="410"/>
      <c r="N628" s="142"/>
      <c r="O628" s="403"/>
      <c r="P628" s="198"/>
      <c r="Q628" s="411"/>
      <c r="R628" s="76"/>
      <c r="S628" s="197"/>
      <c r="T628" s="198"/>
      <c r="U628" s="197"/>
      <c r="V628" s="198"/>
      <c r="W628" s="198"/>
      <c r="X628" s="198"/>
      <c r="Y628" s="198"/>
      <c r="Z628" s="198"/>
    </row>
    <row r="629">
      <c r="A629" s="403"/>
      <c r="B629" s="198"/>
      <c r="C629" s="403"/>
      <c r="D629" s="142"/>
      <c r="E629" s="403"/>
      <c r="F629" s="198"/>
      <c r="G629" s="403"/>
      <c r="H629" s="198"/>
      <c r="I629" s="410"/>
      <c r="J629" s="142"/>
      <c r="K629" s="410"/>
      <c r="L629" s="142"/>
      <c r="M629" s="410"/>
      <c r="N629" s="142"/>
      <c r="O629" s="403"/>
      <c r="P629" s="198"/>
      <c r="Q629" s="411"/>
      <c r="R629" s="76"/>
      <c r="S629" s="197"/>
      <c r="T629" s="198"/>
      <c r="U629" s="197"/>
      <c r="V629" s="198"/>
      <c r="W629" s="198"/>
      <c r="X629" s="198"/>
      <c r="Y629" s="198"/>
      <c r="Z629" s="198"/>
    </row>
    <row r="630">
      <c r="A630" s="403"/>
      <c r="B630" s="198"/>
      <c r="C630" s="403"/>
      <c r="D630" s="142"/>
      <c r="E630" s="403"/>
      <c r="F630" s="198"/>
      <c r="G630" s="403"/>
      <c r="H630" s="198"/>
      <c r="I630" s="410"/>
      <c r="J630" s="142"/>
      <c r="K630" s="410"/>
      <c r="L630" s="142"/>
      <c r="M630" s="410"/>
      <c r="N630" s="142"/>
      <c r="O630" s="403"/>
      <c r="P630" s="198"/>
      <c r="Q630" s="411"/>
      <c r="R630" s="76"/>
      <c r="S630" s="197"/>
      <c r="T630" s="198"/>
      <c r="U630" s="197"/>
      <c r="V630" s="198"/>
      <c r="W630" s="198"/>
      <c r="X630" s="198"/>
      <c r="Y630" s="198"/>
      <c r="Z630" s="198"/>
    </row>
    <row r="631">
      <c r="A631" s="403"/>
      <c r="B631" s="198"/>
      <c r="C631" s="403"/>
      <c r="D631" s="142"/>
      <c r="E631" s="403"/>
      <c r="F631" s="198"/>
      <c r="G631" s="403"/>
      <c r="H631" s="198"/>
      <c r="I631" s="410"/>
      <c r="J631" s="142"/>
      <c r="K631" s="410"/>
      <c r="L631" s="142"/>
      <c r="M631" s="410"/>
      <c r="N631" s="142"/>
      <c r="O631" s="403"/>
      <c r="P631" s="198"/>
      <c r="Q631" s="411"/>
      <c r="R631" s="76"/>
      <c r="S631" s="197"/>
      <c r="T631" s="198"/>
      <c r="U631" s="197"/>
      <c r="V631" s="198"/>
      <c r="W631" s="198"/>
      <c r="X631" s="198"/>
      <c r="Y631" s="198"/>
      <c r="Z631" s="198"/>
    </row>
    <row r="632">
      <c r="A632" s="403"/>
      <c r="B632" s="198"/>
      <c r="C632" s="403"/>
      <c r="D632" s="142"/>
      <c r="E632" s="403"/>
      <c r="F632" s="198"/>
      <c r="G632" s="403"/>
      <c r="H632" s="198"/>
      <c r="I632" s="410"/>
      <c r="J632" s="142"/>
      <c r="K632" s="410"/>
      <c r="L632" s="142"/>
      <c r="M632" s="410"/>
      <c r="N632" s="142"/>
      <c r="O632" s="403"/>
      <c r="P632" s="198"/>
      <c r="Q632" s="411"/>
      <c r="R632" s="76"/>
      <c r="S632" s="197"/>
      <c r="T632" s="198"/>
      <c r="U632" s="197"/>
      <c r="V632" s="198"/>
      <c r="W632" s="198"/>
      <c r="X632" s="198"/>
      <c r="Y632" s="198"/>
      <c r="Z632" s="198"/>
    </row>
    <row r="633">
      <c r="A633" s="403"/>
      <c r="B633" s="198"/>
      <c r="C633" s="403"/>
      <c r="D633" s="142"/>
      <c r="E633" s="403"/>
      <c r="F633" s="198"/>
      <c r="G633" s="403"/>
      <c r="H633" s="198"/>
      <c r="I633" s="410"/>
      <c r="J633" s="142"/>
      <c r="K633" s="410"/>
      <c r="L633" s="142"/>
      <c r="M633" s="410"/>
      <c r="N633" s="142"/>
      <c r="O633" s="403"/>
      <c r="P633" s="198"/>
      <c r="Q633" s="411"/>
      <c r="R633" s="76"/>
      <c r="S633" s="197"/>
      <c r="T633" s="198"/>
      <c r="U633" s="197"/>
      <c r="V633" s="198"/>
      <c r="W633" s="198"/>
      <c r="X633" s="198"/>
      <c r="Y633" s="198"/>
      <c r="Z633" s="198"/>
    </row>
    <row r="634">
      <c r="A634" s="403"/>
      <c r="B634" s="198"/>
      <c r="C634" s="403"/>
      <c r="D634" s="142"/>
      <c r="E634" s="403"/>
      <c r="F634" s="198"/>
      <c r="G634" s="403"/>
      <c r="H634" s="198"/>
      <c r="I634" s="410"/>
      <c r="J634" s="142"/>
      <c r="K634" s="410"/>
      <c r="L634" s="142"/>
      <c r="M634" s="410"/>
      <c r="N634" s="142"/>
      <c r="O634" s="403"/>
      <c r="P634" s="198"/>
      <c r="Q634" s="411"/>
      <c r="R634" s="76"/>
      <c r="S634" s="197"/>
      <c r="T634" s="198"/>
      <c r="U634" s="197"/>
      <c r="V634" s="198"/>
      <c r="W634" s="198"/>
      <c r="X634" s="198"/>
      <c r="Y634" s="198"/>
      <c r="Z634" s="198"/>
    </row>
    <row r="635">
      <c r="A635" s="403"/>
      <c r="B635" s="198"/>
      <c r="C635" s="403"/>
      <c r="D635" s="142"/>
      <c r="E635" s="403"/>
      <c r="F635" s="198"/>
      <c r="G635" s="403"/>
      <c r="H635" s="198"/>
      <c r="I635" s="410"/>
      <c r="J635" s="142"/>
      <c r="K635" s="410"/>
      <c r="L635" s="142"/>
      <c r="M635" s="410"/>
      <c r="N635" s="142"/>
      <c r="O635" s="403"/>
      <c r="P635" s="198"/>
      <c r="Q635" s="411"/>
      <c r="R635" s="76"/>
      <c r="S635" s="197"/>
      <c r="T635" s="198"/>
      <c r="U635" s="197"/>
      <c r="V635" s="198"/>
      <c r="W635" s="198"/>
      <c r="X635" s="198"/>
      <c r="Y635" s="198"/>
      <c r="Z635" s="198"/>
    </row>
    <row r="636">
      <c r="A636" s="403"/>
      <c r="B636" s="198"/>
      <c r="C636" s="403"/>
      <c r="D636" s="142"/>
      <c r="E636" s="403"/>
      <c r="F636" s="198"/>
      <c r="G636" s="403"/>
      <c r="H636" s="198"/>
      <c r="I636" s="410"/>
      <c r="J636" s="142"/>
      <c r="K636" s="410"/>
      <c r="L636" s="142"/>
      <c r="M636" s="410"/>
      <c r="N636" s="142"/>
      <c r="O636" s="403"/>
      <c r="P636" s="198"/>
      <c r="Q636" s="411"/>
      <c r="R636" s="76"/>
      <c r="S636" s="197"/>
      <c r="T636" s="198"/>
      <c r="U636" s="197"/>
      <c r="V636" s="198"/>
      <c r="W636" s="198"/>
      <c r="X636" s="198"/>
      <c r="Y636" s="198"/>
      <c r="Z636" s="198"/>
    </row>
    <row r="637">
      <c r="A637" s="403"/>
      <c r="B637" s="198"/>
      <c r="C637" s="403"/>
      <c r="D637" s="142"/>
      <c r="E637" s="403"/>
      <c r="F637" s="198"/>
      <c r="G637" s="403"/>
      <c r="H637" s="198"/>
      <c r="I637" s="410"/>
      <c r="J637" s="142"/>
      <c r="K637" s="410"/>
      <c r="L637" s="142"/>
      <c r="M637" s="410"/>
      <c r="N637" s="142"/>
      <c r="O637" s="403"/>
      <c r="P637" s="198"/>
      <c r="Q637" s="411"/>
      <c r="R637" s="76"/>
      <c r="S637" s="197"/>
      <c r="T637" s="198"/>
      <c r="U637" s="197"/>
      <c r="V637" s="198"/>
      <c r="W637" s="198"/>
      <c r="X637" s="198"/>
      <c r="Y637" s="198"/>
      <c r="Z637" s="198"/>
    </row>
    <row r="638">
      <c r="A638" s="403"/>
      <c r="B638" s="198"/>
      <c r="C638" s="403"/>
      <c r="D638" s="142"/>
      <c r="E638" s="403"/>
      <c r="F638" s="198"/>
      <c r="G638" s="403"/>
      <c r="H638" s="198"/>
      <c r="I638" s="410"/>
      <c r="J638" s="142"/>
      <c r="K638" s="410"/>
      <c r="L638" s="142"/>
      <c r="M638" s="410"/>
      <c r="N638" s="142"/>
      <c r="O638" s="403"/>
      <c r="P638" s="198"/>
      <c r="Q638" s="411"/>
      <c r="R638" s="76"/>
      <c r="S638" s="197"/>
      <c r="T638" s="198"/>
      <c r="U638" s="197"/>
      <c r="V638" s="198"/>
      <c r="W638" s="198"/>
      <c r="X638" s="198"/>
      <c r="Y638" s="198"/>
      <c r="Z638" s="198"/>
    </row>
    <row r="639">
      <c r="A639" s="403"/>
      <c r="B639" s="198"/>
      <c r="C639" s="403"/>
      <c r="D639" s="142"/>
      <c r="E639" s="403"/>
      <c r="F639" s="198"/>
      <c r="G639" s="403"/>
      <c r="H639" s="198"/>
      <c r="I639" s="410"/>
      <c r="J639" s="142"/>
      <c r="K639" s="410"/>
      <c r="L639" s="142"/>
      <c r="M639" s="410"/>
      <c r="N639" s="142"/>
      <c r="O639" s="403"/>
      <c r="P639" s="198"/>
      <c r="Q639" s="411"/>
      <c r="R639" s="76"/>
      <c r="S639" s="197"/>
      <c r="T639" s="198"/>
      <c r="U639" s="197"/>
      <c r="V639" s="198"/>
      <c r="W639" s="198"/>
      <c r="X639" s="198"/>
      <c r="Y639" s="198"/>
      <c r="Z639" s="198"/>
    </row>
    <row r="640">
      <c r="A640" s="403"/>
      <c r="B640" s="198"/>
      <c r="C640" s="403"/>
      <c r="D640" s="142"/>
      <c r="E640" s="403"/>
      <c r="F640" s="198"/>
      <c r="G640" s="403"/>
      <c r="H640" s="198"/>
      <c r="I640" s="410"/>
      <c r="J640" s="142"/>
      <c r="K640" s="410"/>
      <c r="L640" s="142"/>
      <c r="M640" s="410"/>
      <c r="N640" s="142"/>
      <c r="O640" s="403"/>
      <c r="P640" s="198"/>
      <c r="Q640" s="411"/>
      <c r="R640" s="76"/>
      <c r="S640" s="197"/>
      <c r="T640" s="198"/>
      <c r="U640" s="197"/>
      <c r="V640" s="198"/>
      <c r="W640" s="198"/>
      <c r="X640" s="198"/>
      <c r="Y640" s="198"/>
      <c r="Z640" s="198"/>
    </row>
    <row r="641">
      <c r="A641" s="403"/>
      <c r="B641" s="198"/>
      <c r="C641" s="403"/>
      <c r="D641" s="142"/>
      <c r="E641" s="403"/>
      <c r="F641" s="198"/>
      <c r="G641" s="403"/>
      <c r="H641" s="198"/>
      <c r="I641" s="410"/>
      <c r="J641" s="142"/>
      <c r="K641" s="410"/>
      <c r="L641" s="142"/>
      <c r="M641" s="410"/>
      <c r="N641" s="142"/>
      <c r="O641" s="403"/>
      <c r="P641" s="198"/>
      <c r="Q641" s="411"/>
      <c r="R641" s="76"/>
      <c r="S641" s="197"/>
      <c r="T641" s="198"/>
      <c r="U641" s="197"/>
      <c r="V641" s="198"/>
      <c r="W641" s="198"/>
      <c r="X641" s="198"/>
      <c r="Y641" s="198"/>
      <c r="Z641" s="198"/>
    </row>
    <row r="642">
      <c r="A642" s="403"/>
      <c r="B642" s="198"/>
      <c r="C642" s="403"/>
      <c r="D642" s="142"/>
      <c r="E642" s="403"/>
      <c r="F642" s="198"/>
      <c r="G642" s="403"/>
      <c r="H642" s="198"/>
      <c r="I642" s="410"/>
      <c r="J642" s="142"/>
      <c r="K642" s="410"/>
      <c r="L642" s="142"/>
      <c r="M642" s="410"/>
      <c r="N642" s="142"/>
      <c r="O642" s="403"/>
      <c r="P642" s="198"/>
      <c r="Q642" s="411"/>
      <c r="R642" s="76"/>
      <c r="S642" s="197"/>
      <c r="T642" s="198"/>
      <c r="U642" s="197"/>
      <c r="V642" s="198"/>
      <c r="W642" s="198"/>
      <c r="X642" s="198"/>
      <c r="Y642" s="198"/>
      <c r="Z642" s="198"/>
    </row>
    <row r="643">
      <c r="A643" s="403"/>
      <c r="B643" s="198"/>
      <c r="C643" s="403"/>
      <c r="D643" s="142"/>
      <c r="E643" s="403"/>
      <c r="F643" s="198"/>
      <c r="G643" s="403"/>
      <c r="H643" s="198"/>
      <c r="I643" s="410"/>
      <c r="J643" s="142"/>
      <c r="K643" s="410"/>
      <c r="L643" s="142"/>
      <c r="M643" s="410"/>
      <c r="N643" s="142"/>
      <c r="O643" s="403"/>
      <c r="P643" s="198"/>
      <c r="Q643" s="411"/>
      <c r="R643" s="76"/>
      <c r="S643" s="197"/>
      <c r="T643" s="198"/>
      <c r="U643" s="197"/>
      <c r="V643" s="198"/>
      <c r="W643" s="198"/>
      <c r="X643" s="198"/>
      <c r="Y643" s="198"/>
      <c r="Z643" s="198"/>
    </row>
    <row r="644">
      <c r="A644" s="403"/>
      <c r="B644" s="198"/>
      <c r="C644" s="403"/>
      <c r="D644" s="142"/>
      <c r="E644" s="403"/>
      <c r="F644" s="198"/>
      <c r="G644" s="403"/>
      <c r="H644" s="198"/>
      <c r="I644" s="410"/>
      <c r="J644" s="142"/>
      <c r="K644" s="410"/>
      <c r="L644" s="142"/>
      <c r="M644" s="410"/>
      <c r="N644" s="142"/>
      <c r="O644" s="403"/>
      <c r="P644" s="198"/>
      <c r="Q644" s="411"/>
      <c r="R644" s="76"/>
      <c r="S644" s="197"/>
      <c r="T644" s="198"/>
      <c r="U644" s="197"/>
      <c r="V644" s="198"/>
      <c r="W644" s="198"/>
      <c r="X644" s="198"/>
      <c r="Y644" s="198"/>
      <c r="Z644" s="198"/>
    </row>
    <row r="645">
      <c r="A645" s="403"/>
      <c r="B645" s="198"/>
      <c r="C645" s="403"/>
      <c r="D645" s="142"/>
      <c r="E645" s="403"/>
      <c r="F645" s="198"/>
      <c r="G645" s="403"/>
      <c r="H645" s="198"/>
      <c r="I645" s="410"/>
      <c r="J645" s="142"/>
      <c r="K645" s="410"/>
      <c r="L645" s="142"/>
      <c r="M645" s="410"/>
      <c r="N645" s="142"/>
      <c r="O645" s="403"/>
      <c r="P645" s="198"/>
      <c r="Q645" s="411"/>
      <c r="R645" s="76"/>
      <c r="S645" s="197"/>
      <c r="T645" s="198"/>
      <c r="U645" s="197"/>
      <c r="V645" s="198"/>
      <c r="W645" s="198"/>
      <c r="X645" s="198"/>
      <c r="Y645" s="198"/>
      <c r="Z645" s="198"/>
    </row>
    <row r="646">
      <c r="A646" s="403"/>
      <c r="B646" s="198"/>
      <c r="C646" s="403"/>
      <c r="D646" s="142"/>
      <c r="E646" s="403"/>
      <c r="F646" s="198"/>
      <c r="G646" s="403"/>
      <c r="H646" s="198"/>
      <c r="I646" s="410"/>
      <c r="J646" s="142"/>
      <c r="K646" s="410"/>
      <c r="L646" s="142"/>
      <c r="M646" s="410"/>
      <c r="N646" s="142"/>
      <c r="O646" s="403"/>
      <c r="P646" s="198"/>
      <c r="Q646" s="411"/>
      <c r="R646" s="76"/>
      <c r="S646" s="197"/>
      <c r="T646" s="198"/>
      <c r="U646" s="197"/>
      <c r="V646" s="198"/>
      <c r="W646" s="198"/>
      <c r="X646" s="198"/>
      <c r="Y646" s="198"/>
      <c r="Z646" s="198"/>
    </row>
    <row r="647">
      <c r="A647" s="403"/>
      <c r="B647" s="198"/>
      <c r="C647" s="403"/>
      <c r="D647" s="142"/>
      <c r="E647" s="403"/>
      <c r="F647" s="198"/>
      <c r="G647" s="403"/>
      <c r="H647" s="198"/>
      <c r="I647" s="410"/>
      <c r="J647" s="142"/>
      <c r="K647" s="410"/>
      <c r="L647" s="142"/>
      <c r="M647" s="410"/>
      <c r="N647" s="142"/>
      <c r="O647" s="403"/>
      <c r="P647" s="198"/>
      <c r="Q647" s="411"/>
      <c r="R647" s="76"/>
      <c r="S647" s="197"/>
      <c r="T647" s="198"/>
      <c r="U647" s="197"/>
      <c r="V647" s="198"/>
      <c r="W647" s="198"/>
      <c r="X647" s="198"/>
      <c r="Y647" s="198"/>
      <c r="Z647" s="198"/>
    </row>
    <row r="648">
      <c r="A648" s="403"/>
      <c r="B648" s="198"/>
      <c r="C648" s="403"/>
      <c r="D648" s="142"/>
      <c r="E648" s="403"/>
      <c r="F648" s="198"/>
      <c r="G648" s="403"/>
      <c r="H648" s="198"/>
      <c r="I648" s="410"/>
      <c r="J648" s="142"/>
      <c r="K648" s="410"/>
      <c r="L648" s="142"/>
      <c r="M648" s="410"/>
      <c r="N648" s="142"/>
      <c r="O648" s="403"/>
      <c r="P648" s="198"/>
      <c r="Q648" s="411"/>
      <c r="R648" s="76"/>
      <c r="S648" s="197"/>
      <c r="T648" s="198"/>
      <c r="U648" s="197"/>
      <c r="V648" s="198"/>
      <c r="W648" s="198"/>
      <c r="X648" s="198"/>
      <c r="Y648" s="198"/>
      <c r="Z648" s="198"/>
    </row>
    <row r="649">
      <c r="A649" s="403"/>
      <c r="B649" s="198"/>
      <c r="C649" s="403"/>
      <c r="D649" s="142"/>
      <c r="E649" s="403"/>
      <c r="F649" s="198"/>
      <c r="G649" s="403"/>
      <c r="H649" s="198"/>
      <c r="I649" s="410"/>
      <c r="J649" s="142"/>
      <c r="K649" s="410"/>
      <c r="L649" s="142"/>
      <c r="M649" s="410"/>
      <c r="N649" s="142"/>
      <c r="O649" s="403"/>
      <c r="P649" s="198"/>
      <c r="Q649" s="411"/>
      <c r="R649" s="76"/>
      <c r="S649" s="197"/>
      <c r="T649" s="198"/>
      <c r="U649" s="197"/>
      <c r="V649" s="198"/>
      <c r="W649" s="198"/>
      <c r="X649" s="198"/>
      <c r="Y649" s="198"/>
      <c r="Z649" s="198"/>
    </row>
    <row r="650">
      <c r="A650" s="403"/>
      <c r="B650" s="198"/>
      <c r="C650" s="403"/>
      <c r="D650" s="142"/>
      <c r="E650" s="403"/>
      <c r="F650" s="198"/>
      <c r="G650" s="403"/>
      <c r="H650" s="198"/>
      <c r="I650" s="410"/>
      <c r="J650" s="142"/>
      <c r="K650" s="410"/>
      <c r="L650" s="142"/>
      <c r="M650" s="410"/>
      <c r="N650" s="142"/>
      <c r="O650" s="403"/>
      <c r="P650" s="198"/>
      <c r="Q650" s="411"/>
      <c r="R650" s="76"/>
      <c r="S650" s="197"/>
      <c r="T650" s="198"/>
      <c r="U650" s="197"/>
      <c r="V650" s="198"/>
      <c r="W650" s="198"/>
      <c r="X650" s="198"/>
      <c r="Y650" s="198"/>
      <c r="Z650" s="198"/>
    </row>
    <row r="651">
      <c r="A651" s="403"/>
      <c r="B651" s="198"/>
      <c r="C651" s="403"/>
      <c r="D651" s="142"/>
      <c r="E651" s="403"/>
      <c r="F651" s="198"/>
      <c r="G651" s="403"/>
      <c r="H651" s="198"/>
      <c r="I651" s="410"/>
      <c r="J651" s="142"/>
      <c r="K651" s="410"/>
      <c r="L651" s="142"/>
      <c r="M651" s="410"/>
      <c r="N651" s="142"/>
      <c r="O651" s="403"/>
      <c r="P651" s="198"/>
      <c r="Q651" s="411"/>
      <c r="R651" s="76"/>
      <c r="S651" s="197"/>
      <c r="T651" s="198"/>
      <c r="U651" s="197"/>
      <c r="V651" s="198"/>
      <c r="W651" s="198"/>
      <c r="X651" s="198"/>
      <c r="Y651" s="198"/>
      <c r="Z651" s="198"/>
    </row>
    <row r="652">
      <c r="A652" s="403"/>
      <c r="B652" s="198"/>
      <c r="C652" s="403"/>
      <c r="D652" s="142"/>
      <c r="E652" s="403"/>
      <c r="F652" s="198"/>
      <c r="G652" s="403"/>
      <c r="H652" s="198"/>
      <c r="I652" s="410"/>
      <c r="J652" s="142"/>
      <c r="K652" s="410"/>
      <c r="L652" s="142"/>
      <c r="M652" s="410"/>
      <c r="N652" s="142"/>
      <c r="O652" s="403"/>
      <c r="P652" s="198"/>
      <c r="Q652" s="411"/>
      <c r="R652" s="76"/>
      <c r="S652" s="197"/>
      <c r="T652" s="198"/>
      <c r="U652" s="197"/>
      <c r="V652" s="198"/>
      <c r="W652" s="198"/>
      <c r="X652" s="198"/>
      <c r="Y652" s="198"/>
      <c r="Z652" s="198"/>
    </row>
    <row r="653">
      <c r="A653" s="403"/>
      <c r="B653" s="198"/>
      <c r="C653" s="403"/>
      <c r="D653" s="142"/>
      <c r="E653" s="403"/>
      <c r="F653" s="198"/>
      <c r="G653" s="403"/>
      <c r="H653" s="198"/>
      <c r="I653" s="410"/>
      <c r="J653" s="142"/>
      <c r="K653" s="410"/>
      <c r="L653" s="142"/>
      <c r="M653" s="410"/>
      <c r="N653" s="142"/>
      <c r="O653" s="403"/>
      <c r="P653" s="198"/>
      <c r="Q653" s="411"/>
      <c r="R653" s="76"/>
      <c r="S653" s="197"/>
      <c r="T653" s="198"/>
      <c r="U653" s="197"/>
      <c r="V653" s="198"/>
      <c r="W653" s="198"/>
      <c r="X653" s="198"/>
      <c r="Y653" s="198"/>
      <c r="Z653" s="198"/>
    </row>
    <row r="654">
      <c r="A654" s="403"/>
      <c r="B654" s="198"/>
      <c r="C654" s="403"/>
      <c r="D654" s="142"/>
      <c r="E654" s="403"/>
      <c r="F654" s="198"/>
      <c r="G654" s="403"/>
      <c r="H654" s="198"/>
      <c r="I654" s="410"/>
      <c r="J654" s="142"/>
      <c r="K654" s="410"/>
      <c r="L654" s="142"/>
      <c r="M654" s="410"/>
      <c r="N654" s="142"/>
      <c r="O654" s="403"/>
      <c r="P654" s="198"/>
      <c r="Q654" s="411"/>
      <c r="R654" s="76"/>
      <c r="S654" s="197"/>
      <c r="T654" s="198"/>
      <c r="U654" s="197"/>
      <c r="V654" s="198"/>
      <c r="W654" s="198"/>
      <c r="X654" s="198"/>
      <c r="Y654" s="198"/>
      <c r="Z654" s="198"/>
    </row>
    <row r="655">
      <c r="A655" s="403"/>
      <c r="B655" s="198"/>
      <c r="C655" s="403"/>
      <c r="D655" s="142"/>
      <c r="E655" s="403"/>
      <c r="F655" s="198"/>
      <c r="G655" s="403"/>
      <c r="H655" s="198"/>
      <c r="I655" s="410"/>
      <c r="J655" s="142"/>
      <c r="K655" s="410"/>
      <c r="L655" s="142"/>
      <c r="M655" s="410"/>
      <c r="N655" s="142"/>
      <c r="O655" s="403"/>
      <c r="P655" s="198"/>
      <c r="Q655" s="411"/>
      <c r="R655" s="76"/>
      <c r="S655" s="197"/>
      <c r="T655" s="198"/>
      <c r="U655" s="197"/>
      <c r="V655" s="198"/>
      <c r="W655" s="198"/>
      <c r="X655" s="198"/>
      <c r="Y655" s="198"/>
      <c r="Z655" s="198"/>
    </row>
    <row r="656">
      <c r="A656" s="403"/>
      <c r="B656" s="198"/>
      <c r="C656" s="403"/>
      <c r="D656" s="142"/>
      <c r="E656" s="403"/>
      <c r="F656" s="198"/>
      <c r="G656" s="403"/>
      <c r="H656" s="198"/>
      <c r="I656" s="410"/>
      <c r="J656" s="142"/>
      <c r="K656" s="410"/>
      <c r="L656" s="142"/>
      <c r="M656" s="410"/>
      <c r="N656" s="142"/>
      <c r="O656" s="403"/>
      <c r="P656" s="198"/>
      <c r="Q656" s="411"/>
      <c r="R656" s="76"/>
      <c r="S656" s="197"/>
      <c r="T656" s="198"/>
      <c r="U656" s="197"/>
      <c r="V656" s="198"/>
      <c r="W656" s="198"/>
      <c r="X656" s="198"/>
      <c r="Y656" s="198"/>
      <c r="Z656" s="198"/>
    </row>
    <row r="657">
      <c r="A657" s="403"/>
      <c r="B657" s="198"/>
      <c r="C657" s="403"/>
      <c r="D657" s="142"/>
      <c r="E657" s="403"/>
      <c r="F657" s="198"/>
      <c r="G657" s="403"/>
      <c r="H657" s="198"/>
      <c r="I657" s="410"/>
      <c r="J657" s="142"/>
      <c r="K657" s="410"/>
      <c r="L657" s="142"/>
      <c r="M657" s="410"/>
      <c r="N657" s="142"/>
      <c r="O657" s="403"/>
      <c r="P657" s="198"/>
      <c r="Q657" s="411"/>
      <c r="R657" s="76"/>
      <c r="S657" s="197"/>
      <c r="T657" s="198"/>
      <c r="U657" s="197"/>
      <c r="V657" s="198"/>
      <c r="W657" s="198"/>
      <c r="X657" s="198"/>
      <c r="Y657" s="198"/>
      <c r="Z657" s="198"/>
    </row>
    <row r="658">
      <c r="A658" s="403"/>
      <c r="B658" s="198"/>
      <c r="C658" s="403"/>
      <c r="D658" s="142"/>
      <c r="E658" s="403"/>
      <c r="F658" s="198"/>
      <c r="G658" s="403"/>
      <c r="H658" s="198"/>
      <c r="I658" s="410"/>
      <c r="J658" s="142"/>
      <c r="K658" s="410"/>
      <c r="L658" s="142"/>
      <c r="M658" s="410"/>
      <c r="N658" s="142"/>
      <c r="O658" s="403"/>
      <c r="P658" s="198"/>
      <c r="Q658" s="411"/>
      <c r="R658" s="76"/>
      <c r="S658" s="197"/>
      <c r="T658" s="198"/>
      <c r="U658" s="197"/>
      <c r="V658" s="198"/>
      <c r="W658" s="198"/>
      <c r="X658" s="198"/>
      <c r="Y658" s="198"/>
      <c r="Z658" s="198"/>
    </row>
    <row r="659">
      <c r="A659" s="403"/>
      <c r="B659" s="198"/>
      <c r="C659" s="403"/>
      <c r="D659" s="142"/>
      <c r="E659" s="403"/>
      <c r="F659" s="198"/>
      <c r="G659" s="403"/>
      <c r="H659" s="198"/>
      <c r="I659" s="410"/>
      <c r="J659" s="142"/>
      <c r="K659" s="410"/>
      <c r="L659" s="142"/>
      <c r="M659" s="410"/>
      <c r="N659" s="142"/>
      <c r="O659" s="403"/>
      <c r="P659" s="198"/>
      <c r="Q659" s="411"/>
      <c r="R659" s="76"/>
      <c r="S659" s="197"/>
      <c r="T659" s="198"/>
      <c r="U659" s="197"/>
      <c r="V659" s="198"/>
      <c r="W659" s="198"/>
      <c r="X659" s="198"/>
      <c r="Y659" s="198"/>
      <c r="Z659" s="198"/>
    </row>
    <row r="660">
      <c r="A660" s="403"/>
      <c r="B660" s="198"/>
      <c r="C660" s="403"/>
      <c r="D660" s="142"/>
      <c r="E660" s="403"/>
      <c r="F660" s="198"/>
      <c r="G660" s="403"/>
      <c r="H660" s="198"/>
      <c r="I660" s="410"/>
      <c r="J660" s="142"/>
      <c r="K660" s="410"/>
      <c r="L660" s="142"/>
      <c r="M660" s="410"/>
      <c r="N660" s="142"/>
      <c r="O660" s="403"/>
      <c r="P660" s="198"/>
      <c r="Q660" s="411"/>
      <c r="R660" s="76"/>
      <c r="S660" s="197"/>
      <c r="T660" s="198"/>
      <c r="U660" s="197"/>
      <c r="V660" s="198"/>
      <c r="W660" s="198"/>
      <c r="X660" s="198"/>
      <c r="Y660" s="198"/>
      <c r="Z660" s="198"/>
    </row>
    <row r="661">
      <c r="A661" s="403"/>
      <c r="B661" s="198"/>
      <c r="C661" s="403"/>
      <c r="D661" s="142"/>
      <c r="E661" s="403"/>
      <c r="F661" s="198"/>
      <c r="G661" s="403"/>
      <c r="H661" s="198"/>
      <c r="I661" s="410"/>
      <c r="J661" s="142"/>
      <c r="K661" s="410"/>
      <c r="L661" s="142"/>
      <c r="M661" s="410"/>
      <c r="N661" s="142"/>
      <c r="O661" s="403"/>
      <c r="P661" s="198"/>
      <c r="Q661" s="411"/>
      <c r="R661" s="76"/>
      <c r="S661" s="197"/>
      <c r="T661" s="198"/>
      <c r="U661" s="197"/>
      <c r="V661" s="198"/>
      <c r="W661" s="198"/>
      <c r="X661" s="198"/>
      <c r="Y661" s="198"/>
      <c r="Z661" s="198"/>
    </row>
    <row r="662">
      <c r="A662" s="403"/>
      <c r="B662" s="198"/>
      <c r="C662" s="403"/>
      <c r="D662" s="142"/>
      <c r="E662" s="403"/>
      <c r="F662" s="198"/>
      <c r="G662" s="403"/>
      <c r="H662" s="198"/>
      <c r="I662" s="410"/>
      <c r="J662" s="142"/>
      <c r="K662" s="410"/>
      <c r="L662" s="142"/>
      <c r="M662" s="410"/>
      <c r="N662" s="142"/>
      <c r="O662" s="403"/>
      <c r="P662" s="198"/>
      <c r="Q662" s="411"/>
      <c r="R662" s="76"/>
      <c r="S662" s="197"/>
      <c r="T662" s="198"/>
      <c r="U662" s="197"/>
      <c r="V662" s="198"/>
      <c r="W662" s="198"/>
      <c r="X662" s="198"/>
      <c r="Y662" s="198"/>
      <c r="Z662" s="198"/>
    </row>
    <row r="663">
      <c r="A663" s="403"/>
      <c r="B663" s="198"/>
      <c r="C663" s="403"/>
      <c r="D663" s="142"/>
      <c r="E663" s="403"/>
      <c r="F663" s="198"/>
      <c r="G663" s="403"/>
      <c r="H663" s="198"/>
      <c r="I663" s="410"/>
      <c r="J663" s="142"/>
      <c r="K663" s="410"/>
      <c r="L663" s="142"/>
      <c r="M663" s="410"/>
      <c r="N663" s="142"/>
      <c r="O663" s="403"/>
      <c r="P663" s="198"/>
      <c r="Q663" s="411"/>
      <c r="R663" s="76"/>
      <c r="S663" s="197"/>
      <c r="T663" s="198"/>
      <c r="U663" s="197"/>
      <c r="V663" s="198"/>
      <c r="W663" s="198"/>
      <c r="X663" s="198"/>
      <c r="Y663" s="198"/>
      <c r="Z663" s="198"/>
    </row>
    <row r="664">
      <c r="A664" s="403"/>
      <c r="B664" s="198"/>
      <c r="C664" s="403"/>
      <c r="D664" s="142"/>
      <c r="E664" s="403"/>
      <c r="F664" s="198"/>
      <c r="G664" s="403"/>
      <c r="H664" s="198"/>
      <c r="I664" s="410"/>
      <c r="J664" s="142"/>
      <c r="K664" s="410"/>
      <c r="L664" s="142"/>
      <c r="M664" s="410"/>
      <c r="N664" s="142"/>
      <c r="O664" s="403"/>
      <c r="P664" s="198"/>
      <c r="Q664" s="411"/>
      <c r="R664" s="76"/>
      <c r="S664" s="197"/>
      <c r="T664" s="198"/>
      <c r="U664" s="197"/>
      <c r="V664" s="198"/>
      <c r="W664" s="198"/>
      <c r="X664" s="198"/>
      <c r="Y664" s="198"/>
      <c r="Z664" s="198"/>
    </row>
    <row r="665">
      <c r="A665" s="403"/>
      <c r="B665" s="198"/>
      <c r="C665" s="403"/>
      <c r="D665" s="142"/>
      <c r="E665" s="403"/>
      <c r="F665" s="198"/>
      <c r="G665" s="403"/>
      <c r="H665" s="198"/>
      <c r="I665" s="410"/>
      <c r="J665" s="142"/>
      <c r="K665" s="410"/>
      <c r="L665" s="142"/>
      <c r="M665" s="410"/>
      <c r="N665" s="142"/>
      <c r="O665" s="403"/>
      <c r="P665" s="198"/>
      <c r="Q665" s="411"/>
      <c r="R665" s="76"/>
      <c r="S665" s="197"/>
      <c r="T665" s="198"/>
      <c r="U665" s="197"/>
      <c r="V665" s="198"/>
      <c r="W665" s="198"/>
      <c r="X665" s="198"/>
      <c r="Y665" s="198"/>
      <c r="Z665" s="198"/>
    </row>
    <row r="666">
      <c r="A666" s="403"/>
      <c r="B666" s="198"/>
      <c r="C666" s="403"/>
      <c r="D666" s="142"/>
      <c r="E666" s="403"/>
      <c r="F666" s="198"/>
      <c r="G666" s="403"/>
      <c r="H666" s="198"/>
      <c r="I666" s="410"/>
      <c r="J666" s="142"/>
      <c r="K666" s="410"/>
      <c r="L666" s="142"/>
      <c r="M666" s="410"/>
      <c r="N666" s="142"/>
      <c r="O666" s="403"/>
      <c r="P666" s="198"/>
      <c r="Q666" s="411"/>
      <c r="R666" s="76"/>
      <c r="S666" s="197"/>
      <c r="T666" s="198"/>
      <c r="U666" s="197"/>
      <c r="V666" s="198"/>
      <c r="W666" s="198"/>
      <c r="X666" s="198"/>
      <c r="Y666" s="198"/>
      <c r="Z666" s="198"/>
    </row>
    <row r="667">
      <c r="A667" s="403"/>
      <c r="B667" s="198"/>
      <c r="C667" s="403"/>
      <c r="D667" s="142"/>
      <c r="E667" s="403"/>
      <c r="F667" s="198"/>
      <c r="G667" s="403"/>
      <c r="H667" s="198"/>
      <c r="I667" s="410"/>
      <c r="J667" s="142"/>
      <c r="K667" s="410"/>
      <c r="L667" s="142"/>
      <c r="M667" s="410"/>
      <c r="N667" s="142"/>
      <c r="O667" s="403"/>
      <c r="P667" s="198"/>
      <c r="Q667" s="411"/>
      <c r="R667" s="76"/>
      <c r="S667" s="197"/>
      <c r="T667" s="198"/>
      <c r="U667" s="197"/>
      <c r="V667" s="198"/>
      <c r="W667" s="198"/>
      <c r="X667" s="198"/>
      <c r="Y667" s="198"/>
      <c r="Z667" s="198"/>
    </row>
    <row r="668">
      <c r="A668" s="403"/>
      <c r="B668" s="198"/>
      <c r="C668" s="403"/>
      <c r="D668" s="142"/>
      <c r="E668" s="403"/>
      <c r="F668" s="198"/>
      <c r="G668" s="403"/>
      <c r="H668" s="198"/>
      <c r="I668" s="410"/>
      <c r="J668" s="142"/>
      <c r="K668" s="410"/>
      <c r="L668" s="142"/>
      <c r="M668" s="410"/>
      <c r="N668" s="142"/>
      <c r="O668" s="403"/>
      <c r="P668" s="198"/>
      <c r="Q668" s="411"/>
      <c r="R668" s="76"/>
      <c r="S668" s="197"/>
      <c r="T668" s="198"/>
      <c r="U668" s="197"/>
      <c r="V668" s="198"/>
      <c r="W668" s="198"/>
      <c r="X668" s="198"/>
      <c r="Y668" s="198"/>
      <c r="Z668" s="198"/>
    </row>
    <row r="669">
      <c r="A669" s="403"/>
      <c r="B669" s="198"/>
      <c r="C669" s="403"/>
      <c r="D669" s="142"/>
      <c r="E669" s="403"/>
      <c r="F669" s="198"/>
      <c r="G669" s="403"/>
      <c r="H669" s="198"/>
      <c r="I669" s="410"/>
      <c r="J669" s="142"/>
      <c r="K669" s="410"/>
      <c r="L669" s="142"/>
      <c r="M669" s="410"/>
      <c r="N669" s="142"/>
      <c r="O669" s="403"/>
      <c r="P669" s="198"/>
      <c r="Q669" s="411"/>
      <c r="R669" s="76"/>
      <c r="S669" s="197"/>
      <c r="T669" s="198"/>
      <c r="U669" s="197"/>
      <c r="V669" s="198"/>
      <c r="W669" s="198"/>
      <c r="X669" s="198"/>
      <c r="Y669" s="198"/>
      <c r="Z669" s="198"/>
    </row>
    <row r="670">
      <c r="A670" s="403"/>
      <c r="B670" s="198"/>
      <c r="C670" s="403"/>
      <c r="D670" s="142"/>
      <c r="E670" s="403"/>
      <c r="F670" s="198"/>
      <c r="G670" s="403"/>
      <c r="H670" s="198"/>
      <c r="I670" s="410"/>
      <c r="J670" s="142"/>
      <c r="K670" s="410"/>
      <c r="L670" s="142"/>
      <c r="M670" s="410"/>
      <c r="N670" s="142"/>
      <c r="O670" s="403"/>
      <c r="P670" s="198"/>
      <c r="Q670" s="411"/>
      <c r="R670" s="76"/>
      <c r="S670" s="197"/>
      <c r="T670" s="198"/>
      <c r="U670" s="197"/>
      <c r="V670" s="198"/>
      <c r="W670" s="198"/>
      <c r="X670" s="198"/>
      <c r="Y670" s="198"/>
      <c r="Z670" s="198"/>
    </row>
    <row r="671">
      <c r="A671" s="403"/>
      <c r="B671" s="198"/>
      <c r="C671" s="403"/>
      <c r="D671" s="142"/>
      <c r="E671" s="403"/>
      <c r="F671" s="198"/>
      <c r="G671" s="403"/>
      <c r="H671" s="198"/>
      <c r="I671" s="410"/>
      <c r="J671" s="142"/>
      <c r="K671" s="410"/>
      <c r="L671" s="142"/>
      <c r="M671" s="410"/>
      <c r="N671" s="142"/>
      <c r="O671" s="403"/>
      <c r="P671" s="198"/>
      <c r="Q671" s="411"/>
      <c r="R671" s="76"/>
      <c r="S671" s="197"/>
      <c r="T671" s="198"/>
      <c r="U671" s="197"/>
      <c r="V671" s="198"/>
      <c r="W671" s="198"/>
      <c r="X671" s="198"/>
      <c r="Y671" s="198"/>
      <c r="Z671" s="198"/>
    </row>
    <row r="672">
      <c r="A672" s="403"/>
      <c r="B672" s="198"/>
      <c r="C672" s="403"/>
      <c r="D672" s="142"/>
      <c r="E672" s="403"/>
      <c r="F672" s="198"/>
      <c r="G672" s="403"/>
      <c r="H672" s="198"/>
      <c r="I672" s="410"/>
      <c r="J672" s="142"/>
      <c r="K672" s="410"/>
      <c r="L672" s="142"/>
      <c r="M672" s="410"/>
      <c r="N672" s="142"/>
      <c r="O672" s="403"/>
      <c r="P672" s="198"/>
      <c r="Q672" s="411"/>
      <c r="R672" s="76"/>
      <c r="S672" s="197"/>
      <c r="T672" s="198"/>
      <c r="U672" s="197"/>
      <c r="V672" s="198"/>
      <c r="W672" s="198"/>
      <c r="X672" s="198"/>
      <c r="Y672" s="198"/>
      <c r="Z672" s="198"/>
    </row>
    <row r="673">
      <c r="A673" s="403"/>
      <c r="B673" s="198"/>
      <c r="C673" s="403"/>
      <c r="D673" s="142"/>
      <c r="E673" s="403"/>
      <c r="F673" s="198"/>
      <c r="G673" s="403"/>
      <c r="H673" s="198"/>
      <c r="I673" s="410"/>
      <c r="J673" s="142"/>
      <c r="K673" s="410"/>
      <c r="L673" s="142"/>
      <c r="M673" s="410"/>
      <c r="N673" s="142"/>
      <c r="O673" s="403"/>
      <c r="P673" s="198"/>
      <c r="Q673" s="411"/>
      <c r="R673" s="76"/>
      <c r="S673" s="197"/>
      <c r="T673" s="198"/>
      <c r="U673" s="197"/>
      <c r="V673" s="198"/>
      <c r="W673" s="198"/>
      <c r="X673" s="198"/>
      <c r="Y673" s="198"/>
      <c r="Z673" s="198"/>
    </row>
    <row r="674">
      <c r="A674" s="403"/>
      <c r="B674" s="198"/>
      <c r="C674" s="403"/>
      <c r="D674" s="142"/>
      <c r="E674" s="403"/>
      <c r="F674" s="198"/>
      <c r="G674" s="403"/>
      <c r="H674" s="198"/>
      <c r="I674" s="410"/>
      <c r="J674" s="142"/>
      <c r="K674" s="410"/>
      <c r="L674" s="142"/>
      <c r="M674" s="410"/>
      <c r="N674" s="142"/>
      <c r="O674" s="403"/>
      <c r="P674" s="198"/>
      <c r="Q674" s="411"/>
      <c r="R674" s="76"/>
      <c r="S674" s="197"/>
      <c r="T674" s="198"/>
      <c r="U674" s="197"/>
      <c r="V674" s="198"/>
      <c r="W674" s="198"/>
      <c r="X674" s="198"/>
      <c r="Y674" s="198"/>
      <c r="Z674" s="198"/>
    </row>
    <row r="675">
      <c r="A675" s="403"/>
      <c r="B675" s="198"/>
      <c r="C675" s="403"/>
      <c r="D675" s="142"/>
      <c r="E675" s="403"/>
      <c r="F675" s="198"/>
      <c r="G675" s="403"/>
      <c r="H675" s="198"/>
      <c r="I675" s="410"/>
      <c r="J675" s="142"/>
      <c r="K675" s="410"/>
      <c r="L675" s="142"/>
      <c r="M675" s="410"/>
      <c r="N675" s="142"/>
      <c r="O675" s="403"/>
      <c r="P675" s="198"/>
      <c r="Q675" s="411"/>
      <c r="R675" s="76"/>
      <c r="S675" s="197"/>
      <c r="T675" s="198"/>
      <c r="U675" s="197"/>
      <c r="V675" s="198"/>
      <c r="W675" s="198"/>
      <c r="X675" s="198"/>
      <c r="Y675" s="198"/>
      <c r="Z675" s="198"/>
    </row>
    <row r="676">
      <c r="A676" s="403"/>
      <c r="B676" s="198"/>
      <c r="C676" s="403"/>
      <c r="D676" s="142"/>
      <c r="E676" s="403"/>
      <c r="F676" s="198"/>
      <c r="G676" s="403"/>
      <c r="H676" s="198"/>
      <c r="I676" s="410"/>
      <c r="J676" s="142"/>
      <c r="K676" s="410"/>
      <c r="L676" s="142"/>
      <c r="M676" s="410"/>
      <c r="N676" s="142"/>
      <c r="O676" s="403"/>
      <c r="P676" s="198"/>
      <c r="Q676" s="411"/>
      <c r="R676" s="76"/>
      <c r="S676" s="197"/>
      <c r="T676" s="198"/>
      <c r="U676" s="197"/>
      <c r="V676" s="198"/>
      <c r="W676" s="198"/>
      <c r="X676" s="198"/>
      <c r="Y676" s="198"/>
      <c r="Z676" s="198"/>
    </row>
    <row r="677">
      <c r="A677" s="403"/>
      <c r="B677" s="198"/>
      <c r="C677" s="403"/>
      <c r="D677" s="142"/>
      <c r="E677" s="403"/>
      <c r="F677" s="198"/>
      <c r="G677" s="403"/>
      <c r="H677" s="198"/>
      <c r="I677" s="410"/>
      <c r="J677" s="142"/>
      <c r="K677" s="410"/>
      <c r="L677" s="142"/>
      <c r="M677" s="410"/>
      <c r="N677" s="142"/>
      <c r="O677" s="403"/>
      <c r="P677" s="198"/>
      <c r="Q677" s="411"/>
      <c r="R677" s="76"/>
      <c r="S677" s="197"/>
      <c r="T677" s="198"/>
      <c r="U677" s="197"/>
      <c r="V677" s="198"/>
      <c r="W677" s="198"/>
      <c r="X677" s="198"/>
      <c r="Y677" s="198"/>
      <c r="Z677" s="198"/>
    </row>
    <row r="678">
      <c r="A678" s="403"/>
      <c r="B678" s="198"/>
      <c r="C678" s="403"/>
      <c r="D678" s="142"/>
      <c r="E678" s="403"/>
      <c r="F678" s="198"/>
      <c r="G678" s="403"/>
      <c r="H678" s="198"/>
      <c r="I678" s="410"/>
      <c r="J678" s="142"/>
      <c r="K678" s="410"/>
      <c r="L678" s="142"/>
      <c r="M678" s="410"/>
      <c r="N678" s="142"/>
      <c r="O678" s="403"/>
      <c r="P678" s="198"/>
      <c r="Q678" s="411"/>
      <c r="R678" s="76"/>
      <c r="S678" s="197"/>
      <c r="T678" s="198"/>
      <c r="U678" s="197"/>
      <c r="V678" s="198"/>
      <c r="W678" s="198"/>
      <c r="X678" s="198"/>
      <c r="Y678" s="198"/>
      <c r="Z678" s="198"/>
    </row>
    <row r="679">
      <c r="A679" s="403"/>
      <c r="B679" s="198"/>
      <c r="C679" s="403"/>
      <c r="D679" s="142"/>
      <c r="E679" s="403"/>
      <c r="F679" s="198"/>
      <c r="G679" s="403"/>
      <c r="H679" s="198"/>
      <c r="I679" s="410"/>
      <c r="J679" s="142"/>
      <c r="K679" s="410"/>
      <c r="L679" s="142"/>
      <c r="M679" s="410"/>
      <c r="N679" s="142"/>
      <c r="O679" s="403"/>
      <c r="P679" s="198"/>
      <c r="Q679" s="411"/>
      <c r="R679" s="76"/>
      <c r="S679" s="197"/>
      <c r="T679" s="198"/>
      <c r="U679" s="197"/>
      <c r="V679" s="198"/>
      <c r="W679" s="198"/>
      <c r="X679" s="198"/>
      <c r="Y679" s="198"/>
      <c r="Z679" s="198"/>
    </row>
    <row r="680">
      <c r="A680" s="403"/>
      <c r="B680" s="198"/>
      <c r="C680" s="403"/>
      <c r="D680" s="142"/>
      <c r="E680" s="403"/>
      <c r="F680" s="198"/>
      <c r="G680" s="403"/>
      <c r="H680" s="198"/>
      <c r="I680" s="410"/>
      <c r="J680" s="142"/>
      <c r="K680" s="410"/>
      <c r="L680" s="142"/>
      <c r="M680" s="410"/>
      <c r="N680" s="142"/>
      <c r="O680" s="403"/>
      <c r="P680" s="198"/>
      <c r="Q680" s="411"/>
      <c r="R680" s="76"/>
      <c r="S680" s="197"/>
      <c r="T680" s="198"/>
      <c r="U680" s="197"/>
      <c r="V680" s="198"/>
      <c r="W680" s="198"/>
      <c r="X680" s="198"/>
      <c r="Y680" s="198"/>
      <c r="Z680" s="198"/>
    </row>
    <row r="681">
      <c r="A681" s="403"/>
      <c r="B681" s="198"/>
      <c r="C681" s="403"/>
      <c r="D681" s="142"/>
      <c r="E681" s="403"/>
      <c r="F681" s="198"/>
      <c r="G681" s="403"/>
      <c r="H681" s="198"/>
      <c r="I681" s="410"/>
      <c r="J681" s="142"/>
      <c r="K681" s="410"/>
      <c r="L681" s="142"/>
      <c r="M681" s="410"/>
      <c r="N681" s="142"/>
      <c r="O681" s="403"/>
      <c r="P681" s="198"/>
      <c r="Q681" s="411"/>
      <c r="R681" s="76"/>
      <c r="S681" s="197"/>
      <c r="T681" s="198"/>
      <c r="U681" s="197"/>
      <c r="V681" s="198"/>
      <c r="W681" s="198"/>
      <c r="X681" s="198"/>
      <c r="Y681" s="198"/>
      <c r="Z681" s="198"/>
    </row>
    <row r="682">
      <c r="A682" s="403"/>
      <c r="B682" s="198"/>
      <c r="C682" s="403"/>
      <c r="D682" s="142"/>
      <c r="E682" s="403"/>
      <c r="F682" s="198"/>
      <c r="G682" s="403"/>
      <c r="H682" s="198"/>
      <c r="I682" s="410"/>
      <c r="J682" s="142"/>
      <c r="K682" s="410"/>
      <c r="L682" s="142"/>
      <c r="M682" s="410"/>
      <c r="N682" s="142"/>
      <c r="O682" s="403"/>
      <c r="P682" s="198"/>
      <c r="Q682" s="411"/>
      <c r="R682" s="76"/>
      <c r="S682" s="197"/>
      <c r="T682" s="198"/>
      <c r="U682" s="197"/>
      <c r="V682" s="198"/>
      <c r="W682" s="198"/>
      <c r="X682" s="198"/>
      <c r="Y682" s="198"/>
      <c r="Z682" s="198"/>
    </row>
    <row r="683">
      <c r="A683" s="403"/>
      <c r="B683" s="198"/>
      <c r="C683" s="403"/>
      <c r="D683" s="142"/>
      <c r="E683" s="403"/>
      <c r="F683" s="198"/>
      <c r="G683" s="403"/>
      <c r="H683" s="198"/>
      <c r="I683" s="410"/>
      <c r="J683" s="142"/>
      <c r="K683" s="410"/>
      <c r="L683" s="142"/>
      <c r="M683" s="410"/>
      <c r="N683" s="142"/>
      <c r="O683" s="403"/>
      <c r="P683" s="198"/>
      <c r="Q683" s="411"/>
      <c r="R683" s="76"/>
      <c r="S683" s="197"/>
      <c r="T683" s="198"/>
      <c r="U683" s="197"/>
      <c r="V683" s="198"/>
      <c r="W683" s="198"/>
      <c r="X683" s="198"/>
      <c r="Y683" s="198"/>
      <c r="Z683" s="198"/>
    </row>
    <row r="684">
      <c r="A684" s="403"/>
      <c r="B684" s="198"/>
      <c r="C684" s="403"/>
      <c r="D684" s="142"/>
      <c r="E684" s="403"/>
      <c r="F684" s="198"/>
      <c r="G684" s="403"/>
      <c r="H684" s="198"/>
      <c r="I684" s="410"/>
      <c r="J684" s="142"/>
      <c r="K684" s="410"/>
      <c r="L684" s="142"/>
      <c r="M684" s="410"/>
      <c r="N684" s="142"/>
      <c r="O684" s="403"/>
      <c r="P684" s="198"/>
      <c r="Q684" s="411"/>
      <c r="R684" s="76"/>
      <c r="S684" s="197"/>
      <c r="T684" s="198"/>
      <c r="U684" s="197"/>
      <c r="V684" s="198"/>
      <c r="W684" s="198"/>
      <c r="X684" s="198"/>
      <c r="Y684" s="198"/>
      <c r="Z684" s="198"/>
    </row>
    <row r="685">
      <c r="A685" s="403"/>
      <c r="B685" s="198"/>
      <c r="C685" s="403"/>
      <c r="D685" s="142"/>
      <c r="E685" s="403"/>
      <c r="F685" s="198"/>
      <c r="G685" s="403"/>
      <c r="H685" s="198"/>
      <c r="I685" s="410"/>
      <c r="J685" s="142"/>
      <c r="K685" s="410"/>
      <c r="L685" s="142"/>
      <c r="M685" s="410"/>
      <c r="N685" s="142"/>
      <c r="O685" s="403"/>
      <c r="P685" s="198"/>
      <c r="Q685" s="411"/>
      <c r="R685" s="76"/>
      <c r="S685" s="197"/>
      <c r="T685" s="198"/>
      <c r="U685" s="197"/>
      <c r="V685" s="198"/>
      <c r="W685" s="198"/>
      <c r="X685" s="198"/>
      <c r="Y685" s="198"/>
      <c r="Z685" s="198"/>
    </row>
    <row r="686">
      <c r="A686" s="403"/>
      <c r="B686" s="198"/>
      <c r="C686" s="403"/>
      <c r="D686" s="142"/>
      <c r="E686" s="403"/>
      <c r="F686" s="198"/>
      <c r="G686" s="403"/>
      <c r="H686" s="198"/>
      <c r="I686" s="410"/>
      <c r="J686" s="142"/>
      <c r="K686" s="410"/>
      <c r="L686" s="142"/>
      <c r="M686" s="410"/>
      <c r="N686" s="142"/>
      <c r="O686" s="403"/>
      <c r="P686" s="198"/>
      <c r="Q686" s="411"/>
      <c r="R686" s="76"/>
      <c r="S686" s="197"/>
      <c r="T686" s="198"/>
      <c r="U686" s="197"/>
      <c r="V686" s="198"/>
      <c r="W686" s="198"/>
      <c r="X686" s="198"/>
      <c r="Y686" s="198"/>
      <c r="Z686" s="198"/>
    </row>
    <row r="687">
      <c r="A687" s="403"/>
      <c r="B687" s="198"/>
      <c r="C687" s="403"/>
      <c r="D687" s="142"/>
      <c r="E687" s="403"/>
      <c r="F687" s="198"/>
      <c r="G687" s="403"/>
      <c r="H687" s="198"/>
      <c r="I687" s="410"/>
      <c r="J687" s="142"/>
      <c r="K687" s="410"/>
      <c r="L687" s="142"/>
      <c r="M687" s="410"/>
      <c r="N687" s="142"/>
      <c r="O687" s="403"/>
      <c r="P687" s="198"/>
      <c r="Q687" s="411"/>
      <c r="R687" s="76"/>
      <c r="S687" s="197"/>
      <c r="T687" s="198"/>
      <c r="U687" s="197"/>
      <c r="V687" s="198"/>
      <c r="W687" s="198"/>
      <c r="X687" s="198"/>
      <c r="Y687" s="198"/>
      <c r="Z687" s="198"/>
    </row>
    <row r="688">
      <c r="A688" s="403"/>
      <c r="B688" s="198"/>
      <c r="C688" s="403"/>
      <c r="D688" s="142"/>
      <c r="E688" s="403"/>
      <c r="F688" s="198"/>
      <c r="G688" s="403"/>
      <c r="H688" s="198"/>
      <c r="I688" s="410"/>
      <c r="J688" s="142"/>
      <c r="K688" s="410"/>
      <c r="L688" s="142"/>
      <c r="M688" s="410"/>
      <c r="N688" s="142"/>
      <c r="O688" s="403"/>
      <c r="P688" s="198"/>
      <c r="Q688" s="411"/>
      <c r="R688" s="76"/>
      <c r="S688" s="197"/>
      <c r="T688" s="198"/>
      <c r="U688" s="197"/>
      <c r="V688" s="198"/>
      <c r="W688" s="198"/>
      <c r="X688" s="198"/>
      <c r="Y688" s="198"/>
      <c r="Z688" s="198"/>
    </row>
    <row r="689">
      <c r="A689" s="403"/>
      <c r="B689" s="198"/>
      <c r="C689" s="403"/>
      <c r="D689" s="142"/>
      <c r="E689" s="403"/>
      <c r="F689" s="198"/>
      <c r="G689" s="403"/>
      <c r="H689" s="198"/>
      <c r="I689" s="410"/>
      <c r="J689" s="142"/>
      <c r="K689" s="410"/>
      <c r="L689" s="142"/>
      <c r="M689" s="410"/>
      <c r="N689" s="142"/>
      <c r="O689" s="403"/>
      <c r="P689" s="198"/>
      <c r="Q689" s="411"/>
      <c r="R689" s="76"/>
      <c r="S689" s="197"/>
      <c r="T689" s="198"/>
      <c r="U689" s="197"/>
      <c r="V689" s="198"/>
      <c r="W689" s="198"/>
      <c r="X689" s="198"/>
      <c r="Y689" s="198"/>
      <c r="Z689" s="198"/>
    </row>
    <row r="690">
      <c r="A690" s="403"/>
      <c r="B690" s="198"/>
      <c r="C690" s="403"/>
      <c r="D690" s="142"/>
      <c r="E690" s="403"/>
      <c r="F690" s="198"/>
      <c r="G690" s="403"/>
      <c r="H690" s="198"/>
      <c r="I690" s="410"/>
      <c r="J690" s="142"/>
      <c r="K690" s="410"/>
      <c r="L690" s="142"/>
      <c r="M690" s="410"/>
      <c r="N690" s="142"/>
      <c r="O690" s="403"/>
      <c r="P690" s="198"/>
      <c r="Q690" s="411"/>
      <c r="R690" s="76"/>
      <c r="S690" s="197"/>
      <c r="T690" s="198"/>
      <c r="U690" s="197"/>
      <c r="V690" s="198"/>
      <c r="W690" s="198"/>
      <c r="X690" s="198"/>
      <c r="Y690" s="198"/>
      <c r="Z690" s="198"/>
    </row>
    <row r="691">
      <c r="A691" s="403"/>
      <c r="B691" s="198"/>
      <c r="C691" s="403"/>
      <c r="D691" s="142"/>
      <c r="E691" s="403"/>
      <c r="F691" s="198"/>
      <c r="G691" s="403"/>
      <c r="H691" s="198"/>
      <c r="I691" s="410"/>
      <c r="J691" s="142"/>
      <c r="K691" s="410"/>
      <c r="L691" s="142"/>
      <c r="M691" s="410"/>
      <c r="N691" s="142"/>
      <c r="O691" s="403"/>
      <c r="P691" s="198"/>
      <c r="Q691" s="411"/>
      <c r="R691" s="76"/>
      <c r="S691" s="197"/>
      <c r="T691" s="198"/>
      <c r="U691" s="197"/>
      <c r="V691" s="198"/>
      <c r="W691" s="198"/>
      <c r="X691" s="198"/>
      <c r="Y691" s="198"/>
      <c r="Z691" s="198"/>
    </row>
    <row r="692">
      <c r="A692" s="403"/>
      <c r="B692" s="198"/>
      <c r="C692" s="403"/>
      <c r="D692" s="142"/>
      <c r="E692" s="403"/>
      <c r="F692" s="198"/>
      <c r="G692" s="403"/>
      <c r="H692" s="198"/>
      <c r="I692" s="410"/>
      <c r="J692" s="142"/>
      <c r="K692" s="410"/>
      <c r="L692" s="142"/>
      <c r="M692" s="410"/>
      <c r="N692" s="142"/>
      <c r="O692" s="403"/>
      <c r="P692" s="198"/>
      <c r="Q692" s="411"/>
      <c r="R692" s="76"/>
      <c r="S692" s="197"/>
      <c r="T692" s="198"/>
      <c r="U692" s="197"/>
      <c r="V692" s="198"/>
      <c r="W692" s="198"/>
      <c r="X692" s="198"/>
      <c r="Y692" s="198"/>
      <c r="Z692" s="198"/>
    </row>
    <row r="693">
      <c r="A693" s="403"/>
      <c r="B693" s="198"/>
      <c r="C693" s="403"/>
      <c r="D693" s="142"/>
      <c r="E693" s="403"/>
      <c r="F693" s="198"/>
      <c r="G693" s="403"/>
      <c r="H693" s="198"/>
      <c r="I693" s="410"/>
      <c r="J693" s="142"/>
      <c r="K693" s="410"/>
      <c r="L693" s="142"/>
      <c r="M693" s="410"/>
      <c r="N693" s="142"/>
      <c r="O693" s="403"/>
      <c r="P693" s="198"/>
      <c r="Q693" s="411"/>
      <c r="R693" s="76"/>
      <c r="S693" s="197"/>
      <c r="T693" s="198"/>
      <c r="U693" s="197"/>
      <c r="V693" s="198"/>
      <c r="W693" s="198"/>
      <c r="X693" s="198"/>
      <c r="Y693" s="198"/>
      <c r="Z693" s="198"/>
    </row>
    <row r="694">
      <c r="A694" s="403"/>
      <c r="B694" s="198"/>
      <c r="C694" s="403"/>
      <c r="D694" s="142"/>
      <c r="E694" s="403"/>
      <c r="F694" s="198"/>
      <c r="G694" s="403"/>
      <c r="H694" s="198"/>
      <c r="I694" s="410"/>
      <c r="J694" s="142"/>
      <c r="K694" s="410"/>
      <c r="L694" s="142"/>
      <c r="M694" s="410"/>
      <c r="N694" s="142"/>
      <c r="O694" s="403"/>
      <c r="P694" s="198"/>
      <c r="Q694" s="411"/>
      <c r="R694" s="76"/>
      <c r="S694" s="197"/>
      <c r="T694" s="198"/>
      <c r="U694" s="197"/>
      <c r="V694" s="198"/>
      <c r="W694" s="198"/>
      <c r="X694" s="198"/>
      <c r="Y694" s="198"/>
      <c r="Z694" s="198"/>
    </row>
    <row r="695">
      <c r="A695" s="403"/>
      <c r="B695" s="198"/>
      <c r="C695" s="403"/>
      <c r="D695" s="142"/>
      <c r="E695" s="403"/>
      <c r="F695" s="198"/>
      <c r="G695" s="403"/>
      <c r="H695" s="198"/>
      <c r="I695" s="410"/>
      <c r="J695" s="142"/>
      <c r="K695" s="410"/>
      <c r="L695" s="142"/>
      <c r="M695" s="410"/>
      <c r="N695" s="142"/>
      <c r="O695" s="403"/>
      <c r="P695" s="198"/>
      <c r="Q695" s="411"/>
      <c r="R695" s="76"/>
      <c r="S695" s="197"/>
      <c r="T695" s="198"/>
      <c r="U695" s="197"/>
      <c r="V695" s="198"/>
      <c r="W695" s="198"/>
      <c r="X695" s="198"/>
      <c r="Y695" s="198"/>
      <c r="Z695" s="198"/>
    </row>
    <row r="696">
      <c r="A696" s="403"/>
      <c r="B696" s="198"/>
      <c r="C696" s="403"/>
      <c r="D696" s="142"/>
      <c r="E696" s="403"/>
      <c r="F696" s="198"/>
      <c r="G696" s="403"/>
      <c r="H696" s="198"/>
      <c r="I696" s="410"/>
      <c r="J696" s="142"/>
      <c r="K696" s="410"/>
      <c r="L696" s="142"/>
      <c r="M696" s="410"/>
      <c r="N696" s="142"/>
      <c r="O696" s="403"/>
      <c r="P696" s="198"/>
      <c r="Q696" s="411"/>
      <c r="R696" s="76"/>
      <c r="S696" s="197"/>
      <c r="T696" s="198"/>
      <c r="U696" s="197"/>
      <c r="V696" s="198"/>
      <c r="W696" s="198"/>
      <c r="X696" s="198"/>
      <c r="Y696" s="198"/>
      <c r="Z696" s="198"/>
    </row>
    <row r="697">
      <c r="A697" s="403"/>
      <c r="B697" s="198"/>
      <c r="C697" s="403"/>
      <c r="D697" s="142"/>
      <c r="E697" s="403"/>
      <c r="F697" s="198"/>
      <c r="G697" s="403"/>
      <c r="H697" s="198"/>
      <c r="I697" s="410"/>
      <c r="J697" s="142"/>
      <c r="K697" s="410"/>
      <c r="L697" s="142"/>
      <c r="M697" s="410"/>
      <c r="N697" s="142"/>
      <c r="O697" s="403"/>
      <c r="P697" s="198"/>
      <c r="Q697" s="411"/>
      <c r="R697" s="76"/>
      <c r="S697" s="197"/>
      <c r="T697" s="198"/>
      <c r="U697" s="197"/>
      <c r="V697" s="198"/>
      <c r="W697" s="198"/>
      <c r="X697" s="198"/>
      <c r="Y697" s="198"/>
      <c r="Z697" s="198"/>
    </row>
    <row r="698">
      <c r="A698" s="403"/>
      <c r="B698" s="198"/>
      <c r="C698" s="403"/>
      <c r="D698" s="142"/>
      <c r="E698" s="403"/>
      <c r="F698" s="198"/>
      <c r="G698" s="403"/>
      <c r="H698" s="198"/>
      <c r="I698" s="410"/>
      <c r="J698" s="142"/>
      <c r="K698" s="410"/>
      <c r="L698" s="142"/>
      <c r="M698" s="410"/>
      <c r="N698" s="142"/>
      <c r="O698" s="403"/>
      <c r="P698" s="198"/>
      <c r="Q698" s="411"/>
      <c r="R698" s="76"/>
      <c r="S698" s="197"/>
      <c r="T698" s="198"/>
      <c r="U698" s="197"/>
      <c r="V698" s="198"/>
      <c r="W698" s="198"/>
      <c r="X698" s="198"/>
      <c r="Y698" s="198"/>
      <c r="Z698" s="198"/>
    </row>
    <row r="699">
      <c r="A699" s="403"/>
      <c r="B699" s="198"/>
      <c r="C699" s="403"/>
      <c r="D699" s="142"/>
      <c r="E699" s="403"/>
      <c r="F699" s="198"/>
      <c r="G699" s="403"/>
      <c r="H699" s="198"/>
      <c r="I699" s="410"/>
      <c r="J699" s="142"/>
      <c r="K699" s="410"/>
      <c r="L699" s="142"/>
      <c r="M699" s="410"/>
      <c r="N699" s="142"/>
      <c r="O699" s="403"/>
      <c r="P699" s="198"/>
      <c r="Q699" s="411"/>
      <c r="R699" s="76"/>
      <c r="S699" s="197"/>
      <c r="T699" s="198"/>
      <c r="U699" s="197"/>
      <c r="V699" s="198"/>
      <c r="W699" s="198"/>
      <c r="X699" s="198"/>
      <c r="Y699" s="198"/>
      <c r="Z699" s="198"/>
    </row>
    <row r="700">
      <c r="A700" s="403"/>
      <c r="B700" s="198"/>
      <c r="C700" s="403"/>
      <c r="D700" s="142"/>
      <c r="E700" s="403"/>
      <c r="F700" s="198"/>
      <c r="G700" s="403"/>
      <c r="H700" s="198"/>
      <c r="I700" s="410"/>
      <c r="J700" s="142"/>
      <c r="K700" s="410"/>
      <c r="L700" s="142"/>
      <c r="M700" s="410"/>
      <c r="N700" s="142"/>
      <c r="O700" s="403"/>
      <c r="P700" s="198"/>
      <c r="Q700" s="411"/>
      <c r="R700" s="76"/>
      <c r="S700" s="197"/>
      <c r="T700" s="198"/>
      <c r="U700" s="197"/>
      <c r="V700" s="198"/>
      <c r="W700" s="198"/>
      <c r="X700" s="198"/>
      <c r="Y700" s="198"/>
      <c r="Z700" s="198"/>
    </row>
    <row r="701">
      <c r="A701" s="403"/>
      <c r="B701" s="198"/>
      <c r="C701" s="403"/>
      <c r="D701" s="142"/>
      <c r="E701" s="403"/>
      <c r="F701" s="198"/>
      <c r="G701" s="403"/>
      <c r="H701" s="198"/>
      <c r="I701" s="410"/>
      <c r="J701" s="142"/>
      <c r="K701" s="410"/>
      <c r="L701" s="142"/>
      <c r="M701" s="410"/>
      <c r="N701" s="142"/>
      <c r="O701" s="403"/>
      <c r="P701" s="198"/>
      <c r="Q701" s="411"/>
      <c r="R701" s="76"/>
      <c r="S701" s="197"/>
      <c r="T701" s="198"/>
      <c r="U701" s="197"/>
      <c r="V701" s="198"/>
      <c r="W701" s="198"/>
      <c r="X701" s="198"/>
      <c r="Y701" s="198"/>
      <c r="Z701" s="198"/>
    </row>
    <row r="702">
      <c r="A702" s="403"/>
      <c r="B702" s="198"/>
      <c r="C702" s="403"/>
      <c r="D702" s="142"/>
      <c r="E702" s="403"/>
      <c r="F702" s="198"/>
      <c r="G702" s="403"/>
      <c r="H702" s="198"/>
      <c r="I702" s="410"/>
      <c r="J702" s="142"/>
      <c r="K702" s="410"/>
      <c r="L702" s="142"/>
      <c r="M702" s="410"/>
      <c r="N702" s="142"/>
      <c r="O702" s="403"/>
      <c r="P702" s="198"/>
      <c r="Q702" s="411"/>
      <c r="R702" s="76"/>
      <c r="S702" s="197"/>
      <c r="T702" s="198"/>
      <c r="U702" s="197"/>
      <c r="V702" s="198"/>
      <c r="W702" s="198"/>
      <c r="X702" s="198"/>
      <c r="Y702" s="198"/>
      <c r="Z702" s="198"/>
    </row>
    <row r="703">
      <c r="A703" s="403"/>
      <c r="B703" s="198"/>
      <c r="C703" s="403"/>
      <c r="D703" s="142"/>
      <c r="E703" s="403"/>
      <c r="F703" s="198"/>
      <c r="G703" s="403"/>
      <c r="H703" s="198"/>
      <c r="I703" s="410"/>
      <c r="J703" s="142"/>
      <c r="K703" s="410"/>
      <c r="L703" s="142"/>
      <c r="M703" s="410"/>
      <c r="N703" s="142"/>
      <c r="O703" s="403"/>
      <c r="P703" s="198"/>
      <c r="Q703" s="411"/>
      <c r="R703" s="76"/>
      <c r="S703" s="197"/>
      <c r="T703" s="198"/>
      <c r="U703" s="197"/>
      <c r="V703" s="198"/>
      <c r="W703" s="198"/>
      <c r="X703" s="198"/>
      <c r="Y703" s="198"/>
      <c r="Z703" s="198"/>
    </row>
    <row r="704">
      <c r="A704" s="403"/>
      <c r="B704" s="198"/>
      <c r="C704" s="403"/>
      <c r="D704" s="142"/>
      <c r="E704" s="403"/>
      <c r="F704" s="198"/>
      <c r="G704" s="403"/>
      <c r="H704" s="198"/>
      <c r="I704" s="410"/>
      <c r="J704" s="142"/>
      <c r="K704" s="410"/>
      <c r="L704" s="142"/>
      <c r="M704" s="410"/>
      <c r="N704" s="142"/>
      <c r="O704" s="403"/>
      <c r="P704" s="198"/>
      <c r="Q704" s="411"/>
      <c r="R704" s="76"/>
      <c r="S704" s="197"/>
      <c r="T704" s="198"/>
      <c r="U704" s="197"/>
      <c r="V704" s="198"/>
      <c r="W704" s="198"/>
      <c r="X704" s="198"/>
      <c r="Y704" s="198"/>
      <c r="Z704" s="198"/>
    </row>
    <row r="705">
      <c r="A705" s="403"/>
      <c r="B705" s="198"/>
      <c r="C705" s="403"/>
      <c r="D705" s="142"/>
      <c r="E705" s="403"/>
      <c r="F705" s="198"/>
      <c r="G705" s="403"/>
      <c r="H705" s="198"/>
      <c r="I705" s="410"/>
      <c r="J705" s="142"/>
      <c r="K705" s="410"/>
      <c r="L705" s="142"/>
      <c r="M705" s="410"/>
      <c r="N705" s="142"/>
      <c r="O705" s="403"/>
      <c r="P705" s="198"/>
      <c r="Q705" s="411"/>
      <c r="R705" s="76"/>
      <c r="S705" s="197"/>
      <c r="T705" s="198"/>
      <c r="U705" s="197"/>
      <c r="V705" s="198"/>
      <c r="W705" s="198"/>
      <c r="X705" s="198"/>
      <c r="Y705" s="198"/>
      <c r="Z705" s="198"/>
    </row>
    <row r="706">
      <c r="A706" s="403"/>
      <c r="B706" s="198"/>
      <c r="C706" s="403"/>
      <c r="D706" s="142"/>
      <c r="E706" s="403"/>
      <c r="F706" s="198"/>
      <c r="G706" s="403"/>
      <c r="H706" s="198"/>
      <c r="I706" s="410"/>
      <c r="J706" s="142"/>
      <c r="K706" s="410"/>
      <c r="L706" s="142"/>
      <c r="M706" s="410"/>
      <c r="N706" s="142"/>
      <c r="O706" s="403"/>
      <c r="P706" s="198"/>
      <c r="Q706" s="411"/>
      <c r="R706" s="76"/>
      <c r="S706" s="197"/>
      <c r="T706" s="198"/>
      <c r="U706" s="197"/>
      <c r="V706" s="198"/>
      <c r="W706" s="198"/>
      <c r="X706" s="198"/>
      <c r="Y706" s="198"/>
      <c r="Z706" s="198"/>
    </row>
    <row r="707">
      <c r="A707" s="403"/>
      <c r="B707" s="198"/>
      <c r="C707" s="403"/>
      <c r="D707" s="142"/>
      <c r="E707" s="403"/>
      <c r="F707" s="198"/>
      <c r="G707" s="403"/>
      <c r="H707" s="198"/>
      <c r="I707" s="410"/>
      <c r="J707" s="142"/>
      <c r="K707" s="410"/>
      <c r="L707" s="142"/>
      <c r="M707" s="410"/>
      <c r="N707" s="142"/>
      <c r="O707" s="403"/>
      <c r="P707" s="198"/>
      <c r="Q707" s="411"/>
      <c r="R707" s="76"/>
      <c r="S707" s="197"/>
      <c r="T707" s="198"/>
      <c r="U707" s="197"/>
      <c r="V707" s="198"/>
      <c r="W707" s="198"/>
      <c r="X707" s="198"/>
      <c r="Y707" s="198"/>
      <c r="Z707" s="198"/>
    </row>
    <row r="708">
      <c r="A708" s="403"/>
      <c r="B708" s="198"/>
      <c r="C708" s="403"/>
      <c r="D708" s="142"/>
      <c r="E708" s="403"/>
      <c r="F708" s="198"/>
      <c r="G708" s="403"/>
      <c r="H708" s="198"/>
      <c r="I708" s="410"/>
      <c r="J708" s="142"/>
      <c r="K708" s="410"/>
      <c r="L708" s="142"/>
      <c r="M708" s="410"/>
      <c r="N708" s="142"/>
      <c r="O708" s="403"/>
      <c r="P708" s="198"/>
      <c r="Q708" s="411"/>
      <c r="R708" s="76"/>
      <c r="S708" s="197"/>
      <c r="T708" s="198"/>
      <c r="U708" s="197"/>
      <c r="V708" s="198"/>
      <c r="W708" s="198"/>
      <c r="X708" s="198"/>
      <c r="Y708" s="198"/>
      <c r="Z708" s="198"/>
    </row>
    <row r="709">
      <c r="A709" s="403"/>
      <c r="B709" s="198"/>
      <c r="C709" s="403"/>
      <c r="D709" s="142"/>
      <c r="E709" s="403"/>
      <c r="F709" s="198"/>
      <c r="G709" s="403"/>
      <c r="H709" s="198"/>
      <c r="I709" s="410"/>
      <c r="J709" s="142"/>
      <c r="K709" s="410"/>
      <c r="L709" s="142"/>
      <c r="M709" s="410"/>
      <c r="N709" s="142"/>
      <c r="O709" s="403"/>
      <c r="P709" s="198"/>
      <c r="Q709" s="411"/>
      <c r="R709" s="76"/>
      <c r="S709" s="197"/>
      <c r="T709" s="198"/>
      <c r="U709" s="197"/>
      <c r="V709" s="198"/>
      <c r="W709" s="198"/>
      <c r="X709" s="198"/>
      <c r="Y709" s="198"/>
      <c r="Z709" s="198"/>
    </row>
    <row r="710">
      <c r="A710" s="403"/>
      <c r="B710" s="198"/>
      <c r="C710" s="403"/>
      <c r="D710" s="142"/>
      <c r="E710" s="403"/>
      <c r="F710" s="198"/>
      <c r="G710" s="403"/>
      <c r="H710" s="198"/>
      <c r="I710" s="410"/>
      <c r="J710" s="142"/>
      <c r="K710" s="410"/>
      <c r="L710" s="142"/>
      <c r="M710" s="410"/>
      <c r="N710" s="142"/>
      <c r="O710" s="403"/>
      <c r="P710" s="198"/>
      <c r="Q710" s="411"/>
      <c r="R710" s="76"/>
      <c r="S710" s="197"/>
      <c r="T710" s="198"/>
      <c r="U710" s="197"/>
      <c r="V710" s="198"/>
      <c r="W710" s="198"/>
      <c r="X710" s="198"/>
      <c r="Y710" s="198"/>
      <c r="Z710" s="198"/>
    </row>
    <row r="711">
      <c r="A711" s="403"/>
      <c r="B711" s="198"/>
      <c r="C711" s="403"/>
      <c r="D711" s="142"/>
      <c r="E711" s="403"/>
      <c r="F711" s="198"/>
      <c r="G711" s="403"/>
      <c r="H711" s="198"/>
      <c r="I711" s="410"/>
      <c r="J711" s="142"/>
      <c r="K711" s="410"/>
      <c r="L711" s="142"/>
      <c r="M711" s="410"/>
      <c r="N711" s="142"/>
      <c r="O711" s="403"/>
      <c r="P711" s="198"/>
      <c r="Q711" s="411"/>
      <c r="R711" s="76"/>
      <c r="S711" s="197"/>
      <c r="T711" s="198"/>
      <c r="U711" s="197"/>
      <c r="V711" s="198"/>
      <c r="W711" s="198"/>
      <c r="X711" s="198"/>
      <c r="Y711" s="198"/>
      <c r="Z711" s="198"/>
    </row>
    <row r="712">
      <c r="A712" s="403"/>
      <c r="B712" s="198"/>
      <c r="C712" s="403"/>
      <c r="D712" s="142"/>
      <c r="E712" s="403"/>
      <c r="F712" s="198"/>
      <c r="G712" s="403"/>
      <c r="H712" s="198"/>
      <c r="I712" s="410"/>
      <c r="J712" s="142"/>
      <c r="K712" s="410"/>
      <c r="L712" s="142"/>
      <c r="M712" s="410"/>
      <c r="N712" s="142"/>
      <c r="O712" s="403"/>
      <c r="P712" s="198"/>
      <c r="Q712" s="411"/>
      <c r="R712" s="76"/>
      <c r="S712" s="197"/>
      <c r="T712" s="198"/>
      <c r="U712" s="197"/>
      <c r="V712" s="198"/>
      <c r="W712" s="198"/>
      <c r="X712" s="198"/>
      <c r="Y712" s="198"/>
      <c r="Z712" s="198"/>
    </row>
    <row r="713">
      <c r="A713" s="403"/>
      <c r="B713" s="198"/>
      <c r="C713" s="403"/>
      <c r="D713" s="142"/>
      <c r="E713" s="403"/>
      <c r="F713" s="198"/>
      <c r="G713" s="403"/>
      <c r="H713" s="198"/>
      <c r="I713" s="410"/>
      <c r="J713" s="142"/>
      <c r="K713" s="410"/>
      <c r="L713" s="142"/>
      <c r="M713" s="410"/>
      <c r="N713" s="142"/>
      <c r="O713" s="403"/>
      <c r="P713" s="198"/>
      <c r="Q713" s="411"/>
      <c r="R713" s="76"/>
      <c r="S713" s="197"/>
      <c r="T713" s="198"/>
      <c r="U713" s="197"/>
      <c r="V713" s="198"/>
      <c r="W713" s="198"/>
      <c r="X713" s="198"/>
      <c r="Y713" s="198"/>
      <c r="Z713" s="198"/>
    </row>
    <row r="714">
      <c r="A714" s="403"/>
      <c r="B714" s="198"/>
      <c r="C714" s="403"/>
      <c r="D714" s="142"/>
      <c r="E714" s="403"/>
      <c r="F714" s="198"/>
      <c r="G714" s="403"/>
      <c r="H714" s="198"/>
      <c r="I714" s="410"/>
      <c r="J714" s="142"/>
      <c r="K714" s="410"/>
      <c r="L714" s="142"/>
      <c r="M714" s="410"/>
      <c r="N714" s="142"/>
      <c r="O714" s="403"/>
      <c r="P714" s="198"/>
      <c r="Q714" s="411"/>
      <c r="R714" s="76"/>
      <c r="S714" s="197"/>
      <c r="T714" s="198"/>
      <c r="U714" s="197"/>
      <c r="V714" s="198"/>
      <c r="W714" s="198"/>
      <c r="X714" s="198"/>
      <c r="Y714" s="198"/>
      <c r="Z714" s="198"/>
    </row>
    <row r="715">
      <c r="A715" s="403"/>
      <c r="B715" s="198"/>
      <c r="C715" s="403"/>
      <c r="D715" s="142"/>
      <c r="E715" s="403"/>
      <c r="F715" s="198"/>
      <c r="G715" s="403"/>
      <c r="H715" s="198"/>
      <c r="I715" s="410"/>
      <c r="J715" s="142"/>
      <c r="K715" s="410"/>
      <c r="L715" s="142"/>
      <c r="M715" s="410"/>
      <c r="N715" s="142"/>
      <c r="O715" s="403"/>
      <c r="P715" s="198"/>
      <c r="Q715" s="411"/>
      <c r="R715" s="76"/>
      <c r="S715" s="197"/>
      <c r="T715" s="198"/>
      <c r="U715" s="197"/>
      <c r="V715" s="198"/>
      <c r="W715" s="198"/>
      <c r="X715" s="198"/>
      <c r="Y715" s="198"/>
      <c r="Z715" s="198"/>
    </row>
    <row r="716">
      <c r="A716" s="403"/>
      <c r="B716" s="198"/>
      <c r="C716" s="403"/>
      <c r="D716" s="142"/>
      <c r="E716" s="403"/>
      <c r="F716" s="198"/>
      <c r="G716" s="403"/>
      <c r="H716" s="198"/>
      <c r="I716" s="410"/>
      <c r="J716" s="142"/>
      <c r="K716" s="410"/>
      <c r="L716" s="142"/>
      <c r="M716" s="410"/>
      <c r="N716" s="142"/>
      <c r="O716" s="403"/>
      <c r="P716" s="198"/>
      <c r="Q716" s="411"/>
      <c r="R716" s="76"/>
      <c r="S716" s="197"/>
      <c r="T716" s="198"/>
      <c r="U716" s="197"/>
      <c r="V716" s="198"/>
      <c r="W716" s="198"/>
      <c r="X716" s="198"/>
      <c r="Y716" s="198"/>
      <c r="Z716" s="198"/>
    </row>
    <row r="717">
      <c r="A717" s="403"/>
      <c r="B717" s="198"/>
      <c r="C717" s="403"/>
      <c r="D717" s="142"/>
      <c r="E717" s="403"/>
      <c r="F717" s="198"/>
      <c r="G717" s="403"/>
      <c r="H717" s="198"/>
      <c r="I717" s="410"/>
      <c r="J717" s="142"/>
      <c r="K717" s="410"/>
      <c r="L717" s="142"/>
      <c r="M717" s="410"/>
      <c r="N717" s="142"/>
      <c r="O717" s="403"/>
      <c r="P717" s="198"/>
      <c r="Q717" s="411"/>
      <c r="R717" s="76"/>
      <c r="S717" s="197"/>
      <c r="T717" s="198"/>
      <c r="U717" s="197"/>
      <c r="V717" s="198"/>
      <c r="W717" s="198"/>
      <c r="X717" s="198"/>
      <c r="Y717" s="198"/>
      <c r="Z717" s="198"/>
    </row>
    <row r="718">
      <c r="A718" s="403"/>
      <c r="B718" s="198"/>
      <c r="C718" s="403"/>
      <c r="D718" s="142"/>
      <c r="E718" s="403"/>
      <c r="F718" s="198"/>
      <c r="G718" s="403"/>
      <c r="H718" s="198"/>
      <c r="I718" s="410"/>
      <c r="J718" s="142"/>
      <c r="K718" s="410"/>
      <c r="L718" s="142"/>
      <c r="M718" s="410"/>
      <c r="N718" s="142"/>
      <c r="O718" s="403"/>
      <c r="P718" s="198"/>
      <c r="Q718" s="411"/>
      <c r="R718" s="76"/>
      <c r="S718" s="197"/>
      <c r="T718" s="198"/>
      <c r="U718" s="197"/>
      <c r="V718" s="198"/>
      <c r="W718" s="198"/>
      <c r="X718" s="198"/>
      <c r="Y718" s="198"/>
      <c r="Z718" s="198"/>
    </row>
    <row r="719">
      <c r="A719" s="403"/>
      <c r="B719" s="198"/>
      <c r="C719" s="403"/>
      <c r="D719" s="142"/>
      <c r="E719" s="403"/>
      <c r="F719" s="198"/>
      <c r="G719" s="403"/>
      <c r="H719" s="198"/>
      <c r="I719" s="410"/>
      <c r="J719" s="142"/>
      <c r="K719" s="410"/>
      <c r="L719" s="142"/>
      <c r="M719" s="410"/>
      <c r="N719" s="142"/>
      <c r="O719" s="403"/>
      <c r="P719" s="198"/>
      <c r="Q719" s="411"/>
      <c r="R719" s="76"/>
      <c r="S719" s="197"/>
      <c r="T719" s="198"/>
      <c r="U719" s="197"/>
      <c r="V719" s="198"/>
      <c r="W719" s="198"/>
      <c r="X719" s="198"/>
      <c r="Y719" s="198"/>
      <c r="Z719" s="198"/>
    </row>
    <row r="720">
      <c r="A720" s="403"/>
      <c r="B720" s="198"/>
      <c r="C720" s="403"/>
      <c r="D720" s="142"/>
      <c r="E720" s="403"/>
      <c r="F720" s="198"/>
      <c r="G720" s="403"/>
      <c r="H720" s="198"/>
      <c r="I720" s="410"/>
      <c r="J720" s="142"/>
      <c r="K720" s="410"/>
      <c r="L720" s="142"/>
      <c r="M720" s="410"/>
      <c r="N720" s="142"/>
      <c r="O720" s="403"/>
      <c r="P720" s="198"/>
      <c r="Q720" s="411"/>
      <c r="R720" s="76"/>
      <c r="S720" s="197"/>
      <c r="T720" s="198"/>
      <c r="U720" s="197"/>
      <c r="V720" s="198"/>
      <c r="W720" s="198"/>
      <c r="X720" s="198"/>
      <c r="Y720" s="198"/>
      <c r="Z720" s="198"/>
    </row>
    <row r="721">
      <c r="A721" s="403"/>
      <c r="B721" s="198"/>
      <c r="C721" s="403"/>
      <c r="D721" s="142"/>
      <c r="E721" s="403"/>
      <c r="F721" s="198"/>
      <c r="G721" s="403"/>
      <c r="H721" s="198"/>
      <c r="I721" s="410"/>
      <c r="J721" s="142"/>
      <c r="K721" s="410"/>
      <c r="L721" s="142"/>
      <c r="M721" s="410"/>
      <c r="N721" s="142"/>
      <c r="O721" s="403"/>
      <c r="P721" s="198"/>
      <c r="Q721" s="411"/>
      <c r="R721" s="76"/>
      <c r="S721" s="197"/>
      <c r="T721" s="198"/>
      <c r="U721" s="197"/>
      <c r="V721" s="198"/>
      <c r="W721" s="198"/>
      <c r="X721" s="198"/>
      <c r="Y721" s="198"/>
      <c r="Z721" s="198"/>
    </row>
    <row r="722">
      <c r="A722" s="403"/>
      <c r="B722" s="198"/>
      <c r="C722" s="403"/>
      <c r="D722" s="142"/>
      <c r="E722" s="403"/>
      <c r="F722" s="198"/>
      <c r="G722" s="403"/>
      <c r="H722" s="198"/>
      <c r="I722" s="410"/>
      <c r="J722" s="142"/>
      <c r="K722" s="410"/>
      <c r="L722" s="142"/>
      <c r="M722" s="410"/>
      <c r="N722" s="142"/>
      <c r="O722" s="403"/>
      <c r="P722" s="198"/>
      <c r="Q722" s="411"/>
      <c r="R722" s="76"/>
      <c r="S722" s="197"/>
      <c r="T722" s="198"/>
      <c r="U722" s="197"/>
      <c r="V722" s="198"/>
      <c r="W722" s="198"/>
      <c r="X722" s="198"/>
      <c r="Y722" s="198"/>
      <c r="Z722" s="198"/>
    </row>
    <row r="723">
      <c r="A723" s="403"/>
      <c r="B723" s="198"/>
      <c r="C723" s="403"/>
      <c r="D723" s="142"/>
      <c r="E723" s="403"/>
      <c r="F723" s="198"/>
      <c r="G723" s="403"/>
      <c r="H723" s="198"/>
      <c r="I723" s="410"/>
      <c r="J723" s="142"/>
      <c r="K723" s="410"/>
      <c r="L723" s="142"/>
      <c r="M723" s="410"/>
      <c r="N723" s="142"/>
      <c r="O723" s="403"/>
      <c r="P723" s="198"/>
      <c r="Q723" s="411"/>
      <c r="R723" s="76"/>
      <c r="S723" s="197"/>
      <c r="T723" s="198"/>
      <c r="U723" s="197"/>
      <c r="V723" s="198"/>
      <c r="W723" s="198"/>
      <c r="X723" s="198"/>
      <c r="Y723" s="198"/>
      <c r="Z723" s="198"/>
    </row>
    <row r="724">
      <c r="A724" s="403"/>
      <c r="B724" s="198"/>
      <c r="C724" s="403"/>
      <c r="D724" s="142"/>
      <c r="E724" s="403"/>
      <c r="F724" s="198"/>
      <c r="G724" s="403"/>
      <c r="H724" s="198"/>
      <c r="I724" s="410"/>
      <c r="J724" s="142"/>
      <c r="K724" s="410"/>
      <c r="L724" s="142"/>
      <c r="M724" s="410"/>
      <c r="N724" s="142"/>
      <c r="O724" s="403"/>
      <c r="P724" s="198"/>
      <c r="Q724" s="411"/>
      <c r="R724" s="76"/>
      <c r="S724" s="197"/>
      <c r="T724" s="198"/>
      <c r="U724" s="197"/>
      <c r="V724" s="198"/>
      <c r="W724" s="198"/>
      <c r="X724" s="198"/>
      <c r="Y724" s="198"/>
      <c r="Z724" s="198"/>
    </row>
    <row r="725">
      <c r="A725" s="403"/>
      <c r="B725" s="198"/>
      <c r="C725" s="403"/>
      <c r="D725" s="142"/>
      <c r="E725" s="403"/>
      <c r="F725" s="198"/>
      <c r="G725" s="403"/>
      <c r="H725" s="198"/>
      <c r="I725" s="410"/>
      <c r="J725" s="142"/>
      <c r="K725" s="410"/>
      <c r="L725" s="142"/>
      <c r="M725" s="410"/>
      <c r="N725" s="142"/>
      <c r="O725" s="403"/>
      <c r="P725" s="198"/>
      <c r="Q725" s="411"/>
      <c r="R725" s="76"/>
      <c r="S725" s="197"/>
      <c r="T725" s="198"/>
      <c r="U725" s="197"/>
      <c r="V725" s="198"/>
      <c r="W725" s="198"/>
      <c r="X725" s="198"/>
      <c r="Y725" s="198"/>
      <c r="Z725" s="198"/>
    </row>
    <row r="726">
      <c r="A726" s="403"/>
      <c r="B726" s="198"/>
      <c r="C726" s="403"/>
      <c r="D726" s="142"/>
      <c r="E726" s="403"/>
      <c r="F726" s="198"/>
      <c r="G726" s="403"/>
      <c r="H726" s="198"/>
      <c r="I726" s="410"/>
      <c r="J726" s="142"/>
      <c r="K726" s="410"/>
      <c r="L726" s="142"/>
      <c r="M726" s="410"/>
      <c r="N726" s="142"/>
      <c r="O726" s="403"/>
      <c r="P726" s="198"/>
      <c r="Q726" s="411"/>
      <c r="R726" s="76"/>
      <c r="S726" s="197"/>
      <c r="T726" s="198"/>
      <c r="U726" s="197"/>
      <c r="V726" s="198"/>
      <c r="W726" s="198"/>
      <c r="X726" s="198"/>
      <c r="Y726" s="198"/>
      <c r="Z726" s="198"/>
    </row>
    <row r="727">
      <c r="A727" s="403"/>
      <c r="B727" s="198"/>
      <c r="C727" s="403"/>
      <c r="D727" s="142"/>
      <c r="E727" s="403"/>
      <c r="F727" s="198"/>
      <c r="G727" s="403"/>
      <c r="H727" s="198"/>
      <c r="I727" s="410"/>
      <c r="J727" s="142"/>
      <c r="K727" s="410"/>
      <c r="L727" s="142"/>
      <c r="M727" s="410"/>
      <c r="N727" s="142"/>
      <c r="O727" s="403"/>
      <c r="P727" s="198"/>
      <c r="Q727" s="411"/>
      <c r="R727" s="76"/>
      <c r="S727" s="197"/>
      <c r="T727" s="198"/>
      <c r="U727" s="197"/>
      <c r="V727" s="198"/>
      <c r="W727" s="198"/>
      <c r="X727" s="198"/>
      <c r="Y727" s="198"/>
      <c r="Z727" s="198"/>
    </row>
    <row r="728">
      <c r="A728" s="403"/>
      <c r="B728" s="198"/>
      <c r="C728" s="403"/>
      <c r="D728" s="142"/>
      <c r="E728" s="403"/>
      <c r="F728" s="198"/>
      <c r="G728" s="403"/>
      <c r="H728" s="198"/>
      <c r="I728" s="410"/>
      <c r="J728" s="142"/>
      <c r="K728" s="410"/>
      <c r="L728" s="142"/>
      <c r="M728" s="410"/>
      <c r="N728" s="142"/>
      <c r="O728" s="403"/>
      <c r="P728" s="198"/>
      <c r="Q728" s="411"/>
      <c r="R728" s="76"/>
      <c r="S728" s="197"/>
      <c r="T728" s="198"/>
      <c r="U728" s="197"/>
      <c r="V728" s="198"/>
      <c r="W728" s="198"/>
      <c r="X728" s="198"/>
      <c r="Y728" s="198"/>
      <c r="Z728" s="198"/>
    </row>
    <row r="729">
      <c r="A729" s="403"/>
      <c r="B729" s="198"/>
      <c r="C729" s="403"/>
      <c r="D729" s="142"/>
      <c r="E729" s="403"/>
      <c r="F729" s="198"/>
      <c r="G729" s="403"/>
      <c r="H729" s="198"/>
      <c r="I729" s="410"/>
      <c r="J729" s="142"/>
      <c r="K729" s="410"/>
      <c r="L729" s="142"/>
      <c r="M729" s="410"/>
      <c r="N729" s="142"/>
      <c r="O729" s="403"/>
      <c r="P729" s="198"/>
      <c r="Q729" s="411"/>
      <c r="R729" s="76"/>
      <c r="S729" s="197"/>
      <c r="T729" s="198"/>
      <c r="U729" s="197"/>
      <c r="V729" s="198"/>
      <c r="W729" s="198"/>
      <c r="X729" s="198"/>
      <c r="Y729" s="198"/>
      <c r="Z729" s="198"/>
    </row>
    <row r="730">
      <c r="A730" s="403"/>
      <c r="B730" s="198"/>
      <c r="C730" s="403"/>
      <c r="D730" s="142"/>
      <c r="E730" s="403"/>
      <c r="F730" s="198"/>
      <c r="G730" s="403"/>
      <c r="H730" s="198"/>
      <c r="I730" s="410"/>
      <c r="J730" s="142"/>
      <c r="K730" s="410"/>
      <c r="L730" s="142"/>
      <c r="M730" s="410"/>
      <c r="N730" s="142"/>
      <c r="O730" s="403"/>
      <c r="P730" s="198"/>
      <c r="Q730" s="411"/>
      <c r="R730" s="76"/>
      <c r="S730" s="197"/>
      <c r="T730" s="198"/>
      <c r="U730" s="197"/>
      <c r="V730" s="198"/>
      <c r="W730" s="198"/>
      <c r="X730" s="198"/>
      <c r="Y730" s="198"/>
      <c r="Z730" s="198"/>
    </row>
    <row r="731">
      <c r="A731" s="403"/>
      <c r="B731" s="198"/>
      <c r="C731" s="403"/>
      <c r="D731" s="142"/>
      <c r="E731" s="403"/>
      <c r="F731" s="198"/>
      <c r="G731" s="403"/>
      <c r="H731" s="198"/>
      <c r="I731" s="410"/>
      <c r="J731" s="142"/>
      <c r="K731" s="410"/>
      <c r="L731" s="142"/>
      <c r="M731" s="410"/>
      <c r="N731" s="142"/>
      <c r="O731" s="403"/>
      <c r="P731" s="198"/>
      <c r="Q731" s="411"/>
      <c r="R731" s="76"/>
      <c r="S731" s="197"/>
      <c r="T731" s="198"/>
      <c r="U731" s="197"/>
      <c r="V731" s="198"/>
      <c r="W731" s="198"/>
      <c r="X731" s="198"/>
      <c r="Y731" s="198"/>
      <c r="Z731" s="198"/>
    </row>
    <row r="732">
      <c r="A732" s="403"/>
      <c r="B732" s="198"/>
      <c r="C732" s="403"/>
      <c r="D732" s="142"/>
      <c r="E732" s="403"/>
      <c r="F732" s="198"/>
      <c r="G732" s="403"/>
      <c r="H732" s="198"/>
      <c r="I732" s="410"/>
      <c r="J732" s="142"/>
      <c r="K732" s="410"/>
      <c r="L732" s="142"/>
      <c r="M732" s="410"/>
      <c r="N732" s="142"/>
      <c r="O732" s="403"/>
      <c r="P732" s="198"/>
      <c r="Q732" s="411"/>
      <c r="R732" s="76"/>
      <c r="S732" s="197"/>
      <c r="T732" s="198"/>
      <c r="U732" s="197"/>
      <c r="V732" s="198"/>
      <c r="W732" s="198"/>
      <c r="X732" s="198"/>
      <c r="Y732" s="198"/>
      <c r="Z732" s="198"/>
    </row>
    <row r="733">
      <c r="A733" s="403"/>
      <c r="B733" s="198"/>
      <c r="C733" s="403"/>
      <c r="D733" s="142"/>
      <c r="E733" s="403"/>
      <c r="F733" s="198"/>
      <c r="G733" s="403"/>
      <c r="H733" s="198"/>
      <c r="I733" s="410"/>
      <c r="J733" s="142"/>
      <c r="K733" s="410"/>
      <c r="L733" s="142"/>
      <c r="M733" s="410"/>
      <c r="N733" s="142"/>
      <c r="O733" s="403"/>
      <c r="P733" s="198"/>
      <c r="Q733" s="411"/>
      <c r="R733" s="76"/>
      <c r="S733" s="197"/>
      <c r="T733" s="198"/>
      <c r="U733" s="197"/>
      <c r="V733" s="198"/>
      <c r="W733" s="198"/>
      <c r="X733" s="198"/>
      <c r="Y733" s="198"/>
      <c r="Z733" s="198"/>
    </row>
    <row r="734">
      <c r="A734" s="403"/>
      <c r="B734" s="198"/>
      <c r="C734" s="403"/>
      <c r="D734" s="142"/>
      <c r="E734" s="403"/>
      <c r="F734" s="198"/>
      <c r="G734" s="403"/>
      <c r="H734" s="198"/>
      <c r="I734" s="410"/>
      <c r="J734" s="142"/>
      <c r="K734" s="410"/>
      <c r="L734" s="142"/>
      <c r="M734" s="410"/>
      <c r="N734" s="142"/>
      <c r="O734" s="403"/>
      <c r="P734" s="198"/>
      <c r="Q734" s="411"/>
      <c r="R734" s="76"/>
      <c r="S734" s="197"/>
      <c r="T734" s="198"/>
      <c r="U734" s="197"/>
      <c r="V734" s="198"/>
      <c r="W734" s="198"/>
      <c r="X734" s="198"/>
      <c r="Y734" s="198"/>
      <c r="Z734" s="198"/>
    </row>
    <row r="735">
      <c r="A735" s="403"/>
      <c r="B735" s="198"/>
      <c r="C735" s="403"/>
      <c r="D735" s="142"/>
      <c r="E735" s="403"/>
      <c r="F735" s="198"/>
      <c r="G735" s="403"/>
      <c r="H735" s="198"/>
      <c r="I735" s="410"/>
      <c r="J735" s="142"/>
      <c r="K735" s="410"/>
      <c r="L735" s="142"/>
      <c r="M735" s="410"/>
      <c r="N735" s="142"/>
      <c r="O735" s="403"/>
      <c r="P735" s="198"/>
      <c r="Q735" s="411"/>
      <c r="R735" s="76"/>
      <c r="S735" s="197"/>
      <c r="T735" s="198"/>
      <c r="U735" s="197"/>
      <c r="V735" s="198"/>
      <c r="W735" s="198"/>
      <c r="X735" s="198"/>
      <c r="Y735" s="198"/>
      <c r="Z735" s="198"/>
    </row>
    <row r="736">
      <c r="A736" s="403"/>
      <c r="B736" s="198"/>
      <c r="C736" s="403"/>
      <c r="D736" s="142"/>
      <c r="E736" s="403"/>
      <c r="F736" s="198"/>
      <c r="G736" s="403"/>
      <c r="H736" s="198"/>
      <c r="I736" s="410"/>
      <c r="J736" s="142"/>
      <c r="K736" s="410"/>
      <c r="L736" s="142"/>
      <c r="M736" s="410"/>
      <c r="N736" s="142"/>
      <c r="O736" s="403"/>
      <c r="P736" s="198"/>
      <c r="Q736" s="411"/>
      <c r="R736" s="76"/>
      <c r="S736" s="197"/>
      <c r="T736" s="198"/>
      <c r="U736" s="197"/>
      <c r="V736" s="198"/>
      <c r="W736" s="198"/>
      <c r="X736" s="198"/>
      <c r="Y736" s="198"/>
      <c r="Z736" s="198"/>
    </row>
    <row r="737">
      <c r="A737" s="403"/>
      <c r="B737" s="198"/>
      <c r="C737" s="403"/>
      <c r="D737" s="142"/>
      <c r="E737" s="403"/>
      <c r="F737" s="198"/>
      <c r="G737" s="403"/>
      <c r="H737" s="198"/>
      <c r="I737" s="410"/>
      <c r="J737" s="142"/>
      <c r="K737" s="410"/>
      <c r="L737" s="142"/>
      <c r="M737" s="410"/>
      <c r="N737" s="142"/>
      <c r="O737" s="403"/>
      <c r="P737" s="198"/>
      <c r="Q737" s="411"/>
      <c r="R737" s="76"/>
      <c r="S737" s="197"/>
      <c r="T737" s="198"/>
      <c r="U737" s="197"/>
      <c r="V737" s="198"/>
      <c r="W737" s="198"/>
      <c r="X737" s="198"/>
      <c r="Y737" s="198"/>
      <c r="Z737" s="198"/>
    </row>
    <row r="738">
      <c r="A738" s="403"/>
      <c r="B738" s="198"/>
      <c r="C738" s="403"/>
      <c r="D738" s="142"/>
      <c r="E738" s="403"/>
      <c r="F738" s="198"/>
      <c r="G738" s="403"/>
      <c r="H738" s="198"/>
      <c r="I738" s="410"/>
      <c r="J738" s="142"/>
      <c r="K738" s="410"/>
      <c r="L738" s="142"/>
      <c r="M738" s="410"/>
      <c r="N738" s="142"/>
      <c r="O738" s="403"/>
      <c r="P738" s="198"/>
      <c r="Q738" s="411"/>
      <c r="R738" s="76"/>
      <c r="S738" s="197"/>
      <c r="T738" s="198"/>
      <c r="U738" s="197"/>
      <c r="V738" s="198"/>
      <c r="W738" s="198"/>
      <c r="X738" s="198"/>
      <c r="Y738" s="198"/>
      <c r="Z738" s="198"/>
    </row>
    <row r="739">
      <c r="A739" s="403"/>
      <c r="B739" s="198"/>
      <c r="C739" s="403"/>
      <c r="D739" s="142"/>
      <c r="E739" s="403"/>
      <c r="F739" s="198"/>
      <c r="G739" s="403"/>
      <c r="H739" s="198"/>
      <c r="I739" s="410"/>
      <c r="J739" s="142"/>
      <c r="K739" s="410"/>
      <c r="L739" s="142"/>
      <c r="M739" s="410"/>
      <c r="N739" s="142"/>
      <c r="O739" s="403"/>
      <c r="P739" s="198"/>
      <c r="Q739" s="411"/>
      <c r="R739" s="76"/>
      <c r="S739" s="197"/>
      <c r="T739" s="198"/>
      <c r="U739" s="197"/>
      <c r="V739" s="198"/>
      <c r="W739" s="198"/>
      <c r="X739" s="198"/>
      <c r="Y739" s="198"/>
      <c r="Z739" s="198"/>
    </row>
    <row r="740">
      <c r="A740" s="403"/>
      <c r="B740" s="198"/>
      <c r="C740" s="403"/>
      <c r="D740" s="142"/>
      <c r="E740" s="403"/>
      <c r="F740" s="198"/>
      <c r="G740" s="403"/>
      <c r="H740" s="198"/>
      <c r="I740" s="410"/>
      <c r="J740" s="142"/>
      <c r="K740" s="410"/>
      <c r="L740" s="142"/>
      <c r="M740" s="410"/>
      <c r="N740" s="142"/>
      <c r="O740" s="403"/>
      <c r="P740" s="198"/>
      <c r="Q740" s="411"/>
      <c r="R740" s="76"/>
      <c r="S740" s="197"/>
      <c r="T740" s="198"/>
      <c r="U740" s="197"/>
      <c r="V740" s="198"/>
      <c r="W740" s="198"/>
      <c r="X740" s="198"/>
      <c r="Y740" s="198"/>
      <c r="Z740" s="198"/>
    </row>
    <row r="741">
      <c r="A741" s="403"/>
      <c r="B741" s="198"/>
      <c r="C741" s="403"/>
      <c r="D741" s="142"/>
      <c r="E741" s="403"/>
      <c r="F741" s="198"/>
      <c r="G741" s="403"/>
      <c r="H741" s="198"/>
      <c r="I741" s="410"/>
      <c r="J741" s="142"/>
      <c r="K741" s="410"/>
      <c r="L741" s="142"/>
      <c r="M741" s="410"/>
      <c r="N741" s="142"/>
      <c r="O741" s="403"/>
      <c r="P741" s="198"/>
      <c r="Q741" s="411"/>
      <c r="R741" s="76"/>
      <c r="S741" s="197"/>
      <c r="T741" s="198"/>
      <c r="U741" s="197"/>
      <c r="V741" s="198"/>
      <c r="W741" s="198"/>
      <c r="X741" s="198"/>
      <c r="Y741" s="198"/>
      <c r="Z741" s="198"/>
    </row>
    <row r="742">
      <c r="A742" s="403"/>
      <c r="B742" s="198"/>
      <c r="C742" s="403"/>
      <c r="D742" s="142"/>
      <c r="E742" s="403"/>
      <c r="F742" s="198"/>
      <c r="G742" s="403"/>
      <c r="H742" s="198"/>
      <c r="I742" s="410"/>
      <c r="J742" s="142"/>
      <c r="K742" s="410"/>
      <c r="L742" s="142"/>
      <c r="M742" s="410"/>
      <c r="N742" s="142"/>
      <c r="O742" s="403"/>
      <c r="P742" s="198"/>
      <c r="Q742" s="411"/>
      <c r="R742" s="76"/>
      <c r="S742" s="197"/>
      <c r="T742" s="198"/>
      <c r="U742" s="197"/>
      <c r="V742" s="198"/>
      <c r="W742" s="198"/>
      <c r="X742" s="198"/>
      <c r="Y742" s="198"/>
      <c r="Z742" s="198"/>
    </row>
    <row r="743">
      <c r="A743" s="403"/>
      <c r="B743" s="198"/>
      <c r="C743" s="403"/>
      <c r="D743" s="142"/>
      <c r="E743" s="403"/>
      <c r="F743" s="198"/>
      <c r="G743" s="403"/>
      <c r="H743" s="198"/>
      <c r="I743" s="410"/>
      <c r="J743" s="142"/>
      <c r="K743" s="410"/>
      <c r="L743" s="142"/>
      <c r="M743" s="410"/>
      <c r="N743" s="142"/>
      <c r="O743" s="403"/>
      <c r="P743" s="198"/>
      <c r="Q743" s="411"/>
      <c r="R743" s="76"/>
      <c r="S743" s="197"/>
      <c r="T743" s="198"/>
      <c r="U743" s="197"/>
      <c r="V743" s="198"/>
      <c r="W743" s="198"/>
      <c r="X743" s="198"/>
      <c r="Y743" s="198"/>
      <c r="Z743" s="198"/>
    </row>
    <row r="744">
      <c r="A744" s="403"/>
      <c r="B744" s="198"/>
      <c r="C744" s="403"/>
      <c r="D744" s="142"/>
      <c r="E744" s="403"/>
      <c r="F744" s="198"/>
      <c r="G744" s="403"/>
      <c r="H744" s="198"/>
      <c r="I744" s="410"/>
      <c r="J744" s="142"/>
      <c r="K744" s="410"/>
      <c r="L744" s="142"/>
      <c r="M744" s="410"/>
      <c r="N744" s="142"/>
      <c r="O744" s="403"/>
      <c r="P744" s="198"/>
      <c r="Q744" s="411"/>
      <c r="R744" s="76"/>
      <c r="S744" s="197"/>
      <c r="T744" s="198"/>
      <c r="U744" s="197"/>
      <c r="V744" s="198"/>
      <c r="W744" s="198"/>
      <c r="X744" s="198"/>
      <c r="Y744" s="198"/>
      <c r="Z744" s="198"/>
    </row>
    <row r="745">
      <c r="A745" s="403"/>
      <c r="B745" s="198"/>
      <c r="C745" s="403"/>
      <c r="D745" s="142"/>
      <c r="E745" s="403"/>
      <c r="F745" s="198"/>
      <c r="G745" s="403"/>
      <c r="H745" s="198"/>
      <c r="I745" s="410"/>
      <c r="J745" s="142"/>
      <c r="K745" s="410"/>
      <c r="L745" s="142"/>
      <c r="M745" s="410"/>
      <c r="N745" s="142"/>
      <c r="O745" s="403"/>
      <c r="P745" s="198"/>
      <c r="Q745" s="411"/>
      <c r="R745" s="76"/>
      <c r="S745" s="197"/>
      <c r="T745" s="198"/>
      <c r="U745" s="197"/>
      <c r="V745" s="198"/>
      <c r="W745" s="198"/>
      <c r="X745" s="198"/>
      <c r="Y745" s="198"/>
      <c r="Z745" s="198"/>
    </row>
    <row r="746">
      <c r="A746" s="403"/>
      <c r="B746" s="198"/>
      <c r="C746" s="403"/>
      <c r="D746" s="142"/>
      <c r="E746" s="403"/>
      <c r="F746" s="198"/>
      <c r="G746" s="403"/>
      <c r="H746" s="198"/>
      <c r="I746" s="410"/>
      <c r="J746" s="142"/>
      <c r="K746" s="410"/>
      <c r="L746" s="142"/>
      <c r="M746" s="410"/>
      <c r="N746" s="142"/>
      <c r="O746" s="403"/>
      <c r="P746" s="198"/>
      <c r="Q746" s="411"/>
      <c r="R746" s="76"/>
      <c r="S746" s="197"/>
      <c r="T746" s="198"/>
      <c r="U746" s="197"/>
      <c r="V746" s="198"/>
      <c r="W746" s="198"/>
      <c r="X746" s="198"/>
      <c r="Y746" s="198"/>
      <c r="Z746" s="198"/>
    </row>
    <row r="747">
      <c r="A747" s="403"/>
      <c r="B747" s="198"/>
      <c r="C747" s="403"/>
      <c r="D747" s="142"/>
      <c r="E747" s="403"/>
      <c r="F747" s="198"/>
      <c r="G747" s="403"/>
      <c r="H747" s="198"/>
      <c r="I747" s="410"/>
      <c r="J747" s="142"/>
      <c r="K747" s="410"/>
      <c r="L747" s="142"/>
      <c r="M747" s="410"/>
      <c r="N747" s="142"/>
      <c r="O747" s="403"/>
      <c r="P747" s="198"/>
      <c r="Q747" s="411"/>
      <c r="R747" s="76"/>
      <c r="S747" s="197"/>
      <c r="T747" s="198"/>
      <c r="U747" s="197"/>
      <c r="V747" s="198"/>
      <c r="W747" s="198"/>
      <c r="X747" s="198"/>
      <c r="Y747" s="198"/>
      <c r="Z747" s="198"/>
    </row>
    <row r="748">
      <c r="A748" s="403"/>
      <c r="B748" s="198"/>
      <c r="C748" s="403"/>
      <c r="D748" s="142"/>
      <c r="E748" s="403"/>
      <c r="F748" s="198"/>
      <c r="G748" s="403"/>
      <c r="H748" s="198"/>
      <c r="I748" s="410"/>
      <c r="J748" s="142"/>
      <c r="K748" s="410"/>
      <c r="L748" s="142"/>
      <c r="M748" s="410"/>
      <c r="N748" s="142"/>
      <c r="O748" s="403"/>
      <c r="P748" s="198"/>
      <c r="Q748" s="411"/>
      <c r="R748" s="76"/>
      <c r="S748" s="197"/>
      <c r="T748" s="198"/>
      <c r="U748" s="197"/>
      <c r="V748" s="198"/>
      <c r="W748" s="198"/>
      <c r="X748" s="198"/>
      <c r="Y748" s="198"/>
      <c r="Z748" s="198"/>
    </row>
    <row r="749">
      <c r="A749" s="403"/>
      <c r="B749" s="198"/>
      <c r="C749" s="403"/>
      <c r="D749" s="142"/>
      <c r="E749" s="403"/>
      <c r="F749" s="198"/>
      <c r="G749" s="403"/>
      <c r="H749" s="198"/>
      <c r="I749" s="410"/>
      <c r="J749" s="142"/>
      <c r="K749" s="410"/>
      <c r="L749" s="142"/>
      <c r="M749" s="410"/>
      <c r="N749" s="142"/>
      <c r="O749" s="403"/>
      <c r="P749" s="198"/>
      <c r="Q749" s="411"/>
      <c r="R749" s="76"/>
      <c r="S749" s="197"/>
      <c r="T749" s="198"/>
      <c r="U749" s="197"/>
      <c r="V749" s="198"/>
      <c r="W749" s="198"/>
      <c r="X749" s="198"/>
      <c r="Y749" s="198"/>
      <c r="Z749" s="198"/>
    </row>
    <row r="750">
      <c r="A750" s="403"/>
      <c r="B750" s="198"/>
      <c r="C750" s="403"/>
      <c r="D750" s="142"/>
      <c r="E750" s="403"/>
      <c r="F750" s="198"/>
      <c r="G750" s="403"/>
      <c r="H750" s="198"/>
      <c r="I750" s="410"/>
      <c r="J750" s="142"/>
      <c r="K750" s="410"/>
      <c r="L750" s="142"/>
      <c r="M750" s="410"/>
      <c r="N750" s="142"/>
      <c r="O750" s="403"/>
      <c r="P750" s="198"/>
      <c r="Q750" s="411"/>
      <c r="R750" s="76"/>
      <c r="S750" s="197"/>
      <c r="T750" s="198"/>
      <c r="U750" s="197"/>
      <c r="V750" s="198"/>
      <c r="W750" s="198"/>
      <c r="X750" s="198"/>
      <c r="Y750" s="198"/>
      <c r="Z750" s="198"/>
    </row>
    <row r="751">
      <c r="A751" s="403"/>
      <c r="B751" s="198"/>
      <c r="C751" s="403"/>
      <c r="D751" s="142"/>
      <c r="E751" s="403"/>
      <c r="F751" s="198"/>
      <c r="G751" s="403"/>
      <c r="H751" s="198"/>
      <c r="I751" s="410"/>
      <c r="J751" s="142"/>
      <c r="K751" s="410"/>
      <c r="L751" s="142"/>
      <c r="M751" s="410"/>
      <c r="N751" s="142"/>
      <c r="O751" s="403"/>
      <c r="P751" s="198"/>
      <c r="Q751" s="411"/>
      <c r="R751" s="76"/>
      <c r="S751" s="197"/>
      <c r="T751" s="198"/>
      <c r="U751" s="197"/>
      <c r="V751" s="198"/>
      <c r="W751" s="198"/>
      <c r="X751" s="198"/>
      <c r="Y751" s="198"/>
      <c r="Z751" s="198"/>
    </row>
    <row r="752">
      <c r="A752" s="403"/>
      <c r="B752" s="198"/>
      <c r="C752" s="403"/>
      <c r="D752" s="142"/>
      <c r="E752" s="403"/>
      <c r="F752" s="198"/>
      <c r="G752" s="403"/>
      <c r="H752" s="198"/>
      <c r="I752" s="410"/>
      <c r="J752" s="142"/>
      <c r="K752" s="410"/>
      <c r="L752" s="142"/>
      <c r="M752" s="410"/>
      <c r="N752" s="142"/>
      <c r="O752" s="403"/>
      <c r="P752" s="198"/>
      <c r="Q752" s="411"/>
      <c r="R752" s="76"/>
      <c r="S752" s="197"/>
      <c r="T752" s="198"/>
      <c r="U752" s="197"/>
      <c r="V752" s="198"/>
      <c r="W752" s="198"/>
      <c r="X752" s="198"/>
      <c r="Y752" s="198"/>
      <c r="Z752" s="198"/>
    </row>
    <row r="753">
      <c r="A753" s="403"/>
      <c r="B753" s="198"/>
      <c r="C753" s="403"/>
      <c r="D753" s="142"/>
      <c r="E753" s="403"/>
      <c r="F753" s="198"/>
      <c r="G753" s="403"/>
      <c r="H753" s="198"/>
      <c r="I753" s="410"/>
      <c r="J753" s="142"/>
      <c r="K753" s="410"/>
      <c r="L753" s="142"/>
      <c r="M753" s="410"/>
      <c r="N753" s="142"/>
      <c r="O753" s="403"/>
      <c r="P753" s="198"/>
      <c r="Q753" s="411"/>
      <c r="R753" s="76"/>
      <c r="S753" s="197"/>
      <c r="T753" s="198"/>
      <c r="U753" s="197"/>
      <c r="V753" s="198"/>
      <c r="W753" s="198"/>
      <c r="X753" s="198"/>
      <c r="Y753" s="198"/>
      <c r="Z753" s="198"/>
    </row>
    <row r="754">
      <c r="A754" s="403"/>
      <c r="B754" s="198"/>
      <c r="C754" s="403"/>
      <c r="D754" s="142"/>
      <c r="E754" s="403"/>
      <c r="F754" s="198"/>
      <c r="G754" s="403"/>
      <c r="H754" s="198"/>
      <c r="I754" s="410"/>
      <c r="J754" s="142"/>
      <c r="K754" s="410"/>
      <c r="L754" s="142"/>
      <c r="M754" s="410"/>
      <c r="N754" s="142"/>
      <c r="O754" s="403"/>
      <c r="P754" s="198"/>
      <c r="Q754" s="411"/>
      <c r="R754" s="76"/>
      <c r="S754" s="197"/>
      <c r="T754" s="198"/>
      <c r="U754" s="197"/>
      <c r="V754" s="198"/>
      <c r="W754" s="198"/>
      <c r="X754" s="198"/>
      <c r="Y754" s="198"/>
      <c r="Z754" s="198"/>
    </row>
    <row r="755">
      <c r="A755" s="403"/>
      <c r="B755" s="198"/>
      <c r="C755" s="403"/>
      <c r="D755" s="142"/>
      <c r="E755" s="403"/>
      <c r="F755" s="198"/>
      <c r="G755" s="403"/>
      <c r="H755" s="198"/>
      <c r="I755" s="410"/>
      <c r="J755" s="142"/>
      <c r="K755" s="410"/>
      <c r="L755" s="142"/>
      <c r="M755" s="410"/>
      <c r="N755" s="142"/>
      <c r="O755" s="403"/>
      <c r="P755" s="198"/>
      <c r="Q755" s="411"/>
      <c r="R755" s="76"/>
      <c r="S755" s="197"/>
      <c r="T755" s="198"/>
      <c r="U755" s="197"/>
      <c r="V755" s="198"/>
      <c r="W755" s="198"/>
      <c r="X755" s="198"/>
      <c r="Y755" s="198"/>
      <c r="Z755" s="198"/>
    </row>
    <row r="756">
      <c r="A756" s="403"/>
      <c r="B756" s="198"/>
      <c r="C756" s="403"/>
      <c r="D756" s="142"/>
      <c r="E756" s="403"/>
      <c r="F756" s="198"/>
      <c r="G756" s="403"/>
      <c r="H756" s="198"/>
      <c r="I756" s="410"/>
      <c r="J756" s="142"/>
      <c r="K756" s="410"/>
      <c r="L756" s="142"/>
      <c r="M756" s="410"/>
      <c r="N756" s="142"/>
      <c r="O756" s="403"/>
      <c r="P756" s="198"/>
      <c r="Q756" s="411"/>
      <c r="R756" s="76"/>
      <c r="S756" s="197"/>
      <c r="T756" s="198"/>
      <c r="U756" s="197"/>
      <c r="V756" s="198"/>
      <c r="W756" s="198"/>
      <c r="X756" s="198"/>
      <c r="Y756" s="198"/>
      <c r="Z756" s="198"/>
    </row>
    <row r="757">
      <c r="A757" s="403"/>
      <c r="B757" s="198"/>
      <c r="C757" s="403"/>
      <c r="D757" s="142"/>
      <c r="E757" s="403"/>
      <c r="F757" s="198"/>
      <c r="G757" s="403"/>
      <c r="H757" s="198"/>
      <c r="I757" s="410"/>
      <c r="J757" s="142"/>
      <c r="K757" s="410"/>
      <c r="L757" s="142"/>
      <c r="M757" s="410"/>
      <c r="N757" s="142"/>
      <c r="O757" s="403"/>
      <c r="P757" s="198"/>
      <c r="Q757" s="411"/>
      <c r="R757" s="76"/>
      <c r="S757" s="197"/>
      <c r="T757" s="198"/>
      <c r="U757" s="197"/>
      <c r="V757" s="198"/>
      <c r="W757" s="198"/>
      <c r="X757" s="198"/>
      <c r="Y757" s="198"/>
      <c r="Z757" s="198"/>
    </row>
    <row r="758">
      <c r="A758" s="403"/>
      <c r="B758" s="198"/>
      <c r="C758" s="403"/>
      <c r="D758" s="142"/>
      <c r="E758" s="403"/>
      <c r="F758" s="198"/>
      <c r="G758" s="403"/>
      <c r="H758" s="198"/>
      <c r="I758" s="410"/>
      <c r="J758" s="142"/>
      <c r="K758" s="410"/>
      <c r="L758" s="142"/>
      <c r="M758" s="410"/>
      <c r="N758" s="142"/>
      <c r="O758" s="403"/>
      <c r="P758" s="198"/>
      <c r="Q758" s="411"/>
      <c r="R758" s="76"/>
      <c r="S758" s="197"/>
      <c r="T758" s="198"/>
      <c r="U758" s="197"/>
      <c r="V758" s="198"/>
      <c r="W758" s="198"/>
      <c r="X758" s="198"/>
      <c r="Y758" s="198"/>
      <c r="Z758" s="198"/>
    </row>
    <row r="759">
      <c r="A759" s="403"/>
      <c r="B759" s="198"/>
      <c r="C759" s="403"/>
      <c r="D759" s="142"/>
      <c r="E759" s="403"/>
      <c r="F759" s="198"/>
      <c r="G759" s="403"/>
      <c r="H759" s="198"/>
      <c r="I759" s="410"/>
      <c r="J759" s="142"/>
      <c r="K759" s="410"/>
      <c r="L759" s="142"/>
      <c r="M759" s="410"/>
      <c r="N759" s="142"/>
      <c r="O759" s="403"/>
      <c r="P759" s="198"/>
      <c r="Q759" s="411"/>
      <c r="R759" s="76"/>
      <c r="S759" s="197"/>
      <c r="T759" s="198"/>
      <c r="U759" s="197"/>
      <c r="V759" s="198"/>
      <c r="W759" s="198"/>
      <c r="X759" s="198"/>
      <c r="Y759" s="198"/>
      <c r="Z759" s="198"/>
    </row>
    <row r="760">
      <c r="A760" s="403"/>
      <c r="B760" s="198"/>
      <c r="C760" s="403"/>
      <c r="D760" s="142"/>
      <c r="E760" s="403"/>
      <c r="F760" s="198"/>
      <c r="G760" s="403"/>
      <c r="H760" s="198"/>
      <c r="I760" s="410"/>
      <c r="J760" s="142"/>
      <c r="K760" s="410"/>
      <c r="L760" s="142"/>
      <c r="M760" s="410"/>
      <c r="N760" s="142"/>
      <c r="O760" s="403"/>
      <c r="P760" s="198"/>
      <c r="Q760" s="411"/>
      <c r="R760" s="76"/>
      <c r="S760" s="197"/>
      <c r="T760" s="198"/>
      <c r="U760" s="197"/>
      <c r="V760" s="198"/>
      <c r="W760" s="198"/>
      <c r="X760" s="198"/>
      <c r="Y760" s="198"/>
      <c r="Z760" s="198"/>
    </row>
    <row r="761">
      <c r="A761" s="403"/>
      <c r="B761" s="198"/>
      <c r="C761" s="403"/>
      <c r="D761" s="142"/>
      <c r="E761" s="403"/>
      <c r="F761" s="198"/>
      <c r="G761" s="403"/>
      <c r="H761" s="198"/>
      <c r="I761" s="410"/>
      <c r="J761" s="142"/>
      <c r="K761" s="410"/>
      <c r="L761" s="142"/>
      <c r="M761" s="410"/>
      <c r="N761" s="142"/>
      <c r="O761" s="403"/>
      <c r="P761" s="198"/>
      <c r="Q761" s="411"/>
      <c r="R761" s="76"/>
      <c r="S761" s="197"/>
      <c r="T761" s="198"/>
      <c r="U761" s="197"/>
      <c r="V761" s="198"/>
      <c r="W761" s="198"/>
      <c r="X761" s="198"/>
      <c r="Y761" s="198"/>
      <c r="Z761" s="198"/>
    </row>
    <row r="762">
      <c r="A762" s="403"/>
      <c r="B762" s="198"/>
      <c r="C762" s="403"/>
      <c r="D762" s="142"/>
      <c r="E762" s="403"/>
      <c r="F762" s="198"/>
      <c r="G762" s="403"/>
      <c r="H762" s="198"/>
      <c r="I762" s="410"/>
      <c r="J762" s="142"/>
      <c r="K762" s="410"/>
      <c r="L762" s="142"/>
      <c r="M762" s="410"/>
      <c r="N762" s="142"/>
      <c r="O762" s="403"/>
      <c r="P762" s="198"/>
      <c r="Q762" s="411"/>
      <c r="R762" s="76"/>
      <c r="S762" s="197"/>
      <c r="T762" s="198"/>
      <c r="U762" s="197"/>
      <c r="V762" s="198"/>
      <c r="W762" s="198"/>
      <c r="X762" s="198"/>
      <c r="Y762" s="198"/>
      <c r="Z762" s="198"/>
    </row>
    <row r="763">
      <c r="A763" s="403"/>
      <c r="B763" s="198"/>
      <c r="C763" s="403"/>
      <c r="D763" s="142"/>
      <c r="E763" s="403"/>
      <c r="F763" s="198"/>
      <c r="G763" s="403"/>
      <c r="H763" s="198"/>
      <c r="I763" s="410"/>
      <c r="J763" s="142"/>
      <c r="K763" s="410"/>
      <c r="L763" s="142"/>
      <c r="M763" s="410"/>
      <c r="N763" s="142"/>
      <c r="O763" s="403"/>
      <c r="P763" s="198"/>
      <c r="Q763" s="411"/>
      <c r="R763" s="76"/>
      <c r="S763" s="197"/>
      <c r="T763" s="198"/>
      <c r="U763" s="197"/>
      <c r="V763" s="198"/>
      <c r="W763" s="198"/>
      <c r="X763" s="198"/>
      <c r="Y763" s="198"/>
      <c r="Z763" s="198"/>
    </row>
    <row r="764">
      <c r="A764" s="403"/>
      <c r="B764" s="198"/>
      <c r="C764" s="403"/>
      <c r="D764" s="142"/>
      <c r="E764" s="403"/>
      <c r="F764" s="198"/>
      <c r="G764" s="403"/>
      <c r="H764" s="198"/>
      <c r="I764" s="410"/>
      <c r="J764" s="142"/>
      <c r="K764" s="410"/>
      <c r="L764" s="142"/>
      <c r="M764" s="410"/>
      <c r="N764" s="142"/>
      <c r="O764" s="403"/>
      <c r="P764" s="198"/>
      <c r="Q764" s="411"/>
      <c r="R764" s="76"/>
      <c r="S764" s="197"/>
      <c r="T764" s="198"/>
      <c r="U764" s="197"/>
      <c r="V764" s="198"/>
      <c r="W764" s="198"/>
      <c r="X764" s="198"/>
      <c r="Y764" s="198"/>
      <c r="Z764" s="198"/>
    </row>
    <row r="765">
      <c r="A765" s="403"/>
      <c r="B765" s="198"/>
      <c r="C765" s="403"/>
      <c r="D765" s="142"/>
      <c r="E765" s="403"/>
      <c r="F765" s="198"/>
      <c r="G765" s="403"/>
      <c r="H765" s="198"/>
      <c r="I765" s="410"/>
      <c r="J765" s="142"/>
      <c r="K765" s="410"/>
      <c r="L765" s="142"/>
      <c r="M765" s="410"/>
      <c r="N765" s="142"/>
      <c r="O765" s="403"/>
      <c r="P765" s="198"/>
      <c r="Q765" s="411"/>
      <c r="R765" s="76"/>
      <c r="S765" s="197"/>
      <c r="T765" s="198"/>
      <c r="U765" s="197"/>
      <c r="V765" s="198"/>
      <c r="W765" s="198"/>
      <c r="X765" s="198"/>
      <c r="Y765" s="198"/>
      <c r="Z765" s="198"/>
    </row>
    <row r="766">
      <c r="A766" s="403"/>
      <c r="B766" s="198"/>
      <c r="C766" s="403"/>
      <c r="D766" s="142"/>
      <c r="E766" s="403"/>
      <c r="F766" s="198"/>
      <c r="G766" s="403"/>
      <c r="H766" s="198"/>
      <c r="I766" s="410"/>
      <c r="J766" s="142"/>
      <c r="K766" s="410"/>
      <c r="L766" s="142"/>
      <c r="M766" s="410"/>
      <c r="N766" s="142"/>
      <c r="O766" s="403"/>
      <c r="P766" s="198"/>
      <c r="Q766" s="411"/>
      <c r="R766" s="76"/>
      <c r="S766" s="197"/>
      <c r="T766" s="198"/>
      <c r="U766" s="197"/>
      <c r="V766" s="198"/>
      <c r="W766" s="198"/>
      <c r="X766" s="198"/>
      <c r="Y766" s="198"/>
      <c r="Z766" s="198"/>
    </row>
    <row r="767">
      <c r="A767" s="403"/>
      <c r="B767" s="198"/>
      <c r="C767" s="403"/>
      <c r="D767" s="142"/>
      <c r="E767" s="403"/>
      <c r="F767" s="198"/>
      <c r="G767" s="403"/>
      <c r="H767" s="198"/>
      <c r="I767" s="410"/>
      <c r="J767" s="142"/>
      <c r="K767" s="410"/>
      <c r="L767" s="142"/>
      <c r="M767" s="410"/>
      <c r="N767" s="142"/>
      <c r="O767" s="403"/>
      <c r="P767" s="198"/>
      <c r="Q767" s="411"/>
      <c r="R767" s="76"/>
      <c r="S767" s="197"/>
      <c r="T767" s="198"/>
      <c r="U767" s="197"/>
      <c r="V767" s="198"/>
      <c r="W767" s="198"/>
      <c r="X767" s="198"/>
      <c r="Y767" s="198"/>
      <c r="Z767" s="198"/>
    </row>
    <row r="768">
      <c r="A768" s="403"/>
      <c r="B768" s="198"/>
      <c r="C768" s="403"/>
      <c r="D768" s="142"/>
      <c r="E768" s="403"/>
      <c r="F768" s="198"/>
      <c r="G768" s="403"/>
      <c r="H768" s="198"/>
      <c r="I768" s="410"/>
      <c r="J768" s="142"/>
      <c r="K768" s="410"/>
      <c r="L768" s="142"/>
      <c r="M768" s="410"/>
      <c r="N768" s="142"/>
      <c r="O768" s="403"/>
      <c r="P768" s="198"/>
      <c r="Q768" s="411"/>
      <c r="R768" s="76"/>
      <c r="S768" s="197"/>
      <c r="T768" s="198"/>
      <c r="U768" s="197"/>
      <c r="V768" s="198"/>
      <c r="W768" s="198"/>
      <c r="X768" s="198"/>
      <c r="Y768" s="198"/>
      <c r="Z768" s="198"/>
    </row>
    <row r="769">
      <c r="A769" s="403"/>
      <c r="B769" s="198"/>
      <c r="C769" s="403"/>
      <c r="D769" s="142"/>
      <c r="E769" s="403"/>
      <c r="F769" s="198"/>
      <c r="G769" s="403"/>
      <c r="H769" s="198"/>
      <c r="I769" s="410"/>
      <c r="J769" s="142"/>
      <c r="K769" s="410"/>
      <c r="L769" s="142"/>
      <c r="M769" s="410"/>
      <c r="N769" s="142"/>
      <c r="O769" s="403"/>
      <c r="P769" s="198"/>
      <c r="Q769" s="411"/>
      <c r="R769" s="76"/>
      <c r="S769" s="197"/>
      <c r="T769" s="198"/>
      <c r="U769" s="197"/>
      <c r="V769" s="198"/>
      <c r="W769" s="198"/>
      <c r="X769" s="198"/>
      <c r="Y769" s="198"/>
      <c r="Z769" s="198"/>
    </row>
    <row r="770">
      <c r="A770" s="403"/>
      <c r="B770" s="198"/>
      <c r="C770" s="403"/>
      <c r="D770" s="142"/>
      <c r="E770" s="403"/>
      <c r="F770" s="198"/>
      <c r="G770" s="403"/>
      <c r="H770" s="198"/>
      <c r="I770" s="410"/>
      <c r="J770" s="142"/>
      <c r="K770" s="410"/>
      <c r="L770" s="142"/>
      <c r="M770" s="410"/>
      <c r="N770" s="142"/>
      <c r="O770" s="403"/>
      <c r="P770" s="198"/>
      <c r="Q770" s="411"/>
      <c r="R770" s="76"/>
      <c r="S770" s="197"/>
      <c r="T770" s="198"/>
      <c r="U770" s="197"/>
      <c r="V770" s="198"/>
      <c r="W770" s="198"/>
      <c r="X770" s="198"/>
      <c r="Y770" s="198"/>
      <c r="Z770" s="198"/>
    </row>
    <row r="771">
      <c r="A771" s="403"/>
      <c r="B771" s="198"/>
      <c r="C771" s="403"/>
      <c r="D771" s="142"/>
      <c r="E771" s="403"/>
      <c r="F771" s="198"/>
      <c r="G771" s="403"/>
      <c r="H771" s="198"/>
      <c r="I771" s="410"/>
      <c r="J771" s="142"/>
      <c r="K771" s="410"/>
      <c r="L771" s="142"/>
      <c r="M771" s="410"/>
      <c r="N771" s="142"/>
      <c r="O771" s="403"/>
      <c r="P771" s="198"/>
      <c r="Q771" s="411"/>
      <c r="R771" s="76"/>
      <c r="S771" s="197"/>
      <c r="T771" s="198"/>
      <c r="U771" s="197"/>
      <c r="V771" s="198"/>
      <c r="W771" s="198"/>
      <c r="X771" s="198"/>
      <c r="Y771" s="198"/>
      <c r="Z771" s="198"/>
    </row>
    <row r="772">
      <c r="A772" s="403"/>
      <c r="B772" s="198"/>
      <c r="C772" s="403"/>
      <c r="D772" s="142"/>
      <c r="E772" s="403"/>
      <c r="F772" s="198"/>
      <c r="G772" s="403"/>
      <c r="H772" s="198"/>
      <c r="I772" s="410"/>
      <c r="J772" s="142"/>
      <c r="K772" s="410"/>
      <c r="L772" s="142"/>
      <c r="M772" s="410"/>
      <c r="N772" s="142"/>
      <c r="O772" s="403"/>
      <c r="P772" s="198"/>
      <c r="Q772" s="411"/>
      <c r="R772" s="76"/>
      <c r="S772" s="197"/>
      <c r="T772" s="198"/>
      <c r="U772" s="197"/>
      <c r="V772" s="198"/>
      <c r="W772" s="198"/>
      <c r="X772" s="198"/>
      <c r="Y772" s="198"/>
      <c r="Z772" s="198"/>
    </row>
    <row r="773">
      <c r="A773" s="403"/>
      <c r="B773" s="198"/>
      <c r="C773" s="403"/>
      <c r="D773" s="142"/>
      <c r="E773" s="403"/>
      <c r="F773" s="198"/>
      <c r="G773" s="403"/>
      <c r="H773" s="198"/>
      <c r="I773" s="410"/>
      <c r="J773" s="142"/>
      <c r="K773" s="410"/>
      <c r="L773" s="142"/>
      <c r="M773" s="410"/>
      <c r="N773" s="142"/>
      <c r="O773" s="403"/>
      <c r="P773" s="198"/>
      <c r="Q773" s="411"/>
      <c r="R773" s="76"/>
      <c r="S773" s="197"/>
      <c r="T773" s="198"/>
      <c r="U773" s="197"/>
      <c r="V773" s="198"/>
      <c r="W773" s="198"/>
      <c r="X773" s="198"/>
      <c r="Y773" s="198"/>
      <c r="Z773" s="198"/>
    </row>
    <row r="774">
      <c r="A774" s="403"/>
      <c r="B774" s="198"/>
      <c r="C774" s="403"/>
      <c r="D774" s="142"/>
      <c r="E774" s="403"/>
      <c r="F774" s="198"/>
      <c r="G774" s="403"/>
      <c r="H774" s="198"/>
      <c r="I774" s="410"/>
      <c r="J774" s="142"/>
      <c r="K774" s="410"/>
      <c r="L774" s="142"/>
      <c r="M774" s="410"/>
      <c r="N774" s="142"/>
      <c r="O774" s="403"/>
      <c r="P774" s="198"/>
      <c r="Q774" s="411"/>
      <c r="R774" s="76"/>
      <c r="S774" s="197"/>
      <c r="T774" s="198"/>
      <c r="U774" s="197"/>
      <c r="V774" s="198"/>
      <c r="W774" s="198"/>
      <c r="X774" s="198"/>
      <c r="Y774" s="198"/>
      <c r="Z774" s="198"/>
    </row>
    <row r="775">
      <c r="A775" s="403"/>
      <c r="B775" s="198"/>
      <c r="C775" s="403"/>
      <c r="D775" s="142"/>
      <c r="E775" s="403"/>
      <c r="F775" s="198"/>
      <c r="G775" s="403"/>
      <c r="H775" s="198"/>
      <c r="I775" s="410"/>
      <c r="J775" s="142"/>
      <c r="K775" s="410"/>
      <c r="L775" s="142"/>
      <c r="M775" s="410"/>
      <c r="N775" s="142"/>
      <c r="O775" s="403"/>
      <c r="P775" s="198"/>
      <c r="Q775" s="411"/>
      <c r="R775" s="76"/>
      <c r="S775" s="197"/>
      <c r="T775" s="198"/>
      <c r="U775" s="197"/>
      <c r="V775" s="198"/>
      <c r="W775" s="198"/>
      <c r="X775" s="198"/>
      <c r="Y775" s="198"/>
      <c r="Z775" s="198"/>
    </row>
    <row r="776">
      <c r="A776" s="403"/>
      <c r="B776" s="198"/>
      <c r="C776" s="403"/>
      <c r="D776" s="142"/>
      <c r="E776" s="403"/>
      <c r="F776" s="198"/>
      <c r="G776" s="403"/>
      <c r="H776" s="198"/>
      <c r="I776" s="410"/>
      <c r="J776" s="142"/>
      <c r="K776" s="410"/>
      <c r="L776" s="142"/>
      <c r="M776" s="410"/>
      <c r="N776" s="142"/>
      <c r="O776" s="403"/>
      <c r="P776" s="198"/>
      <c r="Q776" s="411"/>
      <c r="R776" s="76"/>
      <c r="S776" s="197"/>
      <c r="T776" s="198"/>
      <c r="U776" s="197"/>
      <c r="V776" s="198"/>
      <c r="W776" s="198"/>
      <c r="X776" s="198"/>
      <c r="Y776" s="198"/>
      <c r="Z776" s="198"/>
    </row>
    <row r="777">
      <c r="A777" s="403"/>
      <c r="B777" s="198"/>
      <c r="C777" s="403"/>
      <c r="D777" s="142"/>
      <c r="E777" s="403"/>
      <c r="F777" s="198"/>
      <c r="G777" s="403"/>
      <c r="H777" s="198"/>
      <c r="I777" s="410"/>
      <c r="J777" s="142"/>
      <c r="K777" s="410"/>
      <c r="L777" s="142"/>
      <c r="M777" s="410"/>
      <c r="N777" s="142"/>
      <c r="O777" s="403"/>
      <c r="P777" s="198"/>
      <c r="Q777" s="411"/>
      <c r="R777" s="76"/>
      <c r="S777" s="197"/>
      <c r="T777" s="198"/>
      <c r="U777" s="197"/>
      <c r="V777" s="198"/>
      <c r="W777" s="198"/>
      <c r="X777" s="198"/>
      <c r="Y777" s="198"/>
      <c r="Z777" s="198"/>
    </row>
    <row r="778">
      <c r="A778" s="403"/>
      <c r="B778" s="198"/>
      <c r="C778" s="403"/>
      <c r="D778" s="142"/>
      <c r="E778" s="403"/>
      <c r="F778" s="198"/>
      <c r="G778" s="403"/>
      <c r="H778" s="198"/>
      <c r="I778" s="410"/>
      <c r="J778" s="142"/>
      <c r="K778" s="410"/>
      <c r="L778" s="142"/>
      <c r="M778" s="410"/>
      <c r="N778" s="142"/>
      <c r="O778" s="403"/>
      <c r="P778" s="198"/>
      <c r="Q778" s="411"/>
      <c r="R778" s="76"/>
      <c r="S778" s="197"/>
      <c r="T778" s="198"/>
      <c r="U778" s="197"/>
      <c r="V778" s="198"/>
      <c r="W778" s="198"/>
      <c r="X778" s="198"/>
      <c r="Y778" s="198"/>
      <c r="Z778" s="198"/>
    </row>
    <row r="779">
      <c r="A779" s="403"/>
      <c r="B779" s="198"/>
      <c r="C779" s="403"/>
      <c r="D779" s="142"/>
      <c r="E779" s="403"/>
      <c r="F779" s="198"/>
      <c r="G779" s="403"/>
      <c r="H779" s="198"/>
      <c r="I779" s="410"/>
      <c r="J779" s="142"/>
      <c r="K779" s="410"/>
      <c r="L779" s="142"/>
      <c r="M779" s="410"/>
      <c r="N779" s="142"/>
      <c r="O779" s="403"/>
      <c r="P779" s="198"/>
      <c r="Q779" s="411"/>
      <c r="R779" s="76"/>
      <c r="S779" s="197"/>
      <c r="T779" s="198"/>
      <c r="U779" s="197"/>
      <c r="V779" s="198"/>
      <c r="W779" s="198"/>
      <c r="X779" s="198"/>
      <c r="Y779" s="198"/>
      <c r="Z779" s="198"/>
    </row>
    <row r="780">
      <c r="A780" s="403"/>
      <c r="B780" s="198"/>
      <c r="C780" s="403"/>
      <c r="D780" s="142"/>
      <c r="E780" s="403"/>
      <c r="F780" s="198"/>
      <c r="G780" s="403"/>
      <c r="H780" s="198"/>
      <c r="I780" s="410"/>
      <c r="J780" s="142"/>
      <c r="K780" s="410"/>
      <c r="L780" s="142"/>
      <c r="M780" s="410"/>
      <c r="N780" s="142"/>
      <c r="O780" s="403"/>
      <c r="P780" s="198"/>
      <c r="Q780" s="411"/>
      <c r="R780" s="76"/>
      <c r="S780" s="197"/>
      <c r="T780" s="198"/>
      <c r="U780" s="197"/>
      <c r="V780" s="198"/>
      <c r="W780" s="198"/>
      <c r="X780" s="198"/>
      <c r="Y780" s="198"/>
      <c r="Z780" s="198"/>
    </row>
    <row r="781">
      <c r="A781" s="403"/>
      <c r="B781" s="198"/>
      <c r="C781" s="403"/>
      <c r="D781" s="142"/>
      <c r="E781" s="403"/>
      <c r="F781" s="198"/>
      <c r="G781" s="403"/>
      <c r="H781" s="198"/>
      <c r="I781" s="410"/>
      <c r="J781" s="142"/>
      <c r="K781" s="410"/>
      <c r="L781" s="142"/>
      <c r="M781" s="410"/>
      <c r="N781" s="142"/>
      <c r="O781" s="403"/>
      <c r="P781" s="198"/>
      <c r="Q781" s="411"/>
      <c r="R781" s="76"/>
      <c r="S781" s="197"/>
      <c r="T781" s="198"/>
      <c r="U781" s="197"/>
      <c r="V781" s="198"/>
      <c r="W781" s="198"/>
      <c r="X781" s="198"/>
      <c r="Y781" s="198"/>
      <c r="Z781" s="198"/>
    </row>
    <row r="782">
      <c r="A782" s="403"/>
      <c r="B782" s="198"/>
      <c r="C782" s="403"/>
      <c r="D782" s="142"/>
      <c r="E782" s="403"/>
      <c r="F782" s="198"/>
      <c r="G782" s="403"/>
      <c r="H782" s="198"/>
      <c r="I782" s="410"/>
      <c r="J782" s="142"/>
      <c r="K782" s="410"/>
      <c r="L782" s="142"/>
      <c r="M782" s="410"/>
      <c r="N782" s="142"/>
      <c r="O782" s="403"/>
      <c r="P782" s="198"/>
      <c r="Q782" s="411"/>
      <c r="R782" s="76"/>
      <c r="S782" s="197"/>
      <c r="T782" s="198"/>
      <c r="U782" s="197"/>
      <c r="V782" s="198"/>
      <c r="W782" s="198"/>
      <c r="X782" s="198"/>
      <c r="Y782" s="198"/>
      <c r="Z782" s="198"/>
    </row>
    <row r="783">
      <c r="A783" s="403"/>
      <c r="B783" s="198"/>
      <c r="C783" s="403"/>
      <c r="D783" s="142"/>
      <c r="E783" s="403"/>
      <c r="F783" s="198"/>
      <c r="G783" s="403"/>
      <c r="H783" s="198"/>
      <c r="I783" s="410"/>
      <c r="J783" s="142"/>
      <c r="K783" s="410"/>
      <c r="L783" s="142"/>
      <c r="M783" s="410"/>
      <c r="N783" s="142"/>
      <c r="O783" s="403"/>
      <c r="P783" s="198"/>
      <c r="Q783" s="411"/>
      <c r="R783" s="76"/>
      <c r="S783" s="197"/>
      <c r="T783" s="198"/>
      <c r="U783" s="197"/>
      <c r="V783" s="198"/>
      <c r="W783" s="198"/>
      <c r="X783" s="198"/>
      <c r="Y783" s="198"/>
      <c r="Z783" s="198"/>
    </row>
    <row r="784">
      <c r="A784" s="403"/>
      <c r="B784" s="198"/>
      <c r="C784" s="403"/>
      <c r="D784" s="142"/>
      <c r="E784" s="403"/>
      <c r="F784" s="198"/>
      <c r="G784" s="403"/>
      <c r="H784" s="198"/>
      <c r="I784" s="410"/>
      <c r="J784" s="142"/>
      <c r="K784" s="410"/>
      <c r="L784" s="142"/>
      <c r="M784" s="410"/>
      <c r="N784" s="142"/>
      <c r="O784" s="403"/>
      <c r="P784" s="198"/>
      <c r="Q784" s="411"/>
      <c r="R784" s="76"/>
      <c r="S784" s="197"/>
      <c r="T784" s="198"/>
      <c r="U784" s="197"/>
      <c r="V784" s="198"/>
      <c r="W784" s="198"/>
      <c r="X784" s="198"/>
      <c r="Y784" s="198"/>
      <c r="Z784" s="198"/>
    </row>
    <row r="785">
      <c r="A785" s="403"/>
      <c r="B785" s="198"/>
      <c r="C785" s="403"/>
      <c r="D785" s="142"/>
      <c r="E785" s="403"/>
      <c r="F785" s="198"/>
      <c r="G785" s="403"/>
      <c r="H785" s="198"/>
      <c r="I785" s="410"/>
      <c r="J785" s="142"/>
      <c r="K785" s="410"/>
      <c r="L785" s="142"/>
      <c r="M785" s="410"/>
      <c r="N785" s="142"/>
      <c r="O785" s="403"/>
      <c r="P785" s="198"/>
      <c r="Q785" s="411"/>
      <c r="R785" s="76"/>
      <c r="S785" s="197"/>
      <c r="T785" s="198"/>
      <c r="U785" s="197"/>
      <c r="V785" s="198"/>
      <c r="W785" s="198"/>
      <c r="X785" s="198"/>
      <c r="Y785" s="198"/>
      <c r="Z785" s="198"/>
    </row>
    <row r="786">
      <c r="A786" s="403"/>
      <c r="B786" s="198"/>
      <c r="C786" s="403"/>
      <c r="D786" s="142"/>
      <c r="E786" s="403"/>
      <c r="F786" s="198"/>
      <c r="G786" s="403"/>
      <c r="H786" s="198"/>
      <c r="I786" s="410"/>
      <c r="J786" s="142"/>
      <c r="K786" s="410"/>
      <c r="L786" s="142"/>
      <c r="M786" s="410"/>
      <c r="N786" s="142"/>
      <c r="O786" s="403"/>
      <c r="P786" s="198"/>
      <c r="Q786" s="411"/>
      <c r="R786" s="76"/>
      <c r="S786" s="197"/>
      <c r="T786" s="198"/>
      <c r="U786" s="197"/>
      <c r="V786" s="198"/>
      <c r="W786" s="198"/>
      <c r="X786" s="198"/>
      <c r="Y786" s="198"/>
      <c r="Z786" s="198"/>
    </row>
    <row r="787">
      <c r="A787" s="403"/>
      <c r="B787" s="198"/>
      <c r="C787" s="403"/>
      <c r="D787" s="142"/>
      <c r="E787" s="403"/>
      <c r="F787" s="198"/>
      <c r="G787" s="403"/>
      <c r="H787" s="198"/>
      <c r="I787" s="410"/>
      <c r="J787" s="142"/>
      <c r="K787" s="410"/>
      <c r="L787" s="142"/>
      <c r="M787" s="410"/>
      <c r="N787" s="142"/>
      <c r="O787" s="403"/>
      <c r="P787" s="198"/>
      <c r="Q787" s="411"/>
      <c r="R787" s="76"/>
      <c r="S787" s="197"/>
      <c r="T787" s="198"/>
      <c r="U787" s="197"/>
      <c r="V787" s="198"/>
      <c r="W787" s="198"/>
      <c r="X787" s="198"/>
      <c r="Y787" s="198"/>
      <c r="Z787" s="198"/>
    </row>
    <row r="788">
      <c r="A788" s="403"/>
      <c r="B788" s="198"/>
      <c r="C788" s="403"/>
      <c r="D788" s="142"/>
      <c r="E788" s="403"/>
      <c r="F788" s="198"/>
      <c r="G788" s="403"/>
      <c r="H788" s="198"/>
      <c r="I788" s="410"/>
      <c r="J788" s="142"/>
      <c r="K788" s="410"/>
      <c r="L788" s="142"/>
      <c r="M788" s="410"/>
      <c r="N788" s="142"/>
      <c r="O788" s="403"/>
      <c r="P788" s="198"/>
      <c r="Q788" s="411"/>
      <c r="R788" s="76"/>
      <c r="S788" s="197"/>
      <c r="T788" s="198"/>
      <c r="U788" s="197"/>
      <c r="V788" s="198"/>
      <c r="W788" s="198"/>
      <c r="X788" s="198"/>
      <c r="Y788" s="198"/>
      <c r="Z788" s="198"/>
    </row>
    <row r="789">
      <c r="A789" s="403"/>
      <c r="B789" s="198"/>
      <c r="C789" s="403"/>
      <c r="D789" s="142"/>
      <c r="E789" s="403"/>
      <c r="F789" s="198"/>
      <c r="G789" s="403"/>
      <c r="H789" s="198"/>
      <c r="I789" s="410"/>
      <c r="J789" s="142"/>
      <c r="K789" s="410"/>
      <c r="L789" s="142"/>
      <c r="M789" s="410"/>
      <c r="N789" s="142"/>
      <c r="O789" s="403"/>
      <c r="P789" s="198"/>
      <c r="Q789" s="411"/>
      <c r="R789" s="76"/>
      <c r="S789" s="197"/>
      <c r="T789" s="198"/>
      <c r="U789" s="197"/>
      <c r="V789" s="198"/>
      <c r="W789" s="198"/>
      <c r="X789" s="198"/>
      <c r="Y789" s="198"/>
      <c r="Z789" s="198"/>
    </row>
    <row r="790">
      <c r="A790" s="403"/>
      <c r="B790" s="198"/>
      <c r="C790" s="403"/>
      <c r="D790" s="142"/>
      <c r="E790" s="403"/>
      <c r="F790" s="198"/>
      <c r="G790" s="403"/>
      <c r="H790" s="198"/>
      <c r="I790" s="410"/>
      <c r="J790" s="142"/>
      <c r="K790" s="410"/>
      <c r="L790" s="142"/>
      <c r="M790" s="410"/>
      <c r="N790" s="142"/>
      <c r="O790" s="403"/>
      <c r="P790" s="198"/>
      <c r="Q790" s="411"/>
      <c r="R790" s="76"/>
      <c r="S790" s="197"/>
      <c r="T790" s="198"/>
      <c r="U790" s="197"/>
      <c r="V790" s="198"/>
      <c r="W790" s="198"/>
      <c r="X790" s="198"/>
      <c r="Y790" s="198"/>
      <c r="Z790" s="198"/>
    </row>
    <row r="791">
      <c r="A791" s="403"/>
      <c r="B791" s="198"/>
      <c r="C791" s="403"/>
      <c r="D791" s="142"/>
      <c r="E791" s="403"/>
      <c r="F791" s="198"/>
      <c r="G791" s="403"/>
      <c r="H791" s="198"/>
      <c r="I791" s="410"/>
      <c r="J791" s="142"/>
      <c r="K791" s="410"/>
      <c r="L791" s="142"/>
      <c r="M791" s="410"/>
      <c r="N791" s="142"/>
      <c r="O791" s="403"/>
      <c r="P791" s="198"/>
      <c r="Q791" s="411"/>
      <c r="R791" s="76"/>
      <c r="S791" s="197"/>
      <c r="T791" s="198"/>
      <c r="U791" s="197"/>
      <c r="V791" s="198"/>
      <c r="W791" s="198"/>
      <c r="X791" s="198"/>
      <c r="Y791" s="198"/>
      <c r="Z791" s="198"/>
    </row>
    <row r="792">
      <c r="A792" s="403"/>
      <c r="B792" s="198"/>
      <c r="C792" s="403"/>
      <c r="D792" s="142"/>
      <c r="E792" s="403"/>
      <c r="F792" s="198"/>
      <c r="G792" s="403"/>
      <c r="H792" s="198"/>
      <c r="I792" s="410"/>
      <c r="J792" s="142"/>
      <c r="K792" s="410"/>
      <c r="L792" s="142"/>
      <c r="M792" s="410"/>
      <c r="N792" s="142"/>
      <c r="O792" s="403"/>
      <c r="P792" s="198"/>
      <c r="Q792" s="411"/>
      <c r="R792" s="76"/>
      <c r="S792" s="197"/>
      <c r="T792" s="198"/>
      <c r="U792" s="197"/>
      <c r="V792" s="198"/>
      <c r="W792" s="198"/>
      <c r="X792" s="198"/>
      <c r="Y792" s="198"/>
      <c r="Z792" s="198"/>
    </row>
    <row r="793">
      <c r="A793" s="403"/>
      <c r="B793" s="198"/>
      <c r="C793" s="403"/>
      <c r="D793" s="142"/>
      <c r="E793" s="403"/>
      <c r="F793" s="198"/>
      <c r="G793" s="403"/>
      <c r="H793" s="198"/>
      <c r="I793" s="410"/>
      <c r="J793" s="142"/>
      <c r="K793" s="410"/>
      <c r="L793" s="142"/>
      <c r="M793" s="410"/>
      <c r="N793" s="142"/>
      <c r="O793" s="403"/>
      <c r="P793" s="198"/>
      <c r="Q793" s="411"/>
      <c r="R793" s="76"/>
      <c r="S793" s="197"/>
      <c r="T793" s="198"/>
      <c r="U793" s="197"/>
      <c r="V793" s="198"/>
      <c r="W793" s="198"/>
      <c r="X793" s="198"/>
      <c r="Y793" s="198"/>
      <c r="Z793" s="198"/>
    </row>
    <row r="794">
      <c r="A794" s="403"/>
      <c r="B794" s="198"/>
      <c r="C794" s="403"/>
      <c r="D794" s="142"/>
      <c r="E794" s="403"/>
      <c r="F794" s="198"/>
      <c r="G794" s="403"/>
      <c r="H794" s="198"/>
      <c r="I794" s="410"/>
      <c r="J794" s="142"/>
      <c r="K794" s="410"/>
      <c r="L794" s="142"/>
      <c r="M794" s="410"/>
      <c r="N794" s="142"/>
      <c r="O794" s="403"/>
      <c r="P794" s="198"/>
      <c r="Q794" s="411"/>
      <c r="R794" s="76"/>
      <c r="S794" s="197"/>
      <c r="T794" s="198"/>
      <c r="U794" s="197"/>
      <c r="V794" s="198"/>
      <c r="W794" s="198"/>
      <c r="X794" s="198"/>
      <c r="Y794" s="198"/>
      <c r="Z794" s="198"/>
    </row>
    <row r="795">
      <c r="A795" s="403"/>
      <c r="B795" s="198"/>
      <c r="C795" s="403"/>
      <c r="D795" s="142"/>
      <c r="E795" s="403"/>
      <c r="F795" s="198"/>
      <c r="G795" s="403"/>
      <c r="H795" s="198"/>
      <c r="I795" s="410"/>
      <c r="J795" s="142"/>
      <c r="K795" s="410"/>
      <c r="L795" s="142"/>
      <c r="M795" s="410"/>
      <c r="N795" s="142"/>
      <c r="O795" s="403"/>
      <c r="P795" s="198"/>
      <c r="Q795" s="411"/>
      <c r="R795" s="76"/>
      <c r="S795" s="197"/>
      <c r="T795" s="198"/>
      <c r="U795" s="197"/>
      <c r="V795" s="198"/>
      <c r="W795" s="198"/>
      <c r="X795" s="198"/>
      <c r="Y795" s="198"/>
      <c r="Z795" s="198"/>
    </row>
    <row r="796">
      <c r="A796" s="403"/>
      <c r="B796" s="198"/>
      <c r="C796" s="403"/>
      <c r="D796" s="142"/>
      <c r="E796" s="403"/>
      <c r="F796" s="198"/>
      <c r="G796" s="403"/>
      <c r="H796" s="198"/>
      <c r="I796" s="410"/>
      <c r="J796" s="142"/>
      <c r="K796" s="410"/>
      <c r="L796" s="142"/>
      <c r="M796" s="410"/>
      <c r="N796" s="142"/>
      <c r="O796" s="403"/>
      <c r="P796" s="198"/>
      <c r="Q796" s="411"/>
      <c r="R796" s="76"/>
      <c r="S796" s="197"/>
      <c r="T796" s="198"/>
      <c r="U796" s="197"/>
      <c r="V796" s="198"/>
      <c r="W796" s="198"/>
      <c r="X796" s="198"/>
      <c r="Y796" s="198"/>
      <c r="Z796" s="198"/>
    </row>
    <row r="797">
      <c r="A797" s="403"/>
      <c r="B797" s="198"/>
      <c r="C797" s="403"/>
      <c r="D797" s="142"/>
      <c r="E797" s="403"/>
      <c r="F797" s="198"/>
      <c r="G797" s="403"/>
      <c r="H797" s="198"/>
      <c r="I797" s="410"/>
      <c r="J797" s="142"/>
      <c r="K797" s="410"/>
      <c r="L797" s="142"/>
      <c r="M797" s="410"/>
      <c r="N797" s="142"/>
      <c r="O797" s="403"/>
      <c r="P797" s="198"/>
      <c r="Q797" s="411"/>
      <c r="R797" s="76"/>
      <c r="S797" s="197"/>
      <c r="T797" s="198"/>
      <c r="U797" s="197"/>
      <c r="V797" s="198"/>
      <c r="W797" s="198"/>
      <c r="X797" s="198"/>
      <c r="Y797" s="198"/>
      <c r="Z797" s="198"/>
    </row>
    <row r="798">
      <c r="A798" s="403"/>
      <c r="B798" s="198"/>
      <c r="C798" s="403"/>
      <c r="D798" s="142"/>
      <c r="E798" s="403"/>
      <c r="F798" s="198"/>
      <c r="G798" s="403"/>
      <c r="H798" s="198"/>
      <c r="I798" s="410"/>
      <c r="J798" s="142"/>
      <c r="K798" s="410"/>
      <c r="L798" s="142"/>
      <c r="M798" s="410"/>
      <c r="N798" s="142"/>
      <c r="O798" s="403"/>
      <c r="P798" s="198"/>
      <c r="Q798" s="411"/>
      <c r="R798" s="76"/>
      <c r="S798" s="197"/>
      <c r="T798" s="198"/>
      <c r="U798" s="197"/>
      <c r="V798" s="198"/>
      <c r="W798" s="198"/>
      <c r="X798" s="198"/>
      <c r="Y798" s="198"/>
      <c r="Z798" s="198"/>
    </row>
    <row r="799">
      <c r="A799" s="403"/>
      <c r="B799" s="198"/>
      <c r="C799" s="403"/>
      <c r="D799" s="142"/>
      <c r="E799" s="403"/>
      <c r="F799" s="198"/>
      <c r="G799" s="403"/>
      <c r="H799" s="198"/>
      <c r="I799" s="410"/>
      <c r="J799" s="142"/>
      <c r="K799" s="410"/>
      <c r="L799" s="142"/>
      <c r="M799" s="410"/>
      <c r="N799" s="142"/>
      <c r="O799" s="403"/>
      <c r="P799" s="198"/>
      <c r="Q799" s="411"/>
      <c r="R799" s="76"/>
      <c r="S799" s="197"/>
      <c r="T799" s="198"/>
      <c r="U799" s="197"/>
      <c r="V799" s="198"/>
      <c r="W799" s="198"/>
      <c r="X799" s="198"/>
      <c r="Y799" s="198"/>
      <c r="Z799" s="198"/>
    </row>
    <row r="800">
      <c r="A800" s="403"/>
      <c r="B800" s="198"/>
      <c r="C800" s="403"/>
      <c r="D800" s="142"/>
      <c r="E800" s="403"/>
      <c r="F800" s="198"/>
      <c r="G800" s="403"/>
      <c r="H800" s="198"/>
      <c r="I800" s="410"/>
      <c r="J800" s="142"/>
      <c r="K800" s="410"/>
      <c r="L800" s="142"/>
      <c r="M800" s="410"/>
      <c r="N800" s="142"/>
      <c r="O800" s="403"/>
      <c r="P800" s="198"/>
      <c r="Q800" s="411"/>
      <c r="R800" s="76"/>
      <c r="S800" s="197"/>
      <c r="T800" s="198"/>
      <c r="U800" s="197"/>
      <c r="V800" s="198"/>
      <c r="W800" s="198"/>
      <c r="X800" s="198"/>
      <c r="Y800" s="198"/>
      <c r="Z800" s="198"/>
    </row>
    <row r="801">
      <c r="A801" s="403"/>
      <c r="B801" s="198"/>
      <c r="C801" s="403"/>
      <c r="D801" s="142"/>
      <c r="E801" s="403"/>
      <c r="F801" s="198"/>
      <c r="G801" s="403"/>
      <c r="H801" s="198"/>
      <c r="I801" s="410"/>
      <c r="J801" s="142"/>
      <c r="K801" s="410"/>
      <c r="L801" s="142"/>
      <c r="M801" s="410"/>
      <c r="N801" s="142"/>
      <c r="O801" s="403"/>
      <c r="P801" s="198"/>
      <c r="Q801" s="411"/>
      <c r="R801" s="76"/>
      <c r="S801" s="197"/>
      <c r="T801" s="198"/>
      <c r="U801" s="197"/>
      <c r="V801" s="198"/>
      <c r="W801" s="198"/>
      <c r="X801" s="198"/>
      <c r="Y801" s="198"/>
      <c r="Z801" s="198"/>
    </row>
    <row r="802">
      <c r="A802" s="403"/>
      <c r="B802" s="198"/>
      <c r="C802" s="403"/>
      <c r="D802" s="142"/>
      <c r="E802" s="403"/>
      <c r="F802" s="198"/>
      <c r="G802" s="403"/>
      <c r="H802" s="198"/>
      <c r="I802" s="410"/>
      <c r="J802" s="142"/>
      <c r="K802" s="410"/>
      <c r="L802" s="142"/>
      <c r="M802" s="410"/>
      <c r="N802" s="142"/>
      <c r="O802" s="403"/>
      <c r="P802" s="198"/>
      <c r="Q802" s="411"/>
      <c r="R802" s="76"/>
      <c r="S802" s="197"/>
      <c r="T802" s="198"/>
      <c r="U802" s="197"/>
      <c r="V802" s="198"/>
      <c r="W802" s="198"/>
      <c r="X802" s="198"/>
      <c r="Y802" s="198"/>
      <c r="Z802" s="198"/>
    </row>
    <row r="803">
      <c r="A803" s="403"/>
      <c r="B803" s="198"/>
      <c r="C803" s="403"/>
      <c r="D803" s="142"/>
      <c r="E803" s="403"/>
      <c r="F803" s="198"/>
      <c r="G803" s="403"/>
      <c r="H803" s="198"/>
      <c r="I803" s="410"/>
      <c r="J803" s="142"/>
      <c r="K803" s="410"/>
      <c r="L803" s="142"/>
      <c r="M803" s="410"/>
      <c r="N803" s="142"/>
      <c r="O803" s="403"/>
      <c r="P803" s="198"/>
      <c r="Q803" s="411"/>
      <c r="R803" s="76"/>
      <c r="S803" s="197"/>
      <c r="T803" s="198"/>
      <c r="U803" s="197"/>
      <c r="V803" s="198"/>
      <c r="W803" s="198"/>
      <c r="X803" s="198"/>
      <c r="Y803" s="198"/>
      <c r="Z803" s="198"/>
    </row>
    <row r="804">
      <c r="A804" s="403"/>
      <c r="B804" s="198"/>
      <c r="C804" s="403"/>
      <c r="D804" s="142"/>
      <c r="E804" s="403"/>
      <c r="F804" s="198"/>
      <c r="G804" s="403"/>
      <c r="H804" s="198"/>
      <c r="I804" s="410"/>
      <c r="J804" s="142"/>
      <c r="K804" s="410"/>
      <c r="L804" s="142"/>
      <c r="M804" s="410"/>
      <c r="N804" s="142"/>
      <c r="O804" s="403"/>
      <c r="P804" s="198"/>
      <c r="Q804" s="411"/>
      <c r="R804" s="76"/>
      <c r="S804" s="197"/>
      <c r="T804" s="198"/>
      <c r="U804" s="197"/>
      <c r="V804" s="198"/>
      <c r="W804" s="198"/>
      <c r="X804" s="198"/>
      <c r="Y804" s="198"/>
      <c r="Z804" s="198"/>
    </row>
    <row r="805">
      <c r="A805" s="403"/>
      <c r="B805" s="198"/>
      <c r="C805" s="403"/>
      <c r="D805" s="142"/>
      <c r="E805" s="403"/>
      <c r="F805" s="198"/>
      <c r="G805" s="403"/>
      <c r="H805" s="198"/>
      <c r="I805" s="410"/>
      <c r="J805" s="142"/>
      <c r="K805" s="410"/>
      <c r="L805" s="142"/>
      <c r="M805" s="410"/>
      <c r="N805" s="142"/>
      <c r="O805" s="403"/>
      <c r="P805" s="198"/>
      <c r="Q805" s="411"/>
      <c r="R805" s="76"/>
      <c r="S805" s="197"/>
      <c r="T805" s="198"/>
      <c r="U805" s="197"/>
      <c r="V805" s="198"/>
      <c r="W805" s="198"/>
      <c r="X805" s="198"/>
      <c r="Y805" s="198"/>
      <c r="Z805" s="198"/>
    </row>
    <row r="806">
      <c r="A806" s="403"/>
      <c r="B806" s="198"/>
      <c r="C806" s="403"/>
      <c r="D806" s="142"/>
      <c r="E806" s="403"/>
      <c r="F806" s="198"/>
      <c r="G806" s="403"/>
      <c r="H806" s="198"/>
      <c r="I806" s="410"/>
      <c r="J806" s="142"/>
      <c r="K806" s="410"/>
      <c r="L806" s="142"/>
      <c r="M806" s="410"/>
      <c r="N806" s="142"/>
      <c r="O806" s="403"/>
      <c r="P806" s="198"/>
      <c r="Q806" s="411"/>
      <c r="R806" s="76"/>
      <c r="S806" s="197"/>
      <c r="T806" s="198"/>
      <c r="U806" s="197"/>
      <c r="V806" s="198"/>
      <c r="W806" s="198"/>
      <c r="X806" s="198"/>
      <c r="Y806" s="198"/>
      <c r="Z806" s="198"/>
    </row>
    <row r="807">
      <c r="A807" s="403"/>
      <c r="B807" s="198"/>
      <c r="C807" s="403"/>
      <c r="D807" s="142"/>
      <c r="E807" s="403"/>
      <c r="F807" s="198"/>
      <c r="G807" s="403"/>
      <c r="H807" s="198"/>
      <c r="I807" s="410"/>
      <c r="J807" s="142"/>
      <c r="K807" s="410"/>
      <c r="L807" s="142"/>
      <c r="M807" s="410"/>
      <c r="N807" s="142"/>
      <c r="O807" s="403"/>
      <c r="P807" s="198"/>
      <c r="Q807" s="411"/>
      <c r="R807" s="76"/>
      <c r="S807" s="197"/>
      <c r="T807" s="198"/>
      <c r="U807" s="197"/>
      <c r="V807" s="198"/>
      <c r="W807" s="198"/>
      <c r="X807" s="198"/>
      <c r="Y807" s="198"/>
      <c r="Z807" s="198"/>
    </row>
    <row r="808">
      <c r="A808" s="403"/>
      <c r="B808" s="198"/>
      <c r="C808" s="403"/>
      <c r="D808" s="142"/>
      <c r="E808" s="403"/>
      <c r="F808" s="198"/>
      <c r="G808" s="403"/>
      <c r="H808" s="198"/>
      <c r="I808" s="410"/>
      <c r="J808" s="142"/>
      <c r="K808" s="410"/>
      <c r="L808" s="142"/>
      <c r="M808" s="410"/>
      <c r="N808" s="142"/>
      <c r="O808" s="403"/>
      <c r="P808" s="198"/>
      <c r="Q808" s="411"/>
      <c r="R808" s="76"/>
      <c r="S808" s="197"/>
      <c r="T808" s="198"/>
      <c r="U808" s="197"/>
      <c r="V808" s="198"/>
      <c r="W808" s="198"/>
      <c r="X808" s="198"/>
      <c r="Y808" s="198"/>
      <c r="Z808" s="198"/>
    </row>
    <row r="809">
      <c r="A809" s="403"/>
      <c r="B809" s="198"/>
      <c r="C809" s="403"/>
      <c r="D809" s="142"/>
      <c r="E809" s="403"/>
      <c r="F809" s="198"/>
      <c r="G809" s="403"/>
      <c r="H809" s="198"/>
      <c r="I809" s="410"/>
      <c r="J809" s="142"/>
      <c r="K809" s="410"/>
      <c r="L809" s="142"/>
      <c r="M809" s="410"/>
      <c r="N809" s="142"/>
      <c r="O809" s="403"/>
      <c r="P809" s="198"/>
      <c r="Q809" s="411"/>
      <c r="R809" s="76"/>
      <c r="S809" s="197"/>
      <c r="T809" s="198"/>
      <c r="U809" s="197"/>
      <c r="V809" s="198"/>
      <c r="W809" s="198"/>
      <c r="X809" s="198"/>
      <c r="Y809" s="198"/>
      <c r="Z809" s="198"/>
    </row>
    <row r="810">
      <c r="A810" s="403"/>
      <c r="B810" s="198"/>
      <c r="C810" s="403"/>
      <c r="D810" s="142"/>
      <c r="E810" s="403"/>
      <c r="F810" s="198"/>
      <c r="G810" s="403"/>
      <c r="H810" s="198"/>
      <c r="I810" s="410"/>
      <c r="J810" s="142"/>
      <c r="K810" s="410"/>
      <c r="L810" s="142"/>
      <c r="M810" s="410"/>
      <c r="N810" s="142"/>
      <c r="O810" s="403"/>
      <c r="P810" s="198"/>
      <c r="Q810" s="411"/>
      <c r="R810" s="76"/>
      <c r="S810" s="197"/>
      <c r="T810" s="198"/>
      <c r="U810" s="197"/>
      <c r="V810" s="198"/>
      <c r="W810" s="198"/>
      <c r="X810" s="198"/>
      <c r="Y810" s="198"/>
      <c r="Z810" s="198"/>
    </row>
    <row r="811">
      <c r="A811" s="403"/>
      <c r="B811" s="198"/>
      <c r="C811" s="403"/>
      <c r="D811" s="142"/>
      <c r="E811" s="403"/>
      <c r="F811" s="198"/>
      <c r="G811" s="403"/>
      <c r="H811" s="198"/>
      <c r="I811" s="410"/>
      <c r="J811" s="142"/>
      <c r="K811" s="410"/>
      <c r="L811" s="142"/>
      <c r="M811" s="410"/>
      <c r="N811" s="142"/>
      <c r="O811" s="403"/>
      <c r="P811" s="198"/>
      <c r="Q811" s="411"/>
      <c r="R811" s="76"/>
      <c r="S811" s="197"/>
      <c r="T811" s="198"/>
      <c r="U811" s="197"/>
      <c r="V811" s="198"/>
      <c r="W811" s="198"/>
      <c r="X811" s="198"/>
      <c r="Y811" s="198"/>
      <c r="Z811" s="198"/>
    </row>
    <row r="812">
      <c r="A812" s="403"/>
      <c r="B812" s="198"/>
      <c r="C812" s="403"/>
      <c r="D812" s="142"/>
      <c r="E812" s="403"/>
      <c r="F812" s="198"/>
      <c r="G812" s="403"/>
      <c r="H812" s="198"/>
      <c r="I812" s="410"/>
      <c r="J812" s="142"/>
      <c r="K812" s="410"/>
      <c r="L812" s="142"/>
      <c r="M812" s="410"/>
      <c r="N812" s="142"/>
      <c r="O812" s="403"/>
      <c r="P812" s="198"/>
      <c r="Q812" s="411"/>
      <c r="R812" s="76"/>
      <c r="S812" s="197"/>
      <c r="T812" s="198"/>
      <c r="U812" s="197"/>
      <c r="V812" s="198"/>
      <c r="W812" s="198"/>
      <c r="X812" s="198"/>
      <c r="Y812" s="198"/>
      <c r="Z812" s="198"/>
    </row>
    <row r="813">
      <c r="A813" s="403"/>
      <c r="B813" s="198"/>
      <c r="C813" s="403"/>
      <c r="D813" s="142"/>
      <c r="E813" s="403"/>
      <c r="F813" s="198"/>
      <c r="G813" s="403"/>
      <c r="H813" s="198"/>
      <c r="I813" s="410"/>
      <c r="J813" s="142"/>
      <c r="K813" s="410"/>
      <c r="L813" s="142"/>
      <c r="M813" s="410"/>
      <c r="N813" s="142"/>
      <c r="O813" s="403"/>
      <c r="P813" s="198"/>
      <c r="Q813" s="411"/>
      <c r="R813" s="76"/>
      <c r="S813" s="197"/>
      <c r="T813" s="198"/>
      <c r="U813" s="197"/>
      <c r="V813" s="198"/>
      <c r="W813" s="198"/>
      <c r="X813" s="198"/>
      <c r="Y813" s="198"/>
      <c r="Z813" s="198"/>
    </row>
    <row r="814">
      <c r="A814" s="403"/>
      <c r="B814" s="198"/>
      <c r="C814" s="403"/>
      <c r="D814" s="142"/>
      <c r="E814" s="403"/>
      <c r="F814" s="198"/>
      <c r="G814" s="403"/>
      <c r="H814" s="198"/>
      <c r="I814" s="410"/>
      <c r="J814" s="142"/>
      <c r="K814" s="410"/>
      <c r="L814" s="142"/>
      <c r="M814" s="410"/>
      <c r="N814" s="142"/>
      <c r="O814" s="403"/>
      <c r="P814" s="198"/>
      <c r="Q814" s="411"/>
      <c r="R814" s="76"/>
      <c r="S814" s="197"/>
      <c r="T814" s="198"/>
      <c r="U814" s="197"/>
      <c r="V814" s="198"/>
      <c r="W814" s="198"/>
      <c r="X814" s="198"/>
      <c r="Y814" s="198"/>
      <c r="Z814" s="198"/>
    </row>
    <row r="815">
      <c r="A815" s="403"/>
      <c r="B815" s="198"/>
      <c r="C815" s="403"/>
      <c r="D815" s="142"/>
      <c r="E815" s="403"/>
      <c r="F815" s="198"/>
      <c r="G815" s="403"/>
      <c r="H815" s="198"/>
      <c r="I815" s="410"/>
      <c r="J815" s="142"/>
      <c r="K815" s="410"/>
      <c r="L815" s="142"/>
      <c r="M815" s="410"/>
      <c r="N815" s="142"/>
      <c r="O815" s="403"/>
      <c r="P815" s="198"/>
      <c r="Q815" s="411"/>
      <c r="R815" s="76"/>
      <c r="S815" s="197"/>
      <c r="T815" s="198"/>
      <c r="U815" s="197"/>
      <c r="V815" s="198"/>
      <c r="W815" s="198"/>
      <c r="X815" s="198"/>
      <c r="Y815" s="198"/>
      <c r="Z815" s="198"/>
    </row>
    <row r="816">
      <c r="A816" s="403"/>
      <c r="B816" s="198"/>
      <c r="C816" s="403"/>
      <c r="D816" s="142"/>
      <c r="E816" s="403"/>
      <c r="F816" s="198"/>
      <c r="G816" s="403"/>
      <c r="H816" s="198"/>
      <c r="I816" s="410"/>
      <c r="J816" s="142"/>
      <c r="K816" s="410"/>
      <c r="L816" s="142"/>
      <c r="M816" s="410"/>
      <c r="N816" s="142"/>
      <c r="O816" s="403"/>
      <c r="P816" s="198"/>
      <c r="Q816" s="411"/>
      <c r="R816" s="76"/>
      <c r="S816" s="197"/>
      <c r="T816" s="198"/>
      <c r="U816" s="197"/>
      <c r="V816" s="198"/>
      <c r="W816" s="198"/>
      <c r="X816" s="198"/>
      <c r="Y816" s="198"/>
      <c r="Z816" s="198"/>
    </row>
    <row r="817">
      <c r="A817" s="403"/>
      <c r="B817" s="198"/>
      <c r="C817" s="403"/>
      <c r="D817" s="142"/>
      <c r="E817" s="403"/>
      <c r="F817" s="198"/>
      <c r="G817" s="403"/>
      <c r="H817" s="198"/>
      <c r="I817" s="410"/>
      <c r="J817" s="142"/>
      <c r="K817" s="410"/>
      <c r="L817" s="142"/>
      <c r="M817" s="410"/>
      <c r="N817" s="142"/>
      <c r="O817" s="403"/>
      <c r="P817" s="198"/>
      <c r="Q817" s="411"/>
      <c r="R817" s="76"/>
      <c r="S817" s="197"/>
      <c r="T817" s="198"/>
      <c r="U817" s="197"/>
      <c r="V817" s="198"/>
      <c r="W817" s="198"/>
      <c r="X817" s="198"/>
      <c r="Y817" s="198"/>
      <c r="Z817" s="198"/>
    </row>
    <row r="818">
      <c r="A818" s="403"/>
      <c r="B818" s="198"/>
      <c r="C818" s="403"/>
      <c r="D818" s="142"/>
      <c r="E818" s="403"/>
      <c r="F818" s="198"/>
      <c r="G818" s="403"/>
      <c r="H818" s="198"/>
      <c r="I818" s="410"/>
      <c r="J818" s="142"/>
      <c r="K818" s="410"/>
      <c r="L818" s="142"/>
      <c r="M818" s="410"/>
      <c r="N818" s="142"/>
      <c r="O818" s="403"/>
      <c r="P818" s="198"/>
      <c r="Q818" s="411"/>
      <c r="R818" s="76"/>
      <c r="S818" s="197"/>
      <c r="T818" s="198"/>
      <c r="U818" s="197"/>
      <c r="V818" s="198"/>
      <c r="W818" s="198"/>
      <c r="X818" s="198"/>
      <c r="Y818" s="198"/>
      <c r="Z818" s="198"/>
    </row>
    <row r="819">
      <c r="A819" s="403"/>
      <c r="B819" s="198"/>
      <c r="C819" s="403"/>
      <c r="D819" s="142"/>
      <c r="E819" s="403"/>
      <c r="F819" s="198"/>
      <c r="G819" s="403"/>
      <c r="H819" s="198"/>
      <c r="I819" s="410"/>
      <c r="J819" s="142"/>
      <c r="K819" s="410"/>
      <c r="L819" s="142"/>
      <c r="M819" s="410"/>
      <c r="N819" s="142"/>
      <c r="O819" s="403"/>
      <c r="P819" s="198"/>
      <c r="Q819" s="411"/>
      <c r="R819" s="76"/>
      <c r="S819" s="197"/>
      <c r="T819" s="198"/>
      <c r="U819" s="197"/>
      <c r="V819" s="198"/>
      <c r="W819" s="198"/>
      <c r="X819" s="198"/>
      <c r="Y819" s="198"/>
      <c r="Z819" s="198"/>
    </row>
    <row r="820">
      <c r="A820" s="403"/>
      <c r="B820" s="198"/>
      <c r="C820" s="403"/>
      <c r="D820" s="142"/>
      <c r="E820" s="403"/>
      <c r="F820" s="198"/>
      <c r="G820" s="403"/>
      <c r="H820" s="198"/>
      <c r="I820" s="410"/>
      <c r="J820" s="142"/>
      <c r="K820" s="410"/>
      <c r="L820" s="142"/>
      <c r="M820" s="410"/>
      <c r="N820" s="142"/>
      <c r="O820" s="403"/>
      <c r="P820" s="198"/>
      <c r="Q820" s="411"/>
      <c r="R820" s="76"/>
      <c r="S820" s="197"/>
      <c r="T820" s="198"/>
      <c r="U820" s="197"/>
      <c r="V820" s="198"/>
      <c r="W820" s="198"/>
      <c r="X820" s="198"/>
      <c r="Y820" s="198"/>
      <c r="Z820" s="198"/>
    </row>
    <row r="821">
      <c r="A821" s="403"/>
      <c r="B821" s="198"/>
      <c r="C821" s="403"/>
      <c r="D821" s="142"/>
      <c r="E821" s="403"/>
      <c r="F821" s="198"/>
      <c r="G821" s="403"/>
      <c r="H821" s="198"/>
      <c r="I821" s="410"/>
      <c r="J821" s="142"/>
      <c r="K821" s="410"/>
      <c r="L821" s="142"/>
      <c r="M821" s="410"/>
      <c r="N821" s="142"/>
      <c r="O821" s="403"/>
      <c r="P821" s="198"/>
      <c r="Q821" s="411"/>
      <c r="R821" s="76"/>
      <c r="S821" s="197"/>
      <c r="T821" s="198"/>
      <c r="U821" s="197"/>
      <c r="V821" s="198"/>
      <c r="W821" s="198"/>
      <c r="X821" s="198"/>
      <c r="Y821" s="198"/>
      <c r="Z821" s="198"/>
    </row>
    <row r="822">
      <c r="A822" s="403"/>
      <c r="B822" s="198"/>
      <c r="C822" s="403"/>
      <c r="D822" s="142"/>
      <c r="E822" s="403"/>
      <c r="F822" s="198"/>
      <c r="G822" s="403"/>
      <c r="H822" s="198"/>
      <c r="I822" s="410"/>
      <c r="J822" s="142"/>
      <c r="K822" s="410"/>
      <c r="L822" s="142"/>
      <c r="M822" s="410"/>
      <c r="N822" s="142"/>
      <c r="O822" s="403"/>
      <c r="P822" s="198"/>
      <c r="Q822" s="411"/>
      <c r="R822" s="76"/>
      <c r="S822" s="197"/>
      <c r="T822" s="198"/>
      <c r="U822" s="197"/>
      <c r="V822" s="198"/>
      <c r="W822" s="198"/>
      <c r="X822" s="198"/>
      <c r="Y822" s="198"/>
      <c r="Z822" s="198"/>
    </row>
    <row r="823">
      <c r="A823" s="403"/>
      <c r="B823" s="198"/>
      <c r="C823" s="403"/>
      <c r="D823" s="142"/>
      <c r="E823" s="403"/>
      <c r="F823" s="198"/>
      <c r="G823" s="403"/>
      <c r="H823" s="198"/>
      <c r="I823" s="410"/>
      <c r="J823" s="142"/>
      <c r="K823" s="410"/>
      <c r="L823" s="142"/>
      <c r="M823" s="410"/>
      <c r="N823" s="142"/>
      <c r="O823" s="403"/>
      <c r="P823" s="198"/>
      <c r="Q823" s="411"/>
      <c r="R823" s="76"/>
      <c r="S823" s="197"/>
      <c r="T823" s="198"/>
      <c r="U823" s="197"/>
      <c r="V823" s="198"/>
      <c r="W823" s="198"/>
      <c r="X823" s="198"/>
      <c r="Y823" s="198"/>
      <c r="Z823" s="198"/>
    </row>
    <row r="824">
      <c r="A824" s="403"/>
      <c r="B824" s="198"/>
      <c r="C824" s="403"/>
      <c r="D824" s="142"/>
      <c r="E824" s="403"/>
      <c r="F824" s="198"/>
      <c r="G824" s="403"/>
      <c r="H824" s="198"/>
      <c r="I824" s="410"/>
      <c r="J824" s="142"/>
      <c r="K824" s="410"/>
      <c r="L824" s="142"/>
      <c r="M824" s="410"/>
      <c r="N824" s="142"/>
      <c r="O824" s="403"/>
      <c r="P824" s="198"/>
      <c r="Q824" s="411"/>
      <c r="R824" s="76"/>
      <c r="S824" s="197"/>
      <c r="T824" s="198"/>
      <c r="U824" s="197"/>
      <c r="V824" s="198"/>
      <c r="W824" s="198"/>
      <c r="X824" s="198"/>
      <c r="Y824" s="198"/>
      <c r="Z824" s="198"/>
    </row>
    <row r="825">
      <c r="A825" s="403"/>
      <c r="B825" s="198"/>
      <c r="C825" s="403"/>
      <c r="D825" s="142"/>
      <c r="E825" s="403"/>
      <c r="F825" s="198"/>
      <c r="G825" s="403"/>
      <c r="H825" s="198"/>
      <c r="I825" s="410"/>
      <c r="J825" s="142"/>
      <c r="K825" s="410"/>
      <c r="L825" s="142"/>
      <c r="M825" s="410"/>
      <c r="N825" s="142"/>
      <c r="O825" s="403"/>
      <c r="P825" s="198"/>
      <c r="Q825" s="411"/>
      <c r="R825" s="76"/>
      <c r="S825" s="197"/>
      <c r="T825" s="198"/>
      <c r="U825" s="197"/>
      <c r="V825" s="198"/>
      <c r="W825" s="198"/>
      <c r="X825" s="198"/>
      <c r="Y825" s="198"/>
      <c r="Z825" s="198"/>
    </row>
    <row r="826">
      <c r="A826" s="403"/>
      <c r="B826" s="198"/>
      <c r="C826" s="403"/>
      <c r="D826" s="142"/>
      <c r="E826" s="403"/>
      <c r="F826" s="198"/>
      <c r="G826" s="403"/>
      <c r="H826" s="198"/>
      <c r="I826" s="410"/>
      <c r="J826" s="142"/>
      <c r="K826" s="410"/>
      <c r="L826" s="142"/>
      <c r="M826" s="410"/>
      <c r="N826" s="142"/>
      <c r="O826" s="403"/>
      <c r="P826" s="198"/>
      <c r="Q826" s="411"/>
      <c r="R826" s="76"/>
      <c r="S826" s="197"/>
      <c r="T826" s="198"/>
      <c r="U826" s="197"/>
      <c r="V826" s="198"/>
      <c r="W826" s="198"/>
      <c r="X826" s="198"/>
      <c r="Y826" s="198"/>
      <c r="Z826" s="198"/>
    </row>
    <row r="827">
      <c r="A827" s="403"/>
      <c r="B827" s="198"/>
      <c r="C827" s="403"/>
      <c r="D827" s="142"/>
      <c r="E827" s="403"/>
      <c r="F827" s="198"/>
      <c r="G827" s="403"/>
      <c r="H827" s="198"/>
      <c r="I827" s="410"/>
      <c r="J827" s="142"/>
      <c r="K827" s="410"/>
      <c r="L827" s="142"/>
      <c r="M827" s="410"/>
      <c r="N827" s="142"/>
      <c r="O827" s="403"/>
      <c r="P827" s="198"/>
      <c r="Q827" s="411"/>
      <c r="R827" s="76"/>
      <c r="S827" s="197"/>
      <c r="T827" s="198"/>
      <c r="U827" s="197"/>
      <c r="V827" s="198"/>
      <c r="W827" s="198"/>
      <c r="X827" s="198"/>
      <c r="Y827" s="198"/>
      <c r="Z827" s="198"/>
    </row>
    <row r="828">
      <c r="A828" s="403"/>
      <c r="B828" s="198"/>
      <c r="C828" s="403"/>
      <c r="D828" s="142"/>
      <c r="E828" s="403"/>
      <c r="F828" s="198"/>
      <c r="G828" s="403"/>
      <c r="H828" s="198"/>
      <c r="I828" s="410"/>
      <c r="J828" s="142"/>
      <c r="K828" s="410"/>
      <c r="L828" s="142"/>
      <c r="M828" s="410"/>
      <c r="N828" s="142"/>
      <c r="O828" s="403"/>
      <c r="P828" s="198"/>
      <c r="Q828" s="411"/>
      <c r="R828" s="76"/>
      <c r="S828" s="197"/>
      <c r="T828" s="198"/>
      <c r="U828" s="197"/>
      <c r="V828" s="198"/>
      <c r="W828" s="198"/>
      <c r="X828" s="198"/>
      <c r="Y828" s="198"/>
      <c r="Z828" s="198"/>
    </row>
    <row r="829">
      <c r="A829" s="403"/>
      <c r="B829" s="198"/>
      <c r="C829" s="403"/>
      <c r="D829" s="142"/>
      <c r="E829" s="403"/>
      <c r="F829" s="198"/>
      <c r="G829" s="403"/>
      <c r="H829" s="198"/>
      <c r="I829" s="410"/>
      <c r="J829" s="142"/>
      <c r="K829" s="410"/>
      <c r="L829" s="142"/>
      <c r="M829" s="410"/>
      <c r="N829" s="142"/>
      <c r="O829" s="403"/>
      <c r="P829" s="198"/>
      <c r="Q829" s="411"/>
      <c r="R829" s="76"/>
      <c r="S829" s="197"/>
      <c r="T829" s="198"/>
      <c r="U829" s="197"/>
      <c r="V829" s="198"/>
      <c r="W829" s="198"/>
      <c r="X829" s="198"/>
      <c r="Y829" s="198"/>
      <c r="Z829" s="198"/>
    </row>
    <row r="830">
      <c r="A830" s="403"/>
      <c r="B830" s="198"/>
      <c r="C830" s="403"/>
      <c r="D830" s="142"/>
      <c r="E830" s="403"/>
      <c r="F830" s="198"/>
      <c r="G830" s="403"/>
      <c r="H830" s="198"/>
      <c r="I830" s="410"/>
      <c r="J830" s="142"/>
      <c r="K830" s="410"/>
      <c r="L830" s="142"/>
      <c r="M830" s="410"/>
      <c r="N830" s="142"/>
      <c r="O830" s="403"/>
      <c r="P830" s="198"/>
      <c r="Q830" s="411"/>
      <c r="R830" s="76"/>
      <c r="S830" s="197"/>
      <c r="T830" s="198"/>
      <c r="U830" s="197"/>
      <c r="V830" s="198"/>
      <c r="W830" s="198"/>
      <c r="X830" s="198"/>
      <c r="Y830" s="198"/>
      <c r="Z830" s="198"/>
    </row>
    <row r="831">
      <c r="A831" s="403"/>
      <c r="B831" s="198"/>
      <c r="C831" s="403"/>
      <c r="D831" s="142"/>
      <c r="E831" s="403"/>
      <c r="F831" s="198"/>
      <c r="G831" s="403"/>
      <c r="H831" s="198"/>
      <c r="I831" s="410"/>
      <c r="J831" s="142"/>
      <c r="K831" s="410"/>
      <c r="L831" s="142"/>
      <c r="M831" s="410"/>
      <c r="N831" s="142"/>
      <c r="O831" s="403"/>
      <c r="P831" s="198"/>
      <c r="Q831" s="411"/>
      <c r="R831" s="76"/>
      <c r="S831" s="197"/>
      <c r="T831" s="198"/>
      <c r="U831" s="197"/>
      <c r="V831" s="198"/>
      <c r="W831" s="198"/>
      <c r="X831" s="198"/>
      <c r="Y831" s="198"/>
      <c r="Z831" s="198"/>
    </row>
    <row r="832">
      <c r="A832" s="403"/>
      <c r="B832" s="198"/>
      <c r="C832" s="403"/>
      <c r="D832" s="142"/>
      <c r="E832" s="403"/>
      <c r="F832" s="198"/>
      <c r="G832" s="403"/>
      <c r="H832" s="198"/>
      <c r="I832" s="410"/>
      <c r="J832" s="142"/>
      <c r="K832" s="410"/>
      <c r="L832" s="142"/>
      <c r="M832" s="410"/>
      <c r="N832" s="142"/>
      <c r="O832" s="403"/>
      <c r="P832" s="198"/>
      <c r="Q832" s="411"/>
      <c r="R832" s="76"/>
      <c r="S832" s="197"/>
      <c r="T832" s="198"/>
      <c r="U832" s="197"/>
      <c r="V832" s="198"/>
      <c r="W832" s="198"/>
      <c r="X832" s="198"/>
      <c r="Y832" s="198"/>
      <c r="Z832" s="198"/>
    </row>
    <row r="833">
      <c r="A833" s="403"/>
      <c r="B833" s="198"/>
      <c r="C833" s="403"/>
      <c r="D833" s="142"/>
      <c r="E833" s="403"/>
      <c r="F833" s="198"/>
      <c r="G833" s="403"/>
      <c r="H833" s="198"/>
      <c r="I833" s="410"/>
      <c r="J833" s="142"/>
      <c r="K833" s="410"/>
      <c r="L833" s="142"/>
      <c r="M833" s="410"/>
      <c r="N833" s="142"/>
      <c r="O833" s="403"/>
      <c r="P833" s="198"/>
      <c r="Q833" s="411"/>
      <c r="R833" s="76"/>
      <c r="S833" s="197"/>
      <c r="T833" s="198"/>
      <c r="U833" s="197"/>
      <c r="V833" s="198"/>
      <c r="W833" s="198"/>
      <c r="X833" s="198"/>
      <c r="Y833" s="198"/>
      <c r="Z833" s="198"/>
    </row>
    <row r="834">
      <c r="A834" s="403"/>
      <c r="B834" s="198"/>
      <c r="C834" s="403"/>
      <c r="D834" s="142"/>
      <c r="E834" s="403"/>
      <c r="F834" s="198"/>
      <c r="G834" s="403"/>
      <c r="H834" s="198"/>
      <c r="I834" s="410"/>
      <c r="J834" s="142"/>
      <c r="K834" s="410"/>
      <c r="L834" s="142"/>
      <c r="M834" s="410"/>
      <c r="N834" s="142"/>
      <c r="O834" s="403"/>
      <c r="P834" s="198"/>
      <c r="Q834" s="411"/>
      <c r="R834" s="76"/>
      <c r="S834" s="197"/>
      <c r="T834" s="198"/>
      <c r="U834" s="197"/>
      <c r="V834" s="198"/>
      <c r="W834" s="198"/>
      <c r="X834" s="198"/>
      <c r="Y834" s="198"/>
      <c r="Z834" s="198"/>
    </row>
    <row r="835">
      <c r="A835" s="403"/>
      <c r="B835" s="198"/>
      <c r="C835" s="403"/>
      <c r="D835" s="142"/>
      <c r="E835" s="403"/>
      <c r="F835" s="198"/>
      <c r="G835" s="403"/>
      <c r="H835" s="198"/>
      <c r="I835" s="410"/>
      <c r="J835" s="142"/>
      <c r="K835" s="410"/>
      <c r="L835" s="142"/>
      <c r="M835" s="410"/>
      <c r="N835" s="142"/>
      <c r="O835" s="403"/>
      <c r="P835" s="198"/>
      <c r="Q835" s="411"/>
      <c r="R835" s="76"/>
      <c r="S835" s="197"/>
      <c r="T835" s="198"/>
      <c r="U835" s="197"/>
      <c r="V835" s="198"/>
      <c r="W835" s="198"/>
      <c r="X835" s="198"/>
      <c r="Y835" s="198"/>
      <c r="Z835" s="198"/>
    </row>
    <row r="836">
      <c r="A836" s="403"/>
      <c r="B836" s="198"/>
      <c r="C836" s="403"/>
      <c r="D836" s="142"/>
      <c r="E836" s="403"/>
      <c r="F836" s="198"/>
      <c r="G836" s="403"/>
      <c r="H836" s="198"/>
      <c r="I836" s="410"/>
      <c r="J836" s="142"/>
      <c r="K836" s="410"/>
      <c r="L836" s="142"/>
      <c r="M836" s="410"/>
      <c r="N836" s="142"/>
      <c r="O836" s="403"/>
      <c r="P836" s="198"/>
      <c r="Q836" s="411"/>
      <c r="R836" s="76"/>
      <c r="S836" s="197"/>
      <c r="T836" s="198"/>
      <c r="U836" s="197"/>
      <c r="V836" s="198"/>
      <c r="W836" s="198"/>
      <c r="X836" s="198"/>
      <c r="Y836" s="198"/>
      <c r="Z836" s="198"/>
    </row>
    <row r="837">
      <c r="A837" s="403"/>
      <c r="B837" s="198"/>
      <c r="C837" s="403"/>
      <c r="D837" s="142"/>
      <c r="E837" s="403"/>
      <c r="F837" s="198"/>
      <c r="G837" s="403"/>
      <c r="H837" s="198"/>
      <c r="I837" s="410"/>
      <c r="J837" s="142"/>
      <c r="K837" s="410"/>
      <c r="L837" s="142"/>
      <c r="M837" s="410"/>
      <c r="N837" s="142"/>
      <c r="O837" s="403"/>
      <c r="P837" s="198"/>
      <c r="Q837" s="411"/>
      <c r="R837" s="76"/>
      <c r="S837" s="197"/>
      <c r="T837" s="198"/>
      <c r="U837" s="197"/>
      <c r="V837" s="198"/>
      <c r="W837" s="198"/>
      <c r="X837" s="198"/>
      <c r="Y837" s="198"/>
      <c r="Z837" s="198"/>
    </row>
    <row r="838">
      <c r="A838" s="403"/>
      <c r="B838" s="198"/>
      <c r="C838" s="403"/>
      <c r="D838" s="142"/>
      <c r="E838" s="403"/>
      <c r="F838" s="198"/>
      <c r="G838" s="403"/>
      <c r="H838" s="198"/>
      <c r="I838" s="410"/>
      <c r="J838" s="142"/>
      <c r="K838" s="410"/>
      <c r="L838" s="142"/>
      <c r="M838" s="410"/>
      <c r="N838" s="142"/>
      <c r="O838" s="403"/>
      <c r="P838" s="198"/>
      <c r="Q838" s="411"/>
      <c r="R838" s="76"/>
      <c r="S838" s="197"/>
      <c r="T838" s="198"/>
      <c r="U838" s="197"/>
      <c r="V838" s="198"/>
      <c r="W838" s="198"/>
      <c r="X838" s="198"/>
      <c r="Y838" s="198"/>
      <c r="Z838" s="198"/>
    </row>
    <row r="839">
      <c r="A839" s="403"/>
      <c r="B839" s="198"/>
      <c r="C839" s="403"/>
      <c r="D839" s="142"/>
      <c r="E839" s="403"/>
      <c r="F839" s="198"/>
      <c r="G839" s="403"/>
      <c r="H839" s="198"/>
      <c r="I839" s="410"/>
      <c r="J839" s="142"/>
      <c r="K839" s="410"/>
      <c r="L839" s="142"/>
      <c r="M839" s="410"/>
      <c r="N839" s="142"/>
      <c r="O839" s="403"/>
      <c r="P839" s="198"/>
      <c r="Q839" s="411"/>
      <c r="R839" s="76"/>
      <c r="S839" s="197"/>
      <c r="T839" s="198"/>
      <c r="U839" s="197"/>
      <c r="V839" s="198"/>
      <c r="W839" s="198"/>
      <c r="X839" s="198"/>
      <c r="Y839" s="198"/>
      <c r="Z839" s="198"/>
    </row>
    <row r="840">
      <c r="A840" s="403"/>
      <c r="B840" s="198"/>
      <c r="C840" s="403"/>
      <c r="D840" s="142"/>
      <c r="E840" s="403"/>
      <c r="F840" s="198"/>
      <c r="G840" s="403"/>
      <c r="H840" s="198"/>
      <c r="I840" s="410"/>
      <c r="J840" s="142"/>
      <c r="K840" s="410"/>
      <c r="L840" s="142"/>
      <c r="M840" s="410"/>
      <c r="N840" s="142"/>
      <c r="O840" s="403"/>
      <c r="P840" s="198"/>
      <c r="Q840" s="411"/>
      <c r="R840" s="76"/>
      <c r="S840" s="197"/>
      <c r="T840" s="198"/>
      <c r="U840" s="197"/>
      <c r="V840" s="198"/>
      <c r="W840" s="198"/>
      <c r="X840" s="198"/>
      <c r="Y840" s="198"/>
      <c r="Z840" s="198"/>
    </row>
    <row r="841">
      <c r="A841" s="403"/>
      <c r="B841" s="198"/>
      <c r="C841" s="403"/>
      <c r="D841" s="142"/>
      <c r="E841" s="403"/>
      <c r="F841" s="198"/>
      <c r="G841" s="403"/>
      <c r="H841" s="198"/>
      <c r="I841" s="410"/>
      <c r="J841" s="142"/>
      <c r="K841" s="410"/>
      <c r="L841" s="142"/>
      <c r="M841" s="410"/>
      <c r="N841" s="142"/>
      <c r="O841" s="403"/>
      <c r="P841" s="198"/>
      <c r="Q841" s="411"/>
      <c r="R841" s="76"/>
      <c r="S841" s="197"/>
      <c r="T841" s="198"/>
      <c r="U841" s="197"/>
      <c r="V841" s="198"/>
      <c r="W841" s="198"/>
      <c r="X841" s="198"/>
      <c r="Y841" s="198"/>
      <c r="Z841" s="198"/>
    </row>
    <row r="842">
      <c r="A842" s="403"/>
      <c r="B842" s="198"/>
      <c r="C842" s="403"/>
      <c r="D842" s="142"/>
      <c r="E842" s="403"/>
      <c r="F842" s="198"/>
      <c r="G842" s="403"/>
      <c r="H842" s="198"/>
      <c r="I842" s="410"/>
      <c r="J842" s="142"/>
      <c r="K842" s="410"/>
      <c r="L842" s="142"/>
      <c r="M842" s="410"/>
      <c r="N842" s="142"/>
      <c r="O842" s="403"/>
      <c r="P842" s="198"/>
      <c r="Q842" s="411"/>
      <c r="R842" s="76"/>
      <c r="S842" s="197"/>
      <c r="T842" s="198"/>
      <c r="U842" s="197"/>
      <c r="V842" s="198"/>
      <c r="W842" s="198"/>
      <c r="X842" s="198"/>
      <c r="Y842" s="198"/>
      <c r="Z842" s="198"/>
    </row>
    <row r="843">
      <c r="A843" s="403"/>
      <c r="B843" s="198"/>
      <c r="C843" s="403"/>
      <c r="D843" s="142"/>
      <c r="E843" s="403"/>
      <c r="F843" s="198"/>
      <c r="G843" s="403"/>
      <c r="H843" s="198"/>
      <c r="I843" s="410"/>
      <c r="J843" s="142"/>
      <c r="K843" s="410"/>
      <c r="L843" s="142"/>
      <c r="M843" s="410"/>
      <c r="N843" s="142"/>
      <c r="O843" s="403"/>
      <c r="P843" s="198"/>
      <c r="Q843" s="411"/>
      <c r="R843" s="76"/>
      <c r="S843" s="197"/>
      <c r="T843" s="198"/>
      <c r="U843" s="197"/>
      <c r="V843" s="198"/>
      <c r="W843" s="198"/>
      <c r="X843" s="198"/>
      <c r="Y843" s="198"/>
      <c r="Z843" s="198"/>
    </row>
    <row r="844">
      <c r="A844" s="403"/>
      <c r="B844" s="198"/>
      <c r="C844" s="403"/>
      <c r="D844" s="142"/>
      <c r="E844" s="403"/>
      <c r="F844" s="198"/>
      <c r="G844" s="403"/>
      <c r="H844" s="198"/>
      <c r="I844" s="410"/>
      <c r="J844" s="142"/>
      <c r="K844" s="410"/>
      <c r="L844" s="142"/>
      <c r="M844" s="410"/>
      <c r="N844" s="142"/>
      <c r="O844" s="403"/>
      <c r="P844" s="198"/>
      <c r="Q844" s="411"/>
      <c r="R844" s="76"/>
      <c r="S844" s="197"/>
      <c r="T844" s="198"/>
      <c r="U844" s="197"/>
      <c r="V844" s="198"/>
      <c r="W844" s="198"/>
      <c r="X844" s="198"/>
      <c r="Y844" s="198"/>
      <c r="Z844" s="198"/>
    </row>
    <row r="845">
      <c r="A845" s="403"/>
      <c r="B845" s="198"/>
      <c r="C845" s="403"/>
      <c r="D845" s="142"/>
      <c r="E845" s="403"/>
      <c r="F845" s="198"/>
      <c r="G845" s="403"/>
      <c r="H845" s="198"/>
      <c r="I845" s="410"/>
      <c r="J845" s="142"/>
      <c r="K845" s="410"/>
      <c r="L845" s="142"/>
      <c r="M845" s="410"/>
      <c r="N845" s="142"/>
      <c r="O845" s="403"/>
      <c r="P845" s="198"/>
      <c r="Q845" s="411"/>
      <c r="R845" s="76"/>
      <c r="S845" s="197"/>
      <c r="T845" s="198"/>
      <c r="U845" s="197"/>
      <c r="V845" s="198"/>
      <c r="W845" s="198"/>
      <c r="X845" s="198"/>
      <c r="Y845" s="198"/>
      <c r="Z845" s="198"/>
    </row>
    <row r="846">
      <c r="A846" s="403"/>
      <c r="B846" s="198"/>
      <c r="C846" s="403"/>
      <c r="D846" s="142"/>
      <c r="E846" s="403"/>
      <c r="F846" s="198"/>
      <c r="G846" s="403"/>
      <c r="H846" s="198"/>
      <c r="I846" s="410"/>
      <c r="J846" s="142"/>
      <c r="K846" s="410"/>
      <c r="L846" s="142"/>
      <c r="M846" s="410"/>
      <c r="N846" s="142"/>
      <c r="O846" s="403"/>
      <c r="P846" s="198"/>
      <c r="Q846" s="411"/>
      <c r="R846" s="76"/>
      <c r="S846" s="197"/>
      <c r="T846" s="198"/>
      <c r="U846" s="197"/>
      <c r="V846" s="198"/>
      <c r="W846" s="198"/>
      <c r="X846" s="198"/>
      <c r="Y846" s="198"/>
      <c r="Z846" s="198"/>
    </row>
    <row r="847">
      <c r="A847" s="403"/>
      <c r="B847" s="198"/>
      <c r="C847" s="403"/>
      <c r="D847" s="142"/>
      <c r="E847" s="403"/>
      <c r="F847" s="198"/>
      <c r="G847" s="403"/>
      <c r="H847" s="198"/>
      <c r="I847" s="410"/>
      <c r="J847" s="142"/>
      <c r="K847" s="410"/>
      <c r="L847" s="142"/>
      <c r="M847" s="410"/>
      <c r="N847" s="142"/>
      <c r="O847" s="403"/>
      <c r="P847" s="198"/>
      <c r="Q847" s="411"/>
      <c r="R847" s="76"/>
      <c r="S847" s="197"/>
      <c r="T847" s="198"/>
      <c r="U847" s="197"/>
      <c r="V847" s="198"/>
      <c r="W847" s="198"/>
      <c r="X847" s="198"/>
      <c r="Y847" s="198"/>
      <c r="Z847" s="198"/>
    </row>
    <row r="848">
      <c r="A848" s="403"/>
      <c r="B848" s="198"/>
      <c r="C848" s="403"/>
      <c r="D848" s="142"/>
      <c r="E848" s="403"/>
      <c r="F848" s="198"/>
      <c r="G848" s="403"/>
      <c r="H848" s="198"/>
      <c r="I848" s="410"/>
      <c r="J848" s="142"/>
      <c r="K848" s="410"/>
      <c r="L848" s="142"/>
      <c r="M848" s="410"/>
      <c r="N848" s="142"/>
      <c r="O848" s="403"/>
      <c r="P848" s="198"/>
      <c r="Q848" s="411"/>
      <c r="R848" s="76"/>
      <c r="S848" s="197"/>
      <c r="T848" s="198"/>
      <c r="U848" s="197"/>
      <c r="V848" s="198"/>
      <c r="W848" s="198"/>
      <c r="X848" s="198"/>
      <c r="Y848" s="198"/>
      <c r="Z848" s="198"/>
    </row>
    <row r="849">
      <c r="A849" s="403"/>
      <c r="B849" s="198"/>
      <c r="C849" s="403"/>
      <c r="D849" s="142"/>
      <c r="E849" s="403"/>
      <c r="F849" s="198"/>
      <c r="G849" s="403"/>
      <c r="H849" s="198"/>
      <c r="I849" s="410"/>
      <c r="J849" s="142"/>
      <c r="K849" s="410"/>
      <c r="L849" s="142"/>
      <c r="M849" s="410"/>
      <c r="N849" s="142"/>
      <c r="O849" s="403"/>
      <c r="P849" s="198"/>
      <c r="Q849" s="411"/>
      <c r="R849" s="76"/>
      <c r="S849" s="197"/>
      <c r="T849" s="198"/>
      <c r="U849" s="197"/>
      <c r="V849" s="198"/>
      <c r="W849" s="198"/>
      <c r="X849" s="198"/>
      <c r="Y849" s="198"/>
      <c r="Z849" s="198"/>
    </row>
    <row r="850">
      <c r="A850" s="403"/>
      <c r="B850" s="198"/>
      <c r="C850" s="403"/>
      <c r="D850" s="142"/>
      <c r="E850" s="403"/>
      <c r="F850" s="198"/>
      <c r="G850" s="403"/>
      <c r="H850" s="198"/>
      <c r="I850" s="410"/>
      <c r="J850" s="142"/>
      <c r="K850" s="410"/>
      <c r="L850" s="142"/>
      <c r="M850" s="410"/>
      <c r="N850" s="142"/>
      <c r="O850" s="403"/>
      <c r="P850" s="198"/>
      <c r="Q850" s="411"/>
      <c r="R850" s="76"/>
      <c r="S850" s="197"/>
      <c r="T850" s="198"/>
      <c r="U850" s="197"/>
      <c r="V850" s="198"/>
      <c r="W850" s="198"/>
      <c r="X850" s="198"/>
      <c r="Y850" s="198"/>
      <c r="Z850" s="198"/>
    </row>
    <row r="851">
      <c r="A851" s="403"/>
      <c r="B851" s="198"/>
      <c r="C851" s="403"/>
      <c r="D851" s="142"/>
      <c r="E851" s="403"/>
      <c r="F851" s="198"/>
      <c r="G851" s="403"/>
      <c r="H851" s="198"/>
      <c r="I851" s="410"/>
      <c r="J851" s="142"/>
      <c r="K851" s="410"/>
      <c r="L851" s="142"/>
      <c r="M851" s="410"/>
      <c r="N851" s="142"/>
      <c r="O851" s="403"/>
      <c r="P851" s="198"/>
      <c r="Q851" s="411"/>
      <c r="R851" s="76"/>
      <c r="S851" s="197"/>
      <c r="T851" s="198"/>
      <c r="U851" s="197"/>
      <c r="V851" s="198"/>
      <c r="W851" s="198"/>
      <c r="X851" s="198"/>
      <c r="Y851" s="198"/>
      <c r="Z851" s="198"/>
    </row>
    <row r="852">
      <c r="A852" s="403"/>
      <c r="B852" s="198"/>
      <c r="C852" s="403"/>
      <c r="D852" s="142"/>
      <c r="E852" s="403"/>
      <c r="F852" s="198"/>
      <c r="G852" s="403"/>
      <c r="H852" s="198"/>
      <c r="I852" s="410"/>
      <c r="J852" s="142"/>
      <c r="K852" s="410"/>
      <c r="L852" s="142"/>
      <c r="M852" s="410"/>
      <c r="N852" s="142"/>
      <c r="O852" s="403"/>
      <c r="P852" s="198"/>
      <c r="Q852" s="411"/>
      <c r="R852" s="76"/>
      <c r="S852" s="197"/>
      <c r="T852" s="198"/>
      <c r="U852" s="197"/>
      <c r="V852" s="198"/>
      <c r="W852" s="198"/>
      <c r="X852" s="198"/>
      <c r="Y852" s="198"/>
      <c r="Z852" s="198"/>
    </row>
    <row r="853">
      <c r="A853" s="403"/>
      <c r="B853" s="198"/>
      <c r="C853" s="403"/>
      <c r="D853" s="142"/>
      <c r="E853" s="403"/>
      <c r="F853" s="198"/>
      <c r="G853" s="403"/>
      <c r="H853" s="198"/>
      <c r="I853" s="410"/>
      <c r="J853" s="142"/>
      <c r="K853" s="410"/>
      <c r="L853" s="142"/>
      <c r="M853" s="410"/>
      <c r="N853" s="142"/>
      <c r="O853" s="403"/>
      <c r="P853" s="198"/>
      <c r="Q853" s="411"/>
      <c r="R853" s="76"/>
      <c r="S853" s="197"/>
      <c r="T853" s="198"/>
      <c r="U853" s="197"/>
      <c r="V853" s="198"/>
      <c r="W853" s="198"/>
      <c r="X853" s="198"/>
      <c r="Y853" s="198"/>
      <c r="Z853" s="198"/>
    </row>
    <row r="854">
      <c r="A854" s="403"/>
      <c r="B854" s="198"/>
      <c r="C854" s="403"/>
      <c r="D854" s="142"/>
      <c r="E854" s="403"/>
      <c r="F854" s="198"/>
      <c r="G854" s="403"/>
      <c r="H854" s="198"/>
      <c r="I854" s="410"/>
      <c r="J854" s="142"/>
      <c r="K854" s="410"/>
      <c r="L854" s="142"/>
      <c r="M854" s="410"/>
      <c r="N854" s="142"/>
      <c r="O854" s="403"/>
      <c r="P854" s="198"/>
      <c r="Q854" s="411"/>
      <c r="R854" s="76"/>
      <c r="S854" s="197"/>
      <c r="T854" s="198"/>
      <c r="U854" s="197"/>
      <c r="V854" s="198"/>
      <c r="W854" s="198"/>
      <c r="X854" s="198"/>
      <c r="Y854" s="198"/>
      <c r="Z854" s="198"/>
    </row>
    <row r="855">
      <c r="A855" s="403"/>
      <c r="B855" s="198"/>
      <c r="C855" s="403"/>
      <c r="D855" s="142"/>
      <c r="E855" s="403"/>
      <c r="F855" s="198"/>
      <c r="G855" s="403"/>
      <c r="H855" s="198"/>
      <c r="I855" s="410"/>
      <c r="J855" s="142"/>
      <c r="K855" s="410"/>
      <c r="L855" s="142"/>
      <c r="M855" s="410"/>
      <c r="N855" s="142"/>
      <c r="O855" s="403"/>
      <c r="P855" s="198"/>
      <c r="Q855" s="411"/>
      <c r="R855" s="76"/>
      <c r="S855" s="197"/>
      <c r="T855" s="198"/>
      <c r="U855" s="197"/>
      <c r="V855" s="198"/>
      <c r="W855" s="198"/>
      <c r="X855" s="198"/>
      <c r="Y855" s="198"/>
      <c r="Z855" s="198"/>
    </row>
    <row r="856">
      <c r="A856" s="403"/>
      <c r="B856" s="198"/>
      <c r="C856" s="403"/>
      <c r="D856" s="142"/>
      <c r="E856" s="403"/>
      <c r="F856" s="198"/>
      <c r="G856" s="403"/>
      <c r="H856" s="198"/>
      <c r="I856" s="410"/>
      <c r="J856" s="142"/>
      <c r="K856" s="410"/>
      <c r="L856" s="142"/>
      <c r="M856" s="410"/>
      <c r="N856" s="142"/>
      <c r="O856" s="403"/>
      <c r="P856" s="198"/>
      <c r="Q856" s="411"/>
      <c r="R856" s="76"/>
      <c r="S856" s="197"/>
      <c r="T856" s="198"/>
      <c r="U856" s="197"/>
      <c r="V856" s="198"/>
      <c r="W856" s="198"/>
      <c r="X856" s="198"/>
      <c r="Y856" s="198"/>
      <c r="Z856" s="198"/>
    </row>
    <row r="857">
      <c r="A857" s="403"/>
      <c r="B857" s="198"/>
      <c r="C857" s="403"/>
      <c r="D857" s="142"/>
      <c r="E857" s="403"/>
      <c r="F857" s="198"/>
      <c r="G857" s="403"/>
      <c r="H857" s="198"/>
      <c r="I857" s="410"/>
      <c r="J857" s="142"/>
      <c r="K857" s="410"/>
      <c r="L857" s="142"/>
      <c r="M857" s="410"/>
      <c r="N857" s="142"/>
      <c r="O857" s="403"/>
      <c r="P857" s="198"/>
      <c r="Q857" s="411"/>
      <c r="R857" s="76"/>
      <c r="S857" s="197"/>
      <c r="T857" s="198"/>
      <c r="U857" s="197"/>
      <c r="V857" s="198"/>
      <c r="W857" s="198"/>
      <c r="X857" s="198"/>
      <c r="Y857" s="198"/>
      <c r="Z857" s="198"/>
    </row>
    <row r="858">
      <c r="A858" s="403"/>
      <c r="B858" s="198"/>
      <c r="C858" s="403"/>
      <c r="D858" s="142"/>
      <c r="E858" s="403"/>
      <c r="F858" s="198"/>
      <c r="G858" s="403"/>
      <c r="H858" s="198"/>
      <c r="I858" s="410"/>
      <c r="J858" s="142"/>
      <c r="K858" s="410"/>
      <c r="L858" s="142"/>
      <c r="M858" s="410"/>
      <c r="N858" s="142"/>
      <c r="O858" s="403"/>
      <c r="P858" s="198"/>
      <c r="Q858" s="411"/>
      <c r="R858" s="76"/>
      <c r="S858" s="197"/>
      <c r="T858" s="198"/>
      <c r="U858" s="197"/>
      <c r="V858" s="198"/>
      <c r="W858" s="198"/>
      <c r="X858" s="198"/>
      <c r="Y858" s="198"/>
      <c r="Z858" s="198"/>
    </row>
    <row r="859">
      <c r="A859" s="403"/>
      <c r="B859" s="198"/>
      <c r="C859" s="403"/>
      <c r="D859" s="142"/>
      <c r="E859" s="403"/>
      <c r="F859" s="198"/>
      <c r="G859" s="403"/>
      <c r="H859" s="198"/>
      <c r="I859" s="410"/>
      <c r="J859" s="142"/>
      <c r="K859" s="410"/>
      <c r="L859" s="142"/>
      <c r="M859" s="410"/>
      <c r="N859" s="142"/>
      <c r="O859" s="403"/>
      <c r="P859" s="198"/>
      <c r="Q859" s="411"/>
      <c r="R859" s="76"/>
      <c r="S859" s="197"/>
      <c r="T859" s="198"/>
      <c r="U859" s="197"/>
      <c r="V859" s="198"/>
      <c r="W859" s="198"/>
      <c r="X859" s="198"/>
      <c r="Y859" s="198"/>
      <c r="Z859" s="198"/>
    </row>
    <row r="860">
      <c r="A860" s="403"/>
      <c r="B860" s="198"/>
      <c r="C860" s="403"/>
      <c r="D860" s="142"/>
      <c r="E860" s="403"/>
      <c r="F860" s="198"/>
      <c r="G860" s="403"/>
      <c r="H860" s="198"/>
      <c r="I860" s="410"/>
      <c r="J860" s="142"/>
      <c r="K860" s="410"/>
      <c r="L860" s="142"/>
      <c r="M860" s="410"/>
      <c r="N860" s="142"/>
      <c r="O860" s="403"/>
      <c r="P860" s="198"/>
      <c r="Q860" s="411"/>
      <c r="R860" s="76"/>
      <c r="S860" s="197"/>
      <c r="T860" s="198"/>
      <c r="U860" s="197"/>
      <c r="V860" s="198"/>
      <c r="W860" s="198"/>
      <c r="X860" s="198"/>
      <c r="Y860" s="198"/>
      <c r="Z860" s="198"/>
    </row>
    <row r="861">
      <c r="A861" s="403"/>
      <c r="B861" s="198"/>
      <c r="C861" s="403"/>
      <c r="D861" s="142"/>
      <c r="E861" s="403"/>
      <c r="F861" s="198"/>
      <c r="G861" s="403"/>
      <c r="H861" s="198"/>
      <c r="I861" s="410"/>
      <c r="J861" s="142"/>
      <c r="K861" s="410"/>
      <c r="L861" s="142"/>
      <c r="M861" s="410"/>
      <c r="N861" s="142"/>
      <c r="O861" s="403"/>
      <c r="P861" s="198"/>
      <c r="Q861" s="411"/>
      <c r="R861" s="76"/>
      <c r="S861" s="197"/>
      <c r="T861" s="198"/>
      <c r="U861" s="197"/>
      <c r="V861" s="198"/>
      <c r="W861" s="198"/>
      <c r="X861" s="198"/>
      <c r="Y861" s="198"/>
      <c r="Z861" s="198"/>
    </row>
    <row r="862">
      <c r="A862" s="403"/>
      <c r="B862" s="198"/>
      <c r="C862" s="403"/>
      <c r="D862" s="142"/>
      <c r="E862" s="403"/>
      <c r="F862" s="198"/>
      <c r="G862" s="403"/>
      <c r="H862" s="198"/>
      <c r="I862" s="410"/>
      <c r="J862" s="142"/>
      <c r="K862" s="410"/>
      <c r="L862" s="142"/>
      <c r="M862" s="410"/>
      <c r="N862" s="142"/>
      <c r="O862" s="403"/>
      <c r="P862" s="198"/>
      <c r="Q862" s="411"/>
      <c r="R862" s="76"/>
      <c r="S862" s="197"/>
      <c r="T862" s="198"/>
      <c r="U862" s="197"/>
      <c r="V862" s="198"/>
      <c r="W862" s="198"/>
      <c r="X862" s="198"/>
      <c r="Y862" s="198"/>
      <c r="Z862" s="198"/>
    </row>
    <row r="863">
      <c r="A863" s="403"/>
      <c r="B863" s="198"/>
      <c r="C863" s="403"/>
      <c r="D863" s="142"/>
      <c r="E863" s="403"/>
      <c r="F863" s="198"/>
      <c r="G863" s="403"/>
      <c r="H863" s="198"/>
      <c r="I863" s="410"/>
      <c r="J863" s="142"/>
      <c r="K863" s="410"/>
      <c r="L863" s="142"/>
      <c r="M863" s="410"/>
      <c r="N863" s="142"/>
      <c r="O863" s="403"/>
      <c r="P863" s="198"/>
      <c r="Q863" s="411"/>
      <c r="R863" s="76"/>
      <c r="S863" s="197"/>
      <c r="T863" s="198"/>
      <c r="U863" s="197"/>
      <c r="V863" s="198"/>
      <c r="W863" s="198"/>
      <c r="X863" s="198"/>
      <c r="Y863" s="198"/>
      <c r="Z863" s="198"/>
    </row>
    <row r="864">
      <c r="A864" s="403"/>
      <c r="B864" s="198"/>
      <c r="C864" s="403"/>
      <c r="D864" s="142"/>
      <c r="E864" s="403"/>
      <c r="F864" s="198"/>
      <c r="G864" s="403"/>
      <c r="H864" s="198"/>
      <c r="I864" s="410"/>
      <c r="J864" s="142"/>
      <c r="K864" s="410"/>
      <c r="L864" s="142"/>
      <c r="M864" s="410"/>
      <c r="N864" s="142"/>
      <c r="O864" s="403"/>
      <c r="P864" s="198"/>
      <c r="Q864" s="411"/>
      <c r="R864" s="76"/>
      <c r="S864" s="197"/>
      <c r="T864" s="198"/>
      <c r="U864" s="197"/>
      <c r="V864" s="198"/>
      <c r="W864" s="198"/>
      <c r="X864" s="198"/>
      <c r="Y864" s="198"/>
      <c r="Z864" s="198"/>
    </row>
    <row r="865">
      <c r="A865" s="403"/>
      <c r="B865" s="198"/>
      <c r="C865" s="403"/>
      <c r="D865" s="142"/>
      <c r="E865" s="403"/>
      <c r="F865" s="198"/>
      <c r="G865" s="403"/>
      <c r="H865" s="198"/>
      <c r="I865" s="410"/>
      <c r="J865" s="142"/>
      <c r="K865" s="410"/>
      <c r="L865" s="142"/>
      <c r="M865" s="410"/>
      <c r="N865" s="142"/>
      <c r="O865" s="403"/>
      <c r="P865" s="198"/>
      <c r="Q865" s="411"/>
      <c r="R865" s="76"/>
      <c r="S865" s="197"/>
      <c r="T865" s="198"/>
      <c r="U865" s="197"/>
      <c r="V865" s="198"/>
      <c r="W865" s="198"/>
      <c r="X865" s="198"/>
      <c r="Y865" s="198"/>
      <c r="Z865" s="198"/>
    </row>
    <row r="866">
      <c r="A866" s="403"/>
      <c r="B866" s="198"/>
      <c r="C866" s="403"/>
      <c r="D866" s="142"/>
      <c r="E866" s="403"/>
      <c r="F866" s="198"/>
      <c r="G866" s="403"/>
      <c r="H866" s="198"/>
      <c r="I866" s="410"/>
      <c r="J866" s="142"/>
      <c r="K866" s="410"/>
      <c r="L866" s="142"/>
      <c r="M866" s="410"/>
      <c r="N866" s="142"/>
      <c r="O866" s="403"/>
      <c r="P866" s="198"/>
      <c r="Q866" s="411"/>
      <c r="R866" s="76"/>
      <c r="S866" s="197"/>
      <c r="T866" s="198"/>
      <c r="U866" s="197"/>
      <c r="V866" s="198"/>
      <c r="W866" s="198"/>
      <c r="X866" s="198"/>
      <c r="Y866" s="198"/>
      <c r="Z866" s="198"/>
    </row>
    <row r="867">
      <c r="A867" s="403"/>
      <c r="B867" s="198"/>
      <c r="C867" s="403"/>
      <c r="D867" s="142"/>
      <c r="E867" s="403"/>
      <c r="F867" s="198"/>
      <c r="G867" s="403"/>
      <c r="H867" s="198"/>
      <c r="I867" s="410"/>
      <c r="J867" s="142"/>
      <c r="K867" s="410"/>
      <c r="L867" s="142"/>
      <c r="M867" s="410"/>
      <c r="N867" s="142"/>
      <c r="O867" s="403"/>
      <c r="P867" s="198"/>
      <c r="Q867" s="411"/>
      <c r="R867" s="76"/>
      <c r="S867" s="197"/>
      <c r="T867" s="198"/>
      <c r="U867" s="197"/>
      <c r="V867" s="198"/>
      <c r="W867" s="198"/>
      <c r="X867" s="198"/>
      <c r="Y867" s="198"/>
      <c r="Z867" s="198"/>
    </row>
    <row r="868">
      <c r="A868" s="403"/>
      <c r="B868" s="198"/>
      <c r="C868" s="403"/>
      <c r="D868" s="142"/>
      <c r="E868" s="403"/>
      <c r="F868" s="198"/>
      <c r="G868" s="403"/>
      <c r="H868" s="198"/>
      <c r="I868" s="410"/>
      <c r="J868" s="142"/>
      <c r="K868" s="410"/>
      <c r="L868" s="142"/>
      <c r="M868" s="410"/>
      <c r="N868" s="142"/>
      <c r="O868" s="403"/>
      <c r="P868" s="198"/>
      <c r="Q868" s="411"/>
      <c r="R868" s="76"/>
      <c r="S868" s="197"/>
      <c r="T868" s="198"/>
      <c r="U868" s="197"/>
      <c r="V868" s="198"/>
      <c r="W868" s="198"/>
      <c r="X868" s="198"/>
      <c r="Y868" s="198"/>
      <c r="Z868" s="198"/>
    </row>
    <row r="869">
      <c r="A869" s="403"/>
      <c r="B869" s="198"/>
      <c r="C869" s="403"/>
      <c r="D869" s="142"/>
      <c r="E869" s="403"/>
      <c r="F869" s="198"/>
      <c r="G869" s="403"/>
      <c r="H869" s="198"/>
      <c r="I869" s="410"/>
      <c r="J869" s="142"/>
      <c r="K869" s="410"/>
      <c r="L869" s="142"/>
      <c r="M869" s="410"/>
      <c r="N869" s="142"/>
      <c r="O869" s="403"/>
      <c r="P869" s="198"/>
      <c r="Q869" s="411"/>
      <c r="R869" s="76"/>
      <c r="S869" s="197"/>
      <c r="T869" s="198"/>
      <c r="U869" s="197"/>
      <c r="V869" s="198"/>
      <c r="W869" s="198"/>
      <c r="X869" s="198"/>
      <c r="Y869" s="198"/>
      <c r="Z869" s="198"/>
    </row>
    <row r="870">
      <c r="A870" s="403"/>
      <c r="B870" s="198"/>
      <c r="C870" s="403"/>
      <c r="D870" s="142"/>
      <c r="E870" s="403"/>
      <c r="F870" s="198"/>
      <c r="G870" s="403"/>
      <c r="H870" s="198"/>
      <c r="I870" s="410"/>
      <c r="J870" s="142"/>
      <c r="K870" s="410"/>
      <c r="L870" s="142"/>
      <c r="M870" s="410"/>
      <c r="N870" s="142"/>
      <c r="O870" s="403"/>
      <c r="P870" s="198"/>
      <c r="Q870" s="411"/>
      <c r="R870" s="76"/>
      <c r="S870" s="197"/>
      <c r="T870" s="198"/>
      <c r="U870" s="197"/>
      <c r="V870" s="198"/>
      <c r="W870" s="198"/>
      <c r="X870" s="198"/>
      <c r="Y870" s="198"/>
      <c r="Z870" s="198"/>
    </row>
    <row r="871">
      <c r="A871" s="403"/>
      <c r="B871" s="198"/>
      <c r="C871" s="403"/>
      <c r="D871" s="142"/>
      <c r="E871" s="403"/>
      <c r="F871" s="198"/>
      <c r="G871" s="403"/>
      <c r="H871" s="198"/>
      <c r="I871" s="410"/>
      <c r="J871" s="142"/>
      <c r="K871" s="410"/>
      <c r="L871" s="142"/>
      <c r="M871" s="410"/>
      <c r="N871" s="142"/>
      <c r="O871" s="403"/>
      <c r="P871" s="198"/>
      <c r="Q871" s="411"/>
      <c r="R871" s="76"/>
      <c r="S871" s="197"/>
      <c r="T871" s="198"/>
      <c r="U871" s="197"/>
      <c r="V871" s="198"/>
      <c r="W871" s="198"/>
      <c r="X871" s="198"/>
      <c r="Y871" s="198"/>
      <c r="Z871" s="198"/>
    </row>
    <row r="872">
      <c r="A872" s="403"/>
      <c r="B872" s="198"/>
      <c r="C872" s="403"/>
      <c r="D872" s="142"/>
      <c r="E872" s="403"/>
      <c r="F872" s="198"/>
      <c r="G872" s="403"/>
      <c r="H872" s="198"/>
      <c r="I872" s="410"/>
      <c r="J872" s="142"/>
      <c r="K872" s="410"/>
      <c r="L872" s="142"/>
      <c r="M872" s="410"/>
      <c r="N872" s="142"/>
      <c r="O872" s="403"/>
      <c r="P872" s="198"/>
      <c r="Q872" s="411"/>
      <c r="R872" s="76"/>
      <c r="S872" s="197"/>
      <c r="T872" s="198"/>
      <c r="U872" s="197"/>
      <c r="V872" s="198"/>
      <c r="W872" s="198"/>
      <c r="X872" s="198"/>
      <c r="Y872" s="198"/>
      <c r="Z872" s="198"/>
    </row>
    <row r="873">
      <c r="A873" s="403"/>
      <c r="B873" s="198"/>
      <c r="C873" s="403"/>
      <c r="D873" s="142"/>
      <c r="E873" s="403"/>
      <c r="F873" s="198"/>
      <c r="G873" s="403"/>
      <c r="H873" s="198"/>
      <c r="I873" s="410"/>
      <c r="J873" s="142"/>
      <c r="K873" s="410"/>
      <c r="L873" s="142"/>
      <c r="M873" s="410"/>
      <c r="N873" s="142"/>
      <c r="O873" s="403"/>
      <c r="P873" s="198"/>
      <c r="Q873" s="411"/>
      <c r="R873" s="76"/>
      <c r="S873" s="197"/>
      <c r="T873" s="198"/>
      <c r="U873" s="197"/>
      <c r="V873" s="198"/>
      <c r="W873" s="198"/>
      <c r="X873" s="198"/>
      <c r="Y873" s="198"/>
      <c r="Z873" s="198"/>
    </row>
    <row r="874">
      <c r="A874" s="403"/>
      <c r="B874" s="198"/>
      <c r="C874" s="403"/>
      <c r="D874" s="142"/>
      <c r="E874" s="403"/>
      <c r="F874" s="198"/>
      <c r="G874" s="403"/>
      <c r="H874" s="198"/>
      <c r="I874" s="410"/>
      <c r="J874" s="142"/>
      <c r="K874" s="410"/>
      <c r="L874" s="142"/>
      <c r="M874" s="410"/>
      <c r="N874" s="142"/>
      <c r="O874" s="403"/>
      <c r="P874" s="198"/>
      <c r="Q874" s="411"/>
      <c r="R874" s="76"/>
      <c r="S874" s="197"/>
      <c r="T874" s="198"/>
      <c r="U874" s="197"/>
      <c r="V874" s="198"/>
      <c r="W874" s="198"/>
      <c r="X874" s="198"/>
      <c r="Y874" s="198"/>
      <c r="Z874" s="198"/>
    </row>
    <row r="875">
      <c r="A875" s="403"/>
      <c r="B875" s="198"/>
      <c r="C875" s="403"/>
      <c r="D875" s="142"/>
      <c r="E875" s="403"/>
      <c r="F875" s="198"/>
      <c r="G875" s="403"/>
      <c r="H875" s="198"/>
      <c r="I875" s="410"/>
      <c r="J875" s="142"/>
      <c r="K875" s="410"/>
      <c r="L875" s="142"/>
      <c r="M875" s="410"/>
      <c r="N875" s="142"/>
      <c r="O875" s="403"/>
      <c r="P875" s="198"/>
      <c r="Q875" s="411"/>
      <c r="R875" s="76"/>
      <c r="S875" s="197"/>
      <c r="T875" s="198"/>
      <c r="U875" s="197"/>
      <c r="V875" s="198"/>
      <c r="W875" s="198"/>
      <c r="X875" s="198"/>
      <c r="Y875" s="198"/>
      <c r="Z875" s="198"/>
    </row>
    <row r="876">
      <c r="A876" s="403"/>
      <c r="B876" s="198"/>
      <c r="C876" s="403"/>
      <c r="D876" s="142"/>
      <c r="E876" s="403"/>
      <c r="F876" s="198"/>
      <c r="G876" s="403"/>
      <c r="H876" s="198"/>
      <c r="I876" s="410"/>
      <c r="J876" s="142"/>
      <c r="K876" s="410"/>
      <c r="L876" s="142"/>
      <c r="M876" s="410"/>
      <c r="N876" s="142"/>
      <c r="O876" s="403"/>
      <c r="P876" s="198"/>
      <c r="Q876" s="411"/>
      <c r="R876" s="76"/>
      <c r="S876" s="197"/>
      <c r="T876" s="198"/>
      <c r="U876" s="197"/>
      <c r="V876" s="198"/>
      <c r="W876" s="198"/>
      <c r="X876" s="198"/>
      <c r="Y876" s="198"/>
      <c r="Z876" s="198"/>
    </row>
    <row r="877">
      <c r="A877" s="403"/>
      <c r="B877" s="198"/>
      <c r="C877" s="403"/>
      <c r="D877" s="142"/>
      <c r="E877" s="403"/>
      <c r="F877" s="198"/>
      <c r="G877" s="403"/>
      <c r="H877" s="198"/>
      <c r="I877" s="410"/>
      <c r="J877" s="142"/>
      <c r="K877" s="410"/>
      <c r="L877" s="142"/>
      <c r="M877" s="410"/>
      <c r="N877" s="142"/>
      <c r="O877" s="403"/>
      <c r="P877" s="198"/>
      <c r="Q877" s="411"/>
      <c r="R877" s="76"/>
      <c r="S877" s="197"/>
      <c r="T877" s="198"/>
      <c r="U877" s="197"/>
      <c r="V877" s="198"/>
      <c r="W877" s="198"/>
      <c r="X877" s="198"/>
      <c r="Y877" s="198"/>
      <c r="Z877" s="198"/>
    </row>
    <row r="878">
      <c r="A878" s="403"/>
      <c r="B878" s="198"/>
      <c r="C878" s="403"/>
      <c r="D878" s="142"/>
      <c r="E878" s="403"/>
      <c r="F878" s="198"/>
      <c r="G878" s="403"/>
      <c r="H878" s="198"/>
      <c r="I878" s="410"/>
      <c r="J878" s="142"/>
      <c r="K878" s="410"/>
      <c r="L878" s="142"/>
      <c r="M878" s="410"/>
      <c r="N878" s="142"/>
      <c r="O878" s="403"/>
      <c r="P878" s="198"/>
      <c r="Q878" s="411"/>
      <c r="R878" s="76"/>
      <c r="S878" s="197"/>
      <c r="T878" s="198"/>
      <c r="U878" s="197"/>
      <c r="V878" s="198"/>
      <c r="W878" s="198"/>
      <c r="X878" s="198"/>
      <c r="Y878" s="198"/>
      <c r="Z878" s="198"/>
    </row>
    <row r="879">
      <c r="A879" s="403"/>
      <c r="B879" s="198"/>
      <c r="C879" s="403"/>
      <c r="D879" s="142"/>
      <c r="E879" s="403"/>
      <c r="F879" s="198"/>
      <c r="G879" s="403"/>
      <c r="H879" s="198"/>
      <c r="I879" s="410"/>
      <c r="J879" s="142"/>
      <c r="K879" s="410"/>
      <c r="L879" s="142"/>
      <c r="M879" s="410"/>
      <c r="N879" s="142"/>
      <c r="O879" s="403"/>
      <c r="P879" s="198"/>
      <c r="Q879" s="411"/>
      <c r="R879" s="76"/>
      <c r="S879" s="197"/>
      <c r="T879" s="198"/>
      <c r="U879" s="197"/>
      <c r="V879" s="198"/>
      <c r="W879" s="198"/>
      <c r="X879" s="198"/>
      <c r="Y879" s="198"/>
      <c r="Z879" s="198"/>
    </row>
    <row r="880">
      <c r="A880" s="403"/>
      <c r="B880" s="198"/>
      <c r="C880" s="403"/>
      <c r="D880" s="142"/>
      <c r="E880" s="403"/>
      <c r="F880" s="198"/>
      <c r="G880" s="403"/>
      <c r="H880" s="198"/>
      <c r="I880" s="410"/>
      <c r="J880" s="142"/>
      <c r="K880" s="410"/>
      <c r="L880" s="142"/>
      <c r="M880" s="410"/>
      <c r="N880" s="142"/>
      <c r="O880" s="403"/>
      <c r="P880" s="198"/>
      <c r="Q880" s="411"/>
      <c r="R880" s="76"/>
      <c r="S880" s="197"/>
      <c r="T880" s="198"/>
      <c r="U880" s="197"/>
      <c r="V880" s="198"/>
      <c r="W880" s="198"/>
      <c r="X880" s="198"/>
      <c r="Y880" s="198"/>
      <c r="Z880" s="198"/>
    </row>
    <row r="881">
      <c r="A881" s="403"/>
      <c r="B881" s="198"/>
      <c r="C881" s="403"/>
      <c r="D881" s="142"/>
      <c r="E881" s="403"/>
      <c r="F881" s="198"/>
      <c r="G881" s="403"/>
      <c r="H881" s="198"/>
      <c r="I881" s="410"/>
      <c r="J881" s="142"/>
      <c r="K881" s="410"/>
      <c r="L881" s="142"/>
      <c r="M881" s="410"/>
      <c r="N881" s="142"/>
      <c r="O881" s="403"/>
      <c r="P881" s="198"/>
      <c r="Q881" s="411"/>
      <c r="R881" s="76"/>
      <c r="S881" s="197"/>
      <c r="T881" s="198"/>
      <c r="U881" s="197"/>
      <c r="V881" s="198"/>
      <c r="W881" s="198"/>
      <c r="X881" s="198"/>
      <c r="Y881" s="198"/>
      <c r="Z881" s="198"/>
    </row>
    <row r="882">
      <c r="A882" s="403"/>
      <c r="B882" s="198"/>
      <c r="C882" s="403"/>
      <c r="D882" s="142"/>
      <c r="E882" s="403"/>
      <c r="F882" s="198"/>
      <c r="G882" s="403"/>
      <c r="H882" s="198"/>
      <c r="I882" s="410"/>
      <c r="J882" s="142"/>
      <c r="K882" s="410"/>
      <c r="L882" s="142"/>
      <c r="M882" s="410"/>
      <c r="N882" s="142"/>
      <c r="O882" s="403"/>
      <c r="P882" s="198"/>
      <c r="Q882" s="411"/>
      <c r="R882" s="76"/>
      <c r="S882" s="197"/>
      <c r="T882" s="198"/>
      <c r="U882" s="197"/>
      <c r="V882" s="198"/>
      <c r="W882" s="198"/>
      <c r="X882" s="198"/>
      <c r="Y882" s="198"/>
      <c r="Z882" s="198"/>
    </row>
    <row r="883">
      <c r="A883" s="403"/>
      <c r="B883" s="198"/>
      <c r="C883" s="403"/>
      <c r="D883" s="142"/>
      <c r="E883" s="403"/>
      <c r="F883" s="198"/>
      <c r="G883" s="403"/>
      <c r="H883" s="198"/>
      <c r="I883" s="410"/>
      <c r="J883" s="142"/>
      <c r="K883" s="410"/>
      <c r="L883" s="142"/>
      <c r="M883" s="410"/>
      <c r="N883" s="142"/>
      <c r="O883" s="403"/>
      <c r="P883" s="198"/>
      <c r="Q883" s="411"/>
      <c r="R883" s="76"/>
      <c r="S883" s="197"/>
      <c r="T883" s="198"/>
      <c r="U883" s="197"/>
      <c r="V883" s="198"/>
      <c r="W883" s="198"/>
      <c r="X883" s="198"/>
      <c r="Y883" s="198"/>
      <c r="Z883" s="198"/>
    </row>
    <row r="884">
      <c r="A884" s="403"/>
      <c r="B884" s="198"/>
      <c r="C884" s="403"/>
      <c r="D884" s="142"/>
      <c r="E884" s="403"/>
      <c r="F884" s="198"/>
      <c r="G884" s="403"/>
      <c r="H884" s="198"/>
      <c r="I884" s="410"/>
      <c r="J884" s="142"/>
      <c r="K884" s="410"/>
      <c r="L884" s="142"/>
      <c r="M884" s="410"/>
      <c r="N884" s="142"/>
      <c r="O884" s="403"/>
      <c r="P884" s="198"/>
      <c r="Q884" s="411"/>
      <c r="R884" s="76"/>
      <c r="S884" s="197"/>
      <c r="T884" s="198"/>
      <c r="U884" s="197"/>
      <c r="V884" s="198"/>
      <c r="W884" s="198"/>
      <c r="X884" s="198"/>
      <c r="Y884" s="198"/>
      <c r="Z884" s="198"/>
    </row>
    <row r="885">
      <c r="A885" s="403"/>
      <c r="B885" s="198"/>
      <c r="C885" s="403"/>
      <c r="D885" s="142"/>
      <c r="E885" s="403"/>
      <c r="F885" s="198"/>
      <c r="G885" s="403"/>
      <c r="H885" s="198"/>
      <c r="I885" s="410"/>
      <c r="J885" s="142"/>
      <c r="K885" s="410"/>
      <c r="L885" s="142"/>
      <c r="M885" s="410"/>
      <c r="N885" s="142"/>
      <c r="O885" s="403"/>
      <c r="P885" s="198"/>
      <c r="Q885" s="411"/>
      <c r="R885" s="76"/>
      <c r="S885" s="197"/>
      <c r="T885" s="198"/>
      <c r="U885" s="197"/>
      <c r="V885" s="198"/>
      <c r="W885" s="198"/>
      <c r="X885" s="198"/>
      <c r="Y885" s="198"/>
      <c r="Z885" s="198"/>
    </row>
    <row r="886">
      <c r="A886" s="403"/>
      <c r="B886" s="198"/>
      <c r="C886" s="403"/>
      <c r="D886" s="142"/>
      <c r="E886" s="403"/>
      <c r="F886" s="198"/>
      <c r="G886" s="403"/>
      <c r="H886" s="198"/>
      <c r="I886" s="410"/>
      <c r="J886" s="142"/>
      <c r="K886" s="410"/>
      <c r="L886" s="142"/>
      <c r="M886" s="410"/>
      <c r="N886" s="142"/>
      <c r="O886" s="403"/>
      <c r="P886" s="198"/>
      <c r="Q886" s="411"/>
      <c r="R886" s="76"/>
      <c r="S886" s="197"/>
      <c r="T886" s="198"/>
      <c r="U886" s="197"/>
      <c r="V886" s="198"/>
      <c r="W886" s="198"/>
      <c r="X886" s="198"/>
      <c r="Y886" s="198"/>
      <c r="Z886" s="198"/>
    </row>
    <row r="887">
      <c r="A887" s="403"/>
      <c r="B887" s="198"/>
      <c r="C887" s="403"/>
      <c r="D887" s="142"/>
      <c r="E887" s="403"/>
      <c r="F887" s="198"/>
      <c r="G887" s="403"/>
      <c r="H887" s="198"/>
      <c r="I887" s="410"/>
      <c r="J887" s="142"/>
      <c r="K887" s="410"/>
      <c r="L887" s="142"/>
      <c r="M887" s="410"/>
      <c r="N887" s="142"/>
      <c r="O887" s="403"/>
      <c r="P887" s="198"/>
      <c r="Q887" s="411"/>
      <c r="R887" s="76"/>
      <c r="S887" s="197"/>
      <c r="T887" s="198"/>
      <c r="U887" s="197"/>
      <c r="V887" s="198"/>
      <c r="W887" s="198"/>
      <c r="X887" s="198"/>
      <c r="Y887" s="198"/>
      <c r="Z887" s="198"/>
    </row>
    <row r="888">
      <c r="A888" s="403"/>
      <c r="B888" s="198"/>
      <c r="C888" s="403"/>
      <c r="D888" s="142"/>
      <c r="E888" s="403"/>
      <c r="F888" s="198"/>
      <c r="G888" s="403"/>
      <c r="H888" s="198"/>
      <c r="I888" s="410"/>
      <c r="J888" s="142"/>
      <c r="K888" s="410"/>
      <c r="L888" s="142"/>
      <c r="M888" s="410"/>
      <c r="N888" s="142"/>
      <c r="O888" s="403"/>
      <c r="P888" s="198"/>
      <c r="Q888" s="411"/>
      <c r="R888" s="76"/>
      <c r="S888" s="197"/>
      <c r="T888" s="198"/>
      <c r="U888" s="197"/>
      <c r="V888" s="198"/>
      <c r="W888" s="198"/>
      <c r="X888" s="198"/>
      <c r="Y888" s="198"/>
      <c r="Z888" s="198"/>
    </row>
    <row r="889">
      <c r="A889" s="403"/>
      <c r="B889" s="198"/>
      <c r="C889" s="403"/>
      <c r="D889" s="142"/>
      <c r="E889" s="403"/>
      <c r="F889" s="198"/>
      <c r="G889" s="403"/>
      <c r="H889" s="198"/>
      <c r="I889" s="410"/>
      <c r="J889" s="142"/>
      <c r="K889" s="410"/>
      <c r="L889" s="142"/>
      <c r="M889" s="410"/>
      <c r="N889" s="142"/>
      <c r="O889" s="403"/>
      <c r="P889" s="198"/>
      <c r="Q889" s="411"/>
      <c r="R889" s="76"/>
      <c r="S889" s="197"/>
      <c r="T889" s="198"/>
      <c r="U889" s="197"/>
      <c r="V889" s="198"/>
      <c r="W889" s="198"/>
      <c r="X889" s="198"/>
      <c r="Y889" s="198"/>
      <c r="Z889" s="198"/>
    </row>
    <row r="890">
      <c r="A890" s="403"/>
      <c r="B890" s="198"/>
      <c r="C890" s="403"/>
      <c r="D890" s="142"/>
      <c r="E890" s="403"/>
      <c r="F890" s="198"/>
      <c r="G890" s="403"/>
      <c r="H890" s="198"/>
      <c r="I890" s="410"/>
      <c r="J890" s="142"/>
      <c r="K890" s="410"/>
      <c r="L890" s="142"/>
      <c r="M890" s="410"/>
      <c r="N890" s="142"/>
      <c r="O890" s="403"/>
      <c r="P890" s="198"/>
      <c r="Q890" s="411"/>
      <c r="R890" s="76"/>
      <c r="S890" s="197"/>
      <c r="T890" s="198"/>
      <c r="U890" s="197"/>
      <c r="V890" s="198"/>
      <c r="W890" s="198"/>
      <c r="X890" s="198"/>
      <c r="Y890" s="198"/>
      <c r="Z890" s="198"/>
    </row>
    <row r="891">
      <c r="A891" s="403"/>
      <c r="B891" s="198"/>
      <c r="C891" s="403"/>
      <c r="D891" s="142"/>
      <c r="E891" s="403"/>
      <c r="F891" s="198"/>
      <c r="G891" s="403"/>
      <c r="H891" s="198"/>
      <c r="I891" s="410"/>
      <c r="J891" s="142"/>
      <c r="K891" s="410"/>
      <c r="L891" s="142"/>
      <c r="M891" s="410"/>
      <c r="N891" s="142"/>
      <c r="O891" s="403"/>
      <c r="P891" s="198"/>
      <c r="Q891" s="411"/>
      <c r="R891" s="76"/>
      <c r="S891" s="197"/>
      <c r="T891" s="198"/>
      <c r="U891" s="197"/>
      <c r="V891" s="198"/>
      <c r="W891" s="198"/>
      <c r="X891" s="198"/>
      <c r="Y891" s="198"/>
      <c r="Z891" s="198"/>
    </row>
    <row r="892">
      <c r="A892" s="403"/>
      <c r="B892" s="198"/>
      <c r="C892" s="403"/>
      <c r="D892" s="142"/>
      <c r="E892" s="403"/>
      <c r="F892" s="198"/>
      <c r="G892" s="403"/>
      <c r="H892" s="198"/>
      <c r="I892" s="410"/>
      <c r="J892" s="142"/>
      <c r="K892" s="410"/>
      <c r="L892" s="142"/>
      <c r="M892" s="410"/>
      <c r="N892" s="142"/>
      <c r="O892" s="403"/>
      <c r="P892" s="198"/>
      <c r="Q892" s="411"/>
      <c r="R892" s="76"/>
      <c r="S892" s="197"/>
      <c r="T892" s="198"/>
      <c r="U892" s="197"/>
      <c r="V892" s="198"/>
      <c r="W892" s="198"/>
      <c r="X892" s="198"/>
      <c r="Y892" s="198"/>
      <c r="Z892" s="198"/>
    </row>
    <row r="893">
      <c r="A893" s="403"/>
      <c r="B893" s="198"/>
      <c r="C893" s="403"/>
      <c r="D893" s="142"/>
      <c r="E893" s="403"/>
      <c r="F893" s="198"/>
      <c r="G893" s="403"/>
      <c r="H893" s="198"/>
      <c r="I893" s="410"/>
      <c r="J893" s="142"/>
      <c r="K893" s="410"/>
      <c r="L893" s="142"/>
      <c r="M893" s="410"/>
      <c r="N893" s="142"/>
      <c r="O893" s="403"/>
      <c r="P893" s="198"/>
      <c r="Q893" s="411"/>
      <c r="R893" s="76"/>
      <c r="S893" s="197"/>
      <c r="T893" s="198"/>
      <c r="U893" s="197"/>
      <c r="V893" s="198"/>
      <c r="W893" s="198"/>
      <c r="X893" s="198"/>
      <c r="Y893" s="198"/>
      <c r="Z893" s="198"/>
    </row>
    <row r="894">
      <c r="A894" s="403"/>
      <c r="B894" s="198"/>
      <c r="C894" s="403"/>
      <c r="D894" s="142"/>
      <c r="E894" s="403"/>
      <c r="F894" s="198"/>
      <c r="G894" s="403"/>
      <c r="H894" s="198"/>
      <c r="I894" s="410"/>
      <c r="J894" s="142"/>
      <c r="K894" s="410"/>
      <c r="L894" s="142"/>
      <c r="M894" s="410"/>
      <c r="N894" s="142"/>
      <c r="O894" s="403"/>
      <c r="P894" s="198"/>
      <c r="Q894" s="411"/>
      <c r="R894" s="76"/>
      <c r="S894" s="197"/>
      <c r="T894" s="198"/>
      <c r="U894" s="197"/>
      <c r="V894" s="198"/>
      <c r="W894" s="198"/>
      <c r="X894" s="198"/>
      <c r="Y894" s="198"/>
      <c r="Z894" s="198"/>
    </row>
    <row r="895">
      <c r="A895" s="403"/>
      <c r="B895" s="198"/>
      <c r="C895" s="403"/>
      <c r="D895" s="142"/>
      <c r="E895" s="403"/>
      <c r="F895" s="198"/>
      <c r="G895" s="403"/>
      <c r="H895" s="198"/>
      <c r="I895" s="410"/>
      <c r="J895" s="142"/>
      <c r="K895" s="410"/>
      <c r="L895" s="142"/>
      <c r="M895" s="410"/>
      <c r="N895" s="142"/>
      <c r="O895" s="403"/>
      <c r="P895" s="198"/>
      <c r="Q895" s="411"/>
      <c r="R895" s="76"/>
      <c r="S895" s="197"/>
      <c r="T895" s="198"/>
      <c r="U895" s="197"/>
      <c r="V895" s="198"/>
      <c r="W895" s="198"/>
      <c r="X895" s="198"/>
      <c r="Y895" s="198"/>
      <c r="Z895" s="198"/>
    </row>
    <row r="896">
      <c r="A896" s="403"/>
      <c r="B896" s="198"/>
      <c r="C896" s="403"/>
      <c r="D896" s="142"/>
      <c r="E896" s="403"/>
      <c r="F896" s="198"/>
      <c r="G896" s="403"/>
      <c r="H896" s="198"/>
      <c r="I896" s="410"/>
      <c r="J896" s="142"/>
      <c r="K896" s="410"/>
      <c r="L896" s="142"/>
      <c r="M896" s="410"/>
      <c r="N896" s="142"/>
      <c r="O896" s="403"/>
      <c r="P896" s="198"/>
      <c r="Q896" s="411"/>
      <c r="R896" s="76"/>
      <c r="S896" s="197"/>
      <c r="T896" s="198"/>
      <c r="U896" s="197"/>
      <c r="V896" s="198"/>
      <c r="W896" s="198"/>
      <c r="X896" s="198"/>
      <c r="Y896" s="198"/>
      <c r="Z896" s="198"/>
    </row>
    <row r="897">
      <c r="A897" s="403"/>
      <c r="B897" s="198"/>
      <c r="C897" s="403"/>
      <c r="D897" s="142"/>
      <c r="E897" s="403"/>
      <c r="F897" s="198"/>
      <c r="G897" s="403"/>
      <c r="H897" s="198"/>
      <c r="I897" s="410"/>
      <c r="J897" s="142"/>
      <c r="K897" s="410"/>
      <c r="L897" s="142"/>
      <c r="M897" s="410"/>
      <c r="N897" s="142"/>
      <c r="O897" s="403"/>
      <c r="P897" s="198"/>
      <c r="Q897" s="411"/>
      <c r="R897" s="76"/>
      <c r="S897" s="197"/>
      <c r="T897" s="198"/>
      <c r="U897" s="197"/>
      <c r="V897" s="198"/>
      <c r="W897" s="198"/>
      <c r="X897" s="198"/>
      <c r="Y897" s="198"/>
      <c r="Z897" s="198"/>
    </row>
    <row r="898">
      <c r="A898" s="403"/>
      <c r="B898" s="198"/>
      <c r="C898" s="403"/>
      <c r="D898" s="142"/>
      <c r="E898" s="403"/>
      <c r="F898" s="198"/>
      <c r="G898" s="403"/>
      <c r="H898" s="198"/>
      <c r="I898" s="410"/>
      <c r="J898" s="142"/>
      <c r="K898" s="410"/>
      <c r="L898" s="142"/>
      <c r="M898" s="410"/>
      <c r="N898" s="142"/>
      <c r="O898" s="403"/>
      <c r="P898" s="198"/>
      <c r="Q898" s="411"/>
      <c r="R898" s="76"/>
      <c r="S898" s="197"/>
      <c r="T898" s="198"/>
      <c r="U898" s="197"/>
      <c r="V898" s="198"/>
      <c r="W898" s="198"/>
      <c r="X898" s="198"/>
      <c r="Y898" s="198"/>
      <c r="Z898" s="198"/>
    </row>
    <row r="899">
      <c r="A899" s="403"/>
      <c r="B899" s="198"/>
      <c r="C899" s="403"/>
      <c r="D899" s="142"/>
      <c r="E899" s="403"/>
      <c r="F899" s="198"/>
      <c r="G899" s="403"/>
      <c r="H899" s="198"/>
      <c r="I899" s="410"/>
      <c r="J899" s="142"/>
      <c r="K899" s="410"/>
      <c r="L899" s="142"/>
      <c r="M899" s="410"/>
      <c r="N899" s="142"/>
      <c r="O899" s="403"/>
      <c r="P899" s="198"/>
      <c r="Q899" s="411"/>
      <c r="R899" s="76"/>
      <c r="S899" s="197"/>
      <c r="T899" s="198"/>
      <c r="U899" s="197"/>
      <c r="V899" s="198"/>
      <c r="W899" s="198"/>
      <c r="X899" s="198"/>
      <c r="Y899" s="198"/>
      <c r="Z899" s="198"/>
    </row>
    <row r="900">
      <c r="A900" s="403"/>
      <c r="B900" s="198"/>
      <c r="C900" s="403"/>
      <c r="D900" s="142"/>
      <c r="E900" s="403"/>
      <c r="F900" s="198"/>
      <c r="G900" s="403"/>
      <c r="H900" s="198"/>
      <c r="I900" s="410"/>
      <c r="J900" s="142"/>
      <c r="K900" s="410"/>
      <c r="L900" s="142"/>
      <c r="M900" s="410"/>
      <c r="N900" s="142"/>
      <c r="O900" s="403"/>
      <c r="P900" s="198"/>
      <c r="Q900" s="411"/>
      <c r="R900" s="76"/>
      <c r="S900" s="197"/>
      <c r="T900" s="198"/>
      <c r="U900" s="197"/>
      <c r="V900" s="198"/>
      <c r="W900" s="198"/>
      <c r="X900" s="198"/>
      <c r="Y900" s="198"/>
      <c r="Z900" s="198"/>
    </row>
    <row r="901">
      <c r="A901" s="403"/>
      <c r="B901" s="198"/>
      <c r="C901" s="403"/>
      <c r="D901" s="142"/>
      <c r="E901" s="403"/>
      <c r="F901" s="198"/>
      <c r="G901" s="403"/>
      <c r="H901" s="198"/>
      <c r="I901" s="410"/>
      <c r="J901" s="142"/>
      <c r="K901" s="410"/>
      <c r="L901" s="142"/>
      <c r="M901" s="410"/>
      <c r="N901" s="142"/>
      <c r="O901" s="403"/>
      <c r="P901" s="198"/>
      <c r="Q901" s="411"/>
      <c r="R901" s="76"/>
      <c r="S901" s="197"/>
      <c r="T901" s="198"/>
      <c r="U901" s="197"/>
      <c r="V901" s="198"/>
      <c r="W901" s="198"/>
      <c r="X901" s="198"/>
      <c r="Y901" s="198"/>
      <c r="Z901" s="198"/>
    </row>
    <row r="902">
      <c r="A902" s="403"/>
      <c r="B902" s="198"/>
      <c r="C902" s="403"/>
      <c r="D902" s="142"/>
      <c r="E902" s="403"/>
      <c r="F902" s="198"/>
      <c r="G902" s="403"/>
      <c r="H902" s="198"/>
      <c r="I902" s="410"/>
      <c r="J902" s="142"/>
      <c r="K902" s="410"/>
      <c r="L902" s="142"/>
      <c r="M902" s="410"/>
      <c r="N902" s="142"/>
      <c r="O902" s="403"/>
      <c r="P902" s="198"/>
      <c r="Q902" s="411"/>
      <c r="R902" s="76"/>
      <c r="S902" s="197"/>
      <c r="T902" s="198"/>
      <c r="U902" s="197"/>
      <c r="V902" s="198"/>
      <c r="W902" s="198"/>
      <c r="X902" s="198"/>
      <c r="Y902" s="198"/>
      <c r="Z902" s="198"/>
    </row>
    <row r="903">
      <c r="A903" s="403"/>
      <c r="B903" s="198"/>
      <c r="C903" s="403"/>
      <c r="D903" s="142"/>
      <c r="E903" s="403"/>
      <c r="F903" s="198"/>
      <c r="G903" s="403"/>
      <c r="H903" s="198"/>
      <c r="I903" s="410"/>
      <c r="J903" s="142"/>
      <c r="K903" s="410"/>
      <c r="L903" s="142"/>
      <c r="M903" s="410"/>
      <c r="N903" s="142"/>
      <c r="O903" s="403"/>
      <c r="P903" s="198"/>
      <c r="Q903" s="411"/>
      <c r="R903" s="76"/>
      <c r="S903" s="197"/>
      <c r="T903" s="198"/>
      <c r="U903" s="197"/>
      <c r="V903" s="198"/>
      <c r="W903" s="198"/>
      <c r="X903" s="198"/>
      <c r="Y903" s="198"/>
      <c r="Z903" s="198"/>
    </row>
    <row r="904">
      <c r="A904" s="403"/>
      <c r="B904" s="198"/>
      <c r="C904" s="403"/>
      <c r="D904" s="142"/>
      <c r="E904" s="403"/>
      <c r="F904" s="198"/>
      <c r="G904" s="403"/>
      <c r="H904" s="198"/>
      <c r="I904" s="410"/>
      <c r="J904" s="142"/>
      <c r="K904" s="410"/>
      <c r="L904" s="142"/>
      <c r="M904" s="410"/>
      <c r="N904" s="142"/>
      <c r="O904" s="403"/>
      <c r="P904" s="198"/>
      <c r="Q904" s="411"/>
      <c r="R904" s="76"/>
      <c r="S904" s="197"/>
      <c r="T904" s="198"/>
      <c r="U904" s="197"/>
      <c r="V904" s="198"/>
      <c r="W904" s="198"/>
      <c r="X904" s="198"/>
      <c r="Y904" s="198"/>
      <c r="Z904" s="198"/>
    </row>
    <row r="905">
      <c r="A905" s="403"/>
      <c r="B905" s="198"/>
      <c r="C905" s="403"/>
      <c r="D905" s="142"/>
      <c r="E905" s="403"/>
      <c r="F905" s="198"/>
      <c r="G905" s="403"/>
      <c r="H905" s="198"/>
      <c r="I905" s="410"/>
      <c r="J905" s="142"/>
      <c r="K905" s="410"/>
      <c r="L905" s="142"/>
      <c r="M905" s="410"/>
      <c r="N905" s="142"/>
      <c r="O905" s="403"/>
      <c r="P905" s="198"/>
      <c r="Q905" s="411"/>
      <c r="R905" s="76"/>
      <c r="S905" s="197"/>
      <c r="T905" s="198"/>
      <c r="U905" s="197"/>
      <c r="V905" s="198"/>
      <c r="W905" s="198"/>
      <c r="X905" s="198"/>
      <c r="Y905" s="198"/>
      <c r="Z905" s="198"/>
    </row>
    <row r="906">
      <c r="A906" s="403"/>
      <c r="B906" s="198"/>
      <c r="C906" s="403"/>
      <c r="D906" s="142"/>
      <c r="E906" s="403"/>
      <c r="F906" s="198"/>
      <c r="G906" s="403"/>
      <c r="H906" s="198"/>
      <c r="I906" s="410"/>
      <c r="J906" s="142"/>
      <c r="K906" s="410"/>
      <c r="L906" s="142"/>
      <c r="M906" s="410"/>
      <c r="N906" s="142"/>
      <c r="O906" s="403"/>
      <c r="P906" s="198"/>
      <c r="Q906" s="411"/>
      <c r="R906" s="76"/>
      <c r="S906" s="197"/>
      <c r="T906" s="198"/>
      <c r="U906" s="197"/>
      <c r="V906" s="198"/>
      <c r="W906" s="198"/>
      <c r="X906" s="198"/>
      <c r="Y906" s="198"/>
      <c r="Z906" s="198"/>
    </row>
    <row r="907">
      <c r="A907" s="403"/>
      <c r="B907" s="198"/>
      <c r="C907" s="403"/>
      <c r="D907" s="142"/>
      <c r="E907" s="403"/>
      <c r="F907" s="198"/>
      <c r="G907" s="403"/>
      <c r="H907" s="198"/>
      <c r="I907" s="410"/>
      <c r="J907" s="142"/>
      <c r="K907" s="410"/>
      <c r="L907" s="142"/>
      <c r="M907" s="410"/>
      <c r="N907" s="142"/>
      <c r="O907" s="403"/>
      <c r="P907" s="198"/>
      <c r="Q907" s="411"/>
      <c r="R907" s="76"/>
      <c r="S907" s="197"/>
      <c r="T907" s="198"/>
      <c r="U907" s="197"/>
      <c r="V907" s="198"/>
      <c r="W907" s="198"/>
      <c r="X907" s="198"/>
      <c r="Y907" s="198"/>
      <c r="Z907" s="198"/>
    </row>
    <row r="908">
      <c r="A908" s="403"/>
      <c r="B908" s="198"/>
      <c r="C908" s="403"/>
      <c r="D908" s="142"/>
      <c r="E908" s="403"/>
      <c r="F908" s="198"/>
      <c r="G908" s="403"/>
      <c r="H908" s="198"/>
      <c r="I908" s="410"/>
      <c r="J908" s="142"/>
      <c r="K908" s="410"/>
      <c r="L908" s="142"/>
      <c r="M908" s="410"/>
      <c r="N908" s="142"/>
      <c r="O908" s="403"/>
      <c r="P908" s="198"/>
      <c r="Q908" s="411"/>
      <c r="R908" s="76"/>
      <c r="S908" s="197"/>
      <c r="T908" s="198"/>
      <c r="U908" s="197"/>
      <c r="V908" s="198"/>
      <c r="W908" s="198"/>
      <c r="X908" s="198"/>
      <c r="Y908" s="198"/>
      <c r="Z908" s="198"/>
    </row>
    <row r="909">
      <c r="A909" s="403"/>
      <c r="B909" s="198"/>
      <c r="C909" s="403"/>
      <c r="D909" s="142"/>
      <c r="E909" s="403"/>
      <c r="F909" s="198"/>
      <c r="G909" s="403"/>
      <c r="H909" s="198"/>
      <c r="I909" s="410"/>
      <c r="J909" s="142"/>
      <c r="K909" s="410"/>
      <c r="L909" s="142"/>
      <c r="M909" s="410"/>
      <c r="N909" s="142"/>
      <c r="O909" s="403"/>
      <c r="P909" s="198"/>
      <c r="Q909" s="411"/>
      <c r="R909" s="76"/>
      <c r="S909" s="197"/>
      <c r="T909" s="198"/>
      <c r="U909" s="197"/>
      <c r="V909" s="198"/>
      <c r="W909" s="198"/>
      <c r="X909" s="198"/>
      <c r="Y909" s="198"/>
      <c r="Z909" s="198"/>
    </row>
    <row r="910">
      <c r="A910" s="403"/>
      <c r="B910" s="198"/>
      <c r="C910" s="403"/>
      <c r="D910" s="142"/>
      <c r="E910" s="403"/>
      <c r="F910" s="198"/>
      <c r="G910" s="403"/>
      <c r="H910" s="198"/>
      <c r="I910" s="410"/>
      <c r="J910" s="142"/>
      <c r="K910" s="410"/>
      <c r="L910" s="142"/>
      <c r="M910" s="410"/>
      <c r="N910" s="142"/>
      <c r="O910" s="403"/>
      <c r="P910" s="198"/>
      <c r="Q910" s="411"/>
      <c r="R910" s="76"/>
      <c r="S910" s="197"/>
      <c r="T910" s="198"/>
      <c r="U910" s="197"/>
      <c r="V910" s="198"/>
      <c r="W910" s="198"/>
      <c r="X910" s="198"/>
      <c r="Y910" s="198"/>
      <c r="Z910" s="198"/>
    </row>
    <row r="911">
      <c r="A911" s="403"/>
      <c r="B911" s="198"/>
      <c r="C911" s="403"/>
      <c r="D911" s="142"/>
      <c r="E911" s="403"/>
      <c r="F911" s="198"/>
      <c r="G911" s="403"/>
      <c r="H911" s="198"/>
      <c r="I911" s="410"/>
      <c r="J911" s="142"/>
      <c r="K911" s="410"/>
      <c r="L911" s="142"/>
      <c r="M911" s="410"/>
      <c r="N911" s="142"/>
      <c r="O911" s="403"/>
      <c r="P911" s="198"/>
      <c r="Q911" s="411"/>
      <c r="R911" s="76"/>
      <c r="S911" s="197"/>
      <c r="T911" s="198"/>
      <c r="U911" s="197"/>
      <c r="V911" s="198"/>
      <c r="W911" s="198"/>
      <c r="X911" s="198"/>
      <c r="Y911" s="198"/>
      <c r="Z911" s="198"/>
    </row>
    <row r="912">
      <c r="A912" s="403"/>
      <c r="B912" s="198"/>
      <c r="C912" s="403"/>
      <c r="D912" s="142"/>
      <c r="E912" s="403"/>
      <c r="F912" s="198"/>
      <c r="G912" s="403"/>
      <c r="H912" s="198"/>
      <c r="I912" s="410"/>
      <c r="J912" s="142"/>
      <c r="K912" s="410"/>
      <c r="L912" s="142"/>
      <c r="M912" s="410"/>
      <c r="N912" s="142"/>
      <c r="O912" s="403"/>
      <c r="P912" s="198"/>
      <c r="Q912" s="411"/>
      <c r="R912" s="76"/>
      <c r="S912" s="197"/>
      <c r="T912" s="198"/>
      <c r="U912" s="197"/>
      <c r="V912" s="198"/>
      <c r="W912" s="198"/>
      <c r="X912" s="198"/>
      <c r="Y912" s="198"/>
      <c r="Z912" s="198"/>
    </row>
    <row r="913">
      <c r="A913" s="403"/>
      <c r="B913" s="198"/>
      <c r="C913" s="403"/>
      <c r="D913" s="142"/>
      <c r="E913" s="403"/>
      <c r="F913" s="198"/>
      <c r="G913" s="403"/>
      <c r="H913" s="198"/>
      <c r="I913" s="410"/>
      <c r="J913" s="142"/>
      <c r="K913" s="410"/>
      <c r="L913" s="142"/>
      <c r="M913" s="410"/>
      <c r="N913" s="142"/>
      <c r="O913" s="403"/>
      <c r="P913" s="198"/>
      <c r="Q913" s="411"/>
      <c r="R913" s="76"/>
      <c r="S913" s="197"/>
      <c r="T913" s="198"/>
      <c r="U913" s="197"/>
      <c r="V913" s="198"/>
      <c r="W913" s="198"/>
      <c r="X913" s="198"/>
      <c r="Y913" s="198"/>
      <c r="Z913" s="198"/>
    </row>
    <row r="914">
      <c r="A914" s="403"/>
      <c r="B914" s="198"/>
      <c r="C914" s="403"/>
      <c r="D914" s="142"/>
      <c r="E914" s="403"/>
      <c r="F914" s="198"/>
      <c r="G914" s="403"/>
      <c r="H914" s="198"/>
      <c r="I914" s="410"/>
      <c r="J914" s="142"/>
      <c r="K914" s="410"/>
      <c r="L914" s="142"/>
      <c r="M914" s="410"/>
      <c r="N914" s="142"/>
      <c r="O914" s="403"/>
      <c r="P914" s="198"/>
      <c r="Q914" s="411"/>
      <c r="R914" s="76"/>
      <c r="S914" s="197"/>
      <c r="T914" s="198"/>
      <c r="U914" s="197"/>
      <c r="V914" s="198"/>
      <c r="W914" s="198"/>
      <c r="X914" s="198"/>
      <c r="Y914" s="198"/>
      <c r="Z914" s="198"/>
    </row>
    <row r="915">
      <c r="A915" s="403"/>
      <c r="B915" s="198"/>
      <c r="C915" s="403"/>
      <c r="D915" s="142"/>
      <c r="E915" s="403"/>
      <c r="F915" s="198"/>
      <c r="G915" s="403"/>
      <c r="H915" s="198"/>
      <c r="I915" s="410"/>
      <c r="J915" s="142"/>
      <c r="K915" s="410"/>
      <c r="L915" s="142"/>
      <c r="M915" s="410"/>
      <c r="N915" s="142"/>
      <c r="O915" s="403"/>
      <c r="P915" s="198"/>
      <c r="Q915" s="411"/>
      <c r="R915" s="76"/>
      <c r="S915" s="197"/>
      <c r="T915" s="198"/>
      <c r="U915" s="197"/>
      <c r="V915" s="198"/>
      <c r="W915" s="198"/>
      <c r="X915" s="198"/>
      <c r="Y915" s="198"/>
      <c r="Z915" s="198"/>
    </row>
    <row r="916">
      <c r="A916" s="403"/>
      <c r="B916" s="198"/>
      <c r="C916" s="403"/>
      <c r="D916" s="142"/>
      <c r="E916" s="403"/>
      <c r="F916" s="198"/>
      <c r="G916" s="403"/>
      <c r="H916" s="198"/>
      <c r="I916" s="410"/>
      <c r="J916" s="142"/>
      <c r="K916" s="410"/>
      <c r="L916" s="142"/>
      <c r="M916" s="410"/>
      <c r="N916" s="142"/>
      <c r="O916" s="403"/>
      <c r="P916" s="198"/>
      <c r="Q916" s="411"/>
      <c r="R916" s="76"/>
      <c r="S916" s="197"/>
      <c r="T916" s="198"/>
      <c r="U916" s="197"/>
      <c r="V916" s="198"/>
      <c r="W916" s="198"/>
      <c r="X916" s="198"/>
      <c r="Y916" s="198"/>
      <c r="Z916" s="198"/>
    </row>
    <row r="917">
      <c r="A917" s="403"/>
      <c r="B917" s="198"/>
      <c r="C917" s="403"/>
      <c r="D917" s="142"/>
      <c r="E917" s="403"/>
      <c r="F917" s="198"/>
      <c r="G917" s="403"/>
      <c r="H917" s="198"/>
      <c r="I917" s="410"/>
      <c r="J917" s="142"/>
      <c r="K917" s="410"/>
      <c r="L917" s="142"/>
      <c r="M917" s="410"/>
      <c r="N917" s="142"/>
      <c r="O917" s="403"/>
      <c r="P917" s="198"/>
      <c r="Q917" s="411"/>
      <c r="R917" s="76"/>
      <c r="S917" s="197"/>
      <c r="T917" s="198"/>
      <c r="U917" s="197"/>
      <c r="V917" s="198"/>
      <c r="W917" s="198"/>
      <c r="X917" s="198"/>
      <c r="Y917" s="198"/>
      <c r="Z917" s="198"/>
    </row>
    <row r="918">
      <c r="A918" s="403"/>
      <c r="B918" s="198"/>
      <c r="C918" s="403"/>
      <c r="D918" s="142"/>
      <c r="E918" s="403"/>
      <c r="F918" s="198"/>
      <c r="G918" s="403"/>
      <c r="H918" s="198"/>
      <c r="I918" s="410"/>
      <c r="J918" s="142"/>
      <c r="K918" s="410"/>
      <c r="L918" s="142"/>
      <c r="M918" s="410"/>
      <c r="N918" s="142"/>
      <c r="O918" s="403"/>
      <c r="P918" s="198"/>
      <c r="Q918" s="411"/>
      <c r="R918" s="76"/>
      <c r="S918" s="197"/>
      <c r="T918" s="198"/>
      <c r="U918" s="197"/>
      <c r="V918" s="198"/>
      <c r="W918" s="198"/>
      <c r="X918" s="198"/>
      <c r="Y918" s="198"/>
      <c r="Z918" s="198"/>
    </row>
    <row r="919">
      <c r="A919" s="403"/>
      <c r="B919" s="198"/>
      <c r="C919" s="403"/>
      <c r="D919" s="142"/>
      <c r="E919" s="403"/>
      <c r="F919" s="198"/>
      <c r="G919" s="403"/>
      <c r="H919" s="198"/>
      <c r="I919" s="410"/>
      <c r="J919" s="142"/>
      <c r="K919" s="410"/>
      <c r="L919" s="142"/>
      <c r="M919" s="410"/>
      <c r="N919" s="142"/>
      <c r="O919" s="403"/>
      <c r="P919" s="198"/>
      <c r="Q919" s="411"/>
      <c r="R919" s="76"/>
      <c r="S919" s="197"/>
      <c r="T919" s="198"/>
      <c r="U919" s="197"/>
      <c r="V919" s="198"/>
      <c r="W919" s="198"/>
      <c r="X919" s="198"/>
      <c r="Y919" s="198"/>
      <c r="Z919" s="198"/>
    </row>
    <row r="920">
      <c r="A920" s="403"/>
      <c r="B920" s="198"/>
      <c r="C920" s="403"/>
      <c r="D920" s="142"/>
      <c r="E920" s="403"/>
      <c r="F920" s="198"/>
      <c r="G920" s="403"/>
      <c r="H920" s="198"/>
      <c r="I920" s="410"/>
      <c r="J920" s="142"/>
      <c r="K920" s="410"/>
      <c r="L920" s="142"/>
      <c r="M920" s="410"/>
      <c r="N920" s="142"/>
      <c r="O920" s="403"/>
      <c r="P920" s="198"/>
      <c r="Q920" s="411"/>
      <c r="R920" s="76"/>
      <c r="S920" s="197"/>
      <c r="T920" s="198"/>
      <c r="U920" s="197"/>
      <c r="V920" s="198"/>
      <c r="W920" s="198"/>
      <c r="X920" s="198"/>
      <c r="Y920" s="198"/>
      <c r="Z920" s="198"/>
    </row>
    <row r="921">
      <c r="A921" s="403"/>
      <c r="B921" s="198"/>
      <c r="C921" s="403"/>
      <c r="D921" s="142"/>
      <c r="E921" s="403"/>
      <c r="F921" s="198"/>
      <c r="G921" s="403"/>
      <c r="H921" s="198"/>
      <c r="I921" s="410"/>
      <c r="J921" s="142"/>
      <c r="K921" s="410"/>
      <c r="L921" s="142"/>
      <c r="M921" s="410"/>
      <c r="N921" s="142"/>
      <c r="O921" s="403"/>
      <c r="P921" s="198"/>
      <c r="Q921" s="411"/>
      <c r="R921" s="76"/>
      <c r="S921" s="197"/>
      <c r="T921" s="198"/>
      <c r="U921" s="197"/>
      <c r="V921" s="198"/>
      <c r="W921" s="198"/>
      <c r="X921" s="198"/>
      <c r="Y921" s="198"/>
      <c r="Z921" s="198"/>
    </row>
    <row r="922">
      <c r="A922" s="403"/>
      <c r="B922" s="198"/>
      <c r="C922" s="403"/>
      <c r="D922" s="142"/>
      <c r="E922" s="403"/>
      <c r="F922" s="198"/>
      <c r="G922" s="403"/>
      <c r="H922" s="198"/>
      <c r="I922" s="410"/>
      <c r="J922" s="142"/>
      <c r="K922" s="410"/>
      <c r="L922" s="142"/>
      <c r="M922" s="410"/>
      <c r="N922" s="142"/>
      <c r="O922" s="403"/>
      <c r="P922" s="198"/>
      <c r="Q922" s="411"/>
      <c r="R922" s="76"/>
      <c r="S922" s="197"/>
      <c r="T922" s="198"/>
      <c r="U922" s="197"/>
      <c r="V922" s="198"/>
      <c r="W922" s="198"/>
      <c r="X922" s="198"/>
      <c r="Y922" s="198"/>
      <c r="Z922" s="198"/>
    </row>
    <row r="923">
      <c r="A923" s="403"/>
      <c r="B923" s="198"/>
      <c r="C923" s="403"/>
      <c r="D923" s="142"/>
      <c r="E923" s="403"/>
      <c r="F923" s="198"/>
      <c r="G923" s="403"/>
      <c r="H923" s="198"/>
      <c r="I923" s="410"/>
      <c r="J923" s="142"/>
      <c r="K923" s="410"/>
      <c r="L923" s="142"/>
      <c r="M923" s="410"/>
      <c r="N923" s="142"/>
      <c r="O923" s="403"/>
      <c r="P923" s="198"/>
      <c r="Q923" s="411"/>
      <c r="R923" s="76"/>
      <c r="S923" s="197"/>
      <c r="T923" s="198"/>
      <c r="U923" s="197"/>
      <c r="V923" s="198"/>
      <c r="W923" s="198"/>
      <c r="X923" s="198"/>
      <c r="Y923" s="198"/>
      <c r="Z923" s="198"/>
    </row>
    <row r="924">
      <c r="A924" s="403"/>
      <c r="B924" s="198"/>
      <c r="C924" s="403"/>
      <c r="D924" s="142"/>
      <c r="E924" s="403"/>
      <c r="F924" s="198"/>
      <c r="G924" s="403"/>
      <c r="H924" s="198"/>
      <c r="I924" s="410"/>
      <c r="J924" s="142"/>
      <c r="K924" s="410"/>
      <c r="L924" s="142"/>
      <c r="M924" s="410"/>
      <c r="N924" s="142"/>
      <c r="O924" s="403"/>
      <c r="P924" s="198"/>
      <c r="Q924" s="411"/>
      <c r="R924" s="76"/>
      <c r="S924" s="197"/>
      <c r="T924" s="198"/>
      <c r="U924" s="197"/>
      <c r="V924" s="198"/>
      <c r="W924" s="198"/>
      <c r="X924" s="198"/>
      <c r="Y924" s="198"/>
      <c r="Z924" s="198"/>
    </row>
    <row r="925">
      <c r="A925" s="403"/>
      <c r="B925" s="198"/>
      <c r="C925" s="403"/>
      <c r="D925" s="142"/>
      <c r="E925" s="403"/>
      <c r="F925" s="198"/>
      <c r="G925" s="403"/>
      <c r="H925" s="198"/>
      <c r="I925" s="410"/>
      <c r="J925" s="142"/>
      <c r="K925" s="410"/>
      <c r="L925" s="142"/>
      <c r="M925" s="410"/>
      <c r="N925" s="142"/>
      <c r="O925" s="403"/>
      <c r="P925" s="198"/>
      <c r="Q925" s="411"/>
      <c r="R925" s="76"/>
      <c r="S925" s="197"/>
      <c r="T925" s="198"/>
      <c r="U925" s="197"/>
      <c r="V925" s="198"/>
      <c r="W925" s="198"/>
      <c r="X925" s="198"/>
      <c r="Y925" s="198"/>
      <c r="Z925" s="198"/>
    </row>
    <row r="926">
      <c r="A926" s="403"/>
      <c r="B926" s="198"/>
      <c r="C926" s="403"/>
      <c r="D926" s="142"/>
      <c r="E926" s="403"/>
      <c r="F926" s="198"/>
      <c r="G926" s="403"/>
      <c r="H926" s="198"/>
      <c r="I926" s="410"/>
      <c r="J926" s="142"/>
      <c r="K926" s="410"/>
      <c r="L926" s="142"/>
      <c r="M926" s="410"/>
      <c r="N926" s="142"/>
      <c r="O926" s="403"/>
      <c r="P926" s="198"/>
      <c r="Q926" s="411"/>
      <c r="R926" s="76"/>
      <c r="S926" s="197"/>
      <c r="T926" s="198"/>
      <c r="U926" s="197"/>
      <c r="V926" s="198"/>
      <c r="W926" s="198"/>
      <c r="X926" s="198"/>
      <c r="Y926" s="198"/>
      <c r="Z926" s="198"/>
    </row>
    <row r="927">
      <c r="A927" s="403"/>
      <c r="B927" s="198"/>
      <c r="C927" s="403"/>
      <c r="D927" s="142"/>
      <c r="E927" s="403"/>
      <c r="F927" s="198"/>
      <c r="G927" s="403"/>
      <c r="H927" s="198"/>
      <c r="I927" s="410"/>
      <c r="J927" s="142"/>
      <c r="K927" s="410"/>
      <c r="L927" s="142"/>
      <c r="M927" s="410"/>
      <c r="N927" s="142"/>
      <c r="O927" s="403"/>
      <c r="P927" s="198"/>
      <c r="Q927" s="411"/>
      <c r="R927" s="76"/>
      <c r="S927" s="197"/>
      <c r="T927" s="198"/>
      <c r="U927" s="197"/>
      <c r="V927" s="198"/>
      <c r="W927" s="198"/>
      <c r="X927" s="198"/>
      <c r="Y927" s="198"/>
      <c r="Z927" s="198"/>
    </row>
    <row r="928">
      <c r="A928" s="403"/>
      <c r="B928" s="198"/>
      <c r="C928" s="403"/>
      <c r="D928" s="142"/>
      <c r="E928" s="403"/>
      <c r="F928" s="198"/>
      <c r="G928" s="403"/>
      <c r="H928" s="198"/>
      <c r="I928" s="410"/>
      <c r="J928" s="142"/>
      <c r="K928" s="410"/>
      <c r="L928" s="142"/>
      <c r="M928" s="410"/>
      <c r="N928" s="142"/>
      <c r="O928" s="403"/>
      <c r="P928" s="198"/>
      <c r="Q928" s="411"/>
      <c r="R928" s="76"/>
      <c r="S928" s="197"/>
      <c r="T928" s="198"/>
      <c r="U928" s="197"/>
      <c r="V928" s="198"/>
      <c r="W928" s="198"/>
      <c r="X928" s="198"/>
      <c r="Y928" s="198"/>
      <c r="Z928" s="198"/>
    </row>
    <row r="929">
      <c r="A929" s="403"/>
      <c r="B929" s="198"/>
      <c r="C929" s="403"/>
      <c r="D929" s="142"/>
      <c r="E929" s="403"/>
      <c r="F929" s="198"/>
      <c r="G929" s="403"/>
      <c r="H929" s="198"/>
      <c r="I929" s="410"/>
      <c r="J929" s="142"/>
      <c r="K929" s="410"/>
      <c r="L929" s="142"/>
      <c r="M929" s="410"/>
      <c r="N929" s="142"/>
      <c r="O929" s="403"/>
      <c r="P929" s="198"/>
      <c r="Q929" s="411"/>
      <c r="R929" s="76"/>
      <c r="S929" s="197"/>
      <c r="T929" s="198"/>
      <c r="U929" s="197"/>
      <c r="V929" s="198"/>
      <c r="W929" s="198"/>
      <c r="X929" s="198"/>
      <c r="Y929" s="198"/>
      <c r="Z929" s="198"/>
    </row>
    <row r="930">
      <c r="A930" s="403"/>
      <c r="B930" s="198"/>
      <c r="C930" s="403"/>
      <c r="D930" s="142"/>
      <c r="E930" s="403"/>
      <c r="F930" s="198"/>
      <c r="G930" s="403"/>
      <c r="H930" s="198"/>
      <c r="I930" s="410"/>
      <c r="J930" s="142"/>
      <c r="K930" s="410"/>
      <c r="L930" s="142"/>
      <c r="M930" s="410"/>
      <c r="N930" s="142"/>
      <c r="O930" s="403"/>
      <c r="P930" s="198"/>
      <c r="Q930" s="411"/>
      <c r="R930" s="76"/>
      <c r="S930" s="197"/>
      <c r="T930" s="198"/>
      <c r="U930" s="197"/>
      <c r="V930" s="198"/>
      <c r="W930" s="198"/>
      <c r="X930" s="198"/>
      <c r="Y930" s="198"/>
      <c r="Z930" s="198"/>
    </row>
    <row r="931">
      <c r="A931" s="403"/>
      <c r="B931" s="198"/>
      <c r="C931" s="403"/>
      <c r="D931" s="142"/>
      <c r="E931" s="403"/>
      <c r="F931" s="198"/>
      <c r="G931" s="403"/>
      <c r="H931" s="198"/>
      <c r="I931" s="410"/>
      <c r="J931" s="142"/>
      <c r="K931" s="410"/>
      <c r="L931" s="142"/>
      <c r="M931" s="410"/>
      <c r="N931" s="142"/>
      <c r="O931" s="403"/>
      <c r="P931" s="198"/>
      <c r="Q931" s="411"/>
      <c r="R931" s="76"/>
      <c r="S931" s="197"/>
      <c r="T931" s="198"/>
      <c r="U931" s="197"/>
      <c r="V931" s="198"/>
      <c r="W931" s="198"/>
      <c r="X931" s="198"/>
      <c r="Y931" s="198"/>
      <c r="Z931" s="198"/>
    </row>
    <row r="932">
      <c r="A932" s="403"/>
      <c r="B932" s="198"/>
      <c r="C932" s="403"/>
      <c r="D932" s="142"/>
      <c r="E932" s="403"/>
      <c r="F932" s="198"/>
      <c r="G932" s="403"/>
      <c r="H932" s="198"/>
      <c r="I932" s="410"/>
      <c r="J932" s="142"/>
      <c r="K932" s="410"/>
      <c r="L932" s="142"/>
      <c r="M932" s="410"/>
      <c r="N932" s="142"/>
      <c r="O932" s="403"/>
      <c r="P932" s="198"/>
      <c r="Q932" s="411"/>
      <c r="R932" s="76"/>
      <c r="S932" s="197"/>
      <c r="T932" s="198"/>
      <c r="U932" s="197"/>
      <c r="V932" s="198"/>
      <c r="W932" s="198"/>
      <c r="X932" s="198"/>
      <c r="Y932" s="198"/>
      <c r="Z932" s="198"/>
    </row>
    <row r="933">
      <c r="A933" s="403"/>
      <c r="B933" s="198"/>
      <c r="C933" s="403"/>
      <c r="D933" s="142"/>
      <c r="E933" s="403"/>
      <c r="F933" s="198"/>
      <c r="G933" s="403"/>
      <c r="H933" s="198"/>
      <c r="I933" s="410"/>
      <c r="J933" s="142"/>
      <c r="K933" s="410"/>
      <c r="L933" s="142"/>
      <c r="M933" s="410"/>
      <c r="N933" s="142"/>
      <c r="O933" s="403"/>
      <c r="P933" s="198"/>
      <c r="Q933" s="411"/>
      <c r="R933" s="76"/>
      <c r="S933" s="197"/>
      <c r="T933" s="198"/>
      <c r="U933" s="197"/>
      <c r="V933" s="198"/>
      <c r="W933" s="198"/>
      <c r="X933" s="198"/>
      <c r="Y933" s="198"/>
      <c r="Z933" s="198"/>
    </row>
    <row r="934">
      <c r="A934" s="403"/>
      <c r="B934" s="198"/>
      <c r="C934" s="403"/>
      <c r="D934" s="142"/>
      <c r="E934" s="403"/>
      <c r="F934" s="198"/>
      <c r="G934" s="403"/>
      <c r="H934" s="198"/>
      <c r="I934" s="410"/>
      <c r="J934" s="142"/>
      <c r="K934" s="410"/>
      <c r="L934" s="142"/>
      <c r="M934" s="410"/>
      <c r="N934" s="142"/>
      <c r="O934" s="403"/>
      <c r="P934" s="198"/>
      <c r="Q934" s="411"/>
      <c r="R934" s="76"/>
      <c r="S934" s="197"/>
      <c r="T934" s="198"/>
      <c r="U934" s="197"/>
      <c r="V934" s="198"/>
      <c r="W934" s="198"/>
      <c r="X934" s="198"/>
      <c r="Y934" s="198"/>
      <c r="Z934" s="198"/>
    </row>
    <row r="935">
      <c r="A935" s="403"/>
      <c r="B935" s="198"/>
      <c r="C935" s="403"/>
      <c r="D935" s="142"/>
      <c r="E935" s="403"/>
      <c r="F935" s="198"/>
      <c r="G935" s="403"/>
      <c r="H935" s="198"/>
      <c r="I935" s="410"/>
      <c r="J935" s="142"/>
      <c r="K935" s="410"/>
      <c r="L935" s="142"/>
      <c r="M935" s="410"/>
      <c r="N935" s="142"/>
      <c r="O935" s="403"/>
      <c r="P935" s="198"/>
      <c r="Q935" s="411"/>
      <c r="R935" s="76"/>
      <c r="S935" s="197"/>
      <c r="T935" s="198"/>
      <c r="U935" s="197"/>
      <c r="V935" s="198"/>
      <c r="W935" s="198"/>
      <c r="X935" s="198"/>
      <c r="Y935" s="198"/>
      <c r="Z935" s="198"/>
    </row>
    <row r="936">
      <c r="A936" s="403"/>
      <c r="B936" s="198"/>
      <c r="C936" s="403"/>
      <c r="D936" s="142"/>
      <c r="E936" s="403"/>
      <c r="F936" s="198"/>
      <c r="G936" s="403"/>
      <c r="H936" s="198"/>
      <c r="I936" s="410"/>
      <c r="J936" s="142"/>
      <c r="K936" s="410"/>
      <c r="L936" s="142"/>
      <c r="M936" s="410"/>
      <c r="N936" s="142"/>
      <c r="O936" s="403"/>
      <c r="P936" s="198"/>
      <c r="Q936" s="411"/>
      <c r="R936" s="76"/>
      <c r="S936" s="197"/>
      <c r="T936" s="198"/>
      <c r="U936" s="197"/>
      <c r="V936" s="198"/>
      <c r="W936" s="198"/>
      <c r="X936" s="198"/>
      <c r="Y936" s="198"/>
      <c r="Z936" s="198"/>
    </row>
    <row r="937">
      <c r="A937" s="403"/>
      <c r="B937" s="198"/>
      <c r="C937" s="403"/>
      <c r="D937" s="142"/>
      <c r="E937" s="403"/>
      <c r="F937" s="198"/>
      <c r="G937" s="403"/>
      <c r="H937" s="198"/>
      <c r="I937" s="410"/>
      <c r="J937" s="142"/>
      <c r="K937" s="410"/>
      <c r="L937" s="142"/>
      <c r="M937" s="410"/>
      <c r="N937" s="142"/>
      <c r="O937" s="403"/>
      <c r="P937" s="198"/>
      <c r="Q937" s="411"/>
      <c r="R937" s="76"/>
      <c r="S937" s="197"/>
      <c r="T937" s="198"/>
      <c r="U937" s="197"/>
      <c r="V937" s="198"/>
      <c r="W937" s="198"/>
      <c r="X937" s="198"/>
      <c r="Y937" s="198"/>
      <c r="Z937" s="198"/>
    </row>
    <row r="938">
      <c r="A938" s="403"/>
      <c r="B938" s="198"/>
      <c r="C938" s="403"/>
      <c r="D938" s="142"/>
      <c r="E938" s="403"/>
      <c r="F938" s="198"/>
      <c r="G938" s="403"/>
      <c r="H938" s="198"/>
      <c r="I938" s="410"/>
      <c r="J938" s="142"/>
      <c r="K938" s="410"/>
      <c r="L938" s="142"/>
      <c r="M938" s="410"/>
      <c r="N938" s="142"/>
      <c r="O938" s="403"/>
      <c r="P938" s="198"/>
      <c r="Q938" s="411"/>
      <c r="R938" s="76"/>
      <c r="S938" s="197"/>
      <c r="T938" s="198"/>
      <c r="U938" s="197"/>
      <c r="V938" s="198"/>
      <c r="W938" s="198"/>
      <c r="X938" s="198"/>
      <c r="Y938" s="198"/>
      <c r="Z938" s="198"/>
    </row>
    <row r="939">
      <c r="A939" s="403"/>
      <c r="B939" s="198"/>
      <c r="C939" s="403"/>
      <c r="D939" s="142"/>
      <c r="E939" s="403"/>
      <c r="F939" s="198"/>
      <c r="G939" s="403"/>
      <c r="H939" s="198"/>
      <c r="I939" s="410"/>
      <c r="J939" s="142"/>
      <c r="K939" s="410"/>
      <c r="L939" s="142"/>
      <c r="M939" s="410"/>
      <c r="N939" s="142"/>
      <c r="O939" s="403"/>
      <c r="P939" s="198"/>
      <c r="Q939" s="411"/>
      <c r="R939" s="76"/>
      <c r="S939" s="197"/>
      <c r="T939" s="198"/>
      <c r="U939" s="197"/>
      <c r="V939" s="198"/>
      <c r="W939" s="198"/>
      <c r="X939" s="198"/>
      <c r="Y939" s="198"/>
      <c r="Z939" s="198"/>
    </row>
    <row r="940">
      <c r="A940" s="403"/>
      <c r="B940" s="198"/>
      <c r="C940" s="403"/>
      <c r="D940" s="142"/>
      <c r="E940" s="403"/>
      <c r="F940" s="198"/>
      <c r="G940" s="403"/>
      <c r="H940" s="198"/>
      <c r="I940" s="410"/>
      <c r="J940" s="142"/>
      <c r="K940" s="410"/>
      <c r="L940" s="142"/>
      <c r="M940" s="410"/>
      <c r="N940" s="142"/>
      <c r="O940" s="403"/>
      <c r="P940" s="198"/>
      <c r="Q940" s="411"/>
      <c r="R940" s="76"/>
      <c r="S940" s="197"/>
      <c r="T940" s="198"/>
      <c r="U940" s="197"/>
      <c r="V940" s="198"/>
      <c r="W940" s="198"/>
      <c r="X940" s="198"/>
      <c r="Y940" s="198"/>
      <c r="Z940" s="198"/>
    </row>
    <row r="941">
      <c r="A941" s="403"/>
      <c r="B941" s="198"/>
      <c r="C941" s="403"/>
      <c r="D941" s="142"/>
      <c r="E941" s="403"/>
      <c r="F941" s="198"/>
      <c r="G941" s="403"/>
      <c r="H941" s="198"/>
      <c r="I941" s="410"/>
      <c r="J941" s="142"/>
      <c r="K941" s="410"/>
      <c r="L941" s="142"/>
      <c r="M941" s="410"/>
      <c r="N941" s="142"/>
      <c r="O941" s="403"/>
      <c r="P941" s="198"/>
      <c r="Q941" s="411"/>
      <c r="R941" s="76"/>
      <c r="S941" s="197"/>
      <c r="T941" s="198"/>
      <c r="U941" s="197"/>
      <c r="V941" s="198"/>
      <c r="W941" s="198"/>
      <c r="X941" s="198"/>
      <c r="Y941" s="198"/>
      <c r="Z941" s="198"/>
    </row>
    <row r="942">
      <c r="A942" s="403"/>
      <c r="B942" s="198"/>
      <c r="C942" s="403"/>
      <c r="D942" s="142"/>
      <c r="E942" s="403"/>
      <c r="F942" s="198"/>
      <c r="G942" s="403"/>
      <c r="H942" s="198"/>
      <c r="I942" s="410"/>
      <c r="J942" s="142"/>
      <c r="K942" s="410"/>
      <c r="L942" s="142"/>
      <c r="M942" s="410"/>
      <c r="N942" s="142"/>
      <c r="O942" s="403"/>
      <c r="P942" s="198"/>
      <c r="Q942" s="411"/>
      <c r="R942" s="76"/>
      <c r="S942" s="197"/>
      <c r="T942" s="198"/>
      <c r="U942" s="197"/>
      <c r="V942" s="198"/>
      <c r="W942" s="198"/>
      <c r="X942" s="198"/>
      <c r="Y942" s="198"/>
      <c r="Z942" s="198"/>
    </row>
    <row r="943">
      <c r="A943" s="403"/>
      <c r="B943" s="198"/>
      <c r="C943" s="403"/>
      <c r="D943" s="142"/>
      <c r="E943" s="403"/>
      <c r="F943" s="198"/>
      <c r="G943" s="403"/>
      <c r="H943" s="198"/>
      <c r="I943" s="410"/>
      <c r="J943" s="142"/>
      <c r="K943" s="410"/>
      <c r="L943" s="142"/>
      <c r="M943" s="410"/>
      <c r="N943" s="142"/>
      <c r="O943" s="403"/>
      <c r="P943" s="198"/>
      <c r="Q943" s="411"/>
      <c r="R943" s="76"/>
      <c r="S943" s="197"/>
      <c r="T943" s="198"/>
      <c r="U943" s="197"/>
      <c r="V943" s="198"/>
      <c r="W943" s="198"/>
      <c r="X943" s="198"/>
      <c r="Y943" s="198"/>
      <c r="Z943" s="198"/>
    </row>
    <row r="944">
      <c r="A944" s="403"/>
      <c r="B944" s="198"/>
      <c r="C944" s="403"/>
      <c r="D944" s="142"/>
      <c r="E944" s="403"/>
      <c r="F944" s="198"/>
      <c r="G944" s="403"/>
      <c r="H944" s="198"/>
      <c r="I944" s="410"/>
      <c r="J944" s="142"/>
      <c r="K944" s="410"/>
      <c r="L944" s="142"/>
      <c r="M944" s="410"/>
      <c r="N944" s="142"/>
      <c r="O944" s="403"/>
      <c r="P944" s="198"/>
      <c r="Q944" s="411"/>
      <c r="R944" s="76"/>
      <c r="S944" s="197"/>
      <c r="T944" s="198"/>
      <c r="U944" s="197"/>
      <c r="V944" s="198"/>
      <c r="W944" s="198"/>
      <c r="X944" s="198"/>
      <c r="Y944" s="198"/>
      <c r="Z944" s="198"/>
    </row>
    <row r="945">
      <c r="A945" s="403"/>
      <c r="B945" s="198"/>
      <c r="C945" s="403"/>
      <c r="D945" s="142"/>
      <c r="E945" s="403"/>
      <c r="F945" s="198"/>
      <c r="G945" s="403"/>
      <c r="H945" s="198"/>
      <c r="I945" s="410"/>
      <c r="J945" s="142"/>
      <c r="K945" s="410"/>
      <c r="L945" s="142"/>
      <c r="M945" s="410"/>
      <c r="N945" s="142"/>
      <c r="O945" s="403"/>
      <c r="P945" s="198"/>
      <c r="Q945" s="411"/>
      <c r="R945" s="76"/>
      <c r="S945" s="197"/>
      <c r="T945" s="198"/>
      <c r="U945" s="197"/>
      <c r="V945" s="198"/>
      <c r="W945" s="198"/>
      <c r="X945" s="198"/>
      <c r="Y945" s="198"/>
      <c r="Z945" s="198"/>
    </row>
    <row r="946">
      <c r="A946" s="403"/>
      <c r="B946" s="198"/>
      <c r="C946" s="403"/>
      <c r="D946" s="142"/>
      <c r="E946" s="403"/>
      <c r="F946" s="198"/>
      <c r="G946" s="403"/>
      <c r="H946" s="198"/>
      <c r="I946" s="410"/>
      <c r="J946" s="142"/>
      <c r="K946" s="410"/>
      <c r="L946" s="142"/>
      <c r="M946" s="410"/>
      <c r="N946" s="142"/>
      <c r="O946" s="403"/>
      <c r="P946" s="198"/>
      <c r="Q946" s="411"/>
      <c r="R946" s="76"/>
      <c r="S946" s="197"/>
      <c r="T946" s="198"/>
      <c r="U946" s="197"/>
      <c r="V946" s="198"/>
      <c r="W946" s="198"/>
      <c r="X946" s="198"/>
      <c r="Y946" s="198"/>
      <c r="Z946" s="198"/>
    </row>
    <row r="947">
      <c r="A947" s="403"/>
      <c r="B947" s="198"/>
      <c r="C947" s="403"/>
      <c r="D947" s="142"/>
      <c r="E947" s="403"/>
      <c r="F947" s="198"/>
      <c r="G947" s="403"/>
      <c r="H947" s="198"/>
      <c r="I947" s="410"/>
      <c r="J947" s="142"/>
      <c r="K947" s="410"/>
      <c r="L947" s="142"/>
      <c r="M947" s="410"/>
      <c r="N947" s="142"/>
      <c r="O947" s="403"/>
      <c r="P947" s="198"/>
      <c r="Q947" s="411"/>
      <c r="R947" s="76"/>
      <c r="S947" s="197"/>
      <c r="T947" s="198"/>
      <c r="U947" s="197"/>
      <c r="V947" s="198"/>
      <c r="W947" s="198"/>
      <c r="X947" s="198"/>
      <c r="Y947" s="198"/>
      <c r="Z947" s="198"/>
    </row>
    <row r="948">
      <c r="A948" s="403"/>
      <c r="B948" s="198"/>
      <c r="C948" s="403"/>
      <c r="D948" s="142"/>
      <c r="E948" s="403"/>
      <c r="F948" s="198"/>
      <c r="G948" s="403"/>
      <c r="H948" s="198"/>
      <c r="I948" s="410"/>
      <c r="J948" s="142"/>
      <c r="K948" s="410"/>
      <c r="L948" s="142"/>
      <c r="M948" s="410"/>
      <c r="N948" s="142"/>
      <c r="O948" s="403"/>
      <c r="P948" s="198"/>
      <c r="Q948" s="411"/>
      <c r="R948" s="76"/>
      <c r="S948" s="197"/>
      <c r="T948" s="198"/>
      <c r="U948" s="197"/>
      <c r="V948" s="198"/>
      <c r="W948" s="198"/>
      <c r="X948" s="198"/>
      <c r="Y948" s="198"/>
      <c r="Z948" s="198"/>
    </row>
    <row r="949">
      <c r="A949" s="403"/>
      <c r="B949" s="198"/>
      <c r="C949" s="403"/>
      <c r="D949" s="142"/>
      <c r="E949" s="403"/>
      <c r="F949" s="198"/>
      <c r="G949" s="403"/>
      <c r="H949" s="198"/>
      <c r="I949" s="410"/>
      <c r="J949" s="142"/>
      <c r="K949" s="410"/>
      <c r="L949" s="142"/>
      <c r="M949" s="410"/>
      <c r="N949" s="142"/>
      <c r="O949" s="403"/>
      <c r="P949" s="198"/>
      <c r="Q949" s="411"/>
      <c r="R949" s="76"/>
      <c r="S949" s="197"/>
      <c r="T949" s="198"/>
      <c r="U949" s="197"/>
      <c r="V949" s="198"/>
      <c r="W949" s="198"/>
      <c r="X949" s="198"/>
      <c r="Y949" s="198"/>
      <c r="Z949" s="198"/>
    </row>
    <row r="950">
      <c r="A950" s="403"/>
      <c r="B950" s="198"/>
      <c r="C950" s="403"/>
      <c r="D950" s="142"/>
      <c r="E950" s="403"/>
      <c r="F950" s="198"/>
      <c r="G950" s="403"/>
      <c r="H950" s="198"/>
      <c r="I950" s="410"/>
      <c r="J950" s="142"/>
      <c r="K950" s="410"/>
      <c r="L950" s="142"/>
      <c r="M950" s="410"/>
      <c r="N950" s="142"/>
      <c r="O950" s="403"/>
      <c r="P950" s="198"/>
      <c r="Q950" s="411"/>
      <c r="R950" s="76"/>
      <c r="S950" s="197"/>
      <c r="T950" s="198"/>
      <c r="U950" s="197"/>
      <c r="V950" s="198"/>
      <c r="W950" s="198"/>
      <c r="X950" s="198"/>
      <c r="Y950" s="198"/>
      <c r="Z950" s="198"/>
    </row>
    <row r="951">
      <c r="A951" s="403"/>
      <c r="B951" s="198"/>
      <c r="C951" s="403"/>
      <c r="D951" s="142"/>
      <c r="E951" s="403"/>
      <c r="F951" s="198"/>
      <c r="G951" s="403"/>
      <c r="H951" s="198"/>
      <c r="I951" s="410"/>
      <c r="J951" s="142"/>
      <c r="K951" s="410"/>
      <c r="L951" s="142"/>
      <c r="M951" s="410"/>
      <c r="N951" s="142"/>
      <c r="O951" s="403"/>
      <c r="P951" s="198"/>
      <c r="Q951" s="411"/>
      <c r="R951" s="76"/>
      <c r="S951" s="197"/>
      <c r="T951" s="198"/>
      <c r="U951" s="197"/>
      <c r="V951" s="198"/>
      <c r="W951" s="198"/>
      <c r="X951" s="198"/>
      <c r="Y951" s="198"/>
      <c r="Z951" s="198"/>
    </row>
    <row r="952">
      <c r="A952" s="403"/>
      <c r="B952" s="198"/>
      <c r="C952" s="403"/>
      <c r="D952" s="142"/>
      <c r="E952" s="403"/>
      <c r="F952" s="198"/>
      <c r="G952" s="403"/>
      <c r="H952" s="198"/>
      <c r="I952" s="410"/>
      <c r="J952" s="142"/>
      <c r="K952" s="410"/>
      <c r="L952" s="142"/>
      <c r="M952" s="410"/>
      <c r="N952" s="142"/>
      <c r="O952" s="403"/>
      <c r="P952" s="198"/>
      <c r="Q952" s="411"/>
      <c r="R952" s="76"/>
      <c r="S952" s="197"/>
      <c r="T952" s="198"/>
      <c r="U952" s="197"/>
      <c r="V952" s="198"/>
      <c r="W952" s="198"/>
      <c r="X952" s="198"/>
      <c r="Y952" s="198"/>
      <c r="Z952" s="198"/>
    </row>
    <row r="953">
      <c r="A953" s="403"/>
      <c r="B953" s="198"/>
      <c r="C953" s="403"/>
      <c r="D953" s="142"/>
      <c r="E953" s="403"/>
      <c r="F953" s="198"/>
      <c r="G953" s="403"/>
      <c r="H953" s="198"/>
      <c r="I953" s="410"/>
      <c r="J953" s="142"/>
      <c r="K953" s="410"/>
      <c r="L953" s="142"/>
      <c r="M953" s="410"/>
      <c r="N953" s="142"/>
      <c r="O953" s="403"/>
      <c r="P953" s="198"/>
      <c r="Q953" s="411"/>
      <c r="R953" s="76"/>
      <c r="S953" s="197"/>
      <c r="T953" s="198"/>
      <c r="U953" s="197"/>
      <c r="V953" s="198"/>
      <c r="W953" s="198"/>
      <c r="X953" s="198"/>
      <c r="Y953" s="198"/>
      <c r="Z953" s="198"/>
    </row>
    <row r="954">
      <c r="A954" s="403"/>
      <c r="B954" s="198"/>
      <c r="C954" s="403"/>
      <c r="D954" s="142"/>
      <c r="E954" s="403"/>
      <c r="F954" s="198"/>
      <c r="G954" s="403"/>
      <c r="H954" s="198"/>
      <c r="I954" s="410"/>
      <c r="J954" s="142"/>
      <c r="K954" s="410"/>
      <c r="L954" s="142"/>
      <c r="M954" s="410"/>
      <c r="N954" s="142"/>
      <c r="O954" s="403"/>
      <c r="P954" s="198"/>
      <c r="Q954" s="411"/>
      <c r="R954" s="76"/>
      <c r="S954" s="197"/>
      <c r="T954" s="198"/>
      <c r="U954" s="197"/>
      <c r="V954" s="198"/>
      <c r="W954" s="198"/>
      <c r="X954" s="198"/>
      <c r="Y954" s="198"/>
      <c r="Z954" s="198"/>
    </row>
    <row r="955">
      <c r="A955" s="403"/>
      <c r="B955" s="198"/>
      <c r="C955" s="403"/>
      <c r="D955" s="142"/>
      <c r="E955" s="403"/>
      <c r="F955" s="198"/>
      <c r="G955" s="403"/>
      <c r="H955" s="198"/>
      <c r="I955" s="410"/>
      <c r="J955" s="142"/>
      <c r="K955" s="410"/>
      <c r="L955" s="142"/>
      <c r="M955" s="410"/>
      <c r="N955" s="142"/>
      <c r="O955" s="403"/>
      <c r="P955" s="198"/>
      <c r="Q955" s="411"/>
      <c r="R955" s="76"/>
      <c r="S955" s="197"/>
      <c r="T955" s="198"/>
      <c r="U955" s="197"/>
      <c r="V955" s="198"/>
      <c r="W955" s="198"/>
      <c r="X955" s="198"/>
      <c r="Y955" s="198"/>
      <c r="Z955" s="198"/>
    </row>
    <row r="956">
      <c r="A956" s="403"/>
      <c r="B956" s="198"/>
      <c r="C956" s="403"/>
      <c r="D956" s="142"/>
      <c r="E956" s="403"/>
      <c r="F956" s="198"/>
      <c r="G956" s="403"/>
      <c r="H956" s="198"/>
      <c r="I956" s="410"/>
      <c r="J956" s="142"/>
      <c r="K956" s="410"/>
      <c r="L956" s="142"/>
      <c r="M956" s="410"/>
      <c r="N956" s="142"/>
      <c r="O956" s="403"/>
      <c r="P956" s="198"/>
      <c r="Q956" s="411"/>
      <c r="R956" s="76"/>
      <c r="S956" s="197"/>
      <c r="T956" s="198"/>
      <c r="U956" s="197"/>
      <c r="V956" s="198"/>
      <c r="W956" s="198"/>
      <c r="X956" s="198"/>
      <c r="Y956" s="198"/>
      <c r="Z956" s="198"/>
    </row>
    <row r="957">
      <c r="A957" s="403"/>
      <c r="B957" s="198"/>
      <c r="C957" s="403"/>
      <c r="D957" s="142"/>
      <c r="E957" s="403"/>
      <c r="F957" s="198"/>
      <c r="G957" s="403"/>
      <c r="H957" s="198"/>
      <c r="I957" s="410"/>
      <c r="J957" s="142"/>
      <c r="K957" s="410"/>
      <c r="L957" s="142"/>
      <c r="M957" s="410"/>
      <c r="N957" s="142"/>
      <c r="O957" s="403"/>
      <c r="P957" s="198"/>
      <c r="Q957" s="411"/>
      <c r="R957" s="76"/>
      <c r="S957" s="197"/>
      <c r="T957" s="198"/>
      <c r="U957" s="197"/>
      <c r="V957" s="198"/>
      <c r="W957" s="198"/>
      <c r="X957" s="198"/>
      <c r="Y957" s="198"/>
      <c r="Z957" s="198"/>
    </row>
    <row r="958">
      <c r="A958" s="403"/>
      <c r="B958" s="198"/>
      <c r="C958" s="403"/>
      <c r="D958" s="142"/>
      <c r="E958" s="403"/>
      <c r="F958" s="198"/>
      <c r="G958" s="403"/>
      <c r="H958" s="198"/>
      <c r="I958" s="410"/>
      <c r="J958" s="142"/>
      <c r="K958" s="410"/>
      <c r="L958" s="142"/>
      <c r="M958" s="410"/>
      <c r="N958" s="142"/>
      <c r="O958" s="403"/>
      <c r="P958" s="198"/>
      <c r="Q958" s="411"/>
      <c r="R958" s="76"/>
      <c r="S958" s="197"/>
      <c r="T958" s="198"/>
      <c r="U958" s="197"/>
      <c r="V958" s="198"/>
      <c r="W958" s="198"/>
      <c r="X958" s="198"/>
      <c r="Y958" s="198"/>
      <c r="Z958" s="198"/>
    </row>
    <row r="959">
      <c r="A959" s="403"/>
      <c r="B959" s="198"/>
      <c r="C959" s="403"/>
      <c r="D959" s="142"/>
      <c r="E959" s="403"/>
      <c r="F959" s="198"/>
      <c r="G959" s="403"/>
      <c r="H959" s="198"/>
      <c r="I959" s="410"/>
      <c r="J959" s="142"/>
      <c r="K959" s="410"/>
      <c r="L959" s="142"/>
      <c r="M959" s="410"/>
      <c r="N959" s="142"/>
      <c r="O959" s="403"/>
      <c r="P959" s="198"/>
      <c r="Q959" s="411"/>
      <c r="R959" s="76"/>
      <c r="S959" s="197"/>
      <c r="T959" s="198"/>
      <c r="U959" s="197"/>
      <c r="V959" s="198"/>
      <c r="W959" s="198"/>
      <c r="X959" s="198"/>
      <c r="Y959" s="198"/>
      <c r="Z959" s="198"/>
    </row>
    <row r="960">
      <c r="A960" s="403"/>
      <c r="B960" s="198"/>
      <c r="C960" s="403"/>
      <c r="D960" s="142"/>
      <c r="E960" s="403"/>
      <c r="F960" s="198"/>
      <c r="G960" s="403"/>
      <c r="H960" s="198"/>
      <c r="I960" s="410"/>
      <c r="J960" s="142"/>
      <c r="K960" s="410"/>
      <c r="L960" s="142"/>
      <c r="M960" s="410"/>
      <c r="N960" s="142"/>
      <c r="O960" s="403"/>
      <c r="P960" s="198"/>
      <c r="Q960" s="411"/>
      <c r="R960" s="76"/>
      <c r="S960" s="197"/>
      <c r="T960" s="198"/>
      <c r="U960" s="197"/>
      <c r="V960" s="198"/>
      <c r="W960" s="198"/>
      <c r="X960" s="198"/>
      <c r="Y960" s="198"/>
      <c r="Z960" s="198"/>
    </row>
    <row r="961">
      <c r="A961" s="403"/>
      <c r="B961" s="198"/>
      <c r="C961" s="403"/>
      <c r="D961" s="142"/>
      <c r="E961" s="403"/>
      <c r="F961" s="198"/>
      <c r="G961" s="403"/>
      <c r="H961" s="198"/>
      <c r="I961" s="410"/>
      <c r="J961" s="142"/>
      <c r="K961" s="410"/>
      <c r="L961" s="142"/>
      <c r="M961" s="410"/>
      <c r="N961" s="142"/>
      <c r="O961" s="403"/>
      <c r="P961" s="198"/>
      <c r="Q961" s="411"/>
      <c r="R961" s="76"/>
      <c r="S961" s="197"/>
      <c r="T961" s="198"/>
      <c r="U961" s="197"/>
      <c r="V961" s="198"/>
      <c r="W961" s="198"/>
      <c r="X961" s="198"/>
      <c r="Y961" s="198"/>
      <c r="Z961" s="198"/>
    </row>
    <row r="962">
      <c r="A962" s="403"/>
      <c r="B962" s="198"/>
      <c r="C962" s="403"/>
      <c r="D962" s="142"/>
      <c r="E962" s="403"/>
      <c r="F962" s="198"/>
      <c r="G962" s="403"/>
      <c r="H962" s="198"/>
      <c r="I962" s="410"/>
      <c r="J962" s="142"/>
      <c r="K962" s="410"/>
      <c r="L962" s="142"/>
      <c r="M962" s="410"/>
      <c r="N962" s="142"/>
      <c r="O962" s="403"/>
      <c r="P962" s="198"/>
      <c r="Q962" s="411"/>
      <c r="R962" s="76"/>
      <c r="S962" s="197"/>
      <c r="T962" s="198"/>
      <c r="U962" s="197"/>
      <c r="V962" s="198"/>
      <c r="W962" s="198"/>
      <c r="X962" s="198"/>
      <c r="Y962" s="198"/>
      <c r="Z962" s="198"/>
    </row>
    <row r="963">
      <c r="A963" s="403"/>
      <c r="B963" s="198"/>
      <c r="C963" s="403"/>
      <c r="D963" s="142"/>
      <c r="E963" s="403"/>
      <c r="F963" s="198"/>
      <c r="G963" s="403"/>
      <c r="H963" s="198"/>
      <c r="I963" s="410"/>
      <c r="J963" s="142"/>
      <c r="K963" s="410"/>
      <c r="L963" s="142"/>
      <c r="M963" s="410"/>
      <c r="N963" s="142"/>
      <c r="O963" s="403"/>
      <c r="P963" s="198"/>
      <c r="Q963" s="411"/>
      <c r="R963" s="76"/>
      <c r="S963" s="197"/>
      <c r="T963" s="198"/>
      <c r="U963" s="197"/>
      <c r="V963" s="198"/>
      <c r="W963" s="198"/>
      <c r="X963" s="198"/>
      <c r="Y963" s="198"/>
      <c r="Z963" s="198"/>
    </row>
    <row r="964">
      <c r="A964" s="403"/>
      <c r="B964" s="198"/>
      <c r="C964" s="403"/>
      <c r="D964" s="142"/>
      <c r="E964" s="403"/>
      <c r="F964" s="198"/>
      <c r="G964" s="403"/>
      <c r="H964" s="198"/>
      <c r="I964" s="410"/>
      <c r="J964" s="142"/>
      <c r="K964" s="410"/>
      <c r="L964" s="142"/>
      <c r="M964" s="410"/>
      <c r="N964" s="142"/>
      <c r="O964" s="403"/>
      <c r="P964" s="198"/>
      <c r="Q964" s="411"/>
      <c r="R964" s="76"/>
      <c r="S964" s="197"/>
      <c r="T964" s="198"/>
      <c r="U964" s="197"/>
      <c r="V964" s="198"/>
      <c r="W964" s="198"/>
      <c r="X964" s="198"/>
      <c r="Y964" s="198"/>
      <c r="Z964" s="198"/>
    </row>
    <row r="965">
      <c r="A965" s="403"/>
      <c r="B965" s="198"/>
      <c r="C965" s="403"/>
      <c r="D965" s="142"/>
      <c r="E965" s="403"/>
      <c r="F965" s="198"/>
      <c r="G965" s="403"/>
      <c r="H965" s="198"/>
      <c r="I965" s="410"/>
      <c r="J965" s="142"/>
      <c r="K965" s="410"/>
      <c r="L965" s="142"/>
      <c r="M965" s="410"/>
      <c r="N965" s="142"/>
      <c r="O965" s="403"/>
      <c r="P965" s="198"/>
      <c r="Q965" s="411"/>
      <c r="R965" s="76"/>
      <c r="S965" s="197"/>
      <c r="T965" s="198"/>
      <c r="U965" s="197"/>
      <c r="V965" s="198"/>
      <c r="W965" s="198"/>
      <c r="X965" s="198"/>
      <c r="Y965" s="198"/>
      <c r="Z965" s="198"/>
    </row>
    <row r="966">
      <c r="A966" s="403"/>
      <c r="B966" s="198"/>
      <c r="C966" s="403"/>
      <c r="D966" s="142"/>
      <c r="E966" s="403"/>
      <c r="F966" s="198"/>
      <c r="G966" s="403"/>
      <c r="H966" s="198"/>
      <c r="I966" s="410"/>
      <c r="J966" s="142"/>
      <c r="K966" s="410"/>
      <c r="L966" s="142"/>
      <c r="M966" s="410"/>
      <c r="N966" s="142"/>
      <c r="O966" s="403"/>
      <c r="P966" s="198"/>
      <c r="Q966" s="411"/>
      <c r="R966" s="76"/>
      <c r="S966" s="197"/>
      <c r="T966" s="198"/>
      <c r="U966" s="197"/>
      <c r="V966" s="198"/>
      <c r="W966" s="198"/>
      <c r="X966" s="198"/>
      <c r="Y966" s="198"/>
      <c r="Z966" s="198"/>
    </row>
    <row r="967">
      <c r="A967" s="403"/>
      <c r="B967" s="198"/>
      <c r="C967" s="403"/>
      <c r="D967" s="142"/>
      <c r="E967" s="403"/>
      <c r="F967" s="198"/>
      <c r="G967" s="403"/>
      <c r="H967" s="198"/>
      <c r="I967" s="410"/>
      <c r="J967" s="142"/>
      <c r="K967" s="410"/>
      <c r="L967" s="142"/>
      <c r="M967" s="410"/>
      <c r="N967" s="142"/>
      <c r="O967" s="403"/>
      <c r="P967" s="198"/>
      <c r="Q967" s="411"/>
      <c r="R967" s="76"/>
      <c r="S967" s="197"/>
      <c r="T967" s="198"/>
      <c r="U967" s="197"/>
      <c r="V967" s="198"/>
      <c r="W967" s="198"/>
      <c r="X967" s="198"/>
      <c r="Y967" s="198"/>
      <c r="Z967" s="198"/>
    </row>
    <row r="968">
      <c r="A968" s="403"/>
      <c r="B968" s="198"/>
      <c r="C968" s="403"/>
      <c r="D968" s="142"/>
      <c r="E968" s="403"/>
      <c r="F968" s="198"/>
      <c r="G968" s="403"/>
      <c r="H968" s="198"/>
      <c r="I968" s="410"/>
      <c r="J968" s="142"/>
      <c r="K968" s="410"/>
      <c r="L968" s="142"/>
      <c r="M968" s="410"/>
      <c r="N968" s="142"/>
      <c r="O968" s="403"/>
      <c r="P968" s="198"/>
      <c r="Q968" s="411"/>
      <c r="R968" s="76"/>
      <c r="S968" s="197"/>
      <c r="T968" s="198"/>
      <c r="U968" s="197"/>
      <c r="V968" s="198"/>
      <c r="W968" s="198"/>
      <c r="X968" s="198"/>
      <c r="Y968" s="198"/>
      <c r="Z968" s="198"/>
    </row>
    <row r="969">
      <c r="A969" s="403"/>
      <c r="B969" s="198"/>
      <c r="C969" s="403"/>
      <c r="D969" s="142"/>
      <c r="E969" s="403"/>
      <c r="F969" s="198"/>
      <c r="G969" s="403"/>
      <c r="H969" s="198"/>
      <c r="I969" s="410"/>
      <c r="J969" s="142"/>
      <c r="K969" s="410"/>
      <c r="L969" s="142"/>
      <c r="M969" s="410"/>
      <c r="N969" s="142"/>
      <c r="O969" s="403"/>
      <c r="P969" s="198"/>
      <c r="Q969" s="411"/>
      <c r="R969" s="76"/>
      <c r="S969" s="197"/>
      <c r="T969" s="198"/>
      <c r="U969" s="197"/>
      <c r="V969" s="198"/>
      <c r="W969" s="198"/>
      <c r="X969" s="198"/>
      <c r="Y969" s="198"/>
      <c r="Z969" s="198"/>
    </row>
    <row r="970">
      <c r="A970" s="403"/>
      <c r="B970" s="198"/>
      <c r="C970" s="403"/>
      <c r="D970" s="142"/>
      <c r="E970" s="403"/>
      <c r="F970" s="198"/>
      <c r="G970" s="403"/>
      <c r="H970" s="198"/>
      <c r="I970" s="410"/>
      <c r="J970" s="142"/>
      <c r="K970" s="410"/>
      <c r="L970" s="142"/>
      <c r="M970" s="410"/>
      <c r="N970" s="142"/>
      <c r="O970" s="403"/>
      <c r="P970" s="198"/>
      <c r="Q970" s="411"/>
      <c r="R970" s="76"/>
      <c r="S970" s="197"/>
      <c r="T970" s="198"/>
      <c r="U970" s="197"/>
      <c r="V970" s="198"/>
      <c r="W970" s="198"/>
      <c r="X970" s="198"/>
      <c r="Y970" s="198"/>
      <c r="Z970" s="198"/>
    </row>
    <row r="971">
      <c r="A971" s="403"/>
      <c r="B971" s="198"/>
      <c r="C971" s="403"/>
      <c r="D971" s="142"/>
      <c r="E971" s="403"/>
      <c r="F971" s="198"/>
      <c r="G971" s="403"/>
      <c r="H971" s="198"/>
      <c r="I971" s="410"/>
      <c r="J971" s="142"/>
      <c r="K971" s="410"/>
      <c r="L971" s="142"/>
      <c r="M971" s="410"/>
      <c r="N971" s="142"/>
      <c r="O971" s="403"/>
      <c r="P971" s="198"/>
      <c r="Q971" s="411"/>
      <c r="R971" s="76"/>
      <c r="S971" s="197"/>
      <c r="T971" s="198"/>
      <c r="U971" s="197"/>
      <c r="V971" s="198"/>
      <c r="W971" s="198"/>
      <c r="X971" s="198"/>
      <c r="Y971" s="198"/>
      <c r="Z971" s="198"/>
    </row>
    <row r="972">
      <c r="A972" s="403"/>
      <c r="B972" s="198"/>
      <c r="C972" s="403"/>
      <c r="D972" s="142"/>
      <c r="E972" s="403"/>
      <c r="F972" s="198"/>
      <c r="G972" s="403"/>
      <c r="H972" s="198"/>
      <c r="I972" s="410"/>
      <c r="J972" s="142"/>
      <c r="K972" s="410"/>
      <c r="L972" s="142"/>
      <c r="M972" s="410"/>
      <c r="N972" s="142"/>
      <c r="O972" s="403"/>
      <c r="P972" s="198"/>
      <c r="Q972" s="411"/>
      <c r="R972" s="76"/>
      <c r="S972" s="197"/>
      <c r="T972" s="198"/>
      <c r="U972" s="197"/>
      <c r="V972" s="198"/>
      <c r="W972" s="198"/>
      <c r="X972" s="198"/>
      <c r="Y972" s="198"/>
      <c r="Z972" s="198"/>
    </row>
    <row r="973">
      <c r="A973" s="403"/>
      <c r="B973" s="198"/>
      <c r="C973" s="403"/>
      <c r="D973" s="142"/>
      <c r="E973" s="403"/>
      <c r="F973" s="198"/>
      <c r="G973" s="403"/>
      <c r="H973" s="198"/>
      <c r="I973" s="410"/>
      <c r="J973" s="142"/>
      <c r="K973" s="410"/>
      <c r="L973" s="142"/>
      <c r="M973" s="410"/>
      <c r="N973" s="142"/>
      <c r="O973" s="403"/>
      <c r="P973" s="198"/>
      <c r="Q973" s="411"/>
      <c r="R973" s="76"/>
      <c r="S973" s="197"/>
      <c r="T973" s="198"/>
      <c r="U973" s="197"/>
      <c r="V973" s="198"/>
      <c r="W973" s="198"/>
      <c r="X973" s="198"/>
      <c r="Y973" s="198"/>
      <c r="Z973" s="198"/>
    </row>
    <row r="974">
      <c r="A974" s="403"/>
      <c r="B974" s="198"/>
      <c r="C974" s="403"/>
      <c r="D974" s="142"/>
      <c r="E974" s="403"/>
      <c r="F974" s="198"/>
      <c r="G974" s="403"/>
      <c r="H974" s="198"/>
      <c r="I974" s="410"/>
      <c r="J974" s="142"/>
      <c r="K974" s="410"/>
      <c r="L974" s="142"/>
      <c r="M974" s="410"/>
      <c r="N974" s="142"/>
      <c r="O974" s="403"/>
      <c r="P974" s="198"/>
      <c r="Q974" s="411"/>
      <c r="R974" s="76"/>
      <c r="S974" s="197"/>
      <c r="T974" s="198"/>
      <c r="U974" s="197"/>
      <c r="V974" s="198"/>
      <c r="W974" s="198"/>
      <c r="X974" s="198"/>
      <c r="Y974" s="198"/>
      <c r="Z974" s="198"/>
    </row>
    <row r="975">
      <c r="A975" s="403"/>
      <c r="B975" s="198"/>
      <c r="C975" s="403"/>
      <c r="D975" s="142"/>
      <c r="E975" s="403"/>
      <c r="F975" s="198"/>
      <c r="G975" s="403"/>
      <c r="H975" s="198"/>
      <c r="I975" s="410"/>
      <c r="J975" s="142"/>
      <c r="K975" s="410"/>
      <c r="L975" s="142"/>
      <c r="M975" s="410"/>
      <c r="N975" s="142"/>
      <c r="O975" s="403"/>
      <c r="P975" s="198"/>
      <c r="Q975" s="411"/>
      <c r="R975" s="76"/>
      <c r="S975" s="197"/>
      <c r="T975" s="198"/>
      <c r="U975" s="197"/>
      <c r="V975" s="198"/>
      <c r="W975" s="198"/>
      <c r="X975" s="198"/>
      <c r="Y975" s="198"/>
      <c r="Z975" s="198"/>
    </row>
    <row r="976">
      <c r="A976" s="403"/>
      <c r="B976" s="198"/>
      <c r="C976" s="403"/>
      <c r="D976" s="142"/>
      <c r="E976" s="403"/>
      <c r="F976" s="198"/>
      <c r="G976" s="403"/>
      <c r="H976" s="198"/>
      <c r="I976" s="410"/>
      <c r="J976" s="142"/>
      <c r="K976" s="410"/>
      <c r="L976" s="142"/>
      <c r="M976" s="410"/>
      <c r="N976" s="142"/>
      <c r="O976" s="403"/>
      <c r="P976" s="198"/>
      <c r="Q976" s="411"/>
      <c r="R976" s="76"/>
      <c r="S976" s="197"/>
      <c r="T976" s="198"/>
      <c r="U976" s="197"/>
      <c r="V976" s="198"/>
      <c r="W976" s="198"/>
      <c r="X976" s="198"/>
      <c r="Y976" s="198"/>
      <c r="Z976" s="198"/>
    </row>
    <row r="977">
      <c r="A977" s="403"/>
      <c r="B977" s="198"/>
      <c r="C977" s="403"/>
      <c r="D977" s="142"/>
      <c r="E977" s="403"/>
      <c r="F977" s="198"/>
      <c r="G977" s="403"/>
      <c r="H977" s="198"/>
      <c r="I977" s="410"/>
      <c r="J977" s="142"/>
      <c r="K977" s="410"/>
      <c r="L977" s="142"/>
      <c r="M977" s="410"/>
      <c r="N977" s="142"/>
      <c r="O977" s="403"/>
      <c r="P977" s="198"/>
      <c r="Q977" s="411"/>
      <c r="R977" s="76"/>
      <c r="S977" s="197"/>
      <c r="T977" s="198"/>
      <c r="U977" s="197"/>
      <c r="V977" s="198"/>
      <c r="W977" s="198"/>
      <c r="X977" s="198"/>
      <c r="Y977" s="198"/>
      <c r="Z977" s="198"/>
    </row>
    <row r="978">
      <c r="A978" s="403"/>
      <c r="B978" s="198"/>
      <c r="C978" s="403"/>
      <c r="D978" s="142"/>
      <c r="E978" s="403"/>
      <c r="F978" s="198"/>
      <c r="G978" s="403"/>
      <c r="H978" s="198"/>
      <c r="I978" s="410"/>
      <c r="J978" s="142"/>
      <c r="K978" s="410"/>
      <c r="L978" s="142"/>
      <c r="M978" s="410"/>
      <c r="N978" s="142"/>
      <c r="O978" s="403"/>
      <c r="P978" s="198"/>
      <c r="Q978" s="411"/>
      <c r="R978" s="76"/>
      <c r="S978" s="197"/>
      <c r="T978" s="198"/>
      <c r="U978" s="197"/>
      <c r="V978" s="198"/>
      <c r="W978" s="198"/>
      <c r="X978" s="198"/>
      <c r="Y978" s="198"/>
      <c r="Z978" s="198"/>
    </row>
    <row r="979">
      <c r="A979" s="403"/>
      <c r="B979" s="198"/>
      <c r="C979" s="403"/>
      <c r="D979" s="142"/>
      <c r="E979" s="403"/>
      <c r="F979" s="198"/>
      <c r="G979" s="403"/>
      <c r="H979" s="198"/>
      <c r="I979" s="410"/>
      <c r="J979" s="142"/>
      <c r="K979" s="410"/>
      <c r="L979" s="142"/>
      <c r="M979" s="410"/>
      <c r="N979" s="142"/>
      <c r="O979" s="403"/>
      <c r="P979" s="198"/>
      <c r="Q979" s="411"/>
      <c r="R979" s="76"/>
      <c r="S979" s="197"/>
      <c r="T979" s="198"/>
      <c r="U979" s="197"/>
      <c r="V979" s="198"/>
      <c r="W979" s="198"/>
      <c r="X979" s="198"/>
      <c r="Y979" s="198"/>
      <c r="Z979" s="198"/>
    </row>
    <row r="980">
      <c r="A980" s="403"/>
      <c r="B980" s="198"/>
      <c r="C980" s="403"/>
      <c r="D980" s="142"/>
      <c r="E980" s="403"/>
      <c r="F980" s="198"/>
      <c r="G980" s="403"/>
      <c r="H980" s="198"/>
      <c r="I980" s="410"/>
      <c r="J980" s="142"/>
      <c r="K980" s="410"/>
      <c r="L980" s="142"/>
      <c r="M980" s="410"/>
      <c r="N980" s="142"/>
      <c r="O980" s="403"/>
      <c r="P980" s="198"/>
      <c r="Q980" s="411"/>
      <c r="R980" s="76"/>
      <c r="S980" s="197"/>
      <c r="T980" s="198"/>
      <c r="U980" s="197"/>
      <c r="V980" s="198"/>
      <c r="W980" s="198"/>
      <c r="X980" s="198"/>
      <c r="Y980" s="198"/>
      <c r="Z980" s="198"/>
    </row>
    <row r="981">
      <c r="A981" s="403"/>
      <c r="B981" s="198"/>
      <c r="C981" s="403"/>
      <c r="D981" s="142"/>
      <c r="E981" s="403"/>
      <c r="F981" s="198"/>
      <c r="G981" s="403"/>
      <c r="H981" s="198"/>
      <c r="I981" s="410"/>
      <c r="J981" s="142"/>
      <c r="K981" s="410"/>
      <c r="L981" s="142"/>
      <c r="M981" s="410"/>
      <c r="N981" s="142"/>
      <c r="O981" s="403"/>
      <c r="P981" s="198"/>
      <c r="Q981" s="411"/>
      <c r="R981" s="76"/>
      <c r="S981" s="197"/>
      <c r="T981" s="198"/>
      <c r="U981" s="197"/>
      <c r="V981" s="198"/>
      <c r="W981" s="198"/>
      <c r="X981" s="198"/>
      <c r="Y981" s="198"/>
      <c r="Z981" s="198"/>
    </row>
    <row r="982">
      <c r="A982" s="403"/>
      <c r="B982" s="198"/>
      <c r="C982" s="403"/>
      <c r="D982" s="142"/>
      <c r="E982" s="403"/>
      <c r="F982" s="198"/>
      <c r="G982" s="403"/>
      <c r="H982" s="198"/>
      <c r="I982" s="410"/>
      <c r="J982" s="142"/>
      <c r="K982" s="410"/>
      <c r="L982" s="142"/>
      <c r="M982" s="410"/>
      <c r="N982" s="142"/>
      <c r="O982" s="403"/>
      <c r="P982" s="198"/>
      <c r="Q982" s="411"/>
      <c r="R982" s="76"/>
      <c r="S982" s="197"/>
      <c r="T982" s="198"/>
      <c r="U982" s="197"/>
      <c r="V982" s="198"/>
      <c r="W982" s="198"/>
      <c r="X982" s="198"/>
      <c r="Y982" s="198"/>
      <c r="Z982" s="198"/>
    </row>
    <row r="983">
      <c r="A983" s="403"/>
      <c r="B983" s="198"/>
      <c r="C983" s="403"/>
      <c r="D983" s="142"/>
      <c r="E983" s="403"/>
      <c r="F983" s="198"/>
      <c r="G983" s="403"/>
      <c r="H983" s="198"/>
      <c r="I983" s="410"/>
      <c r="J983" s="142"/>
      <c r="K983" s="410"/>
      <c r="L983" s="142"/>
      <c r="M983" s="410"/>
      <c r="N983" s="142"/>
      <c r="O983" s="403"/>
      <c r="P983" s="198"/>
      <c r="Q983" s="411"/>
      <c r="R983" s="76"/>
      <c r="S983" s="197"/>
      <c r="T983" s="198"/>
      <c r="U983" s="197"/>
      <c r="V983" s="198"/>
      <c r="W983" s="198"/>
      <c r="X983" s="198"/>
      <c r="Y983" s="198"/>
      <c r="Z983" s="198"/>
    </row>
    <row r="984">
      <c r="A984" s="403"/>
      <c r="B984" s="198"/>
      <c r="C984" s="403"/>
      <c r="D984" s="142"/>
      <c r="E984" s="403"/>
      <c r="F984" s="198"/>
      <c r="G984" s="403"/>
      <c r="H984" s="198"/>
      <c r="I984" s="410"/>
      <c r="J984" s="142"/>
      <c r="K984" s="410"/>
      <c r="L984" s="142"/>
      <c r="M984" s="410"/>
      <c r="N984" s="142"/>
      <c r="O984" s="403"/>
      <c r="P984" s="198"/>
      <c r="Q984" s="411"/>
      <c r="R984" s="76"/>
      <c r="S984" s="197"/>
      <c r="T984" s="198"/>
      <c r="U984" s="197"/>
      <c r="V984" s="198"/>
      <c r="W984" s="198"/>
      <c r="X984" s="198"/>
      <c r="Y984" s="198"/>
      <c r="Z984" s="198"/>
    </row>
    <row r="985">
      <c r="A985" s="403"/>
      <c r="B985" s="198"/>
      <c r="C985" s="403"/>
      <c r="D985" s="142"/>
      <c r="E985" s="403"/>
      <c r="F985" s="198"/>
      <c r="G985" s="403"/>
      <c r="H985" s="198"/>
      <c r="I985" s="410"/>
      <c r="J985" s="142"/>
      <c r="K985" s="410"/>
      <c r="L985" s="142"/>
      <c r="M985" s="410"/>
      <c r="N985" s="142"/>
      <c r="O985" s="403"/>
      <c r="P985" s="198"/>
      <c r="Q985" s="411"/>
      <c r="R985" s="76"/>
      <c r="S985" s="197"/>
      <c r="T985" s="198"/>
      <c r="U985" s="197"/>
      <c r="V985" s="198"/>
      <c r="W985" s="198"/>
      <c r="X985" s="198"/>
      <c r="Y985" s="198"/>
      <c r="Z985" s="198"/>
    </row>
    <row r="986">
      <c r="A986" s="403"/>
      <c r="B986" s="198"/>
      <c r="C986" s="403"/>
      <c r="D986" s="142"/>
      <c r="E986" s="403"/>
      <c r="F986" s="198"/>
      <c r="G986" s="403"/>
      <c r="H986" s="198"/>
      <c r="I986" s="410"/>
      <c r="J986" s="142"/>
      <c r="K986" s="410"/>
      <c r="L986" s="142"/>
      <c r="M986" s="410"/>
      <c r="N986" s="142"/>
      <c r="O986" s="403"/>
      <c r="P986" s="198"/>
      <c r="Q986" s="411"/>
      <c r="R986" s="76"/>
      <c r="S986" s="197"/>
      <c r="T986" s="198"/>
      <c r="U986" s="197"/>
      <c r="V986" s="198"/>
      <c r="W986" s="198"/>
      <c r="X986" s="198"/>
      <c r="Y986" s="198"/>
      <c r="Z986" s="198"/>
    </row>
    <row r="987">
      <c r="A987" s="403"/>
      <c r="B987" s="198"/>
      <c r="C987" s="403"/>
      <c r="D987" s="142"/>
      <c r="E987" s="403"/>
      <c r="F987" s="198"/>
      <c r="G987" s="403"/>
      <c r="H987" s="198"/>
      <c r="I987" s="410"/>
      <c r="J987" s="142"/>
      <c r="K987" s="410"/>
      <c r="L987" s="142"/>
      <c r="M987" s="410"/>
      <c r="N987" s="142"/>
      <c r="O987" s="403"/>
      <c r="P987" s="198"/>
      <c r="Q987" s="411"/>
      <c r="R987" s="76"/>
      <c r="S987" s="197"/>
      <c r="T987" s="198"/>
      <c r="U987" s="197"/>
      <c r="V987" s="198"/>
      <c r="W987" s="198"/>
      <c r="X987" s="198"/>
      <c r="Y987" s="198"/>
      <c r="Z987" s="198"/>
    </row>
    <row r="988">
      <c r="A988" s="403"/>
      <c r="B988" s="198"/>
      <c r="C988" s="403"/>
      <c r="D988" s="142"/>
      <c r="E988" s="403"/>
      <c r="F988" s="198"/>
      <c r="G988" s="403"/>
      <c r="H988" s="198"/>
      <c r="I988" s="410"/>
      <c r="J988" s="142"/>
      <c r="K988" s="410"/>
      <c r="L988" s="142"/>
      <c r="M988" s="410"/>
      <c r="N988" s="142"/>
      <c r="O988" s="403"/>
      <c r="P988" s="198"/>
      <c r="Q988" s="411"/>
      <c r="R988" s="76"/>
      <c r="S988" s="197"/>
      <c r="T988" s="198"/>
      <c r="U988" s="197"/>
      <c r="V988" s="198"/>
      <c r="W988" s="198"/>
      <c r="X988" s="198"/>
      <c r="Y988" s="198"/>
      <c r="Z988" s="198"/>
    </row>
    <row r="989">
      <c r="A989" s="403"/>
      <c r="B989" s="198"/>
      <c r="C989" s="403"/>
      <c r="D989" s="142"/>
      <c r="E989" s="403"/>
      <c r="F989" s="198"/>
      <c r="G989" s="403"/>
      <c r="H989" s="198"/>
      <c r="I989" s="410"/>
      <c r="J989" s="142"/>
      <c r="K989" s="410"/>
      <c r="L989" s="142"/>
      <c r="M989" s="410"/>
      <c r="N989" s="142"/>
      <c r="O989" s="403"/>
      <c r="P989" s="198"/>
      <c r="Q989" s="411"/>
      <c r="R989" s="76"/>
      <c r="S989" s="197"/>
      <c r="T989" s="198"/>
      <c r="U989" s="197"/>
      <c r="V989" s="198"/>
      <c r="W989" s="198"/>
      <c r="X989" s="198"/>
      <c r="Y989" s="198"/>
      <c r="Z989" s="198"/>
    </row>
    <row r="990">
      <c r="A990" s="403"/>
      <c r="B990" s="198"/>
      <c r="C990" s="403"/>
      <c r="D990" s="142"/>
      <c r="E990" s="403"/>
      <c r="F990" s="198"/>
      <c r="G990" s="403"/>
      <c r="H990" s="198"/>
      <c r="I990" s="410"/>
      <c r="J990" s="142"/>
      <c r="K990" s="410"/>
      <c r="L990" s="142"/>
      <c r="M990" s="410"/>
      <c r="N990" s="142"/>
      <c r="O990" s="403"/>
      <c r="P990" s="198"/>
      <c r="Q990" s="411"/>
      <c r="R990" s="76"/>
      <c r="S990" s="197"/>
      <c r="T990" s="198"/>
      <c r="U990" s="197"/>
      <c r="V990" s="198"/>
      <c r="W990" s="198"/>
      <c r="X990" s="198"/>
      <c r="Y990" s="198"/>
      <c r="Z990" s="198"/>
    </row>
    <row r="991">
      <c r="A991" s="403"/>
      <c r="B991" s="198"/>
      <c r="C991" s="403"/>
      <c r="D991" s="142"/>
      <c r="E991" s="403"/>
      <c r="F991" s="198"/>
      <c r="G991" s="403"/>
      <c r="H991" s="198"/>
      <c r="I991" s="410"/>
      <c r="J991" s="142"/>
      <c r="K991" s="410"/>
      <c r="L991" s="142"/>
      <c r="M991" s="410"/>
      <c r="N991" s="142"/>
      <c r="O991" s="403"/>
      <c r="P991" s="198"/>
      <c r="Q991" s="411"/>
      <c r="R991" s="76"/>
      <c r="S991" s="197"/>
      <c r="T991" s="198"/>
      <c r="U991" s="197"/>
      <c r="V991" s="198"/>
      <c r="W991" s="198"/>
      <c r="X991" s="198"/>
      <c r="Y991" s="198"/>
      <c r="Z991" s="198"/>
    </row>
    <row r="992">
      <c r="A992" s="403"/>
      <c r="B992" s="198"/>
      <c r="C992" s="403"/>
      <c r="D992" s="142"/>
      <c r="E992" s="403"/>
      <c r="F992" s="198"/>
      <c r="G992" s="403"/>
      <c r="H992" s="198"/>
      <c r="I992" s="410"/>
      <c r="J992" s="142"/>
      <c r="K992" s="410"/>
      <c r="L992" s="142"/>
      <c r="M992" s="410"/>
      <c r="N992" s="142"/>
      <c r="O992" s="403"/>
      <c r="P992" s="198"/>
      <c r="Q992" s="411"/>
      <c r="R992" s="76"/>
      <c r="S992" s="197"/>
      <c r="T992" s="198"/>
      <c r="U992" s="197"/>
      <c r="V992" s="198"/>
      <c r="W992" s="198"/>
      <c r="X992" s="198"/>
      <c r="Y992" s="198"/>
      <c r="Z992" s="198"/>
    </row>
    <row r="993">
      <c r="A993" s="403"/>
      <c r="B993" s="198"/>
      <c r="C993" s="403"/>
      <c r="D993" s="142"/>
      <c r="E993" s="403"/>
      <c r="F993" s="198"/>
      <c r="G993" s="403"/>
      <c r="H993" s="198"/>
      <c r="I993" s="410"/>
      <c r="J993" s="142"/>
      <c r="K993" s="410"/>
      <c r="L993" s="142"/>
      <c r="M993" s="410"/>
      <c r="N993" s="142"/>
      <c r="O993" s="403"/>
      <c r="P993" s="198"/>
      <c r="Q993" s="411"/>
      <c r="R993" s="76"/>
      <c r="S993" s="197"/>
      <c r="T993" s="198"/>
      <c r="U993" s="197"/>
      <c r="V993" s="198"/>
      <c r="W993" s="198"/>
      <c r="X993" s="198"/>
      <c r="Y993" s="198"/>
      <c r="Z993" s="198"/>
    </row>
    <row r="994">
      <c r="A994" s="403"/>
      <c r="B994" s="198"/>
      <c r="C994" s="403"/>
      <c r="D994" s="142"/>
      <c r="E994" s="403"/>
      <c r="F994" s="198"/>
      <c r="G994" s="403"/>
      <c r="H994" s="198"/>
      <c r="I994" s="410"/>
      <c r="J994" s="142"/>
      <c r="K994" s="410"/>
      <c r="L994" s="142"/>
      <c r="M994" s="410"/>
      <c r="N994" s="142"/>
      <c r="O994" s="403"/>
      <c r="P994" s="198"/>
      <c r="Q994" s="411"/>
      <c r="R994" s="76"/>
      <c r="S994" s="197"/>
      <c r="T994" s="198"/>
      <c r="U994" s="197"/>
      <c r="V994" s="198"/>
      <c r="W994" s="198"/>
      <c r="X994" s="198"/>
      <c r="Y994" s="198"/>
      <c r="Z994" s="198"/>
    </row>
    <row r="995">
      <c r="A995" s="403"/>
      <c r="B995" s="198"/>
      <c r="C995" s="403"/>
      <c r="D995" s="142"/>
      <c r="E995" s="403"/>
      <c r="F995" s="198"/>
      <c r="G995" s="403"/>
      <c r="H995" s="198"/>
      <c r="I995" s="410"/>
      <c r="J995" s="142"/>
      <c r="K995" s="410"/>
      <c r="L995" s="142"/>
      <c r="M995" s="410"/>
      <c r="N995" s="142"/>
      <c r="O995" s="403"/>
      <c r="P995" s="198"/>
      <c r="Q995" s="411"/>
      <c r="R995" s="76"/>
      <c r="S995" s="197"/>
      <c r="T995" s="198"/>
      <c r="U995" s="197"/>
      <c r="V995" s="198"/>
      <c r="W995" s="198"/>
      <c r="X995" s="198"/>
      <c r="Y995" s="198"/>
      <c r="Z995" s="198"/>
    </row>
    <row r="996">
      <c r="A996" s="403"/>
      <c r="B996" s="198"/>
      <c r="C996" s="403"/>
      <c r="D996" s="142"/>
      <c r="E996" s="403"/>
      <c r="F996" s="198"/>
      <c r="G996" s="403"/>
      <c r="H996" s="198"/>
      <c r="I996" s="410"/>
      <c r="J996" s="142"/>
      <c r="K996" s="410"/>
      <c r="L996" s="142"/>
      <c r="M996" s="410"/>
      <c r="N996" s="142"/>
      <c r="O996" s="403"/>
      <c r="P996" s="198"/>
      <c r="Q996" s="411"/>
      <c r="R996" s="76"/>
      <c r="S996" s="197"/>
      <c r="T996" s="198"/>
      <c r="U996" s="197"/>
      <c r="V996" s="198"/>
      <c r="W996" s="198"/>
      <c r="X996" s="198"/>
      <c r="Y996" s="198"/>
      <c r="Z996" s="198"/>
    </row>
    <row r="997">
      <c r="A997" s="403"/>
      <c r="B997" s="198"/>
      <c r="C997" s="403"/>
      <c r="D997" s="142"/>
      <c r="E997" s="403"/>
      <c r="F997" s="198"/>
      <c r="G997" s="403"/>
      <c r="H997" s="198"/>
      <c r="I997" s="410"/>
      <c r="J997" s="142"/>
      <c r="K997" s="410"/>
      <c r="L997" s="142"/>
      <c r="M997" s="410"/>
      <c r="N997" s="142"/>
      <c r="O997" s="403"/>
      <c r="P997" s="198"/>
      <c r="Q997" s="411"/>
      <c r="R997" s="76"/>
      <c r="S997" s="197"/>
      <c r="T997" s="198"/>
      <c r="U997" s="197"/>
      <c r="V997" s="198"/>
      <c r="W997" s="198"/>
      <c r="X997" s="198"/>
      <c r="Y997" s="198"/>
      <c r="Z997" s="198"/>
    </row>
    <row r="998">
      <c r="A998" s="403"/>
      <c r="B998" s="198"/>
      <c r="C998" s="403"/>
      <c r="D998" s="142"/>
      <c r="E998" s="403"/>
      <c r="F998" s="198"/>
      <c r="G998" s="403"/>
      <c r="H998" s="198"/>
      <c r="I998" s="410"/>
      <c r="J998" s="142"/>
      <c r="K998" s="410"/>
      <c r="L998" s="142"/>
      <c r="M998" s="410"/>
      <c r="N998" s="142"/>
      <c r="O998" s="403"/>
      <c r="P998" s="198"/>
      <c r="Q998" s="411"/>
      <c r="R998" s="76"/>
      <c r="S998" s="197"/>
      <c r="T998" s="198"/>
      <c r="U998" s="197"/>
      <c r="V998" s="198"/>
      <c r="W998" s="198"/>
      <c r="X998" s="198"/>
      <c r="Y998" s="198"/>
      <c r="Z998" s="198"/>
    </row>
    <row r="999">
      <c r="A999" s="403"/>
      <c r="B999" s="198"/>
      <c r="C999" s="403"/>
      <c r="D999" s="142"/>
      <c r="E999" s="403"/>
      <c r="F999" s="198"/>
      <c r="G999" s="403"/>
      <c r="H999" s="198"/>
      <c r="I999" s="410"/>
      <c r="J999" s="142"/>
      <c r="K999" s="410"/>
      <c r="L999" s="142"/>
      <c r="M999" s="410"/>
      <c r="N999" s="142"/>
      <c r="O999" s="403"/>
      <c r="P999" s="198"/>
      <c r="Q999" s="411"/>
      <c r="R999" s="76"/>
      <c r="S999" s="197"/>
      <c r="T999" s="198"/>
      <c r="U999" s="197"/>
      <c r="V999" s="198"/>
      <c r="W999" s="198"/>
      <c r="X999" s="198"/>
      <c r="Y999" s="198"/>
      <c r="Z999" s="198"/>
    </row>
    <row r="1000">
      <c r="A1000" s="403"/>
      <c r="B1000" s="198"/>
      <c r="C1000" s="403"/>
      <c r="D1000" s="142"/>
      <c r="E1000" s="403"/>
      <c r="F1000" s="198"/>
      <c r="G1000" s="403"/>
      <c r="H1000" s="198"/>
      <c r="I1000" s="410"/>
      <c r="J1000" s="142"/>
      <c r="K1000" s="410"/>
      <c r="L1000" s="142"/>
      <c r="M1000" s="410"/>
      <c r="N1000" s="142"/>
      <c r="O1000" s="403"/>
      <c r="P1000" s="198"/>
      <c r="Q1000" s="411"/>
      <c r="R1000" s="76"/>
      <c r="S1000" s="197"/>
      <c r="T1000" s="198"/>
      <c r="U1000" s="197"/>
      <c r="V1000" s="198"/>
      <c r="W1000" s="198"/>
      <c r="X1000" s="198"/>
      <c r="Y1000" s="198"/>
      <c r="Z1000" s="198"/>
    </row>
    <row r="1001">
      <c r="A1001" s="403"/>
      <c r="B1001" s="198"/>
      <c r="C1001" s="403"/>
      <c r="D1001" s="142"/>
      <c r="E1001" s="403"/>
      <c r="F1001" s="198"/>
      <c r="G1001" s="403"/>
      <c r="H1001" s="198"/>
      <c r="I1001" s="410"/>
      <c r="J1001" s="142"/>
      <c r="K1001" s="410"/>
      <c r="L1001" s="142"/>
      <c r="M1001" s="410"/>
      <c r="N1001" s="142"/>
      <c r="O1001" s="403"/>
      <c r="P1001" s="198"/>
      <c r="Q1001" s="411"/>
      <c r="R1001" s="76"/>
      <c r="S1001" s="197"/>
      <c r="T1001" s="198"/>
      <c r="U1001" s="197"/>
      <c r="V1001" s="198"/>
      <c r="W1001" s="198"/>
      <c r="X1001" s="198"/>
      <c r="Y1001" s="198"/>
      <c r="Z1001" s="198"/>
    </row>
    <row r="1002">
      <c r="A1002" s="403"/>
      <c r="B1002" s="198"/>
      <c r="C1002" s="403"/>
      <c r="D1002" s="142"/>
      <c r="E1002" s="403"/>
      <c r="F1002" s="198"/>
      <c r="G1002" s="403"/>
      <c r="H1002" s="198"/>
      <c r="I1002" s="410"/>
      <c r="J1002" s="142"/>
      <c r="K1002" s="410"/>
      <c r="L1002" s="142"/>
      <c r="M1002" s="410"/>
      <c r="N1002" s="142"/>
      <c r="O1002" s="403"/>
      <c r="P1002" s="198"/>
      <c r="Q1002" s="197"/>
      <c r="R1002" s="198"/>
      <c r="S1002" s="197"/>
      <c r="T1002" s="198"/>
      <c r="U1002" s="197"/>
      <c r="V1002" s="198"/>
      <c r="W1002" s="198"/>
      <c r="X1002" s="198"/>
      <c r="Y1002" s="198"/>
      <c r="Z1002" s="198"/>
    </row>
    <row r="1003">
      <c r="A1003" s="403"/>
      <c r="B1003" s="198"/>
      <c r="C1003" s="403"/>
      <c r="D1003" s="142"/>
      <c r="E1003" s="403"/>
      <c r="F1003" s="198"/>
      <c r="G1003" s="403"/>
      <c r="H1003" s="198"/>
      <c r="I1003" s="410"/>
      <c r="J1003" s="142"/>
      <c r="K1003" s="410"/>
      <c r="L1003" s="142"/>
      <c r="M1003" s="410"/>
      <c r="N1003" s="142"/>
      <c r="O1003" s="403"/>
      <c r="P1003" s="198"/>
      <c r="Q1003" s="197"/>
      <c r="R1003" s="198"/>
      <c r="S1003" s="197"/>
      <c r="T1003" s="198"/>
      <c r="U1003" s="197"/>
      <c r="V1003" s="198"/>
      <c r="W1003" s="198"/>
      <c r="X1003" s="198"/>
      <c r="Y1003" s="198"/>
      <c r="Z1003" s="198"/>
    </row>
    <row r="1004">
      <c r="A1004" s="403"/>
      <c r="B1004" s="198"/>
      <c r="C1004" s="403"/>
      <c r="D1004" s="142"/>
      <c r="E1004" s="403"/>
      <c r="F1004" s="198"/>
      <c r="G1004" s="403"/>
      <c r="H1004" s="198"/>
      <c r="I1004" s="410"/>
      <c r="J1004" s="142"/>
      <c r="K1004" s="410"/>
      <c r="L1004" s="142"/>
      <c r="M1004" s="410"/>
      <c r="N1004" s="142"/>
      <c r="O1004" s="403"/>
      <c r="P1004" s="198"/>
      <c r="Q1004" s="197"/>
      <c r="R1004" s="198"/>
      <c r="S1004" s="197"/>
      <c r="T1004" s="198"/>
      <c r="U1004" s="197"/>
      <c r="V1004" s="198"/>
      <c r="W1004" s="198"/>
      <c r="X1004" s="198"/>
      <c r="Y1004" s="198"/>
      <c r="Z1004" s="198"/>
    </row>
    <row r="1005">
      <c r="A1005" s="403"/>
      <c r="B1005" s="198"/>
      <c r="C1005" s="403"/>
      <c r="D1005" s="142"/>
      <c r="E1005" s="403"/>
      <c r="F1005" s="198"/>
      <c r="G1005" s="403"/>
      <c r="H1005" s="198"/>
      <c r="I1005" s="410"/>
      <c r="J1005" s="142"/>
      <c r="K1005" s="410"/>
      <c r="L1005" s="142"/>
      <c r="M1005" s="410"/>
      <c r="N1005" s="142"/>
      <c r="O1005" s="403"/>
      <c r="P1005" s="198"/>
      <c r="Q1005" s="197"/>
      <c r="R1005" s="198"/>
      <c r="S1005" s="197"/>
      <c r="T1005" s="198"/>
      <c r="U1005" s="197"/>
      <c r="V1005" s="198"/>
      <c r="W1005" s="198"/>
      <c r="X1005" s="198"/>
      <c r="Y1005" s="198"/>
      <c r="Z1005" s="198"/>
    </row>
    <row r="1006">
      <c r="A1006" s="403"/>
      <c r="B1006" s="198"/>
      <c r="C1006" s="403"/>
      <c r="D1006" s="142"/>
      <c r="E1006" s="403"/>
      <c r="F1006" s="198"/>
      <c r="G1006" s="403"/>
      <c r="H1006" s="198"/>
      <c r="I1006" s="410"/>
      <c r="J1006" s="142"/>
      <c r="K1006" s="410"/>
      <c r="L1006" s="142"/>
      <c r="M1006" s="410"/>
      <c r="N1006" s="142"/>
      <c r="O1006" s="403"/>
      <c r="P1006" s="198"/>
      <c r="Q1006" s="197"/>
      <c r="R1006" s="198"/>
      <c r="S1006" s="197"/>
      <c r="T1006" s="198"/>
      <c r="U1006" s="197"/>
      <c r="V1006" s="198"/>
      <c r="W1006" s="198"/>
      <c r="X1006" s="198"/>
      <c r="Y1006" s="198"/>
      <c r="Z1006" s="198"/>
    </row>
    <row r="1007">
      <c r="A1007" s="403"/>
      <c r="B1007" s="198"/>
      <c r="C1007" s="403"/>
      <c r="D1007" s="142"/>
      <c r="E1007" s="403"/>
      <c r="F1007" s="198"/>
      <c r="G1007" s="403"/>
      <c r="H1007" s="198"/>
      <c r="I1007" s="410"/>
      <c r="J1007" s="142"/>
      <c r="K1007" s="410"/>
      <c r="L1007" s="142"/>
      <c r="M1007" s="410"/>
      <c r="N1007" s="142"/>
      <c r="O1007" s="403"/>
      <c r="P1007" s="198"/>
      <c r="Q1007" s="197"/>
      <c r="R1007" s="198"/>
      <c r="S1007" s="197"/>
      <c r="T1007" s="198"/>
      <c r="U1007" s="197"/>
      <c r="V1007" s="198"/>
      <c r="W1007" s="198"/>
      <c r="X1007" s="198"/>
      <c r="Y1007" s="198"/>
      <c r="Z1007" s="198"/>
    </row>
    <row r="1008">
      <c r="A1008" s="403"/>
      <c r="B1008" s="198"/>
      <c r="C1008" s="403"/>
      <c r="D1008" s="142"/>
      <c r="E1008" s="403"/>
      <c r="F1008" s="198"/>
      <c r="G1008" s="403"/>
      <c r="H1008" s="198"/>
      <c r="I1008" s="410"/>
      <c r="J1008" s="142"/>
      <c r="K1008" s="410"/>
      <c r="L1008" s="142"/>
      <c r="M1008" s="410"/>
      <c r="N1008" s="142"/>
      <c r="O1008" s="403"/>
      <c r="P1008" s="198"/>
      <c r="Q1008" s="197"/>
      <c r="R1008" s="198"/>
      <c r="S1008" s="197"/>
      <c r="T1008" s="198"/>
      <c r="U1008" s="197"/>
      <c r="V1008" s="198"/>
      <c r="W1008" s="198"/>
      <c r="X1008" s="198"/>
      <c r="Y1008" s="198"/>
      <c r="Z1008" s="198"/>
    </row>
    <row r="1009">
      <c r="A1009" s="403"/>
      <c r="B1009" s="198"/>
      <c r="C1009" s="403"/>
      <c r="D1009" s="142"/>
      <c r="E1009" s="403"/>
      <c r="F1009" s="198"/>
      <c r="G1009" s="403"/>
      <c r="H1009" s="198"/>
      <c r="I1009" s="410"/>
      <c r="J1009" s="142"/>
      <c r="K1009" s="410"/>
      <c r="L1009" s="142"/>
      <c r="M1009" s="410"/>
      <c r="N1009" s="142"/>
      <c r="O1009" s="403"/>
      <c r="P1009" s="198"/>
      <c r="Q1009" s="197"/>
      <c r="R1009" s="198"/>
      <c r="S1009" s="197"/>
      <c r="T1009" s="198"/>
      <c r="U1009" s="197"/>
      <c r="V1009" s="198"/>
      <c r="W1009" s="198"/>
      <c r="X1009" s="198"/>
      <c r="Y1009" s="198"/>
      <c r="Z1009" s="198"/>
    </row>
    <row r="1010">
      <c r="A1010" s="403"/>
      <c r="B1010" s="198"/>
      <c r="C1010" s="403"/>
      <c r="D1010" s="142"/>
      <c r="E1010" s="403"/>
      <c r="F1010" s="198"/>
      <c r="G1010" s="403"/>
      <c r="H1010" s="198"/>
      <c r="I1010" s="410"/>
      <c r="J1010" s="142"/>
      <c r="K1010" s="410"/>
      <c r="L1010" s="142"/>
      <c r="M1010" s="410"/>
      <c r="N1010" s="142"/>
      <c r="O1010" s="403"/>
      <c r="P1010" s="198"/>
      <c r="Q1010" s="197"/>
      <c r="R1010" s="198"/>
      <c r="S1010" s="197"/>
      <c r="T1010" s="198"/>
      <c r="U1010" s="197"/>
      <c r="V1010" s="198"/>
      <c r="W1010" s="198"/>
      <c r="X1010" s="198"/>
      <c r="Y1010" s="198"/>
      <c r="Z1010" s="198"/>
    </row>
    <row r="1011">
      <c r="A1011" s="403"/>
      <c r="B1011" s="198"/>
      <c r="C1011" s="403"/>
      <c r="D1011" s="142"/>
      <c r="E1011" s="403"/>
      <c r="F1011" s="198"/>
      <c r="G1011" s="403"/>
      <c r="H1011" s="198"/>
      <c r="I1011" s="410"/>
      <c r="J1011" s="142"/>
      <c r="K1011" s="410"/>
      <c r="L1011" s="142"/>
      <c r="M1011" s="410"/>
      <c r="N1011" s="142"/>
      <c r="O1011" s="403"/>
      <c r="P1011" s="198"/>
      <c r="Q1011" s="197"/>
      <c r="R1011" s="198"/>
      <c r="S1011" s="197"/>
      <c r="T1011" s="198"/>
      <c r="U1011" s="197"/>
      <c r="V1011" s="198"/>
      <c r="W1011" s="198"/>
      <c r="X1011" s="198"/>
      <c r="Y1011" s="198"/>
      <c r="Z1011" s="198"/>
    </row>
    <row r="1012">
      <c r="A1012" s="403"/>
      <c r="B1012" s="198"/>
      <c r="C1012" s="403"/>
      <c r="D1012" s="142"/>
      <c r="E1012" s="403"/>
      <c r="F1012" s="198"/>
      <c r="G1012" s="403"/>
      <c r="H1012" s="198"/>
      <c r="I1012" s="410"/>
      <c r="J1012" s="142"/>
      <c r="K1012" s="410"/>
      <c r="L1012" s="142"/>
      <c r="M1012" s="410"/>
      <c r="N1012" s="142"/>
      <c r="O1012" s="403"/>
      <c r="P1012" s="198"/>
      <c r="Q1012" s="197"/>
      <c r="R1012" s="198"/>
      <c r="S1012" s="197"/>
      <c r="T1012" s="198"/>
      <c r="U1012" s="197"/>
      <c r="V1012" s="198"/>
      <c r="W1012" s="198"/>
      <c r="X1012" s="198"/>
      <c r="Y1012" s="198"/>
      <c r="Z1012" s="198"/>
    </row>
    <row r="1013">
      <c r="A1013" s="403"/>
      <c r="B1013" s="198"/>
      <c r="C1013" s="403"/>
      <c r="D1013" s="142"/>
      <c r="E1013" s="403"/>
      <c r="F1013" s="198"/>
      <c r="G1013" s="403"/>
      <c r="H1013" s="198"/>
      <c r="I1013" s="410"/>
      <c r="J1013" s="142"/>
      <c r="K1013" s="410"/>
      <c r="L1013" s="142"/>
      <c r="M1013" s="410"/>
      <c r="N1013" s="142"/>
      <c r="O1013" s="403"/>
      <c r="P1013" s="198"/>
      <c r="Q1013" s="197"/>
      <c r="R1013" s="198"/>
      <c r="S1013" s="197"/>
      <c r="T1013" s="198"/>
      <c r="U1013" s="197"/>
      <c r="V1013" s="198"/>
      <c r="W1013" s="198"/>
      <c r="X1013" s="198"/>
      <c r="Y1013" s="198"/>
      <c r="Z1013" s="198"/>
    </row>
  </sheetData>
  <mergeCells count="55">
    <mergeCell ref="O46:P46"/>
    <mergeCell ref="Q46:R46"/>
    <mergeCell ref="S46:T46"/>
    <mergeCell ref="U46:V46"/>
    <mergeCell ref="A46:B46"/>
    <mergeCell ref="C46:D46"/>
    <mergeCell ref="E46:F46"/>
    <mergeCell ref="G46:H46"/>
    <mergeCell ref="I46:J46"/>
    <mergeCell ref="K46:L46"/>
    <mergeCell ref="M46:N46"/>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4:P34"/>
    <mergeCell ref="Q34:R34"/>
    <mergeCell ref="S34:T34"/>
    <mergeCell ref="U34:V34"/>
    <mergeCell ref="A34:B34"/>
    <mergeCell ref="C34:D34"/>
    <mergeCell ref="E34:F34"/>
    <mergeCell ref="G34:H34"/>
    <mergeCell ref="I34:J34"/>
    <mergeCell ref="K34:L34"/>
    <mergeCell ref="M34:N34"/>
    <mergeCell ref="O52:P52"/>
    <mergeCell ref="Q52:R52"/>
    <mergeCell ref="S52:T52"/>
    <mergeCell ref="U52:V52"/>
    <mergeCell ref="A52:B52"/>
    <mergeCell ref="C52:D52"/>
    <mergeCell ref="E52:F52"/>
    <mergeCell ref="G52:H52"/>
    <mergeCell ref="I52:J52"/>
    <mergeCell ref="K52:L52"/>
    <mergeCell ref="M52:N5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46" width="23.13"/>
  </cols>
  <sheetData>
    <row r="1">
      <c r="A1" s="393" t="s">
        <v>7802</v>
      </c>
      <c r="B1" s="84" t="s">
        <v>7803</v>
      </c>
      <c r="C1" s="395" t="str">
        <f>IFERROR(__xludf.DUMMYFUNCTION("GOOGLETRANSLATE(A1,""zh-tw"",""ja"")"),"設備プロジェクト")</f>
        <v>設備プロジェクト</v>
      </c>
      <c r="D1" s="88" t="str">
        <f>IFERROR(__xludf.DUMMYFUNCTION("GOOGLETRANSLATE(B1,""zh-tw"",""ja"")"),"装備属性")</f>
        <v>装備属性</v>
      </c>
      <c r="E1" s="396" t="s">
        <v>7804</v>
      </c>
      <c r="F1" s="27" t="s">
        <v>7037</v>
      </c>
      <c r="G1" s="395" t="str">
        <f>IFERROR(__xludf.DUMMYFUNCTION("GOOGLETRANSLATE(A1,""zh-tw"",""zh"")"),"装备项目")</f>
        <v>装备项目</v>
      </c>
      <c r="H1" s="88" t="str">
        <f>IFERROR(__xludf.DUMMYFUNCTION("GOOGLETRANSLATE(B1,""zh-tw"",""zh"")"),"装备属性")</f>
        <v>装备属性</v>
      </c>
      <c r="I1" s="394" t="str">
        <f>IFERROR(__xludf.DUMMYFUNCTION("GOOGLETRANSLATE(A1,""zh-tw"",""es-MX"")"),"Proyecto de equipamiento")</f>
        <v>Proyecto de equipamiento</v>
      </c>
      <c r="J1" s="53" t="str">
        <f>IFERROR(__xludf.DUMMYFUNCTION("GOOGLETRANSLATE(B1,""zh-tw"",""es-MX"")"),"Atributos del equipo")</f>
        <v>Atributos del equipo</v>
      </c>
      <c r="K1" s="395" t="str">
        <f>IFERROR(__xludf.DUMMYFUNCTION("GOOGLETRANSLATE(A1,""zh-tw"",""KO"")"),"장비 프로젝트")</f>
        <v>장비 프로젝트</v>
      </c>
      <c r="L1" s="88" t="str">
        <f>IFERROR(__xludf.DUMMYFUNCTION("GOOGLETRANSLATE(B1,""zh-tw"",""KO"")"),"장비 속성")</f>
        <v>장비 속성</v>
      </c>
      <c r="M1" s="395" t="s">
        <v>7805</v>
      </c>
      <c r="N1" s="88" t="s">
        <v>7039</v>
      </c>
      <c r="O1" s="393" t="s">
        <v>7806</v>
      </c>
      <c r="P1" s="84" t="s">
        <v>7807</v>
      </c>
      <c r="Q1" s="412" t="s">
        <v>7808</v>
      </c>
      <c r="R1" s="398" t="s">
        <v>7043</v>
      </c>
      <c r="S1" s="394" t="s">
        <v>7809</v>
      </c>
      <c r="T1" s="53" t="s">
        <v>7045</v>
      </c>
      <c r="U1" s="394"/>
      <c r="V1" s="53"/>
      <c r="W1" s="8"/>
      <c r="X1" s="8"/>
      <c r="Y1" s="8"/>
      <c r="Z1" s="8"/>
      <c r="AA1" s="8"/>
      <c r="AB1" s="8"/>
      <c r="AC1" s="8"/>
      <c r="AD1" s="8"/>
      <c r="AE1" s="8"/>
      <c r="AF1" s="8"/>
      <c r="AG1" s="8"/>
      <c r="AH1" s="8"/>
      <c r="AI1" s="8"/>
      <c r="AJ1" s="8"/>
      <c r="AK1" s="8"/>
      <c r="AL1" s="8"/>
      <c r="AM1" s="8"/>
      <c r="AN1" s="8"/>
      <c r="AO1" s="8"/>
      <c r="AP1" s="8"/>
      <c r="AQ1" s="8"/>
      <c r="AR1" s="8"/>
      <c r="AS1" s="8"/>
      <c r="AT1" s="8"/>
    </row>
    <row r="2">
      <c r="A2" s="166" t="s">
        <v>7046</v>
      </c>
      <c r="C2" s="166" t="s">
        <v>7047</v>
      </c>
      <c r="E2" s="166" t="s">
        <v>7048</v>
      </c>
      <c r="G2" s="166" t="s">
        <v>7049</v>
      </c>
      <c r="I2" s="166"/>
      <c r="K2" s="166"/>
      <c r="M2" s="166" t="s">
        <v>7050</v>
      </c>
      <c r="O2" s="166"/>
      <c r="Q2" s="166"/>
      <c r="S2" s="166" t="s">
        <v>7051</v>
      </c>
      <c r="U2" s="166"/>
      <c r="W2" s="198"/>
      <c r="X2" s="198"/>
      <c r="Y2" s="198"/>
      <c r="Z2" s="198"/>
      <c r="AA2" s="8"/>
      <c r="AB2" s="8"/>
      <c r="AC2" s="8"/>
      <c r="AD2" s="8"/>
      <c r="AE2" s="8"/>
      <c r="AF2" s="8"/>
      <c r="AG2" s="8"/>
      <c r="AH2" s="8"/>
      <c r="AI2" s="8"/>
      <c r="AJ2" s="8"/>
      <c r="AK2" s="8"/>
      <c r="AL2" s="8"/>
      <c r="AM2" s="8"/>
      <c r="AN2" s="8"/>
      <c r="AO2" s="8"/>
      <c r="AP2" s="8"/>
      <c r="AQ2" s="8"/>
      <c r="AR2" s="8"/>
      <c r="AS2" s="8"/>
      <c r="AT2" s="8"/>
    </row>
    <row r="3">
      <c r="A3" s="400" t="s">
        <v>7810</v>
      </c>
      <c r="B3" s="413" t="s">
        <v>7811</v>
      </c>
      <c r="C3" s="399" t="s">
        <v>7812</v>
      </c>
      <c r="D3" s="167" t="s">
        <v>7813</v>
      </c>
      <c r="E3" s="399" t="s">
        <v>7814</v>
      </c>
      <c r="F3" s="167" t="s">
        <v>7815</v>
      </c>
      <c r="G3" s="403" t="str">
        <f>IFERROR(__xludf.DUMMYFUNCTION("GOOGLETRANSLATE(A3,""zh-tw"",""zh"")"),"雨天娃娃")</f>
        <v>雨天娃娃</v>
      </c>
      <c r="H3" s="198" t="str">
        <f>IFERROR(__xludf.DUMMYFUNCTION("GOOGLETRANSLATE(B3,""zh-tw"",""zh"")"),"魔抗：10
幸运：10
第二天雨天(消耗品)")</f>
        <v>魔抗：10
幸运：10
第二天雨天(消耗品)</v>
      </c>
      <c r="I3" s="399" t="s">
        <v>7814</v>
      </c>
      <c r="J3" s="198" t="str">
        <f>IFERROR(__xludf.DUMMYFUNCTION("GOOGLETRANSLATE(B3,""zh-tw"",""es-MX"")"),"Resistencia mágica: 10
Suerte: 10
Día 2: Lluvioso (Consumible)")</f>
        <v>Resistencia mágica: 10
Suerte: 10
Día 2: Lluvioso (Consumible)</v>
      </c>
      <c r="K3" s="399" t="s">
        <v>7816</v>
      </c>
      <c r="L3" s="167" t="s">
        <v>7817</v>
      </c>
      <c r="M3" s="403" t="s">
        <v>7818</v>
      </c>
      <c r="N3" s="167" t="s">
        <v>7819</v>
      </c>
      <c r="O3" s="400" t="s">
        <v>7820</v>
      </c>
      <c r="P3" s="202" t="s">
        <v>7821</v>
      </c>
      <c r="Q3" s="414" t="s">
        <v>7822</v>
      </c>
      <c r="R3" s="406" t="s">
        <v>7823</v>
      </c>
      <c r="S3" s="403" t="s">
        <v>7824</v>
      </c>
      <c r="T3" s="198" t="s">
        <v>7825</v>
      </c>
      <c r="U3" s="403"/>
      <c r="V3" s="198"/>
      <c r="W3" s="8"/>
      <c r="X3" s="8"/>
      <c r="Y3" s="8"/>
      <c r="Z3" s="8"/>
      <c r="AA3" s="8"/>
      <c r="AB3" s="8"/>
      <c r="AC3" s="8"/>
      <c r="AD3" s="8"/>
      <c r="AE3" s="8"/>
      <c r="AF3" s="8"/>
      <c r="AG3" s="8"/>
      <c r="AH3" s="8"/>
      <c r="AI3" s="8"/>
      <c r="AJ3" s="8"/>
      <c r="AK3" s="8"/>
      <c r="AL3" s="8"/>
      <c r="AM3" s="8"/>
      <c r="AN3" s="8"/>
      <c r="AO3" s="8"/>
      <c r="AP3" s="8"/>
      <c r="AQ3" s="8"/>
      <c r="AR3" s="8"/>
      <c r="AS3" s="8"/>
      <c r="AT3" s="8"/>
    </row>
    <row r="4">
      <c r="A4" s="399" t="s">
        <v>7826</v>
      </c>
      <c r="B4" s="413" t="s">
        <v>7827</v>
      </c>
      <c r="C4" s="399" t="s">
        <v>7828</v>
      </c>
      <c r="D4" s="167" t="s">
        <v>7829</v>
      </c>
      <c r="E4" s="399" t="s">
        <v>7830</v>
      </c>
      <c r="F4" s="167" t="s">
        <v>7831</v>
      </c>
      <c r="G4" s="403" t="str">
        <f>IFERROR(__xludf.DUMMYFUNCTION("GOOGLETRANSLATE(A4,""zh-tw"",""zh"")"),"炎天娃娃")</f>
        <v>炎天娃娃</v>
      </c>
      <c r="H4" s="198" t="str">
        <f>IFERROR(__xludf.DUMMYFUNCTION("GOOGLETRANSLATE(B4,""zh-tw"",""zh"")"),"魔抗：10
幸运：10
第二天炎热(消耗品)")</f>
        <v>魔抗：10
幸运：10
第二天炎热(消耗品)</v>
      </c>
      <c r="I4" s="399" t="s">
        <v>7830</v>
      </c>
      <c r="J4" s="198" t="str">
        <f>IFERROR(__xludf.DUMMYFUNCTION("GOOGLETRANSLATE(B4,""zh-tw"",""es-MX"")"),"Resistencia mágica: 10
Suerte: 10
Día 2: Calor (Consumible)")</f>
        <v>Resistencia mágica: 10
Suerte: 10
Día 2: Calor (Consumible)</v>
      </c>
      <c r="K4" s="403" t="str">
        <f>IFERROR(__xludf.DUMMYFUNCTION("GOOGLETRANSLATE(A4,""zh-tw"",""KO"")"),"불꽃 인형")</f>
        <v>불꽃 인형</v>
      </c>
      <c r="L4" s="198" t="str">
        <f>IFERROR(__xludf.DUMMYFUNCTION("GOOGLETRANSLATE(B4,""zh-tw"",""KO"")"),"마법 저항력: 10
행운: 10
2일차: 열기 (소모품)")</f>
        <v>마법 저항력: 10
행운: 10
2일차: 열기 (소모품)</v>
      </c>
      <c r="M4" s="403" t="s">
        <v>7832</v>
      </c>
      <c r="N4" s="167" t="s">
        <v>7833</v>
      </c>
      <c r="O4" s="400" t="s">
        <v>7834</v>
      </c>
      <c r="P4" s="202" t="s">
        <v>7835</v>
      </c>
      <c r="Q4" s="414" t="s">
        <v>7836</v>
      </c>
      <c r="R4" s="402" t="s">
        <v>7837</v>
      </c>
      <c r="S4" s="403" t="s">
        <v>7838</v>
      </c>
      <c r="T4" s="198" t="s">
        <v>7839</v>
      </c>
      <c r="U4" s="403"/>
      <c r="V4" s="198"/>
      <c r="W4" s="8"/>
      <c r="X4" s="8"/>
      <c r="Y4" s="8"/>
      <c r="Z4" s="8"/>
      <c r="AA4" s="8"/>
      <c r="AB4" s="8"/>
      <c r="AC4" s="8"/>
      <c r="AD4" s="8"/>
      <c r="AE4" s="8"/>
      <c r="AF4" s="8"/>
      <c r="AG4" s="8"/>
      <c r="AH4" s="8"/>
      <c r="AI4" s="8"/>
      <c r="AJ4" s="8"/>
      <c r="AK4" s="8"/>
      <c r="AL4" s="8"/>
      <c r="AM4" s="8"/>
      <c r="AN4" s="8"/>
      <c r="AO4" s="8"/>
      <c r="AP4" s="8"/>
      <c r="AQ4" s="8"/>
      <c r="AR4" s="8"/>
      <c r="AS4" s="8"/>
      <c r="AT4" s="8"/>
    </row>
    <row r="5">
      <c r="A5" s="400" t="s">
        <v>7840</v>
      </c>
      <c r="B5" s="413" t="s">
        <v>7841</v>
      </c>
      <c r="C5" s="399" t="s">
        <v>7842</v>
      </c>
      <c r="D5" s="167" t="s">
        <v>7843</v>
      </c>
      <c r="E5" s="399" t="s">
        <v>7844</v>
      </c>
      <c r="F5" s="167" t="s">
        <v>7845</v>
      </c>
      <c r="G5" s="403" t="str">
        <f>IFERROR(__xludf.DUMMYFUNCTION("GOOGLETRANSLATE(A5,""zh-tw"",""zh"")"),"阴天娃娃")</f>
        <v>阴天娃娃</v>
      </c>
      <c r="H5" s="198" t="str">
        <f>IFERROR(__xludf.DUMMYFUNCTION("GOOGLETRANSLATE(B5,""zh-tw"",""zh"")"),"魔抗：10
幸运：10
第二天阴天(消耗品)")</f>
        <v>魔抗：10
幸运：10
第二天阴天(消耗品)</v>
      </c>
      <c r="I5" s="399" t="s">
        <v>7844</v>
      </c>
      <c r="J5" s="198" t="str">
        <f>IFERROR(__xludf.DUMMYFUNCTION("GOOGLETRANSLATE(B5,""zh-tw"",""es-MX"")"),"Resistencia mágica: 10
Suerte: 10
Día 2: Nublado (Consumible)")</f>
        <v>Resistencia mágica: 10
Suerte: 10
Día 2: Nublado (Consumible)</v>
      </c>
      <c r="K5" s="400" t="s">
        <v>7846</v>
      </c>
      <c r="L5" s="167" t="s">
        <v>7847</v>
      </c>
      <c r="M5" s="403" t="s">
        <v>7848</v>
      </c>
      <c r="N5" s="167" t="s">
        <v>7849</v>
      </c>
      <c r="O5" s="400" t="s">
        <v>7850</v>
      </c>
      <c r="P5" s="202" t="s">
        <v>7851</v>
      </c>
      <c r="Q5" s="414" t="s">
        <v>7852</v>
      </c>
      <c r="R5" s="402" t="s">
        <v>7853</v>
      </c>
      <c r="S5" s="403" t="s">
        <v>7854</v>
      </c>
      <c r="T5" s="198" t="s">
        <v>7855</v>
      </c>
      <c r="U5" s="403"/>
      <c r="V5" s="198"/>
      <c r="W5" s="8"/>
      <c r="X5" s="8"/>
      <c r="Y5" s="8"/>
      <c r="Z5" s="8"/>
      <c r="AA5" s="8"/>
      <c r="AB5" s="8"/>
      <c r="AC5" s="8"/>
      <c r="AD5" s="8"/>
      <c r="AE5" s="8"/>
      <c r="AF5" s="8"/>
      <c r="AG5" s="8"/>
      <c r="AH5" s="8"/>
      <c r="AI5" s="8"/>
      <c r="AJ5" s="8"/>
      <c r="AK5" s="8"/>
      <c r="AL5" s="8"/>
      <c r="AM5" s="8"/>
      <c r="AN5" s="8"/>
      <c r="AO5" s="8"/>
      <c r="AP5" s="8"/>
      <c r="AQ5" s="8"/>
      <c r="AR5" s="8"/>
      <c r="AS5" s="8"/>
      <c r="AT5" s="8"/>
    </row>
    <row r="6">
      <c r="A6" s="400" t="s">
        <v>7856</v>
      </c>
      <c r="B6" s="413" t="s">
        <v>7857</v>
      </c>
      <c r="C6" s="399" t="s">
        <v>7858</v>
      </c>
      <c r="D6" s="167" t="s">
        <v>7859</v>
      </c>
      <c r="E6" s="399" t="s">
        <v>7860</v>
      </c>
      <c r="F6" s="167" t="s">
        <v>7861</v>
      </c>
      <c r="G6" s="403" t="str">
        <f>IFERROR(__xludf.DUMMYFUNCTION("GOOGLETRANSLATE(A6,""zh-tw"",""zh"")"),"晴天娃娃")</f>
        <v>晴天娃娃</v>
      </c>
      <c r="H6" s="198" t="str">
        <f>IFERROR(__xludf.DUMMYFUNCTION("GOOGLETRANSLATE(B6,""zh-tw"",""zh"")"),"魔抗：10
幸运：10
第二天晴天(消耗品)")</f>
        <v>魔抗：10
幸运：10
第二天晴天(消耗品)</v>
      </c>
      <c r="I6" s="399" t="s">
        <v>7860</v>
      </c>
      <c r="J6" s="198" t="str">
        <f>IFERROR(__xludf.DUMMYFUNCTION("GOOGLETRANSLATE(B6,""zh-tw"",""es-MX"")"),"Resistencia mágica: 10
Suerte: 10
Día soleado 2 (Consumible)")</f>
        <v>Resistencia mágica: 10
Suerte: 10
Día soleado 2 (Consumible)</v>
      </c>
      <c r="K6" s="399" t="s">
        <v>7862</v>
      </c>
      <c r="L6" s="167" t="s">
        <v>7863</v>
      </c>
      <c r="M6" s="403" t="s">
        <v>7864</v>
      </c>
      <c r="N6" s="167" t="s">
        <v>7865</v>
      </c>
      <c r="O6" s="400" t="s">
        <v>7866</v>
      </c>
      <c r="P6" s="202" t="s">
        <v>7867</v>
      </c>
      <c r="Q6" s="414" t="s">
        <v>7868</v>
      </c>
      <c r="R6" s="402" t="s">
        <v>7869</v>
      </c>
      <c r="S6" s="403" t="s">
        <v>7870</v>
      </c>
      <c r="T6" s="198" t="s">
        <v>7871</v>
      </c>
      <c r="U6" s="403"/>
      <c r="V6" s="198"/>
      <c r="W6" s="8"/>
      <c r="X6" s="8"/>
      <c r="Y6" s="8"/>
      <c r="Z6" s="8"/>
      <c r="AA6" s="8"/>
      <c r="AB6" s="8"/>
      <c r="AC6" s="8"/>
      <c r="AD6" s="8"/>
      <c r="AE6" s="8"/>
      <c r="AF6" s="8"/>
      <c r="AG6" s="8"/>
      <c r="AH6" s="8"/>
      <c r="AI6" s="8"/>
      <c r="AJ6" s="8"/>
      <c r="AK6" s="8"/>
      <c r="AL6" s="8"/>
      <c r="AM6" s="8"/>
      <c r="AN6" s="8"/>
      <c r="AO6" s="8"/>
      <c r="AP6" s="8"/>
      <c r="AQ6" s="8"/>
      <c r="AR6" s="8"/>
      <c r="AS6" s="8"/>
      <c r="AT6" s="8"/>
    </row>
    <row r="7">
      <c r="A7" s="400" t="s">
        <v>7872</v>
      </c>
      <c r="B7" s="202" t="s">
        <v>7873</v>
      </c>
      <c r="C7" s="399" t="s">
        <v>7874</v>
      </c>
      <c r="D7" s="167" t="s">
        <v>7875</v>
      </c>
      <c r="E7" s="399" t="s">
        <v>7876</v>
      </c>
      <c r="F7" s="167" t="s">
        <v>7877</v>
      </c>
      <c r="G7" s="403" t="str">
        <f>IFERROR(__xludf.DUMMYFUNCTION("GOOGLETRANSLATE(A7,""zh-tw"",""zh"")"),"厕纸")</f>
        <v>厕纸</v>
      </c>
      <c r="H7" s="198" t="str">
        <f>IFERROR(__xludf.DUMMYFUNCTION("GOOGLETRANSLATE(B7,""zh-tw"",""zh"")"),"物防：1
降低出血伤害")</f>
        <v>物防：1
降低出血伤害</v>
      </c>
      <c r="I7" s="403" t="str">
        <f>IFERROR(__xludf.DUMMYFUNCTION("GOOGLETRANSLATE(A7,""zh-tw"",""es-MX"")"),"papel higiénico")</f>
        <v>papel higiénico</v>
      </c>
      <c r="J7" s="198" t="str">
        <f>IFERROR(__xludf.DUMMYFUNCTION("GOOGLETRANSLATE(B7,""zh-tw"",""es-MX"")"),"Defensa física: 1. Reduce el daño por sangrado.")</f>
        <v>Defensa física: 1. Reduce el daño por sangrado.</v>
      </c>
      <c r="K7" s="403" t="str">
        <f>IFERROR(__xludf.DUMMYFUNCTION("GOOGLETRANSLATE(A7,""zh-tw"",""KO"")"),"휴지")</f>
        <v>휴지</v>
      </c>
      <c r="L7" s="167" t="s">
        <v>7878</v>
      </c>
      <c r="M7" s="403" t="s">
        <v>7879</v>
      </c>
      <c r="N7" s="198" t="s">
        <v>7880</v>
      </c>
      <c r="O7" s="400" t="s">
        <v>7881</v>
      </c>
      <c r="P7" s="202" t="s">
        <v>7882</v>
      </c>
      <c r="Q7" s="415" t="s">
        <v>7883</v>
      </c>
      <c r="R7" s="406" t="s">
        <v>7884</v>
      </c>
      <c r="S7" s="403" t="s">
        <v>7885</v>
      </c>
      <c r="T7" s="198" t="s">
        <v>7886</v>
      </c>
      <c r="U7" s="403"/>
      <c r="V7" s="198"/>
      <c r="W7" s="8"/>
      <c r="X7" s="8"/>
      <c r="Y7" s="8"/>
      <c r="Z7" s="8"/>
      <c r="AA7" s="8"/>
      <c r="AB7" s="8"/>
      <c r="AC7" s="8"/>
      <c r="AD7" s="8"/>
      <c r="AE7" s="8"/>
      <c r="AF7" s="8"/>
      <c r="AG7" s="8"/>
      <c r="AH7" s="8"/>
      <c r="AI7" s="8"/>
      <c r="AJ7" s="8"/>
      <c r="AK7" s="8"/>
      <c r="AL7" s="8"/>
      <c r="AM7" s="8"/>
      <c r="AN7" s="8"/>
      <c r="AO7" s="8"/>
      <c r="AP7" s="8"/>
      <c r="AQ7" s="8"/>
      <c r="AR7" s="8"/>
      <c r="AS7" s="8"/>
      <c r="AT7" s="8"/>
    </row>
    <row r="8">
      <c r="A8" s="399" t="s">
        <v>7887</v>
      </c>
      <c r="B8" s="167" t="s">
        <v>7888</v>
      </c>
      <c r="C8" s="399" t="s">
        <v>7887</v>
      </c>
      <c r="D8" s="167" t="s">
        <v>7889</v>
      </c>
      <c r="E8" s="399" t="s">
        <v>7890</v>
      </c>
      <c r="F8" s="167" t="s">
        <v>7891</v>
      </c>
      <c r="G8" s="403" t="str">
        <f>IFERROR(__xludf.DUMMYFUNCTION("GOOGLETRANSLATE(A8,""zh-tw"",""zh"")"),"芳草心")</f>
        <v>芳草心</v>
      </c>
      <c r="H8" s="198" t="str">
        <f>IFERROR(__xludf.DUMMYFUNCTION("GOOGLETRANSLATE(B8,""zh-tw"",""zh"")"),"物防：1
魔抗：10
幸运：5
提升最大体力")</f>
        <v>物防：1
魔抗：10
幸运：5
提升最大体力</v>
      </c>
      <c r="I8" s="403" t="str">
        <f>IFERROR(__xludf.DUMMYFUNCTION("GOOGLETRANSLATE(A8,""zh-tw"",""es-MX"")"),"Corazón de hierba fragante")</f>
        <v>Corazón de hierba fragante</v>
      </c>
      <c r="J8" s="198" t="str">
        <f>IFERROR(__xludf.DUMMYFUNCTION("GOOGLETRANSLATE(B8,""zh-tw"",""es-MX"")"),"Defensa física: 1
Resistencia mágica: 10
Suerte: 5
Aumenta los puntos de vida máximos")</f>
        <v>Defensa física: 1
Resistencia mágica: 10
Suerte: 5
Aumenta los puntos de vida máximos</v>
      </c>
      <c r="K8" s="399" t="s">
        <v>7892</v>
      </c>
      <c r="L8" s="167" t="s">
        <v>7893</v>
      </c>
      <c r="M8" s="403" t="s">
        <v>7894</v>
      </c>
      <c r="N8" s="198" t="s">
        <v>7895</v>
      </c>
      <c r="O8" s="400" t="s">
        <v>7896</v>
      </c>
      <c r="P8" s="202" t="s">
        <v>7897</v>
      </c>
      <c r="Q8" s="415" t="s">
        <v>7898</v>
      </c>
      <c r="R8" s="402" t="s">
        <v>7899</v>
      </c>
      <c r="S8" s="403" t="s">
        <v>7900</v>
      </c>
      <c r="T8" s="198" t="s">
        <v>7901</v>
      </c>
      <c r="U8" s="403"/>
      <c r="V8" s="198"/>
      <c r="W8" s="8"/>
      <c r="X8" s="8"/>
      <c r="Y8" s="8"/>
      <c r="Z8" s="8"/>
      <c r="AA8" s="8"/>
      <c r="AB8" s="8"/>
      <c r="AC8" s="8"/>
      <c r="AD8" s="8"/>
      <c r="AE8" s="8"/>
      <c r="AF8" s="8"/>
      <c r="AG8" s="8"/>
      <c r="AH8" s="8"/>
      <c r="AI8" s="8"/>
      <c r="AJ8" s="8"/>
      <c r="AK8" s="8"/>
      <c r="AL8" s="8"/>
      <c r="AM8" s="8"/>
      <c r="AN8" s="8"/>
      <c r="AO8" s="8"/>
      <c r="AP8" s="8"/>
      <c r="AQ8" s="8"/>
      <c r="AR8" s="8"/>
      <c r="AS8" s="8"/>
      <c r="AT8" s="8"/>
    </row>
    <row r="9">
      <c r="A9" s="399" t="s">
        <v>7902</v>
      </c>
      <c r="B9" s="167" t="s">
        <v>7903</v>
      </c>
      <c r="C9" s="399" t="s">
        <v>7904</v>
      </c>
      <c r="D9" s="167" t="s">
        <v>7905</v>
      </c>
      <c r="E9" s="399" t="s">
        <v>7906</v>
      </c>
      <c r="F9" s="167" t="s">
        <v>7907</v>
      </c>
      <c r="G9" s="403" t="str">
        <f>IFERROR(__xludf.DUMMYFUNCTION("GOOGLETRANSLATE(A9,""zh-tw"",""zh"")"),"绿龟壳")</f>
        <v>绿龟壳</v>
      </c>
      <c r="H9" s="198" t="str">
        <f>IFERROR(__xludf.DUMMYFUNCTION("GOOGLETRANSLATE(B9,""zh-tw"",""zh"")"),"物防：20
魔抗：60
增加游泳移速、降低陆地移速")</f>
        <v>物防：20
魔抗：60
增加游泳移速、降低陆地移速</v>
      </c>
      <c r="I9" s="403" t="str">
        <f>IFERROR(__xludf.DUMMYFUNCTION("GOOGLETRANSLATE(A9,""zh-tw"",""es-MX"")"),"caparazón de tortuga verde")</f>
        <v>caparazón de tortuga verde</v>
      </c>
      <c r="J9" s="198"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403" t="str">
        <f>IFERROR(__xludf.DUMMYFUNCTION("GOOGLETRANSLATE(A9,""zh-tw"",""KO"")"),"푸른바다거북 등껍질")</f>
        <v>푸른바다거북 등껍질</v>
      </c>
      <c r="L9" s="198" t="str">
        <f>IFERROR(__xludf.DUMMYFUNCTION("GOOGLETRANSLATE(B9,""zh-tw"",""KO"")"),"물리 방어력: 20
마법 저항력: 60
수영 속도 증가, 지상 이동 속도 감소")</f>
        <v>물리 방어력: 20
마법 저항력: 60
수영 속도 증가, 지상 이동 속도 감소</v>
      </c>
      <c r="M9" s="403" t="s">
        <v>7908</v>
      </c>
      <c r="N9" s="198" t="s">
        <v>7909</v>
      </c>
      <c r="O9" s="416" t="str">
        <f>IFERROR(__xludf.DUMMYFUNCTION("GOOGLETRANSLATE(A9,""zh-tw"",""de"")"),"Grüner Schildkrötenpanzer")</f>
        <v>Grüner Schildkrötenpanzer</v>
      </c>
      <c r="P9" s="417"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Q9" s="415" t="s">
        <v>7910</v>
      </c>
      <c r="R9" s="402" t="s">
        <v>7911</v>
      </c>
      <c r="S9" s="403" t="s">
        <v>7912</v>
      </c>
      <c r="T9" s="198" t="s">
        <v>7913</v>
      </c>
      <c r="U9" s="403"/>
      <c r="V9" s="198"/>
      <c r="W9" s="8"/>
      <c r="X9" s="8"/>
      <c r="Y9" s="8"/>
      <c r="Z9" s="8"/>
      <c r="AA9" s="8"/>
      <c r="AB9" s="8"/>
      <c r="AC9" s="8"/>
      <c r="AD9" s="8"/>
      <c r="AE9" s="8"/>
      <c r="AF9" s="8"/>
      <c r="AG9" s="8"/>
      <c r="AH9" s="8"/>
      <c r="AI9" s="8"/>
      <c r="AJ9" s="8"/>
      <c r="AK9" s="8"/>
      <c r="AL9" s="8"/>
      <c r="AM9" s="8"/>
      <c r="AN9" s="8"/>
      <c r="AO9" s="8"/>
      <c r="AP9" s="8"/>
      <c r="AQ9" s="8"/>
      <c r="AR9" s="8"/>
      <c r="AS9" s="8"/>
      <c r="AT9" s="8"/>
    </row>
    <row r="10">
      <c r="A10" s="399" t="s">
        <v>7914</v>
      </c>
      <c r="B10" s="167" t="s">
        <v>7915</v>
      </c>
      <c r="C10" s="399" t="s">
        <v>7916</v>
      </c>
      <c r="D10" s="167" t="s">
        <v>7917</v>
      </c>
      <c r="E10" s="399" t="s">
        <v>7918</v>
      </c>
      <c r="F10" s="167" t="s">
        <v>7919</v>
      </c>
      <c r="G10" s="403" t="str">
        <f>IFERROR(__xludf.DUMMYFUNCTION("GOOGLETRANSLATE(A10,""zh-tw"",""zh"")"),"猎人服")</f>
        <v>猎人服</v>
      </c>
      <c r="H10" s="198" t="str">
        <f>IFERROR(__xludf.DUMMYFUNCTION("GOOGLETRANSLATE(B10,""zh-tw"",""zh"")"),"物防：3
魔抗：10
站在草地上回复体力")</f>
        <v>物防：3
魔抗：10
站在草地上回复体力</v>
      </c>
      <c r="I10" s="403" t="str">
        <f>IFERROR(__xludf.DUMMYFUNCTION("GOOGLETRANSLATE(A10,""zh-tw"",""es-MX"")"),"El atuendo de Hunter")</f>
        <v>El atuendo de Hunter</v>
      </c>
      <c r="J10" s="198" t="str">
        <f>IFERROR(__xludf.DUMMYFUNCTION("GOOGLETRANSLATE(B10,""zh-tw"",""es-MX"")"),"Defensa física: 3
Resistencia mágica: 10
Recupera resistencia al estar de pie sobre la hierba")</f>
        <v>Defensa física: 3
Resistencia mágica: 10
Recupera resistencia al estar de pie sobre la hierba</v>
      </c>
      <c r="K10" s="403" t="str">
        <f>IFERROR(__xludf.DUMMYFUNCTION("GOOGLETRANSLATE(A10,""zh-tw"",""KO"")"),"사냥꾼의 복장")</f>
        <v>사냥꾼의 복장</v>
      </c>
      <c r="L10" s="198" t="str">
        <f>IFERROR(__xludf.DUMMYFUNCTION("GOOGLETRANSLATE(B10,""zh-tw"",""KO"")"),"물리 방어력: 3
마법 저항력: 10
풀밭에 서 있으면 스태미나를 회복합니다.")</f>
        <v>물리 방어력: 3
마법 저항력: 10
풀밭에 서 있으면 스태미나를 회복합니다.</v>
      </c>
      <c r="M10" s="403" t="s">
        <v>7920</v>
      </c>
      <c r="N10" s="198" t="s">
        <v>7921</v>
      </c>
      <c r="O10" s="416" t="str">
        <f>IFERROR(__xludf.DUMMYFUNCTION("GOOGLETRANSLATE(A10,""zh-tw"",""de"")"),"Jägers Outfit")</f>
        <v>Jägers Outfit</v>
      </c>
      <c r="P10" s="417" t="str">
        <f>IFERROR(__xludf.DUMMYFUNCTION("GOOGLETRANSLATE(B10,""zh-tw"",""de"")"),"Physische Verteidigung: 3
Magieresistenz: 10
Regeneriert Ausdauer beim Stehen auf Gras")</f>
        <v>Physische Verteidigung: 3
Magieresistenz: 10
Regeneriert Ausdauer beim Stehen auf Gras</v>
      </c>
      <c r="Q10" s="415" t="s">
        <v>7922</v>
      </c>
      <c r="R10" s="402" t="s">
        <v>7923</v>
      </c>
      <c r="S10" s="403" t="s">
        <v>7924</v>
      </c>
      <c r="T10" s="198" t="s">
        <v>7925</v>
      </c>
      <c r="U10" s="403"/>
      <c r="V10" s="198"/>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399" t="s">
        <v>7926</v>
      </c>
      <c r="B11" s="167" t="s">
        <v>7927</v>
      </c>
      <c r="C11" s="399" t="s">
        <v>7928</v>
      </c>
      <c r="D11" s="167" t="s">
        <v>7929</v>
      </c>
      <c r="E11" s="399" t="s">
        <v>7930</v>
      </c>
      <c r="F11" s="167" t="s">
        <v>7931</v>
      </c>
      <c r="G11" s="403" t="str">
        <f>IFERROR(__xludf.DUMMYFUNCTION("GOOGLETRANSLATE(A11,""zh-tw"",""zh"")"),"猎人腰带")</f>
        <v>猎人腰带</v>
      </c>
      <c r="H11" s="198" t="str">
        <f>IFERROR(__xludf.DUMMYFUNCTION("GOOGLETRANSLATE(B11,""zh-tw"",""zh"")"),"物防：1
小幅提升：体力上限、移动速度、装备携带数量")</f>
        <v>物防：1
小幅提升：体力上限、移动速度、装备携带数量</v>
      </c>
      <c r="I11" s="403" t="str">
        <f>IFERROR(__xludf.DUMMYFUNCTION("GOOGLETRANSLATE(A11,""zh-tw"",""es-MX"")"),"Cinturón de cazador")</f>
        <v>Cinturón de cazador</v>
      </c>
      <c r="J11" s="198" t="str">
        <f>IFERROR(__xludf.DUMMYFUNCTION("GOOGLETRANSLATE(B11,""zh-tw"",""es-MX"")"),"Defensa física: 1 Ligeras mejoras: Resistencia máxima, Velocidad de movimiento, Capacidad de equipamiento")</f>
        <v>Defensa física: 1 Ligeras mejoras: Resistencia máxima, Velocidad de movimiento, Capacidad de equipamiento</v>
      </c>
      <c r="K11" s="403" t="str">
        <f>IFERROR(__xludf.DUMMYFUNCTION("GOOGLETRANSLATE(A11,""zh-tw"",""KO"")"),"헌터 벨트")</f>
        <v>헌터 벨트</v>
      </c>
      <c r="L11" s="198" t="str">
        <f>IFERROR(__xludf.DUMMYFUNCTION("GOOGLETRANSLATE(B11,""zh-tw"",""KO"")"),"물리 방어력: 1 약간의 향상: 최대 체력, 이동 속도, 장비 소지량")</f>
        <v>물리 방어력: 1 약간의 향상: 최대 체력, 이동 속도, 장비 소지량</v>
      </c>
      <c r="M11" s="403" t="s">
        <v>7932</v>
      </c>
      <c r="N11" s="198" t="s">
        <v>7933</v>
      </c>
      <c r="O11" s="416" t="str">
        <f>IFERROR(__xludf.DUMMYFUNCTION("GOOGLETRANSLATE(A11,""zh-tw"",""de"")"),"Jägergürtel")</f>
        <v>Jägergürtel</v>
      </c>
      <c r="P11" s="417" t="str">
        <f>IFERROR(__xludf.DUMMYFUNCTION("GOOGLETRANSLATE(B11,""zh-tw"",""de"")"),"Physische Verteidigung: 1 Leichte Verbesserungen: Maximale Ausdauer, Bewegungsgeschwindigkeit, Ausrüstungskapazität")</f>
        <v>Physische Verteidigung: 1 Leichte Verbesserungen: Maximale Ausdauer, Bewegungsgeschwindigkeit, Ausrüstungskapazität</v>
      </c>
      <c r="Q11" s="415" t="s">
        <v>7934</v>
      </c>
      <c r="R11" s="406" t="s">
        <v>7935</v>
      </c>
      <c r="S11" s="403" t="s">
        <v>7936</v>
      </c>
      <c r="T11" s="198" t="s">
        <v>7937</v>
      </c>
      <c r="U11" s="403"/>
      <c r="V11" s="198"/>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399" t="s">
        <v>7938</v>
      </c>
      <c r="B12" s="167" t="s">
        <v>7939</v>
      </c>
      <c r="C12" s="399" t="s">
        <v>7940</v>
      </c>
      <c r="D12" s="167" t="s">
        <v>7941</v>
      </c>
      <c r="E12" s="399" t="s">
        <v>7942</v>
      </c>
      <c r="F12" s="167" t="s">
        <v>7943</v>
      </c>
      <c r="G12" s="403" t="str">
        <f>IFERROR(__xludf.DUMMYFUNCTION("GOOGLETRANSLATE(A12,""zh-tw"",""zh"")"),"猎人短刀")</f>
        <v>猎人短刀</v>
      </c>
      <c r="H12" s="198" t="str">
        <f>IFERROR(__xludf.DUMMYFUNCTION("GOOGLETRANSLATE(B12,""zh-tw"",""zh"")"),"物攻：6
幸运：20
肉类掉落机率翻倍(包含炸鱼)")</f>
        <v>物攻：6
幸运：20
肉类掉落机率翻倍(包含炸鱼)</v>
      </c>
      <c r="I12" s="403" t="str">
        <f>IFERROR(__xludf.DUMMYFUNCTION("GOOGLETRANSLATE(A12,""zh-tw"",""es-MX"")"),"Daga del cazador")</f>
        <v>Daga del cazador</v>
      </c>
      <c r="J12" s="198" t="str">
        <f>IFERROR(__xludf.DUMMYFUNCTION("GOOGLETRANSLATE(B12,""zh-tw"",""es-MX"")"),"Ataque físico: 6
Suerte: 20
Probabilidad de obtención de carne duplicada (incluido el pescado frito)")</f>
        <v>Ataque físico: 6
Suerte: 20
Probabilidad de obtención de carne duplicada (incluido el pescado frito)</v>
      </c>
      <c r="K12" s="403" t="str">
        <f>IFERROR(__xludf.DUMMYFUNCTION("GOOGLETRANSLATE(A12,""zh-tw"",""KO"")"),"사냥꾼의 단검")</f>
        <v>사냥꾼의 단검</v>
      </c>
      <c r="L12" s="198" t="str">
        <f>IFERROR(__xludf.DUMMYFUNCTION("GOOGLETRANSLATE(B12,""zh-tw"",""KO"")"),"물리 공격력: 6
행운: 20
고기 드롭률 2배 증가 (튀긴 생선 포함)")</f>
        <v>물리 공격력: 6
행운: 20
고기 드롭률 2배 증가 (튀긴 생선 포함)</v>
      </c>
      <c r="M12" s="403" t="s">
        <v>7944</v>
      </c>
      <c r="N12" s="198" t="s">
        <v>7945</v>
      </c>
      <c r="O12" s="416" t="str">
        <f>IFERROR(__xludf.DUMMYFUNCTION("GOOGLETRANSLATE(A12,""zh-tw"",""de"")"),"Jägerdolch")</f>
        <v>Jägerdolch</v>
      </c>
      <c r="P12" s="417" t="str">
        <f>IFERROR(__xludf.DUMMYFUNCTION("GOOGLETRANSLATE(B12,""zh-tw"",""de"")"),"Physischer Angriff: 6
Glück: 20
Fleischfundrate verdoppelt (einschließlich gebratenem Fisch)")</f>
        <v>Physischer Angriff: 6
Glück: 20
Fleischfundrate verdoppelt (einschließlich gebratenem Fisch)</v>
      </c>
      <c r="Q12" s="415" t="s">
        <v>7946</v>
      </c>
      <c r="R12" s="402" t="s">
        <v>7947</v>
      </c>
      <c r="S12" s="403" t="s">
        <v>7948</v>
      </c>
      <c r="T12" s="198" t="s">
        <v>7949</v>
      </c>
      <c r="U12" s="403"/>
      <c r="V12" s="198"/>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399" t="s">
        <v>7950</v>
      </c>
      <c r="B13" s="167" t="s">
        <v>7951</v>
      </c>
      <c r="C13" s="399" t="s">
        <v>7952</v>
      </c>
      <c r="D13" s="167" t="s">
        <v>7953</v>
      </c>
      <c r="E13" s="399" t="s">
        <v>7954</v>
      </c>
      <c r="F13" s="167" t="s">
        <v>7955</v>
      </c>
      <c r="G13" s="403" t="str">
        <f>IFERROR(__xludf.DUMMYFUNCTION("GOOGLETRANSLATE(A13,""zh-tw"",""zh"")"),"安全手套")</f>
        <v>安全手套</v>
      </c>
      <c r="H13" s="198" t="str">
        <f>IFERROR(__xludf.DUMMYFUNCTION("GOOGLETRANSLATE(B13,""zh-tw"",""zh"")"),"物攻：1
物防：2
魔抗：45
防御雷电")</f>
        <v>物攻：1
物防：2
魔抗：45
防御雷电</v>
      </c>
      <c r="I13" s="403" t="str">
        <f>IFERROR(__xludf.DUMMYFUNCTION("GOOGLETRANSLATE(A13,""zh-tw"",""es-MX"")"),"guantes de seguridad")</f>
        <v>guantes de seguridad</v>
      </c>
      <c r="J13" s="198" t="str">
        <f>IFERROR(__xludf.DUMMYFUNCTION("GOOGLETRANSLATE(B13,""zh-tw"",""es-MX"")"),"Ataque físico: 1
Defensa física: 2
Resistencia mágica: 45
Defensa contra rayos")</f>
        <v>Ataque físico: 1
Defensa física: 2
Resistencia mágica: 45
Defensa contra rayos</v>
      </c>
      <c r="K13" s="403" t="str">
        <f>IFERROR(__xludf.DUMMYFUNCTION("GOOGLETRANSLATE(A13,""zh-tw"",""KO"")"),"안전 장갑")</f>
        <v>안전 장갑</v>
      </c>
      <c r="L13" s="198" t="str">
        <f>IFERROR(__xludf.DUMMYFUNCTION("GOOGLETRANSLATE(B13,""zh-tw"",""KO"")"),"물리 공격력: 1
물리 방어력: 2
마법 저항력: 45
번개 방어력")</f>
        <v>물리 공격력: 1
물리 방어력: 2
마법 저항력: 45
번개 방어력</v>
      </c>
      <c r="M13" s="403" t="s">
        <v>7956</v>
      </c>
      <c r="N13" s="198" t="s">
        <v>7957</v>
      </c>
      <c r="O13" s="416" t="str">
        <f>IFERROR(__xludf.DUMMYFUNCTION("GOOGLETRANSLATE(A13,""zh-tw"",""de"")"),"Schutzhandschuhe")</f>
        <v>Schutzhandschuhe</v>
      </c>
      <c r="P13" s="417" t="str">
        <f>IFERROR(__xludf.DUMMYFUNCTION("GOOGLETRANSLATE(B13,""zh-tw"",""de"")"),"Physischer Angriff: 1
Physische Verteidigung: 2
Magieresistenz: 45
Blitzabwehr")</f>
        <v>Physischer Angriff: 1
Physische Verteidigung: 2
Magieresistenz: 45
Blitzabwehr</v>
      </c>
      <c r="Q13" s="415" t="s">
        <v>7958</v>
      </c>
      <c r="R13" s="406" t="s">
        <v>7959</v>
      </c>
      <c r="S13" s="403" t="s">
        <v>7960</v>
      </c>
      <c r="T13" s="198" t="s">
        <v>7961</v>
      </c>
      <c r="U13" s="403"/>
      <c r="V13" s="198"/>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399" t="s">
        <v>7962</v>
      </c>
      <c r="B14" s="167" t="s">
        <v>7963</v>
      </c>
      <c r="C14" s="399" t="s">
        <v>7964</v>
      </c>
      <c r="D14" s="167" t="s">
        <v>7965</v>
      </c>
      <c r="E14" s="399" t="s">
        <v>7966</v>
      </c>
      <c r="F14" s="167" t="s">
        <v>7967</v>
      </c>
      <c r="G14" s="403" t="str">
        <f>IFERROR(__xludf.DUMMYFUNCTION("GOOGLETRANSLATE(A14,""zh-tw"",""zh"")"),"猪猪存钱罐")</f>
        <v>猪猪存钱罐</v>
      </c>
      <c r="H14" s="198" t="str">
        <f>IFERROR(__xludf.DUMMYFUNCTION("GOOGLETRANSLATE(B14,""zh-tw"",""zh"")"),"幸运：40
捡钱(100万进化)、易碎")</f>
        <v>幸运：40
捡钱(100万进化)、易碎</v>
      </c>
      <c r="I14" s="403" t="str">
        <f>IFERROR(__xludf.DUMMYFUNCTION("GOOGLETRANSLATE(A14,""zh-tw"",""es-MX"")"),"Hucha")</f>
        <v>Hucha</v>
      </c>
      <c r="J14" s="198" t="str">
        <f>IFERROR(__xludf.DUMMYFUNCTION("GOOGLETRANSLATE(B14,""zh-tw"",""es-MX"")"),"Suerte: 40 Encuentra dinero (Evoluciona con 1 millón), Frágil")</f>
        <v>Suerte: 40 Encuentra dinero (Evoluciona con 1 millón), Frágil</v>
      </c>
      <c r="K14" s="403" t="str">
        <f>IFERROR(__xludf.DUMMYFUNCTION("GOOGLETRANSLATE(A14,""zh-tw"",""KO"")"),"돼지 저금통")</f>
        <v>돼지 저금통</v>
      </c>
      <c r="L14" s="167" t="s">
        <v>7968</v>
      </c>
      <c r="M14" s="403" t="s">
        <v>7969</v>
      </c>
      <c r="N14" s="198" t="s">
        <v>7970</v>
      </c>
      <c r="O14" s="400" t="s">
        <v>7971</v>
      </c>
      <c r="P14" s="202" t="s">
        <v>7972</v>
      </c>
      <c r="Q14" s="415" t="s">
        <v>7973</v>
      </c>
      <c r="R14" s="402" t="s">
        <v>7974</v>
      </c>
      <c r="S14" s="403" t="s">
        <v>7975</v>
      </c>
      <c r="T14" s="198" t="s">
        <v>7976</v>
      </c>
      <c r="U14" s="403"/>
      <c r="V14" s="198"/>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400" t="s">
        <v>7977</v>
      </c>
      <c r="B15" s="202" t="s">
        <v>1243</v>
      </c>
      <c r="C15" s="399" t="s">
        <v>7978</v>
      </c>
      <c r="D15" s="202" t="s">
        <v>1243</v>
      </c>
      <c r="E15" s="399" t="s">
        <v>7979</v>
      </c>
      <c r="F15" s="167" t="s">
        <v>1243</v>
      </c>
      <c r="G15" s="403" t="str">
        <f>IFERROR(__xludf.DUMMYFUNCTION("GOOGLETRANSLATE(A15,""zh-tw"",""zh"")"),"炸薯条")</f>
        <v>炸薯条</v>
      </c>
      <c r="H15" s="198" t="str">
        <f>IFERROR(__xludf.DUMMYFUNCTION("GOOGLETRANSLATE(B15,""zh-tw"",""zh"")"),"-")</f>
        <v>-</v>
      </c>
      <c r="I15" s="403" t="str">
        <f>IFERROR(__xludf.DUMMYFUNCTION("GOOGLETRANSLATE(A15,""zh-tw"",""es-MX"")"),"papas fritas")</f>
        <v>papas fritas</v>
      </c>
      <c r="J15" s="198" t="str">
        <f>IFERROR(__xludf.DUMMYFUNCTION("GOOGLETRANSLATE(B15,""zh-tw"",""es-MX"")"),"-")</f>
        <v>-</v>
      </c>
      <c r="K15" s="403" t="str">
        <f>IFERROR(__xludf.DUMMYFUNCTION("GOOGLETRANSLATE(A15,""zh-tw"",""KO"")"),"감자 튀김")</f>
        <v>감자 튀김</v>
      </c>
      <c r="L15" s="198" t="str">
        <f>IFERROR(__xludf.DUMMYFUNCTION("GOOGLETRANSLATE(B15,""zh-tw"",""KO"")"),"-")</f>
        <v>-</v>
      </c>
      <c r="M15" s="403" t="s">
        <v>7980</v>
      </c>
      <c r="N15" s="198" t="s">
        <v>1243</v>
      </c>
      <c r="O15" s="400" t="s">
        <v>7981</v>
      </c>
      <c r="P15" s="202" t="s">
        <v>7982</v>
      </c>
      <c r="Q15" s="415" t="s">
        <v>7983</v>
      </c>
      <c r="R15" s="402" t="s">
        <v>1243</v>
      </c>
      <c r="S15" s="403" t="s">
        <v>7984</v>
      </c>
      <c r="T15" s="198" t="s">
        <v>1243</v>
      </c>
      <c r="U15" s="403"/>
      <c r="V15" s="198"/>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403" t="s">
        <v>7985</v>
      </c>
      <c r="B16" s="198" t="s">
        <v>7986</v>
      </c>
      <c r="C16" s="403" t="s">
        <v>7987</v>
      </c>
      <c r="D16" s="198" t="s">
        <v>7988</v>
      </c>
      <c r="E16" s="403" t="s">
        <v>7989</v>
      </c>
      <c r="F16" s="198" t="s">
        <v>7990</v>
      </c>
      <c r="G16" s="403" t="s">
        <v>7991</v>
      </c>
      <c r="H16" s="198" t="s">
        <v>7992</v>
      </c>
      <c r="I16" s="403" t="str">
        <f>IFERROR(__xludf.DUMMYFUNCTION("GOOGLETRANSLATE(A16,""zh-tw"",""es-MX"")"),"Regalo de los Creepers Oscuros")</f>
        <v>Regalo de los Creepers Oscuros</v>
      </c>
      <c r="J16" s="198" t="str">
        <f>IFERROR(__xludf.DUMMYFUNCTION("GOOGLETRANSLATE(B16,""zh-tw"",""es-MX"")"),"Mayor velocidad de movimiento.
Garantiza un efecto de estado especial.")</f>
        <v>Mayor velocidad de movimiento.
Garantiza un efecto de estado especial.</v>
      </c>
      <c r="K16" s="403" t="str">
        <f>IFERROR(__xludf.DUMMYFUNCTION("GOOGLETRANSLATE(A16,""zh-tw"",""KO"")"),"어둠의 덩굴의 선물")</f>
        <v>어둠의 덩굴의 선물</v>
      </c>
      <c r="L16" s="198" t="str">
        <f>IFERROR(__xludf.DUMMYFUNCTION("GOOGLETRANSLATE(B16,""zh-tw"",""KO"")"),"이동 속도 증가
특수 상태 효과 부여 보장")</f>
        <v>이동 속도 증가
특수 상태 효과 부여 보장</v>
      </c>
      <c r="M16" s="403" t="s">
        <v>7993</v>
      </c>
      <c r="N16" s="198" t="s">
        <v>7994</v>
      </c>
      <c r="O16" s="416" t="str">
        <f>IFERROR(__xludf.DUMMYFUNCTION("GOOGLETRANSLATE(A16,""zh-tw"",""de"")"),"Geschenk der dunklen Kriecher")</f>
        <v>Geschenk der dunklen Kriecher</v>
      </c>
      <c r="P16" s="417" t="str">
        <f>IFERROR(__xludf.DUMMYFUNCTION("GOOGLETRANSLATE(B16,""zh-tw"",""de"")"),"Erhöhte Bewegungsgeschwindigkeit. Gewährt garantiert einen besonderen Statuseffekt.")</f>
        <v>Erhöhte Bewegungsgeschwindigkeit. Gewährt garantiert einen besonderen Statuseffekt.</v>
      </c>
      <c r="Q16" s="418"/>
      <c r="R16" s="408" t="s">
        <v>7995</v>
      </c>
      <c r="S16" s="403" t="s">
        <v>7996</v>
      </c>
      <c r="T16" s="198" t="s">
        <v>7997</v>
      </c>
      <c r="U16" s="403"/>
      <c r="V16" s="198"/>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399" t="s">
        <v>7998</v>
      </c>
      <c r="B17" s="167" t="s">
        <v>7999</v>
      </c>
      <c r="C17" s="399" t="s">
        <v>8000</v>
      </c>
      <c r="D17" s="167" t="s">
        <v>8001</v>
      </c>
      <c r="E17" s="399" t="s">
        <v>8002</v>
      </c>
      <c r="F17" s="167" t="s">
        <v>8003</v>
      </c>
      <c r="G17" s="403" t="str">
        <f>IFERROR(__xludf.DUMMYFUNCTION("GOOGLETRANSLATE(A17,""zh-tw"",""zh"")"),"铁觇")</f>
        <v>铁觇</v>
      </c>
      <c r="H17" s="198" t="str">
        <f>IFERROR(__xludf.DUMMYFUNCTION("GOOGLETRANSLATE(B17,""zh-tw"",""zh"")"),"物防：15
魔抗：10
详细说明于Tips")</f>
        <v>物防：15
魔抗：10
详细说明于Tips</v>
      </c>
      <c r="I17" s="403" t="str">
        <f>IFERROR(__xludf.DUMMYFUNCTION("GOOGLETRANSLATE(A17,""zh-tw"",""es-MX"")"),"Águila de hierro")</f>
        <v>Águila de hierro</v>
      </c>
      <c r="J17" s="198" t="str">
        <f>IFERROR(__xludf.DUMMYFUNCTION("GOOGLETRANSLATE(B17,""zh-tw"",""es-MX"")"),"Defensa física: 15
Resistencia mágica: 10
Explicación detallada en Consejos")</f>
        <v>Defensa física: 15
Resistencia mágica: 10
Explicación detallada en Consejos</v>
      </c>
      <c r="K17" s="403" t="str">
        <f>IFERROR(__xludf.DUMMYFUNCTION("GOOGLETRANSLATE(A17,""zh-tw"",""KO"")"),"아이언 이글")</f>
        <v>아이언 이글</v>
      </c>
      <c r="L17" s="198" t="str">
        <f>IFERROR(__xludf.DUMMYFUNCTION("GOOGLETRANSLATE(B17,""zh-tw"",""KO"")"),"물리 방어력: 15
마법 저항력: 10
자세한 설명은 팁을 참조하세요.")</f>
        <v>물리 방어력: 15
마법 저항력: 10
자세한 설명은 팁을 참조하세요.</v>
      </c>
      <c r="M17" s="403" t="s">
        <v>8004</v>
      </c>
      <c r="N17" s="198" t="s">
        <v>8005</v>
      </c>
      <c r="O17" s="416" t="str">
        <f>IFERROR(__xludf.DUMMYFUNCTION("GOOGLETRANSLATE(A17,""zh-tw"",""de"")"),"Eiserner Adler")</f>
        <v>Eiserner Adler</v>
      </c>
      <c r="P17" s="417" t="str">
        <f>IFERROR(__xludf.DUMMYFUNCTION("GOOGLETRANSLATE(B17,""zh-tw"",""de"")"),"Physische Verteidigung: 15
Magieresistenz: 10
Detaillierte Erklärung in den Tipps")</f>
        <v>Physische Verteidigung: 15
Magieresistenz: 10
Detaillierte Erklärung in den Tipps</v>
      </c>
      <c r="Q17" s="414" t="s">
        <v>8006</v>
      </c>
      <c r="R17" s="402" t="s">
        <v>8007</v>
      </c>
      <c r="S17" s="403" t="s">
        <v>8008</v>
      </c>
      <c r="T17" s="198" t="s">
        <v>8009</v>
      </c>
      <c r="U17" s="403"/>
      <c r="V17" s="198"/>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399" t="s">
        <v>8010</v>
      </c>
      <c r="B18" s="167" t="s">
        <v>8011</v>
      </c>
      <c r="C18" s="399" t="s">
        <v>8012</v>
      </c>
      <c r="D18" s="167" t="s">
        <v>8013</v>
      </c>
      <c r="E18" s="399" t="s">
        <v>8014</v>
      </c>
      <c r="F18" s="167" t="s">
        <v>8015</v>
      </c>
      <c r="G18" s="403" t="str">
        <f>IFERROR(__xludf.DUMMYFUNCTION("GOOGLETRANSLATE(A18,""zh-tw"",""zh"")"),"初号机枢I~VII")</f>
        <v>初号机枢I~VII</v>
      </c>
      <c r="H18" s="198" t="str">
        <f>IFERROR(__xludf.DUMMYFUNCTION("GOOGLETRANSLATE(B18,""zh-tw"",""zh"")"),"可以于技能栏位中，消耗特定物品进行提升机甲的型态，由此获得新能力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18" s="403" t="str">
        <f>IFERROR(__xludf.DUMMYFUNCTION("GOOGLETRANSLATE(A18,""zh-tw"",""es-MX"")"),"Unidad 1-VII")</f>
        <v>Unidad 1-VII</v>
      </c>
      <c r="J18" s="198" t="str">
        <f>IFERROR(__xludf.DUMMYFUNCTION("GOOGLETRANSLATE(B18,""zh-tw"",""es-MX"")"),"Puedes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18" s="403" t="str">
        <f>IFERROR(__xludf.DUMMYFUNCTION("GOOGLETRANSLATE(A18,""zh-tw"",""KO"")"),"제1단원-7단원")</f>
        <v>제1단원-7단원</v>
      </c>
      <c r="L18" s="198" t="str">
        <f>IFERROR(__xludf.DUMMYFUNCTION("GOOGLETRANSLATE(B18,""zh-tw"",""KO"")"),"스킬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18" s="403" t="s">
        <v>8016</v>
      </c>
      <c r="N18" s="198" t="s">
        <v>8017</v>
      </c>
      <c r="O18" s="399" t="s">
        <v>8018</v>
      </c>
      <c r="P18" s="167" t="s">
        <v>8019</v>
      </c>
      <c r="Q18" s="415" t="s">
        <v>8014</v>
      </c>
      <c r="R18" s="406" t="s">
        <v>8020</v>
      </c>
      <c r="S18" s="403" t="s">
        <v>8021</v>
      </c>
      <c r="T18" s="198" t="s">
        <v>8022</v>
      </c>
      <c r="U18" s="403"/>
      <c r="V18" s="198"/>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399" t="s">
        <v>8023</v>
      </c>
      <c r="B19" s="167" t="s">
        <v>8024</v>
      </c>
      <c r="C19" s="399" t="s">
        <v>8025</v>
      </c>
      <c r="D19" s="167" t="s">
        <v>8026</v>
      </c>
      <c r="E19" s="399" t="s">
        <v>8027</v>
      </c>
      <c r="F19" s="167" t="s">
        <v>8028</v>
      </c>
      <c r="G19" s="403" t="str">
        <f>IFERROR(__xludf.DUMMYFUNCTION("GOOGLETRANSLATE(A19,""zh-tw"",""zh"")"),"把草莓夺回来！ !")</f>
        <v>把草莓夺回来！ !</v>
      </c>
      <c r="H19" s="198" t="str">
        <f>IFERROR(__xludf.DUMMYFUNCTION("GOOGLETRANSLATE(B19,""zh-tw"",""zh"")"),"指令类型装备
(请见技能栏位)")</f>
        <v>指令类型装备
(请见技能栏位)</v>
      </c>
      <c r="I19" s="403" t="str">
        <f>IFERROR(__xludf.DUMMYFUNCTION("GOOGLETRANSLATE(A19,""zh-tw"",""es-MX"")"),"¡Devuelvan las fresas!")</f>
        <v>¡Devuelvan las fresas!</v>
      </c>
      <c r="J19" s="198" t="str">
        <f>IFERROR(__xludf.DUMMYFUNCTION("GOOGLETRANSLATE(B19,""zh-tw"",""es-MX"")"),"Equipo de tipo comando
(Ver ranuras de habilidad)")</f>
        <v>Equipo de tipo comando
(Ver ranuras de habilidad)</v>
      </c>
      <c r="K19" s="403" t="str">
        <f>IFERROR(__xludf.DUMMYFUNCTION("GOOGLETRANSLATE(A19,""zh-tw"",""KO"")"),"딸기를 되찾아와!")</f>
        <v>딸기를 되찾아와!</v>
      </c>
      <c r="L19" s="198" t="str">
        <f>IFERROR(__xludf.DUMMYFUNCTION("GOOGLETRANSLATE(B19,""zh-tw"",""KO"")"),"명령형 장비
(스킬 슬롯 참조)")</f>
        <v>명령형 장비
(스킬 슬롯 참조)</v>
      </c>
      <c r="M19" s="403" t="s">
        <v>8029</v>
      </c>
      <c r="N19" s="198" t="s">
        <v>8030</v>
      </c>
      <c r="O19" s="416" t="str">
        <f>IFERROR(__xludf.DUMMYFUNCTION("GOOGLETRANSLATE(A19,""zh-tw"",""de"")"),"Holt die Erdbeeren zurück!")</f>
        <v>Holt die Erdbeeren zurück!</v>
      </c>
      <c r="P19" s="417" t="str">
        <f>IFERROR(__xludf.DUMMYFUNCTION("GOOGLETRANSLATE(B19,""zh-tw"",""de"")"),"Ausrüstung vom Typ „Befehl“
(Siehe Fertigkeitsplätze)")</f>
        <v>Ausrüstung vom Typ „Befehl“
(Siehe Fertigkeitsplätze)</v>
      </c>
      <c r="Q19" s="415" t="s">
        <v>8031</v>
      </c>
      <c r="R19" s="402" t="s">
        <v>8032</v>
      </c>
      <c r="S19" s="403" t="s">
        <v>8033</v>
      </c>
      <c r="T19" s="198" t="s">
        <v>8034</v>
      </c>
      <c r="U19" s="403"/>
      <c r="V19" s="198"/>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166" t="s">
        <v>7265</v>
      </c>
      <c r="C20" s="166" t="s">
        <v>7266</v>
      </c>
      <c r="E20" s="166" t="s">
        <v>7267</v>
      </c>
      <c r="G20" s="166" t="s">
        <v>7268</v>
      </c>
      <c r="I20" s="166"/>
      <c r="K20" s="166"/>
      <c r="M20" s="166" t="s">
        <v>7269</v>
      </c>
      <c r="O20" s="166"/>
      <c r="Q20" s="166"/>
      <c r="S20" s="166" t="s">
        <v>7270</v>
      </c>
      <c r="U20" s="166"/>
      <c r="W20" s="198"/>
      <c r="X20" s="198"/>
      <c r="Y20" s="198"/>
      <c r="Z20" s="198"/>
      <c r="AA20" s="8"/>
      <c r="AB20" s="8"/>
      <c r="AC20" s="8"/>
      <c r="AD20" s="8"/>
      <c r="AE20" s="8"/>
      <c r="AF20" s="8"/>
      <c r="AG20" s="8"/>
      <c r="AH20" s="8"/>
      <c r="AI20" s="8"/>
      <c r="AJ20" s="8"/>
      <c r="AK20" s="8"/>
      <c r="AL20" s="8"/>
      <c r="AM20" s="8"/>
      <c r="AN20" s="8"/>
      <c r="AO20" s="8"/>
      <c r="AP20" s="8"/>
      <c r="AQ20" s="8"/>
      <c r="AR20" s="8"/>
      <c r="AS20" s="8"/>
      <c r="AT20" s="8"/>
    </row>
    <row r="21">
      <c r="A21" s="400" t="s">
        <v>8035</v>
      </c>
      <c r="B21" s="202" t="s">
        <v>8036</v>
      </c>
      <c r="C21" s="399" t="s">
        <v>8037</v>
      </c>
      <c r="D21" s="167" t="s">
        <v>8038</v>
      </c>
      <c r="E21" s="399" t="s">
        <v>8039</v>
      </c>
      <c r="F21" s="167" t="s">
        <v>8040</v>
      </c>
      <c r="G21" s="403" t="str">
        <f>IFERROR(__xludf.DUMMYFUNCTION("GOOGLETRANSLATE(A21,""zh-tw"",""zh"")"),"苹果头套")</f>
        <v>苹果头套</v>
      </c>
      <c r="H21" s="198" t="str">
        <f>IFERROR(__xludf.DUMMYFUNCTION("GOOGLETRANSLATE(B21,""zh-tw"",""zh"")"),"幸运：10
概率回复")</f>
        <v>幸运：10
概率回复</v>
      </c>
      <c r="I21" s="399" t="s">
        <v>8041</v>
      </c>
      <c r="J21" s="167" t="s">
        <v>8042</v>
      </c>
      <c r="K21" s="399" t="s">
        <v>8043</v>
      </c>
      <c r="L21" s="167" t="s">
        <v>8044</v>
      </c>
      <c r="M21" s="403" t="s">
        <v>8045</v>
      </c>
      <c r="N21" s="198" t="s">
        <v>8046</v>
      </c>
      <c r="O21" s="400" t="s">
        <v>8047</v>
      </c>
      <c r="P21" s="202" t="s">
        <v>8048</v>
      </c>
      <c r="Q21" s="415" t="s">
        <v>8049</v>
      </c>
      <c r="R21" s="402" t="s">
        <v>8050</v>
      </c>
      <c r="S21" s="403" t="s">
        <v>8051</v>
      </c>
      <c r="T21" s="198" t="s">
        <v>8052</v>
      </c>
      <c r="U21" s="403"/>
      <c r="V21" s="198"/>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400" t="s">
        <v>8053</v>
      </c>
      <c r="B22" s="202" t="s">
        <v>8054</v>
      </c>
      <c r="C22" s="399" t="s">
        <v>8055</v>
      </c>
      <c r="D22" s="167" t="s">
        <v>8056</v>
      </c>
      <c r="E22" s="399" t="s">
        <v>8057</v>
      </c>
      <c r="F22" s="167" t="s">
        <v>8058</v>
      </c>
      <c r="G22" s="403" t="str">
        <f>IFERROR(__xludf.DUMMYFUNCTION("GOOGLETRANSLATE(A22,""zh-tw"",""zh"")"),"受诅胎体")</f>
        <v>受诅胎体</v>
      </c>
      <c r="H22" s="198" t="str">
        <f>IFERROR(__xludf.DUMMYFUNCTION("GOOGLETRANSLATE(B22,""zh-tw"",""zh"")"),"体力上升，基础25，额外加成2%
体力恢复效果提升20%")</f>
        <v>体力上升，基础25，额外加成2%
体力恢复效果提升20%</v>
      </c>
      <c r="I22" s="403" t="str">
        <f>IFERROR(__xludf.DUMMYFUNCTION("GOOGLETRANSLATE(A22,""zh-tw"",""es-MX"")"),"feto maldito")</f>
        <v>feto maldito</v>
      </c>
      <c r="J22" s="198" t="str">
        <f>IFERROR(__xludf.DUMMYFUNCTION("GOOGLETRANSLATE(B22,""zh-tw"",""es-MX"")"),"La resistencia aumentó desde un valor base de 25, con una bonificación adicional del 2%. El efecto de recuperación de resistencia aumentó un 20%.")</f>
        <v>La resistencia aumentó desde un valor base de 25, con una bonificación adicional del 2%. El efecto de recuperación de resistencia aumentó un 20%.</v>
      </c>
      <c r="K22" s="403" t="str">
        <f>IFERROR(__xludf.DUMMYFUNCTION("GOOGLETRANSLATE(A22,""zh-tw"",""KO"")"),"저주받은 태아")</f>
        <v>저주받은 태아</v>
      </c>
      <c r="L22" s="167" t="s">
        <v>8059</v>
      </c>
      <c r="M22" s="403" t="s">
        <v>8060</v>
      </c>
      <c r="N22" s="198" t="s">
        <v>8061</v>
      </c>
      <c r="O22" s="400" t="s">
        <v>8062</v>
      </c>
      <c r="P22" s="202" t="s">
        <v>8063</v>
      </c>
      <c r="Q22" s="415" t="s">
        <v>8064</v>
      </c>
      <c r="R22" s="402" t="s">
        <v>8065</v>
      </c>
      <c r="S22" s="403" t="s">
        <v>8066</v>
      </c>
      <c r="T22" s="198" t="s">
        <v>8067</v>
      </c>
      <c r="U22" s="403"/>
      <c r="V22" s="198"/>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400" t="s">
        <v>8068</v>
      </c>
      <c r="B23" s="202" t="s">
        <v>8069</v>
      </c>
      <c r="C23" s="399" t="s">
        <v>8070</v>
      </c>
      <c r="D23" s="167" t="s">
        <v>8071</v>
      </c>
      <c r="E23" s="399" t="s">
        <v>8072</v>
      </c>
      <c r="F23" s="167" t="s">
        <v>8073</v>
      </c>
      <c r="G23" s="403" t="str">
        <f>IFERROR(__xludf.DUMMYFUNCTION("GOOGLETRANSLATE(A23,""zh-tw"",""zh"")"),"魔力晶簇")</f>
        <v>魔力晶簇</v>
      </c>
      <c r="H23" s="198" t="str">
        <f>IFERROR(__xludf.DUMMYFUNCTION("GOOGLETRANSLATE(B23,""zh-tw"",""zh"")"),"魔攻：20
魔抗：10
加快吟唱、提升魔法威力上限")</f>
        <v>魔攻：20
魔抗：10
加快吟唱、提升魔法威力上限</v>
      </c>
      <c r="I23" s="403" t="str">
        <f>IFERROR(__xludf.DUMMYFUNCTION("GOOGLETRANSLATE(A23,""zh-tw"",""es-MX"")"),"Racimo de cristales mágicos")</f>
        <v>Racimo de cristales mágicos</v>
      </c>
      <c r="J23" s="198" t="str">
        <f>IFERROR(__xludf.DUMMYFUNCTION("GOOGLETRANSLATE(B23,""zh-tw"",""es-MX"")"),"Ataque mágico: 20
Resistencia mágica: 10
Acelera el tiempo de lanzamiento de hechizos, aumenta el poder mágico máximo")</f>
        <v>Ataque mágico: 20
Resistencia mágica: 10
Acelera el tiempo de lanzamiento de hechizos, aumenta el poder mágico máximo</v>
      </c>
      <c r="K23" s="399" t="s">
        <v>8074</v>
      </c>
      <c r="L23" s="167" t="s">
        <v>8075</v>
      </c>
      <c r="M23" s="403" t="s">
        <v>8076</v>
      </c>
      <c r="N23" s="198" t="s">
        <v>8077</v>
      </c>
      <c r="O23" s="400" t="s">
        <v>8078</v>
      </c>
      <c r="P23" s="202" t="s">
        <v>8079</v>
      </c>
      <c r="Q23" s="415" t="s">
        <v>8080</v>
      </c>
      <c r="R23" s="406" t="s">
        <v>8081</v>
      </c>
      <c r="S23" s="403" t="s">
        <v>8082</v>
      </c>
      <c r="T23" s="198" t="s">
        <v>8083</v>
      </c>
      <c r="U23" s="403"/>
      <c r="V23" s="198"/>
      <c r="W23" s="8"/>
      <c r="X23" s="8"/>
      <c r="Y23" s="8"/>
      <c r="Z23" s="8"/>
      <c r="AA23" s="8"/>
      <c r="AB23" s="8"/>
      <c r="AC23" s="8"/>
      <c r="AD23" s="8"/>
      <c r="AE23" s="8"/>
      <c r="AF23" s="8"/>
      <c r="AG23" s="8"/>
      <c r="AH23" s="8"/>
      <c r="AI23" s="8"/>
      <c r="AJ23" s="8"/>
      <c r="AK23" s="8"/>
      <c r="AL23" s="8"/>
      <c r="AM23" s="8"/>
      <c r="AN23" s="8"/>
      <c r="AO23" s="8"/>
      <c r="AP23" s="8"/>
      <c r="AQ23" s="8"/>
      <c r="AR23" s="8"/>
      <c r="AS23" s="8"/>
      <c r="AT23" s="8"/>
    </row>
    <row r="24">
      <c r="A24" s="400" t="s">
        <v>8084</v>
      </c>
      <c r="B24" s="202" t="s">
        <v>8085</v>
      </c>
      <c r="C24" s="399" t="s">
        <v>8086</v>
      </c>
      <c r="D24" s="167" t="s">
        <v>8087</v>
      </c>
      <c r="E24" s="399" t="s">
        <v>8088</v>
      </c>
      <c r="F24" s="167" t="s">
        <v>8089</v>
      </c>
      <c r="G24" s="403" t="str">
        <f>IFERROR(__xludf.DUMMYFUNCTION("GOOGLETRANSLATE(A24,""zh-tw"",""zh"")"),"借来的猫爪")</f>
        <v>借来的猫爪</v>
      </c>
      <c r="H24" s="198" t="str">
        <f>IFERROR(__xludf.DUMMYFUNCTION("GOOGLETRANSLATE(B24,""zh-tw"",""zh"")"),"物攻：5
攻击力、攻速上升")</f>
        <v>物攻：5
攻击力、攻速上升</v>
      </c>
      <c r="I24" s="399" t="s">
        <v>8090</v>
      </c>
      <c r="J24" s="198" t="str">
        <f>IFERROR(__xludf.DUMMYFUNCTION("GOOGLETRANSLATE(B24,""zh-tw"",""es-MX"")"),"Ataque físico: 5. Aumenta el poder de ataque y la velocidad de ataque.")</f>
        <v>Ataque físico: 5. Aumenta el poder de ataque y la velocidad de ataque.</v>
      </c>
      <c r="K24" s="399" t="s">
        <v>8091</v>
      </c>
      <c r="L24" s="167" t="s">
        <v>8092</v>
      </c>
      <c r="M24" s="403" t="s">
        <v>8093</v>
      </c>
      <c r="N24" s="198" t="s">
        <v>8094</v>
      </c>
      <c r="O24" s="400" t="s">
        <v>8095</v>
      </c>
      <c r="P24" s="202" t="s">
        <v>8096</v>
      </c>
      <c r="Q24" s="415" t="s">
        <v>8097</v>
      </c>
      <c r="R24" s="402" t="s">
        <v>8098</v>
      </c>
      <c r="S24" s="403" t="s">
        <v>8099</v>
      </c>
      <c r="T24" s="198" t="s">
        <v>8100</v>
      </c>
      <c r="U24" s="403"/>
      <c r="V24" s="198"/>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399" t="s">
        <v>8101</v>
      </c>
      <c r="B25" s="167" t="s">
        <v>8102</v>
      </c>
      <c r="C25" s="399" t="s">
        <v>8103</v>
      </c>
      <c r="D25" s="167" t="s">
        <v>8104</v>
      </c>
      <c r="E25" s="399" t="s">
        <v>8105</v>
      </c>
      <c r="F25" s="167" t="s">
        <v>8106</v>
      </c>
      <c r="G25" s="403" t="str">
        <f>IFERROR(__xludf.DUMMYFUNCTION("GOOGLETRANSLATE(A25,""zh-tw"",""zh"")"),"猫猫玩偶服")</f>
        <v>猫猫玩偶服</v>
      </c>
      <c r="H25" s="198" t="str">
        <f>IFERROR(__xludf.DUMMYFUNCTION("GOOGLETRANSLATE(B25,""zh-tw"",""zh"")"),"物防：3
魔抗：25
武器数量+10
装备数量+20")</f>
        <v>物防：3
魔抗：25
武器数量+10
装备数量+20</v>
      </c>
      <c r="I25" s="399" t="s">
        <v>8107</v>
      </c>
      <c r="J25" s="198" t="str">
        <f>IFERROR(__xludf.DUMMYFUNCTION("GOOGLETRANSLATE(B25,""zh-tw"",""es-MX"")"),"Defensa física: 3
Resistencia mágica: 25
Cantidad de armas: +10
Cantidad de equipo: +20")</f>
        <v>Defensa física: 3
Resistencia mágica: 25
Cantidad de armas: +10
Cantidad de equipo: +20</v>
      </c>
      <c r="K25" s="403" t="str">
        <f>IFERROR(__xludf.DUMMYFUNCTION("GOOGLETRANSLATE(A25,""zh-tw"",""KO"")"),"고양이 코스튬")</f>
        <v>고양이 코스튬</v>
      </c>
      <c r="L25" s="167" t="s">
        <v>8108</v>
      </c>
      <c r="M25" s="403" t="s">
        <v>8109</v>
      </c>
      <c r="N25" s="198" t="s">
        <v>8110</v>
      </c>
      <c r="O25" s="400" t="s">
        <v>8111</v>
      </c>
      <c r="P25" s="202" t="s">
        <v>8112</v>
      </c>
      <c r="Q25" s="415" t="s">
        <v>8113</v>
      </c>
      <c r="R25" s="406" t="s">
        <v>8114</v>
      </c>
      <c r="S25" s="403" t="s">
        <v>8115</v>
      </c>
      <c r="T25" s="198" t="s">
        <v>8116</v>
      </c>
      <c r="U25" s="403"/>
      <c r="V25" s="198"/>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400" t="s">
        <v>8117</v>
      </c>
      <c r="B26" s="202" t="s">
        <v>8118</v>
      </c>
      <c r="C26" s="399" t="s">
        <v>8119</v>
      </c>
      <c r="D26" s="167" t="s">
        <v>8120</v>
      </c>
      <c r="E26" s="399" t="s">
        <v>8121</v>
      </c>
      <c r="F26" s="167" t="s">
        <v>8122</v>
      </c>
      <c r="G26" s="403" t="str">
        <f>IFERROR(__xludf.DUMMYFUNCTION("GOOGLETRANSLATE(A26,""zh-tw"",""zh"")"),"借来的猫足")</f>
        <v>借来的猫足</v>
      </c>
      <c r="H26" s="198" t="str">
        <f>IFERROR(__xludf.DUMMYFUNCTION("GOOGLETRANSLATE(B26,""zh-tw"",""zh"")"),"攻速、移速上升
闪步冷却时间缩短")</f>
        <v>攻速、移速上升
闪步冷却时间缩短</v>
      </c>
      <c r="I26" s="403" t="str">
        <f>IFERROR(__xludf.DUMMYFUNCTION("GOOGLETRANSLATE(A26,""zh-tw"",""es-MX"")"),"pies de gato prestados")</f>
        <v>pies de gato prestados</v>
      </c>
      <c r="J26" s="198" t="str">
        <f>IFERROR(__xludf.DUMMYFUNCTION("GOOGLETRANSLATE(B26,""zh-tw"",""es-MX"")"),"Se ha aumentado la velocidad de ataque y la velocidad de movimiento; se ha reducido el tiempo de reutilización de Paso Relámpago.")</f>
        <v>Se ha aumentado la velocidad de ataque y la velocidad de movimiento; se ha reducido el tiempo de reutilización de Paso Relámpago.</v>
      </c>
      <c r="K26" s="399" t="s">
        <v>8123</v>
      </c>
      <c r="L26" s="167" t="s">
        <v>8124</v>
      </c>
      <c r="M26" s="403" t="s">
        <v>6626</v>
      </c>
      <c r="N26" s="198" t="s">
        <v>8125</v>
      </c>
      <c r="O26" s="400" t="s">
        <v>8126</v>
      </c>
      <c r="P26" s="202" t="s">
        <v>8127</v>
      </c>
      <c r="Q26" s="415" t="s">
        <v>8128</v>
      </c>
      <c r="R26" s="402" t="s">
        <v>8129</v>
      </c>
      <c r="S26" s="403" t="s">
        <v>8130</v>
      </c>
      <c r="T26" s="198" t="s">
        <v>8131</v>
      </c>
      <c r="U26" s="403"/>
      <c r="V26" s="198"/>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399" t="s">
        <v>8132</v>
      </c>
      <c r="B27" s="167" t="s">
        <v>8133</v>
      </c>
      <c r="C27" s="399" t="s">
        <v>4427</v>
      </c>
      <c r="D27" s="167" t="s">
        <v>8134</v>
      </c>
      <c r="E27" s="399" t="s">
        <v>8135</v>
      </c>
      <c r="F27" s="167" t="s">
        <v>8136</v>
      </c>
      <c r="G27" s="403" t="str">
        <f>IFERROR(__xludf.DUMMYFUNCTION("GOOGLETRANSLATE(A27,""zh-tw"",""zh"")"),"宝石剑")</f>
        <v>宝石剑</v>
      </c>
      <c r="H27" s="198" t="str">
        <f>IFERROR(__xludf.DUMMYFUNCTION("GOOGLETRANSLATE(B27,""zh-tw"",""zh"")"),"魔攻：15
魔抗：20
幸运：20
消耗宝石强化攻击")</f>
        <v>魔攻：15
魔抗：20
幸运：20
消耗宝石强化攻击</v>
      </c>
      <c r="I27" s="403" t="str">
        <f>IFERROR(__xludf.DUMMYFUNCTION("GOOGLETRANSLATE(A27,""zh-tw"",""es-MX"")"),"Espada enjoyada")</f>
        <v>Espada enjoyada</v>
      </c>
      <c r="J27" s="198" t="str">
        <f>IFERROR(__xludf.DUMMYFUNCTION("GOOGLETRANSLATE(B27,""zh-tw"",""es-MX"")"),"Ataque mágico: 15
Resistencia mágica: 20
Suerte: 20
Consume gemas para mejorar el ataque")</f>
        <v>Ataque mágico: 15
Resistencia mágica: 20
Suerte: 20
Consume gemas para mejorar el ataque</v>
      </c>
      <c r="K27" s="403" t="str">
        <f>IFERROR(__xludf.DUMMYFUNCTION("GOOGLETRANSLATE(A27,""zh-tw"",""KO"")"),"보석 박힌 검")</f>
        <v>보석 박힌 검</v>
      </c>
      <c r="L27" s="198" t="str">
        <f>IFERROR(__xludf.DUMMYFUNCTION("GOOGLETRANSLATE(B27,""zh-tw"",""KO"")"),"마법 공격력: 15
마법 저항력: 20
행운: 20
보석을 소모하여 공격력을 강화하세요")</f>
        <v>마법 공격력: 15
마법 저항력: 20
행운: 20
보석을 소모하여 공격력을 강화하세요</v>
      </c>
      <c r="M27" s="403" t="s">
        <v>8137</v>
      </c>
      <c r="N27" s="198" t="s">
        <v>8138</v>
      </c>
      <c r="O27" s="416" t="str">
        <f>IFERROR(__xludf.DUMMYFUNCTION("GOOGLETRANSLATE(A27,""zh-tw"",""de"")"),"Juwelenschwert")</f>
        <v>Juwelenschwert</v>
      </c>
      <c r="P27" s="417" t="str">
        <f>IFERROR(__xludf.DUMMYFUNCTION("GOOGLETRANSLATE(B27,""zh-tw"",""de"")"),"Magischer Angriff: 15
Magieresistenz: 20
Glück: 20
Verbrauche Edelsteine, um den Angriff zu erhöhen")</f>
        <v>Magischer Angriff: 15
Magieresistenz: 20
Glück: 20
Verbrauche Edelsteine, um den Angriff zu erhöhen</v>
      </c>
      <c r="Q27" s="415" t="s">
        <v>8139</v>
      </c>
      <c r="R27" s="49" t="s">
        <v>8140</v>
      </c>
      <c r="S27" s="403" t="s">
        <v>8141</v>
      </c>
      <c r="T27" s="198" t="s">
        <v>8142</v>
      </c>
      <c r="U27" s="403"/>
      <c r="V27" s="198"/>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399" t="s">
        <v>8143</v>
      </c>
      <c r="B28" s="167" t="s">
        <v>8144</v>
      </c>
      <c r="C28" s="399" t="s">
        <v>8145</v>
      </c>
      <c r="D28" s="167" t="s">
        <v>8146</v>
      </c>
      <c r="E28" s="399" t="s">
        <v>8147</v>
      </c>
      <c r="F28" s="167" t="s">
        <v>8148</v>
      </c>
      <c r="G28" s="403" t="str">
        <f>IFERROR(__xludf.DUMMYFUNCTION("GOOGLETRANSLATE(A28,""zh-tw"",""zh"")"),"破颜拳套")</f>
        <v>破颜拳套</v>
      </c>
      <c r="H28" s="198" t="str">
        <f>IFERROR(__xludf.DUMMYFUNCTION("GOOGLETRANSLATE(B28,""zh-tw"",""zh"")"),"物攻：6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28" s="399" t="s">
        <v>8149</v>
      </c>
      <c r="J28" s="167" t="s">
        <v>8150</v>
      </c>
      <c r="K28" s="403" t="str">
        <f>IFERROR(__xludf.DUMMYFUNCTION("GOOGLETRANSLATE(A28,""zh-tw"",""KO"")"),"얼굴을 부수는 장갑")</f>
        <v>얼굴을 부수는 장갑</v>
      </c>
      <c r="L28" s="198" t="str">
        <f>IFERROR(__xludf.DUMMYFUNCTION("GOOGLETRANSLATE(B28,""zh-tw"",""KO"")"),"물리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28" s="403" t="s">
        <v>8151</v>
      </c>
      <c r="N28" s="198" t="s">
        <v>8152</v>
      </c>
      <c r="O28" s="400" t="s">
        <v>8153</v>
      </c>
      <c r="P28" s="202" t="s">
        <v>8154</v>
      </c>
      <c r="Q28" s="415" t="s">
        <v>8155</v>
      </c>
      <c r="R28" s="406" t="s">
        <v>8156</v>
      </c>
      <c r="S28" s="403" t="s">
        <v>8157</v>
      </c>
      <c r="T28" s="198" t="s">
        <v>8158</v>
      </c>
      <c r="U28" s="403"/>
      <c r="V28" s="198"/>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400" t="s">
        <v>8159</v>
      </c>
      <c r="B29" s="202" t="s">
        <v>8160</v>
      </c>
      <c r="C29" s="399" t="s">
        <v>8161</v>
      </c>
      <c r="D29" s="167" t="s">
        <v>8162</v>
      </c>
      <c r="E29" s="399" t="s">
        <v>8163</v>
      </c>
      <c r="F29" s="167" t="s">
        <v>8164</v>
      </c>
      <c r="G29" s="403" t="str">
        <f>IFERROR(__xludf.DUMMYFUNCTION("GOOGLETRANSLATE(A29,""zh-tw"",""zh"")"),"萌萌兔耳")</f>
        <v>萌萌兔耳</v>
      </c>
      <c r="H29" s="198" t="str">
        <f>IFERROR(__xludf.DUMMYFUNCTION("GOOGLETRANSLATE(B29,""zh-tw"",""zh"")"),"物防：1
幸运：60
增加物品掉落率")</f>
        <v>物防：1
幸运：60
增加物品掉落率</v>
      </c>
      <c r="I29" s="403" t="str">
        <f>IFERROR(__xludf.DUMMYFUNCTION("GOOGLETRANSLATE(A29,""zh-tw"",""es-MX"")"),"Lindas orejas de conejito")</f>
        <v>Lindas orejas de conejito</v>
      </c>
      <c r="J29" s="198" t="str">
        <f>IFERROR(__xludf.DUMMYFUNCTION("GOOGLETRANSLATE(B29,""zh-tw"",""es-MX"")"),"Defensa física: 1
Suerte: 60
Aumenta la probabilidad de obtener objetos")</f>
        <v>Defensa física: 1
Suerte: 60
Aumenta la probabilidad de obtener objetos</v>
      </c>
      <c r="K29" s="403" t="str">
        <f>IFERROR(__xludf.DUMMYFUNCTION("GOOGLETRANSLATE(A29,""zh-tw"",""KO"")"),"귀여운 토끼 귀")</f>
        <v>귀여운 토끼 귀</v>
      </c>
      <c r="L29" s="198" t="str">
        <f>IFERROR(__xludf.DUMMYFUNCTION("GOOGLETRANSLATE(B29,""zh-tw"",""KO"")"),"물리 방어력: 1
행운: 60
아이템 드롭률 증가")</f>
        <v>물리 방어력: 1
행운: 60
아이템 드롭률 증가</v>
      </c>
      <c r="M29" s="403" t="s">
        <v>8165</v>
      </c>
      <c r="N29" s="198" t="s">
        <v>8166</v>
      </c>
      <c r="O29" s="400" t="s">
        <v>8167</v>
      </c>
      <c r="P29" s="202" t="s">
        <v>8168</v>
      </c>
      <c r="Q29" s="415" t="s">
        <v>8169</v>
      </c>
      <c r="R29" s="406" t="s">
        <v>8170</v>
      </c>
      <c r="S29" s="403" t="s">
        <v>8171</v>
      </c>
      <c r="T29" s="198" t="s">
        <v>8172</v>
      </c>
      <c r="U29" s="403"/>
      <c r="V29" s="198"/>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400" t="s">
        <v>8173</v>
      </c>
      <c r="B30" s="202" t="s">
        <v>8174</v>
      </c>
      <c r="C30" s="399" t="s">
        <v>8175</v>
      </c>
      <c r="D30" s="167" t="s">
        <v>8176</v>
      </c>
      <c r="E30" s="399" t="s">
        <v>8177</v>
      </c>
      <c r="F30" s="167" t="s">
        <v>8178</v>
      </c>
      <c r="G30" s="403" t="str">
        <f>IFERROR(__xludf.DUMMYFUNCTION("GOOGLETRANSLATE(A30,""zh-tw"",""zh"")"),"女仆制服")</f>
        <v>女仆制服</v>
      </c>
      <c r="H30" s="198" t="str">
        <f>IFERROR(__xludf.DUMMYFUNCTION("GOOGLETRANSLATE(B30,""zh-tw"",""zh"")"),"物防：4
魔抗：4
幸运：30
无法攻击、特殊效果")</f>
        <v>物防：4
魔抗：4
幸运：30
无法攻击、特殊效果</v>
      </c>
      <c r="I30" s="403" t="str">
        <f>IFERROR(__xludf.DUMMYFUNCTION("GOOGLETRANSLATE(A30,""zh-tw"",""es-MX"")"),"Uniforme de sirvienta")</f>
        <v>Uniforme de sirvienta</v>
      </c>
      <c r="J30" s="198" t="str">
        <f>IFERROR(__xludf.DUMMYFUNCTION("GOOGLETRANSLATE(B30,""zh-tw"",""es-MX"")"),"Defensa física: 4
Resistencia mágica: 4
Suerte: 30
No puede atacar, efecto especial")</f>
        <v>Defensa física: 4
Resistencia mágica: 4
Suerte: 30
No puede atacar, efecto especial</v>
      </c>
      <c r="K30" s="400" t="s">
        <v>8179</v>
      </c>
      <c r="L30" s="167" t="s">
        <v>8180</v>
      </c>
      <c r="M30" s="403" t="s">
        <v>8181</v>
      </c>
      <c r="N30" s="198" t="s">
        <v>8182</v>
      </c>
      <c r="O30" s="400" t="s">
        <v>8183</v>
      </c>
      <c r="P30" s="202" t="s">
        <v>8184</v>
      </c>
      <c r="Q30" s="415" t="s">
        <v>8185</v>
      </c>
      <c r="R30" s="402" t="s">
        <v>8186</v>
      </c>
      <c r="S30" s="403" t="s">
        <v>8187</v>
      </c>
      <c r="T30" s="198" t="s">
        <v>8188</v>
      </c>
      <c r="U30" s="403"/>
      <c r="V30" s="198"/>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400" t="s">
        <v>8189</v>
      </c>
      <c r="B31" s="202" t="s">
        <v>8190</v>
      </c>
      <c r="C31" s="399" t="s">
        <v>8191</v>
      </c>
      <c r="D31" s="167" t="s">
        <v>8192</v>
      </c>
      <c r="E31" s="399" t="s">
        <v>8193</v>
      </c>
      <c r="F31" s="167" t="s">
        <v>8194</v>
      </c>
      <c r="G31" s="403" t="str">
        <f>IFERROR(__xludf.DUMMYFUNCTION("GOOGLETRANSLATE(A31,""zh-tw"",""zh"")"),"毅力头巾")</f>
        <v>毅力头巾</v>
      </c>
      <c r="H31" s="198" t="str">
        <f>IFERROR(__xludf.DUMMYFUNCTION("GOOGLETRANSLATE(B31,""zh-tw"",""zh"")"),"物防：2
体力上升5%、增加了15%全异常抗性、15%机率免死")</f>
        <v>物防：2
体力上升5%、增加了15%全异常抗性、15%机率免死</v>
      </c>
      <c r="I31" s="403" t="str">
        <f>IFERROR(__xludf.DUMMYFUNCTION("GOOGLETRANSLATE(A31,""zh-tw"",""es-MX"")"),"Diadema de la perseverancia")</f>
        <v>Diadema de la perseverancia</v>
      </c>
      <c r="J31" s="198" t="str">
        <f>IFERROR(__xludf.DUMMYFUNCTION("GOOGLETRANSLATE(B31,""zh-tw"",""es-MX"")"),"Defensa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1" s="399" t="s">
        <v>8195</v>
      </c>
      <c r="L31" s="167" t="s">
        <v>8196</v>
      </c>
      <c r="M31" s="403" t="s">
        <v>8197</v>
      </c>
      <c r="N31" s="198" t="s">
        <v>8198</v>
      </c>
      <c r="O31" s="400" t="s">
        <v>8199</v>
      </c>
      <c r="P31" s="202" t="s">
        <v>8200</v>
      </c>
      <c r="Q31" s="415" t="s">
        <v>8201</v>
      </c>
      <c r="R31" s="402" t="s">
        <v>8202</v>
      </c>
      <c r="S31" s="403" t="s">
        <v>8203</v>
      </c>
      <c r="T31" s="198" t="s">
        <v>8204</v>
      </c>
      <c r="U31" s="403"/>
      <c r="V31" s="198"/>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399" t="s">
        <v>8205</v>
      </c>
      <c r="B32" s="167" t="s">
        <v>8206</v>
      </c>
      <c r="C32" s="399" t="s">
        <v>8207</v>
      </c>
      <c r="D32" s="167" t="s">
        <v>8208</v>
      </c>
      <c r="E32" s="403" t="str">
        <f>IFERROR(__xludf.DUMMYFUNCTION("GOOGLETRANSLATE(A32,""zh-tw"",""en"")"),"Martial Arts Wristguards")</f>
        <v>Martial Arts Wristguards</v>
      </c>
      <c r="F32" s="167" t="s">
        <v>8209</v>
      </c>
      <c r="G32" s="403" t="str">
        <f>IFERROR(__xludf.DUMMYFUNCTION("GOOGLETRANSLATE(A32,""zh-tw"",""zh"")"),"武术家护腕")</f>
        <v>武术家护腕</v>
      </c>
      <c r="H32" s="198" t="str">
        <f>IFERROR(__xludf.DUMMYFUNCTION("GOOGLETRANSLATE(B32,""zh-tw"",""zh"")"),"物攻：3
减少物理系武器耐久消耗、提升攻速和拳击的伤害")</f>
        <v>物攻：3
减少物理系武器耐久消耗、提升攻速和拳击的伤害</v>
      </c>
      <c r="I32" s="403" t="str">
        <f>IFERROR(__xludf.DUMMYFUNCTION("GOOGLETRANSLATE(A32,""zh-tw"",""es-MX"")"),"Muñequeras para artes marciales")</f>
        <v>Muñequeras para artes marciales</v>
      </c>
      <c r="J32" s="198" t="str">
        <f>IFERROR(__xludf.DUMMYFUNCTION("GOOGLETRANSLATE(B32,""zh-tw"",""es-MX"")"),"Ataque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2" s="403" t="str">
        <f>IFERROR(__xludf.DUMMYFUNCTION("GOOGLETRANSLATE(A32,""zh-tw"",""KO"")"),"무술용 손목 보호대")</f>
        <v>무술용 손목 보호대</v>
      </c>
      <c r="L32" s="198" t="str">
        <f>IFERROR(__xludf.DUMMYFUNCTION("GOOGLETRANSLATE(B32,""zh-tw"",""KO"")"),"물리 공격: 3 물리 무기의 내구도 소모를 줄이고, 공격 속도와 주먹 공격력을 증가시킵니다.")</f>
        <v>물리 공격: 3 물리 무기의 내구도 소모를 줄이고, 공격 속도와 주먹 공격력을 증가시킵니다.</v>
      </c>
      <c r="M32" s="403" t="s">
        <v>8210</v>
      </c>
      <c r="N32" s="198" t="s">
        <v>8211</v>
      </c>
      <c r="O32" s="400" t="s">
        <v>8212</v>
      </c>
      <c r="P32" s="202" t="s">
        <v>8213</v>
      </c>
      <c r="Q32" s="415" t="s">
        <v>8214</v>
      </c>
      <c r="R32" s="406" t="s">
        <v>8215</v>
      </c>
      <c r="S32" s="403" t="s">
        <v>8216</v>
      </c>
      <c r="T32" s="198" t="s">
        <v>8217</v>
      </c>
      <c r="U32" s="403"/>
      <c r="V32" s="198"/>
      <c r="W32" s="8"/>
      <c r="X32" s="8"/>
      <c r="Y32" s="8"/>
      <c r="Z32" s="8"/>
      <c r="AA32" s="8"/>
      <c r="AB32" s="8"/>
      <c r="AC32" s="8"/>
      <c r="AD32" s="8"/>
      <c r="AE32" s="8"/>
      <c r="AF32" s="8"/>
      <c r="AG32" s="8"/>
      <c r="AH32" s="8"/>
      <c r="AI32" s="8"/>
      <c r="AJ32" s="8"/>
      <c r="AK32" s="8"/>
      <c r="AL32" s="8"/>
      <c r="AM32" s="8"/>
      <c r="AN32" s="8"/>
      <c r="AO32" s="8"/>
      <c r="AP32" s="8"/>
      <c r="AQ32" s="8"/>
      <c r="AR32" s="8"/>
      <c r="AS32" s="8"/>
      <c r="AT32" s="8"/>
    </row>
    <row r="33">
      <c r="A33" s="400" t="s">
        <v>8218</v>
      </c>
      <c r="B33" s="202" t="s">
        <v>8219</v>
      </c>
      <c r="C33" s="399" t="s">
        <v>8220</v>
      </c>
      <c r="D33" s="167" t="s">
        <v>8221</v>
      </c>
      <c r="E33" s="399" t="s">
        <v>8222</v>
      </c>
      <c r="F33" s="167" t="s">
        <v>8223</v>
      </c>
      <c r="G33" s="403" t="str">
        <f>IFERROR(__xludf.DUMMYFUNCTION("GOOGLETRANSLATE(A33,""zh-tw"",""zh"")"),"武术家之鞋")</f>
        <v>武术家之鞋</v>
      </c>
      <c r="H33" s="198" t="str">
        <f>IFERROR(__xludf.DUMMYFUNCTION("GOOGLETRANSLATE(B33,""zh-tw"",""zh"")"),"物防：2
魔抗：10
闪步效果强化")</f>
        <v>物防：2
魔抗：10
闪步效果强化</v>
      </c>
      <c r="I33" s="403" t="str">
        <f>IFERROR(__xludf.DUMMYFUNCTION("GOOGLETRANSLATE(A33,""zh-tw"",""es-MX"")"),"Zapatos de artista marcial")</f>
        <v>Zapatos de artista marcial</v>
      </c>
      <c r="J33" s="198" t="str">
        <f>IFERROR(__xludf.DUMMYFUNCTION("GOOGLETRANSLATE(B33,""zh-tw"",""es-MX"")"),"Defensa física: 2
Resistencia mágica: 10
Mejora del efecto de Paso relámpago")</f>
        <v>Defensa física: 2
Resistencia mágica: 10
Mejora del efecto de Paso relámpago</v>
      </c>
      <c r="K33" s="403" t="str">
        <f>IFERROR(__xludf.DUMMYFUNCTION("GOOGLETRANSLATE(A33,""zh-tw"",""KO"")"),"무술가용 신발")</f>
        <v>무술가용 신발</v>
      </c>
      <c r="L33" s="198" t="str">
        <f>IFERROR(__xludf.DUMMYFUNCTION("GOOGLETRANSLATE(B33,""zh-tw"",""KO"")"),"물리 방어력: 2
마법 저항력: 10
플래시 스텝 효과 강화")</f>
        <v>물리 방어력: 2
마법 저항력: 10
플래시 스텝 효과 강화</v>
      </c>
      <c r="M33" s="403" t="s">
        <v>8224</v>
      </c>
      <c r="N33" s="198" t="s">
        <v>8225</v>
      </c>
      <c r="O33" s="400" t="s">
        <v>8226</v>
      </c>
      <c r="P33" s="202" t="s">
        <v>8227</v>
      </c>
      <c r="Q33" s="415" t="s">
        <v>8228</v>
      </c>
      <c r="R33" s="406" t="s">
        <v>8229</v>
      </c>
      <c r="S33" s="403" t="s">
        <v>8230</v>
      </c>
      <c r="T33" s="198" t="s">
        <v>8231</v>
      </c>
      <c r="U33" s="403"/>
      <c r="V33" s="198"/>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400" t="s">
        <v>8232</v>
      </c>
      <c r="B34" s="202" t="s">
        <v>8233</v>
      </c>
      <c r="C34" s="399" t="s">
        <v>8234</v>
      </c>
      <c r="D34" s="167" t="s">
        <v>8235</v>
      </c>
      <c r="E34" s="399" t="s">
        <v>8236</v>
      </c>
      <c r="F34" s="167" t="s">
        <v>8237</v>
      </c>
      <c r="G34" s="403" t="str">
        <f>IFERROR(__xludf.DUMMYFUNCTION("GOOGLETRANSLATE(A34,""zh-tw"",""zh"")"),"穿刺钉盔")</f>
        <v>穿刺钉盔</v>
      </c>
      <c r="H34" s="198" t="str">
        <f>IFERROR(__xludf.DUMMYFUNCTION("GOOGLETRANSLATE(B34,""zh-tw"",""zh"")"),"物攻：4
物防：2
伤害型防具")</f>
        <v>物攻：4
物防：2
伤害型防具</v>
      </c>
      <c r="I34" s="403" t="str">
        <f>IFERROR(__xludf.DUMMYFUNCTION("GOOGLETRANSLATE(A34,""zh-tw"",""es-MX"")"),"Casco perforado")</f>
        <v>Casco perforado</v>
      </c>
      <c r="J34" s="198" t="str">
        <f>IFERROR(__xludf.DUMMYFUNCTION("GOOGLETRANSLATE(B34,""zh-tw"",""es-MX"")"),"Ataque físico: 4
Defensa física: 2
Armadura que inflige daño")</f>
        <v>Ataque físico: 4
Defensa física: 2
Armadura que inflige daño</v>
      </c>
      <c r="K34" s="399" t="s">
        <v>8238</v>
      </c>
      <c r="L34" s="167" t="s">
        <v>8239</v>
      </c>
      <c r="M34" s="403" t="s">
        <v>8240</v>
      </c>
      <c r="N34" s="198" t="s">
        <v>8241</v>
      </c>
      <c r="O34" s="400" t="s">
        <v>8242</v>
      </c>
      <c r="P34" s="202" t="s">
        <v>8243</v>
      </c>
      <c r="Q34" s="415" t="s">
        <v>8244</v>
      </c>
      <c r="R34" s="402" t="s">
        <v>8245</v>
      </c>
      <c r="S34" s="403" t="s">
        <v>8246</v>
      </c>
      <c r="T34" s="198" t="s">
        <v>8247</v>
      </c>
      <c r="U34" s="403"/>
      <c r="V34" s="198"/>
      <c r="W34" s="8"/>
      <c r="X34" s="8"/>
      <c r="Y34" s="8"/>
      <c r="Z34" s="8"/>
      <c r="AA34" s="8"/>
      <c r="AB34" s="8"/>
      <c r="AC34" s="8"/>
      <c r="AD34" s="8"/>
      <c r="AE34" s="8"/>
      <c r="AF34" s="8"/>
      <c r="AG34" s="8"/>
      <c r="AH34" s="8"/>
      <c r="AI34" s="8"/>
      <c r="AJ34" s="8"/>
      <c r="AK34" s="8"/>
      <c r="AL34" s="8"/>
      <c r="AM34" s="8"/>
      <c r="AN34" s="8"/>
      <c r="AO34" s="8"/>
      <c r="AP34" s="8"/>
      <c r="AQ34" s="8"/>
      <c r="AR34" s="8"/>
      <c r="AS34" s="8"/>
      <c r="AT34" s="8"/>
    </row>
    <row r="35">
      <c r="A35" s="400" t="s">
        <v>8248</v>
      </c>
      <c r="B35" s="202" t="s">
        <v>8249</v>
      </c>
      <c r="C35" s="399" t="s">
        <v>8250</v>
      </c>
      <c r="D35" s="167" t="s">
        <v>8251</v>
      </c>
      <c r="E35" s="399" t="s">
        <v>8252</v>
      </c>
      <c r="F35" s="167" t="s">
        <v>8253</v>
      </c>
      <c r="G35" s="403" t="str">
        <f>IFERROR(__xludf.DUMMYFUNCTION("GOOGLETRANSLATE(A35,""zh-tw"",""zh"")"),"穿刺钉甲")</f>
        <v>穿刺钉甲</v>
      </c>
      <c r="H35" s="198" t="str">
        <f>IFERROR(__xludf.DUMMYFUNCTION("GOOGLETRANSLATE(B35,""zh-tw"",""zh"")"),"物攻：2
物防：6
伤害型防具")</f>
        <v>物攻：2
物防：6
伤害型防具</v>
      </c>
      <c r="I35" s="403" t="str">
        <f>IFERROR(__xludf.DUMMYFUNCTION("GOOGLETRANSLATE(A35,""zh-tw"",""es-MX"")"),"Armadura de uñas perforantes")</f>
        <v>Armadura de uñas perforantes</v>
      </c>
      <c r="J35" s="198" t="str">
        <f>IFERROR(__xludf.DUMMYFUNCTION("GOOGLETRANSLATE(B35,""zh-tw"",""es-MX"")"),"Ataque físico: 2 Defensa física: 6 Armadura que inflige daño")</f>
        <v>Ataque físico: 2 Defensa física: 6 Armadura que inflige daño</v>
      </c>
      <c r="K35" s="399" t="s">
        <v>8254</v>
      </c>
      <c r="L35" s="167" t="s">
        <v>8255</v>
      </c>
      <c r="M35" s="403" t="s">
        <v>8256</v>
      </c>
      <c r="N35" s="198" t="s">
        <v>8257</v>
      </c>
      <c r="O35" s="400" t="s">
        <v>8258</v>
      </c>
      <c r="P35" s="202" t="s">
        <v>8259</v>
      </c>
      <c r="Q35" s="415" t="s">
        <v>8260</v>
      </c>
      <c r="R35" s="402" t="s">
        <v>8261</v>
      </c>
      <c r="S35" s="403" t="s">
        <v>8262</v>
      </c>
      <c r="T35" s="198" t="s">
        <v>8263</v>
      </c>
      <c r="U35" s="403"/>
      <c r="V35" s="198"/>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400" t="s">
        <v>8264</v>
      </c>
      <c r="B36" s="202" t="s">
        <v>8265</v>
      </c>
      <c r="C36" s="399" t="s">
        <v>8266</v>
      </c>
      <c r="D36" s="167" t="s">
        <v>8267</v>
      </c>
      <c r="E36" s="399" t="s">
        <v>8268</v>
      </c>
      <c r="F36" s="167" t="s">
        <v>8269</v>
      </c>
      <c r="G36" s="403" t="str">
        <f>IFERROR(__xludf.DUMMYFUNCTION("GOOGLETRANSLATE(A36,""zh-tw"",""zh"")"),"穿刺臂铠")</f>
        <v>穿刺臂铠</v>
      </c>
      <c r="H36" s="198" t="str">
        <f>IFERROR(__xludf.DUMMYFUNCTION("GOOGLETRANSLATE(B36,""zh-tw"",""zh"")"),"物攻：5
物防：1
伤害型防具")</f>
        <v>物攻：5
物防：1
伤害型防具</v>
      </c>
      <c r="I36" s="403" t="str">
        <f>IFERROR(__xludf.DUMMYFUNCTION("GOOGLETRANSLATE(A36,""zh-tw"",""es-MX"")"),"Armadura de brazo perforante")</f>
        <v>Armadura de brazo perforante</v>
      </c>
      <c r="J36" s="198" t="str">
        <f>IFERROR(__xludf.DUMMYFUNCTION("GOOGLETRANSLATE(B36,""zh-tw"",""es-MX"")"),"Ataque físico: 5
Defensa física: 1
Armadura que inflige daño")</f>
        <v>Ataque físico: 5
Defensa física: 1
Armadura que inflige daño</v>
      </c>
      <c r="K36" s="399" t="s">
        <v>8270</v>
      </c>
      <c r="L36" s="167" t="s">
        <v>8271</v>
      </c>
      <c r="M36" s="403" t="s">
        <v>8272</v>
      </c>
      <c r="N36" s="198" t="s">
        <v>8273</v>
      </c>
      <c r="O36" s="400" t="s">
        <v>8274</v>
      </c>
      <c r="P36" s="202" t="s">
        <v>8275</v>
      </c>
      <c r="Q36" s="415" t="s">
        <v>8276</v>
      </c>
      <c r="R36" s="402" t="s">
        <v>8277</v>
      </c>
      <c r="S36" s="403" t="s">
        <v>8278</v>
      </c>
      <c r="T36" s="198" t="s">
        <v>8279</v>
      </c>
      <c r="U36" s="403"/>
      <c r="V36" s="198"/>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400" t="s">
        <v>8280</v>
      </c>
      <c r="B37" s="202" t="s">
        <v>8281</v>
      </c>
      <c r="C37" s="399" t="s">
        <v>8282</v>
      </c>
      <c r="D37" s="167" t="s">
        <v>8283</v>
      </c>
      <c r="E37" s="399" t="s">
        <v>8284</v>
      </c>
      <c r="F37" s="167" t="s">
        <v>8285</v>
      </c>
      <c r="G37" s="403" t="str">
        <f>IFERROR(__xludf.DUMMYFUNCTION("GOOGLETRANSLATE(A37,""zh-tw"",""zh"")"),"穿刺钉鞋")</f>
        <v>穿刺钉鞋</v>
      </c>
      <c r="H37" s="198" t="str">
        <f>IFERROR(__xludf.DUMMYFUNCTION("GOOGLETRANSLATE(B37,""zh-tw"",""zh"")"),"物攻：2
物防：2
伤害型防具")</f>
        <v>物攻：2
物防：2
伤害型防具</v>
      </c>
      <c r="I37" s="399" t="s">
        <v>8286</v>
      </c>
      <c r="J37" s="198" t="str">
        <f>IFERROR(__xludf.DUMMYFUNCTION("GOOGLETRANSLATE(B37,""zh-tw"",""es-MX"")"),"Ataque físico: 2 Defensa física: 2 Armadura que inflige daño")</f>
        <v>Ataque físico: 2 Defensa física: 2 Armadura que inflige daño</v>
      </c>
      <c r="K37" s="399" t="s">
        <v>8287</v>
      </c>
      <c r="L37" s="167" t="s">
        <v>8288</v>
      </c>
      <c r="M37" s="403" t="s">
        <v>8289</v>
      </c>
      <c r="N37" s="198" t="s">
        <v>8290</v>
      </c>
      <c r="O37" s="400" t="s">
        <v>8291</v>
      </c>
      <c r="P37" s="202" t="s">
        <v>8292</v>
      </c>
      <c r="Q37" s="415" t="s">
        <v>8293</v>
      </c>
      <c r="R37" s="402" t="s">
        <v>8294</v>
      </c>
      <c r="S37" s="403" t="s">
        <v>8284</v>
      </c>
      <c r="T37" s="198" t="s">
        <v>8295</v>
      </c>
      <c r="U37" s="403"/>
      <c r="V37" s="198"/>
      <c r="W37" s="8"/>
      <c r="X37" s="8"/>
      <c r="Y37" s="8"/>
      <c r="Z37" s="8"/>
      <c r="AA37" s="8"/>
      <c r="AB37" s="8"/>
      <c r="AC37" s="8"/>
      <c r="AD37" s="8"/>
      <c r="AE37" s="8"/>
      <c r="AF37" s="8"/>
      <c r="AG37" s="8"/>
      <c r="AH37" s="8"/>
      <c r="AI37" s="8"/>
      <c r="AJ37" s="8"/>
      <c r="AK37" s="8"/>
      <c r="AL37" s="8"/>
      <c r="AM37" s="8"/>
      <c r="AN37" s="8"/>
      <c r="AO37" s="8"/>
      <c r="AP37" s="8"/>
      <c r="AQ37" s="8"/>
      <c r="AR37" s="8"/>
      <c r="AS37" s="8"/>
      <c r="AT37" s="8"/>
    </row>
    <row r="38">
      <c r="A38" s="400" t="s">
        <v>8296</v>
      </c>
      <c r="B38" s="202" t="s">
        <v>8297</v>
      </c>
      <c r="C38" s="399" t="s">
        <v>8298</v>
      </c>
      <c r="D38" s="167" t="s">
        <v>8299</v>
      </c>
      <c r="E38" s="399" t="s">
        <v>8300</v>
      </c>
      <c r="F38" s="167" t="s">
        <v>8301</v>
      </c>
      <c r="G38" s="403" t="str">
        <f>IFERROR(__xludf.DUMMYFUNCTION("GOOGLETRANSLATE(A38,""zh-tw"",""zh"")"),"骑士头盔")</f>
        <v>骑士头盔</v>
      </c>
      <c r="H38" s="198" t="str">
        <f>IFERROR(__xludf.DUMMYFUNCTION("GOOGLETRANSLATE(B38,""zh-tw"",""zh"")"),"物防：5
魔抗：2
低体力加防御")</f>
        <v>物防：5
魔抗：2
低体力加防御</v>
      </c>
      <c r="I38" s="403" t="str">
        <f>IFERROR(__xludf.DUMMYFUNCTION("GOOGLETRANSLATE(A38,""zh-tw"",""es-MX"")"),"Casco de caballero")</f>
        <v>Casco de caballero</v>
      </c>
      <c r="J38" s="198" t="str">
        <f>IFERROR(__xludf.DUMMYFUNCTION("GOOGLETRANSLATE(B38,""zh-tw"",""es-MX"")"),"Defensa física: 5
Resistencia mágica: 2
Pocos puntos de vida aumentan la defensa")</f>
        <v>Defensa física: 5
Resistencia mágica: 2
Pocos puntos de vida aumentan la defensa</v>
      </c>
      <c r="K38" s="399" t="s">
        <v>8302</v>
      </c>
      <c r="L38" s="167" t="s">
        <v>8303</v>
      </c>
      <c r="M38" s="403" t="s">
        <v>8304</v>
      </c>
      <c r="N38" s="198" t="s">
        <v>8305</v>
      </c>
      <c r="O38" s="400" t="s">
        <v>8306</v>
      </c>
      <c r="P38" s="202" t="s">
        <v>8307</v>
      </c>
      <c r="Q38" s="415" t="s">
        <v>8308</v>
      </c>
      <c r="R38" s="406" t="s">
        <v>8309</v>
      </c>
      <c r="S38" s="403" t="s">
        <v>8310</v>
      </c>
      <c r="T38" s="198" t="s">
        <v>8311</v>
      </c>
      <c r="U38" s="403"/>
      <c r="V38" s="198"/>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400" t="s">
        <v>8312</v>
      </c>
      <c r="B39" s="202" t="s">
        <v>8313</v>
      </c>
      <c r="C39" s="399" t="s">
        <v>8314</v>
      </c>
      <c r="D39" s="167" t="s">
        <v>8315</v>
      </c>
      <c r="E39" s="399" t="s">
        <v>8316</v>
      </c>
      <c r="F39" s="167" t="s">
        <v>8317</v>
      </c>
      <c r="G39" s="403" t="str">
        <f>IFERROR(__xludf.DUMMYFUNCTION("GOOGLETRANSLATE(A39,""zh-tw"",""zh"")"),"骑士铠甲")</f>
        <v>骑士铠甲</v>
      </c>
      <c r="H39" s="198" t="str">
        <f>IFERROR(__xludf.DUMMYFUNCTION("GOOGLETRANSLATE(B39,""zh-tw"",""zh"")"),"物防：10
魔抗：4
低体力加防御")</f>
        <v>物防：10
魔抗：4
低体力加防御</v>
      </c>
      <c r="I39" s="403" t="str">
        <f>IFERROR(__xludf.DUMMYFUNCTION("GOOGLETRANSLATE(A39,""zh-tw"",""es-MX"")"),"Armadura de caballero")</f>
        <v>Armadura de caballero</v>
      </c>
      <c r="J39" s="198" t="str">
        <f>IFERROR(__xludf.DUMMYFUNCTION("GOOGLETRANSLATE(B39,""zh-tw"",""es-MX"")"),"Defensa física: 10
Resistencia mágica: 4
Pocos puntos de vida aumentan la defensa")</f>
        <v>Defensa física: 10
Resistencia mágica: 4
Pocos puntos de vida aumentan la defensa</v>
      </c>
      <c r="K39" s="399" t="s">
        <v>8318</v>
      </c>
      <c r="L39" s="167" t="s">
        <v>8319</v>
      </c>
      <c r="M39" s="403" t="s">
        <v>8320</v>
      </c>
      <c r="N39" s="198" t="s">
        <v>8321</v>
      </c>
      <c r="O39" s="400" t="s">
        <v>8322</v>
      </c>
      <c r="P39" s="202" t="s">
        <v>8323</v>
      </c>
      <c r="Q39" s="415" t="s">
        <v>8324</v>
      </c>
      <c r="R39" s="406" t="s">
        <v>8325</v>
      </c>
      <c r="S39" s="403" t="s">
        <v>8326</v>
      </c>
      <c r="T39" s="198" t="s">
        <v>8327</v>
      </c>
      <c r="U39" s="403"/>
      <c r="V39" s="198"/>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400" t="s">
        <v>8328</v>
      </c>
      <c r="B40" s="202" t="s">
        <v>8329</v>
      </c>
      <c r="C40" s="399" t="s">
        <v>8330</v>
      </c>
      <c r="D40" s="167" t="s">
        <v>8331</v>
      </c>
      <c r="E40" s="399" t="s">
        <v>8332</v>
      </c>
      <c r="F40" s="167" t="s">
        <v>8333</v>
      </c>
      <c r="G40" s="403" t="str">
        <f>IFERROR(__xludf.DUMMYFUNCTION("GOOGLETRANSLATE(A40,""zh-tw"",""zh"")"),"骑士护臂")</f>
        <v>骑士护臂</v>
      </c>
      <c r="H40" s="198" t="str">
        <f>IFERROR(__xludf.DUMMYFUNCTION("GOOGLETRANSLATE(B40,""zh-tw"",""zh"")"),"物攻：3
物防：3
低体力加攻击、防御")</f>
        <v>物攻：3
物防：3
低体力加攻击、防御</v>
      </c>
      <c r="I40" s="399" t="s">
        <v>8334</v>
      </c>
      <c r="J40" s="198" t="str">
        <f>IFERROR(__xludf.DUMMYFUNCTION("GOOGLETRANSLATE(B40,""zh-tw"",""es-MX"")"),"Ataque físico: 3 Defensa física: 3 Aumenta el ataque y la defensa cuando los PS son bajos.")</f>
        <v>Ataque físico: 3 Defensa física: 3 Aumenta el ataque y la defensa cuando los PS son bajos.</v>
      </c>
      <c r="K40" s="400" t="s">
        <v>8335</v>
      </c>
      <c r="L40" s="167" t="s">
        <v>8336</v>
      </c>
      <c r="M40" s="403" t="s">
        <v>8337</v>
      </c>
      <c r="N40" s="198" t="s">
        <v>8338</v>
      </c>
      <c r="O40" s="400" t="s">
        <v>8339</v>
      </c>
      <c r="P40" s="202" t="s">
        <v>8340</v>
      </c>
      <c r="Q40" s="415" t="s">
        <v>8341</v>
      </c>
      <c r="R40" s="49" t="s">
        <v>8342</v>
      </c>
      <c r="S40" s="403" t="s">
        <v>8343</v>
      </c>
      <c r="T40" s="198" t="s">
        <v>8344</v>
      </c>
      <c r="U40" s="403"/>
      <c r="V40" s="198"/>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400" t="s">
        <v>8345</v>
      </c>
      <c r="B41" s="202" t="s">
        <v>8346</v>
      </c>
      <c r="C41" s="399" t="s">
        <v>8347</v>
      </c>
      <c r="D41" s="167" t="s">
        <v>8348</v>
      </c>
      <c r="E41" s="399" t="s">
        <v>8349</v>
      </c>
      <c r="F41" s="167" t="s">
        <v>8350</v>
      </c>
      <c r="G41" s="403" t="str">
        <f>IFERROR(__xludf.DUMMYFUNCTION("GOOGLETRANSLATE(A41,""zh-tw"",""zh"")"),"骑士胫甲")</f>
        <v>骑士胫甲</v>
      </c>
      <c r="H41" s="198" t="str">
        <f>IFERROR(__xludf.DUMMYFUNCTION("GOOGLETRANSLATE(B41,""zh-tw"",""zh"")"),"物防：2
魔抗：2
低体力加移速")</f>
        <v>物防：2
魔抗：2
低体力加移速</v>
      </c>
      <c r="I41" s="403" t="str">
        <f>IFERROR(__xludf.DUMMYFUNCTION("GOOGLETRANSLATE(A41,""zh-tw"",""es-MX"")"),"Grebas de caballero")</f>
        <v>Grebas de caballero</v>
      </c>
      <c r="J41" s="198" t="str">
        <f>IFERROR(__xludf.DUMMYFUNCTION("GOOGLETRANSLATE(B41,""zh-tw"",""es-MX"")"),"Defensa física: 2
Resistencia mágica: 2
Baja resistencia, mayor velocidad de movimiento")</f>
        <v>Defensa física: 2
Resistencia mágica: 2
Baja resistencia, mayor velocidad de movimiento</v>
      </c>
      <c r="K41" s="399" t="s">
        <v>8351</v>
      </c>
      <c r="L41" s="167" t="s">
        <v>8352</v>
      </c>
      <c r="M41" s="403" t="s">
        <v>8353</v>
      </c>
      <c r="N41" s="198" t="s">
        <v>8354</v>
      </c>
      <c r="O41" s="400" t="s">
        <v>8355</v>
      </c>
      <c r="P41" s="202" t="s">
        <v>8356</v>
      </c>
      <c r="Q41" s="415" t="s">
        <v>8357</v>
      </c>
      <c r="R41" s="406" t="s">
        <v>8358</v>
      </c>
      <c r="S41" s="403" t="s">
        <v>8359</v>
      </c>
      <c r="T41" s="198" t="s">
        <v>8360</v>
      </c>
      <c r="U41" s="403"/>
      <c r="V41" s="198"/>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400" t="s">
        <v>8361</v>
      </c>
      <c r="B42" s="202" t="s">
        <v>8362</v>
      </c>
      <c r="C42" s="399" t="s">
        <v>8363</v>
      </c>
      <c r="D42" s="167" t="s">
        <v>8364</v>
      </c>
      <c r="E42" s="399" t="s">
        <v>8365</v>
      </c>
      <c r="F42" s="167" t="s">
        <v>8366</v>
      </c>
      <c r="G42" s="403" t="str">
        <f>IFERROR(__xludf.DUMMYFUNCTION("GOOGLETRANSLATE(A42,""zh-tw"",""zh"")"),"倒吊人的骨戒")</f>
        <v>倒吊人的骨戒</v>
      </c>
      <c r="H42" s="198" t="str">
        <f>IFERROR(__xludf.DUMMYFUNCTION("GOOGLETRANSLATE(B42,""zh-tw"",""zh"")"),"物防：2
魔抗：15
掉落伤害减免")</f>
        <v>物防：2
魔抗：15
掉落伤害减免</v>
      </c>
      <c r="I42" s="403" t="str">
        <f>IFERROR(__xludf.DUMMYFUNCTION("GOOGLETRANSLATE(A42,""zh-tw"",""es-MX"")"),"El anillo de huesos del ahorcado")</f>
        <v>El anillo de huesos del ahorcado</v>
      </c>
      <c r="J42" s="198" t="str">
        <f>IFERROR(__xludf.DUMMYFUNCTION("GOOGLETRANSLATE(B42,""zh-tw"",""es-MX"")"),"Defensa física: 2
Resistencia mágica: 15
Reducción de daño por caída")</f>
        <v>Defensa física: 2
Resistencia mágica: 15
Reducción de daño por caída</v>
      </c>
      <c r="K42" s="399" t="s">
        <v>8367</v>
      </c>
      <c r="L42" s="167" t="s">
        <v>8368</v>
      </c>
      <c r="M42" s="403" t="s">
        <v>8369</v>
      </c>
      <c r="N42" s="198" t="s">
        <v>8370</v>
      </c>
      <c r="O42" s="400" t="s">
        <v>8371</v>
      </c>
      <c r="P42" s="202" t="s">
        <v>8372</v>
      </c>
      <c r="Q42" s="415" t="s">
        <v>8373</v>
      </c>
      <c r="R42" s="406" t="s">
        <v>8374</v>
      </c>
      <c r="S42" s="403" t="s">
        <v>8375</v>
      </c>
      <c r="T42" s="198" t="s">
        <v>8376</v>
      </c>
      <c r="U42" s="403"/>
      <c r="V42" s="198"/>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399" t="s">
        <v>8377</v>
      </c>
      <c r="B43" s="167" t="s">
        <v>8378</v>
      </c>
      <c r="C43" s="399" t="s">
        <v>8379</v>
      </c>
      <c r="D43" s="167" t="s">
        <v>8380</v>
      </c>
      <c r="E43" s="399" t="s">
        <v>8381</v>
      </c>
      <c r="F43" s="167" t="s">
        <v>8382</v>
      </c>
      <c r="G43" s="403" t="str">
        <f>IFERROR(__xludf.DUMMYFUNCTION("GOOGLETRANSLATE(A43,""zh-tw"",""zh"")"),"熔岩戒指")</f>
        <v>熔岩戒指</v>
      </c>
      <c r="H43" s="198" t="str">
        <f>IFERROR(__xludf.DUMMYFUNCTION("GOOGLETRANSLATE(B43,""zh-tw"",""zh"")"),"物防：2
魔功：15
魔抗：60
降低结冰、炎上的机率")</f>
        <v>物防：2
魔功：15
魔抗：60
降低结冰、炎上的机率</v>
      </c>
      <c r="I43" s="403" t="str">
        <f>IFERROR(__xludf.DUMMYFUNCTION("GOOGLETRANSLATE(A43,""zh-tw"",""es-MX"")"),"Anillo de lava")</f>
        <v>Anillo de lava</v>
      </c>
      <c r="J43" s="198" t="str">
        <f>IFERROR(__xludf.DUMMYFUNCTION("GOOGLETRANSLATE(B43,""zh-tw"",""es-MX"")"),"Defensa física: 2
Ataque mágico: 15
Resistencia mágica: 60
Reduce la probabilidad de congelación y quemaduras.")</f>
        <v>Defensa física: 2
Ataque mágico: 15
Resistencia mágica: 60
Reduce la probabilidad de congelación y quemaduras.</v>
      </c>
      <c r="K43" s="399" t="s">
        <v>7009</v>
      </c>
      <c r="L43" s="167" t="s">
        <v>8383</v>
      </c>
      <c r="M43" s="403" t="s">
        <v>8384</v>
      </c>
      <c r="N43" s="198" t="s">
        <v>8385</v>
      </c>
      <c r="O43" s="400" t="s">
        <v>7013</v>
      </c>
      <c r="P43" s="202" t="s">
        <v>8386</v>
      </c>
      <c r="Q43" s="415" t="s">
        <v>8387</v>
      </c>
      <c r="R43" s="402" t="s">
        <v>8388</v>
      </c>
      <c r="S43" s="403" t="s">
        <v>8389</v>
      </c>
      <c r="T43" s="198" t="s">
        <v>8390</v>
      </c>
      <c r="U43" s="403"/>
      <c r="V43" s="198"/>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404" t="s">
        <v>8391</v>
      </c>
      <c r="B44" s="167" t="s">
        <v>8392</v>
      </c>
      <c r="C44" s="404" t="s">
        <v>8393</v>
      </c>
      <c r="D44" s="167" t="s">
        <v>8394</v>
      </c>
      <c r="E44" s="404" t="s">
        <v>8395</v>
      </c>
      <c r="F44" s="167" t="s">
        <v>8396</v>
      </c>
      <c r="G44" s="403" t="str">
        <f>IFERROR(__xludf.DUMMYFUNCTION("GOOGLETRANSLATE(A44,""zh-tw"",""zh"")"),"火蝾螈之卷")</f>
        <v>火蝾螈之卷</v>
      </c>
      <c r="H44" s="198" t="str">
        <f>IFERROR(__xludf.DUMMYFUNCTION("GOOGLETRANSLATE(B44,""zh-tw"",""zh"")"),"魔攻：25
魔防：15
强化火焰元素")</f>
        <v>魔攻：25
魔防：15
强化火焰元素</v>
      </c>
      <c r="I44" s="403" t="str">
        <f>IFERROR(__xludf.DUMMYFUNCTION("GOOGLETRANSLATE(A44,""zh-tw"",""es-MX"")"),"Pergamino de la Salamandra de Fuego")</f>
        <v>Pergamino de la Salamandra de Fuego</v>
      </c>
      <c r="J44" s="198" t="str">
        <f>IFERROR(__xludf.DUMMYFUNCTION("GOOGLETRANSLATE(B44,""zh-tw"",""es-MX"")"),"Ataque mágico: 25
Defensa mágica: 15
Elemento fuego mejorado")</f>
        <v>Ataque mágico: 25
Defensa mágica: 15
Elemento fuego mejorado</v>
      </c>
      <c r="K44" s="403" t="str">
        <f>IFERROR(__xludf.DUMMYFUNCTION("GOOGLETRANSLATE(A44,""zh-tw"",""KO"")"),"불도롱뇽 두루마리")</f>
        <v>불도롱뇽 두루마리</v>
      </c>
      <c r="L44" s="198" t="str">
        <f>IFERROR(__xludf.DUMMYFUNCTION("GOOGLETRANSLATE(B44,""zh-tw"",""KO"")"),"마법 공격력: 25
마법 방어력: 15
강화된 화염 속성")</f>
        <v>마법 공격력: 25
마법 방어력: 15
강화된 화염 속성</v>
      </c>
      <c r="M44" s="403" t="s">
        <v>8397</v>
      </c>
      <c r="N44" s="198" t="s">
        <v>8398</v>
      </c>
      <c r="O44" s="403" t="s">
        <v>8399</v>
      </c>
      <c r="P44" s="167" t="s">
        <v>8400</v>
      </c>
      <c r="Q44" s="415" t="s">
        <v>8401</v>
      </c>
      <c r="R44" s="406" t="s">
        <v>8402</v>
      </c>
      <c r="S44" s="403" t="s">
        <v>8395</v>
      </c>
      <c r="T44" s="198" t="s">
        <v>8403</v>
      </c>
      <c r="U44" s="403"/>
      <c r="V44" s="198"/>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399" t="s">
        <v>8404</v>
      </c>
      <c r="B45" s="167" t="s">
        <v>8405</v>
      </c>
      <c r="C45" s="399" t="s">
        <v>8406</v>
      </c>
      <c r="D45" s="167" t="s">
        <v>8407</v>
      </c>
      <c r="E45" s="399" t="s">
        <v>8408</v>
      </c>
      <c r="F45" s="167" t="s">
        <v>8409</v>
      </c>
      <c r="G45" s="403" t="str">
        <f>IFERROR(__xludf.DUMMYFUNCTION("GOOGLETRANSLATE(A45,""zh-tw"",""zh"")"),"纵火狂的防烫手套")</f>
        <v>纵火狂的防烫手套</v>
      </c>
      <c r="H45" s="198" t="str">
        <f>IFERROR(__xludf.DUMMYFUNCTION("GOOGLETRANSLATE(B45,""zh-tw"",""zh"")"),"物攻：4
魔抗：8
幸运：4
增强炸弹效果
(丢炸弹概率连环爆炸)")</f>
        <v>物攻：4
魔抗：8
幸运：4
增强炸弹效果
(丢炸弹概率连环爆炸)</v>
      </c>
      <c r="I45" s="403" t="str">
        <f>IFERROR(__xludf.DUMMYFUNCTION("GOOGLETRANSLATE(A45,""zh-tw"",""es-MX"")"),"Los guantes resistentes al calor del pirómano")</f>
        <v>Los guantes resistentes al calor del pirómano</v>
      </c>
      <c r="J45" s="198" t="str">
        <f>IFERROR(__xludf.DUMMYFUNCTION("GOOGLETRANSLATE(B45,""zh-tw"",""es-MX"")"),"Ataque físico: 4
Resistencia mágica: 8
Suerte: 4
Efecto de bomba mejorado
(Posibilidad de explosión en cadena al lanzar una bomba)")</f>
        <v>Ataque físico: 4
Resistencia mágica: 8
Suerte: 4
Efecto de bomba mejorado
(Posibilidad de explosión en cadena al lanzar una bomba)</v>
      </c>
      <c r="K45" s="399" t="s">
        <v>8410</v>
      </c>
      <c r="L45" s="167" t="s">
        <v>8411</v>
      </c>
      <c r="M45" s="403" t="s">
        <v>8412</v>
      </c>
      <c r="N45" s="198" t="s">
        <v>8413</v>
      </c>
      <c r="O45" s="400" t="s">
        <v>8414</v>
      </c>
      <c r="P45" s="202" t="s">
        <v>8415</v>
      </c>
      <c r="Q45" s="415" t="s">
        <v>8416</v>
      </c>
      <c r="R45" s="406" t="s">
        <v>8417</v>
      </c>
      <c r="S45" s="403" t="s">
        <v>8418</v>
      </c>
      <c r="T45" s="198" t="s">
        <v>8419</v>
      </c>
      <c r="U45" s="403"/>
      <c r="V45" s="198"/>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399" t="s">
        <v>8420</v>
      </c>
      <c r="B46" s="167" t="s">
        <v>8421</v>
      </c>
      <c r="C46" s="399" t="s">
        <v>4339</v>
      </c>
      <c r="D46" s="167" t="s">
        <v>8422</v>
      </c>
      <c r="E46" s="399" t="s">
        <v>8423</v>
      </c>
      <c r="F46" s="167" t="s">
        <v>8424</v>
      </c>
      <c r="G46" s="403" t="str">
        <f>IFERROR(__xludf.DUMMYFUNCTION("GOOGLETRANSLATE(A46,""zh-tw"",""zh"")"),"护刃众的徽章")</f>
        <v>护刃众的徽章</v>
      </c>
      <c r="H46" s="198" t="str">
        <f>IFERROR(__xludf.DUMMYFUNCTION("GOOGLETRANSLATE(B46,""zh-tw"",""zh"")"),"减少攻击力、攻击上限降低至200
降低武器耐久度消耗")</f>
        <v>减少攻击力、攻击上限降低至200
降低武器耐久度消耗</v>
      </c>
      <c r="I46" s="403" t="str">
        <f>IFERROR(__xludf.DUMMYFUNCTION("GOOGLETRANSLATE(A46,""zh-tw"",""es-MX"")"),"Insignias del Goken-kun")</f>
        <v>Insignias del Goken-kun</v>
      </c>
      <c r="J46" s="198" t="str">
        <f>IFERROR(__xludf.DUMMYFUNCTION("GOOGLETRANSLATE(B46,""zh-tw"",""es-MX"")"),"Poder de ataque reducido, límite de ataque disminuido a 200. Consumo de durabilidad de armas reducido.")</f>
        <v>Poder de ataque reducido, límite de ataque disminuido a 200. Consumo de durabilidad de armas reducido.</v>
      </c>
      <c r="K46" s="403" t="str">
        <f>IFERROR(__xludf.DUMMYFUNCTION("GOOGLETRANSLATE(A46,""zh-tw"",""KO"")"),"고켄군의 배지")</f>
        <v>고켄군의 배지</v>
      </c>
      <c r="L46" s="198" t="str">
        <f>IFERROR(__xludf.DUMMYFUNCTION("GOOGLETRANSLATE(B46,""zh-tw"",""KO"")"),"공격력이 감소하고, 공격력 상한선이 200으로 낮아졌습니다. 무기 내구도 소모량도 감소했습니다.")</f>
        <v>공격력이 감소하고, 공격력 상한선이 200으로 낮아졌습니다. 무기 내구도 소모량도 감소했습니다.</v>
      </c>
      <c r="M46" s="403" t="s">
        <v>8425</v>
      </c>
      <c r="N46" s="198" t="s">
        <v>8426</v>
      </c>
      <c r="O46" s="416" t="str">
        <f>IFERROR(__xludf.DUMMYFUNCTION("GOOGLETRANSLATE(A46,""zh-tw"",""de"")"),"Abzeichen des Goken-kun")</f>
        <v>Abzeichen des Goken-kun</v>
      </c>
      <c r="P46" s="417" t="str">
        <f>IFERROR(__xludf.DUMMYFUNCTION("GOOGLETRANSLATE(B46,""zh-tw"",""de"")"),"Reduzierte Angriffskraft, Angriffslimit auf 200 gesenkt. Reduzierter Verbrauch der Waffenhaltbarkeit.")</f>
        <v>Reduzierte Angriffskraft, Angriffslimit auf 200 gesenkt. Reduzierter Verbrauch der Waffenhaltbarkeit.</v>
      </c>
      <c r="Q46" s="415" t="s">
        <v>8427</v>
      </c>
      <c r="R46" s="406" t="s">
        <v>8428</v>
      </c>
      <c r="S46" s="403" t="s">
        <v>8429</v>
      </c>
      <c r="T46" s="198" t="s">
        <v>8430</v>
      </c>
      <c r="U46" s="403"/>
      <c r="V46" s="198"/>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399" t="s">
        <v>8431</v>
      </c>
      <c r="B47" s="167" t="s">
        <v>8432</v>
      </c>
      <c r="C47" s="399" t="s">
        <v>8433</v>
      </c>
      <c r="D47" s="167" t="s">
        <v>8434</v>
      </c>
      <c r="E47" s="399" t="s">
        <v>8435</v>
      </c>
      <c r="F47" s="167" t="s">
        <v>8436</v>
      </c>
      <c r="G47" s="399" t="s">
        <v>8437</v>
      </c>
      <c r="H47" s="167" t="s">
        <v>8438</v>
      </c>
      <c r="I47" s="403"/>
      <c r="J47" s="198"/>
      <c r="K47" s="403"/>
      <c r="L47" s="198"/>
      <c r="M47" s="399" t="s">
        <v>8439</v>
      </c>
      <c r="N47" s="167" t="s">
        <v>8440</v>
      </c>
      <c r="O47" s="403"/>
      <c r="P47" s="198"/>
      <c r="Q47" s="419" t="s">
        <v>8441</v>
      </c>
      <c r="R47" s="420" t="s">
        <v>8442</v>
      </c>
      <c r="S47" s="399" t="s">
        <v>8443</v>
      </c>
      <c r="T47" s="167" t="s">
        <v>8444</v>
      </c>
      <c r="U47" s="403"/>
      <c r="V47" s="198"/>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404" t="s">
        <v>8445</v>
      </c>
      <c r="B48" s="155" t="s">
        <v>8446</v>
      </c>
      <c r="C48" s="399" t="s">
        <v>8447</v>
      </c>
      <c r="D48" s="167" t="s">
        <v>8448</v>
      </c>
      <c r="E48" s="404" t="s">
        <v>8449</v>
      </c>
      <c r="F48" s="155" t="s">
        <v>8450</v>
      </c>
      <c r="G48" s="403" t="str">
        <f>IFERROR(__xludf.DUMMYFUNCTION("GOOGLETRANSLATE(A48,""zh-tw"",""zh"")"),"逆咒缚契约")</f>
        <v>逆咒缚契约</v>
      </c>
      <c r="H48" s="198" t="str">
        <f>IFERROR(__xludf.DUMMYFUNCTION("GOOGLETRANSLATE(B48,""zh-tw"",""zh"")"),"代替从者受到伤害
依从者数量提升主角生命回复力")</f>
        <v>代替从者受到伤害
依从者数量提升主角生命回复力</v>
      </c>
      <c r="I48" s="403" t="str">
        <f>IFERROR(__xludf.DUMMYFUNCTION("GOOGLETRANSLATE(A48,""zh-tw"",""es-MX"")"),"Contrato de maldición inversa")</f>
        <v>Contrato de maldición inversa</v>
      </c>
      <c r="J48" s="198" t="str">
        <f>IFERROR(__xludf.DUMMYFUNCTION("GOOGLETRANSLATE(B48,""zh-tw"",""es-MX"")"),"Recibir daño en lugar de los Servants; aumentar la regeneración de HP del protagonista en función del número de Servants.")</f>
        <v>Recibir daño en lugar de los Servants; aumentar la regeneración de HP del protagonista en función del número de Servants.</v>
      </c>
      <c r="K48" s="403" t="str">
        <f>IFERROR(__xludf.DUMMYFUNCTION("GOOGLETRANSLATE(A48,""zh-tw"",""KO"")"),"역저주 계약")</f>
        <v>역저주 계약</v>
      </c>
      <c r="L48" s="198" t="str">
        <f>IFERROR(__xludf.DUMMYFUNCTION("GOOGLETRANSLATE(B48,""zh-tw"",""KO"")"),"서번트를 대신해 피해를 입고, 서번트 수에 비례하여 주인공의 HP 회복량이 증가합니다.")</f>
        <v>서번트를 대신해 피해를 입고, 서번트 수에 비례하여 주인공의 HP 회복량이 증가합니다.</v>
      </c>
      <c r="M48" s="403" t="s">
        <v>8451</v>
      </c>
      <c r="N48" s="198" t="s">
        <v>8452</v>
      </c>
      <c r="O48" s="403" t="s">
        <v>8453</v>
      </c>
      <c r="P48" s="198" t="s">
        <v>8454</v>
      </c>
      <c r="Q48" s="415" t="s">
        <v>8455</v>
      </c>
      <c r="R48" s="49" t="s">
        <v>8456</v>
      </c>
      <c r="S48" s="403" t="s">
        <v>8457</v>
      </c>
      <c r="T48" s="198" t="s">
        <v>8458</v>
      </c>
      <c r="U48" s="403"/>
      <c r="V48" s="198"/>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400" t="s">
        <v>8459</v>
      </c>
      <c r="B49" s="202" t="s">
        <v>8460</v>
      </c>
      <c r="C49" s="399" t="s">
        <v>8461</v>
      </c>
      <c r="D49" s="167" t="s">
        <v>8462</v>
      </c>
      <c r="E49" s="399" t="s">
        <v>8463</v>
      </c>
      <c r="F49" s="167" t="s">
        <v>8464</v>
      </c>
      <c r="G49" s="403" t="str">
        <f>IFERROR(__xludf.DUMMYFUNCTION("GOOGLETRANSLATE(A49,""zh-tw"",""zh"")"),"愤怒的拳头")</f>
        <v>愤怒的拳头</v>
      </c>
      <c r="H49" s="198" t="str">
        <f>IFERROR(__xludf.DUMMYFUNCTION("GOOGLETRANSLATE(B49,""zh-tw"",""zh"")"),"物攻：1
魔攻：8
自动环绕攻击")</f>
        <v>物攻：1
魔攻：8
自动环绕攻击</v>
      </c>
      <c r="I49" s="403" t="str">
        <f>IFERROR(__xludf.DUMMYFUNCTION("GOOGLETRANSLATE(A49,""zh-tw"",""es-MX"")"),"Puño furioso")</f>
        <v>Puño furioso</v>
      </c>
      <c r="J49" s="198" t="str">
        <f>IFERROR(__xludf.DUMMYFUNCTION("GOOGLETRANSLATE(B49,""zh-tw"",""es-MX"")"),"Ataque físico: 1
Ataque mágico: 8
Ataque circular automático")</f>
        <v>Ataque físico: 1
Ataque mágico: 8
Ataque circular automático</v>
      </c>
      <c r="K49" s="403" t="str">
        <f>IFERROR(__xludf.DUMMYFUNCTION("GOOGLETRANSLATE(A49,""zh-tw"",""KO"")"),"분노에 찬 주먹")</f>
        <v>분노에 찬 주먹</v>
      </c>
      <c r="L49" s="167" t="s">
        <v>8465</v>
      </c>
      <c r="M49" s="403" t="s">
        <v>8466</v>
      </c>
      <c r="N49" s="198" t="s">
        <v>8467</v>
      </c>
      <c r="O49" s="400" t="s">
        <v>8468</v>
      </c>
      <c r="P49" s="202" t="s">
        <v>8469</v>
      </c>
      <c r="Q49" s="415" t="s">
        <v>8470</v>
      </c>
      <c r="R49" s="406" t="s">
        <v>8471</v>
      </c>
      <c r="S49" s="403" t="s">
        <v>8472</v>
      </c>
      <c r="T49" s="198" t="s">
        <v>8473</v>
      </c>
      <c r="U49" s="403"/>
      <c r="V49" s="198"/>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404" t="s">
        <v>6237</v>
      </c>
      <c r="B50" s="167" t="s">
        <v>8474</v>
      </c>
      <c r="C50" s="399" t="s">
        <v>8475</v>
      </c>
      <c r="D50" s="167" t="s">
        <v>8476</v>
      </c>
      <c r="E50" s="399" t="s">
        <v>6243</v>
      </c>
      <c r="F50" s="167" t="s">
        <v>8477</v>
      </c>
      <c r="G50" s="403" t="str">
        <f>IFERROR(__xludf.DUMMYFUNCTION("GOOGLETRANSLATE(A50,""zh-tw"",""zh"")"),"◉▽◉(蓝色)")</f>
        <v>◉▽◉(蓝色)</v>
      </c>
      <c r="H50" s="198" t="str">
        <f>IFERROR(__xludf.DUMMYFUNCTION("GOOGLETRANSLATE(B50,""zh-tw"",""zh"")"),"投掷攻击
遇水消失、会被击杀
幸运：10")</f>
        <v>投掷攻击
遇水消失、会被击杀
幸运：10</v>
      </c>
      <c r="I50" s="403" t="str">
        <f>IFERROR(__xludf.DUMMYFUNCTION("GOOGLETRANSLATE(A50,""zh-tw"",""es-MX"")"),"◉▽◉ (Azul)")</f>
        <v>◉▽◉ (Azul)</v>
      </c>
      <c r="J50" s="198" t="str">
        <f>IFERROR(__xludf.DUMMYFUNCTION("GOOGLETRANSLATE(B50,""zh-tw"",""es-MX"")"),"Ataque de lanzamiento. Desaparece al contacto con el agua y puede ser eliminado. Suerte: 10")</f>
        <v>Ataque de lanzamiento. Desaparece al contacto con el agua y puede ser eliminado. Suerte: 10</v>
      </c>
      <c r="K50" s="403" t="str">
        <f>IFERROR(__xludf.DUMMYFUNCTION("GOOGLETRANSLATE(A50,""zh-tw"",""KO"")"),"◉▽◉ (파란색)")</f>
        <v>◉▽◉ (파란색)</v>
      </c>
      <c r="L50" s="198" t="str">
        <f>IFERROR(__xludf.DUMMYFUNCTION("GOOGLETRANSLATE(B50,""zh-tw"",""KO"")"),"투척 공격. 물에 닿으면 사라지며, 물에 닿으면 죽습니다. 행운: 10")</f>
        <v>투척 공격. 물에 닿으면 사라지며, 물에 닿으면 죽습니다. 행운: 10</v>
      </c>
      <c r="M50" s="403" t="s">
        <v>6246</v>
      </c>
      <c r="N50" s="198" t="s">
        <v>8478</v>
      </c>
      <c r="O50" s="399" t="s">
        <v>6249</v>
      </c>
      <c r="P50" s="167" t="s">
        <v>8479</v>
      </c>
      <c r="Q50" s="415" t="s">
        <v>6252</v>
      </c>
      <c r="R50" s="402" t="s">
        <v>8480</v>
      </c>
      <c r="S50" s="403" t="s">
        <v>6255</v>
      </c>
      <c r="T50" s="198" t="s">
        <v>8481</v>
      </c>
      <c r="U50" s="403"/>
      <c r="V50" s="198"/>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166" t="s">
        <v>7508</v>
      </c>
      <c r="C51" s="166" t="s">
        <v>7509</v>
      </c>
      <c r="E51" s="166" t="s">
        <v>7510</v>
      </c>
      <c r="G51" s="166" t="s">
        <v>7511</v>
      </c>
      <c r="I51" s="166"/>
      <c r="K51" s="166"/>
      <c r="M51" s="166" t="s">
        <v>7512</v>
      </c>
      <c r="O51" s="166"/>
      <c r="Q51" s="166"/>
      <c r="S51" s="166" t="s">
        <v>7513</v>
      </c>
      <c r="U51" s="166"/>
      <c r="W51" s="198"/>
      <c r="X51" s="198"/>
      <c r="Y51" s="198"/>
      <c r="Z51" s="198"/>
      <c r="AA51" s="8"/>
      <c r="AB51" s="8"/>
      <c r="AC51" s="8"/>
      <c r="AD51" s="8"/>
      <c r="AE51" s="8"/>
      <c r="AF51" s="8"/>
      <c r="AG51" s="8"/>
      <c r="AH51" s="8"/>
      <c r="AI51" s="8"/>
      <c r="AJ51" s="8"/>
      <c r="AK51" s="8"/>
      <c r="AL51" s="8"/>
      <c r="AM51" s="8"/>
      <c r="AN51" s="8"/>
      <c r="AO51" s="8"/>
      <c r="AP51" s="8"/>
      <c r="AQ51" s="8"/>
      <c r="AR51" s="8"/>
      <c r="AS51" s="8"/>
      <c r="AT51" s="8"/>
    </row>
    <row r="52">
      <c r="A52" s="400" t="s">
        <v>6617</v>
      </c>
      <c r="B52" s="202" t="s">
        <v>8482</v>
      </c>
      <c r="C52" s="399" t="s">
        <v>6619</v>
      </c>
      <c r="D52" s="167" t="s">
        <v>8483</v>
      </c>
      <c r="E52" s="399" t="s">
        <v>6621</v>
      </c>
      <c r="F52" s="167" t="s">
        <v>8484</v>
      </c>
      <c r="G52" s="403" t="str">
        <f>IFERROR(__xludf.DUMMYFUNCTION("GOOGLETRANSLATE(A52,""zh-tw"",""zh"")"),"猫爪手套")</f>
        <v>猫爪手套</v>
      </c>
      <c r="H52" s="198" t="str">
        <f>IFERROR(__xludf.DUMMYFUNCTION("GOOGLETRANSLATE(B52,""zh-tw"",""zh"")"),"增加攻击速度、攻击数目+1")</f>
        <v>增加攻击速度、攻击数目+1</v>
      </c>
      <c r="I52" s="403" t="str">
        <f>IFERROR(__xludf.DUMMYFUNCTION("GOOGLETRANSLATE(A52,""zh-tw"",""es-MX"")"),"Guantes con forma de pata de gato")</f>
        <v>Guantes con forma de pata de gato</v>
      </c>
      <c r="J52" s="198" t="str">
        <f>IFERROR(__xludf.DUMMYFUNCTION("GOOGLETRANSLATE(B52,""zh-tw"",""es-MX"")"),"Aumenta la velocidad de ataque y el número de ataques en 1.")</f>
        <v>Aumenta la velocidad de ataque y el número de ataques en 1.</v>
      </c>
      <c r="K52" s="399" t="s">
        <v>6623</v>
      </c>
      <c r="L52" s="167" t="s">
        <v>8485</v>
      </c>
      <c r="M52" s="403" t="s">
        <v>8486</v>
      </c>
      <c r="N52" s="198" t="s">
        <v>8487</v>
      </c>
      <c r="O52" s="400" t="s">
        <v>6628</v>
      </c>
      <c r="P52" s="202" t="s">
        <v>8488</v>
      </c>
      <c r="Q52" s="415" t="s">
        <v>8489</v>
      </c>
      <c r="R52" s="402" t="s">
        <v>8490</v>
      </c>
      <c r="S52" s="403" t="s">
        <v>6632</v>
      </c>
      <c r="T52" s="198" t="s">
        <v>8491</v>
      </c>
      <c r="U52" s="403"/>
      <c r="V52" s="198"/>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399" t="s">
        <v>8492</v>
      </c>
      <c r="B53" s="167" t="s">
        <v>8493</v>
      </c>
      <c r="C53" s="399" t="s">
        <v>8492</v>
      </c>
      <c r="D53" s="167" t="s">
        <v>8494</v>
      </c>
      <c r="E53" s="399" t="s">
        <v>8495</v>
      </c>
      <c r="F53" s="167" t="s">
        <v>8496</v>
      </c>
      <c r="G53" s="403" t="str">
        <f>IFERROR(__xludf.DUMMYFUNCTION("GOOGLETRANSLATE(A53,""zh-tw"",""zh"")"),"胁差")</f>
        <v>胁差</v>
      </c>
      <c r="H53" s="198" t="str">
        <f>IFERROR(__xludf.DUMMYFUNCTION("GOOGLETRANSLATE(B53,""zh-tw"",""zh"")"),"近距离普通攻击次数+1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3" s="403" t="str">
        <f>IFERROR(__xludf.DUMMYFUNCTION("GOOGLETRANSLATE(A53,""zh-tw"",""es-MX"")"),"takizashi")</f>
        <v>takizashi</v>
      </c>
      <c r="J53" s="198" t="str">
        <f>IFERROR(__xludf.DUMMYFUNCTION("GOOGLETRANSLATE(B53,""zh-tw"",""es-MX"")"),"+1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3" s="403" t="str">
        <f>IFERROR(__xludf.DUMMYFUNCTION("GOOGLETRANSLATE(A53,""zh-tw"",""KO"")"),"다키자시")</f>
        <v>다키자시</v>
      </c>
      <c r="L53" s="198" t="str">
        <f>IFERROR(__xludf.DUMMYFUNCTION("GOOGLETRANSLATE(B53,""zh-tw"",""KO"")"),"근접 일반 공격 횟수 +1. 출혈 확률 증가. 작은 히트박스를 가지며 무기 크기에 따라 변하지 않습니다. 고정 피해량이지만 검술 훈련과 조합하여 추가 피해량 보너스를 얻을 수 있습니다.")</f>
        <v>근접 일반 공격 횟수 +1. 출혈 확률 증가. 작은 히트박스를 가지며 무기 크기에 따라 변하지 않습니다. 고정 피해량이지만 검술 훈련과 조합하여 추가 피해량 보너스를 얻을 수 있습니다.</v>
      </c>
      <c r="M53" s="403" t="s">
        <v>8497</v>
      </c>
      <c r="N53" s="198" t="s">
        <v>8498</v>
      </c>
      <c r="O53" s="416" t="str">
        <f>IFERROR(__xludf.DUMMYFUNCTION("GOOGLETRANSLATE(A53,""zh-tw"",""de"")"),"Takizashi")</f>
        <v>Takizashi</v>
      </c>
      <c r="P53" s="417" t="str">
        <f>IFERROR(__xludf.DUMMYFUNCTION("GOOGLETRANSLATE(B53,""zh-tw"",""de"")"),"+1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53" s="415" t="s">
        <v>8495</v>
      </c>
      <c r="R53" s="49" t="s">
        <v>8499</v>
      </c>
      <c r="S53" s="403" t="s">
        <v>8495</v>
      </c>
      <c r="T53" s="198" t="s">
        <v>8500</v>
      </c>
      <c r="U53" s="403"/>
      <c r="V53" s="198"/>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399" t="s">
        <v>8501</v>
      </c>
      <c r="B54" s="167" t="s">
        <v>8502</v>
      </c>
      <c r="C54" s="399" t="s">
        <v>8503</v>
      </c>
      <c r="D54" s="167" t="s">
        <v>8504</v>
      </c>
      <c r="E54" s="399" t="s">
        <v>8505</v>
      </c>
      <c r="F54" s="167" t="s">
        <v>8506</v>
      </c>
      <c r="G54" s="403" t="str">
        <f>IFERROR(__xludf.DUMMYFUNCTION("GOOGLETRANSLATE(A54,""zh-tw"",""zh"")"),"锐刃指环")</f>
        <v>锐刃指环</v>
      </c>
      <c r="H54" s="198" t="str">
        <f>IFERROR(__xludf.DUMMYFUNCTION("GOOGLETRANSLATE(B54,""zh-tw"",""zh"")"),"物攻：4
物防：1
物攻+15%
")</f>
        <v>物攻：4
物防：1
物攻+15%
</v>
      </c>
      <c r="I54" s="403" t="str">
        <f>IFERROR(__xludf.DUMMYFUNCTION("GOOGLETRANSLATE(A54,""zh-tw"",""es-MX"")"),"Anillo de cuchilla afilada")</f>
        <v>Anillo de cuchilla afilada</v>
      </c>
      <c r="J54" s="198" t="str">
        <f>IFERROR(__xludf.DUMMYFUNCTION("GOOGLETRANSLATE(B54,""zh-tw"",""es-MX"")"),"Ataque físico: 4
Defensa física: 1
Ataque físico +15%
")</f>
        <v>Ataque físico: 4
Defensa física: 1
Ataque físico +15%
</v>
      </c>
      <c r="K54" s="403" t="str">
        <f>IFERROR(__xludf.DUMMYFUNCTION("GOOGLETRANSLATE(A54,""zh-tw"",""KO"")"),"날카로운 칼날 고리")</f>
        <v>날카로운 칼날 고리</v>
      </c>
      <c r="L54" s="198" t="str">
        <f>IFERROR(__xludf.DUMMYFUNCTION("GOOGLETRANSLATE(B54,""zh-tw"",""KO"")"),"물리 공격력: 4
물리 방어력: 1
물리 공격력 +15%
")</f>
        <v>물리 공격력: 4
물리 방어력: 1
물리 공격력 +15%
</v>
      </c>
      <c r="M54" s="403" t="s">
        <v>8507</v>
      </c>
      <c r="N54" s="198" t="s">
        <v>8508</v>
      </c>
      <c r="O54" s="416" t="str">
        <f>IFERROR(__xludf.DUMMYFUNCTION("GOOGLETRANSLATE(A54,""zh-tw"",""de"")"),"Scharfer Klingenring")</f>
        <v>Scharfer Klingenring</v>
      </c>
      <c r="P54" s="417" t="str">
        <f>IFERROR(__xludf.DUMMYFUNCTION("GOOGLETRANSLATE(B54,""zh-tw"",""de"")"),"Physischer Angriff: 4
Physische Verteidigung: 1
Physischer Angriff +15 %
")</f>
        <v>Physischer Angriff: 4
Physische Verteidigung: 1
Physischer Angriff +15 %
</v>
      </c>
      <c r="Q54" s="415" t="s">
        <v>8509</v>
      </c>
      <c r="R54" s="406" t="s">
        <v>8510</v>
      </c>
      <c r="S54" s="403" t="s">
        <v>8511</v>
      </c>
      <c r="T54" s="198" t="s">
        <v>8512</v>
      </c>
      <c r="U54" s="403"/>
      <c r="V54" s="198"/>
      <c r="W54" s="8"/>
      <c r="X54" s="8"/>
      <c r="Y54" s="8"/>
      <c r="Z54" s="8"/>
      <c r="AA54" s="8"/>
      <c r="AB54" s="8"/>
      <c r="AC54" s="8"/>
      <c r="AD54" s="8"/>
      <c r="AE54" s="8"/>
      <c r="AF54" s="8"/>
      <c r="AG54" s="8"/>
      <c r="AH54" s="8"/>
      <c r="AI54" s="8"/>
      <c r="AJ54" s="8"/>
      <c r="AK54" s="8"/>
      <c r="AL54" s="8"/>
      <c r="AM54" s="8"/>
      <c r="AN54" s="8"/>
      <c r="AO54" s="8"/>
      <c r="AP54" s="8"/>
      <c r="AQ54" s="8"/>
      <c r="AR54" s="8"/>
      <c r="AS54" s="8"/>
      <c r="AT54" s="8"/>
    </row>
    <row r="55">
      <c r="A55" s="399" t="s">
        <v>8513</v>
      </c>
      <c r="B55" s="167" t="s">
        <v>8514</v>
      </c>
      <c r="C55" s="399" t="s">
        <v>8515</v>
      </c>
      <c r="D55" s="167" t="s">
        <v>8516</v>
      </c>
      <c r="E55" s="399" t="s">
        <v>8517</v>
      </c>
      <c r="F55" s="167" t="s">
        <v>8518</v>
      </c>
      <c r="G55" s="403" t="str">
        <f>IFERROR(__xludf.DUMMYFUNCTION("GOOGLETRANSLATE(A55,""zh-tw"",""zh"")"),"炸弹魔之魂")</f>
        <v>炸弹魔之魂</v>
      </c>
      <c r="H55" s="198" t="str">
        <f>IFERROR(__xludf.DUMMYFUNCTION("GOOGLETRANSLATE(B55,""zh-tw"",""zh"")"),"小概率附带爆炸效果、爆炸减免")</f>
        <v>小概率附带爆炸效果、爆炸减免</v>
      </c>
      <c r="I55" s="403" t="str">
        <f>IFERROR(__xludf.DUMMYFUNCTION("GOOGLETRANSLATE(A55,""zh-tw"",""es-MX"")"),"Alma del bombardero")</f>
        <v>Alma del bombardero</v>
      </c>
      <c r="J55" s="198" t="str">
        <f>IFERROR(__xludf.DUMMYFUNCTION("GOOGLETRANSLATE(B55,""zh-tw"",""es-MX"")"),"Baja probabilidad de desencadenar un efecto explosivo o una reducción de la explosión.")</f>
        <v>Baja probabilidad de desencadenar un efecto explosivo o una reducción de la explosión.</v>
      </c>
      <c r="K55" s="400" t="s">
        <v>8519</v>
      </c>
      <c r="L55" s="167" t="s">
        <v>8520</v>
      </c>
      <c r="M55" s="403" t="s">
        <v>8521</v>
      </c>
      <c r="N55" s="198" t="s">
        <v>8522</v>
      </c>
      <c r="O55" s="400" t="s">
        <v>8523</v>
      </c>
      <c r="P55" s="202" t="s">
        <v>8524</v>
      </c>
      <c r="Q55" s="415" t="s">
        <v>8525</v>
      </c>
      <c r="R55" s="402" t="s">
        <v>8526</v>
      </c>
      <c r="S55" s="403" t="s">
        <v>8527</v>
      </c>
      <c r="T55" s="198" t="s">
        <v>8528</v>
      </c>
      <c r="U55" s="403"/>
      <c r="V55" s="198"/>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399" t="s">
        <v>8529</v>
      </c>
      <c r="B56" s="167" t="s">
        <v>8530</v>
      </c>
      <c r="C56" s="399" t="s">
        <v>8531</v>
      </c>
      <c r="D56" s="167" t="s">
        <v>8532</v>
      </c>
      <c r="E56" s="399" t="s">
        <v>8533</v>
      </c>
      <c r="F56" s="167" t="s">
        <v>8534</v>
      </c>
      <c r="G56" s="403" t="str">
        <f>IFERROR(__xludf.DUMMYFUNCTION("GOOGLETRANSLATE(A56,""zh-tw"",""zh"")"),"堕落法师的头环")</f>
        <v>堕落法师的头环</v>
      </c>
      <c r="H56" s="198" t="str">
        <f>IFERROR(__xludf.DUMMYFUNCTION("GOOGLETRANSLATE(B56,""zh-tw"",""zh"")"),"魔攻：10
魔抗：25
提升魔攻并降低自身体力上限")</f>
        <v>魔攻：10
魔抗：25
提升魔攻并降低自身体力上限</v>
      </c>
      <c r="I56" s="403" t="str">
        <f>IFERROR(__xludf.DUMMYFUNCTION("GOOGLETRANSLATE(A56,""zh-tw"",""es-MX"")"),"La diadema del mago caído")</f>
        <v>La diadema del mago caído</v>
      </c>
      <c r="J56" s="198" t="str">
        <f>IFERROR(__xludf.DUMMYFUNCTION("GOOGLETRANSLATE(B56,""zh-tw"",""es-MX"")"),"Ataque mágico: 10
Resistencia mágica: 25
Aumenta el ataque mágico y reduce la resistencia máxima.")</f>
        <v>Ataque mágico: 10
Resistencia mágica: 25
Aumenta el ataque mágico y reduce la resistencia máxima.</v>
      </c>
      <c r="K56" s="399" t="s">
        <v>8535</v>
      </c>
      <c r="L56" s="167" t="s">
        <v>8536</v>
      </c>
      <c r="M56" s="403" t="s">
        <v>8537</v>
      </c>
      <c r="N56" s="198" t="s">
        <v>8538</v>
      </c>
      <c r="O56" s="400" t="s">
        <v>8539</v>
      </c>
      <c r="P56" s="202" t="s">
        <v>8540</v>
      </c>
      <c r="Q56" s="415" t="s">
        <v>8541</v>
      </c>
      <c r="R56" s="402" t="s">
        <v>8542</v>
      </c>
      <c r="S56" s="403" t="s">
        <v>8543</v>
      </c>
      <c r="T56" s="198" t="s">
        <v>8544</v>
      </c>
      <c r="U56" s="403"/>
      <c r="V56" s="198"/>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399" t="s">
        <v>8545</v>
      </c>
      <c r="B57" s="167" t="s">
        <v>8546</v>
      </c>
      <c r="C57" s="399" t="s">
        <v>8547</v>
      </c>
      <c r="D57" s="167" t="s">
        <v>8548</v>
      </c>
      <c r="E57" s="399" t="s">
        <v>8549</v>
      </c>
      <c r="F57" s="167" t="s">
        <v>8550</v>
      </c>
      <c r="G57" s="403" t="str">
        <f>IFERROR(__xludf.DUMMYFUNCTION("GOOGLETRANSLATE(A57,""zh-tw"",""zh"")"),"堕落法师的披风")</f>
        <v>堕落法师的披风</v>
      </c>
      <c r="H57" s="198" t="str">
        <f>IFERROR(__xludf.DUMMYFUNCTION("GOOGLETRANSLATE(B57,""zh-tw"",""zh"")"),"魔攻：10
物防:1
魔抗：35
闪步使物体陷入凝滞状态")</f>
        <v>魔攻：10
物防:1
魔抗：35
闪步使物体陷入凝滞状态</v>
      </c>
      <c r="I57" s="403" t="str">
        <f>IFERROR(__xludf.DUMMYFUNCTION("GOOGLETRANSLATE(A57,""zh-tw"",""es-MX"")"),"La capa del mago caído")</f>
        <v>La capa del mago caído</v>
      </c>
      <c r="J57" s="198" t="str">
        <f>IFERROR(__xludf.DUMMYFUNCTION("GOOGLETRANSLATE(B57,""zh-tw"",""es-MX"")"),"Ataque mágico: 10 Defensa física: 1 Resistencia mágica: 35 Paso relámpago congela los objetos en un estado de estancamiento.")</f>
        <v>Ataque mágico: 10 Defensa física: 1 Resistencia mágica: 35 Paso relámpago congela los objetos en un estado de estancamiento.</v>
      </c>
      <c r="K57" s="399" t="s">
        <v>8551</v>
      </c>
      <c r="L57" s="167" t="s">
        <v>8552</v>
      </c>
      <c r="M57" s="403" t="s">
        <v>8553</v>
      </c>
      <c r="N57" s="198" t="s">
        <v>8554</v>
      </c>
      <c r="O57" s="400" t="s">
        <v>8555</v>
      </c>
      <c r="P57" s="202" t="s">
        <v>8556</v>
      </c>
      <c r="Q57" s="415" t="s">
        <v>8557</v>
      </c>
      <c r="R57" s="402" t="s">
        <v>8558</v>
      </c>
      <c r="S57" s="403" t="s">
        <v>8559</v>
      </c>
      <c r="T57" s="198" t="s">
        <v>8560</v>
      </c>
      <c r="U57" s="403"/>
      <c r="V57" s="198"/>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404" t="s">
        <v>8561</v>
      </c>
      <c r="B58" s="167" t="s">
        <v>8562</v>
      </c>
      <c r="C58" s="399" t="s">
        <v>8563</v>
      </c>
      <c r="D58" s="167" t="s">
        <v>8564</v>
      </c>
      <c r="E58" s="399" t="s">
        <v>8565</v>
      </c>
      <c r="F58" s="167" t="s">
        <v>8566</v>
      </c>
      <c r="G58" s="403" t="str">
        <f>IFERROR(__xludf.DUMMYFUNCTION("GOOGLETRANSLATE(A58,""zh-tw"",""zh"")"),"堕落法师的手套")</f>
        <v>堕落法师的手套</v>
      </c>
      <c r="H58" s="198" t="str">
        <f>IFERROR(__xludf.DUMMYFUNCTION("GOOGLETRANSLATE(B58,""zh-tw"",""zh"")"),"物攻：2
魔攻：10
魔抗：20
自动瞄准")</f>
        <v>物攻：2
魔攻：10
魔抗：20
自动瞄准</v>
      </c>
      <c r="I58" s="403" t="str">
        <f>IFERROR(__xludf.DUMMYFUNCTION("GOOGLETRANSLATE(A58,""zh-tw"",""es-MX"")"),"Los guantes del mago caído")</f>
        <v>Los guantes del mago caído</v>
      </c>
      <c r="J58" s="198" t="str">
        <f>IFERROR(__xludf.DUMMYFUNCTION("GOOGLETRANSLATE(B58,""zh-tw"",""es-MX"")"),"Ataque físico: 2
Ataque mágico: 10
Resistencia mágica: 20
Apuntado automático")</f>
        <v>Ataque físico: 2
Ataque mágico: 10
Resistencia mágica: 20
Apuntado automático</v>
      </c>
      <c r="K58" s="403" t="str">
        <f>IFERROR(__xludf.DUMMYFUNCTION("GOOGLETRANSLATE(A58,""zh-tw"",""KO"")"),"타락한 마법사의 장갑")</f>
        <v>타락한 마법사의 장갑</v>
      </c>
      <c r="L58" s="167" t="s">
        <v>8567</v>
      </c>
      <c r="M58" s="403" t="s">
        <v>8568</v>
      </c>
      <c r="N58" s="198" t="s">
        <v>8569</v>
      </c>
      <c r="O58" s="400" t="s">
        <v>8570</v>
      </c>
      <c r="P58" s="202" t="s">
        <v>8571</v>
      </c>
      <c r="Q58" s="415" t="s">
        <v>8572</v>
      </c>
      <c r="R58" s="421" t="s">
        <v>8573</v>
      </c>
      <c r="S58" s="403" t="s">
        <v>8574</v>
      </c>
      <c r="T58" s="198" t="s">
        <v>8575</v>
      </c>
      <c r="U58" s="403"/>
      <c r="V58" s="198"/>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404" t="s">
        <v>8576</v>
      </c>
      <c r="B59" s="167" t="s">
        <v>8577</v>
      </c>
      <c r="C59" s="399" t="s">
        <v>8578</v>
      </c>
      <c r="D59" s="167" t="s">
        <v>8579</v>
      </c>
      <c r="E59" s="399" t="s">
        <v>8580</v>
      </c>
      <c r="F59" s="167" t="s">
        <v>8581</v>
      </c>
      <c r="G59" s="403" t="str">
        <f>IFERROR(__xludf.DUMMYFUNCTION("GOOGLETRANSLATE(A59,""zh-tw"",""zh"")"),"堕落法师的轻履")</f>
        <v>堕落法师的轻履</v>
      </c>
      <c r="H59" s="198" t="str">
        <f>IFERROR(__xludf.DUMMYFUNCTION("GOOGLETRANSLATE(B59,""zh-tw"",""zh"")"),"物攻：2
魔攻：10
魔抗：20
虚无：无视一切阻碍、包括敌人子弹")</f>
        <v>物攻：2
魔攻：10
魔抗：20
虚无：无视一切阻碍、包括敌人子弹</v>
      </c>
      <c r="I59" s="403" t="str">
        <f>IFERROR(__xludf.DUMMYFUNCTION("GOOGLETRANSLATE(A59,""zh-tw"",""es-MX"")"),"Los pasos ligeros del mago caído")</f>
        <v>Los pasos ligeros del mago caído</v>
      </c>
      <c r="J59" s="198" t="str">
        <f>IFERROR(__xludf.DUMMYFUNCTION("GOOGLETRANSLATE(B59,""zh-tw"",""es-MX"")"),"Ataque físico: 2
Ataque mágico: 10
Resistencia mágica: 20
Vacío: Ignora todos los obstáculos, incluyendo las balas enemigas")</f>
        <v>Ataque físico: 2
Ataque mágico: 10
Resistencia mágica: 20
Vacío: Ignora todos los obstáculos, incluyendo las balas enemigas</v>
      </c>
      <c r="K59" s="399" t="s">
        <v>8582</v>
      </c>
      <c r="L59" s="167" t="s">
        <v>8583</v>
      </c>
      <c r="M59" s="403" t="s">
        <v>8584</v>
      </c>
      <c r="N59" s="198" t="s">
        <v>8585</v>
      </c>
      <c r="O59" s="400" t="s">
        <v>8586</v>
      </c>
      <c r="P59" s="202" t="s">
        <v>8587</v>
      </c>
      <c r="Q59" s="415" t="s">
        <v>8588</v>
      </c>
      <c r="R59" s="406" t="s">
        <v>8589</v>
      </c>
      <c r="S59" s="403" t="s">
        <v>8590</v>
      </c>
      <c r="T59" s="198" t="s">
        <v>8591</v>
      </c>
      <c r="U59" s="403"/>
      <c r="V59" s="198"/>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399" t="s">
        <v>8592</v>
      </c>
      <c r="B60" s="167" t="s">
        <v>8593</v>
      </c>
      <c r="C60" s="399" t="s">
        <v>8594</v>
      </c>
      <c r="D60" s="167" t="s">
        <v>8595</v>
      </c>
      <c r="E60" s="399" t="s">
        <v>8596</v>
      </c>
      <c r="F60" s="167" t="s">
        <v>8597</v>
      </c>
      <c r="G60" s="403" t="str">
        <f>IFERROR(__xludf.DUMMYFUNCTION("GOOGLETRANSLATE(A60,""zh-tw"",""zh"")"),"调皮的杰克")</f>
        <v>调皮的杰克</v>
      </c>
      <c r="H60" s="198" t="str">
        <f>IFERROR(__xludf.DUMMYFUNCTION("GOOGLETRANSLATE(B60,""zh-tw"",""zh"")"),"魔攻：8
魔防：8
增强残血伤害
(最大额外附加30%伤害)")</f>
        <v>魔攻：8
魔防：8
增强残血伤害
(最大额外附加30%伤害)</v>
      </c>
      <c r="I60" s="403" t="str">
        <f>IFERROR(__xludf.DUMMYFUNCTION("GOOGLETRANSLATE(A60,""zh-tw"",""es-MX"")"),"Jack travieso")</f>
        <v>Jack travieso</v>
      </c>
      <c r="J60" s="198" t="str">
        <f>IFERROR(__xludf.DUMMYFUNCTION("GOOGLETRANSLATE(B60,""zh-tw"",""es-MX"")"),"Ataque mágico: 8
Defensa mágica: 8
Aumenta el daño infligido a enemigos con poca salud
(Daño adicional máximo del 30%)")</f>
        <v>Ataque mágico: 8
Defensa mágica: 8
Aumenta el daño infligido a enemigos con poca salud
(Daño adicional máximo del 30%)</v>
      </c>
      <c r="K60" s="403" t="str">
        <f>IFERROR(__xludf.DUMMYFUNCTION("GOOGLETRANSLATE(A60,""zh-tw"",""KO"")"),"장난꾸러기 잭")</f>
        <v>장난꾸러기 잭</v>
      </c>
      <c r="L60" s="167" t="s">
        <v>8598</v>
      </c>
      <c r="M60" s="403" t="s">
        <v>8599</v>
      </c>
      <c r="N60" s="198" t="s">
        <v>8600</v>
      </c>
      <c r="O60" s="400" t="s">
        <v>8601</v>
      </c>
      <c r="P60" s="202" t="s">
        <v>8602</v>
      </c>
      <c r="Q60" s="415" t="s">
        <v>8603</v>
      </c>
      <c r="R60" s="49" t="s">
        <v>8604</v>
      </c>
      <c r="S60" s="403" t="s">
        <v>8605</v>
      </c>
      <c r="T60" s="198" t="s">
        <v>8606</v>
      </c>
      <c r="U60" s="403"/>
      <c r="V60" s="198"/>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399" t="s">
        <v>8607</v>
      </c>
      <c r="B61" s="167" t="s">
        <v>8608</v>
      </c>
      <c r="C61" s="399" t="s">
        <v>8609</v>
      </c>
      <c r="D61" s="167" t="s">
        <v>8610</v>
      </c>
      <c r="E61" s="399" t="s">
        <v>8611</v>
      </c>
      <c r="F61" s="167" t="s">
        <v>8612</v>
      </c>
      <c r="G61" s="403" t="str">
        <f>IFERROR(__xludf.DUMMYFUNCTION("GOOGLETRANSLATE(A61,""zh-tw"",""zh"")"),"夜雾幻影")</f>
        <v>夜雾幻影</v>
      </c>
      <c r="H61" s="198" t="str">
        <f>IFERROR(__xludf.DUMMYFUNCTION("GOOGLETRANSLATE(B61,""zh-tw"",""zh"")"),"物防:2
魔防:2
每隔一段时间会透明化、透明时进行背刺伤害加倍")</f>
        <v>物防:2
魔防:2
每隔一段时间会透明化、透明时进行背刺伤害加倍</v>
      </c>
      <c r="I61" s="403" t="str">
        <f>IFERROR(__xludf.DUMMYFUNCTION("GOOGLETRANSLATE(A61,""zh-tw"",""es-MX"")"),"Fantasma de la Niebla Nocturna")</f>
        <v>Fantasma de la Niebla Nocturna</v>
      </c>
      <c r="J61" s="198" t="str">
        <f>IFERROR(__xludf.DUMMYFUNCTION("GOOGLETRANSLATE(B61,""zh-tw"",""es-MX"")"),"Defensa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61" s="399" t="s">
        <v>8613</v>
      </c>
      <c r="L61" s="167" t="s">
        <v>8614</v>
      </c>
      <c r="M61" s="403" t="s">
        <v>8615</v>
      </c>
      <c r="N61" s="198" t="s">
        <v>8616</v>
      </c>
      <c r="O61" s="400" t="s">
        <v>8617</v>
      </c>
      <c r="P61" s="202" t="s">
        <v>8618</v>
      </c>
      <c r="Q61" s="415" t="s">
        <v>8619</v>
      </c>
      <c r="R61" s="402" t="s">
        <v>8620</v>
      </c>
      <c r="S61" s="403" t="s">
        <v>8621</v>
      </c>
      <c r="T61" s="198" t="s">
        <v>8622</v>
      </c>
      <c r="U61" s="403"/>
      <c r="V61" s="198"/>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399" t="s">
        <v>8623</v>
      </c>
      <c r="B62" s="167" t="s">
        <v>8624</v>
      </c>
      <c r="C62" s="399" t="s">
        <v>8625</v>
      </c>
      <c r="D62" s="167" t="s">
        <v>8626</v>
      </c>
      <c r="E62" s="399" t="s">
        <v>8627</v>
      </c>
      <c r="F62" s="167" t="s">
        <v>8628</v>
      </c>
      <c r="G62" s="399" t="s">
        <v>8623</v>
      </c>
      <c r="H62" s="167" t="s">
        <v>8624</v>
      </c>
      <c r="I62" s="403"/>
      <c r="J62" s="198"/>
      <c r="K62" s="399" t="s">
        <v>8629</v>
      </c>
      <c r="L62" s="167" t="s">
        <v>8630</v>
      </c>
      <c r="M62" s="404" t="s">
        <v>8631</v>
      </c>
      <c r="N62" s="155" t="s">
        <v>8632</v>
      </c>
      <c r="O62" s="399" t="s">
        <v>8627</v>
      </c>
      <c r="P62" s="198" t="str">
        <f>IFERROR(__xludf.DUMMYFUNCTION("GOOGLETRANSLATE(B62,""zh-tw"",""de"")"),"Physischer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62" s="419" t="s">
        <v>8633</v>
      </c>
      <c r="R62" s="49" t="s">
        <v>8634</v>
      </c>
      <c r="S62" s="399" t="s">
        <v>8635</v>
      </c>
      <c r="T62" s="167" t="s">
        <v>8636</v>
      </c>
      <c r="U62" s="399"/>
      <c r="V62" s="167"/>
      <c r="W62" s="8"/>
      <c r="X62" s="8"/>
      <c r="Y62" s="8"/>
      <c r="Z62" s="8"/>
      <c r="AA62" s="8"/>
      <c r="AB62" s="8"/>
      <c r="AC62" s="8"/>
      <c r="AD62" s="8"/>
      <c r="AE62" s="8"/>
      <c r="AF62" s="8"/>
      <c r="AG62" s="8"/>
      <c r="AH62" s="8"/>
      <c r="AI62" s="8"/>
      <c r="AJ62" s="8"/>
      <c r="AK62" s="8"/>
      <c r="AL62" s="8"/>
      <c r="AM62" s="8"/>
      <c r="AN62" s="8"/>
      <c r="AO62" s="8"/>
      <c r="AP62" s="8"/>
      <c r="AQ62" s="8"/>
      <c r="AR62" s="8"/>
      <c r="AS62" s="8"/>
      <c r="AT62" s="8"/>
    </row>
    <row r="63">
      <c r="A63" s="403" t="s">
        <v>8637</v>
      </c>
      <c r="B63" s="198" t="s">
        <v>8638</v>
      </c>
      <c r="C63" s="399" t="s">
        <v>8639</v>
      </c>
      <c r="D63" s="198" t="s">
        <v>8640</v>
      </c>
      <c r="E63" s="403" t="s">
        <v>8641</v>
      </c>
      <c r="F63" s="167" t="s">
        <v>8642</v>
      </c>
      <c r="G63" s="403" t="str">
        <f>IFERROR(__xludf.DUMMYFUNCTION("GOOGLETRANSLATE(A63,""zh-tw"",""zh"")"),"谢里斯的诅咒之手")</f>
        <v>谢里斯的诅咒之手</v>
      </c>
      <c r="H63" s="198" t="str">
        <f>IFERROR(__xludf.DUMMYFUNCTION("GOOGLETRANSLATE(B63,""zh-tw"",""zh"")"),"魔防：18
自动环绕从者
对目标施加伤害
附上Debuff：嘲讽、激怒
(减少对方防御、增加对方攻击)
(Debuff未实装)")</f>
        <v>魔防：18
自动环绕从者
对目标施加伤害
附上Debuff：嘲讽、激怒
(减少对方防御、增加对方攻击)
(Debuff未实装)</v>
      </c>
      <c r="I63" s="403" t="str">
        <f>IFERROR(__xludf.DUMMYFUNCTION("GOOGLETRANSLATE(A63,""zh-tw"",""es-MX"")"),"La mano maldita de Sheris")</f>
        <v>La mano maldita de Sheris</v>
      </c>
      <c r="J63" s="198" t="str">
        <f>IFERROR(__xludf.DUMMYFUNCTION("GOOGLETRANSLATE(B63,""zh-tw"",""es-MX"")"),"Defensa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3" s="403" t="str">
        <f>IFERROR(__xludf.DUMMYFUNCTION("GOOGLETRANSLATE(A63,""zh-tw"",""KO"")"),"셰리스의 저주받은 손")</f>
        <v>셰리스의 저주받은 손</v>
      </c>
      <c r="L63" s="198" t="str">
        <f>IFERROR(__xludf.DUMMYFUNCTION("GOOGLETRANSLATE(B63,""zh-tw"",""KO"")"),"마법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63" s="403" t="s">
        <v>8643</v>
      </c>
      <c r="N63" s="198" t="s">
        <v>8644</v>
      </c>
      <c r="O63" s="399" t="s">
        <v>8645</v>
      </c>
      <c r="P63" s="167" t="s">
        <v>8646</v>
      </c>
      <c r="Q63" s="422" t="s">
        <v>8647</v>
      </c>
      <c r="R63" s="406" t="s">
        <v>8648</v>
      </c>
      <c r="S63" s="403" t="s">
        <v>8649</v>
      </c>
      <c r="T63" s="198" t="s">
        <v>8650</v>
      </c>
      <c r="U63" s="403"/>
      <c r="V63" s="198"/>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400" t="s">
        <v>8651</v>
      </c>
      <c r="B64" s="202" t="s">
        <v>8460</v>
      </c>
      <c r="C64" s="399" t="s">
        <v>8652</v>
      </c>
      <c r="D64" s="167" t="s">
        <v>8462</v>
      </c>
      <c r="E64" s="399" t="s">
        <v>8653</v>
      </c>
      <c r="F64" s="167" t="s">
        <v>8654</v>
      </c>
      <c r="G64" s="403" t="str">
        <f>IFERROR(__xludf.DUMMYFUNCTION("GOOGLETRANSLATE(A64,""zh-tw"",""zh"")"),"毒蛇之拥")</f>
        <v>毒蛇之拥</v>
      </c>
      <c r="H64" s="198" t="str">
        <f>IFERROR(__xludf.DUMMYFUNCTION("GOOGLETRANSLATE(B64,""zh-tw"",""zh"")"),"物攻：1
魔攻：8
自动环绕攻击")</f>
        <v>物攻：1
魔攻：8
自动环绕攻击</v>
      </c>
      <c r="I64" s="403" t="str">
        <f>IFERROR(__xludf.DUMMYFUNCTION("GOOGLETRANSLATE(A64,""zh-tw"",""es-MX"")"),"El abrazo de la serpiente")</f>
        <v>El abrazo de la serpiente</v>
      </c>
      <c r="J64" s="198" t="str">
        <f>IFERROR(__xludf.DUMMYFUNCTION("GOOGLETRANSLATE(B64,""zh-tw"",""es-MX"")"),"Ataque físico: 1
Ataque mágico: 8
Ataque circular automático")</f>
        <v>Ataque físico: 1
Ataque mágico: 8
Ataque circular automático</v>
      </c>
      <c r="K64" s="399" t="s">
        <v>8655</v>
      </c>
      <c r="L64" s="167" t="s">
        <v>8465</v>
      </c>
      <c r="M64" s="403" t="s">
        <v>8656</v>
      </c>
      <c r="N64" s="198" t="s">
        <v>8657</v>
      </c>
      <c r="O64" s="400" t="s">
        <v>8658</v>
      </c>
      <c r="P64" s="202" t="s">
        <v>8659</v>
      </c>
      <c r="Q64" s="415" t="s">
        <v>8660</v>
      </c>
      <c r="R64" s="406" t="s">
        <v>8661</v>
      </c>
      <c r="S64" s="403" t="s">
        <v>8662</v>
      </c>
      <c r="T64" s="198" t="s">
        <v>8663</v>
      </c>
      <c r="U64" s="403"/>
      <c r="V64" s="198"/>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400" t="s">
        <v>8664</v>
      </c>
      <c r="B65" s="202" t="s">
        <v>8665</v>
      </c>
      <c r="C65" s="399" t="s">
        <v>8666</v>
      </c>
      <c r="D65" s="167" t="s">
        <v>8667</v>
      </c>
      <c r="E65" s="399" t="s">
        <v>8668</v>
      </c>
      <c r="F65" s="167" t="s">
        <v>8669</v>
      </c>
      <c r="G65" s="403" t="str">
        <f>IFERROR(__xludf.DUMMYFUNCTION("GOOGLETRANSLATE(A65,""zh-tw"",""zh"")"),"招财猫")</f>
        <v>招财猫</v>
      </c>
      <c r="H65" s="198" t="str">
        <f>IFERROR(__xludf.DUMMYFUNCTION("GOOGLETRANSLATE(B65,""zh-tw"",""zh"")"),"魔抗：10
幸运：50
吸取物品")</f>
        <v>魔抗：10
幸运：50
吸取物品</v>
      </c>
      <c r="I65" s="403" t="str">
        <f>IFERROR(__xludf.DUMMYFUNCTION("GOOGLETRANSLATE(A65,""zh-tw"",""es-MX"")"),"Gato de la suerte")</f>
        <v>Gato de la suerte</v>
      </c>
      <c r="J65" s="198" t="str">
        <f>IFERROR(__xludf.DUMMYFUNCTION("GOOGLETRANSLATE(B65,""zh-tw"",""es-MX"")"),"Resistencia mágica: 10
Suerte: 50
Absorber objetos")</f>
        <v>Resistencia mágica: 10
Suerte: 50
Absorber objetos</v>
      </c>
      <c r="K65" s="399" t="s">
        <v>8670</v>
      </c>
      <c r="L65" s="167" t="s">
        <v>8671</v>
      </c>
      <c r="M65" s="403" t="s">
        <v>8672</v>
      </c>
      <c r="N65" s="198" t="s">
        <v>8673</v>
      </c>
      <c r="O65" s="400" t="s">
        <v>8674</v>
      </c>
      <c r="P65" s="202" t="s">
        <v>8675</v>
      </c>
      <c r="Q65" s="415" t="s">
        <v>8676</v>
      </c>
      <c r="R65" s="402" t="s">
        <v>8677</v>
      </c>
      <c r="S65" s="403" t="s">
        <v>8678</v>
      </c>
      <c r="T65" s="198" t="s">
        <v>8679</v>
      </c>
      <c r="U65" s="403"/>
      <c r="V65" s="198"/>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403" t="s">
        <v>6262</v>
      </c>
      <c r="B66" s="167" t="s">
        <v>8680</v>
      </c>
      <c r="C66" s="403" t="s">
        <v>6262</v>
      </c>
      <c r="D66" s="167" t="s">
        <v>8681</v>
      </c>
      <c r="E66" s="399" t="s">
        <v>6266</v>
      </c>
      <c r="F66" s="167" t="s">
        <v>8682</v>
      </c>
      <c r="G66" s="403" t="str">
        <f>IFERROR(__xludf.DUMMYFUNCTION("GOOGLETRANSLATE(A66,""zh-tw"",""zh"")"),"◉▽◉(紫色)")</f>
        <v>◉▽◉(紫色)</v>
      </c>
      <c r="H66" s="198" t="str">
        <f>IFERROR(__xludf.DUMMYFUNCTION("GOOGLETRANSLATE(B66,""zh-tw"",""zh"")"),"投掷攻击
遇水消失、会被击杀
幸运：20")</f>
        <v>投掷攻击
遇水消失、会被击杀
幸运：20</v>
      </c>
      <c r="I66" s="403" t="str">
        <f>IFERROR(__xludf.DUMMYFUNCTION("GOOGLETRANSLATE(A66,""zh-tw"",""es-MX"")"),"◉▽◉(morado)")</f>
        <v>◉▽◉(morado)</v>
      </c>
      <c r="J66" s="198" t="str">
        <f>IFERROR(__xludf.DUMMYFUNCTION("GOOGLETRANSLATE(B66,""zh-tw"",""es-MX"")"),"Ataque de lanzamiento. Desaparece al contacto con el agua y puede ser eliminado. Suerte: 20")</f>
        <v>Ataque de lanzamiento. Desaparece al contacto con el agua y puede ser eliminado. Suerte: 20</v>
      </c>
      <c r="K66" s="403" t="str">
        <f>IFERROR(__xludf.DUMMYFUNCTION("GOOGLETRANSLATE(A66,""zh-tw"",""KO"")"),"◉▽◉(보라색)")</f>
        <v>◉▽◉(보라색)</v>
      </c>
      <c r="L66" s="198" t="str">
        <f>IFERROR(__xludf.DUMMYFUNCTION("GOOGLETRANSLATE(B66,""zh-tw"",""KO"")"),"투척 공격. 물에 닿으면 사라지며, 물에 닿으면 죽습니다. 행운: 20")</f>
        <v>투척 공격. 물에 닿으면 사라지며, 물에 닿으면 죽습니다. 행운: 20</v>
      </c>
      <c r="M66" s="403" t="s">
        <v>8683</v>
      </c>
      <c r="N66" s="198" t="s">
        <v>8684</v>
      </c>
      <c r="O66" s="399" t="s">
        <v>6270</v>
      </c>
      <c r="P66" s="167" t="s">
        <v>8685</v>
      </c>
      <c r="Q66" s="423" t="s">
        <v>6272</v>
      </c>
      <c r="R66" s="402" t="s">
        <v>8686</v>
      </c>
      <c r="S66" s="403" t="s">
        <v>6274</v>
      </c>
      <c r="T66" s="198" t="s">
        <v>8687</v>
      </c>
      <c r="U66" s="403"/>
      <c r="V66" s="198"/>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403" t="s">
        <v>8688</v>
      </c>
      <c r="B67" s="198" t="s">
        <v>8689</v>
      </c>
      <c r="C67" s="403" t="s">
        <v>8690</v>
      </c>
      <c r="D67" s="198" t="s">
        <v>8691</v>
      </c>
      <c r="E67" s="403" t="s">
        <v>8692</v>
      </c>
      <c r="F67" s="198" t="s">
        <v>8693</v>
      </c>
      <c r="G67" s="403" t="s">
        <v>8694</v>
      </c>
      <c r="H67" s="198" t="s">
        <v>8695</v>
      </c>
      <c r="I67" s="403" t="str">
        <f>IFERROR(__xludf.DUMMYFUNCTION("GOOGLETRANSLATE(A67,""zh-tw"",""es-MX"")"),"Cuerno rojo")</f>
        <v>Cuerno rojo</v>
      </c>
      <c r="J67" s="198" t="str">
        <f>IFERROR(__xludf.DUMMYFUNCTION("GOOGLETRANSLATE(B67,""zh-tw"",""es-MX"")"),"Ataque físico: 4
Defensa física: 2
Defensa mágica: 25
Aumento de velocidad ilimitado tras cargarse")</f>
        <v>Ataque físico: 4
Defensa física: 2
Defensa mágica: 25
Aumento de velocidad ilimitado tras cargarse</v>
      </c>
      <c r="K67" s="403" t="str">
        <f>IFERROR(__xludf.DUMMYFUNCTION("GOOGLETRANSLATE(A67,""zh-tw"",""KO"")"),"붉은 뿔")</f>
        <v>붉은 뿔</v>
      </c>
      <c r="L67" s="198" t="str">
        <f>IFERROR(__xludf.DUMMYFUNCTION("GOOGLETRANSLATE(B67,""zh-tw"",""KO"")"),"물리 공격력: 4
물리 방어력: 2
마법 방어력: 25
충전 후 무제한 속도 증가")</f>
        <v>물리 공격력: 4
물리 방어력: 2
마법 방어력: 25
충전 후 무제한 속도 증가</v>
      </c>
      <c r="M67" s="403" t="s">
        <v>8696</v>
      </c>
      <c r="N67" s="198" t="s">
        <v>8697</v>
      </c>
      <c r="O67" s="416" t="str">
        <f>IFERROR(__xludf.DUMMYFUNCTION("GOOGLETRANSLATE(A67,""zh-tw"",""de"")"),"Rothorn")</f>
        <v>Rothorn</v>
      </c>
      <c r="P67" s="417" t="str">
        <f>IFERROR(__xludf.DUMMYFUNCTION("GOOGLETRANSLATE(B67,""zh-tw"",""de"")"),"Physischer Angriff: 4
Physische Verteidigung: 2
Magische Verteidigung: 25
Unbegrenzter Geschwindigkeitsschub nach dem Aufladen")</f>
        <v>Physischer Angriff: 4
Physische Verteidigung: 2
Magische Verteidigung: 25
Unbegrenzter Geschwindigkeitsschub nach dem Aufladen</v>
      </c>
      <c r="Q67" s="424" t="s">
        <v>8698</v>
      </c>
      <c r="R67" s="408" t="s">
        <v>8699</v>
      </c>
      <c r="S67" s="403" t="s">
        <v>8700</v>
      </c>
      <c r="T67" s="198" t="s">
        <v>8701</v>
      </c>
      <c r="U67" s="403"/>
      <c r="V67" s="198"/>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166" t="s">
        <v>7674</v>
      </c>
      <c r="C68" s="166" t="s">
        <v>7675</v>
      </c>
      <c r="E68" s="166" t="s">
        <v>7676</v>
      </c>
      <c r="G68" s="166" t="s">
        <v>7677</v>
      </c>
      <c r="I68" s="166"/>
      <c r="K68" s="166"/>
      <c r="M68" s="166" t="s">
        <v>7678</v>
      </c>
      <c r="O68" s="166"/>
      <c r="Q68" s="166"/>
      <c r="S68" s="166" t="s">
        <v>7679</v>
      </c>
      <c r="U68" s="166"/>
      <c r="W68" s="198"/>
      <c r="X68" s="198"/>
      <c r="Y68" s="198"/>
      <c r="Z68" s="198"/>
      <c r="AA68" s="8"/>
      <c r="AB68" s="8"/>
      <c r="AC68" s="8"/>
      <c r="AD68" s="8"/>
      <c r="AE68" s="8"/>
      <c r="AF68" s="8"/>
      <c r="AG68" s="8"/>
      <c r="AH68" s="8"/>
      <c r="AI68" s="8"/>
      <c r="AJ68" s="8"/>
      <c r="AK68" s="8"/>
      <c r="AL68" s="8"/>
      <c r="AM68" s="8"/>
      <c r="AN68" s="8"/>
      <c r="AO68" s="8"/>
      <c r="AP68" s="8"/>
      <c r="AQ68" s="8"/>
      <c r="AR68" s="8"/>
      <c r="AS68" s="8"/>
      <c r="AT68" s="8"/>
    </row>
    <row r="69">
      <c r="A69" s="400" t="s">
        <v>8702</v>
      </c>
      <c r="B69" s="202" t="s">
        <v>8703</v>
      </c>
      <c r="C69" s="399" t="s">
        <v>8704</v>
      </c>
      <c r="D69" s="167" t="s">
        <v>8705</v>
      </c>
      <c r="E69" s="399" t="s">
        <v>8706</v>
      </c>
      <c r="F69" s="167" t="s">
        <v>8707</v>
      </c>
      <c r="G69" s="403" t="str">
        <f>IFERROR(__xludf.DUMMYFUNCTION("GOOGLETRANSLATE(A69,""zh-tw"",""zh"")"),"火鸟的羽毛")</f>
        <v>火鸟的羽毛</v>
      </c>
      <c r="H69" s="198" t="str">
        <f>IFERROR(__xludf.DUMMYFUNCTION("GOOGLETRANSLATE(B69,""zh-tw"",""zh"")"),"复活并恢复全部体力(消耗品)")</f>
        <v>复活并恢复全部体力(消耗品)</v>
      </c>
      <c r="I69" s="403" t="str">
        <f>IFERROR(__xludf.DUMMYFUNCTION("GOOGLETRANSLATE(A69,""zh-tw"",""es-MX"")"),"plumas de pájaro de fuego")</f>
        <v>plumas de pájaro de fuego</v>
      </c>
      <c r="J69" s="198" t="str">
        <f>IFERROR(__xludf.DUMMYFUNCTION("GOOGLETRANSLATE(B69,""zh-tw"",""es-MX"")"),"Reanima y restaura la salud por completo (consumible).")</f>
        <v>Reanima y restaura la salud por completo (consumible).</v>
      </c>
      <c r="K69" s="400" t="s">
        <v>6812</v>
      </c>
      <c r="L69" s="167" t="s">
        <v>8708</v>
      </c>
      <c r="M69" s="403" t="s">
        <v>8709</v>
      </c>
      <c r="N69" s="198" t="s">
        <v>8710</v>
      </c>
      <c r="O69" s="400" t="s">
        <v>6818</v>
      </c>
      <c r="P69" s="202" t="s">
        <v>8711</v>
      </c>
      <c r="Q69" s="415" t="s">
        <v>8712</v>
      </c>
      <c r="R69" s="406" t="s">
        <v>8713</v>
      </c>
      <c r="S69" s="403" t="s">
        <v>8714</v>
      </c>
      <c r="T69" s="198" t="s">
        <v>8715</v>
      </c>
      <c r="U69" s="403"/>
      <c r="V69" s="198"/>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399" t="s">
        <v>6560</v>
      </c>
      <c r="B70" s="167" t="s">
        <v>8716</v>
      </c>
      <c r="C70" s="399" t="s">
        <v>6562</v>
      </c>
      <c r="D70" s="167" t="s">
        <v>8717</v>
      </c>
      <c r="E70" s="399" t="s">
        <v>6564</v>
      </c>
      <c r="F70" s="167" t="s">
        <v>8718</v>
      </c>
      <c r="G70" s="403" t="str">
        <f>IFERROR(__xludf.DUMMYFUNCTION("GOOGLETRANSLATE(A70,""zh-tw"",""zh"")"),"稻草人的心")</f>
        <v>稻草人的心</v>
      </c>
      <c r="H70" s="198" t="str">
        <f>IFERROR(__xludf.DUMMYFUNCTION("GOOGLETRANSLATE(B70,""zh-tw"",""zh"")"),"魔抗：30
无法回复、免死7秒")</f>
        <v>魔抗：30
无法回复、免死7秒</v>
      </c>
      <c r="I70" s="403" t="str">
        <f>IFERROR(__xludf.DUMMYFUNCTION("GOOGLETRANSLATE(A70,""zh-tw"",""es-MX"")"),"El corazón del espantapájaros")</f>
        <v>El corazón del espantapájaros</v>
      </c>
      <c r="J70" s="198" t="str">
        <f>IFERROR(__xludf.DUMMYFUNCTION("GOOGLETRANSLATE(B70,""zh-tw"",""es-MX"")"),"Resistencia mágica: 30. Incapaz de recuperarse, invulnerable durante 7 segundos.")</f>
        <v>Resistencia mágica: 30. Incapaz de recuperarse, invulnerable durante 7 segundos.</v>
      </c>
      <c r="K70" s="399" t="s">
        <v>6566</v>
      </c>
      <c r="L70" s="167" t="s">
        <v>8719</v>
      </c>
      <c r="M70" s="403" t="s">
        <v>6568</v>
      </c>
      <c r="N70" s="198" t="s">
        <v>8720</v>
      </c>
      <c r="O70" s="400" t="s">
        <v>6570</v>
      </c>
      <c r="P70" s="202" t="s">
        <v>8721</v>
      </c>
      <c r="Q70" s="415" t="s">
        <v>6572</v>
      </c>
      <c r="R70" s="406" t="s">
        <v>8722</v>
      </c>
      <c r="S70" s="403" t="s">
        <v>6574</v>
      </c>
      <c r="T70" s="198" t="s">
        <v>8723</v>
      </c>
      <c r="U70" s="403"/>
      <c r="V70" s="198"/>
      <c r="W70" s="8"/>
      <c r="X70" s="8"/>
      <c r="Y70" s="8"/>
      <c r="Z70" s="8"/>
      <c r="AA70" s="8"/>
      <c r="AB70" s="8"/>
      <c r="AC70" s="8"/>
      <c r="AD70" s="8"/>
      <c r="AE70" s="8"/>
      <c r="AF70" s="8"/>
      <c r="AG70" s="8"/>
      <c r="AH70" s="8"/>
      <c r="AI70" s="8"/>
      <c r="AJ70" s="8"/>
      <c r="AK70" s="8"/>
      <c r="AL70" s="8"/>
      <c r="AM70" s="8"/>
      <c r="AN70" s="8"/>
      <c r="AO70" s="8"/>
      <c r="AP70" s="8"/>
      <c r="AQ70" s="8"/>
      <c r="AR70" s="8"/>
      <c r="AS70" s="8"/>
      <c r="AT70" s="8"/>
    </row>
    <row r="71">
      <c r="A71" s="400" t="s">
        <v>8724</v>
      </c>
      <c r="B71" s="202" t="s">
        <v>8725</v>
      </c>
      <c r="C71" s="399" t="s">
        <v>8726</v>
      </c>
      <c r="D71" s="167" t="s">
        <v>8727</v>
      </c>
      <c r="E71" s="399" t="s">
        <v>8728</v>
      </c>
      <c r="F71" s="167" t="s">
        <v>8729</v>
      </c>
      <c r="G71" s="403" t="str">
        <f>IFERROR(__xludf.DUMMYFUNCTION("GOOGLETRANSLATE(A71,""zh-tw"",""zh"")"),"不幸的诞生")</f>
        <v>不幸的诞生</v>
      </c>
      <c r="H71" s="198" t="str">
        <f>IFERROR(__xludf.DUMMYFUNCTION("GOOGLETRANSLATE(B71,""zh-tw"",""zh"")"),"体力上升，基础30，额外加成10%
获得自动回复效果，体力恢复效果提升25%")</f>
        <v>体力上升，基础30，额外加成10%
获得自动回复效果，体力恢复效果提升25%</v>
      </c>
      <c r="I71" s="403" t="str">
        <f>IFERROR(__xludf.DUMMYFUNCTION("GOOGLETRANSLATE(A71,""zh-tw"",""es-MX"")"),"Un nacimiento desafortunado")</f>
        <v>Un nacimiento desafortunado</v>
      </c>
      <c r="J71" s="198" t="str">
        <f>IFERROR(__xludf.DUMMYFUNCTION("GOOGLETRANSLATE(B71,""zh-tw"",""es-MX"")"),"La resistencia aumenta desde el valor base de 30, con una bonificación adicional del 10%. Obtiene recuperación automática de resistencia; el efecto de recuperación de resistencia aumenta un 25%.")</f>
        <v>La resistencia aumenta desde el valor base de 30, con una bonificación adicional del 10%. Obtiene recuperación automática de resistencia; el efecto de recuperación de resistencia aumenta un 25%.</v>
      </c>
      <c r="K71" s="403" t="str">
        <f>IFERROR(__xludf.DUMMYFUNCTION("GOOGLETRANSLATE(A71,""zh-tw"",""KO"")"),"불행한 탄생")</f>
        <v>불행한 탄생</v>
      </c>
      <c r="L71" s="167" t="s">
        <v>8730</v>
      </c>
      <c r="M71" s="403" t="s">
        <v>8731</v>
      </c>
      <c r="N71" s="198" t="s">
        <v>8732</v>
      </c>
      <c r="O71" s="400" t="s">
        <v>8733</v>
      </c>
      <c r="P71" s="202" t="s">
        <v>8734</v>
      </c>
      <c r="Q71" s="415" t="s">
        <v>8735</v>
      </c>
      <c r="R71" s="406" t="s">
        <v>8736</v>
      </c>
      <c r="S71" s="403" t="s">
        <v>8737</v>
      </c>
      <c r="T71" s="198" t="s">
        <v>8738</v>
      </c>
      <c r="U71" s="403"/>
      <c r="V71" s="198"/>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400" t="s">
        <v>8739</v>
      </c>
      <c r="B72" s="202" t="s">
        <v>8740</v>
      </c>
      <c r="C72" s="399" t="s">
        <v>8741</v>
      </c>
      <c r="D72" s="167" t="s">
        <v>8742</v>
      </c>
      <c r="E72" s="399" t="s">
        <v>8743</v>
      </c>
      <c r="F72" s="167" t="s">
        <v>8744</v>
      </c>
      <c r="G72" s="403" t="str">
        <f>IFERROR(__xludf.DUMMYFUNCTION("GOOGLETRANSLATE(A72,""zh-tw"",""zh"")"),"妹妹脱下的内裤")</f>
        <v>妹妹脱下的内裤</v>
      </c>
      <c r="H72" s="198" t="str">
        <f>IFERROR(__xludf.DUMMYFUNCTION("GOOGLETRANSLATE(B72,""zh-tw"",""zh"")"),"低体力回复")</f>
        <v>低体力回复</v>
      </c>
      <c r="I72" s="399" t="s">
        <v>8745</v>
      </c>
      <c r="J72" s="167" t="s">
        <v>8746</v>
      </c>
      <c r="K72" s="399" t="s">
        <v>8747</v>
      </c>
      <c r="L72" s="167" t="s">
        <v>8748</v>
      </c>
      <c r="M72" s="403" t="s">
        <v>8749</v>
      </c>
      <c r="N72" s="198" t="s">
        <v>8750</v>
      </c>
      <c r="O72" s="400" t="s">
        <v>8751</v>
      </c>
      <c r="P72" s="202" t="s">
        <v>8752</v>
      </c>
      <c r="Q72" s="415" t="s">
        <v>8753</v>
      </c>
      <c r="R72" s="402" t="s">
        <v>8754</v>
      </c>
      <c r="S72" s="399" t="s">
        <v>8755</v>
      </c>
      <c r="T72" s="198" t="s">
        <v>8756</v>
      </c>
      <c r="U72" s="403"/>
      <c r="V72" s="198"/>
      <c r="W72" s="8"/>
      <c r="X72" s="8"/>
      <c r="Y72" s="8"/>
      <c r="Z72" s="8"/>
      <c r="AA72" s="8"/>
      <c r="AB72" s="8"/>
      <c r="AC72" s="8"/>
      <c r="AD72" s="8"/>
      <c r="AE72" s="8"/>
      <c r="AF72" s="8"/>
      <c r="AG72" s="8"/>
      <c r="AH72" s="8"/>
      <c r="AI72" s="8"/>
      <c r="AJ72" s="8"/>
      <c r="AK72" s="8"/>
      <c r="AL72" s="8"/>
      <c r="AM72" s="8"/>
      <c r="AN72" s="8"/>
      <c r="AO72" s="8"/>
      <c r="AP72" s="8"/>
      <c r="AQ72" s="8"/>
      <c r="AR72" s="8"/>
      <c r="AS72" s="8"/>
      <c r="AT72" s="8"/>
    </row>
    <row r="73">
      <c r="A73" s="400" t="s">
        <v>8757</v>
      </c>
      <c r="B73" s="202" t="s">
        <v>8758</v>
      </c>
      <c r="C73" s="399" t="s">
        <v>8759</v>
      </c>
      <c r="D73" s="167" t="s">
        <v>8760</v>
      </c>
      <c r="E73" s="399" t="s">
        <v>8761</v>
      </c>
      <c r="F73" s="167" t="s">
        <v>8762</v>
      </c>
      <c r="G73" s="403" t="str">
        <f>IFERROR(__xludf.DUMMYFUNCTION("GOOGLETRANSLATE(A73,""zh-tw"",""zh"")"),"少女的笑容")</f>
        <v>少女的笑容</v>
      </c>
      <c r="H73" s="198" t="str">
        <f>IFERROR(__xludf.DUMMYFUNCTION("GOOGLETRANSLATE(B73,""zh-tw"",""zh"")"),"性欲上升，全属性上升10%")</f>
        <v>性欲上升，全属性上升10%</v>
      </c>
      <c r="I73" s="399" t="s">
        <v>8763</v>
      </c>
      <c r="J73" s="198" t="str">
        <f>IFERROR(__xludf.DUMMYFUNCTION("GOOGLETRANSLATE(B73,""zh-tw"",""es-MX"")"),"Aumento de la libido; todos los atributos aumentan un 10%.")</f>
        <v>Aumento de la libido; todos los atributos aumentan un 10%.</v>
      </c>
      <c r="K73" s="403" t="str">
        <f>IFERROR(__xludf.DUMMYFUNCTION("GOOGLETRANSLATE(A73,""zh-tw"",""KO"")"),"소녀의 미소")</f>
        <v>소녀의 미소</v>
      </c>
      <c r="L73" s="167" t="s">
        <v>8764</v>
      </c>
      <c r="M73" s="403" t="s">
        <v>8765</v>
      </c>
      <c r="N73" s="198" t="s">
        <v>8766</v>
      </c>
      <c r="O73" s="400" t="s">
        <v>8767</v>
      </c>
      <c r="P73" s="202" t="s">
        <v>8768</v>
      </c>
      <c r="Q73" s="414" t="s">
        <v>8769</v>
      </c>
      <c r="R73" s="402" t="s">
        <v>8770</v>
      </c>
      <c r="S73" s="403" t="s">
        <v>8771</v>
      </c>
      <c r="T73" s="198" t="s">
        <v>8772</v>
      </c>
      <c r="U73" s="403"/>
      <c r="V73" s="198"/>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399" t="s">
        <v>8773</v>
      </c>
      <c r="B74" s="167" t="s">
        <v>8774</v>
      </c>
      <c r="C74" s="399" t="s">
        <v>8775</v>
      </c>
      <c r="D74" s="167" t="s">
        <v>8776</v>
      </c>
      <c r="E74" s="399" t="s">
        <v>8777</v>
      </c>
      <c r="F74" s="167" t="s">
        <v>8778</v>
      </c>
      <c r="G74" s="403" t="str">
        <f>IFERROR(__xludf.DUMMYFUNCTION("GOOGLETRANSLATE(A74,""zh-tw"",""zh"")"),"圣少女的怜悯")</f>
        <v>圣少女的怜悯</v>
      </c>
      <c r="H74" s="198" t="str">
        <f>IFERROR(__xludf.DUMMYFUNCTION("GOOGLETRANSLATE(B74,""zh-tw"",""zh"")"),"魔攻：20
物防:2
魔抗：40
贤者、特殊好感")</f>
        <v>魔攻：20
物防:2
魔抗：40
贤者、特殊好感</v>
      </c>
      <c r="I74" s="403" t="str">
        <f>IFERROR(__xludf.DUMMYFUNCTION("GOOGLETRANSLATE(A74,""zh-tw"",""es-MX"")"),"La Misericordia de la Santa Doncella")</f>
        <v>La Misericordia de la Santa Doncella</v>
      </c>
      <c r="J74" s="198" t="str">
        <f>IFERROR(__xludf.DUMMYFUNCTION("GOOGLETRANSLATE(B74,""zh-tw"",""es-MX"")"),"Ataque mágico: 20 Defensa física: 2 Resistencia mágica: 40 Sabio, Afinidad especial")</f>
        <v>Ataque mágico: 20 Defensa física: 2 Resistencia mágica: 40 Sabio, Afinidad especial</v>
      </c>
      <c r="K74" s="399" t="s">
        <v>8779</v>
      </c>
      <c r="L74" s="167" t="s">
        <v>8780</v>
      </c>
      <c r="M74" s="403" t="s">
        <v>8781</v>
      </c>
      <c r="N74" s="198" t="s">
        <v>8782</v>
      </c>
      <c r="O74" s="400" t="s">
        <v>8783</v>
      </c>
      <c r="P74" s="202" t="s">
        <v>8784</v>
      </c>
      <c r="Q74" s="415" t="s">
        <v>8785</v>
      </c>
      <c r="R74" s="402" t="s">
        <v>8786</v>
      </c>
      <c r="S74" s="403" t="s">
        <v>8787</v>
      </c>
      <c r="T74" s="198" t="s">
        <v>8788</v>
      </c>
      <c r="U74" s="403"/>
      <c r="V74" s="198"/>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400" t="s">
        <v>8789</v>
      </c>
      <c r="B75" s="202" t="s">
        <v>8790</v>
      </c>
      <c r="C75" s="399" t="s">
        <v>8791</v>
      </c>
      <c r="D75" s="167" t="s">
        <v>8792</v>
      </c>
      <c r="E75" s="399" t="s">
        <v>8793</v>
      </c>
      <c r="F75" s="167" t="s">
        <v>8794</v>
      </c>
      <c r="G75" s="403" t="str">
        <f>IFERROR(__xludf.DUMMYFUNCTION("GOOGLETRANSLATE(A75,""zh-tw"",""zh"")"),"深邃魔力晶簇")</f>
        <v>深邃魔力晶簇</v>
      </c>
      <c r="H75" s="198" t="str">
        <f>IFERROR(__xludf.DUMMYFUNCTION("GOOGLETRANSLATE(B75,""zh-tw"",""zh"")"),"魔攻：35
魔抗：20
加快吟唱、提升魔法威力上限")</f>
        <v>魔攻：35
魔抗：20
加快吟唱、提升魔法威力上限</v>
      </c>
      <c r="I75" s="403" t="str">
        <f>IFERROR(__xludf.DUMMYFUNCTION("GOOGLETRANSLATE(A75,""zh-tw"",""es-MX"")"),"Clúster de Cristales de Magia Profunda")</f>
        <v>Clúster de Cristales de Magia Profunda</v>
      </c>
      <c r="J75" s="198" t="str">
        <f>IFERROR(__xludf.DUMMYFUNCTION("GOOGLETRANSLATE(B75,""zh-tw"",""es-MX"")"),"Ataque mágico: 35
Resistencia mágica: 20
Acelera el lanzamiento de hechizos, aumenta el poder mágico máximo")</f>
        <v>Ataque mágico: 35
Resistencia mágica: 20
Acelera el lanzamiento de hechizos, aumenta el poder mágico máximo</v>
      </c>
      <c r="K75" s="400" t="s">
        <v>8795</v>
      </c>
      <c r="L75" s="167" t="s">
        <v>8796</v>
      </c>
      <c r="M75" s="403" t="s">
        <v>8797</v>
      </c>
      <c r="N75" s="198" t="s">
        <v>8798</v>
      </c>
      <c r="O75" s="400" t="s">
        <v>8799</v>
      </c>
      <c r="P75" s="202" t="s">
        <v>8800</v>
      </c>
      <c r="Q75" s="415" t="s">
        <v>8801</v>
      </c>
      <c r="R75" s="406" t="s">
        <v>8802</v>
      </c>
      <c r="S75" s="403" t="s">
        <v>8803</v>
      </c>
      <c r="T75" s="198" t="s">
        <v>8804</v>
      </c>
      <c r="U75" s="403"/>
      <c r="V75" s="198"/>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399" t="s">
        <v>8805</v>
      </c>
      <c r="B76" s="167" t="s">
        <v>8806</v>
      </c>
      <c r="C76" s="399" t="s">
        <v>8807</v>
      </c>
      <c r="D76" s="167" t="s">
        <v>8808</v>
      </c>
      <c r="E76" s="399" t="s">
        <v>8809</v>
      </c>
      <c r="F76" s="167" t="s">
        <v>8810</v>
      </c>
      <c r="G76" s="403" t="str">
        <f>IFERROR(__xludf.DUMMYFUNCTION("GOOGLETRANSLATE(A76,""zh-tw"",""zh"")"),"精神凝聚头环")</f>
        <v>精神凝聚头环</v>
      </c>
      <c r="H76" s="198" t="str">
        <f>IFERROR(__xludf.DUMMYFUNCTION("GOOGLETRANSLATE(B76,""zh-tw"",""zh"")"),"魔攻：1
魔抗：20
免疫晕眩、增强魔法输出和魔法范围")</f>
        <v>魔攻：1
魔抗：20
免疫晕眩、增强魔法输出和魔法范围</v>
      </c>
      <c r="I76" s="403" t="str">
        <f>IFERROR(__xludf.DUMMYFUNCTION("GOOGLETRANSLATE(A76,""zh-tw"",""es-MX"")"),"Diadema de cohesión espiritual")</f>
        <v>Diadema de cohesión espiritual</v>
      </c>
      <c r="J76" s="198" t="str">
        <f>IFERROR(__xludf.DUMMYFUNCTION("GOOGLETRANSLATE(B76,""zh-tw"",""es-MX"")"),"Ataque mágico: 1
Resistencia mágica: 20
Inmune al aturdimiento, aumenta el daño mágico y el alcance mágico")</f>
        <v>Ataque mágico: 1
Resistencia mágica: 20
Inmune al aturdimiento, aumenta el daño mágico y el alcance mágico</v>
      </c>
      <c r="K76" s="399" t="s">
        <v>8811</v>
      </c>
      <c r="L76" s="167" t="s">
        <v>8812</v>
      </c>
      <c r="M76" s="403" t="s">
        <v>8813</v>
      </c>
      <c r="N76" s="198" t="s">
        <v>8814</v>
      </c>
      <c r="O76" s="400" t="s">
        <v>8815</v>
      </c>
      <c r="P76" s="202" t="s">
        <v>8816</v>
      </c>
      <c r="Q76" s="415" t="s">
        <v>8817</v>
      </c>
      <c r="R76" s="406" t="s">
        <v>8818</v>
      </c>
      <c r="S76" s="403" t="s">
        <v>8819</v>
      </c>
      <c r="T76" s="198" t="s">
        <v>8820</v>
      </c>
      <c r="U76" s="403"/>
      <c r="V76" s="198"/>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400" t="s">
        <v>8821</v>
      </c>
      <c r="B77" s="202" t="s">
        <v>8822</v>
      </c>
      <c r="C77" s="399" t="s">
        <v>8823</v>
      </c>
      <c r="D77" s="167" t="s">
        <v>8824</v>
      </c>
      <c r="E77" s="399" t="s">
        <v>8825</v>
      </c>
      <c r="F77" s="167" t="s">
        <v>8826</v>
      </c>
      <c r="G77" s="403" t="str">
        <f>IFERROR(__xludf.DUMMYFUNCTION("GOOGLETRANSLATE(A77,""zh-tw"",""zh"")"),"魔力汲取手套")</f>
        <v>魔力汲取手套</v>
      </c>
      <c r="H77" s="198" t="str">
        <f>IFERROR(__xludf.DUMMYFUNCTION("GOOGLETRANSLATE(B77,""zh-tw"",""zh"")"),"物攻：3
魔攻：10
物防：1
魔抗：20
武器附带魔法伤害")</f>
        <v>物攻：3
魔攻：10
物防：1
魔抗：20
武器附带魔法伤害</v>
      </c>
      <c r="I77" s="403" t="str">
        <f>IFERROR(__xludf.DUMMYFUNCTION("GOOGLETRANSLATE(A77,""zh-tw"",""es-MX"")"),"Guantes de absorción mágica")</f>
        <v>Guantes de absorción mágica</v>
      </c>
      <c r="J77" s="198" t="str">
        <f>IFERROR(__xludf.DUMMYFUNCTION("GOOGLETRANSLATE(B77,""zh-tw"",""es-MX"")"),"Ataque físico: 3
Ataque mágico: 10
Defensa física: 1
Resistencia mágica: 20
El arma inflige daño mágico adicional.")</f>
        <v>Ataque físico: 3
Ataque mágico: 10
Defensa física: 1
Resistencia mágica: 20
El arma inflige daño mágico adicional.</v>
      </c>
      <c r="K77" s="400" t="s">
        <v>8827</v>
      </c>
      <c r="L77" s="167" t="s">
        <v>8828</v>
      </c>
      <c r="M77" s="399" t="s">
        <v>8829</v>
      </c>
      <c r="N77" s="198" t="s">
        <v>8830</v>
      </c>
      <c r="O77" s="400" t="s">
        <v>8831</v>
      </c>
      <c r="P77" s="202" t="s">
        <v>8832</v>
      </c>
      <c r="Q77" s="415" t="s">
        <v>8833</v>
      </c>
      <c r="R77" s="406" t="s">
        <v>8834</v>
      </c>
      <c r="S77" s="403" t="s">
        <v>8835</v>
      </c>
      <c r="T77" s="198" t="s">
        <v>8836</v>
      </c>
      <c r="U77" s="403"/>
      <c r="V77" s="198"/>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403" t="s">
        <v>8837</v>
      </c>
      <c r="B78" s="391" t="s">
        <v>8838</v>
      </c>
      <c r="C78" s="399" t="s">
        <v>8839</v>
      </c>
      <c r="D78" s="167" t="s">
        <v>8840</v>
      </c>
      <c r="E78" s="403" t="s">
        <v>8841</v>
      </c>
      <c r="F78" s="167" t="s">
        <v>8842</v>
      </c>
      <c r="G78" s="403" t="str">
        <f>IFERROR(__xludf.DUMMYFUNCTION("GOOGLETRANSLATE(A78,""zh-tw"",""zh"")"),"红髓玉吊坠")</f>
        <v>红髓玉吊坠</v>
      </c>
      <c r="H78" s="198" t="str">
        <f>IFERROR(__xludf.DUMMYFUNCTION("GOOGLETRANSLATE(B78,""zh-tw"",""zh"")"),"魔攻：20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78" s="403" t="str">
        <f>IFERROR(__xludf.DUMMYFUNCTION("GOOGLETRANSLATE(A78,""zh-tw"",""es-MX"")"),"Colgante de cornalina roja")</f>
        <v>Colgante de cornalina roja</v>
      </c>
      <c r="J78" s="198" t="str">
        <f>IFERROR(__xludf.DUMMYFUNCTION("GOOGLETRANSLATE(B78,""zh-tw"",""es-MX"")"),"Ataque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78" s="403" t="str">
        <f>IFERROR(__xludf.DUMMYFUNCTION("GOOGLETRANSLATE(A78,""zh-tw"",""KO"")"),"붉은 카넬리언 펜던트")</f>
        <v>붉은 카넬리언 펜던트</v>
      </c>
      <c r="L78" s="198" t="str">
        <f>IFERROR(__xludf.DUMMYFUNCTION("GOOGLETRANSLATE(B78,""zh-tw"",""KO"")"),"마법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78" s="403" t="s">
        <v>8843</v>
      </c>
      <c r="N78" s="167" t="s">
        <v>8844</v>
      </c>
      <c r="O78" s="399" t="s">
        <v>8841</v>
      </c>
      <c r="P78" s="167" t="s">
        <v>8845</v>
      </c>
      <c r="Q78" s="423" t="s">
        <v>8846</v>
      </c>
      <c r="R78" s="49" t="s">
        <v>8847</v>
      </c>
      <c r="S78" s="403" t="s">
        <v>8848</v>
      </c>
      <c r="T78" s="167" t="s">
        <v>8849</v>
      </c>
      <c r="U78" s="403"/>
      <c r="V78" s="198"/>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399" t="s">
        <v>8850</v>
      </c>
      <c r="B79" s="167" t="s">
        <v>8851</v>
      </c>
      <c r="C79" s="399" t="s">
        <v>8852</v>
      </c>
      <c r="D79" s="167" t="s">
        <v>8853</v>
      </c>
      <c r="E79" s="399" t="s">
        <v>8854</v>
      </c>
      <c r="F79" s="167" t="s">
        <v>8855</v>
      </c>
      <c r="G79" s="399" t="str">
        <f>IFERROR(__xludf.DUMMYFUNCTION("GOOGLETRANSLATE(A79,""zh-tw"",""zh"")"),"恶魔眼球")</f>
        <v>恶魔眼球</v>
      </c>
      <c r="H79" s="167" t="str">
        <f>IFERROR(__xludf.DUMMYFUNCTION("GOOGLETRANSLATE(B79,""zh-tw"",""zh"")"),"魔攻:6
魔防:40
装备时可以解除部分怪物资讯的马赛克
可以于部分SLG事件中，观看动画的X光透视效果")</f>
        <v>魔攻:6
魔防:40
装备时可以解除部分怪物资讯的马赛克
可以于部分SLG事件中，观看动画的X光透视效果</v>
      </c>
      <c r="I79" s="403" t="str">
        <f>IFERROR(__xludf.DUMMYFUNCTION("GOOGLETRANSLATE(A79,""zh-tw"",""es-MX"")"),"Ojo del diablo")</f>
        <v>Ojo del diablo</v>
      </c>
      <c r="J79" s="198" t="str">
        <f>IFERROR(__xludf.DUMMYFUNCTION("GOOGLETRANSLATE(B79,""zh-tw"",""es-MX"")"),"Ataque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79" s="399" t="str">
        <f>IFERROR(__xludf.DUMMYFUNCTION("GOOGLETRANSLATE(A79,""zh-tw"",""KO"")"),"악마의 눈알")</f>
        <v>악마의 눈알</v>
      </c>
      <c r="L79" s="167" t="str">
        <f>IFERROR(__xludf.DUMMYFUNCTION("GOOGLETRANSLATE(B79,""zh-tw"",""KO"")"),"마법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79" s="404" t="s">
        <v>8856</v>
      </c>
      <c r="N79" s="155" t="s">
        <v>8857</v>
      </c>
      <c r="O79" s="399" t="s">
        <v>8858</v>
      </c>
      <c r="P79" s="198" t="s">
        <v>8859</v>
      </c>
      <c r="Q79" s="419" t="s">
        <v>8860</v>
      </c>
      <c r="R79" s="49" t="s">
        <v>8861</v>
      </c>
      <c r="S79" s="399" t="s">
        <v>8862</v>
      </c>
      <c r="T79" s="167" t="s">
        <v>8863</v>
      </c>
      <c r="U79" s="399" t="str">
        <f>IFERROR(__xludf.DUMMYFUNCTION("GOOGLETRANSLATE(A79,""zh-tw"",""ID"")"),"Bola Mata Setan")</f>
        <v>Bola Mata Setan</v>
      </c>
      <c r="V79" s="167" t="str">
        <f>IFERROR(__xludf.DUMMYFUNCTION("GOOGLETRANSLATE(B79,""zh-tw"",""ID"")"),"Serangan Sihir: 6
Pertahanan Sihir: 40
Mengenakan item ini akan menghilangkan sebagian pikselasi dari informasi monster.
Item ini juga memungkinkan Anda untuk melihat efek sinar-X dari animasi di beberapa event SLG tertentu.")</f>
        <v>Serangan Sihir: 6
Pertahanan Sihir: 40
Mengenakan item ini akan menghilangkan sebagian pikselasi dari informasi monster.
Item ini juga memungkinkan Anda untuk melihat efek sinar-X dari animasi di beberapa event SLG tertentu.</v>
      </c>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403" t="s">
        <v>8864</v>
      </c>
      <c r="B80" s="167" t="s">
        <v>8865</v>
      </c>
      <c r="C80" s="399" t="s">
        <v>8866</v>
      </c>
      <c r="D80" s="167" t="s">
        <v>8867</v>
      </c>
      <c r="E80" s="399" t="s">
        <v>8868</v>
      </c>
      <c r="F80" s="167" t="s">
        <v>8869</v>
      </c>
      <c r="G80" s="403" t="str">
        <f>IFERROR(__xludf.DUMMYFUNCTION("GOOGLETRANSLATE(A80,""zh-tw"",""zh"")"),"◉▽◉(粉色)")</f>
        <v>◉▽◉(粉色)</v>
      </c>
      <c r="H80" s="198" t="str">
        <f>IFERROR(__xludf.DUMMYFUNCTION("GOOGLETRANSLATE(B80,""zh-tw"",""zh"")"),"投掷攻击
遇水消失、会被击杀
幸运：40")</f>
        <v>投掷攻击
遇水消失、会被击杀
幸运：40</v>
      </c>
      <c r="I80" s="403" t="str">
        <f>IFERROR(__xludf.DUMMYFUNCTION("GOOGLETRANSLATE(A80,""zh-tw"",""es-MX"")"),"◉▽◉(Rosa)")</f>
        <v>◉▽◉(Rosa)</v>
      </c>
      <c r="J80" s="198" t="str">
        <f>IFERROR(__xludf.DUMMYFUNCTION("GOOGLETRANSLATE(B80,""zh-tw"",""es-MX"")"),"Ataque de lanzamiento. Desaparece al contacto con el agua; puede ser eliminado. Suerte: 40")</f>
        <v>Ataque de lanzamiento. Desaparece al contacto con el agua; puede ser eliminado. Suerte: 40</v>
      </c>
      <c r="K80" s="403" t="str">
        <f>IFERROR(__xludf.DUMMYFUNCTION("GOOGLETRANSLATE(A80,""zh-tw"",""KO"")"),"◉▽◉(핑크)")</f>
        <v>◉▽◉(핑크)</v>
      </c>
      <c r="L80" s="198" t="str">
        <f>IFERROR(__xludf.DUMMYFUNCTION("GOOGLETRANSLATE(B80,""zh-tw"",""KO"")"),"투척 공격. 물에 닿으면 사라짐; 죽일 수 있음. 행운: 40")</f>
        <v>투척 공격. 물에 닿으면 사라짐; 죽일 수 있음. 행운: 40</v>
      </c>
      <c r="M80" s="403" t="s">
        <v>8870</v>
      </c>
      <c r="N80" s="198" t="s">
        <v>8871</v>
      </c>
      <c r="O80" s="399" t="s">
        <v>8872</v>
      </c>
      <c r="P80" s="167" t="s">
        <v>8873</v>
      </c>
      <c r="Q80" s="423" t="s">
        <v>8874</v>
      </c>
      <c r="R80" s="402" t="s">
        <v>8875</v>
      </c>
      <c r="S80" s="403" t="s">
        <v>8876</v>
      </c>
      <c r="T80" s="198" t="s">
        <v>8877</v>
      </c>
      <c r="U80" s="403"/>
      <c r="V80" s="198"/>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166" t="s">
        <v>7754</v>
      </c>
      <c r="C81" s="166" t="s">
        <v>7755</v>
      </c>
      <c r="E81" s="166" t="s">
        <v>7756</v>
      </c>
      <c r="G81" s="166" t="s">
        <v>7757</v>
      </c>
      <c r="I81" s="166"/>
      <c r="K81" s="166"/>
      <c r="M81" s="166" t="s">
        <v>7758</v>
      </c>
      <c r="O81" s="166"/>
      <c r="Q81" s="166"/>
      <c r="S81" s="166" t="s">
        <v>7759</v>
      </c>
      <c r="U81" s="166"/>
      <c r="W81" s="198"/>
      <c r="X81" s="198"/>
      <c r="Y81" s="198"/>
      <c r="Z81" s="198"/>
      <c r="AA81" s="8"/>
      <c r="AB81" s="8"/>
      <c r="AC81" s="8"/>
      <c r="AD81" s="8"/>
      <c r="AE81" s="8"/>
      <c r="AF81" s="8"/>
      <c r="AG81" s="8"/>
      <c r="AH81" s="8"/>
      <c r="AI81" s="8"/>
      <c r="AJ81" s="8"/>
      <c r="AK81" s="8"/>
      <c r="AL81" s="8"/>
      <c r="AM81" s="8"/>
      <c r="AN81" s="8"/>
      <c r="AO81" s="8"/>
      <c r="AP81" s="8"/>
      <c r="AQ81" s="8"/>
      <c r="AR81" s="8"/>
      <c r="AS81" s="8"/>
      <c r="AT81" s="8"/>
    </row>
    <row r="82">
      <c r="A82" s="399" t="s">
        <v>8878</v>
      </c>
      <c r="B82" s="167" t="s">
        <v>8879</v>
      </c>
      <c r="C82" s="399" t="s">
        <v>8880</v>
      </c>
      <c r="D82" s="167" t="s">
        <v>8881</v>
      </c>
      <c r="E82" s="399" t="s">
        <v>8882</v>
      </c>
      <c r="F82" s="167" t="s">
        <v>8883</v>
      </c>
      <c r="G82" s="403" t="str">
        <f>IFERROR(__xludf.DUMMYFUNCTION("GOOGLETRANSLATE(A82,""zh-tw"",""zh"")"),"未满的黄金圣杯")</f>
        <v>未满的黄金圣杯</v>
      </c>
      <c r="H82" s="198" t="str">
        <f>IFERROR(__xludf.DUMMYFUNCTION("GOOGLETRANSLATE(B82,""zh-tw"",""zh"")"),"幸运:100
掉落拾取的金钱数量翻倍
(不可以和存钱罐连动)")</f>
        <v>幸运:100
掉落拾取的金钱数量翻倍
(不可以和存钱罐连动)</v>
      </c>
      <c r="I82" s="399" t="s">
        <v>8884</v>
      </c>
      <c r="J82" s="198" t="str">
        <f>IFERROR(__xludf.DUMMYFUNCTION("GOOGLETRANSLATE(B82,""zh-tw"",""es-MX"")"),"Suerte: 100. Duplica la cantidad de dinero que recoges de los objetos que sueltan los enemigos.
(No se puede combinar con una hucha).")</f>
        <v>Suerte: 100. Duplica la cantidad de dinero que recoges de los objetos que sueltan los enemigos.
(No se puede combinar con una hucha).</v>
      </c>
      <c r="K82" s="399" t="s">
        <v>8885</v>
      </c>
      <c r="L82" s="167" t="s">
        <v>8886</v>
      </c>
      <c r="M82" s="403" t="s">
        <v>8887</v>
      </c>
      <c r="N82" s="198" t="s">
        <v>8888</v>
      </c>
      <c r="O82" s="400" t="s">
        <v>8889</v>
      </c>
      <c r="P82" s="202" t="s">
        <v>8890</v>
      </c>
      <c r="Q82" s="415" t="s">
        <v>8891</v>
      </c>
      <c r="R82" s="402" t="s">
        <v>8892</v>
      </c>
      <c r="S82" s="425" t="s">
        <v>8882</v>
      </c>
      <c r="T82" s="198" t="s">
        <v>8893</v>
      </c>
      <c r="U82" s="403"/>
      <c r="V82" s="198"/>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399" t="s">
        <v>8894</v>
      </c>
      <c r="B83" s="167" t="s">
        <v>8895</v>
      </c>
      <c r="C83" s="399" t="s">
        <v>8896</v>
      </c>
      <c r="D83" s="167" t="s">
        <v>8897</v>
      </c>
      <c r="E83" s="399" t="s">
        <v>8898</v>
      </c>
      <c r="F83" s="167" t="s">
        <v>8899</v>
      </c>
      <c r="G83" s="403" t="str">
        <f>IFERROR(__xludf.DUMMYFUNCTION("GOOGLETRANSLATE(A83,""zh-tw"",""zh"")"),"王权之令")</f>
        <v>王权之令</v>
      </c>
      <c r="H83" s="198" t="str">
        <f>IFERROR(__xludf.DUMMYFUNCTION("GOOGLETRANSLATE(B83,""zh-tw"",""zh"")"),"提升从者大小和能力、提升全属性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3" s="403" t="str">
        <f>IFERROR(__xludf.DUMMYFUNCTION("GOOGLETRANSLATE(A83,""zh-tw"",""es-MX"")"),"Real Decreto")</f>
        <v>Real Decreto</v>
      </c>
      <c r="J83" s="198" t="str">
        <f>IFERROR(__xludf.DUMMYFUNCTION("GOOGLETRANSLATE(B83,""zh-tw"",""es-MX"")"),"Aumenta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3" s="403" t="str">
        <f>IFERROR(__xludf.DUMMYFUNCTION("GOOGLETRANSLATE(A83,""zh-tw"",""KO"")"),"왕령")</f>
        <v>왕령</v>
      </c>
      <c r="L83" s="167" t="s">
        <v>8900</v>
      </c>
      <c r="M83" s="403" t="s">
        <v>8901</v>
      </c>
      <c r="N83" s="198" t="s">
        <v>8902</v>
      </c>
      <c r="O83" s="400" t="s">
        <v>8903</v>
      </c>
      <c r="P83" s="202" t="s">
        <v>8904</v>
      </c>
      <c r="Q83" s="415" t="s">
        <v>8905</v>
      </c>
      <c r="R83" s="49" t="s">
        <v>8906</v>
      </c>
      <c r="S83" s="403" t="s">
        <v>8907</v>
      </c>
      <c r="T83" s="198" t="s">
        <v>8908</v>
      </c>
      <c r="U83" s="403"/>
      <c r="V83" s="198"/>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399" t="s">
        <v>8909</v>
      </c>
      <c r="B84" s="167" t="s">
        <v>8910</v>
      </c>
      <c r="C84" s="399" t="s">
        <v>8911</v>
      </c>
      <c r="D84" s="167" t="s">
        <v>8912</v>
      </c>
      <c r="E84" s="399" t="s">
        <v>8913</v>
      </c>
      <c r="F84" s="198" t="str">
        <f>IFERROR(__xludf.DUMMYFUNCTION("GOOGLETRANSLATE(B84,""zh-tw"",""en"")"),"Luck: 100 (Lucky stats include: finding money, Mammon aura, indestructible, increased movement speed)
")</f>
        <v>Luck: 100 (Lucky stats include: finding money, Mammon aura, indestructible, increased movement speed)
</v>
      </c>
      <c r="G84" s="403" t="str">
        <f>IFERROR(__xludf.DUMMYFUNCTION("GOOGLETRANSLATE(A84,""zh-tw"",""zh"")"),"贪欲存钱罐")</f>
        <v>贪欲存钱罐</v>
      </c>
      <c r="H84" s="198" t="str">
        <f>IFERROR(__xludf.DUMMYFUNCTION("GOOGLETRANSLATE(B84,""zh-tw"",""zh"")"),"幸运：100
捡钱、玛门光环、坚不可摧、移动加快
")</f>
        <v>幸运：100
捡钱、玛门光环、坚不可摧、移动加快
</v>
      </c>
      <c r="I84" s="403" t="str">
        <f>IFERROR(__xludf.DUMMYFUNCTION("GOOGLETRANSLATE(A84,""zh-tw"",""es-MX"")"),"Hucha codiciosa")</f>
        <v>Hucha codiciosa</v>
      </c>
      <c r="J84" s="198" t="str">
        <f>IFERROR(__xludf.DUMMYFUNCTION("GOOGLETRANSLATE(B84,""zh-tw"",""es-MX"")"),"Suerte: 100 (Estadísticas de suerte: encontrar dinero, aura de Mammon, indestructible, mayor velocidad de movimiento)
")</f>
        <v>Suerte: 100 (Estadísticas de suerte: encontrar dinero, aura de Mammon, indestructible, mayor velocidad de movimiento)
</v>
      </c>
      <c r="K84" s="403" t="str">
        <f>IFERROR(__xludf.DUMMYFUNCTION("GOOGLETRANSLATE(A84,""zh-tw"",""KO"")"),"욕심쟁이 돼지 저금통")</f>
        <v>욕심쟁이 돼지 저금통</v>
      </c>
      <c r="L84" s="167" t="s">
        <v>8914</v>
      </c>
      <c r="M84" s="403" t="s">
        <v>8915</v>
      </c>
      <c r="N84" s="198" t="s">
        <v>8916</v>
      </c>
      <c r="O84" s="400" t="s">
        <v>8917</v>
      </c>
      <c r="P84" s="202" t="s">
        <v>8918</v>
      </c>
      <c r="Q84" s="415" t="s">
        <v>8919</v>
      </c>
      <c r="R84" s="406" t="s">
        <v>8920</v>
      </c>
      <c r="S84" s="403" t="s">
        <v>8921</v>
      </c>
      <c r="T84" s="167" t="s">
        <v>8922</v>
      </c>
      <c r="U84" s="399"/>
      <c r="V84" s="167"/>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403" t="s">
        <v>8923</v>
      </c>
      <c r="B85" s="198" t="s">
        <v>8924</v>
      </c>
      <c r="C85" s="399" t="s">
        <v>8925</v>
      </c>
      <c r="D85" s="167" t="s">
        <v>8926</v>
      </c>
      <c r="E85" s="399" t="s">
        <v>8927</v>
      </c>
      <c r="F85" s="167" t="s">
        <v>8928</v>
      </c>
      <c r="G85" s="403" t="str">
        <f>IFERROR(__xludf.DUMMYFUNCTION("GOOGLETRANSLATE(A85,""zh-tw"",""zh"")"),"爱神荡漾")</f>
        <v>爱神荡漾</v>
      </c>
      <c r="H85" s="198" t="str">
        <f>IFERROR(__xludf.DUMMYFUNCTION("GOOGLETRANSLATE(B85,""zh-tw"",""zh"")"),"大幅增加触摸时提升的好感度
(摸一次增加一颗好感)
※此为作弊神器，请参考TIPS")</f>
        <v>大幅增加触摸时提升的好感度
(摸一次增加一颗好感)
※此为作弊神器，请参考TIPS</v>
      </c>
      <c r="I85" s="403" t="str">
        <f>IFERROR(__xludf.DUMMYFUNCTION("GOOGLETRANSLATE(A85,""zh-tw"",""es-MX"")"),"Ondulación de Cupido")</f>
        <v>Ondulación de Cupido</v>
      </c>
      <c r="J85" s="198" t="str">
        <f>IFERROR(__xludf.DUMMYFUNCTION("GOOGLETRANSLATE(B85,""zh-tw"",""es-MX"")"),"Aumenta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85" s="403" t="str">
        <f>IFERROR(__xludf.DUMMYFUNCTION("GOOGLETRANSLATE(A85,""zh-tw"",""KO"")"),"큐피드의 잔물결")</f>
        <v>큐피드의 잔물결</v>
      </c>
      <c r="L85" s="198" t="str">
        <f>IFERROR(__xludf.DUMMYFUNCTION("GOOGLETRANSLATE(B85,""zh-tw"",""KO"")"),"접촉을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85" s="403" t="s">
        <v>8929</v>
      </c>
      <c r="N85" s="198" t="s">
        <v>8930</v>
      </c>
      <c r="O85" s="399" t="s">
        <v>8931</v>
      </c>
      <c r="P85" s="167" t="s">
        <v>8932</v>
      </c>
      <c r="Q85" s="414" t="s">
        <v>8933</v>
      </c>
      <c r="R85" s="406" t="s">
        <v>8934</v>
      </c>
      <c r="S85" s="403" t="s">
        <v>8935</v>
      </c>
      <c r="T85" s="167" t="s">
        <v>8936</v>
      </c>
      <c r="U85" s="399"/>
      <c r="V85" s="167"/>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399" t="s">
        <v>8937</v>
      </c>
      <c r="B86" s="167" t="s">
        <v>8938</v>
      </c>
      <c r="C86" s="399" t="s">
        <v>8939</v>
      </c>
      <c r="D86" s="167" t="s">
        <v>8940</v>
      </c>
      <c r="E86" s="399" t="s">
        <v>8941</v>
      </c>
      <c r="F86" s="167" t="s">
        <v>8942</v>
      </c>
      <c r="G86" s="403" t="str">
        <f>IFERROR(__xludf.DUMMYFUNCTION("GOOGLETRANSLATE(A86,""zh-tw"",""zh"")"),"绝对领域")</f>
        <v>绝对领域</v>
      </c>
      <c r="H86" s="198" t="str">
        <f>IFERROR(__xludf.DUMMYFUNCTION("GOOGLETRANSLATE(B86,""zh-tw"",""zh"")"),"魔防：169
幸运：69
增加携带武器/防具数量+99
※此为作弊神器，请参考TIPS")</f>
        <v>魔防：169
幸运：69
增加携带武器/防具数量+99
※此为作弊神器，请参考TIPS</v>
      </c>
      <c r="I86" s="403" t="str">
        <f>IFERROR(__xludf.DUMMYFUNCTION("GOOGLETRANSLATE(A86,""zh-tw"",""es-MX"")"),"Territorio absoluto")</f>
        <v>Territorio absoluto</v>
      </c>
      <c r="J86" s="198" t="str">
        <f>IFERROR(__xludf.DUMMYFUNCTION("GOOGLETRANSLATE(B86,""zh-tw"",""es-MX"")"),"Defensa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86" s="403" t="str">
        <f>IFERROR(__xludf.DUMMYFUNCTION("GOOGLETRANSLATE(A86,""zh-tw"",""KO"")"),"절대 영토")</f>
        <v>절대 영토</v>
      </c>
      <c r="L86" s="198" t="str">
        <f>IFERROR(__xludf.DUMMYFUNCTION("GOOGLETRANSLATE(B86,""zh-tw"",""KO"")"),"마법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86" s="403" t="s">
        <v>8943</v>
      </c>
      <c r="N86" s="198" t="s">
        <v>8944</v>
      </c>
      <c r="O86" s="399" t="s">
        <v>8945</v>
      </c>
      <c r="P86" s="167" t="s">
        <v>8946</v>
      </c>
      <c r="Q86" s="415" t="s">
        <v>8947</v>
      </c>
      <c r="R86" s="406" t="s">
        <v>8948</v>
      </c>
      <c r="S86" s="403" t="s">
        <v>8949</v>
      </c>
      <c r="T86" s="167" t="s">
        <v>8950</v>
      </c>
      <c r="U86" s="399"/>
      <c r="V86" s="167"/>
      <c r="W86" s="8"/>
      <c r="X86" s="8"/>
      <c r="Y86" s="8"/>
      <c r="Z86" s="8"/>
      <c r="AA86" s="8"/>
      <c r="AB86" s="8"/>
      <c r="AC86" s="8"/>
      <c r="AD86" s="8"/>
      <c r="AE86" s="8"/>
      <c r="AF86" s="8"/>
      <c r="AG86" s="8"/>
      <c r="AH86" s="8"/>
      <c r="AI86" s="8"/>
      <c r="AJ86" s="8"/>
      <c r="AK86" s="8"/>
      <c r="AL86" s="8"/>
      <c r="AM86" s="8"/>
      <c r="AN86" s="8"/>
      <c r="AO86" s="8"/>
      <c r="AP86" s="8"/>
      <c r="AQ86" s="8"/>
      <c r="AR86" s="8"/>
      <c r="AS86" s="8"/>
      <c r="AT86" s="8"/>
    </row>
    <row r="87">
      <c r="A87" s="399" t="s">
        <v>8951</v>
      </c>
      <c r="B87" s="167" t="s">
        <v>8952</v>
      </c>
      <c r="C87" s="399" t="s">
        <v>8953</v>
      </c>
      <c r="D87" s="167" t="s">
        <v>8954</v>
      </c>
      <c r="E87" s="399" t="s">
        <v>8955</v>
      </c>
      <c r="F87" s="167" t="s">
        <v>8956</v>
      </c>
      <c r="G87" s="403" t="str">
        <f>IFERROR(__xludf.DUMMYFUNCTION("GOOGLETRANSLATE(A87,""zh-tw"",""zh"")"),"Mio的急救箱")</f>
        <v>Mio的急救箱</v>
      </c>
      <c r="H87" s="198" t="str">
        <f>IFERROR(__xludf.DUMMYFUNCTION("GOOGLETRANSLATE(B87,""zh-tw"",""zh"")"),"每秒回复血
※此为作弊神器，请参考TIPS")</f>
        <v>每秒回复血
※此为作弊神器，请参考TIPS</v>
      </c>
      <c r="I87" s="403" t="str">
        <f>IFERROR(__xludf.DUMMYFUNCTION("GOOGLETRANSLATE(A87,""zh-tw"",""es-MX"")"),"Botiquín de primeros auxilios de Mio")</f>
        <v>Botiquín de primeros auxilios de Mio</v>
      </c>
      <c r="J87" s="198" t="str">
        <f>IFERROR(__xludf.DUMMYFUNCTION("GOOGLETRANSLATE(B87,""zh-tw"",""es-MX"")"),"Regenera salud por segundo
※Esta es una herramienta para hacer trampas; consulta los CONSEJOS.")</f>
        <v>Regenera salud por segundo
※Esta es una herramienta para hacer trampas; consulta los CONSEJOS.</v>
      </c>
      <c r="K87" s="403" t="str">
        <f>IFERROR(__xludf.DUMMYFUNCTION("GOOGLETRANSLATE(A87,""zh-tw"",""KO"")"),"미오의 구급상자")</f>
        <v>미오의 구급상자</v>
      </c>
      <c r="L87" s="198" t="str">
        <f>IFERROR(__xludf.DUMMYFUNCTION("GOOGLETRANSLATE(B87,""zh-tw"",""KO"")"),"초당 체력을 회복합니다.
※이것은 치트 도구입니다. 사용 시 주의사항을 참고하세요.")</f>
        <v>초당 체력을 회복합니다.
※이것은 치트 도구입니다. 사용 시 주의사항을 참고하세요.</v>
      </c>
      <c r="M87" s="403" t="s">
        <v>8957</v>
      </c>
      <c r="N87" s="198" t="s">
        <v>8958</v>
      </c>
      <c r="O87" s="416" t="str">
        <f>IFERROR(__xludf.DUMMYFUNCTION("GOOGLETRANSLATE(A87,""zh-tw"",""de"")"),"Mios Erste-Hilfe-Set")</f>
        <v>Mios Erste-Hilfe-Set</v>
      </c>
      <c r="P87" s="417" t="str">
        <f>IFERROR(__xludf.DUMMYFUNCTION("GOOGLETRANSLATE(B87,""zh-tw"",""de"")"),"Regeneriert Gesundheit pro Sekunde
※Dies ist ein Cheat-Tool. Bitte beachte die Tipps.")</f>
        <v>Regeneriert Gesundheit pro Sekunde
※Dies ist ein Cheat-Tool. Bitte beachte die Tipps.</v>
      </c>
      <c r="Q87" s="414" t="s">
        <v>8959</v>
      </c>
      <c r="R87" s="406" t="s">
        <v>8960</v>
      </c>
      <c r="S87" s="403" t="s">
        <v>8961</v>
      </c>
      <c r="T87" s="167" t="s">
        <v>8962</v>
      </c>
      <c r="U87" s="399"/>
      <c r="V87" s="167"/>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399" t="s">
        <v>8963</v>
      </c>
      <c r="B88" s="167" t="s">
        <v>8964</v>
      </c>
      <c r="C88" s="399" t="s">
        <v>8965</v>
      </c>
      <c r="D88" s="167" t="s">
        <v>8966</v>
      </c>
      <c r="E88" s="399" t="s">
        <v>8967</v>
      </c>
      <c r="F88" s="167" t="s">
        <v>8968</v>
      </c>
      <c r="G88" s="403" t="str">
        <f>IFERROR(__xludf.DUMMYFUNCTION("GOOGLETRANSLATE(A88,""zh-tw"",""zh"")"),"Ruika的万宝槌")</f>
        <v>Ruika的万宝槌</v>
      </c>
      <c r="H88" s="198" t="str">
        <f>IFERROR(__xludf.DUMMYFUNCTION("GOOGLETRANSLATE(B88,""zh-tw"",""zh"")"),"幸运：777
增加掉落率
※此为作弊神器，请参考TIPS")</f>
        <v>幸运：777
增加掉落率
※此为作弊神器，请参考TIPS</v>
      </c>
      <c r="I88" s="403" t="str">
        <f>IFERROR(__xludf.DUMMYFUNCTION("GOOGLETRANSLATE(A88,""zh-tw"",""es-MX"")"),"El martillo de Ruika")</f>
        <v>El martillo de Ruika</v>
      </c>
      <c r="J88" s="198" t="str">
        <f>IFERROR(__xludf.DUMMYFUNCTION("GOOGLETRANSLATE(B88,""zh-tw"",""es-MX"")"),"Suerte: 777
Aumenta la probabilidad de obtención
※Esta es una herramienta de trucos; consulta los CONSEJOS.")</f>
        <v>Suerte: 777
Aumenta la probabilidad de obtención
※Esta es una herramienta de trucos; consulta los CONSEJOS.</v>
      </c>
      <c r="K88" s="403" t="str">
        <f>IFERROR(__xludf.DUMMYFUNCTION("GOOGLETRANSLATE(A88,""zh-tw"",""KO"")"),"루이카의 망치")</f>
        <v>루이카의 망치</v>
      </c>
      <c r="L88" s="198" t="str">
        <f>IFERROR(__xludf.DUMMYFUNCTION("GOOGLETRANSLATE(B88,""zh-tw"",""KO"")"),"행운: 777
드롭률 증가
※이것은 치트 도구입니다. 자세한 내용은 팁을 참조하세요.")</f>
        <v>행운: 777
드롭률 증가
※이것은 치트 도구입니다. 자세한 내용은 팁을 참조하세요.</v>
      </c>
      <c r="M88" s="403" t="s">
        <v>8969</v>
      </c>
      <c r="N88" s="198" t="s">
        <v>8970</v>
      </c>
      <c r="O88" s="416" t="str">
        <f>IFERROR(__xludf.DUMMYFUNCTION("GOOGLETRANSLATE(A88,""zh-tw"",""de"")"),"Ruikas Hammer")</f>
        <v>Ruikas Hammer</v>
      </c>
      <c r="P88" s="417" t="str">
        <f>IFERROR(__xludf.DUMMYFUNCTION("GOOGLETRANSLATE(B88,""zh-tw"",""de"")"),"Glück: 777
Erhöht die Drop-Rate
※Dies ist ein Cheat-Tool. Bitte beachte die Tipps.")</f>
        <v>Glück: 777
Erhöht die Drop-Rate
※Dies ist ein Cheat-Tool. Bitte beachte die Tipps.</v>
      </c>
      <c r="Q88" s="414" t="s">
        <v>8971</v>
      </c>
      <c r="R88" s="406" t="s">
        <v>8972</v>
      </c>
      <c r="S88" s="403" t="s">
        <v>8973</v>
      </c>
      <c r="T88" s="167" t="s">
        <v>8974</v>
      </c>
      <c r="U88" s="399"/>
      <c r="V88" s="167"/>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399" t="s">
        <v>8975</v>
      </c>
      <c r="B89" s="167" t="s">
        <v>8976</v>
      </c>
      <c r="C89" s="399" t="s">
        <v>8977</v>
      </c>
      <c r="D89" s="167" t="s">
        <v>8978</v>
      </c>
      <c r="E89" s="399" t="s">
        <v>8979</v>
      </c>
      <c r="F89" s="167" t="s">
        <v>8980</v>
      </c>
      <c r="G89" s="403" t="str">
        <f>IFERROR(__xludf.DUMMYFUNCTION("GOOGLETRANSLATE(A89,""zh-tw"",""zh"")"),"白湮的金手指")</f>
        <v>白湮的金手指</v>
      </c>
      <c r="H89" s="198" t="str">
        <f>IFERROR(__xludf.DUMMYFUNCTION("GOOGLETRANSLATE(B89,""zh-tw"",""zh"")"),"武器无消耗
※此为作弊神器，请参考TIPS")</f>
        <v>武器无消耗
※此为作弊神器，请参考TIPS</v>
      </c>
      <c r="I89" s="403" t="str">
        <f>IFERROR(__xludf.DUMMYFUNCTION("GOOGLETRANSLATE(A89,""zh-tw"",""es-MX"")"),"El dedo dorado de Bai Yan")</f>
        <v>El dedo dorado de Bai Yan</v>
      </c>
      <c r="J89" s="198" t="str">
        <f>IFERROR(__xludf.DUMMYFUNCTION("GOOGLETRANSLATE(B89,""zh-tw"",""es-MX"")"),"El arma no tiene costo.
※Este es un truco; consulta los CONSEJOS.")</f>
        <v>El arma no tiene costo.
※Este es un truco; consulta los CONSEJOS.</v>
      </c>
      <c r="K89" s="403" t="str">
        <f>IFERROR(__xludf.DUMMYFUNCTION("GOOGLETRANSLATE(A89,""zh-tw"",""KO"")"),"바이옌의 황금손가락")</f>
        <v>바이옌의 황금손가락</v>
      </c>
      <c r="L89" s="198" t="str">
        <f>IFERROR(__xludf.DUMMYFUNCTION("GOOGLETRANSLATE(B89,""zh-tw"",""KO"")"),"무기는 비용이 들지 않습니다.
※이것은 치트 코드입니다. 자세한 내용은 팁을 참조하세요.")</f>
        <v>무기는 비용이 들지 않습니다.
※이것은 치트 코드입니다. 자세한 내용은 팁을 참조하세요.</v>
      </c>
      <c r="M89" s="403" t="s">
        <v>8981</v>
      </c>
      <c r="N89" s="198" t="s">
        <v>8982</v>
      </c>
      <c r="O89" s="416" t="str">
        <f>IFERROR(__xludf.DUMMYFUNCTION("GOOGLETRANSLATE(A89,""zh-tw"",""de"")"),"Bai Yans goldener Finger")</f>
        <v>Bai Yans goldener Finger</v>
      </c>
      <c r="P89" s="417" t="str">
        <f>IFERROR(__xludf.DUMMYFUNCTION("GOOGLETRANSLATE(B89,""zh-tw"",""de"")"),"Die Waffe ist kostenlos.
※Dies ist ein Cheat-Code; bitte beachte die Tipps.")</f>
        <v>Die Waffe ist kostenlos.
※Dies ist ein Cheat-Code; bitte beachte die Tipps.</v>
      </c>
      <c r="Q89" s="414" t="s">
        <v>8983</v>
      </c>
      <c r="R89" s="406" t="s">
        <v>8984</v>
      </c>
      <c r="S89" s="403" t="s">
        <v>8985</v>
      </c>
      <c r="T89" s="167" t="s">
        <v>8986</v>
      </c>
      <c r="U89" s="399"/>
      <c r="V89" s="167"/>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403"/>
      <c r="B90" s="198"/>
      <c r="C90" s="403"/>
      <c r="D90" s="198"/>
      <c r="E90" s="403"/>
      <c r="F90" s="198"/>
      <c r="G90" s="403"/>
      <c r="H90" s="198"/>
      <c r="I90" s="403"/>
      <c r="J90" s="198"/>
      <c r="K90" s="403"/>
      <c r="L90" s="198"/>
      <c r="M90" s="403"/>
      <c r="N90" s="198"/>
      <c r="O90" s="403"/>
      <c r="P90" s="198"/>
      <c r="Q90" s="426"/>
      <c r="R90" s="427"/>
      <c r="S90" s="403"/>
      <c r="T90" s="198"/>
      <c r="U90" s="403"/>
      <c r="V90" s="198"/>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403"/>
      <c r="B91" s="198"/>
      <c r="C91" s="403"/>
      <c r="D91" s="198"/>
      <c r="E91" s="403"/>
      <c r="F91" s="198"/>
      <c r="G91" s="403"/>
      <c r="H91" s="198"/>
      <c r="I91" s="403"/>
      <c r="J91" s="198"/>
      <c r="K91" s="403"/>
      <c r="L91" s="198"/>
      <c r="M91" s="403"/>
      <c r="N91" s="198"/>
      <c r="O91" s="403"/>
      <c r="P91" s="198"/>
      <c r="Q91" s="426"/>
      <c r="R91" s="427"/>
      <c r="S91" s="403"/>
      <c r="T91" s="198"/>
      <c r="U91" s="403"/>
      <c r="V91" s="198"/>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403"/>
      <c r="B92" s="428"/>
      <c r="C92" s="403"/>
      <c r="D92" s="198"/>
      <c r="E92" s="403"/>
      <c r="F92" s="198"/>
      <c r="G92" s="403"/>
      <c r="H92" s="198"/>
      <c r="I92" s="403"/>
      <c r="J92" s="198"/>
      <c r="K92" s="403"/>
      <c r="L92" s="198"/>
      <c r="M92" s="403"/>
      <c r="N92" s="198"/>
      <c r="O92" s="403"/>
      <c r="P92" s="198"/>
      <c r="Q92" s="426"/>
      <c r="R92" s="427"/>
      <c r="S92" s="403"/>
      <c r="T92" s="198"/>
      <c r="U92" s="403"/>
      <c r="V92" s="198"/>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403"/>
      <c r="B93" s="198"/>
      <c r="C93" s="403"/>
      <c r="D93" s="198"/>
      <c r="E93" s="403"/>
      <c r="F93" s="198"/>
      <c r="G93" s="403"/>
      <c r="H93" s="198"/>
      <c r="I93" s="403"/>
      <c r="J93" s="198"/>
      <c r="K93" s="403"/>
      <c r="L93" s="198"/>
      <c r="M93" s="403"/>
      <c r="N93" s="198"/>
      <c r="O93" s="403"/>
      <c r="P93" s="198"/>
      <c r="Q93" s="426"/>
      <c r="R93" s="427"/>
      <c r="S93" s="403"/>
      <c r="T93" s="198"/>
      <c r="U93" s="403"/>
      <c r="V93" s="198"/>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403"/>
      <c r="B94" s="198"/>
      <c r="C94" s="403"/>
      <c r="D94" s="198"/>
      <c r="E94" s="403"/>
      <c r="F94" s="198"/>
      <c r="G94" s="403"/>
      <c r="H94" s="198"/>
      <c r="I94" s="403"/>
      <c r="J94" s="198"/>
      <c r="K94" s="403"/>
      <c r="L94" s="198"/>
      <c r="M94" s="403"/>
      <c r="N94" s="198"/>
      <c r="O94" s="403"/>
      <c r="P94" s="198"/>
      <c r="Q94" s="426"/>
      <c r="R94" s="427"/>
      <c r="S94" s="403"/>
      <c r="T94" s="198"/>
      <c r="U94" s="403"/>
      <c r="V94" s="198"/>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403"/>
      <c r="B95" s="198"/>
      <c r="C95" s="403"/>
      <c r="D95" s="198"/>
      <c r="E95" s="403"/>
      <c r="F95" s="198"/>
      <c r="G95" s="403"/>
      <c r="H95" s="198"/>
      <c r="I95" s="403"/>
      <c r="J95" s="198"/>
      <c r="K95" s="403"/>
      <c r="L95" s="198"/>
      <c r="M95" s="403"/>
      <c r="N95" s="198"/>
      <c r="O95" s="403"/>
      <c r="P95" s="198"/>
      <c r="Q95" s="426"/>
      <c r="R95" s="427"/>
      <c r="S95" s="403"/>
      <c r="T95" s="198"/>
      <c r="U95" s="403"/>
      <c r="V95" s="198"/>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403"/>
      <c r="B96" s="198"/>
      <c r="C96" s="403"/>
      <c r="D96" s="198"/>
      <c r="E96" s="403"/>
      <c r="F96" s="198"/>
      <c r="G96" s="403"/>
      <c r="H96" s="198"/>
      <c r="I96" s="403"/>
      <c r="J96" s="198"/>
      <c r="K96" s="403"/>
      <c r="L96" s="198"/>
      <c r="M96" s="403"/>
      <c r="N96" s="198"/>
      <c r="O96" s="403"/>
      <c r="P96" s="198"/>
      <c r="Q96" s="426"/>
      <c r="R96" s="427"/>
      <c r="S96" s="403"/>
      <c r="T96" s="198"/>
      <c r="U96" s="403"/>
      <c r="V96" s="198"/>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403"/>
      <c r="B97" s="198"/>
      <c r="C97" s="403"/>
      <c r="D97" s="198"/>
      <c r="E97" s="403"/>
      <c r="F97" s="198"/>
      <c r="G97" s="403"/>
      <c r="H97" s="198"/>
      <c r="I97" s="403"/>
      <c r="J97" s="198"/>
      <c r="K97" s="403"/>
      <c r="L97" s="198"/>
      <c r="M97" s="403"/>
      <c r="N97" s="198"/>
      <c r="O97" s="403"/>
      <c r="P97" s="198"/>
      <c r="Q97" s="426"/>
      <c r="R97" s="427"/>
      <c r="S97" s="403"/>
      <c r="T97" s="198"/>
      <c r="U97" s="403"/>
      <c r="V97" s="198"/>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403"/>
      <c r="B98" s="198"/>
      <c r="C98" s="403"/>
      <c r="D98" s="198"/>
      <c r="E98" s="403"/>
      <c r="F98" s="198"/>
      <c r="G98" s="403"/>
      <c r="H98" s="198"/>
      <c r="I98" s="403"/>
      <c r="J98" s="198"/>
      <c r="K98" s="403"/>
      <c r="L98" s="198"/>
      <c r="M98" s="403"/>
      <c r="N98" s="198"/>
      <c r="O98" s="403"/>
      <c r="P98" s="198"/>
      <c r="Q98" s="426"/>
      <c r="R98" s="427"/>
      <c r="S98" s="403"/>
      <c r="T98" s="198"/>
      <c r="U98" s="403"/>
      <c r="V98" s="198"/>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403"/>
      <c r="B99" s="198"/>
      <c r="C99" s="403"/>
      <c r="D99" s="198"/>
      <c r="E99" s="403"/>
      <c r="F99" s="198"/>
      <c r="G99" s="403"/>
      <c r="H99" s="198"/>
      <c r="I99" s="403"/>
      <c r="J99" s="198"/>
      <c r="K99" s="403"/>
      <c r="L99" s="198"/>
      <c r="M99" s="403"/>
      <c r="N99" s="198"/>
      <c r="O99" s="403"/>
      <c r="P99" s="198"/>
      <c r="Q99" s="426"/>
      <c r="R99" s="427"/>
      <c r="S99" s="403"/>
      <c r="T99" s="198"/>
      <c r="U99" s="403"/>
      <c r="V99" s="198"/>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403"/>
      <c r="B100" s="198"/>
      <c r="C100" s="403"/>
      <c r="D100" s="198"/>
      <c r="E100" s="403"/>
      <c r="F100" s="198"/>
      <c r="G100" s="403"/>
      <c r="H100" s="198"/>
      <c r="I100" s="403"/>
      <c r="J100" s="198"/>
      <c r="K100" s="403"/>
      <c r="L100" s="198"/>
      <c r="M100" s="403"/>
      <c r="N100" s="198"/>
      <c r="O100" s="403"/>
      <c r="P100" s="198"/>
      <c r="Q100" s="426"/>
      <c r="R100" s="427"/>
      <c r="S100" s="403"/>
      <c r="T100" s="198"/>
      <c r="U100" s="403"/>
      <c r="V100" s="19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03"/>
      <c r="B101" s="198"/>
      <c r="C101" s="403"/>
      <c r="D101" s="198"/>
      <c r="E101" s="403"/>
      <c r="F101" s="198"/>
      <c r="G101" s="403"/>
      <c r="H101" s="198"/>
      <c r="I101" s="403"/>
      <c r="J101" s="198"/>
      <c r="K101" s="403"/>
      <c r="L101" s="198"/>
      <c r="M101" s="403"/>
      <c r="N101" s="198"/>
      <c r="O101" s="403"/>
      <c r="P101" s="198"/>
      <c r="Q101" s="426"/>
      <c r="R101" s="427"/>
      <c r="S101" s="403"/>
      <c r="T101" s="198"/>
      <c r="U101" s="403"/>
      <c r="V101" s="19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03"/>
      <c r="B102" s="198"/>
      <c r="C102" s="403"/>
      <c r="D102" s="198"/>
      <c r="E102" s="403"/>
      <c r="F102" s="198"/>
      <c r="G102" s="403"/>
      <c r="H102" s="198"/>
      <c r="I102" s="403"/>
      <c r="J102" s="198"/>
      <c r="K102" s="403"/>
      <c r="L102" s="198"/>
      <c r="M102" s="403"/>
      <c r="N102" s="198"/>
      <c r="O102" s="403"/>
      <c r="P102" s="198"/>
      <c r="Q102" s="426"/>
      <c r="R102" s="427"/>
      <c r="S102" s="403"/>
      <c r="T102" s="198"/>
      <c r="U102" s="403"/>
      <c r="V102" s="19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03"/>
      <c r="B103" s="198"/>
      <c r="C103" s="403"/>
      <c r="D103" s="198"/>
      <c r="E103" s="403"/>
      <c r="F103" s="198"/>
      <c r="G103" s="403"/>
      <c r="H103" s="198"/>
      <c r="I103" s="403"/>
      <c r="J103" s="198"/>
      <c r="K103" s="403"/>
      <c r="L103" s="198"/>
      <c r="M103" s="403"/>
      <c r="N103" s="198"/>
      <c r="O103" s="403"/>
      <c r="P103" s="198"/>
      <c r="Q103" s="426"/>
      <c r="R103" s="427"/>
      <c r="S103" s="403"/>
      <c r="T103" s="198"/>
      <c r="U103" s="403"/>
      <c r="V103" s="19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03"/>
      <c r="B104" s="198"/>
      <c r="C104" s="403"/>
      <c r="D104" s="198"/>
      <c r="E104" s="403"/>
      <c r="F104" s="198"/>
      <c r="G104" s="403"/>
      <c r="H104" s="198"/>
      <c r="I104" s="403"/>
      <c r="J104" s="198"/>
      <c r="K104" s="403"/>
      <c r="L104" s="198"/>
      <c r="M104" s="403"/>
      <c r="N104" s="198"/>
      <c r="O104" s="403"/>
      <c r="P104" s="198"/>
      <c r="Q104" s="426"/>
      <c r="R104" s="427"/>
      <c r="S104" s="403"/>
      <c r="T104" s="198"/>
      <c r="U104" s="403"/>
      <c r="V104" s="19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03"/>
      <c r="B105" s="198"/>
      <c r="C105" s="403"/>
      <c r="D105" s="198"/>
      <c r="E105" s="403"/>
      <c r="F105" s="198"/>
      <c r="G105" s="403"/>
      <c r="H105" s="198"/>
      <c r="I105" s="403"/>
      <c r="J105" s="198"/>
      <c r="K105" s="403"/>
      <c r="L105" s="198"/>
      <c r="M105" s="403"/>
      <c r="N105" s="198"/>
      <c r="O105" s="403"/>
      <c r="P105" s="198"/>
      <c r="Q105" s="426"/>
      <c r="R105" s="427"/>
      <c r="S105" s="403"/>
      <c r="T105" s="198"/>
      <c r="U105" s="403"/>
      <c r="V105" s="19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03"/>
      <c r="B106" s="198"/>
      <c r="C106" s="403"/>
      <c r="D106" s="198"/>
      <c r="E106" s="403"/>
      <c r="F106" s="198"/>
      <c r="G106" s="403"/>
      <c r="H106" s="198"/>
      <c r="I106" s="403"/>
      <c r="J106" s="198"/>
      <c r="K106" s="403"/>
      <c r="L106" s="198"/>
      <c r="M106" s="403"/>
      <c r="N106" s="198"/>
      <c r="O106" s="403"/>
      <c r="P106" s="198"/>
      <c r="Q106" s="426"/>
      <c r="R106" s="427"/>
      <c r="S106" s="403"/>
      <c r="T106" s="198"/>
      <c r="U106" s="403"/>
      <c r="V106" s="19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03"/>
      <c r="B107" s="198"/>
      <c r="C107" s="403"/>
      <c r="D107" s="198"/>
      <c r="E107" s="403"/>
      <c r="F107" s="198"/>
      <c r="G107" s="403"/>
      <c r="H107" s="198"/>
      <c r="I107" s="403"/>
      <c r="J107" s="198"/>
      <c r="K107" s="403"/>
      <c r="L107" s="198"/>
      <c r="M107" s="403"/>
      <c r="N107" s="198"/>
      <c r="O107" s="403"/>
      <c r="P107" s="198"/>
      <c r="Q107" s="426"/>
      <c r="R107" s="427"/>
      <c r="S107" s="403"/>
      <c r="T107" s="198"/>
      <c r="U107" s="403"/>
      <c r="V107" s="19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03"/>
      <c r="B108" s="198"/>
      <c r="C108" s="403"/>
      <c r="D108" s="198"/>
      <c r="E108" s="403"/>
      <c r="F108" s="198"/>
      <c r="G108" s="403"/>
      <c r="H108" s="198"/>
      <c r="I108" s="403"/>
      <c r="J108" s="198"/>
      <c r="K108" s="403"/>
      <c r="L108" s="198"/>
      <c r="M108" s="403"/>
      <c r="N108" s="198"/>
      <c r="O108" s="403"/>
      <c r="P108" s="198"/>
      <c r="Q108" s="426"/>
      <c r="R108" s="427"/>
      <c r="S108" s="403"/>
      <c r="T108" s="198"/>
      <c r="U108" s="403"/>
      <c r="V108" s="19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03"/>
      <c r="B109" s="198"/>
      <c r="C109" s="403"/>
      <c r="D109" s="198"/>
      <c r="E109" s="403"/>
      <c r="F109" s="198"/>
      <c r="G109" s="403"/>
      <c r="H109" s="198"/>
      <c r="I109" s="403"/>
      <c r="J109" s="198"/>
      <c r="K109" s="403"/>
      <c r="L109" s="198"/>
      <c r="M109" s="403"/>
      <c r="N109" s="198"/>
      <c r="O109" s="403"/>
      <c r="P109" s="198"/>
      <c r="Q109" s="426"/>
      <c r="R109" s="427"/>
      <c r="S109" s="403"/>
      <c r="T109" s="198"/>
      <c r="U109" s="403"/>
      <c r="V109" s="19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03"/>
      <c r="B110" s="198"/>
      <c r="C110" s="403"/>
      <c r="D110" s="198"/>
      <c r="E110" s="403"/>
      <c r="F110" s="198"/>
      <c r="G110" s="403"/>
      <c r="H110" s="198"/>
      <c r="I110" s="403"/>
      <c r="J110" s="198"/>
      <c r="K110" s="403"/>
      <c r="L110" s="198"/>
      <c r="M110" s="403"/>
      <c r="N110" s="198"/>
      <c r="O110" s="403"/>
      <c r="P110" s="198"/>
      <c r="Q110" s="426"/>
      <c r="R110" s="427"/>
      <c r="S110" s="403"/>
      <c r="T110" s="198"/>
      <c r="U110" s="403"/>
      <c r="V110" s="19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03"/>
      <c r="B111" s="198"/>
      <c r="C111" s="403"/>
      <c r="D111" s="198"/>
      <c r="E111" s="403"/>
      <c r="F111" s="198"/>
      <c r="G111" s="403"/>
      <c r="H111" s="198"/>
      <c r="I111" s="403"/>
      <c r="J111" s="198"/>
      <c r="K111" s="403"/>
      <c r="L111" s="198"/>
      <c r="M111" s="403"/>
      <c r="N111" s="198"/>
      <c r="O111" s="403"/>
      <c r="P111" s="198"/>
      <c r="Q111" s="426"/>
      <c r="R111" s="427"/>
      <c r="S111" s="403"/>
      <c r="T111" s="198"/>
      <c r="U111" s="403"/>
      <c r="V111" s="19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03"/>
      <c r="B112" s="198"/>
      <c r="C112" s="403"/>
      <c r="D112" s="198"/>
      <c r="E112" s="403"/>
      <c r="F112" s="198"/>
      <c r="G112" s="403"/>
      <c r="H112" s="198"/>
      <c r="I112" s="403"/>
      <c r="J112" s="198"/>
      <c r="K112" s="403"/>
      <c r="L112" s="198"/>
      <c r="M112" s="403"/>
      <c r="N112" s="198"/>
      <c r="O112" s="403"/>
      <c r="P112" s="198"/>
      <c r="Q112" s="426"/>
      <c r="R112" s="427"/>
      <c r="S112" s="403"/>
      <c r="T112" s="198"/>
      <c r="U112" s="403"/>
      <c r="V112" s="19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03"/>
      <c r="B113" s="198"/>
      <c r="C113" s="403"/>
      <c r="D113" s="198"/>
      <c r="E113" s="403"/>
      <c r="F113" s="198"/>
      <c r="G113" s="403"/>
      <c r="H113" s="198"/>
      <c r="I113" s="403"/>
      <c r="J113" s="198"/>
      <c r="K113" s="403"/>
      <c r="L113" s="198"/>
      <c r="M113" s="403"/>
      <c r="N113" s="198"/>
      <c r="O113" s="403"/>
      <c r="P113" s="198"/>
      <c r="Q113" s="426"/>
      <c r="R113" s="427"/>
      <c r="S113" s="403"/>
      <c r="T113" s="198"/>
      <c r="U113" s="403"/>
      <c r="V113" s="19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03"/>
      <c r="B114" s="198"/>
      <c r="C114" s="403"/>
      <c r="D114" s="198"/>
      <c r="E114" s="403"/>
      <c r="F114" s="198"/>
      <c r="G114" s="403"/>
      <c r="H114" s="198"/>
      <c r="I114" s="403"/>
      <c r="J114" s="198"/>
      <c r="K114" s="403"/>
      <c r="L114" s="198"/>
      <c r="M114" s="403"/>
      <c r="N114" s="198"/>
      <c r="O114" s="403"/>
      <c r="P114" s="198"/>
      <c r="Q114" s="426"/>
      <c r="R114" s="427"/>
      <c r="S114" s="403"/>
      <c r="T114" s="198"/>
      <c r="U114" s="403"/>
      <c r="V114" s="19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03"/>
      <c r="B115" s="198"/>
      <c r="C115" s="403"/>
      <c r="D115" s="198"/>
      <c r="E115" s="403"/>
      <c r="F115" s="198"/>
      <c r="G115" s="403"/>
      <c r="H115" s="198"/>
      <c r="I115" s="403"/>
      <c r="J115" s="198"/>
      <c r="K115" s="403"/>
      <c r="L115" s="198"/>
      <c r="M115" s="403"/>
      <c r="N115" s="198"/>
      <c r="O115" s="403"/>
      <c r="P115" s="198"/>
      <c r="Q115" s="426"/>
      <c r="R115" s="427"/>
      <c r="S115" s="403"/>
      <c r="T115" s="198"/>
      <c r="U115" s="403"/>
      <c r="V115" s="19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03"/>
      <c r="B116" s="198"/>
      <c r="C116" s="403"/>
      <c r="D116" s="198"/>
      <c r="E116" s="403"/>
      <c r="F116" s="198"/>
      <c r="G116" s="403"/>
      <c r="H116" s="198"/>
      <c r="I116" s="403"/>
      <c r="J116" s="198"/>
      <c r="K116" s="403"/>
      <c r="L116" s="198"/>
      <c r="M116" s="403"/>
      <c r="N116" s="198"/>
      <c r="O116" s="403"/>
      <c r="P116" s="198"/>
      <c r="Q116" s="426"/>
      <c r="R116" s="427"/>
      <c r="S116" s="403"/>
      <c r="T116" s="198"/>
      <c r="U116" s="403"/>
      <c r="V116" s="19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03"/>
      <c r="B117" s="198"/>
      <c r="C117" s="403"/>
      <c r="D117" s="198"/>
      <c r="E117" s="403"/>
      <c r="F117" s="198"/>
      <c r="G117" s="403"/>
      <c r="H117" s="198"/>
      <c r="I117" s="403"/>
      <c r="J117" s="198"/>
      <c r="K117" s="403"/>
      <c r="L117" s="198"/>
      <c r="M117" s="403"/>
      <c r="N117" s="198"/>
      <c r="O117" s="403"/>
      <c r="P117" s="198"/>
      <c r="Q117" s="426"/>
      <c r="R117" s="427"/>
      <c r="S117" s="403"/>
      <c r="T117" s="198"/>
      <c r="U117" s="403"/>
      <c r="V117" s="19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03"/>
      <c r="B118" s="198"/>
      <c r="C118" s="403"/>
      <c r="D118" s="198"/>
      <c r="E118" s="403"/>
      <c r="F118" s="198"/>
      <c r="G118" s="403"/>
      <c r="H118" s="198"/>
      <c r="I118" s="403"/>
      <c r="J118" s="198"/>
      <c r="K118" s="403"/>
      <c r="L118" s="198"/>
      <c r="M118" s="403"/>
      <c r="N118" s="198"/>
      <c r="O118" s="403"/>
      <c r="P118" s="198"/>
      <c r="Q118" s="426"/>
      <c r="R118" s="427"/>
      <c r="S118" s="403"/>
      <c r="T118" s="198"/>
      <c r="U118" s="403"/>
      <c r="V118" s="19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03"/>
      <c r="B119" s="198"/>
      <c r="C119" s="403"/>
      <c r="D119" s="198"/>
      <c r="E119" s="403"/>
      <c r="F119" s="198"/>
      <c r="G119" s="403"/>
      <c r="H119" s="198"/>
      <c r="I119" s="403"/>
      <c r="J119" s="198"/>
      <c r="K119" s="403"/>
      <c r="L119" s="198"/>
      <c r="M119" s="403"/>
      <c r="N119" s="198"/>
      <c r="O119" s="403"/>
      <c r="P119" s="198"/>
      <c r="Q119" s="426"/>
      <c r="R119" s="427"/>
      <c r="S119" s="403"/>
      <c r="T119" s="198"/>
      <c r="U119" s="403"/>
      <c r="V119" s="19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03"/>
      <c r="B120" s="198"/>
      <c r="C120" s="403"/>
      <c r="D120" s="198"/>
      <c r="E120" s="403"/>
      <c r="F120" s="198"/>
      <c r="G120" s="403"/>
      <c r="H120" s="198"/>
      <c r="I120" s="403"/>
      <c r="J120" s="198"/>
      <c r="K120" s="403"/>
      <c r="L120" s="198"/>
      <c r="M120" s="403"/>
      <c r="N120" s="198"/>
      <c r="O120" s="403"/>
      <c r="P120" s="198"/>
      <c r="Q120" s="426"/>
      <c r="R120" s="427"/>
      <c r="S120" s="403"/>
      <c r="T120" s="198"/>
      <c r="U120" s="403"/>
      <c r="V120" s="19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03"/>
      <c r="B121" s="198"/>
      <c r="C121" s="403"/>
      <c r="D121" s="198"/>
      <c r="E121" s="403"/>
      <c r="F121" s="198"/>
      <c r="G121" s="403"/>
      <c r="H121" s="198"/>
      <c r="I121" s="403"/>
      <c r="J121" s="198"/>
      <c r="K121" s="403"/>
      <c r="L121" s="198"/>
      <c r="M121" s="403"/>
      <c r="N121" s="198"/>
      <c r="O121" s="403"/>
      <c r="P121" s="198"/>
      <c r="Q121" s="426"/>
      <c r="R121" s="427"/>
      <c r="S121" s="403"/>
      <c r="T121" s="198"/>
      <c r="U121" s="403"/>
      <c r="V121" s="19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03"/>
      <c r="B122" s="198"/>
      <c r="C122" s="403"/>
      <c r="D122" s="198"/>
      <c r="E122" s="403"/>
      <c r="F122" s="198"/>
      <c r="G122" s="403"/>
      <c r="H122" s="198"/>
      <c r="I122" s="403"/>
      <c r="J122" s="198"/>
      <c r="K122" s="403"/>
      <c r="L122" s="198"/>
      <c r="M122" s="403"/>
      <c r="N122" s="198"/>
      <c r="O122" s="403"/>
      <c r="P122" s="198"/>
      <c r="Q122" s="426"/>
      <c r="R122" s="427"/>
      <c r="S122" s="403"/>
      <c r="T122" s="198"/>
      <c r="U122" s="403"/>
      <c r="V122" s="19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03"/>
      <c r="B123" s="198"/>
      <c r="C123" s="403"/>
      <c r="D123" s="198"/>
      <c r="E123" s="403"/>
      <c r="F123" s="198"/>
      <c r="G123" s="403"/>
      <c r="H123" s="198"/>
      <c r="I123" s="403"/>
      <c r="J123" s="198"/>
      <c r="K123" s="403"/>
      <c r="L123" s="198"/>
      <c r="M123" s="403"/>
      <c r="N123" s="198"/>
      <c r="O123" s="403"/>
      <c r="P123" s="198"/>
      <c r="Q123" s="426"/>
      <c r="R123" s="427"/>
      <c r="S123" s="403"/>
      <c r="T123" s="198"/>
      <c r="U123" s="403"/>
      <c r="V123" s="19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03"/>
      <c r="B124" s="198"/>
      <c r="C124" s="403"/>
      <c r="D124" s="198"/>
      <c r="E124" s="403"/>
      <c r="F124" s="198"/>
      <c r="G124" s="403"/>
      <c r="H124" s="198"/>
      <c r="I124" s="403"/>
      <c r="J124" s="198"/>
      <c r="K124" s="403"/>
      <c r="L124" s="198"/>
      <c r="M124" s="403"/>
      <c r="N124" s="198"/>
      <c r="O124" s="403"/>
      <c r="P124" s="198"/>
      <c r="Q124" s="426"/>
      <c r="R124" s="427"/>
      <c r="S124" s="403"/>
      <c r="T124" s="198"/>
      <c r="U124" s="403"/>
      <c r="V124" s="19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03"/>
      <c r="B125" s="198"/>
      <c r="C125" s="403"/>
      <c r="D125" s="198"/>
      <c r="E125" s="403"/>
      <c r="F125" s="198"/>
      <c r="G125" s="403"/>
      <c r="H125" s="198"/>
      <c r="I125" s="403"/>
      <c r="J125" s="198"/>
      <c r="K125" s="403"/>
      <c r="L125" s="198"/>
      <c r="M125" s="403"/>
      <c r="N125" s="198"/>
      <c r="O125" s="403"/>
      <c r="P125" s="198"/>
      <c r="Q125" s="426"/>
      <c r="R125" s="427"/>
      <c r="S125" s="403"/>
      <c r="T125" s="198"/>
      <c r="U125" s="403"/>
      <c r="V125" s="19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03"/>
      <c r="B126" s="198"/>
      <c r="C126" s="403"/>
      <c r="D126" s="198"/>
      <c r="E126" s="403"/>
      <c r="F126" s="198"/>
      <c r="G126" s="403"/>
      <c r="H126" s="198"/>
      <c r="I126" s="403"/>
      <c r="J126" s="198"/>
      <c r="K126" s="403"/>
      <c r="L126" s="198"/>
      <c r="M126" s="403"/>
      <c r="N126" s="198"/>
      <c r="O126" s="403"/>
      <c r="P126" s="198"/>
      <c r="Q126" s="426"/>
      <c r="R126" s="427"/>
      <c r="S126" s="403"/>
      <c r="T126" s="198"/>
      <c r="U126" s="403"/>
      <c r="V126" s="19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03"/>
      <c r="B127" s="198"/>
      <c r="C127" s="403"/>
      <c r="D127" s="198"/>
      <c r="E127" s="403"/>
      <c r="F127" s="198"/>
      <c r="G127" s="403"/>
      <c r="H127" s="198"/>
      <c r="I127" s="403"/>
      <c r="J127" s="198"/>
      <c r="K127" s="403"/>
      <c r="L127" s="198"/>
      <c r="M127" s="403"/>
      <c r="N127" s="198"/>
      <c r="O127" s="403"/>
      <c r="P127" s="198"/>
      <c r="Q127" s="426"/>
      <c r="R127" s="427"/>
      <c r="S127" s="403"/>
      <c r="T127" s="198"/>
      <c r="U127" s="403"/>
      <c r="V127" s="19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03"/>
      <c r="B128" s="198"/>
      <c r="C128" s="403"/>
      <c r="D128" s="198"/>
      <c r="E128" s="403"/>
      <c r="F128" s="198"/>
      <c r="G128" s="403"/>
      <c r="H128" s="198"/>
      <c r="I128" s="403"/>
      <c r="J128" s="198"/>
      <c r="K128" s="403"/>
      <c r="L128" s="198"/>
      <c r="M128" s="403"/>
      <c r="N128" s="198"/>
      <c r="O128" s="403"/>
      <c r="P128" s="198"/>
      <c r="Q128" s="426"/>
      <c r="R128" s="427"/>
      <c r="S128" s="403"/>
      <c r="T128" s="198"/>
      <c r="U128" s="403"/>
      <c r="V128" s="19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03"/>
      <c r="B129" s="198"/>
      <c r="C129" s="403"/>
      <c r="D129" s="198"/>
      <c r="E129" s="403"/>
      <c r="F129" s="198"/>
      <c r="G129" s="403"/>
      <c r="H129" s="198"/>
      <c r="I129" s="403"/>
      <c r="J129" s="198"/>
      <c r="K129" s="403"/>
      <c r="L129" s="198"/>
      <c r="M129" s="403"/>
      <c r="N129" s="198"/>
      <c r="O129" s="403"/>
      <c r="P129" s="198"/>
      <c r="Q129" s="426"/>
      <c r="R129" s="427"/>
      <c r="S129" s="403"/>
      <c r="T129" s="198"/>
      <c r="U129" s="403"/>
      <c r="V129" s="19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03"/>
      <c r="B130" s="198"/>
      <c r="C130" s="403"/>
      <c r="D130" s="198"/>
      <c r="E130" s="403"/>
      <c r="F130" s="198"/>
      <c r="G130" s="403"/>
      <c r="H130" s="198"/>
      <c r="I130" s="403"/>
      <c r="J130" s="198"/>
      <c r="K130" s="403"/>
      <c r="L130" s="198"/>
      <c r="M130" s="403"/>
      <c r="N130" s="198"/>
      <c r="O130" s="403"/>
      <c r="P130" s="198"/>
      <c r="Q130" s="426"/>
      <c r="R130" s="427"/>
      <c r="S130" s="403"/>
      <c r="T130" s="198"/>
      <c r="U130" s="403"/>
      <c r="V130" s="19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03"/>
      <c r="B131" s="198"/>
      <c r="C131" s="403"/>
      <c r="D131" s="198"/>
      <c r="E131" s="403"/>
      <c r="F131" s="198"/>
      <c r="G131" s="403"/>
      <c r="H131" s="198"/>
      <c r="I131" s="403"/>
      <c r="J131" s="198"/>
      <c r="K131" s="403"/>
      <c r="L131" s="198"/>
      <c r="M131" s="403"/>
      <c r="N131" s="198"/>
      <c r="O131" s="403"/>
      <c r="P131" s="198"/>
      <c r="Q131" s="429"/>
      <c r="R131" s="76"/>
      <c r="S131" s="403"/>
      <c r="T131" s="198"/>
      <c r="U131" s="403"/>
      <c r="V131" s="19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03"/>
      <c r="B132" s="198"/>
      <c r="C132" s="403"/>
      <c r="D132" s="198"/>
      <c r="E132" s="403"/>
      <c r="F132" s="198"/>
      <c r="G132" s="403"/>
      <c r="H132" s="198"/>
      <c r="I132" s="403"/>
      <c r="J132" s="198"/>
      <c r="K132" s="403"/>
      <c r="L132" s="198"/>
      <c r="M132" s="403"/>
      <c r="N132" s="198"/>
      <c r="O132" s="403"/>
      <c r="P132" s="198"/>
      <c r="Q132" s="429"/>
      <c r="R132" s="76"/>
      <c r="S132" s="403"/>
      <c r="T132" s="198"/>
      <c r="U132" s="403"/>
      <c r="V132" s="19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03"/>
      <c r="B133" s="198"/>
      <c r="C133" s="403"/>
      <c r="D133" s="198"/>
      <c r="E133" s="403"/>
      <c r="F133" s="198"/>
      <c r="G133" s="403"/>
      <c r="H133" s="198"/>
      <c r="I133" s="403"/>
      <c r="J133" s="198"/>
      <c r="K133" s="403"/>
      <c r="L133" s="198"/>
      <c r="M133" s="403"/>
      <c r="N133" s="198"/>
      <c r="O133" s="403"/>
      <c r="P133" s="198"/>
      <c r="Q133" s="429"/>
      <c r="R133" s="76"/>
      <c r="S133" s="403"/>
      <c r="T133" s="198"/>
      <c r="U133" s="403"/>
      <c r="V133" s="19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03"/>
      <c r="B134" s="198"/>
      <c r="C134" s="403"/>
      <c r="D134" s="198"/>
      <c r="E134" s="403"/>
      <c r="F134" s="198"/>
      <c r="G134" s="403"/>
      <c r="H134" s="198"/>
      <c r="I134" s="403"/>
      <c r="J134" s="198"/>
      <c r="K134" s="403"/>
      <c r="L134" s="198"/>
      <c r="M134" s="403"/>
      <c r="N134" s="198"/>
      <c r="O134" s="403"/>
      <c r="P134" s="198"/>
      <c r="Q134" s="429"/>
      <c r="R134" s="76"/>
      <c r="S134" s="403"/>
      <c r="T134" s="198"/>
      <c r="U134" s="403"/>
      <c r="V134" s="19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03"/>
      <c r="B135" s="198"/>
      <c r="C135" s="403"/>
      <c r="D135" s="198"/>
      <c r="E135" s="403"/>
      <c r="F135" s="198"/>
      <c r="G135" s="403"/>
      <c r="H135" s="198"/>
      <c r="I135" s="403"/>
      <c r="J135" s="198"/>
      <c r="K135" s="403"/>
      <c r="L135" s="198"/>
      <c r="M135" s="403"/>
      <c r="N135" s="198"/>
      <c r="O135" s="403"/>
      <c r="P135" s="198"/>
      <c r="Q135" s="429"/>
      <c r="R135" s="76"/>
      <c r="S135" s="403"/>
      <c r="T135" s="198"/>
      <c r="U135" s="403"/>
      <c r="V135" s="19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03"/>
      <c r="B136" s="198"/>
      <c r="C136" s="403"/>
      <c r="D136" s="198"/>
      <c r="E136" s="403"/>
      <c r="F136" s="198"/>
      <c r="G136" s="403"/>
      <c r="H136" s="198"/>
      <c r="I136" s="403"/>
      <c r="J136" s="198"/>
      <c r="K136" s="403"/>
      <c r="L136" s="198"/>
      <c r="M136" s="403"/>
      <c r="N136" s="198"/>
      <c r="O136" s="403"/>
      <c r="P136" s="198"/>
      <c r="Q136" s="429"/>
      <c r="R136" s="76"/>
      <c r="S136" s="403"/>
      <c r="T136" s="198"/>
      <c r="U136" s="403"/>
      <c r="V136" s="19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03"/>
      <c r="B137" s="198"/>
      <c r="C137" s="403"/>
      <c r="D137" s="198"/>
      <c r="E137" s="403"/>
      <c r="F137" s="198"/>
      <c r="G137" s="403"/>
      <c r="H137" s="198"/>
      <c r="I137" s="403"/>
      <c r="J137" s="198"/>
      <c r="K137" s="403"/>
      <c r="L137" s="198"/>
      <c r="M137" s="403"/>
      <c r="N137" s="198"/>
      <c r="O137" s="403"/>
      <c r="P137" s="198"/>
      <c r="Q137" s="429"/>
      <c r="R137" s="76"/>
      <c r="S137" s="403"/>
      <c r="T137" s="198"/>
      <c r="U137" s="403"/>
      <c r="V137" s="19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03"/>
      <c r="B138" s="198"/>
      <c r="C138" s="403"/>
      <c r="D138" s="198"/>
      <c r="E138" s="403"/>
      <c r="F138" s="198"/>
      <c r="G138" s="403"/>
      <c r="H138" s="198"/>
      <c r="I138" s="403"/>
      <c r="J138" s="198"/>
      <c r="K138" s="403"/>
      <c r="L138" s="198"/>
      <c r="M138" s="403"/>
      <c r="N138" s="198"/>
      <c r="O138" s="403"/>
      <c r="P138" s="198"/>
      <c r="Q138" s="429"/>
      <c r="R138" s="76"/>
      <c r="S138" s="403"/>
      <c r="T138" s="198"/>
      <c r="U138" s="403"/>
      <c r="V138" s="19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03"/>
      <c r="B139" s="198"/>
      <c r="C139" s="403"/>
      <c r="D139" s="198"/>
      <c r="E139" s="403"/>
      <c r="F139" s="198"/>
      <c r="G139" s="403"/>
      <c r="H139" s="198"/>
      <c r="I139" s="403"/>
      <c r="J139" s="198"/>
      <c r="K139" s="403"/>
      <c r="L139" s="198"/>
      <c r="M139" s="403"/>
      <c r="N139" s="198"/>
      <c r="O139" s="403"/>
      <c r="P139" s="198"/>
      <c r="Q139" s="429"/>
      <c r="R139" s="76"/>
      <c r="S139" s="403"/>
      <c r="T139" s="198"/>
      <c r="U139" s="403"/>
      <c r="V139" s="19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03"/>
      <c r="B140" s="198"/>
      <c r="C140" s="403"/>
      <c r="D140" s="198"/>
      <c r="E140" s="403"/>
      <c r="F140" s="198"/>
      <c r="G140" s="403"/>
      <c r="H140" s="198"/>
      <c r="I140" s="403"/>
      <c r="J140" s="198"/>
      <c r="K140" s="403"/>
      <c r="L140" s="198"/>
      <c r="M140" s="403"/>
      <c r="N140" s="198"/>
      <c r="O140" s="403"/>
      <c r="P140" s="198"/>
      <c r="Q140" s="429"/>
      <c r="R140" s="76"/>
      <c r="S140" s="403"/>
      <c r="T140" s="198"/>
      <c r="U140" s="403"/>
      <c r="V140" s="19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03"/>
      <c r="B141" s="198"/>
      <c r="C141" s="403"/>
      <c r="D141" s="198"/>
      <c r="E141" s="403"/>
      <c r="F141" s="198"/>
      <c r="G141" s="403"/>
      <c r="H141" s="198"/>
      <c r="I141" s="403"/>
      <c r="J141" s="198"/>
      <c r="K141" s="403"/>
      <c r="L141" s="198"/>
      <c r="M141" s="403"/>
      <c r="N141" s="198"/>
      <c r="O141" s="403"/>
      <c r="P141" s="198"/>
      <c r="Q141" s="429"/>
      <c r="R141" s="76"/>
      <c r="S141" s="403"/>
      <c r="T141" s="198"/>
      <c r="U141" s="403"/>
      <c r="V141" s="19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03"/>
      <c r="B142" s="198"/>
      <c r="C142" s="403"/>
      <c r="D142" s="198"/>
      <c r="E142" s="403"/>
      <c r="F142" s="198"/>
      <c r="G142" s="403"/>
      <c r="H142" s="198"/>
      <c r="I142" s="403"/>
      <c r="J142" s="198"/>
      <c r="K142" s="403"/>
      <c r="L142" s="198"/>
      <c r="M142" s="403"/>
      <c r="N142" s="198"/>
      <c r="O142" s="403"/>
      <c r="P142" s="198"/>
      <c r="Q142" s="429"/>
      <c r="R142" s="76"/>
      <c r="S142" s="403"/>
      <c r="T142" s="198"/>
      <c r="U142" s="403"/>
      <c r="V142" s="19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03"/>
      <c r="B143" s="198"/>
      <c r="C143" s="403"/>
      <c r="D143" s="198"/>
      <c r="E143" s="403"/>
      <c r="F143" s="198"/>
      <c r="G143" s="403"/>
      <c r="H143" s="198"/>
      <c r="I143" s="403"/>
      <c r="J143" s="198"/>
      <c r="K143" s="403"/>
      <c r="L143" s="198"/>
      <c r="M143" s="403"/>
      <c r="N143" s="198"/>
      <c r="O143" s="403"/>
      <c r="P143" s="198"/>
      <c r="Q143" s="429"/>
      <c r="R143" s="76"/>
      <c r="S143" s="403"/>
      <c r="T143" s="198"/>
      <c r="U143" s="403"/>
      <c r="V143" s="19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03"/>
      <c r="B144" s="198"/>
      <c r="C144" s="403"/>
      <c r="D144" s="198"/>
      <c r="E144" s="403"/>
      <c r="F144" s="198"/>
      <c r="G144" s="403"/>
      <c r="H144" s="198"/>
      <c r="I144" s="403"/>
      <c r="J144" s="198"/>
      <c r="K144" s="403"/>
      <c r="L144" s="198"/>
      <c r="M144" s="403"/>
      <c r="N144" s="198"/>
      <c r="O144" s="403"/>
      <c r="P144" s="198"/>
      <c r="Q144" s="429"/>
      <c r="R144" s="76"/>
      <c r="S144" s="403"/>
      <c r="T144" s="198"/>
      <c r="U144" s="403"/>
      <c r="V144" s="19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03"/>
      <c r="B145" s="198"/>
      <c r="C145" s="403"/>
      <c r="D145" s="198"/>
      <c r="E145" s="403"/>
      <c r="F145" s="198"/>
      <c r="G145" s="403"/>
      <c r="H145" s="198"/>
      <c r="I145" s="403"/>
      <c r="J145" s="198"/>
      <c r="K145" s="403"/>
      <c r="L145" s="198"/>
      <c r="M145" s="403"/>
      <c r="N145" s="198"/>
      <c r="O145" s="403"/>
      <c r="P145" s="198"/>
      <c r="Q145" s="429"/>
      <c r="R145" s="76"/>
      <c r="S145" s="403"/>
      <c r="T145" s="198"/>
      <c r="U145" s="403"/>
      <c r="V145" s="19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03"/>
      <c r="B146" s="198"/>
      <c r="C146" s="403"/>
      <c r="D146" s="198"/>
      <c r="E146" s="403"/>
      <c r="F146" s="198"/>
      <c r="G146" s="403"/>
      <c r="H146" s="198"/>
      <c r="I146" s="403"/>
      <c r="J146" s="198"/>
      <c r="K146" s="403"/>
      <c r="L146" s="198"/>
      <c r="M146" s="403"/>
      <c r="N146" s="198"/>
      <c r="O146" s="403"/>
      <c r="P146" s="198"/>
      <c r="Q146" s="429"/>
      <c r="R146" s="76"/>
      <c r="S146" s="403"/>
      <c r="T146" s="198"/>
      <c r="U146" s="403"/>
      <c r="V146" s="19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03"/>
      <c r="B147" s="198"/>
      <c r="C147" s="403"/>
      <c r="D147" s="198"/>
      <c r="E147" s="403"/>
      <c r="F147" s="198"/>
      <c r="G147" s="403"/>
      <c r="H147" s="198"/>
      <c r="I147" s="403"/>
      <c r="J147" s="198"/>
      <c r="K147" s="403"/>
      <c r="L147" s="198"/>
      <c r="M147" s="403"/>
      <c r="N147" s="198"/>
      <c r="O147" s="403"/>
      <c r="P147" s="198"/>
      <c r="Q147" s="429"/>
      <c r="R147" s="76"/>
      <c r="S147" s="403"/>
      <c r="T147" s="198"/>
      <c r="U147" s="403"/>
      <c r="V147" s="19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03"/>
      <c r="B148" s="198"/>
      <c r="C148" s="403"/>
      <c r="D148" s="198"/>
      <c r="E148" s="403"/>
      <c r="F148" s="198"/>
      <c r="G148" s="403"/>
      <c r="H148" s="198"/>
      <c r="I148" s="403"/>
      <c r="J148" s="198"/>
      <c r="K148" s="403"/>
      <c r="L148" s="198"/>
      <c r="M148" s="403"/>
      <c r="N148" s="198"/>
      <c r="O148" s="403"/>
      <c r="P148" s="198"/>
      <c r="Q148" s="429"/>
      <c r="R148" s="76"/>
      <c r="S148" s="403"/>
      <c r="T148" s="198"/>
      <c r="U148" s="403"/>
      <c r="V148" s="19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03"/>
      <c r="B149" s="198"/>
      <c r="C149" s="403"/>
      <c r="D149" s="198"/>
      <c r="E149" s="403"/>
      <c r="F149" s="198"/>
      <c r="G149" s="403"/>
      <c r="H149" s="198"/>
      <c r="I149" s="403"/>
      <c r="J149" s="198"/>
      <c r="K149" s="403"/>
      <c r="L149" s="198"/>
      <c r="M149" s="403"/>
      <c r="N149" s="198"/>
      <c r="O149" s="403"/>
      <c r="P149" s="198"/>
      <c r="Q149" s="429"/>
      <c r="R149" s="76"/>
      <c r="S149" s="403"/>
      <c r="T149" s="198"/>
      <c r="U149" s="403"/>
      <c r="V149" s="19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03"/>
      <c r="B150" s="198"/>
      <c r="C150" s="403"/>
      <c r="D150" s="198"/>
      <c r="E150" s="403"/>
      <c r="F150" s="198"/>
      <c r="G150" s="403"/>
      <c r="H150" s="198"/>
      <c r="I150" s="403"/>
      <c r="J150" s="198"/>
      <c r="K150" s="403"/>
      <c r="L150" s="198"/>
      <c r="M150" s="403"/>
      <c r="N150" s="198"/>
      <c r="O150" s="403"/>
      <c r="P150" s="198"/>
      <c r="Q150" s="429"/>
      <c r="R150" s="76"/>
      <c r="S150" s="403"/>
      <c r="T150" s="198"/>
      <c r="U150" s="403"/>
      <c r="V150" s="19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03"/>
      <c r="B151" s="198"/>
      <c r="C151" s="403"/>
      <c r="D151" s="198"/>
      <c r="E151" s="403"/>
      <c r="F151" s="198"/>
      <c r="G151" s="403"/>
      <c r="H151" s="198"/>
      <c r="I151" s="403"/>
      <c r="J151" s="198"/>
      <c r="K151" s="403"/>
      <c r="L151" s="198"/>
      <c r="M151" s="403"/>
      <c r="N151" s="198"/>
      <c r="O151" s="403"/>
      <c r="P151" s="198"/>
      <c r="Q151" s="429"/>
      <c r="R151" s="76"/>
      <c r="S151" s="403"/>
      <c r="T151" s="198"/>
      <c r="U151" s="403"/>
      <c r="V151" s="19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03"/>
      <c r="B152" s="198"/>
      <c r="C152" s="403"/>
      <c r="D152" s="198"/>
      <c r="E152" s="403"/>
      <c r="F152" s="198"/>
      <c r="G152" s="403"/>
      <c r="H152" s="198"/>
      <c r="I152" s="403"/>
      <c r="J152" s="198"/>
      <c r="K152" s="403"/>
      <c r="L152" s="198"/>
      <c r="M152" s="403"/>
      <c r="N152" s="198"/>
      <c r="O152" s="403"/>
      <c r="P152" s="198"/>
      <c r="Q152" s="429"/>
      <c r="R152" s="76"/>
      <c r="S152" s="403"/>
      <c r="T152" s="198"/>
      <c r="U152" s="403"/>
      <c r="V152" s="19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03"/>
      <c r="B153" s="198"/>
      <c r="C153" s="403"/>
      <c r="D153" s="198"/>
      <c r="E153" s="403"/>
      <c r="F153" s="198"/>
      <c r="G153" s="403"/>
      <c r="H153" s="198"/>
      <c r="I153" s="403"/>
      <c r="J153" s="198"/>
      <c r="K153" s="403"/>
      <c r="L153" s="198"/>
      <c r="M153" s="403"/>
      <c r="N153" s="198"/>
      <c r="O153" s="403"/>
      <c r="P153" s="198"/>
      <c r="Q153" s="429"/>
      <c r="R153" s="76"/>
      <c r="S153" s="403"/>
      <c r="T153" s="198"/>
      <c r="U153" s="403"/>
      <c r="V153" s="19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03"/>
      <c r="B154" s="198"/>
      <c r="C154" s="403"/>
      <c r="D154" s="198"/>
      <c r="E154" s="403"/>
      <c r="F154" s="198"/>
      <c r="G154" s="403"/>
      <c r="H154" s="198"/>
      <c r="I154" s="403"/>
      <c r="J154" s="198"/>
      <c r="K154" s="403"/>
      <c r="L154" s="198"/>
      <c r="M154" s="403"/>
      <c r="N154" s="198"/>
      <c r="O154" s="403"/>
      <c r="P154" s="198"/>
      <c r="Q154" s="429"/>
      <c r="R154" s="76"/>
      <c r="S154" s="403"/>
      <c r="T154" s="198"/>
      <c r="U154" s="403"/>
      <c r="V154" s="19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03"/>
      <c r="B155" s="198"/>
      <c r="C155" s="403"/>
      <c r="D155" s="198"/>
      <c r="E155" s="403"/>
      <c r="F155" s="198"/>
      <c r="G155" s="403"/>
      <c r="H155" s="198"/>
      <c r="I155" s="403"/>
      <c r="J155" s="198"/>
      <c r="K155" s="403"/>
      <c r="L155" s="198"/>
      <c r="M155" s="403"/>
      <c r="N155" s="198"/>
      <c r="O155" s="403"/>
      <c r="P155" s="198"/>
      <c r="Q155" s="429"/>
      <c r="R155" s="76"/>
      <c r="S155" s="403"/>
      <c r="T155" s="198"/>
      <c r="U155" s="403"/>
      <c r="V155" s="19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03"/>
      <c r="B156" s="198"/>
      <c r="C156" s="403"/>
      <c r="D156" s="198"/>
      <c r="E156" s="403"/>
      <c r="F156" s="198"/>
      <c r="G156" s="403"/>
      <c r="H156" s="198"/>
      <c r="I156" s="403"/>
      <c r="J156" s="198"/>
      <c r="K156" s="403"/>
      <c r="L156" s="198"/>
      <c r="M156" s="403"/>
      <c r="N156" s="198"/>
      <c r="O156" s="403"/>
      <c r="P156" s="198"/>
      <c r="Q156" s="429"/>
      <c r="R156" s="76"/>
      <c r="S156" s="403"/>
      <c r="T156" s="198"/>
      <c r="U156" s="403"/>
      <c r="V156" s="19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03"/>
      <c r="B157" s="198"/>
      <c r="C157" s="403"/>
      <c r="D157" s="198"/>
      <c r="E157" s="403"/>
      <c r="F157" s="198"/>
      <c r="G157" s="403"/>
      <c r="H157" s="198"/>
      <c r="I157" s="403"/>
      <c r="J157" s="198"/>
      <c r="K157" s="403"/>
      <c r="L157" s="198"/>
      <c r="M157" s="403"/>
      <c r="N157" s="198"/>
      <c r="O157" s="403"/>
      <c r="P157" s="198"/>
      <c r="Q157" s="429"/>
      <c r="R157" s="76"/>
      <c r="S157" s="403"/>
      <c r="T157" s="198"/>
      <c r="U157" s="403"/>
      <c r="V157" s="19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03"/>
      <c r="B158" s="198"/>
      <c r="C158" s="403"/>
      <c r="D158" s="198"/>
      <c r="E158" s="403"/>
      <c r="F158" s="198"/>
      <c r="G158" s="403"/>
      <c r="H158" s="198"/>
      <c r="I158" s="403"/>
      <c r="J158" s="198"/>
      <c r="K158" s="403"/>
      <c r="L158" s="198"/>
      <c r="M158" s="403"/>
      <c r="N158" s="198"/>
      <c r="O158" s="403"/>
      <c r="P158" s="198"/>
      <c r="Q158" s="429"/>
      <c r="R158" s="76"/>
      <c r="S158" s="403"/>
      <c r="T158" s="198"/>
      <c r="U158" s="403"/>
      <c r="V158" s="19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03"/>
      <c r="B159" s="198"/>
      <c r="C159" s="403"/>
      <c r="D159" s="198"/>
      <c r="E159" s="403"/>
      <c r="F159" s="198"/>
      <c r="G159" s="403"/>
      <c r="H159" s="198"/>
      <c r="I159" s="403"/>
      <c r="J159" s="198"/>
      <c r="K159" s="403"/>
      <c r="L159" s="198"/>
      <c r="M159" s="403"/>
      <c r="N159" s="198"/>
      <c r="O159" s="403"/>
      <c r="P159" s="198"/>
      <c r="Q159" s="429"/>
      <c r="R159" s="76"/>
      <c r="S159" s="403"/>
      <c r="T159" s="198"/>
      <c r="U159" s="403"/>
      <c r="V159" s="19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03"/>
      <c r="B160" s="198"/>
      <c r="C160" s="403"/>
      <c r="D160" s="198"/>
      <c r="E160" s="403"/>
      <c r="F160" s="198"/>
      <c r="G160" s="403"/>
      <c r="H160" s="198"/>
      <c r="I160" s="403"/>
      <c r="J160" s="198"/>
      <c r="K160" s="403"/>
      <c r="L160" s="198"/>
      <c r="M160" s="403"/>
      <c r="N160" s="198"/>
      <c r="O160" s="403"/>
      <c r="P160" s="198"/>
      <c r="Q160" s="429"/>
      <c r="R160" s="76"/>
      <c r="S160" s="403"/>
      <c r="T160" s="198"/>
      <c r="U160" s="403"/>
      <c r="V160" s="19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03"/>
      <c r="B161" s="198"/>
      <c r="C161" s="403"/>
      <c r="D161" s="198"/>
      <c r="E161" s="403"/>
      <c r="F161" s="198"/>
      <c r="G161" s="403"/>
      <c r="H161" s="198"/>
      <c r="I161" s="403"/>
      <c r="J161" s="198"/>
      <c r="K161" s="403"/>
      <c r="L161" s="198"/>
      <c r="M161" s="403"/>
      <c r="N161" s="198"/>
      <c r="O161" s="403"/>
      <c r="P161" s="198"/>
      <c r="Q161" s="429"/>
      <c r="R161" s="76"/>
      <c r="S161" s="403"/>
      <c r="T161" s="198"/>
      <c r="U161" s="403"/>
      <c r="V161" s="19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03"/>
      <c r="B162" s="198"/>
      <c r="C162" s="403"/>
      <c r="D162" s="198"/>
      <c r="E162" s="403"/>
      <c r="F162" s="198"/>
      <c r="G162" s="403"/>
      <c r="H162" s="198"/>
      <c r="I162" s="403"/>
      <c r="J162" s="198"/>
      <c r="K162" s="403"/>
      <c r="L162" s="198"/>
      <c r="M162" s="403"/>
      <c r="N162" s="198"/>
      <c r="O162" s="403"/>
      <c r="P162" s="198"/>
      <c r="Q162" s="429"/>
      <c r="R162" s="76"/>
      <c r="S162" s="403"/>
      <c r="T162" s="198"/>
      <c r="U162" s="403"/>
      <c r="V162" s="19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03"/>
      <c r="B163" s="198"/>
      <c r="C163" s="403"/>
      <c r="D163" s="198"/>
      <c r="E163" s="403"/>
      <c r="F163" s="198"/>
      <c r="G163" s="403"/>
      <c r="H163" s="198"/>
      <c r="I163" s="403"/>
      <c r="J163" s="198"/>
      <c r="K163" s="403"/>
      <c r="L163" s="198"/>
      <c r="M163" s="403"/>
      <c r="N163" s="198"/>
      <c r="O163" s="403"/>
      <c r="P163" s="198"/>
      <c r="Q163" s="429"/>
      <c r="R163" s="76"/>
      <c r="S163" s="403"/>
      <c r="T163" s="198"/>
      <c r="U163" s="403"/>
      <c r="V163" s="19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03"/>
      <c r="B164" s="198"/>
      <c r="C164" s="403"/>
      <c r="D164" s="198"/>
      <c r="E164" s="403"/>
      <c r="F164" s="198"/>
      <c r="G164" s="403"/>
      <c r="H164" s="198"/>
      <c r="I164" s="403"/>
      <c r="J164" s="198"/>
      <c r="K164" s="403"/>
      <c r="L164" s="198"/>
      <c r="M164" s="403"/>
      <c r="N164" s="198"/>
      <c r="O164" s="403"/>
      <c r="P164" s="198"/>
      <c r="Q164" s="429"/>
      <c r="R164" s="76"/>
      <c r="S164" s="403"/>
      <c r="T164" s="198"/>
      <c r="U164" s="403"/>
      <c r="V164" s="19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03"/>
      <c r="B165" s="198"/>
      <c r="C165" s="403"/>
      <c r="D165" s="198"/>
      <c r="E165" s="403"/>
      <c r="F165" s="198"/>
      <c r="G165" s="403"/>
      <c r="H165" s="198"/>
      <c r="I165" s="403"/>
      <c r="J165" s="198"/>
      <c r="K165" s="403"/>
      <c r="L165" s="198"/>
      <c r="M165" s="403"/>
      <c r="N165" s="198"/>
      <c r="O165" s="403"/>
      <c r="P165" s="198"/>
      <c r="Q165" s="429"/>
      <c r="R165" s="76"/>
      <c r="S165" s="403"/>
      <c r="T165" s="198"/>
      <c r="U165" s="403"/>
      <c r="V165" s="19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03"/>
      <c r="B166" s="198"/>
      <c r="C166" s="403"/>
      <c r="D166" s="198"/>
      <c r="E166" s="403"/>
      <c r="F166" s="198"/>
      <c r="G166" s="403"/>
      <c r="H166" s="198"/>
      <c r="I166" s="403"/>
      <c r="J166" s="198"/>
      <c r="K166" s="403"/>
      <c r="L166" s="198"/>
      <c r="M166" s="403"/>
      <c r="N166" s="198"/>
      <c r="O166" s="403"/>
      <c r="P166" s="198"/>
      <c r="Q166" s="429"/>
      <c r="R166" s="76"/>
      <c r="S166" s="403"/>
      <c r="T166" s="198"/>
      <c r="U166" s="403"/>
      <c r="V166" s="19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03"/>
      <c r="B167" s="198"/>
      <c r="C167" s="403"/>
      <c r="D167" s="198"/>
      <c r="E167" s="403"/>
      <c r="F167" s="198"/>
      <c r="G167" s="403"/>
      <c r="H167" s="198"/>
      <c r="I167" s="403"/>
      <c r="J167" s="198"/>
      <c r="K167" s="403"/>
      <c r="L167" s="198"/>
      <c r="M167" s="403"/>
      <c r="N167" s="198"/>
      <c r="O167" s="403"/>
      <c r="P167" s="198"/>
      <c r="Q167" s="429"/>
      <c r="R167" s="76"/>
      <c r="S167" s="403"/>
      <c r="T167" s="198"/>
      <c r="U167" s="403"/>
      <c r="V167" s="19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03"/>
      <c r="B168" s="198"/>
      <c r="C168" s="403"/>
      <c r="D168" s="198"/>
      <c r="E168" s="403"/>
      <c r="F168" s="198"/>
      <c r="G168" s="403"/>
      <c r="H168" s="198"/>
      <c r="I168" s="403"/>
      <c r="J168" s="198"/>
      <c r="K168" s="403"/>
      <c r="L168" s="198"/>
      <c r="M168" s="403"/>
      <c r="N168" s="198"/>
      <c r="O168" s="403"/>
      <c r="P168" s="198"/>
      <c r="Q168" s="429"/>
      <c r="R168" s="76"/>
      <c r="S168" s="403"/>
      <c r="T168" s="198"/>
      <c r="U168" s="403"/>
      <c r="V168" s="19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03"/>
      <c r="B169" s="198"/>
      <c r="C169" s="403"/>
      <c r="D169" s="198"/>
      <c r="E169" s="403"/>
      <c r="F169" s="198"/>
      <c r="G169" s="403"/>
      <c r="H169" s="198"/>
      <c r="I169" s="403"/>
      <c r="J169" s="198"/>
      <c r="K169" s="403"/>
      <c r="L169" s="198"/>
      <c r="M169" s="403"/>
      <c r="N169" s="198"/>
      <c r="O169" s="403"/>
      <c r="P169" s="198"/>
      <c r="Q169" s="429"/>
      <c r="R169" s="76"/>
      <c r="S169" s="403"/>
      <c r="T169" s="198"/>
      <c r="U169" s="403"/>
      <c r="V169" s="19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03"/>
      <c r="B170" s="198"/>
      <c r="C170" s="403"/>
      <c r="D170" s="198"/>
      <c r="E170" s="403"/>
      <c r="F170" s="198"/>
      <c r="G170" s="403"/>
      <c r="H170" s="198"/>
      <c r="I170" s="403"/>
      <c r="J170" s="198"/>
      <c r="K170" s="403"/>
      <c r="L170" s="198"/>
      <c r="M170" s="403"/>
      <c r="N170" s="198"/>
      <c r="O170" s="403"/>
      <c r="P170" s="198"/>
      <c r="Q170" s="429"/>
      <c r="R170" s="76"/>
      <c r="S170" s="403"/>
      <c r="T170" s="198"/>
      <c r="U170" s="403"/>
      <c r="V170" s="19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03"/>
      <c r="B171" s="198"/>
      <c r="C171" s="403"/>
      <c r="D171" s="198"/>
      <c r="E171" s="403"/>
      <c r="F171" s="198"/>
      <c r="G171" s="403"/>
      <c r="H171" s="198"/>
      <c r="I171" s="403"/>
      <c r="J171" s="198"/>
      <c r="K171" s="403"/>
      <c r="L171" s="198"/>
      <c r="M171" s="403"/>
      <c r="N171" s="198"/>
      <c r="O171" s="403"/>
      <c r="P171" s="198"/>
      <c r="Q171" s="429"/>
      <c r="R171" s="76"/>
      <c r="S171" s="403"/>
      <c r="T171" s="198"/>
      <c r="U171" s="403"/>
      <c r="V171" s="19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03"/>
      <c r="B172" s="198"/>
      <c r="C172" s="403"/>
      <c r="D172" s="198"/>
      <c r="E172" s="403"/>
      <c r="F172" s="198"/>
      <c r="G172" s="403"/>
      <c r="H172" s="198"/>
      <c r="I172" s="403"/>
      <c r="J172" s="198"/>
      <c r="K172" s="403"/>
      <c r="L172" s="198"/>
      <c r="M172" s="403"/>
      <c r="N172" s="198"/>
      <c r="O172" s="403"/>
      <c r="P172" s="198"/>
      <c r="Q172" s="429"/>
      <c r="R172" s="76"/>
      <c r="S172" s="403"/>
      <c r="T172" s="198"/>
      <c r="U172" s="403"/>
      <c r="V172" s="19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03"/>
      <c r="B173" s="198"/>
      <c r="C173" s="403"/>
      <c r="D173" s="198"/>
      <c r="E173" s="403"/>
      <c r="F173" s="198"/>
      <c r="G173" s="403"/>
      <c r="H173" s="198"/>
      <c r="I173" s="403"/>
      <c r="J173" s="198"/>
      <c r="K173" s="403"/>
      <c r="L173" s="198"/>
      <c r="M173" s="403"/>
      <c r="N173" s="198"/>
      <c r="O173" s="403"/>
      <c r="P173" s="198"/>
      <c r="Q173" s="429"/>
      <c r="R173" s="76"/>
      <c r="S173" s="403"/>
      <c r="T173" s="198"/>
      <c r="U173" s="403"/>
      <c r="V173" s="19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03"/>
      <c r="B174" s="198"/>
      <c r="C174" s="403"/>
      <c r="D174" s="198"/>
      <c r="E174" s="403"/>
      <c r="F174" s="198"/>
      <c r="G174" s="403"/>
      <c r="H174" s="198"/>
      <c r="I174" s="403"/>
      <c r="J174" s="198"/>
      <c r="K174" s="403"/>
      <c r="L174" s="198"/>
      <c r="M174" s="403"/>
      <c r="N174" s="198"/>
      <c r="O174" s="403"/>
      <c r="P174" s="198"/>
      <c r="Q174" s="429"/>
      <c r="R174" s="76"/>
      <c r="S174" s="403"/>
      <c r="T174" s="198"/>
      <c r="U174" s="403"/>
      <c r="V174" s="19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03"/>
      <c r="B175" s="198"/>
      <c r="C175" s="403"/>
      <c r="D175" s="198"/>
      <c r="E175" s="403"/>
      <c r="F175" s="198"/>
      <c r="G175" s="403"/>
      <c r="H175" s="198"/>
      <c r="I175" s="403"/>
      <c r="J175" s="198"/>
      <c r="K175" s="403"/>
      <c r="L175" s="198"/>
      <c r="M175" s="403"/>
      <c r="N175" s="198"/>
      <c r="O175" s="403"/>
      <c r="P175" s="198"/>
      <c r="Q175" s="429"/>
      <c r="R175" s="76"/>
      <c r="S175" s="403"/>
      <c r="T175" s="198"/>
      <c r="U175" s="403"/>
      <c r="V175" s="19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03"/>
      <c r="B176" s="198"/>
      <c r="C176" s="403"/>
      <c r="D176" s="198"/>
      <c r="E176" s="403"/>
      <c r="F176" s="198"/>
      <c r="G176" s="403"/>
      <c r="H176" s="198"/>
      <c r="I176" s="403"/>
      <c r="J176" s="198"/>
      <c r="K176" s="403"/>
      <c r="L176" s="198"/>
      <c r="M176" s="403"/>
      <c r="N176" s="198"/>
      <c r="O176" s="403"/>
      <c r="P176" s="198"/>
      <c r="Q176" s="429"/>
      <c r="R176" s="76"/>
      <c r="S176" s="403"/>
      <c r="T176" s="198"/>
      <c r="U176" s="403"/>
      <c r="V176" s="19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03"/>
      <c r="B177" s="198"/>
      <c r="C177" s="403"/>
      <c r="D177" s="198"/>
      <c r="E177" s="403"/>
      <c r="F177" s="198"/>
      <c r="G177" s="403"/>
      <c r="H177" s="198"/>
      <c r="I177" s="403"/>
      <c r="J177" s="198"/>
      <c r="K177" s="403"/>
      <c r="L177" s="198"/>
      <c r="M177" s="403"/>
      <c r="N177" s="198"/>
      <c r="O177" s="403"/>
      <c r="P177" s="198"/>
      <c r="Q177" s="429"/>
      <c r="R177" s="76"/>
      <c r="S177" s="403"/>
      <c r="T177" s="198"/>
      <c r="U177" s="403"/>
      <c r="V177" s="19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03"/>
      <c r="B178" s="198"/>
      <c r="C178" s="403"/>
      <c r="D178" s="198"/>
      <c r="E178" s="403"/>
      <c r="F178" s="198"/>
      <c r="G178" s="403"/>
      <c r="H178" s="198"/>
      <c r="I178" s="403"/>
      <c r="J178" s="198"/>
      <c r="K178" s="403"/>
      <c r="L178" s="198"/>
      <c r="M178" s="403"/>
      <c r="N178" s="198"/>
      <c r="O178" s="403"/>
      <c r="P178" s="198"/>
      <c r="Q178" s="429"/>
      <c r="R178" s="76"/>
      <c r="S178" s="403"/>
      <c r="T178" s="198"/>
      <c r="U178" s="403"/>
      <c r="V178" s="19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03"/>
      <c r="B179" s="198"/>
      <c r="C179" s="403"/>
      <c r="D179" s="198"/>
      <c r="E179" s="403"/>
      <c r="F179" s="198"/>
      <c r="G179" s="403"/>
      <c r="H179" s="198"/>
      <c r="I179" s="403"/>
      <c r="J179" s="198"/>
      <c r="K179" s="403"/>
      <c r="L179" s="198"/>
      <c r="M179" s="403"/>
      <c r="N179" s="198"/>
      <c r="O179" s="403"/>
      <c r="P179" s="198"/>
      <c r="Q179" s="429"/>
      <c r="R179" s="76"/>
      <c r="S179" s="403"/>
      <c r="T179" s="198"/>
      <c r="U179" s="403"/>
      <c r="V179" s="19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03"/>
      <c r="B180" s="198"/>
      <c r="C180" s="403"/>
      <c r="D180" s="198"/>
      <c r="E180" s="403"/>
      <c r="F180" s="198"/>
      <c r="G180" s="403"/>
      <c r="H180" s="198"/>
      <c r="I180" s="403"/>
      <c r="J180" s="198"/>
      <c r="K180" s="403"/>
      <c r="L180" s="198"/>
      <c r="M180" s="403"/>
      <c r="N180" s="198"/>
      <c r="O180" s="403"/>
      <c r="P180" s="198"/>
      <c r="Q180" s="429"/>
      <c r="R180" s="76"/>
      <c r="S180" s="403"/>
      <c r="T180" s="198"/>
      <c r="U180" s="403"/>
      <c r="V180" s="19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03"/>
      <c r="B181" s="198"/>
      <c r="C181" s="403"/>
      <c r="D181" s="198"/>
      <c r="E181" s="403"/>
      <c r="F181" s="198"/>
      <c r="G181" s="403"/>
      <c r="H181" s="198"/>
      <c r="I181" s="403"/>
      <c r="J181" s="198"/>
      <c r="K181" s="403"/>
      <c r="L181" s="198"/>
      <c r="M181" s="403"/>
      <c r="N181" s="198"/>
      <c r="O181" s="403"/>
      <c r="P181" s="198"/>
      <c r="Q181" s="429"/>
      <c r="R181" s="76"/>
      <c r="S181" s="403"/>
      <c r="T181" s="198"/>
      <c r="U181" s="403"/>
      <c r="V181" s="19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03"/>
      <c r="B182" s="198"/>
      <c r="C182" s="403"/>
      <c r="D182" s="198"/>
      <c r="E182" s="403"/>
      <c r="F182" s="198"/>
      <c r="G182" s="403"/>
      <c r="H182" s="198"/>
      <c r="I182" s="403"/>
      <c r="J182" s="198"/>
      <c r="K182" s="403"/>
      <c r="L182" s="198"/>
      <c r="M182" s="403"/>
      <c r="N182" s="198"/>
      <c r="O182" s="403"/>
      <c r="P182" s="198"/>
      <c r="Q182" s="429"/>
      <c r="R182" s="76"/>
      <c r="S182" s="403"/>
      <c r="T182" s="198"/>
      <c r="U182" s="403"/>
      <c r="V182" s="19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03"/>
      <c r="B183" s="198"/>
      <c r="C183" s="403"/>
      <c r="D183" s="198"/>
      <c r="E183" s="403"/>
      <c r="F183" s="198"/>
      <c r="G183" s="403"/>
      <c r="H183" s="198"/>
      <c r="I183" s="403"/>
      <c r="J183" s="198"/>
      <c r="K183" s="403"/>
      <c r="L183" s="198"/>
      <c r="M183" s="403"/>
      <c r="N183" s="198"/>
      <c r="O183" s="403"/>
      <c r="P183" s="198"/>
      <c r="Q183" s="429"/>
      <c r="R183" s="76"/>
      <c r="S183" s="403"/>
      <c r="T183" s="198"/>
      <c r="U183" s="403"/>
      <c r="V183" s="19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03"/>
      <c r="B184" s="198"/>
      <c r="C184" s="403"/>
      <c r="D184" s="198"/>
      <c r="E184" s="403"/>
      <c r="F184" s="198"/>
      <c r="G184" s="403"/>
      <c r="H184" s="198"/>
      <c r="I184" s="403"/>
      <c r="J184" s="198"/>
      <c r="K184" s="403"/>
      <c r="L184" s="198"/>
      <c r="M184" s="403"/>
      <c r="N184" s="198"/>
      <c r="O184" s="403"/>
      <c r="P184" s="198"/>
      <c r="Q184" s="429"/>
      <c r="R184" s="76"/>
      <c r="S184" s="403"/>
      <c r="T184" s="198"/>
      <c r="U184" s="403"/>
      <c r="V184" s="19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03"/>
      <c r="B185" s="198"/>
      <c r="C185" s="403"/>
      <c r="D185" s="198"/>
      <c r="E185" s="403"/>
      <c r="F185" s="198"/>
      <c r="G185" s="403"/>
      <c r="H185" s="198"/>
      <c r="I185" s="403"/>
      <c r="J185" s="198"/>
      <c r="K185" s="403"/>
      <c r="L185" s="198"/>
      <c r="M185" s="403"/>
      <c r="N185" s="198"/>
      <c r="O185" s="403"/>
      <c r="P185" s="198"/>
      <c r="Q185" s="429"/>
      <c r="R185" s="76"/>
      <c r="S185" s="403"/>
      <c r="T185" s="198"/>
      <c r="U185" s="403"/>
      <c r="V185" s="19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03"/>
      <c r="B186" s="198"/>
      <c r="C186" s="403"/>
      <c r="D186" s="198"/>
      <c r="E186" s="403"/>
      <c r="F186" s="198"/>
      <c r="G186" s="403"/>
      <c r="H186" s="198"/>
      <c r="I186" s="403"/>
      <c r="J186" s="198"/>
      <c r="K186" s="403"/>
      <c r="L186" s="198"/>
      <c r="M186" s="403"/>
      <c r="N186" s="198"/>
      <c r="O186" s="403"/>
      <c r="P186" s="198"/>
      <c r="Q186" s="429"/>
      <c r="R186" s="76"/>
      <c r="S186" s="403"/>
      <c r="T186" s="198"/>
      <c r="U186" s="403"/>
      <c r="V186" s="19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03"/>
      <c r="B187" s="198"/>
      <c r="C187" s="403"/>
      <c r="D187" s="198"/>
      <c r="E187" s="403"/>
      <c r="F187" s="198"/>
      <c r="G187" s="403"/>
      <c r="H187" s="198"/>
      <c r="I187" s="403"/>
      <c r="J187" s="198"/>
      <c r="K187" s="403"/>
      <c r="L187" s="198"/>
      <c r="M187" s="403"/>
      <c r="N187" s="198"/>
      <c r="O187" s="403"/>
      <c r="P187" s="198"/>
      <c r="Q187" s="429"/>
      <c r="R187" s="76"/>
      <c r="S187" s="403"/>
      <c r="T187" s="198"/>
      <c r="U187" s="403"/>
      <c r="V187" s="19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03"/>
      <c r="B188" s="198"/>
      <c r="C188" s="403"/>
      <c r="D188" s="198"/>
      <c r="E188" s="403"/>
      <c r="F188" s="198"/>
      <c r="G188" s="403"/>
      <c r="H188" s="198"/>
      <c r="I188" s="403"/>
      <c r="J188" s="198"/>
      <c r="K188" s="403"/>
      <c r="L188" s="198"/>
      <c r="M188" s="403"/>
      <c r="N188" s="198"/>
      <c r="O188" s="403"/>
      <c r="P188" s="198"/>
      <c r="Q188" s="429"/>
      <c r="R188" s="76"/>
      <c r="S188" s="403"/>
      <c r="T188" s="198"/>
      <c r="U188" s="403"/>
      <c r="V188" s="19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03"/>
      <c r="B189" s="198"/>
      <c r="C189" s="403"/>
      <c r="D189" s="198"/>
      <c r="E189" s="403"/>
      <c r="F189" s="198"/>
      <c r="G189" s="403"/>
      <c r="H189" s="198"/>
      <c r="I189" s="403"/>
      <c r="J189" s="198"/>
      <c r="K189" s="403"/>
      <c r="L189" s="198"/>
      <c r="M189" s="403"/>
      <c r="N189" s="198"/>
      <c r="O189" s="403"/>
      <c r="P189" s="198"/>
      <c r="Q189" s="429"/>
      <c r="R189" s="76"/>
      <c r="S189" s="403"/>
      <c r="T189" s="198"/>
      <c r="U189" s="403"/>
      <c r="V189" s="19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03"/>
      <c r="B190" s="198"/>
      <c r="C190" s="403"/>
      <c r="D190" s="198"/>
      <c r="E190" s="403"/>
      <c r="F190" s="198"/>
      <c r="G190" s="403"/>
      <c r="H190" s="198"/>
      <c r="I190" s="403"/>
      <c r="J190" s="198"/>
      <c r="K190" s="403"/>
      <c r="L190" s="198"/>
      <c r="M190" s="403"/>
      <c r="N190" s="198"/>
      <c r="O190" s="403"/>
      <c r="P190" s="198"/>
      <c r="Q190" s="429"/>
      <c r="R190" s="76"/>
      <c r="S190" s="403"/>
      <c r="T190" s="198"/>
      <c r="U190" s="403"/>
      <c r="V190" s="19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03"/>
      <c r="B191" s="198"/>
      <c r="C191" s="403"/>
      <c r="D191" s="198"/>
      <c r="E191" s="403"/>
      <c r="F191" s="198"/>
      <c r="G191" s="403"/>
      <c r="H191" s="198"/>
      <c r="I191" s="403"/>
      <c r="J191" s="198"/>
      <c r="K191" s="403"/>
      <c r="L191" s="198"/>
      <c r="M191" s="403"/>
      <c r="N191" s="198"/>
      <c r="O191" s="403"/>
      <c r="P191" s="198"/>
      <c r="Q191" s="429"/>
      <c r="R191" s="76"/>
      <c r="S191" s="403"/>
      <c r="T191" s="198"/>
      <c r="U191" s="403"/>
      <c r="V191" s="19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03"/>
      <c r="B192" s="198"/>
      <c r="C192" s="403"/>
      <c r="D192" s="198"/>
      <c r="E192" s="403"/>
      <c r="F192" s="198"/>
      <c r="G192" s="403"/>
      <c r="H192" s="198"/>
      <c r="I192" s="403"/>
      <c r="J192" s="198"/>
      <c r="K192" s="403"/>
      <c r="L192" s="198"/>
      <c r="M192" s="403"/>
      <c r="N192" s="198"/>
      <c r="O192" s="403"/>
      <c r="P192" s="198"/>
      <c r="Q192" s="429"/>
      <c r="R192" s="76"/>
      <c r="S192" s="403"/>
      <c r="T192" s="198"/>
      <c r="U192" s="403"/>
      <c r="V192" s="19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03"/>
      <c r="B193" s="198"/>
      <c r="C193" s="403"/>
      <c r="D193" s="198"/>
      <c r="E193" s="403"/>
      <c r="F193" s="198"/>
      <c r="G193" s="403"/>
      <c r="H193" s="198"/>
      <c r="I193" s="403"/>
      <c r="J193" s="198"/>
      <c r="K193" s="403"/>
      <c r="L193" s="198"/>
      <c r="M193" s="403"/>
      <c r="N193" s="198"/>
      <c r="O193" s="403"/>
      <c r="P193" s="198"/>
      <c r="Q193" s="429"/>
      <c r="R193" s="76"/>
      <c r="S193" s="403"/>
      <c r="T193" s="198"/>
      <c r="U193" s="403"/>
      <c r="V193" s="19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03"/>
      <c r="B194" s="198"/>
      <c r="C194" s="403"/>
      <c r="D194" s="198"/>
      <c r="E194" s="403"/>
      <c r="F194" s="198"/>
      <c r="G194" s="403"/>
      <c r="H194" s="198"/>
      <c r="I194" s="403"/>
      <c r="J194" s="198"/>
      <c r="K194" s="403"/>
      <c r="L194" s="198"/>
      <c r="M194" s="403"/>
      <c r="N194" s="198"/>
      <c r="O194" s="403"/>
      <c r="P194" s="198"/>
      <c r="Q194" s="429"/>
      <c r="R194" s="76"/>
      <c r="S194" s="403"/>
      <c r="T194" s="198"/>
      <c r="U194" s="403"/>
      <c r="V194" s="19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03"/>
      <c r="B195" s="198"/>
      <c r="C195" s="403"/>
      <c r="D195" s="198"/>
      <c r="E195" s="403"/>
      <c r="F195" s="198"/>
      <c r="G195" s="403"/>
      <c r="H195" s="198"/>
      <c r="I195" s="403"/>
      <c r="J195" s="198"/>
      <c r="K195" s="403"/>
      <c r="L195" s="198"/>
      <c r="M195" s="403"/>
      <c r="N195" s="198"/>
      <c r="O195" s="403"/>
      <c r="P195" s="198"/>
      <c r="Q195" s="429"/>
      <c r="R195" s="76"/>
      <c r="S195" s="403"/>
      <c r="T195" s="198"/>
      <c r="U195" s="403"/>
      <c r="V195" s="19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03"/>
      <c r="B196" s="198"/>
      <c r="C196" s="403"/>
      <c r="D196" s="198"/>
      <c r="E196" s="403"/>
      <c r="F196" s="198"/>
      <c r="G196" s="403"/>
      <c r="H196" s="198"/>
      <c r="I196" s="403"/>
      <c r="J196" s="198"/>
      <c r="K196" s="403"/>
      <c r="L196" s="198"/>
      <c r="M196" s="403"/>
      <c r="N196" s="198"/>
      <c r="O196" s="403"/>
      <c r="P196" s="198"/>
      <c r="Q196" s="429"/>
      <c r="R196" s="76"/>
      <c r="S196" s="403"/>
      <c r="T196" s="198"/>
      <c r="U196" s="403"/>
      <c r="V196" s="19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03"/>
      <c r="B197" s="198"/>
      <c r="C197" s="403"/>
      <c r="D197" s="198"/>
      <c r="E197" s="403"/>
      <c r="F197" s="198"/>
      <c r="G197" s="403"/>
      <c r="H197" s="198"/>
      <c r="I197" s="403"/>
      <c r="J197" s="198"/>
      <c r="K197" s="403"/>
      <c r="L197" s="198"/>
      <c r="M197" s="403"/>
      <c r="N197" s="198"/>
      <c r="O197" s="403"/>
      <c r="P197" s="198"/>
      <c r="Q197" s="429"/>
      <c r="R197" s="76"/>
      <c r="S197" s="403"/>
      <c r="T197" s="198"/>
      <c r="U197" s="403"/>
      <c r="V197" s="19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03"/>
      <c r="B198" s="198"/>
      <c r="C198" s="403"/>
      <c r="D198" s="198"/>
      <c r="E198" s="403"/>
      <c r="F198" s="198"/>
      <c r="G198" s="403"/>
      <c r="H198" s="198"/>
      <c r="I198" s="403"/>
      <c r="J198" s="198"/>
      <c r="K198" s="403"/>
      <c r="L198" s="198"/>
      <c r="M198" s="403"/>
      <c r="N198" s="198"/>
      <c r="O198" s="403"/>
      <c r="P198" s="198"/>
      <c r="Q198" s="429"/>
      <c r="R198" s="76"/>
      <c r="S198" s="403"/>
      <c r="T198" s="198"/>
      <c r="U198" s="403"/>
      <c r="V198" s="19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03"/>
      <c r="B199" s="198"/>
      <c r="C199" s="403"/>
      <c r="D199" s="198"/>
      <c r="E199" s="403"/>
      <c r="F199" s="198"/>
      <c r="G199" s="403"/>
      <c r="H199" s="198"/>
      <c r="I199" s="403"/>
      <c r="J199" s="198"/>
      <c r="K199" s="403"/>
      <c r="L199" s="198"/>
      <c r="M199" s="403"/>
      <c r="N199" s="198"/>
      <c r="O199" s="403"/>
      <c r="P199" s="198"/>
      <c r="Q199" s="429"/>
      <c r="R199" s="76"/>
      <c r="S199" s="403"/>
      <c r="T199" s="198"/>
      <c r="U199" s="403"/>
      <c r="V199" s="19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03"/>
      <c r="B200" s="198"/>
      <c r="C200" s="403"/>
      <c r="D200" s="198"/>
      <c r="E200" s="403"/>
      <c r="F200" s="198"/>
      <c r="G200" s="403"/>
      <c r="H200" s="198"/>
      <c r="I200" s="403"/>
      <c r="J200" s="198"/>
      <c r="K200" s="403"/>
      <c r="L200" s="198"/>
      <c r="M200" s="403"/>
      <c r="N200" s="198"/>
      <c r="O200" s="403"/>
      <c r="P200" s="198"/>
      <c r="Q200" s="429"/>
      <c r="R200" s="76"/>
      <c r="S200" s="403"/>
      <c r="T200" s="198"/>
      <c r="U200" s="403"/>
      <c r="V200" s="19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03"/>
      <c r="B201" s="198"/>
      <c r="C201" s="403"/>
      <c r="D201" s="198"/>
      <c r="E201" s="403"/>
      <c r="F201" s="198"/>
      <c r="G201" s="403"/>
      <c r="H201" s="198"/>
      <c r="I201" s="403"/>
      <c r="J201" s="198"/>
      <c r="K201" s="403"/>
      <c r="L201" s="198"/>
      <c r="M201" s="403"/>
      <c r="N201" s="198"/>
      <c r="O201" s="403"/>
      <c r="P201" s="198"/>
      <c r="Q201" s="429"/>
      <c r="R201" s="76"/>
      <c r="S201" s="403"/>
      <c r="T201" s="198"/>
      <c r="U201" s="403"/>
      <c r="V201" s="19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03"/>
      <c r="B202" s="198"/>
      <c r="C202" s="403"/>
      <c r="D202" s="198"/>
      <c r="E202" s="403"/>
      <c r="F202" s="198"/>
      <c r="G202" s="403"/>
      <c r="H202" s="198"/>
      <c r="I202" s="403"/>
      <c r="J202" s="198"/>
      <c r="K202" s="403"/>
      <c r="L202" s="198"/>
      <c r="M202" s="403"/>
      <c r="N202" s="198"/>
      <c r="O202" s="403"/>
      <c r="P202" s="198"/>
      <c r="Q202" s="429"/>
      <c r="R202" s="76"/>
      <c r="S202" s="403"/>
      <c r="T202" s="198"/>
      <c r="U202" s="403"/>
      <c r="V202" s="19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03"/>
      <c r="B203" s="198"/>
      <c r="C203" s="403"/>
      <c r="D203" s="198"/>
      <c r="E203" s="403"/>
      <c r="F203" s="198"/>
      <c r="G203" s="403"/>
      <c r="H203" s="198"/>
      <c r="I203" s="403"/>
      <c r="J203" s="198"/>
      <c r="K203" s="403"/>
      <c r="L203" s="198"/>
      <c r="M203" s="403"/>
      <c r="N203" s="198"/>
      <c r="O203" s="403"/>
      <c r="P203" s="198"/>
      <c r="Q203" s="429"/>
      <c r="R203" s="76"/>
      <c r="S203" s="403"/>
      <c r="T203" s="198"/>
      <c r="U203" s="403"/>
      <c r="V203" s="19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03"/>
      <c r="B204" s="198"/>
      <c r="C204" s="403"/>
      <c r="D204" s="198"/>
      <c r="E204" s="403"/>
      <c r="F204" s="198"/>
      <c r="G204" s="403"/>
      <c r="H204" s="198"/>
      <c r="I204" s="403"/>
      <c r="J204" s="198"/>
      <c r="K204" s="403"/>
      <c r="L204" s="198"/>
      <c r="M204" s="403"/>
      <c r="N204" s="198"/>
      <c r="O204" s="403"/>
      <c r="P204" s="198"/>
      <c r="Q204" s="429"/>
      <c r="R204" s="76"/>
      <c r="S204" s="403"/>
      <c r="T204" s="198"/>
      <c r="U204" s="403"/>
      <c r="V204" s="19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03"/>
      <c r="B205" s="198"/>
      <c r="C205" s="403"/>
      <c r="D205" s="198"/>
      <c r="E205" s="403"/>
      <c r="F205" s="198"/>
      <c r="G205" s="403"/>
      <c r="H205" s="198"/>
      <c r="I205" s="403"/>
      <c r="J205" s="198"/>
      <c r="K205" s="403"/>
      <c r="L205" s="198"/>
      <c r="M205" s="403"/>
      <c r="N205" s="198"/>
      <c r="O205" s="403"/>
      <c r="P205" s="198"/>
      <c r="Q205" s="429"/>
      <c r="R205" s="76"/>
      <c r="S205" s="403"/>
      <c r="T205" s="198"/>
      <c r="U205" s="403"/>
      <c r="V205" s="19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03"/>
      <c r="B206" s="198"/>
      <c r="C206" s="403"/>
      <c r="D206" s="198"/>
      <c r="E206" s="403"/>
      <c r="F206" s="198"/>
      <c r="G206" s="403"/>
      <c r="H206" s="198"/>
      <c r="I206" s="403"/>
      <c r="J206" s="198"/>
      <c r="K206" s="403"/>
      <c r="L206" s="198"/>
      <c r="M206" s="403"/>
      <c r="N206" s="198"/>
      <c r="O206" s="403"/>
      <c r="P206" s="198"/>
      <c r="Q206" s="429"/>
      <c r="R206" s="76"/>
      <c r="S206" s="403"/>
      <c r="T206" s="198"/>
      <c r="U206" s="403"/>
      <c r="V206" s="19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03"/>
      <c r="B207" s="198"/>
      <c r="C207" s="403"/>
      <c r="D207" s="198"/>
      <c r="E207" s="403"/>
      <c r="F207" s="198"/>
      <c r="G207" s="403"/>
      <c r="H207" s="198"/>
      <c r="I207" s="403"/>
      <c r="J207" s="198"/>
      <c r="K207" s="403"/>
      <c r="L207" s="198"/>
      <c r="M207" s="403"/>
      <c r="N207" s="198"/>
      <c r="O207" s="403"/>
      <c r="P207" s="198"/>
      <c r="Q207" s="429"/>
      <c r="R207" s="76"/>
      <c r="S207" s="403"/>
      <c r="T207" s="198"/>
      <c r="U207" s="403"/>
      <c r="V207" s="19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03"/>
      <c r="B208" s="198"/>
      <c r="C208" s="403"/>
      <c r="D208" s="198"/>
      <c r="E208" s="403"/>
      <c r="F208" s="198"/>
      <c r="G208" s="403"/>
      <c r="H208" s="198"/>
      <c r="I208" s="403"/>
      <c r="J208" s="198"/>
      <c r="K208" s="403"/>
      <c r="L208" s="198"/>
      <c r="M208" s="403"/>
      <c r="N208" s="198"/>
      <c r="O208" s="403"/>
      <c r="P208" s="198"/>
      <c r="Q208" s="429"/>
      <c r="R208" s="76"/>
      <c r="S208" s="403"/>
      <c r="T208" s="198"/>
      <c r="U208" s="403"/>
      <c r="V208" s="19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03"/>
      <c r="B209" s="198"/>
      <c r="C209" s="403"/>
      <c r="D209" s="198"/>
      <c r="E209" s="403"/>
      <c r="F209" s="198"/>
      <c r="G209" s="403"/>
      <c r="H209" s="198"/>
      <c r="I209" s="403"/>
      <c r="J209" s="198"/>
      <c r="K209" s="403"/>
      <c r="L209" s="198"/>
      <c r="M209" s="403"/>
      <c r="N209" s="198"/>
      <c r="O209" s="403"/>
      <c r="P209" s="198"/>
      <c r="Q209" s="429"/>
      <c r="R209" s="76"/>
      <c r="S209" s="403"/>
      <c r="T209" s="198"/>
      <c r="U209" s="403"/>
      <c r="V209" s="19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03"/>
      <c r="B210" s="198"/>
      <c r="C210" s="403"/>
      <c r="D210" s="198"/>
      <c r="E210" s="403"/>
      <c r="F210" s="198"/>
      <c r="G210" s="403"/>
      <c r="H210" s="198"/>
      <c r="I210" s="403"/>
      <c r="J210" s="198"/>
      <c r="K210" s="403"/>
      <c r="L210" s="198"/>
      <c r="M210" s="403"/>
      <c r="N210" s="198"/>
      <c r="O210" s="403"/>
      <c r="P210" s="198"/>
      <c r="Q210" s="429"/>
      <c r="R210" s="76"/>
      <c r="S210" s="403"/>
      <c r="T210" s="198"/>
      <c r="U210" s="403"/>
      <c r="V210" s="19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03"/>
      <c r="B211" s="198"/>
      <c r="C211" s="403"/>
      <c r="D211" s="198"/>
      <c r="E211" s="403"/>
      <c r="F211" s="198"/>
      <c r="G211" s="403"/>
      <c r="H211" s="198"/>
      <c r="I211" s="403"/>
      <c r="J211" s="198"/>
      <c r="K211" s="403"/>
      <c r="L211" s="198"/>
      <c r="M211" s="403"/>
      <c r="N211" s="198"/>
      <c r="O211" s="403"/>
      <c r="P211" s="198"/>
      <c r="Q211" s="429"/>
      <c r="R211" s="76"/>
      <c r="S211" s="403"/>
      <c r="T211" s="198"/>
      <c r="U211" s="403"/>
      <c r="V211" s="19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03"/>
      <c r="B212" s="198"/>
      <c r="C212" s="403"/>
      <c r="D212" s="198"/>
      <c r="E212" s="403"/>
      <c r="F212" s="198"/>
      <c r="G212" s="403"/>
      <c r="H212" s="198"/>
      <c r="I212" s="403"/>
      <c r="J212" s="198"/>
      <c r="K212" s="403"/>
      <c r="L212" s="198"/>
      <c r="M212" s="403"/>
      <c r="N212" s="198"/>
      <c r="O212" s="403"/>
      <c r="P212" s="198"/>
      <c r="Q212" s="429"/>
      <c r="R212" s="76"/>
      <c r="S212" s="403"/>
      <c r="T212" s="198"/>
      <c r="U212" s="403"/>
      <c r="V212" s="19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03"/>
      <c r="B213" s="198"/>
      <c r="C213" s="403"/>
      <c r="D213" s="198"/>
      <c r="E213" s="403"/>
      <c r="F213" s="198"/>
      <c r="G213" s="403"/>
      <c r="H213" s="198"/>
      <c r="I213" s="403"/>
      <c r="J213" s="198"/>
      <c r="K213" s="403"/>
      <c r="L213" s="198"/>
      <c r="M213" s="403"/>
      <c r="N213" s="198"/>
      <c r="O213" s="403"/>
      <c r="P213" s="198"/>
      <c r="Q213" s="429"/>
      <c r="R213" s="76"/>
      <c r="S213" s="403"/>
      <c r="T213" s="198"/>
      <c r="U213" s="403"/>
      <c r="V213" s="19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03"/>
      <c r="B214" s="198"/>
      <c r="C214" s="403"/>
      <c r="D214" s="198"/>
      <c r="E214" s="403"/>
      <c r="F214" s="198"/>
      <c r="G214" s="403"/>
      <c r="H214" s="198"/>
      <c r="I214" s="403"/>
      <c r="J214" s="198"/>
      <c r="K214" s="403"/>
      <c r="L214" s="198"/>
      <c r="M214" s="403"/>
      <c r="N214" s="198"/>
      <c r="O214" s="403"/>
      <c r="P214" s="198"/>
      <c r="Q214" s="429"/>
      <c r="R214" s="76"/>
      <c r="S214" s="403"/>
      <c r="T214" s="198"/>
      <c r="U214" s="403"/>
      <c r="V214" s="19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03"/>
      <c r="B215" s="198"/>
      <c r="C215" s="403"/>
      <c r="D215" s="198"/>
      <c r="E215" s="403"/>
      <c r="F215" s="198"/>
      <c r="G215" s="403"/>
      <c r="H215" s="198"/>
      <c r="I215" s="403"/>
      <c r="J215" s="198"/>
      <c r="K215" s="403"/>
      <c r="L215" s="198"/>
      <c r="M215" s="403"/>
      <c r="N215" s="198"/>
      <c r="O215" s="403"/>
      <c r="P215" s="198"/>
      <c r="Q215" s="429"/>
      <c r="R215" s="76"/>
      <c r="S215" s="403"/>
      <c r="T215" s="198"/>
      <c r="U215" s="403"/>
      <c r="V215" s="19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03"/>
      <c r="B216" s="198"/>
      <c r="C216" s="403"/>
      <c r="D216" s="198"/>
      <c r="E216" s="403"/>
      <c r="F216" s="198"/>
      <c r="G216" s="403"/>
      <c r="H216" s="198"/>
      <c r="I216" s="403"/>
      <c r="J216" s="198"/>
      <c r="K216" s="403"/>
      <c r="L216" s="198"/>
      <c r="M216" s="403"/>
      <c r="N216" s="198"/>
      <c r="O216" s="403"/>
      <c r="P216" s="198"/>
      <c r="Q216" s="429"/>
      <c r="R216" s="76"/>
      <c r="S216" s="403"/>
      <c r="T216" s="198"/>
      <c r="U216" s="403"/>
      <c r="V216" s="19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03"/>
      <c r="B217" s="198"/>
      <c r="C217" s="403"/>
      <c r="D217" s="198"/>
      <c r="E217" s="403"/>
      <c r="F217" s="198"/>
      <c r="G217" s="403"/>
      <c r="H217" s="198"/>
      <c r="I217" s="403"/>
      <c r="J217" s="198"/>
      <c r="K217" s="403"/>
      <c r="L217" s="198"/>
      <c r="M217" s="403"/>
      <c r="N217" s="198"/>
      <c r="O217" s="403"/>
      <c r="P217" s="198"/>
      <c r="Q217" s="429"/>
      <c r="R217" s="76"/>
      <c r="S217" s="403"/>
      <c r="T217" s="198"/>
      <c r="U217" s="403"/>
      <c r="V217" s="19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03"/>
      <c r="B218" s="198"/>
      <c r="C218" s="403"/>
      <c r="D218" s="198"/>
      <c r="E218" s="403"/>
      <c r="F218" s="198"/>
      <c r="G218" s="403"/>
      <c r="H218" s="198"/>
      <c r="I218" s="403"/>
      <c r="J218" s="198"/>
      <c r="K218" s="403"/>
      <c r="L218" s="198"/>
      <c r="M218" s="403"/>
      <c r="N218" s="198"/>
      <c r="O218" s="403"/>
      <c r="P218" s="198"/>
      <c r="Q218" s="429"/>
      <c r="R218" s="76"/>
      <c r="S218" s="403"/>
      <c r="T218" s="198"/>
      <c r="U218" s="403"/>
      <c r="V218" s="19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03"/>
      <c r="B219" s="198"/>
      <c r="C219" s="403"/>
      <c r="D219" s="198"/>
      <c r="E219" s="403"/>
      <c r="F219" s="198"/>
      <c r="G219" s="403"/>
      <c r="H219" s="198"/>
      <c r="I219" s="403"/>
      <c r="J219" s="198"/>
      <c r="K219" s="403"/>
      <c r="L219" s="198"/>
      <c r="M219" s="403"/>
      <c r="N219" s="198"/>
      <c r="O219" s="403"/>
      <c r="P219" s="198"/>
      <c r="Q219" s="429"/>
      <c r="R219" s="76"/>
      <c r="S219" s="403"/>
      <c r="T219" s="198"/>
      <c r="U219" s="403"/>
      <c r="V219" s="19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03"/>
      <c r="B220" s="198"/>
      <c r="C220" s="403"/>
      <c r="D220" s="198"/>
      <c r="E220" s="403"/>
      <c r="F220" s="198"/>
      <c r="G220" s="403"/>
      <c r="H220" s="198"/>
      <c r="I220" s="403"/>
      <c r="J220" s="198"/>
      <c r="K220" s="403"/>
      <c r="L220" s="198"/>
      <c r="M220" s="403"/>
      <c r="N220" s="198"/>
      <c r="O220" s="403"/>
      <c r="P220" s="198"/>
      <c r="Q220" s="429"/>
      <c r="R220" s="76"/>
      <c r="S220" s="403"/>
      <c r="T220" s="198"/>
      <c r="U220" s="403"/>
      <c r="V220" s="19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03"/>
      <c r="B221" s="198"/>
      <c r="C221" s="403"/>
      <c r="D221" s="198"/>
      <c r="E221" s="403"/>
      <c r="F221" s="198"/>
      <c r="G221" s="403"/>
      <c r="H221" s="198"/>
      <c r="I221" s="403"/>
      <c r="J221" s="198"/>
      <c r="K221" s="403"/>
      <c r="L221" s="198"/>
      <c r="M221" s="403"/>
      <c r="N221" s="198"/>
      <c r="O221" s="403"/>
      <c r="P221" s="198"/>
      <c r="Q221" s="429"/>
      <c r="R221" s="76"/>
      <c r="S221" s="403"/>
      <c r="T221" s="198"/>
      <c r="U221" s="403"/>
      <c r="V221" s="19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03"/>
      <c r="B222" s="198"/>
      <c r="C222" s="403"/>
      <c r="D222" s="198"/>
      <c r="E222" s="403"/>
      <c r="F222" s="198"/>
      <c r="G222" s="403"/>
      <c r="H222" s="198"/>
      <c r="I222" s="403"/>
      <c r="J222" s="198"/>
      <c r="K222" s="403"/>
      <c r="L222" s="198"/>
      <c r="M222" s="403"/>
      <c r="N222" s="198"/>
      <c r="O222" s="403"/>
      <c r="P222" s="198"/>
      <c r="Q222" s="429"/>
      <c r="R222" s="76"/>
      <c r="S222" s="403"/>
      <c r="T222" s="198"/>
      <c r="U222" s="403"/>
      <c r="V222" s="19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03"/>
      <c r="B223" s="198"/>
      <c r="C223" s="403"/>
      <c r="D223" s="198"/>
      <c r="E223" s="403"/>
      <c r="F223" s="198"/>
      <c r="G223" s="403"/>
      <c r="H223" s="198"/>
      <c r="I223" s="403"/>
      <c r="J223" s="198"/>
      <c r="K223" s="403"/>
      <c r="L223" s="198"/>
      <c r="M223" s="403"/>
      <c r="N223" s="198"/>
      <c r="O223" s="403"/>
      <c r="P223" s="198"/>
      <c r="Q223" s="429"/>
      <c r="R223" s="76"/>
      <c r="S223" s="403"/>
      <c r="T223" s="198"/>
      <c r="U223" s="403"/>
      <c r="V223" s="19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03"/>
      <c r="B224" s="198"/>
      <c r="C224" s="403"/>
      <c r="D224" s="198"/>
      <c r="E224" s="403"/>
      <c r="F224" s="198"/>
      <c r="G224" s="403"/>
      <c r="H224" s="198"/>
      <c r="I224" s="403"/>
      <c r="J224" s="198"/>
      <c r="K224" s="403"/>
      <c r="L224" s="198"/>
      <c r="M224" s="403"/>
      <c r="N224" s="198"/>
      <c r="O224" s="403"/>
      <c r="P224" s="198"/>
      <c r="Q224" s="429"/>
      <c r="R224" s="76"/>
      <c r="S224" s="403"/>
      <c r="T224" s="198"/>
      <c r="U224" s="403"/>
      <c r="V224" s="19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03"/>
      <c r="B225" s="198"/>
      <c r="C225" s="403"/>
      <c r="D225" s="198"/>
      <c r="E225" s="403"/>
      <c r="F225" s="198"/>
      <c r="G225" s="403"/>
      <c r="H225" s="198"/>
      <c r="I225" s="403"/>
      <c r="J225" s="198"/>
      <c r="K225" s="403"/>
      <c r="L225" s="198"/>
      <c r="M225" s="403"/>
      <c r="N225" s="198"/>
      <c r="O225" s="403"/>
      <c r="P225" s="198"/>
      <c r="Q225" s="429"/>
      <c r="R225" s="76"/>
      <c r="S225" s="403"/>
      <c r="T225" s="198"/>
      <c r="U225" s="403"/>
      <c r="V225" s="19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03"/>
      <c r="B226" s="198"/>
      <c r="C226" s="403"/>
      <c r="D226" s="198"/>
      <c r="E226" s="403"/>
      <c r="F226" s="198"/>
      <c r="G226" s="403"/>
      <c r="H226" s="198"/>
      <c r="I226" s="403"/>
      <c r="J226" s="198"/>
      <c r="K226" s="403"/>
      <c r="L226" s="198"/>
      <c r="M226" s="403"/>
      <c r="N226" s="198"/>
      <c r="O226" s="403"/>
      <c r="P226" s="198"/>
      <c r="Q226" s="429"/>
      <c r="R226" s="76"/>
      <c r="S226" s="403"/>
      <c r="T226" s="198"/>
      <c r="U226" s="403"/>
      <c r="V226" s="19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03"/>
      <c r="B227" s="198"/>
      <c r="C227" s="403"/>
      <c r="D227" s="198"/>
      <c r="E227" s="403"/>
      <c r="F227" s="198"/>
      <c r="G227" s="403"/>
      <c r="H227" s="198"/>
      <c r="I227" s="403"/>
      <c r="J227" s="198"/>
      <c r="K227" s="403"/>
      <c r="L227" s="198"/>
      <c r="M227" s="403"/>
      <c r="N227" s="198"/>
      <c r="O227" s="403"/>
      <c r="P227" s="198"/>
      <c r="Q227" s="429"/>
      <c r="R227" s="76"/>
      <c r="S227" s="403"/>
      <c r="T227" s="198"/>
      <c r="U227" s="403"/>
      <c r="V227" s="19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03"/>
      <c r="B228" s="198"/>
      <c r="C228" s="403"/>
      <c r="D228" s="198"/>
      <c r="E228" s="403"/>
      <c r="F228" s="198"/>
      <c r="G228" s="403"/>
      <c r="H228" s="198"/>
      <c r="I228" s="403"/>
      <c r="J228" s="198"/>
      <c r="K228" s="403"/>
      <c r="L228" s="198"/>
      <c r="M228" s="403"/>
      <c r="N228" s="198"/>
      <c r="O228" s="403"/>
      <c r="P228" s="198"/>
      <c r="Q228" s="429"/>
      <c r="R228" s="76"/>
      <c r="S228" s="403"/>
      <c r="T228" s="198"/>
      <c r="U228" s="403"/>
      <c r="V228" s="19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03"/>
      <c r="B229" s="198"/>
      <c r="C229" s="403"/>
      <c r="D229" s="198"/>
      <c r="E229" s="403"/>
      <c r="F229" s="198"/>
      <c r="G229" s="403"/>
      <c r="H229" s="198"/>
      <c r="I229" s="403"/>
      <c r="J229" s="198"/>
      <c r="K229" s="403"/>
      <c r="L229" s="198"/>
      <c r="M229" s="403"/>
      <c r="N229" s="198"/>
      <c r="O229" s="403"/>
      <c r="P229" s="198"/>
      <c r="Q229" s="429"/>
      <c r="R229" s="76"/>
      <c r="S229" s="403"/>
      <c r="T229" s="198"/>
      <c r="U229" s="403"/>
      <c r="V229" s="19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03"/>
      <c r="B230" s="198"/>
      <c r="C230" s="403"/>
      <c r="D230" s="198"/>
      <c r="E230" s="403"/>
      <c r="F230" s="198"/>
      <c r="G230" s="403"/>
      <c r="H230" s="198"/>
      <c r="I230" s="403"/>
      <c r="J230" s="198"/>
      <c r="K230" s="403"/>
      <c r="L230" s="198"/>
      <c r="M230" s="403"/>
      <c r="N230" s="198"/>
      <c r="O230" s="403"/>
      <c r="P230" s="198"/>
      <c r="Q230" s="429"/>
      <c r="R230" s="76"/>
      <c r="S230" s="403"/>
      <c r="T230" s="198"/>
      <c r="U230" s="403"/>
      <c r="V230" s="19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03"/>
      <c r="B231" s="198"/>
      <c r="C231" s="403"/>
      <c r="D231" s="198"/>
      <c r="E231" s="403"/>
      <c r="F231" s="198"/>
      <c r="G231" s="403"/>
      <c r="H231" s="198"/>
      <c r="I231" s="403"/>
      <c r="J231" s="198"/>
      <c r="K231" s="403"/>
      <c r="L231" s="198"/>
      <c r="M231" s="403"/>
      <c r="N231" s="198"/>
      <c r="O231" s="403"/>
      <c r="P231" s="198"/>
      <c r="Q231" s="429"/>
      <c r="R231" s="76"/>
      <c r="S231" s="403"/>
      <c r="T231" s="198"/>
      <c r="U231" s="403"/>
      <c r="V231" s="19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03"/>
      <c r="B232" s="198"/>
      <c r="C232" s="403"/>
      <c r="D232" s="198"/>
      <c r="E232" s="403"/>
      <c r="F232" s="198"/>
      <c r="G232" s="403"/>
      <c r="H232" s="198"/>
      <c r="I232" s="403"/>
      <c r="J232" s="198"/>
      <c r="K232" s="403"/>
      <c r="L232" s="198"/>
      <c r="M232" s="403"/>
      <c r="N232" s="198"/>
      <c r="O232" s="403"/>
      <c r="P232" s="198"/>
      <c r="Q232" s="429"/>
      <c r="R232" s="76"/>
      <c r="S232" s="403"/>
      <c r="T232" s="198"/>
      <c r="U232" s="403"/>
      <c r="V232" s="19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03"/>
      <c r="B233" s="198"/>
      <c r="C233" s="403"/>
      <c r="D233" s="198"/>
      <c r="E233" s="403"/>
      <c r="F233" s="198"/>
      <c r="G233" s="403"/>
      <c r="H233" s="198"/>
      <c r="I233" s="403"/>
      <c r="J233" s="198"/>
      <c r="K233" s="403"/>
      <c r="L233" s="198"/>
      <c r="M233" s="403"/>
      <c r="N233" s="198"/>
      <c r="O233" s="403"/>
      <c r="P233" s="198"/>
      <c r="Q233" s="429"/>
      <c r="R233" s="76"/>
      <c r="S233" s="403"/>
      <c r="T233" s="198"/>
      <c r="U233" s="403"/>
      <c r="V233" s="19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03"/>
      <c r="B234" s="198"/>
      <c r="C234" s="403"/>
      <c r="D234" s="198"/>
      <c r="E234" s="403"/>
      <c r="F234" s="198"/>
      <c r="G234" s="403"/>
      <c r="H234" s="198"/>
      <c r="I234" s="403"/>
      <c r="J234" s="198"/>
      <c r="K234" s="403"/>
      <c r="L234" s="198"/>
      <c r="M234" s="403"/>
      <c r="N234" s="198"/>
      <c r="O234" s="403"/>
      <c r="P234" s="198"/>
      <c r="Q234" s="429"/>
      <c r="R234" s="76"/>
      <c r="S234" s="403"/>
      <c r="T234" s="198"/>
      <c r="U234" s="403"/>
      <c r="V234" s="19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03"/>
      <c r="B235" s="198"/>
      <c r="C235" s="403"/>
      <c r="D235" s="198"/>
      <c r="E235" s="403"/>
      <c r="F235" s="198"/>
      <c r="G235" s="403"/>
      <c r="H235" s="198"/>
      <c r="I235" s="403"/>
      <c r="J235" s="198"/>
      <c r="K235" s="403"/>
      <c r="L235" s="198"/>
      <c r="M235" s="403"/>
      <c r="N235" s="198"/>
      <c r="O235" s="403"/>
      <c r="P235" s="198"/>
      <c r="Q235" s="429"/>
      <c r="R235" s="76"/>
      <c r="S235" s="403"/>
      <c r="T235" s="198"/>
      <c r="U235" s="403"/>
      <c r="V235" s="19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03"/>
      <c r="B236" s="198"/>
      <c r="C236" s="403"/>
      <c r="D236" s="198"/>
      <c r="E236" s="403"/>
      <c r="F236" s="198"/>
      <c r="G236" s="403"/>
      <c r="H236" s="198"/>
      <c r="I236" s="403"/>
      <c r="J236" s="198"/>
      <c r="K236" s="403"/>
      <c r="L236" s="198"/>
      <c r="M236" s="403"/>
      <c r="N236" s="198"/>
      <c r="O236" s="403"/>
      <c r="P236" s="198"/>
      <c r="Q236" s="429"/>
      <c r="R236" s="76"/>
      <c r="S236" s="403"/>
      <c r="T236" s="198"/>
      <c r="U236" s="403"/>
      <c r="V236" s="19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03"/>
      <c r="B237" s="198"/>
      <c r="C237" s="403"/>
      <c r="D237" s="198"/>
      <c r="E237" s="403"/>
      <c r="F237" s="198"/>
      <c r="G237" s="403"/>
      <c r="H237" s="198"/>
      <c r="I237" s="403"/>
      <c r="J237" s="198"/>
      <c r="K237" s="403"/>
      <c r="L237" s="198"/>
      <c r="M237" s="403"/>
      <c r="N237" s="198"/>
      <c r="O237" s="403"/>
      <c r="P237" s="198"/>
      <c r="Q237" s="429"/>
      <c r="R237" s="76"/>
      <c r="S237" s="403"/>
      <c r="T237" s="198"/>
      <c r="U237" s="403"/>
      <c r="V237" s="19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03"/>
      <c r="B238" s="198"/>
      <c r="C238" s="403"/>
      <c r="D238" s="198"/>
      <c r="E238" s="403"/>
      <c r="F238" s="198"/>
      <c r="G238" s="403"/>
      <c r="H238" s="198"/>
      <c r="I238" s="403"/>
      <c r="J238" s="198"/>
      <c r="K238" s="403"/>
      <c r="L238" s="198"/>
      <c r="M238" s="403"/>
      <c r="N238" s="198"/>
      <c r="O238" s="403"/>
      <c r="P238" s="198"/>
      <c r="Q238" s="429"/>
      <c r="R238" s="76"/>
      <c r="S238" s="403"/>
      <c r="T238" s="198"/>
      <c r="U238" s="403"/>
      <c r="V238" s="19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03"/>
      <c r="B239" s="198"/>
      <c r="C239" s="403"/>
      <c r="D239" s="198"/>
      <c r="E239" s="403"/>
      <c r="F239" s="198"/>
      <c r="G239" s="403"/>
      <c r="H239" s="198"/>
      <c r="I239" s="403"/>
      <c r="J239" s="198"/>
      <c r="K239" s="403"/>
      <c r="L239" s="198"/>
      <c r="M239" s="403"/>
      <c r="N239" s="198"/>
      <c r="O239" s="403"/>
      <c r="P239" s="198"/>
      <c r="Q239" s="429"/>
      <c r="R239" s="76"/>
      <c r="S239" s="403"/>
      <c r="T239" s="198"/>
      <c r="U239" s="403"/>
      <c r="V239" s="19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03"/>
      <c r="B240" s="198"/>
      <c r="C240" s="403"/>
      <c r="D240" s="198"/>
      <c r="E240" s="403"/>
      <c r="F240" s="198"/>
      <c r="G240" s="403"/>
      <c r="H240" s="198"/>
      <c r="I240" s="403"/>
      <c r="J240" s="198"/>
      <c r="K240" s="403"/>
      <c r="L240" s="198"/>
      <c r="M240" s="403"/>
      <c r="N240" s="198"/>
      <c r="O240" s="403"/>
      <c r="P240" s="198"/>
      <c r="Q240" s="429"/>
      <c r="R240" s="76"/>
      <c r="S240" s="403"/>
      <c r="T240" s="198"/>
      <c r="U240" s="403"/>
      <c r="V240" s="19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03"/>
      <c r="B241" s="198"/>
      <c r="C241" s="403"/>
      <c r="D241" s="198"/>
      <c r="E241" s="403"/>
      <c r="F241" s="198"/>
      <c r="G241" s="403"/>
      <c r="H241" s="198"/>
      <c r="I241" s="403"/>
      <c r="J241" s="198"/>
      <c r="K241" s="403"/>
      <c r="L241" s="198"/>
      <c r="M241" s="403"/>
      <c r="N241" s="198"/>
      <c r="O241" s="403"/>
      <c r="P241" s="198"/>
      <c r="Q241" s="429"/>
      <c r="R241" s="76"/>
      <c r="S241" s="403"/>
      <c r="T241" s="198"/>
      <c r="U241" s="403"/>
      <c r="V241" s="19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03"/>
      <c r="B242" s="198"/>
      <c r="C242" s="403"/>
      <c r="D242" s="198"/>
      <c r="E242" s="403"/>
      <c r="F242" s="198"/>
      <c r="G242" s="403"/>
      <c r="H242" s="198"/>
      <c r="I242" s="403"/>
      <c r="J242" s="198"/>
      <c r="K242" s="403"/>
      <c r="L242" s="198"/>
      <c r="M242" s="403"/>
      <c r="N242" s="198"/>
      <c r="O242" s="403"/>
      <c r="P242" s="198"/>
      <c r="Q242" s="429"/>
      <c r="R242" s="76"/>
      <c r="S242" s="403"/>
      <c r="T242" s="198"/>
      <c r="U242" s="403"/>
      <c r="V242" s="19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03"/>
      <c r="B243" s="198"/>
      <c r="C243" s="403"/>
      <c r="D243" s="198"/>
      <c r="E243" s="403"/>
      <c r="F243" s="198"/>
      <c r="G243" s="403"/>
      <c r="H243" s="198"/>
      <c r="I243" s="403"/>
      <c r="J243" s="198"/>
      <c r="K243" s="403"/>
      <c r="L243" s="198"/>
      <c r="M243" s="403"/>
      <c r="N243" s="198"/>
      <c r="O243" s="403"/>
      <c r="P243" s="198"/>
      <c r="Q243" s="429"/>
      <c r="R243" s="76"/>
      <c r="S243" s="403"/>
      <c r="T243" s="198"/>
      <c r="U243" s="403"/>
      <c r="V243" s="19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03"/>
      <c r="B244" s="198"/>
      <c r="C244" s="403"/>
      <c r="D244" s="198"/>
      <c r="E244" s="403"/>
      <c r="F244" s="198"/>
      <c r="G244" s="403"/>
      <c r="H244" s="198"/>
      <c r="I244" s="403"/>
      <c r="J244" s="198"/>
      <c r="K244" s="403"/>
      <c r="L244" s="198"/>
      <c r="M244" s="403"/>
      <c r="N244" s="198"/>
      <c r="O244" s="403"/>
      <c r="P244" s="198"/>
      <c r="Q244" s="429"/>
      <c r="R244" s="76"/>
      <c r="S244" s="403"/>
      <c r="T244" s="198"/>
      <c r="U244" s="403"/>
      <c r="V244" s="19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03"/>
      <c r="B245" s="198"/>
      <c r="C245" s="403"/>
      <c r="D245" s="198"/>
      <c r="E245" s="403"/>
      <c r="F245" s="198"/>
      <c r="G245" s="403"/>
      <c r="H245" s="198"/>
      <c r="I245" s="403"/>
      <c r="J245" s="198"/>
      <c r="K245" s="403"/>
      <c r="L245" s="198"/>
      <c r="M245" s="403"/>
      <c r="N245" s="198"/>
      <c r="O245" s="403"/>
      <c r="P245" s="198"/>
      <c r="Q245" s="429"/>
      <c r="R245" s="76"/>
      <c r="S245" s="403"/>
      <c r="T245" s="198"/>
      <c r="U245" s="403"/>
      <c r="V245" s="19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03"/>
      <c r="B246" s="198"/>
      <c r="C246" s="403"/>
      <c r="D246" s="198"/>
      <c r="E246" s="403"/>
      <c r="F246" s="198"/>
      <c r="G246" s="403"/>
      <c r="H246" s="198"/>
      <c r="I246" s="403"/>
      <c r="J246" s="198"/>
      <c r="K246" s="403"/>
      <c r="L246" s="198"/>
      <c r="M246" s="403"/>
      <c r="N246" s="198"/>
      <c r="O246" s="403"/>
      <c r="P246" s="198"/>
      <c r="Q246" s="429"/>
      <c r="R246" s="76"/>
      <c r="S246" s="403"/>
      <c r="T246" s="198"/>
      <c r="U246" s="403"/>
      <c r="V246" s="19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03"/>
      <c r="B247" s="198"/>
      <c r="C247" s="403"/>
      <c r="D247" s="198"/>
      <c r="E247" s="403"/>
      <c r="F247" s="198"/>
      <c r="G247" s="403"/>
      <c r="H247" s="198"/>
      <c r="I247" s="403"/>
      <c r="J247" s="198"/>
      <c r="K247" s="403"/>
      <c r="L247" s="198"/>
      <c r="M247" s="403"/>
      <c r="N247" s="198"/>
      <c r="O247" s="403"/>
      <c r="P247" s="198"/>
      <c r="Q247" s="429"/>
      <c r="R247" s="76"/>
      <c r="S247" s="403"/>
      <c r="T247" s="198"/>
      <c r="U247" s="403"/>
      <c r="V247" s="19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03"/>
      <c r="B248" s="198"/>
      <c r="C248" s="403"/>
      <c r="D248" s="198"/>
      <c r="E248" s="403"/>
      <c r="F248" s="198"/>
      <c r="G248" s="403"/>
      <c r="H248" s="198"/>
      <c r="I248" s="403"/>
      <c r="J248" s="198"/>
      <c r="K248" s="403"/>
      <c r="L248" s="198"/>
      <c r="M248" s="403"/>
      <c r="N248" s="198"/>
      <c r="O248" s="403"/>
      <c r="P248" s="198"/>
      <c r="Q248" s="429"/>
      <c r="R248" s="76"/>
      <c r="S248" s="403"/>
      <c r="T248" s="198"/>
      <c r="U248" s="403"/>
      <c r="V248" s="19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03"/>
      <c r="B249" s="198"/>
      <c r="C249" s="403"/>
      <c r="D249" s="198"/>
      <c r="E249" s="403"/>
      <c r="F249" s="198"/>
      <c r="G249" s="403"/>
      <c r="H249" s="198"/>
      <c r="I249" s="403"/>
      <c r="J249" s="198"/>
      <c r="K249" s="403"/>
      <c r="L249" s="198"/>
      <c r="M249" s="403"/>
      <c r="N249" s="198"/>
      <c r="O249" s="403"/>
      <c r="P249" s="198"/>
      <c r="Q249" s="429"/>
      <c r="R249" s="76"/>
      <c r="S249" s="403"/>
      <c r="T249" s="198"/>
      <c r="U249" s="403"/>
      <c r="V249" s="19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03"/>
      <c r="B250" s="198"/>
      <c r="C250" s="403"/>
      <c r="D250" s="198"/>
      <c r="E250" s="403"/>
      <c r="F250" s="198"/>
      <c r="G250" s="403"/>
      <c r="H250" s="198"/>
      <c r="I250" s="403"/>
      <c r="J250" s="198"/>
      <c r="K250" s="403"/>
      <c r="L250" s="198"/>
      <c r="M250" s="403"/>
      <c r="N250" s="198"/>
      <c r="O250" s="403"/>
      <c r="P250" s="198"/>
      <c r="Q250" s="429"/>
      <c r="R250" s="76"/>
      <c r="S250" s="403"/>
      <c r="T250" s="198"/>
      <c r="U250" s="403"/>
      <c r="V250" s="19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03"/>
      <c r="B251" s="198"/>
      <c r="C251" s="403"/>
      <c r="D251" s="198"/>
      <c r="E251" s="403"/>
      <c r="F251" s="198"/>
      <c r="G251" s="403"/>
      <c r="H251" s="198"/>
      <c r="I251" s="403"/>
      <c r="J251" s="198"/>
      <c r="K251" s="403"/>
      <c r="L251" s="198"/>
      <c r="M251" s="403"/>
      <c r="N251" s="198"/>
      <c r="O251" s="403"/>
      <c r="P251" s="198"/>
      <c r="Q251" s="429"/>
      <c r="R251" s="76"/>
      <c r="S251" s="403"/>
      <c r="T251" s="198"/>
      <c r="U251" s="403"/>
      <c r="V251" s="19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03"/>
      <c r="B252" s="198"/>
      <c r="C252" s="403"/>
      <c r="D252" s="198"/>
      <c r="E252" s="403"/>
      <c r="F252" s="198"/>
      <c r="G252" s="403"/>
      <c r="H252" s="198"/>
      <c r="I252" s="403"/>
      <c r="J252" s="198"/>
      <c r="K252" s="403"/>
      <c r="L252" s="198"/>
      <c r="M252" s="403"/>
      <c r="N252" s="198"/>
      <c r="O252" s="403"/>
      <c r="P252" s="198"/>
      <c r="Q252" s="429"/>
      <c r="R252" s="76"/>
      <c r="S252" s="403"/>
      <c r="T252" s="198"/>
      <c r="U252" s="403"/>
      <c r="V252" s="19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03"/>
      <c r="B253" s="198"/>
      <c r="C253" s="403"/>
      <c r="D253" s="198"/>
      <c r="E253" s="403"/>
      <c r="F253" s="198"/>
      <c r="G253" s="403"/>
      <c r="H253" s="198"/>
      <c r="I253" s="403"/>
      <c r="J253" s="198"/>
      <c r="K253" s="403"/>
      <c r="L253" s="198"/>
      <c r="M253" s="403"/>
      <c r="N253" s="198"/>
      <c r="O253" s="403"/>
      <c r="P253" s="198"/>
      <c r="Q253" s="429"/>
      <c r="R253" s="76"/>
      <c r="S253" s="403"/>
      <c r="T253" s="198"/>
      <c r="U253" s="403"/>
      <c r="V253" s="19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03"/>
      <c r="B254" s="198"/>
      <c r="C254" s="403"/>
      <c r="D254" s="198"/>
      <c r="E254" s="403"/>
      <c r="F254" s="198"/>
      <c r="G254" s="403"/>
      <c r="H254" s="198"/>
      <c r="I254" s="403"/>
      <c r="J254" s="198"/>
      <c r="K254" s="403"/>
      <c r="L254" s="198"/>
      <c r="M254" s="403"/>
      <c r="N254" s="198"/>
      <c r="O254" s="403"/>
      <c r="P254" s="198"/>
      <c r="Q254" s="429"/>
      <c r="R254" s="76"/>
      <c r="S254" s="403"/>
      <c r="T254" s="198"/>
      <c r="U254" s="403"/>
      <c r="V254" s="19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03"/>
      <c r="B255" s="198"/>
      <c r="C255" s="403"/>
      <c r="D255" s="198"/>
      <c r="E255" s="403"/>
      <c r="F255" s="198"/>
      <c r="G255" s="403"/>
      <c r="H255" s="198"/>
      <c r="I255" s="403"/>
      <c r="J255" s="198"/>
      <c r="K255" s="403"/>
      <c r="L255" s="198"/>
      <c r="M255" s="403"/>
      <c r="N255" s="198"/>
      <c r="O255" s="403"/>
      <c r="P255" s="198"/>
      <c r="Q255" s="429"/>
      <c r="R255" s="76"/>
      <c r="S255" s="403"/>
      <c r="T255" s="198"/>
      <c r="U255" s="403"/>
      <c r="V255" s="19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03"/>
      <c r="B256" s="198"/>
      <c r="C256" s="403"/>
      <c r="D256" s="198"/>
      <c r="E256" s="403"/>
      <c r="F256" s="198"/>
      <c r="G256" s="403"/>
      <c r="H256" s="198"/>
      <c r="I256" s="403"/>
      <c r="J256" s="198"/>
      <c r="K256" s="403"/>
      <c r="L256" s="198"/>
      <c r="M256" s="403"/>
      <c r="N256" s="198"/>
      <c r="O256" s="403"/>
      <c r="P256" s="198"/>
      <c r="Q256" s="429"/>
      <c r="R256" s="76"/>
      <c r="S256" s="403"/>
      <c r="T256" s="198"/>
      <c r="U256" s="403"/>
      <c r="V256" s="19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03"/>
      <c r="B257" s="198"/>
      <c r="C257" s="403"/>
      <c r="D257" s="198"/>
      <c r="E257" s="403"/>
      <c r="F257" s="198"/>
      <c r="G257" s="403"/>
      <c r="H257" s="198"/>
      <c r="I257" s="403"/>
      <c r="J257" s="198"/>
      <c r="K257" s="403"/>
      <c r="L257" s="198"/>
      <c r="M257" s="403"/>
      <c r="N257" s="198"/>
      <c r="O257" s="403"/>
      <c r="P257" s="198"/>
      <c r="Q257" s="429"/>
      <c r="R257" s="76"/>
      <c r="S257" s="403"/>
      <c r="T257" s="198"/>
      <c r="U257" s="403"/>
      <c r="V257" s="19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03"/>
      <c r="B258" s="198"/>
      <c r="C258" s="403"/>
      <c r="D258" s="198"/>
      <c r="E258" s="403"/>
      <c r="F258" s="198"/>
      <c r="G258" s="403"/>
      <c r="H258" s="198"/>
      <c r="I258" s="403"/>
      <c r="J258" s="198"/>
      <c r="K258" s="403"/>
      <c r="L258" s="198"/>
      <c r="M258" s="403"/>
      <c r="N258" s="198"/>
      <c r="O258" s="403"/>
      <c r="P258" s="198"/>
      <c r="Q258" s="429"/>
      <c r="R258" s="76"/>
      <c r="S258" s="403"/>
      <c r="T258" s="198"/>
      <c r="U258" s="403"/>
      <c r="V258" s="19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03"/>
      <c r="B259" s="198"/>
      <c r="C259" s="403"/>
      <c r="D259" s="198"/>
      <c r="E259" s="403"/>
      <c r="F259" s="198"/>
      <c r="G259" s="403"/>
      <c r="H259" s="198"/>
      <c r="I259" s="403"/>
      <c r="J259" s="198"/>
      <c r="K259" s="403"/>
      <c r="L259" s="198"/>
      <c r="M259" s="403"/>
      <c r="N259" s="198"/>
      <c r="O259" s="403"/>
      <c r="P259" s="198"/>
      <c r="Q259" s="429"/>
      <c r="R259" s="76"/>
      <c r="S259" s="403"/>
      <c r="T259" s="198"/>
      <c r="U259" s="403"/>
      <c r="V259" s="19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03"/>
      <c r="B260" s="198"/>
      <c r="C260" s="403"/>
      <c r="D260" s="198"/>
      <c r="E260" s="403"/>
      <c r="F260" s="198"/>
      <c r="G260" s="403"/>
      <c r="H260" s="198"/>
      <c r="I260" s="403"/>
      <c r="J260" s="198"/>
      <c r="K260" s="403"/>
      <c r="L260" s="198"/>
      <c r="M260" s="403"/>
      <c r="N260" s="198"/>
      <c r="O260" s="403"/>
      <c r="P260" s="198"/>
      <c r="Q260" s="429"/>
      <c r="R260" s="76"/>
      <c r="S260" s="403"/>
      <c r="T260" s="198"/>
      <c r="U260" s="403"/>
      <c r="V260" s="19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03"/>
      <c r="B261" s="198"/>
      <c r="C261" s="403"/>
      <c r="D261" s="198"/>
      <c r="E261" s="403"/>
      <c r="F261" s="198"/>
      <c r="G261" s="403"/>
      <c r="H261" s="198"/>
      <c r="I261" s="403"/>
      <c r="J261" s="198"/>
      <c r="K261" s="403"/>
      <c r="L261" s="198"/>
      <c r="M261" s="403"/>
      <c r="N261" s="198"/>
      <c r="O261" s="403"/>
      <c r="P261" s="198"/>
      <c r="Q261" s="429"/>
      <c r="R261" s="76"/>
      <c r="S261" s="403"/>
      <c r="T261" s="198"/>
      <c r="U261" s="403"/>
      <c r="V261" s="19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03"/>
      <c r="B262" s="198"/>
      <c r="C262" s="403"/>
      <c r="D262" s="198"/>
      <c r="E262" s="403"/>
      <c r="F262" s="198"/>
      <c r="G262" s="403"/>
      <c r="H262" s="198"/>
      <c r="I262" s="403"/>
      <c r="J262" s="198"/>
      <c r="K262" s="403"/>
      <c r="L262" s="198"/>
      <c r="M262" s="403"/>
      <c r="N262" s="198"/>
      <c r="O262" s="403"/>
      <c r="P262" s="198"/>
      <c r="Q262" s="429"/>
      <c r="R262" s="76"/>
      <c r="S262" s="403"/>
      <c r="T262" s="198"/>
      <c r="U262" s="403"/>
      <c r="V262" s="19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03"/>
      <c r="B263" s="198"/>
      <c r="C263" s="403"/>
      <c r="D263" s="198"/>
      <c r="E263" s="403"/>
      <c r="F263" s="198"/>
      <c r="G263" s="403"/>
      <c r="H263" s="198"/>
      <c r="I263" s="403"/>
      <c r="J263" s="198"/>
      <c r="K263" s="403"/>
      <c r="L263" s="198"/>
      <c r="M263" s="403"/>
      <c r="N263" s="198"/>
      <c r="O263" s="403"/>
      <c r="P263" s="198"/>
      <c r="Q263" s="429"/>
      <c r="R263" s="76"/>
      <c r="S263" s="403"/>
      <c r="T263" s="198"/>
      <c r="U263" s="403"/>
      <c r="V263" s="19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03"/>
      <c r="B264" s="198"/>
      <c r="C264" s="403"/>
      <c r="D264" s="198"/>
      <c r="E264" s="403"/>
      <c r="F264" s="198"/>
      <c r="G264" s="403"/>
      <c r="H264" s="198"/>
      <c r="I264" s="403"/>
      <c r="J264" s="198"/>
      <c r="K264" s="403"/>
      <c r="L264" s="198"/>
      <c r="M264" s="403"/>
      <c r="N264" s="198"/>
      <c r="O264" s="403"/>
      <c r="P264" s="198"/>
      <c r="Q264" s="429"/>
      <c r="R264" s="76"/>
      <c r="S264" s="403"/>
      <c r="T264" s="198"/>
      <c r="U264" s="403"/>
      <c r="V264" s="19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03"/>
      <c r="B265" s="198"/>
      <c r="C265" s="403"/>
      <c r="D265" s="198"/>
      <c r="E265" s="403"/>
      <c r="F265" s="198"/>
      <c r="G265" s="403"/>
      <c r="H265" s="198"/>
      <c r="I265" s="403"/>
      <c r="J265" s="198"/>
      <c r="K265" s="403"/>
      <c r="L265" s="198"/>
      <c r="M265" s="403"/>
      <c r="N265" s="198"/>
      <c r="O265" s="403"/>
      <c r="P265" s="198"/>
      <c r="Q265" s="429"/>
      <c r="R265" s="76"/>
      <c r="S265" s="403"/>
      <c r="T265" s="198"/>
      <c r="U265" s="403"/>
      <c r="V265" s="19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03"/>
      <c r="B266" s="198"/>
      <c r="C266" s="403"/>
      <c r="D266" s="198"/>
      <c r="E266" s="403"/>
      <c r="F266" s="198"/>
      <c r="G266" s="403"/>
      <c r="H266" s="198"/>
      <c r="I266" s="403"/>
      <c r="J266" s="198"/>
      <c r="K266" s="403"/>
      <c r="L266" s="198"/>
      <c r="M266" s="403"/>
      <c r="N266" s="198"/>
      <c r="O266" s="403"/>
      <c r="P266" s="198"/>
      <c r="Q266" s="429"/>
      <c r="R266" s="76"/>
      <c r="S266" s="403"/>
      <c r="T266" s="198"/>
      <c r="U266" s="403"/>
      <c r="V266" s="19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03"/>
      <c r="B267" s="198"/>
      <c r="C267" s="403"/>
      <c r="D267" s="198"/>
      <c r="E267" s="403"/>
      <c r="F267" s="198"/>
      <c r="G267" s="403"/>
      <c r="H267" s="198"/>
      <c r="I267" s="403"/>
      <c r="J267" s="198"/>
      <c r="K267" s="403"/>
      <c r="L267" s="198"/>
      <c r="M267" s="403"/>
      <c r="N267" s="198"/>
      <c r="O267" s="403"/>
      <c r="P267" s="198"/>
      <c r="Q267" s="429"/>
      <c r="R267" s="76"/>
      <c r="S267" s="403"/>
      <c r="T267" s="198"/>
      <c r="U267" s="403"/>
      <c r="V267" s="19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03"/>
      <c r="B268" s="198"/>
      <c r="C268" s="403"/>
      <c r="D268" s="198"/>
      <c r="E268" s="403"/>
      <c r="F268" s="198"/>
      <c r="G268" s="403"/>
      <c r="H268" s="198"/>
      <c r="I268" s="403"/>
      <c r="J268" s="198"/>
      <c r="K268" s="403"/>
      <c r="L268" s="198"/>
      <c r="M268" s="403"/>
      <c r="N268" s="198"/>
      <c r="O268" s="403"/>
      <c r="P268" s="198"/>
      <c r="Q268" s="429"/>
      <c r="R268" s="76"/>
      <c r="S268" s="403"/>
      <c r="T268" s="198"/>
      <c r="U268" s="403"/>
      <c r="V268" s="19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03"/>
      <c r="B269" s="198"/>
      <c r="C269" s="403"/>
      <c r="D269" s="198"/>
      <c r="E269" s="403"/>
      <c r="F269" s="198"/>
      <c r="G269" s="403"/>
      <c r="H269" s="198"/>
      <c r="I269" s="403"/>
      <c r="J269" s="198"/>
      <c r="K269" s="403"/>
      <c r="L269" s="198"/>
      <c r="M269" s="403"/>
      <c r="N269" s="198"/>
      <c r="O269" s="403"/>
      <c r="P269" s="198"/>
      <c r="Q269" s="429"/>
      <c r="R269" s="76"/>
      <c r="S269" s="403"/>
      <c r="T269" s="198"/>
      <c r="U269" s="403"/>
      <c r="V269" s="19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03"/>
      <c r="B270" s="198"/>
      <c r="C270" s="403"/>
      <c r="D270" s="198"/>
      <c r="E270" s="403"/>
      <c r="F270" s="198"/>
      <c r="G270" s="403"/>
      <c r="H270" s="198"/>
      <c r="I270" s="403"/>
      <c r="J270" s="198"/>
      <c r="K270" s="403"/>
      <c r="L270" s="198"/>
      <c r="M270" s="403"/>
      <c r="N270" s="198"/>
      <c r="O270" s="403"/>
      <c r="P270" s="198"/>
      <c r="Q270" s="429"/>
      <c r="R270" s="76"/>
      <c r="S270" s="403"/>
      <c r="T270" s="198"/>
      <c r="U270" s="403"/>
      <c r="V270" s="19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03"/>
      <c r="B271" s="198"/>
      <c r="C271" s="403"/>
      <c r="D271" s="198"/>
      <c r="E271" s="403"/>
      <c r="F271" s="198"/>
      <c r="G271" s="403"/>
      <c r="H271" s="198"/>
      <c r="I271" s="403"/>
      <c r="J271" s="198"/>
      <c r="K271" s="403"/>
      <c r="L271" s="198"/>
      <c r="M271" s="403"/>
      <c r="N271" s="198"/>
      <c r="O271" s="403"/>
      <c r="P271" s="198"/>
      <c r="Q271" s="429"/>
      <c r="R271" s="76"/>
      <c r="S271" s="403"/>
      <c r="T271" s="198"/>
      <c r="U271" s="403"/>
      <c r="V271" s="19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03"/>
      <c r="B272" s="198"/>
      <c r="C272" s="403"/>
      <c r="D272" s="198"/>
      <c r="E272" s="403"/>
      <c r="F272" s="198"/>
      <c r="G272" s="403"/>
      <c r="H272" s="198"/>
      <c r="I272" s="403"/>
      <c r="J272" s="198"/>
      <c r="K272" s="403"/>
      <c r="L272" s="198"/>
      <c r="M272" s="403"/>
      <c r="N272" s="198"/>
      <c r="O272" s="403"/>
      <c r="P272" s="198"/>
      <c r="Q272" s="429"/>
      <c r="R272" s="76"/>
      <c r="S272" s="403"/>
      <c r="T272" s="198"/>
      <c r="U272" s="403"/>
      <c r="V272" s="19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03"/>
      <c r="B273" s="198"/>
      <c r="C273" s="403"/>
      <c r="D273" s="198"/>
      <c r="E273" s="403"/>
      <c r="F273" s="198"/>
      <c r="G273" s="403"/>
      <c r="H273" s="198"/>
      <c r="I273" s="403"/>
      <c r="J273" s="198"/>
      <c r="K273" s="403"/>
      <c r="L273" s="198"/>
      <c r="M273" s="403"/>
      <c r="N273" s="198"/>
      <c r="O273" s="403"/>
      <c r="P273" s="198"/>
      <c r="Q273" s="429"/>
      <c r="R273" s="76"/>
      <c r="S273" s="403"/>
      <c r="T273" s="198"/>
      <c r="U273" s="403"/>
      <c r="V273" s="19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03"/>
      <c r="B274" s="198"/>
      <c r="C274" s="403"/>
      <c r="D274" s="198"/>
      <c r="E274" s="403"/>
      <c r="F274" s="198"/>
      <c r="G274" s="403"/>
      <c r="H274" s="198"/>
      <c r="I274" s="403"/>
      <c r="J274" s="198"/>
      <c r="K274" s="403"/>
      <c r="L274" s="198"/>
      <c r="M274" s="403"/>
      <c r="N274" s="198"/>
      <c r="O274" s="403"/>
      <c r="P274" s="198"/>
      <c r="Q274" s="429"/>
      <c r="R274" s="76"/>
      <c r="S274" s="403"/>
      <c r="T274" s="198"/>
      <c r="U274" s="403"/>
      <c r="V274" s="19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03"/>
      <c r="B275" s="198"/>
      <c r="C275" s="403"/>
      <c r="D275" s="198"/>
      <c r="E275" s="403"/>
      <c r="F275" s="198"/>
      <c r="G275" s="403"/>
      <c r="H275" s="198"/>
      <c r="I275" s="403"/>
      <c r="J275" s="198"/>
      <c r="K275" s="403"/>
      <c r="L275" s="198"/>
      <c r="M275" s="403"/>
      <c r="N275" s="198"/>
      <c r="O275" s="403"/>
      <c r="P275" s="198"/>
      <c r="Q275" s="429"/>
      <c r="R275" s="76"/>
      <c r="S275" s="403"/>
      <c r="T275" s="198"/>
      <c r="U275" s="403"/>
      <c r="V275" s="19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03"/>
      <c r="B276" s="198"/>
      <c r="C276" s="403"/>
      <c r="D276" s="198"/>
      <c r="E276" s="403"/>
      <c r="F276" s="198"/>
      <c r="G276" s="403"/>
      <c r="H276" s="198"/>
      <c r="I276" s="403"/>
      <c r="J276" s="198"/>
      <c r="K276" s="403"/>
      <c r="L276" s="198"/>
      <c r="M276" s="403"/>
      <c r="N276" s="198"/>
      <c r="O276" s="403"/>
      <c r="P276" s="198"/>
      <c r="Q276" s="429"/>
      <c r="R276" s="76"/>
      <c r="S276" s="403"/>
      <c r="T276" s="198"/>
      <c r="U276" s="403"/>
      <c r="V276" s="19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03"/>
      <c r="B277" s="198"/>
      <c r="C277" s="403"/>
      <c r="D277" s="198"/>
      <c r="E277" s="403"/>
      <c r="F277" s="198"/>
      <c r="G277" s="403"/>
      <c r="H277" s="198"/>
      <c r="I277" s="403"/>
      <c r="J277" s="198"/>
      <c r="K277" s="403"/>
      <c r="L277" s="198"/>
      <c r="M277" s="403"/>
      <c r="N277" s="198"/>
      <c r="O277" s="403"/>
      <c r="P277" s="198"/>
      <c r="Q277" s="429"/>
      <c r="R277" s="76"/>
      <c r="S277" s="403"/>
      <c r="T277" s="198"/>
      <c r="U277" s="403"/>
      <c r="V277" s="19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03"/>
      <c r="B278" s="198"/>
      <c r="C278" s="403"/>
      <c r="D278" s="198"/>
      <c r="E278" s="403"/>
      <c r="F278" s="198"/>
      <c r="G278" s="403"/>
      <c r="H278" s="198"/>
      <c r="I278" s="403"/>
      <c r="J278" s="198"/>
      <c r="K278" s="403"/>
      <c r="L278" s="198"/>
      <c r="M278" s="403"/>
      <c r="N278" s="198"/>
      <c r="O278" s="403"/>
      <c r="P278" s="198"/>
      <c r="Q278" s="429"/>
      <c r="R278" s="76"/>
      <c r="S278" s="403"/>
      <c r="T278" s="198"/>
      <c r="U278" s="403"/>
      <c r="V278" s="19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03"/>
      <c r="B279" s="198"/>
      <c r="C279" s="403"/>
      <c r="D279" s="198"/>
      <c r="E279" s="403"/>
      <c r="F279" s="198"/>
      <c r="G279" s="403"/>
      <c r="H279" s="198"/>
      <c r="I279" s="403"/>
      <c r="J279" s="198"/>
      <c r="K279" s="403"/>
      <c r="L279" s="198"/>
      <c r="M279" s="403"/>
      <c r="N279" s="198"/>
      <c r="O279" s="403"/>
      <c r="P279" s="198"/>
      <c r="Q279" s="429"/>
      <c r="R279" s="76"/>
      <c r="S279" s="403"/>
      <c r="T279" s="198"/>
      <c r="U279" s="403"/>
      <c r="V279" s="19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03"/>
      <c r="B280" s="198"/>
      <c r="C280" s="403"/>
      <c r="D280" s="198"/>
      <c r="E280" s="403"/>
      <c r="F280" s="198"/>
      <c r="G280" s="403"/>
      <c r="H280" s="198"/>
      <c r="I280" s="403"/>
      <c r="J280" s="198"/>
      <c r="K280" s="403"/>
      <c r="L280" s="198"/>
      <c r="M280" s="403"/>
      <c r="N280" s="198"/>
      <c r="O280" s="403"/>
      <c r="P280" s="198"/>
      <c r="Q280" s="429"/>
      <c r="R280" s="76"/>
      <c r="S280" s="403"/>
      <c r="T280" s="198"/>
      <c r="U280" s="403"/>
      <c r="V280" s="19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03"/>
      <c r="B281" s="198"/>
      <c r="C281" s="403"/>
      <c r="D281" s="198"/>
      <c r="E281" s="403"/>
      <c r="F281" s="198"/>
      <c r="G281" s="403"/>
      <c r="H281" s="198"/>
      <c r="I281" s="403"/>
      <c r="J281" s="198"/>
      <c r="K281" s="403"/>
      <c r="L281" s="198"/>
      <c r="M281" s="403"/>
      <c r="N281" s="198"/>
      <c r="O281" s="403"/>
      <c r="P281" s="198"/>
      <c r="Q281" s="429"/>
      <c r="R281" s="76"/>
      <c r="S281" s="403"/>
      <c r="T281" s="198"/>
      <c r="U281" s="403"/>
      <c r="V281" s="19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03"/>
      <c r="B282" s="198"/>
      <c r="C282" s="403"/>
      <c r="D282" s="198"/>
      <c r="E282" s="403"/>
      <c r="F282" s="198"/>
      <c r="G282" s="403"/>
      <c r="H282" s="198"/>
      <c r="I282" s="403"/>
      <c r="J282" s="198"/>
      <c r="K282" s="403"/>
      <c r="L282" s="198"/>
      <c r="M282" s="403"/>
      <c r="N282" s="198"/>
      <c r="O282" s="403"/>
      <c r="P282" s="198"/>
      <c r="Q282" s="429"/>
      <c r="R282" s="76"/>
      <c r="S282" s="403"/>
      <c r="T282" s="198"/>
      <c r="U282" s="403"/>
      <c r="V282" s="19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03"/>
      <c r="B283" s="198"/>
      <c r="C283" s="403"/>
      <c r="D283" s="198"/>
      <c r="E283" s="403"/>
      <c r="F283" s="198"/>
      <c r="G283" s="403"/>
      <c r="H283" s="198"/>
      <c r="I283" s="403"/>
      <c r="J283" s="198"/>
      <c r="K283" s="403"/>
      <c r="L283" s="198"/>
      <c r="M283" s="403"/>
      <c r="N283" s="198"/>
      <c r="O283" s="403"/>
      <c r="P283" s="198"/>
      <c r="Q283" s="429"/>
      <c r="R283" s="76"/>
      <c r="S283" s="403"/>
      <c r="T283" s="198"/>
      <c r="U283" s="403"/>
      <c r="V283" s="19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03"/>
      <c r="B284" s="198"/>
      <c r="C284" s="403"/>
      <c r="D284" s="198"/>
      <c r="E284" s="403"/>
      <c r="F284" s="198"/>
      <c r="G284" s="403"/>
      <c r="H284" s="198"/>
      <c r="I284" s="403"/>
      <c r="J284" s="198"/>
      <c r="K284" s="403"/>
      <c r="L284" s="198"/>
      <c r="M284" s="403"/>
      <c r="N284" s="198"/>
      <c r="O284" s="403"/>
      <c r="P284" s="198"/>
      <c r="Q284" s="429"/>
      <c r="R284" s="76"/>
      <c r="S284" s="403"/>
      <c r="T284" s="198"/>
      <c r="U284" s="403"/>
      <c r="V284" s="19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03"/>
      <c r="B285" s="198"/>
      <c r="C285" s="403"/>
      <c r="D285" s="198"/>
      <c r="E285" s="403"/>
      <c r="F285" s="198"/>
      <c r="G285" s="403"/>
      <c r="H285" s="198"/>
      <c r="I285" s="403"/>
      <c r="J285" s="198"/>
      <c r="K285" s="403"/>
      <c r="L285" s="198"/>
      <c r="M285" s="403"/>
      <c r="N285" s="198"/>
      <c r="O285" s="403"/>
      <c r="P285" s="198"/>
      <c r="Q285" s="429"/>
      <c r="R285" s="76"/>
      <c r="S285" s="403"/>
      <c r="T285" s="198"/>
      <c r="U285" s="403"/>
      <c r="V285" s="19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03"/>
      <c r="B286" s="198"/>
      <c r="C286" s="403"/>
      <c r="D286" s="198"/>
      <c r="E286" s="403"/>
      <c r="F286" s="198"/>
      <c r="G286" s="403"/>
      <c r="H286" s="198"/>
      <c r="I286" s="403"/>
      <c r="J286" s="198"/>
      <c r="K286" s="403"/>
      <c r="L286" s="198"/>
      <c r="M286" s="403"/>
      <c r="N286" s="198"/>
      <c r="O286" s="403"/>
      <c r="P286" s="198"/>
      <c r="Q286" s="429"/>
      <c r="R286" s="76"/>
      <c r="S286" s="403"/>
      <c r="T286" s="198"/>
      <c r="U286" s="403"/>
      <c r="V286" s="19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03"/>
      <c r="B287" s="198"/>
      <c r="C287" s="403"/>
      <c r="D287" s="198"/>
      <c r="E287" s="403"/>
      <c r="F287" s="198"/>
      <c r="G287" s="403"/>
      <c r="H287" s="198"/>
      <c r="I287" s="403"/>
      <c r="J287" s="198"/>
      <c r="K287" s="403"/>
      <c r="L287" s="198"/>
      <c r="M287" s="403"/>
      <c r="N287" s="198"/>
      <c r="O287" s="403"/>
      <c r="P287" s="198"/>
      <c r="Q287" s="429"/>
      <c r="R287" s="76"/>
      <c r="S287" s="403"/>
      <c r="T287" s="198"/>
      <c r="U287" s="403"/>
      <c r="V287" s="19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03"/>
      <c r="B288" s="198"/>
      <c r="C288" s="403"/>
      <c r="D288" s="198"/>
      <c r="E288" s="403"/>
      <c r="F288" s="198"/>
      <c r="G288" s="403"/>
      <c r="H288" s="198"/>
      <c r="I288" s="403"/>
      <c r="J288" s="198"/>
      <c r="K288" s="403"/>
      <c r="L288" s="198"/>
      <c r="M288" s="403"/>
      <c r="N288" s="198"/>
      <c r="O288" s="403"/>
      <c r="P288" s="198"/>
      <c r="Q288" s="429"/>
      <c r="R288" s="76"/>
      <c r="S288" s="403"/>
      <c r="T288" s="198"/>
      <c r="U288" s="403"/>
      <c r="V288" s="19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03"/>
      <c r="B289" s="198"/>
      <c r="C289" s="403"/>
      <c r="D289" s="198"/>
      <c r="E289" s="403"/>
      <c r="F289" s="198"/>
      <c r="G289" s="403"/>
      <c r="H289" s="198"/>
      <c r="I289" s="403"/>
      <c r="J289" s="198"/>
      <c r="K289" s="403"/>
      <c r="L289" s="198"/>
      <c r="M289" s="403"/>
      <c r="N289" s="198"/>
      <c r="O289" s="403"/>
      <c r="P289" s="198"/>
      <c r="Q289" s="429"/>
      <c r="R289" s="76"/>
      <c r="S289" s="403"/>
      <c r="T289" s="198"/>
      <c r="U289" s="403"/>
      <c r="V289" s="19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03"/>
      <c r="B290" s="198"/>
      <c r="C290" s="403"/>
      <c r="D290" s="198"/>
      <c r="E290" s="403"/>
      <c r="F290" s="198"/>
      <c r="G290" s="403"/>
      <c r="H290" s="198"/>
      <c r="I290" s="403"/>
      <c r="J290" s="198"/>
      <c r="K290" s="403"/>
      <c r="L290" s="198"/>
      <c r="M290" s="403"/>
      <c r="N290" s="198"/>
      <c r="O290" s="403"/>
      <c r="P290" s="198"/>
      <c r="Q290" s="429"/>
      <c r="R290" s="76"/>
      <c r="S290" s="403"/>
      <c r="T290" s="198"/>
      <c r="U290" s="403"/>
      <c r="V290" s="19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03"/>
      <c r="B291" s="198"/>
      <c r="C291" s="403"/>
      <c r="D291" s="198"/>
      <c r="E291" s="403"/>
      <c r="F291" s="198"/>
      <c r="G291" s="403"/>
      <c r="H291" s="198"/>
      <c r="I291" s="403"/>
      <c r="J291" s="198"/>
      <c r="K291" s="403"/>
      <c r="L291" s="198"/>
      <c r="M291" s="403"/>
      <c r="N291" s="198"/>
      <c r="O291" s="403"/>
      <c r="P291" s="198"/>
      <c r="Q291" s="429"/>
      <c r="R291" s="76"/>
      <c r="S291" s="403"/>
      <c r="T291" s="198"/>
      <c r="U291" s="403"/>
      <c r="V291" s="19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03"/>
      <c r="B292" s="198"/>
      <c r="C292" s="403"/>
      <c r="D292" s="198"/>
      <c r="E292" s="403"/>
      <c r="F292" s="198"/>
      <c r="G292" s="403"/>
      <c r="H292" s="198"/>
      <c r="I292" s="403"/>
      <c r="J292" s="198"/>
      <c r="K292" s="403"/>
      <c r="L292" s="198"/>
      <c r="M292" s="403"/>
      <c r="N292" s="198"/>
      <c r="O292" s="403"/>
      <c r="P292" s="198"/>
      <c r="Q292" s="429"/>
      <c r="R292" s="76"/>
      <c r="S292" s="403"/>
      <c r="T292" s="198"/>
      <c r="U292" s="403"/>
      <c r="V292" s="19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03"/>
      <c r="B293" s="198"/>
      <c r="C293" s="403"/>
      <c r="D293" s="198"/>
      <c r="E293" s="403"/>
      <c r="F293" s="198"/>
      <c r="G293" s="403"/>
      <c r="H293" s="198"/>
      <c r="I293" s="403"/>
      <c r="J293" s="198"/>
      <c r="K293" s="403"/>
      <c r="L293" s="198"/>
      <c r="M293" s="403"/>
      <c r="N293" s="198"/>
      <c r="O293" s="403"/>
      <c r="P293" s="198"/>
      <c r="Q293" s="429"/>
      <c r="R293" s="76"/>
      <c r="S293" s="403"/>
      <c r="T293" s="198"/>
      <c r="U293" s="403"/>
      <c r="V293" s="19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03"/>
      <c r="B294" s="198"/>
      <c r="C294" s="403"/>
      <c r="D294" s="198"/>
      <c r="E294" s="403"/>
      <c r="F294" s="198"/>
      <c r="G294" s="403"/>
      <c r="H294" s="198"/>
      <c r="I294" s="403"/>
      <c r="J294" s="198"/>
      <c r="K294" s="403"/>
      <c r="L294" s="198"/>
      <c r="M294" s="403"/>
      <c r="N294" s="198"/>
      <c r="O294" s="403"/>
      <c r="P294" s="198"/>
      <c r="Q294" s="429"/>
      <c r="R294" s="76"/>
      <c r="S294" s="403"/>
      <c r="T294" s="198"/>
      <c r="U294" s="403"/>
      <c r="V294" s="19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03"/>
      <c r="B295" s="198"/>
      <c r="C295" s="403"/>
      <c r="D295" s="198"/>
      <c r="E295" s="403"/>
      <c r="F295" s="198"/>
      <c r="G295" s="403"/>
      <c r="H295" s="198"/>
      <c r="I295" s="403"/>
      <c r="J295" s="198"/>
      <c r="K295" s="403"/>
      <c r="L295" s="198"/>
      <c r="M295" s="403"/>
      <c r="N295" s="198"/>
      <c r="O295" s="403"/>
      <c r="P295" s="198"/>
      <c r="Q295" s="429"/>
      <c r="R295" s="76"/>
      <c r="S295" s="403"/>
      <c r="T295" s="198"/>
      <c r="U295" s="403"/>
      <c r="V295" s="19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03"/>
      <c r="B296" s="198"/>
      <c r="C296" s="403"/>
      <c r="D296" s="198"/>
      <c r="E296" s="403"/>
      <c r="F296" s="198"/>
      <c r="G296" s="403"/>
      <c r="H296" s="198"/>
      <c r="I296" s="403"/>
      <c r="J296" s="198"/>
      <c r="K296" s="403"/>
      <c r="L296" s="198"/>
      <c r="M296" s="403"/>
      <c r="N296" s="198"/>
      <c r="O296" s="403"/>
      <c r="P296" s="198"/>
      <c r="Q296" s="429"/>
      <c r="R296" s="76"/>
      <c r="S296" s="403"/>
      <c r="T296" s="198"/>
      <c r="U296" s="403"/>
      <c r="V296" s="19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03"/>
      <c r="B297" s="198"/>
      <c r="C297" s="403"/>
      <c r="D297" s="198"/>
      <c r="E297" s="403"/>
      <c r="F297" s="198"/>
      <c r="G297" s="403"/>
      <c r="H297" s="198"/>
      <c r="I297" s="403"/>
      <c r="J297" s="198"/>
      <c r="K297" s="403"/>
      <c r="L297" s="198"/>
      <c r="M297" s="403"/>
      <c r="N297" s="198"/>
      <c r="O297" s="403"/>
      <c r="P297" s="198"/>
      <c r="Q297" s="429"/>
      <c r="R297" s="76"/>
      <c r="S297" s="403"/>
      <c r="T297" s="198"/>
      <c r="U297" s="403"/>
      <c r="V297" s="19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03"/>
      <c r="B298" s="198"/>
      <c r="C298" s="403"/>
      <c r="D298" s="198"/>
      <c r="E298" s="403"/>
      <c r="F298" s="198"/>
      <c r="G298" s="403"/>
      <c r="H298" s="198"/>
      <c r="I298" s="403"/>
      <c r="J298" s="198"/>
      <c r="K298" s="403"/>
      <c r="L298" s="198"/>
      <c r="M298" s="403"/>
      <c r="N298" s="198"/>
      <c r="O298" s="403"/>
      <c r="P298" s="198"/>
      <c r="Q298" s="429"/>
      <c r="R298" s="76"/>
      <c r="S298" s="403"/>
      <c r="T298" s="198"/>
      <c r="U298" s="403"/>
      <c r="V298" s="19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03"/>
      <c r="B299" s="198"/>
      <c r="C299" s="403"/>
      <c r="D299" s="198"/>
      <c r="E299" s="403"/>
      <c r="F299" s="198"/>
      <c r="G299" s="403"/>
      <c r="H299" s="198"/>
      <c r="I299" s="403"/>
      <c r="J299" s="198"/>
      <c r="K299" s="403"/>
      <c r="L299" s="198"/>
      <c r="M299" s="403"/>
      <c r="N299" s="198"/>
      <c r="O299" s="403"/>
      <c r="P299" s="198"/>
      <c r="Q299" s="429"/>
      <c r="R299" s="76"/>
      <c r="S299" s="403"/>
      <c r="T299" s="198"/>
      <c r="U299" s="403"/>
      <c r="V299" s="19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03"/>
      <c r="B300" s="198"/>
      <c r="C300" s="403"/>
      <c r="D300" s="198"/>
      <c r="E300" s="403"/>
      <c r="F300" s="198"/>
      <c r="G300" s="403"/>
      <c r="H300" s="198"/>
      <c r="I300" s="403"/>
      <c r="J300" s="198"/>
      <c r="K300" s="403"/>
      <c r="L300" s="198"/>
      <c r="M300" s="403"/>
      <c r="N300" s="198"/>
      <c r="O300" s="403"/>
      <c r="P300" s="198"/>
      <c r="Q300" s="429"/>
      <c r="R300" s="76"/>
      <c r="S300" s="403"/>
      <c r="T300" s="198"/>
      <c r="U300" s="403"/>
      <c r="V300" s="19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03"/>
      <c r="B301" s="198"/>
      <c r="C301" s="403"/>
      <c r="D301" s="198"/>
      <c r="E301" s="403"/>
      <c r="F301" s="198"/>
      <c r="G301" s="403"/>
      <c r="H301" s="198"/>
      <c r="I301" s="403"/>
      <c r="J301" s="198"/>
      <c r="K301" s="403"/>
      <c r="L301" s="198"/>
      <c r="M301" s="403"/>
      <c r="N301" s="198"/>
      <c r="O301" s="403"/>
      <c r="P301" s="198"/>
      <c r="Q301" s="429"/>
      <c r="R301" s="76"/>
      <c r="S301" s="403"/>
      <c r="T301" s="198"/>
      <c r="U301" s="403"/>
      <c r="V301" s="19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03"/>
      <c r="B302" s="198"/>
      <c r="C302" s="403"/>
      <c r="D302" s="198"/>
      <c r="E302" s="403"/>
      <c r="F302" s="198"/>
      <c r="G302" s="403"/>
      <c r="H302" s="198"/>
      <c r="I302" s="403"/>
      <c r="J302" s="198"/>
      <c r="K302" s="403"/>
      <c r="L302" s="198"/>
      <c r="M302" s="403"/>
      <c r="N302" s="198"/>
      <c r="O302" s="403"/>
      <c r="P302" s="198"/>
      <c r="Q302" s="429"/>
      <c r="R302" s="76"/>
      <c r="S302" s="403"/>
      <c r="T302" s="198"/>
      <c r="U302" s="403"/>
      <c r="V302" s="19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03"/>
      <c r="B303" s="198"/>
      <c r="C303" s="403"/>
      <c r="D303" s="198"/>
      <c r="E303" s="403"/>
      <c r="F303" s="198"/>
      <c r="G303" s="403"/>
      <c r="H303" s="198"/>
      <c r="I303" s="403"/>
      <c r="J303" s="198"/>
      <c r="K303" s="403"/>
      <c r="L303" s="198"/>
      <c r="M303" s="403"/>
      <c r="N303" s="198"/>
      <c r="O303" s="403"/>
      <c r="P303" s="198"/>
      <c r="Q303" s="429"/>
      <c r="R303" s="76"/>
      <c r="S303" s="403"/>
      <c r="T303" s="198"/>
      <c r="U303" s="403"/>
      <c r="V303" s="19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03"/>
      <c r="B304" s="198"/>
      <c r="C304" s="403"/>
      <c r="D304" s="198"/>
      <c r="E304" s="403"/>
      <c r="F304" s="198"/>
      <c r="G304" s="403"/>
      <c r="H304" s="198"/>
      <c r="I304" s="403"/>
      <c r="J304" s="198"/>
      <c r="K304" s="403"/>
      <c r="L304" s="198"/>
      <c r="M304" s="403"/>
      <c r="N304" s="198"/>
      <c r="O304" s="403"/>
      <c r="P304" s="198"/>
      <c r="Q304" s="429"/>
      <c r="R304" s="76"/>
      <c r="S304" s="403"/>
      <c r="T304" s="198"/>
      <c r="U304" s="403"/>
      <c r="V304" s="19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03"/>
      <c r="B305" s="198"/>
      <c r="C305" s="403"/>
      <c r="D305" s="198"/>
      <c r="E305" s="403"/>
      <c r="F305" s="198"/>
      <c r="G305" s="403"/>
      <c r="H305" s="198"/>
      <c r="I305" s="403"/>
      <c r="J305" s="198"/>
      <c r="K305" s="403"/>
      <c r="L305" s="198"/>
      <c r="M305" s="403"/>
      <c r="N305" s="198"/>
      <c r="O305" s="403"/>
      <c r="P305" s="198"/>
      <c r="Q305" s="429"/>
      <c r="R305" s="76"/>
      <c r="S305" s="403"/>
      <c r="T305" s="198"/>
      <c r="U305" s="403"/>
      <c r="V305" s="19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03"/>
      <c r="B306" s="198"/>
      <c r="C306" s="403"/>
      <c r="D306" s="198"/>
      <c r="E306" s="403"/>
      <c r="F306" s="198"/>
      <c r="G306" s="403"/>
      <c r="H306" s="198"/>
      <c r="I306" s="403"/>
      <c r="J306" s="198"/>
      <c r="K306" s="403"/>
      <c r="L306" s="198"/>
      <c r="M306" s="403"/>
      <c r="N306" s="198"/>
      <c r="O306" s="403"/>
      <c r="P306" s="198"/>
      <c r="Q306" s="429"/>
      <c r="R306" s="76"/>
      <c r="S306" s="403"/>
      <c r="T306" s="198"/>
      <c r="U306" s="403"/>
      <c r="V306" s="19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03"/>
      <c r="B307" s="198"/>
      <c r="C307" s="403"/>
      <c r="D307" s="198"/>
      <c r="E307" s="403"/>
      <c r="F307" s="198"/>
      <c r="G307" s="403"/>
      <c r="H307" s="198"/>
      <c r="I307" s="403"/>
      <c r="J307" s="198"/>
      <c r="K307" s="403"/>
      <c r="L307" s="198"/>
      <c r="M307" s="403"/>
      <c r="N307" s="198"/>
      <c r="O307" s="403"/>
      <c r="P307" s="198"/>
      <c r="Q307" s="429"/>
      <c r="R307" s="76"/>
      <c r="S307" s="403"/>
      <c r="T307" s="198"/>
      <c r="U307" s="403"/>
      <c r="V307" s="19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03"/>
      <c r="B308" s="198"/>
      <c r="C308" s="403"/>
      <c r="D308" s="198"/>
      <c r="E308" s="403"/>
      <c r="F308" s="198"/>
      <c r="G308" s="403"/>
      <c r="H308" s="198"/>
      <c r="I308" s="403"/>
      <c r="J308" s="198"/>
      <c r="K308" s="403"/>
      <c r="L308" s="198"/>
      <c r="M308" s="403"/>
      <c r="N308" s="198"/>
      <c r="O308" s="403"/>
      <c r="P308" s="198"/>
      <c r="Q308" s="429"/>
      <c r="R308" s="76"/>
      <c r="S308" s="403"/>
      <c r="T308" s="198"/>
      <c r="U308" s="403"/>
      <c r="V308" s="19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03"/>
      <c r="B309" s="198"/>
      <c r="C309" s="403"/>
      <c r="D309" s="198"/>
      <c r="E309" s="403"/>
      <c r="F309" s="198"/>
      <c r="G309" s="403"/>
      <c r="H309" s="198"/>
      <c r="I309" s="403"/>
      <c r="J309" s="198"/>
      <c r="K309" s="403"/>
      <c r="L309" s="198"/>
      <c r="M309" s="403"/>
      <c r="N309" s="198"/>
      <c r="O309" s="403"/>
      <c r="P309" s="198"/>
      <c r="Q309" s="429"/>
      <c r="R309" s="76"/>
      <c r="S309" s="403"/>
      <c r="T309" s="198"/>
      <c r="U309" s="403"/>
      <c r="V309" s="19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03"/>
      <c r="B310" s="198"/>
      <c r="C310" s="403"/>
      <c r="D310" s="198"/>
      <c r="E310" s="403"/>
      <c r="F310" s="198"/>
      <c r="G310" s="403"/>
      <c r="H310" s="198"/>
      <c r="I310" s="403"/>
      <c r="J310" s="198"/>
      <c r="K310" s="403"/>
      <c r="L310" s="198"/>
      <c r="M310" s="403"/>
      <c r="N310" s="198"/>
      <c r="O310" s="403"/>
      <c r="P310" s="198"/>
      <c r="Q310" s="429"/>
      <c r="R310" s="76"/>
      <c r="S310" s="403"/>
      <c r="T310" s="198"/>
      <c r="U310" s="403"/>
      <c r="V310" s="19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03"/>
      <c r="B311" s="198"/>
      <c r="C311" s="403"/>
      <c r="D311" s="198"/>
      <c r="E311" s="403"/>
      <c r="F311" s="198"/>
      <c r="G311" s="403"/>
      <c r="H311" s="198"/>
      <c r="I311" s="403"/>
      <c r="J311" s="198"/>
      <c r="K311" s="403"/>
      <c r="L311" s="198"/>
      <c r="M311" s="403"/>
      <c r="N311" s="198"/>
      <c r="O311" s="403"/>
      <c r="P311" s="198"/>
      <c r="Q311" s="429"/>
      <c r="R311" s="76"/>
      <c r="S311" s="403"/>
      <c r="T311" s="198"/>
      <c r="U311" s="403"/>
      <c r="V311" s="19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03"/>
      <c r="B312" s="198"/>
      <c r="C312" s="403"/>
      <c r="D312" s="198"/>
      <c r="E312" s="403"/>
      <c r="F312" s="198"/>
      <c r="G312" s="403"/>
      <c r="H312" s="198"/>
      <c r="I312" s="403"/>
      <c r="J312" s="198"/>
      <c r="K312" s="403"/>
      <c r="L312" s="198"/>
      <c r="M312" s="403"/>
      <c r="N312" s="198"/>
      <c r="O312" s="403"/>
      <c r="P312" s="198"/>
      <c r="Q312" s="429"/>
      <c r="R312" s="76"/>
      <c r="S312" s="403"/>
      <c r="T312" s="198"/>
      <c r="U312" s="403"/>
      <c r="V312" s="19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03"/>
      <c r="B313" s="198"/>
      <c r="C313" s="403"/>
      <c r="D313" s="198"/>
      <c r="E313" s="403"/>
      <c r="F313" s="198"/>
      <c r="G313" s="403"/>
      <c r="H313" s="198"/>
      <c r="I313" s="403"/>
      <c r="J313" s="198"/>
      <c r="K313" s="403"/>
      <c r="L313" s="198"/>
      <c r="M313" s="403"/>
      <c r="N313" s="198"/>
      <c r="O313" s="403"/>
      <c r="P313" s="198"/>
      <c r="Q313" s="429"/>
      <c r="R313" s="76"/>
      <c r="S313" s="403"/>
      <c r="T313" s="198"/>
      <c r="U313" s="403"/>
      <c r="V313" s="19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03"/>
      <c r="B314" s="198"/>
      <c r="C314" s="403"/>
      <c r="D314" s="198"/>
      <c r="E314" s="403"/>
      <c r="F314" s="198"/>
      <c r="G314" s="403"/>
      <c r="H314" s="198"/>
      <c r="I314" s="403"/>
      <c r="J314" s="198"/>
      <c r="K314" s="403"/>
      <c r="L314" s="198"/>
      <c r="M314" s="403"/>
      <c r="N314" s="198"/>
      <c r="O314" s="403"/>
      <c r="P314" s="198"/>
      <c r="Q314" s="429"/>
      <c r="R314" s="76"/>
      <c r="S314" s="403"/>
      <c r="T314" s="198"/>
      <c r="U314" s="403"/>
      <c r="V314" s="19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03"/>
      <c r="B315" s="198"/>
      <c r="C315" s="403"/>
      <c r="D315" s="198"/>
      <c r="E315" s="403"/>
      <c r="F315" s="198"/>
      <c r="G315" s="403"/>
      <c r="H315" s="198"/>
      <c r="I315" s="403"/>
      <c r="J315" s="198"/>
      <c r="K315" s="403"/>
      <c r="L315" s="198"/>
      <c r="M315" s="403"/>
      <c r="N315" s="198"/>
      <c r="O315" s="403"/>
      <c r="P315" s="198"/>
      <c r="Q315" s="429"/>
      <c r="R315" s="76"/>
      <c r="S315" s="403"/>
      <c r="T315" s="198"/>
      <c r="U315" s="403"/>
      <c r="V315" s="19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03"/>
      <c r="B316" s="198"/>
      <c r="C316" s="403"/>
      <c r="D316" s="198"/>
      <c r="E316" s="403"/>
      <c r="F316" s="198"/>
      <c r="G316" s="403"/>
      <c r="H316" s="198"/>
      <c r="I316" s="403"/>
      <c r="J316" s="198"/>
      <c r="K316" s="403"/>
      <c r="L316" s="198"/>
      <c r="M316" s="403"/>
      <c r="N316" s="198"/>
      <c r="O316" s="403"/>
      <c r="P316" s="198"/>
      <c r="Q316" s="429"/>
      <c r="R316" s="76"/>
      <c r="S316" s="403"/>
      <c r="T316" s="198"/>
      <c r="U316" s="403"/>
      <c r="V316" s="19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03"/>
      <c r="B317" s="198"/>
      <c r="C317" s="403"/>
      <c r="D317" s="198"/>
      <c r="E317" s="403"/>
      <c r="F317" s="198"/>
      <c r="G317" s="403"/>
      <c r="H317" s="198"/>
      <c r="I317" s="403"/>
      <c r="J317" s="198"/>
      <c r="K317" s="403"/>
      <c r="L317" s="198"/>
      <c r="M317" s="403"/>
      <c r="N317" s="198"/>
      <c r="O317" s="403"/>
      <c r="P317" s="198"/>
      <c r="Q317" s="429"/>
      <c r="R317" s="76"/>
      <c r="S317" s="403"/>
      <c r="T317" s="198"/>
      <c r="U317" s="403"/>
      <c r="V317" s="19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03"/>
      <c r="B318" s="198"/>
      <c r="C318" s="403"/>
      <c r="D318" s="198"/>
      <c r="E318" s="403"/>
      <c r="F318" s="198"/>
      <c r="G318" s="403"/>
      <c r="H318" s="198"/>
      <c r="I318" s="403"/>
      <c r="J318" s="198"/>
      <c r="K318" s="403"/>
      <c r="L318" s="198"/>
      <c r="M318" s="403"/>
      <c r="N318" s="198"/>
      <c r="O318" s="403"/>
      <c r="P318" s="198"/>
      <c r="Q318" s="429"/>
      <c r="R318" s="76"/>
      <c r="S318" s="403"/>
      <c r="T318" s="198"/>
      <c r="U318" s="403"/>
      <c r="V318" s="19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03"/>
      <c r="B319" s="198"/>
      <c r="C319" s="403"/>
      <c r="D319" s="198"/>
      <c r="E319" s="403"/>
      <c r="F319" s="198"/>
      <c r="G319" s="403"/>
      <c r="H319" s="198"/>
      <c r="I319" s="403"/>
      <c r="J319" s="198"/>
      <c r="K319" s="403"/>
      <c r="L319" s="198"/>
      <c r="M319" s="403"/>
      <c r="N319" s="198"/>
      <c r="O319" s="403"/>
      <c r="P319" s="198"/>
      <c r="Q319" s="429"/>
      <c r="R319" s="76"/>
      <c r="S319" s="403"/>
      <c r="T319" s="198"/>
      <c r="U319" s="403"/>
      <c r="V319" s="19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03"/>
      <c r="B320" s="198"/>
      <c r="C320" s="403"/>
      <c r="D320" s="198"/>
      <c r="E320" s="403"/>
      <c r="F320" s="198"/>
      <c r="G320" s="403"/>
      <c r="H320" s="198"/>
      <c r="I320" s="403"/>
      <c r="J320" s="198"/>
      <c r="K320" s="403"/>
      <c r="L320" s="198"/>
      <c r="M320" s="403"/>
      <c r="N320" s="198"/>
      <c r="O320" s="403"/>
      <c r="P320" s="198"/>
      <c r="Q320" s="429"/>
      <c r="R320" s="76"/>
      <c r="S320" s="403"/>
      <c r="T320" s="198"/>
      <c r="U320" s="403"/>
      <c r="V320" s="19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03"/>
      <c r="B321" s="198"/>
      <c r="C321" s="403"/>
      <c r="D321" s="198"/>
      <c r="E321" s="403"/>
      <c r="F321" s="198"/>
      <c r="G321" s="403"/>
      <c r="H321" s="198"/>
      <c r="I321" s="403"/>
      <c r="J321" s="198"/>
      <c r="K321" s="403"/>
      <c r="L321" s="198"/>
      <c r="M321" s="403"/>
      <c r="N321" s="198"/>
      <c r="O321" s="403"/>
      <c r="P321" s="198"/>
      <c r="Q321" s="429"/>
      <c r="R321" s="76"/>
      <c r="S321" s="403"/>
      <c r="T321" s="198"/>
      <c r="U321" s="403"/>
      <c r="V321" s="19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03"/>
      <c r="B322" s="198"/>
      <c r="C322" s="403"/>
      <c r="D322" s="198"/>
      <c r="E322" s="403"/>
      <c r="F322" s="198"/>
      <c r="G322" s="403"/>
      <c r="H322" s="198"/>
      <c r="I322" s="403"/>
      <c r="J322" s="198"/>
      <c r="K322" s="403"/>
      <c r="L322" s="198"/>
      <c r="M322" s="403"/>
      <c r="N322" s="198"/>
      <c r="O322" s="403"/>
      <c r="P322" s="198"/>
      <c r="Q322" s="429"/>
      <c r="R322" s="76"/>
      <c r="S322" s="403"/>
      <c r="T322" s="198"/>
      <c r="U322" s="403"/>
      <c r="V322" s="19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03"/>
      <c r="B323" s="198"/>
      <c r="C323" s="403"/>
      <c r="D323" s="198"/>
      <c r="E323" s="403"/>
      <c r="F323" s="198"/>
      <c r="G323" s="403"/>
      <c r="H323" s="198"/>
      <c r="I323" s="403"/>
      <c r="J323" s="198"/>
      <c r="K323" s="403"/>
      <c r="L323" s="198"/>
      <c r="M323" s="403"/>
      <c r="N323" s="198"/>
      <c r="O323" s="403"/>
      <c r="P323" s="198"/>
      <c r="Q323" s="429"/>
      <c r="R323" s="76"/>
      <c r="S323" s="403"/>
      <c r="T323" s="198"/>
      <c r="U323" s="403"/>
      <c r="V323" s="19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03"/>
      <c r="B324" s="198"/>
      <c r="C324" s="403"/>
      <c r="D324" s="198"/>
      <c r="E324" s="403"/>
      <c r="F324" s="198"/>
      <c r="G324" s="403"/>
      <c r="H324" s="198"/>
      <c r="I324" s="403"/>
      <c r="J324" s="198"/>
      <c r="K324" s="403"/>
      <c r="L324" s="198"/>
      <c r="M324" s="403"/>
      <c r="N324" s="198"/>
      <c r="O324" s="403"/>
      <c r="P324" s="198"/>
      <c r="Q324" s="429"/>
      <c r="R324" s="76"/>
      <c r="S324" s="403"/>
      <c r="T324" s="198"/>
      <c r="U324" s="403"/>
      <c r="V324" s="19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03"/>
      <c r="B325" s="198"/>
      <c r="C325" s="403"/>
      <c r="D325" s="198"/>
      <c r="E325" s="403"/>
      <c r="F325" s="198"/>
      <c r="G325" s="403"/>
      <c r="H325" s="198"/>
      <c r="I325" s="403"/>
      <c r="J325" s="198"/>
      <c r="K325" s="403"/>
      <c r="L325" s="198"/>
      <c r="M325" s="403"/>
      <c r="N325" s="198"/>
      <c r="O325" s="403"/>
      <c r="P325" s="198"/>
      <c r="Q325" s="429"/>
      <c r="R325" s="76"/>
      <c r="S325" s="403"/>
      <c r="T325" s="198"/>
      <c r="U325" s="403"/>
      <c r="V325" s="19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03"/>
      <c r="B326" s="198"/>
      <c r="C326" s="403"/>
      <c r="D326" s="198"/>
      <c r="E326" s="403"/>
      <c r="F326" s="198"/>
      <c r="G326" s="403"/>
      <c r="H326" s="198"/>
      <c r="I326" s="403"/>
      <c r="J326" s="198"/>
      <c r="K326" s="403"/>
      <c r="L326" s="198"/>
      <c r="M326" s="403"/>
      <c r="N326" s="198"/>
      <c r="O326" s="403"/>
      <c r="P326" s="198"/>
      <c r="Q326" s="429"/>
      <c r="R326" s="76"/>
      <c r="S326" s="403"/>
      <c r="T326" s="198"/>
      <c r="U326" s="403"/>
      <c r="V326" s="19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03"/>
      <c r="B327" s="198"/>
      <c r="C327" s="403"/>
      <c r="D327" s="198"/>
      <c r="E327" s="403"/>
      <c r="F327" s="198"/>
      <c r="G327" s="403"/>
      <c r="H327" s="198"/>
      <c r="I327" s="403"/>
      <c r="J327" s="198"/>
      <c r="K327" s="403"/>
      <c r="L327" s="198"/>
      <c r="M327" s="403"/>
      <c r="N327" s="198"/>
      <c r="O327" s="403"/>
      <c r="P327" s="198"/>
      <c r="Q327" s="429"/>
      <c r="R327" s="76"/>
      <c r="S327" s="403"/>
      <c r="T327" s="198"/>
      <c r="U327" s="403"/>
      <c r="V327" s="19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03"/>
      <c r="B328" s="198"/>
      <c r="C328" s="403"/>
      <c r="D328" s="198"/>
      <c r="E328" s="403"/>
      <c r="F328" s="198"/>
      <c r="G328" s="403"/>
      <c r="H328" s="198"/>
      <c r="I328" s="403"/>
      <c r="J328" s="198"/>
      <c r="K328" s="403"/>
      <c r="L328" s="198"/>
      <c r="M328" s="403"/>
      <c r="N328" s="198"/>
      <c r="O328" s="403"/>
      <c r="P328" s="198"/>
      <c r="Q328" s="429"/>
      <c r="R328" s="76"/>
      <c r="S328" s="403"/>
      <c r="T328" s="198"/>
      <c r="U328" s="403"/>
      <c r="V328" s="19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03"/>
      <c r="B329" s="198"/>
      <c r="C329" s="403"/>
      <c r="D329" s="198"/>
      <c r="E329" s="403"/>
      <c r="F329" s="198"/>
      <c r="G329" s="403"/>
      <c r="H329" s="198"/>
      <c r="I329" s="403"/>
      <c r="J329" s="198"/>
      <c r="K329" s="403"/>
      <c r="L329" s="198"/>
      <c r="M329" s="403"/>
      <c r="N329" s="198"/>
      <c r="O329" s="403"/>
      <c r="P329" s="198"/>
      <c r="Q329" s="429"/>
      <c r="R329" s="76"/>
      <c r="S329" s="403"/>
      <c r="T329" s="198"/>
      <c r="U329" s="403"/>
      <c r="V329" s="19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03"/>
      <c r="B330" s="198"/>
      <c r="C330" s="403"/>
      <c r="D330" s="198"/>
      <c r="E330" s="403"/>
      <c r="F330" s="198"/>
      <c r="G330" s="403"/>
      <c r="H330" s="198"/>
      <c r="I330" s="403"/>
      <c r="J330" s="198"/>
      <c r="K330" s="403"/>
      <c r="L330" s="198"/>
      <c r="M330" s="403"/>
      <c r="N330" s="198"/>
      <c r="O330" s="403"/>
      <c r="P330" s="198"/>
      <c r="Q330" s="429"/>
      <c r="R330" s="76"/>
      <c r="S330" s="403"/>
      <c r="T330" s="198"/>
      <c r="U330" s="403"/>
      <c r="V330" s="19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03"/>
      <c r="B331" s="198"/>
      <c r="C331" s="403"/>
      <c r="D331" s="198"/>
      <c r="E331" s="403"/>
      <c r="F331" s="198"/>
      <c r="G331" s="403"/>
      <c r="H331" s="198"/>
      <c r="I331" s="403"/>
      <c r="J331" s="198"/>
      <c r="K331" s="403"/>
      <c r="L331" s="198"/>
      <c r="M331" s="403"/>
      <c r="N331" s="198"/>
      <c r="O331" s="403"/>
      <c r="P331" s="198"/>
      <c r="Q331" s="429"/>
      <c r="R331" s="76"/>
      <c r="S331" s="403"/>
      <c r="T331" s="198"/>
      <c r="U331" s="403"/>
      <c r="V331" s="19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03"/>
      <c r="B332" s="198"/>
      <c r="C332" s="403"/>
      <c r="D332" s="198"/>
      <c r="E332" s="403"/>
      <c r="F332" s="198"/>
      <c r="G332" s="403"/>
      <c r="H332" s="198"/>
      <c r="I332" s="403"/>
      <c r="J332" s="198"/>
      <c r="K332" s="403"/>
      <c r="L332" s="198"/>
      <c r="M332" s="403"/>
      <c r="N332" s="198"/>
      <c r="O332" s="403"/>
      <c r="P332" s="198"/>
      <c r="Q332" s="429"/>
      <c r="R332" s="76"/>
      <c r="S332" s="403"/>
      <c r="T332" s="198"/>
      <c r="U332" s="403"/>
      <c r="V332" s="19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03"/>
      <c r="B333" s="198"/>
      <c r="C333" s="403"/>
      <c r="D333" s="198"/>
      <c r="E333" s="403"/>
      <c r="F333" s="198"/>
      <c r="G333" s="403"/>
      <c r="H333" s="198"/>
      <c r="I333" s="403"/>
      <c r="J333" s="198"/>
      <c r="K333" s="403"/>
      <c r="L333" s="198"/>
      <c r="M333" s="403"/>
      <c r="N333" s="198"/>
      <c r="O333" s="403"/>
      <c r="P333" s="198"/>
      <c r="Q333" s="429"/>
      <c r="R333" s="76"/>
      <c r="S333" s="403"/>
      <c r="T333" s="198"/>
      <c r="U333" s="403"/>
      <c r="V333" s="19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03"/>
      <c r="B334" s="198"/>
      <c r="C334" s="403"/>
      <c r="D334" s="198"/>
      <c r="E334" s="403"/>
      <c r="F334" s="198"/>
      <c r="G334" s="403"/>
      <c r="H334" s="198"/>
      <c r="I334" s="403"/>
      <c r="J334" s="198"/>
      <c r="K334" s="403"/>
      <c r="L334" s="198"/>
      <c r="M334" s="403"/>
      <c r="N334" s="198"/>
      <c r="O334" s="403"/>
      <c r="P334" s="198"/>
      <c r="Q334" s="429"/>
      <c r="R334" s="76"/>
      <c r="S334" s="403"/>
      <c r="T334" s="198"/>
      <c r="U334" s="403"/>
      <c r="V334" s="19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03"/>
      <c r="B335" s="198"/>
      <c r="C335" s="403"/>
      <c r="D335" s="198"/>
      <c r="E335" s="403"/>
      <c r="F335" s="198"/>
      <c r="G335" s="403"/>
      <c r="H335" s="198"/>
      <c r="I335" s="403"/>
      <c r="J335" s="198"/>
      <c r="K335" s="403"/>
      <c r="L335" s="198"/>
      <c r="M335" s="403"/>
      <c r="N335" s="198"/>
      <c r="O335" s="403"/>
      <c r="P335" s="198"/>
      <c r="Q335" s="429"/>
      <c r="R335" s="76"/>
      <c r="S335" s="403"/>
      <c r="T335" s="198"/>
      <c r="U335" s="403"/>
      <c r="V335" s="19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03"/>
      <c r="B336" s="198"/>
      <c r="C336" s="403"/>
      <c r="D336" s="198"/>
      <c r="E336" s="403"/>
      <c r="F336" s="198"/>
      <c r="G336" s="403"/>
      <c r="H336" s="198"/>
      <c r="I336" s="403"/>
      <c r="J336" s="198"/>
      <c r="K336" s="403"/>
      <c r="L336" s="198"/>
      <c r="M336" s="403"/>
      <c r="N336" s="198"/>
      <c r="O336" s="403"/>
      <c r="P336" s="198"/>
      <c r="Q336" s="429"/>
      <c r="R336" s="76"/>
      <c r="S336" s="403"/>
      <c r="T336" s="198"/>
      <c r="U336" s="403"/>
      <c r="V336" s="19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03"/>
      <c r="B337" s="198"/>
      <c r="C337" s="403"/>
      <c r="D337" s="198"/>
      <c r="E337" s="403"/>
      <c r="F337" s="198"/>
      <c r="G337" s="403"/>
      <c r="H337" s="198"/>
      <c r="I337" s="403"/>
      <c r="J337" s="198"/>
      <c r="K337" s="403"/>
      <c r="L337" s="198"/>
      <c r="M337" s="403"/>
      <c r="N337" s="198"/>
      <c r="O337" s="403"/>
      <c r="P337" s="198"/>
      <c r="Q337" s="429"/>
      <c r="R337" s="76"/>
      <c r="S337" s="403"/>
      <c r="T337" s="198"/>
      <c r="U337" s="403"/>
      <c r="V337" s="19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03"/>
      <c r="B338" s="198"/>
      <c r="C338" s="403"/>
      <c r="D338" s="198"/>
      <c r="E338" s="403"/>
      <c r="F338" s="198"/>
      <c r="G338" s="403"/>
      <c r="H338" s="198"/>
      <c r="I338" s="403"/>
      <c r="J338" s="198"/>
      <c r="K338" s="403"/>
      <c r="L338" s="198"/>
      <c r="M338" s="403"/>
      <c r="N338" s="198"/>
      <c r="O338" s="403"/>
      <c r="P338" s="198"/>
      <c r="Q338" s="429"/>
      <c r="R338" s="76"/>
      <c r="S338" s="403"/>
      <c r="T338" s="198"/>
      <c r="U338" s="403"/>
      <c r="V338" s="19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03"/>
      <c r="B339" s="198"/>
      <c r="C339" s="403"/>
      <c r="D339" s="198"/>
      <c r="E339" s="403"/>
      <c r="F339" s="198"/>
      <c r="G339" s="403"/>
      <c r="H339" s="198"/>
      <c r="I339" s="403"/>
      <c r="J339" s="198"/>
      <c r="K339" s="403"/>
      <c r="L339" s="198"/>
      <c r="M339" s="403"/>
      <c r="N339" s="198"/>
      <c r="O339" s="403"/>
      <c r="P339" s="198"/>
      <c r="Q339" s="429"/>
      <c r="R339" s="76"/>
      <c r="S339" s="403"/>
      <c r="T339" s="198"/>
      <c r="U339" s="403"/>
      <c r="V339" s="19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03"/>
      <c r="B340" s="198"/>
      <c r="C340" s="403"/>
      <c r="D340" s="198"/>
      <c r="E340" s="403"/>
      <c r="F340" s="198"/>
      <c r="G340" s="403"/>
      <c r="H340" s="198"/>
      <c r="I340" s="403"/>
      <c r="J340" s="198"/>
      <c r="K340" s="403"/>
      <c r="L340" s="198"/>
      <c r="M340" s="403"/>
      <c r="N340" s="198"/>
      <c r="O340" s="403"/>
      <c r="P340" s="198"/>
      <c r="Q340" s="429"/>
      <c r="R340" s="76"/>
      <c r="S340" s="403"/>
      <c r="T340" s="198"/>
      <c r="U340" s="403"/>
      <c r="V340" s="19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03"/>
      <c r="B341" s="198"/>
      <c r="C341" s="403"/>
      <c r="D341" s="198"/>
      <c r="E341" s="403"/>
      <c r="F341" s="198"/>
      <c r="G341" s="403"/>
      <c r="H341" s="198"/>
      <c r="I341" s="403"/>
      <c r="J341" s="198"/>
      <c r="K341" s="403"/>
      <c r="L341" s="198"/>
      <c r="M341" s="403"/>
      <c r="N341" s="198"/>
      <c r="O341" s="403"/>
      <c r="P341" s="198"/>
      <c r="Q341" s="429"/>
      <c r="R341" s="76"/>
      <c r="S341" s="403"/>
      <c r="T341" s="198"/>
      <c r="U341" s="403"/>
      <c r="V341" s="19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03"/>
      <c r="B342" s="198"/>
      <c r="C342" s="403"/>
      <c r="D342" s="198"/>
      <c r="E342" s="403"/>
      <c r="F342" s="198"/>
      <c r="G342" s="403"/>
      <c r="H342" s="198"/>
      <c r="I342" s="403"/>
      <c r="J342" s="198"/>
      <c r="K342" s="403"/>
      <c r="L342" s="198"/>
      <c r="M342" s="403"/>
      <c r="N342" s="198"/>
      <c r="O342" s="403"/>
      <c r="P342" s="198"/>
      <c r="Q342" s="429"/>
      <c r="R342" s="76"/>
      <c r="S342" s="403"/>
      <c r="T342" s="198"/>
      <c r="U342" s="403"/>
      <c r="V342" s="19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03"/>
      <c r="B343" s="198"/>
      <c r="C343" s="403"/>
      <c r="D343" s="198"/>
      <c r="E343" s="403"/>
      <c r="F343" s="198"/>
      <c r="G343" s="403"/>
      <c r="H343" s="198"/>
      <c r="I343" s="403"/>
      <c r="J343" s="198"/>
      <c r="K343" s="403"/>
      <c r="L343" s="198"/>
      <c r="M343" s="403"/>
      <c r="N343" s="198"/>
      <c r="O343" s="403"/>
      <c r="P343" s="198"/>
      <c r="Q343" s="429"/>
      <c r="R343" s="76"/>
      <c r="S343" s="403"/>
      <c r="T343" s="198"/>
      <c r="U343" s="403"/>
      <c r="V343" s="19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03"/>
      <c r="B344" s="198"/>
      <c r="C344" s="403"/>
      <c r="D344" s="198"/>
      <c r="E344" s="403"/>
      <c r="F344" s="198"/>
      <c r="G344" s="403"/>
      <c r="H344" s="198"/>
      <c r="I344" s="403"/>
      <c r="J344" s="198"/>
      <c r="K344" s="403"/>
      <c r="L344" s="198"/>
      <c r="M344" s="403"/>
      <c r="N344" s="198"/>
      <c r="O344" s="403"/>
      <c r="P344" s="198"/>
      <c r="Q344" s="429"/>
      <c r="R344" s="76"/>
      <c r="S344" s="403"/>
      <c r="T344" s="198"/>
      <c r="U344" s="403"/>
      <c r="V344" s="19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03"/>
      <c r="B345" s="198"/>
      <c r="C345" s="403"/>
      <c r="D345" s="198"/>
      <c r="E345" s="403"/>
      <c r="F345" s="198"/>
      <c r="G345" s="403"/>
      <c r="H345" s="198"/>
      <c r="I345" s="403"/>
      <c r="J345" s="198"/>
      <c r="K345" s="403"/>
      <c r="L345" s="198"/>
      <c r="M345" s="403"/>
      <c r="N345" s="198"/>
      <c r="O345" s="403"/>
      <c r="P345" s="198"/>
      <c r="Q345" s="429"/>
      <c r="R345" s="76"/>
      <c r="S345" s="403"/>
      <c r="T345" s="198"/>
      <c r="U345" s="403"/>
      <c r="V345" s="19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03"/>
      <c r="B346" s="198"/>
      <c r="C346" s="403"/>
      <c r="D346" s="198"/>
      <c r="E346" s="403"/>
      <c r="F346" s="198"/>
      <c r="G346" s="403"/>
      <c r="H346" s="198"/>
      <c r="I346" s="403"/>
      <c r="J346" s="198"/>
      <c r="K346" s="403"/>
      <c r="L346" s="198"/>
      <c r="M346" s="403"/>
      <c r="N346" s="198"/>
      <c r="O346" s="403"/>
      <c r="P346" s="198"/>
      <c r="Q346" s="429"/>
      <c r="R346" s="76"/>
      <c r="S346" s="403"/>
      <c r="T346" s="198"/>
      <c r="U346" s="403"/>
      <c r="V346" s="19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03"/>
      <c r="B347" s="198"/>
      <c r="C347" s="403"/>
      <c r="D347" s="198"/>
      <c r="E347" s="403"/>
      <c r="F347" s="198"/>
      <c r="G347" s="403"/>
      <c r="H347" s="198"/>
      <c r="I347" s="403"/>
      <c r="J347" s="198"/>
      <c r="K347" s="403"/>
      <c r="L347" s="198"/>
      <c r="M347" s="403"/>
      <c r="N347" s="198"/>
      <c r="O347" s="403"/>
      <c r="P347" s="198"/>
      <c r="Q347" s="429"/>
      <c r="R347" s="76"/>
      <c r="S347" s="403"/>
      <c r="T347" s="198"/>
      <c r="U347" s="403"/>
      <c r="V347" s="19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03"/>
      <c r="B348" s="198"/>
      <c r="C348" s="403"/>
      <c r="D348" s="198"/>
      <c r="E348" s="403"/>
      <c r="F348" s="198"/>
      <c r="G348" s="403"/>
      <c r="H348" s="198"/>
      <c r="I348" s="403"/>
      <c r="J348" s="198"/>
      <c r="K348" s="403"/>
      <c r="L348" s="198"/>
      <c r="M348" s="403"/>
      <c r="N348" s="198"/>
      <c r="O348" s="403"/>
      <c r="P348" s="198"/>
      <c r="Q348" s="429"/>
      <c r="R348" s="76"/>
      <c r="S348" s="403"/>
      <c r="T348" s="198"/>
      <c r="U348" s="403"/>
      <c r="V348" s="19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03"/>
      <c r="B349" s="198"/>
      <c r="C349" s="403"/>
      <c r="D349" s="198"/>
      <c r="E349" s="403"/>
      <c r="F349" s="198"/>
      <c r="G349" s="403"/>
      <c r="H349" s="198"/>
      <c r="I349" s="403"/>
      <c r="J349" s="198"/>
      <c r="K349" s="403"/>
      <c r="L349" s="198"/>
      <c r="M349" s="403"/>
      <c r="N349" s="198"/>
      <c r="O349" s="403"/>
      <c r="P349" s="198"/>
      <c r="Q349" s="429"/>
      <c r="R349" s="76"/>
      <c r="S349" s="403"/>
      <c r="T349" s="198"/>
      <c r="U349" s="403"/>
      <c r="V349" s="19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03"/>
      <c r="B350" s="198"/>
      <c r="C350" s="403"/>
      <c r="D350" s="198"/>
      <c r="E350" s="403"/>
      <c r="F350" s="198"/>
      <c r="G350" s="403"/>
      <c r="H350" s="198"/>
      <c r="I350" s="403"/>
      <c r="J350" s="198"/>
      <c r="K350" s="403"/>
      <c r="L350" s="198"/>
      <c r="M350" s="403"/>
      <c r="N350" s="198"/>
      <c r="O350" s="403"/>
      <c r="P350" s="198"/>
      <c r="Q350" s="429"/>
      <c r="R350" s="76"/>
      <c r="S350" s="403"/>
      <c r="T350" s="198"/>
      <c r="U350" s="403"/>
      <c r="V350" s="19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03"/>
      <c r="B351" s="198"/>
      <c r="C351" s="403"/>
      <c r="D351" s="198"/>
      <c r="E351" s="403"/>
      <c r="F351" s="198"/>
      <c r="G351" s="403"/>
      <c r="H351" s="198"/>
      <c r="I351" s="403"/>
      <c r="J351" s="198"/>
      <c r="K351" s="403"/>
      <c r="L351" s="198"/>
      <c r="M351" s="403"/>
      <c r="N351" s="198"/>
      <c r="O351" s="403"/>
      <c r="P351" s="198"/>
      <c r="Q351" s="429"/>
      <c r="R351" s="76"/>
      <c r="S351" s="403"/>
      <c r="T351" s="198"/>
      <c r="U351" s="403"/>
      <c r="V351" s="19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03"/>
      <c r="B352" s="198"/>
      <c r="C352" s="403"/>
      <c r="D352" s="198"/>
      <c r="E352" s="403"/>
      <c r="F352" s="198"/>
      <c r="G352" s="403"/>
      <c r="H352" s="198"/>
      <c r="I352" s="403"/>
      <c r="J352" s="198"/>
      <c r="K352" s="403"/>
      <c r="L352" s="198"/>
      <c r="M352" s="403"/>
      <c r="N352" s="198"/>
      <c r="O352" s="403"/>
      <c r="P352" s="198"/>
      <c r="Q352" s="429"/>
      <c r="R352" s="76"/>
      <c r="S352" s="403"/>
      <c r="T352" s="198"/>
      <c r="U352" s="403"/>
      <c r="V352" s="19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03"/>
      <c r="B353" s="198"/>
      <c r="C353" s="403"/>
      <c r="D353" s="198"/>
      <c r="E353" s="403"/>
      <c r="F353" s="198"/>
      <c r="G353" s="403"/>
      <c r="H353" s="198"/>
      <c r="I353" s="403"/>
      <c r="J353" s="198"/>
      <c r="K353" s="403"/>
      <c r="L353" s="198"/>
      <c r="M353" s="403"/>
      <c r="N353" s="198"/>
      <c r="O353" s="403"/>
      <c r="P353" s="198"/>
      <c r="Q353" s="429"/>
      <c r="R353" s="76"/>
      <c r="S353" s="403"/>
      <c r="T353" s="198"/>
      <c r="U353" s="403"/>
      <c r="V353" s="19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03"/>
      <c r="B354" s="198"/>
      <c r="C354" s="403"/>
      <c r="D354" s="198"/>
      <c r="E354" s="403"/>
      <c r="F354" s="198"/>
      <c r="G354" s="403"/>
      <c r="H354" s="198"/>
      <c r="I354" s="403"/>
      <c r="J354" s="198"/>
      <c r="K354" s="403"/>
      <c r="L354" s="198"/>
      <c r="M354" s="403"/>
      <c r="N354" s="198"/>
      <c r="O354" s="403"/>
      <c r="P354" s="198"/>
      <c r="Q354" s="429"/>
      <c r="R354" s="76"/>
      <c r="S354" s="403"/>
      <c r="T354" s="198"/>
      <c r="U354" s="403"/>
      <c r="V354" s="19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03"/>
      <c r="B355" s="198"/>
      <c r="C355" s="403"/>
      <c r="D355" s="198"/>
      <c r="E355" s="403"/>
      <c r="F355" s="198"/>
      <c r="G355" s="403"/>
      <c r="H355" s="198"/>
      <c r="I355" s="403"/>
      <c r="J355" s="198"/>
      <c r="K355" s="403"/>
      <c r="L355" s="198"/>
      <c r="M355" s="403"/>
      <c r="N355" s="198"/>
      <c r="O355" s="403"/>
      <c r="P355" s="198"/>
      <c r="Q355" s="429"/>
      <c r="R355" s="76"/>
      <c r="S355" s="403"/>
      <c r="T355" s="198"/>
      <c r="U355" s="403"/>
      <c r="V355" s="19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03"/>
      <c r="B356" s="198"/>
      <c r="C356" s="403"/>
      <c r="D356" s="198"/>
      <c r="E356" s="403"/>
      <c r="F356" s="198"/>
      <c r="G356" s="403"/>
      <c r="H356" s="198"/>
      <c r="I356" s="403"/>
      <c r="J356" s="198"/>
      <c r="K356" s="403"/>
      <c r="L356" s="198"/>
      <c r="M356" s="403"/>
      <c r="N356" s="198"/>
      <c r="O356" s="403"/>
      <c r="P356" s="198"/>
      <c r="Q356" s="429"/>
      <c r="R356" s="76"/>
      <c r="S356" s="403"/>
      <c r="T356" s="198"/>
      <c r="U356" s="403"/>
      <c r="V356" s="19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03"/>
      <c r="B357" s="198"/>
      <c r="C357" s="403"/>
      <c r="D357" s="198"/>
      <c r="E357" s="403"/>
      <c r="F357" s="198"/>
      <c r="G357" s="403"/>
      <c r="H357" s="198"/>
      <c r="I357" s="403"/>
      <c r="J357" s="198"/>
      <c r="K357" s="403"/>
      <c r="L357" s="198"/>
      <c r="M357" s="403"/>
      <c r="N357" s="198"/>
      <c r="O357" s="403"/>
      <c r="P357" s="198"/>
      <c r="Q357" s="429"/>
      <c r="R357" s="76"/>
      <c r="S357" s="403"/>
      <c r="T357" s="198"/>
      <c r="U357" s="403"/>
      <c r="V357" s="19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03"/>
      <c r="B358" s="198"/>
      <c r="C358" s="403"/>
      <c r="D358" s="198"/>
      <c r="E358" s="403"/>
      <c r="F358" s="198"/>
      <c r="G358" s="403"/>
      <c r="H358" s="198"/>
      <c r="I358" s="403"/>
      <c r="J358" s="198"/>
      <c r="K358" s="403"/>
      <c r="L358" s="198"/>
      <c r="M358" s="403"/>
      <c r="N358" s="198"/>
      <c r="O358" s="403"/>
      <c r="P358" s="198"/>
      <c r="Q358" s="429"/>
      <c r="R358" s="76"/>
      <c r="S358" s="403"/>
      <c r="T358" s="198"/>
      <c r="U358" s="403"/>
      <c r="V358" s="19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03"/>
      <c r="B359" s="198"/>
      <c r="C359" s="403"/>
      <c r="D359" s="198"/>
      <c r="E359" s="403"/>
      <c r="F359" s="198"/>
      <c r="G359" s="403"/>
      <c r="H359" s="198"/>
      <c r="I359" s="403"/>
      <c r="J359" s="198"/>
      <c r="K359" s="403"/>
      <c r="L359" s="198"/>
      <c r="M359" s="403"/>
      <c r="N359" s="198"/>
      <c r="O359" s="403"/>
      <c r="P359" s="198"/>
      <c r="Q359" s="429"/>
      <c r="R359" s="76"/>
      <c r="S359" s="403"/>
      <c r="T359" s="198"/>
      <c r="U359" s="403"/>
      <c r="V359" s="19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03"/>
      <c r="B360" s="198"/>
      <c r="C360" s="403"/>
      <c r="D360" s="198"/>
      <c r="E360" s="403"/>
      <c r="F360" s="198"/>
      <c r="G360" s="403"/>
      <c r="H360" s="198"/>
      <c r="I360" s="403"/>
      <c r="J360" s="198"/>
      <c r="K360" s="403"/>
      <c r="L360" s="198"/>
      <c r="M360" s="403"/>
      <c r="N360" s="198"/>
      <c r="O360" s="403"/>
      <c r="P360" s="198"/>
      <c r="Q360" s="429"/>
      <c r="R360" s="76"/>
      <c r="S360" s="403"/>
      <c r="T360" s="198"/>
      <c r="U360" s="403"/>
      <c r="V360" s="19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03"/>
      <c r="B361" s="198"/>
      <c r="C361" s="403"/>
      <c r="D361" s="198"/>
      <c r="E361" s="403"/>
      <c r="F361" s="198"/>
      <c r="G361" s="403"/>
      <c r="H361" s="198"/>
      <c r="I361" s="403"/>
      <c r="J361" s="198"/>
      <c r="K361" s="403"/>
      <c r="L361" s="198"/>
      <c r="M361" s="403"/>
      <c r="N361" s="198"/>
      <c r="O361" s="403"/>
      <c r="P361" s="198"/>
      <c r="Q361" s="429"/>
      <c r="R361" s="76"/>
      <c r="S361" s="403"/>
      <c r="T361" s="198"/>
      <c r="U361" s="403"/>
      <c r="V361" s="19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03"/>
      <c r="B362" s="198"/>
      <c r="C362" s="403"/>
      <c r="D362" s="198"/>
      <c r="E362" s="403"/>
      <c r="F362" s="198"/>
      <c r="G362" s="403"/>
      <c r="H362" s="198"/>
      <c r="I362" s="403"/>
      <c r="J362" s="198"/>
      <c r="K362" s="403"/>
      <c r="L362" s="198"/>
      <c r="M362" s="403"/>
      <c r="N362" s="198"/>
      <c r="O362" s="403"/>
      <c r="P362" s="198"/>
      <c r="Q362" s="429"/>
      <c r="R362" s="76"/>
      <c r="S362" s="403"/>
      <c r="T362" s="198"/>
      <c r="U362" s="403"/>
      <c r="V362" s="19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03"/>
      <c r="B363" s="198"/>
      <c r="C363" s="403"/>
      <c r="D363" s="198"/>
      <c r="E363" s="403"/>
      <c r="F363" s="198"/>
      <c r="G363" s="403"/>
      <c r="H363" s="198"/>
      <c r="I363" s="403"/>
      <c r="J363" s="198"/>
      <c r="K363" s="403"/>
      <c r="L363" s="198"/>
      <c r="M363" s="403"/>
      <c r="N363" s="198"/>
      <c r="O363" s="403"/>
      <c r="P363" s="198"/>
      <c r="Q363" s="429"/>
      <c r="R363" s="76"/>
      <c r="S363" s="403"/>
      <c r="T363" s="198"/>
      <c r="U363" s="403"/>
      <c r="V363" s="19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03"/>
      <c r="B364" s="198"/>
      <c r="C364" s="403"/>
      <c r="D364" s="198"/>
      <c r="E364" s="403"/>
      <c r="F364" s="198"/>
      <c r="G364" s="403"/>
      <c r="H364" s="198"/>
      <c r="I364" s="403"/>
      <c r="J364" s="198"/>
      <c r="K364" s="403"/>
      <c r="L364" s="198"/>
      <c r="M364" s="403"/>
      <c r="N364" s="198"/>
      <c r="O364" s="403"/>
      <c r="P364" s="198"/>
      <c r="Q364" s="429"/>
      <c r="R364" s="76"/>
      <c r="S364" s="403"/>
      <c r="T364" s="198"/>
      <c r="U364" s="403"/>
      <c r="V364" s="19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03"/>
      <c r="B365" s="198"/>
      <c r="C365" s="403"/>
      <c r="D365" s="198"/>
      <c r="E365" s="403"/>
      <c r="F365" s="198"/>
      <c r="G365" s="403"/>
      <c r="H365" s="198"/>
      <c r="I365" s="403"/>
      <c r="J365" s="198"/>
      <c r="K365" s="403"/>
      <c r="L365" s="198"/>
      <c r="M365" s="403"/>
      <c r="N365" s="198"/>
      <c r="O365" s="403"/>
      <c r="P365" s="198"/>
      <c r="Q365" s="429"/>
      <c r="R365" s="76"/>
      <c r="S365" s="403"/>
      <c r="T365" s="198"/>
      <c r="U365" s="403"/>
      <c r="V365" s="19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03"/>
      <c r="B366" s="198"/>
      <c r="C366" s="403"/>
      <c r="D366" s="198"/>
      <c r="E366" s="403"/>
      <c r="F366" s="198"/>
      <c r="G366" s="403"/>
      <c r="H366" s="198"/>
      <c r="I366" s="403"/>
      <c r="J366" s="198"/>
      <c r="K366" s="403"/>
      <c r="L366" s="198"/>
      <c r="M366" s="403"/>
      <c r="N366" s="198"/>
      <c r="O366" s="403"/>
      <c r="P366" s="198"/>
      <c r="Q366" s="429"/>
      <c r="R366" s="76"/>
      <c r="S366" s="403"/>
      <c r="T366" s="198"/>
      <c r="U366" s="403"/>
      <c r="V366" s="19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03"/>
      <c r="B367" s="198"/>
      <c r="C367" s="403"/>
      <c r="D367" s="198"/>
      <c r="E367" s="403"/>
      <c r="F367" s="198"/>
      <c r="G367" s="403"/>
      <c r="H367" s="198"/>
      <c r="I367" s="403"/>
      <c r="J367" s="198"/>
      <c r="K367" s="403"/>
      <c r="L367" s="198"/>
      <c r="M367" s="403"/>
      <c r="N367" s="198"/>
      <c r="O367" s="403"/>
      <c r="P367" s="198"/>
      <c r="Q367" s="429"/>
      <c r="R367" s="76"/>
      <c r="S367" s="403"/>
      <c r="T367" s="198"/>
      <c r="U367" s="403"/>
      <c r="V367" s="19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03"/>
      <c r="B368" s="198"/>
      <c r="C368" s="403"/>
      <c r="D368" s="198"/>
      <c r="E368" s="403"/>
      <c r="F368" s="198"/>
      <c r="G368" s="403"/>
      <c r="H368" s="198"/>
      <c r="I368" s="403"/>
      <c r="J368" s="198"/>
      <c r="K368" s="403"/>
      <c r="L368" s="198"/>
      <c r="M368" s="403"/>
      <c r="N368" s="198"/>
      <c r="O368" s="403"/>
      <c r="P368" s="198"/>
      <c r="Q368" s="429"/>
      <c r="R368" s="76"/>
      <c r="S368" s="403"/>
      <c r="T368" s="198"/>
      <c r="U368" s="403"/>
      <c r="V368" s="19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03"/>
      <c r="B369" s="198"/>
      <c r="C369" s="403"/>
      <c r="D369" s="198"/>
      <c r="E369" s="403"/>
      <c r="F369" s="198"/>
      <c r="G369" s="403"/>
      <c r="H369" s="198"/>
      <c r="I369" s="403"/>
      <c r="J369" s="198"/>
      <c r="K369" s="403"/>
      <c r="L369" s="198"/>
      <c r="M369" s="403"/>
      <c r="N369" s="198"/>
      <c r="O369" s="403"/>
      <c r="P369" s="198"/>
      <c r="Q369" s="429"/>
      <c r="R369" s="76"/>
      <c r="S369" s="403"/>
      <c r="T369" s="198"/>
      <c r="U369" s="403"/>
      <c r="V369" s="19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03"/>
      <c r="B370" s="198"/>
      <c r="C370" s="403"/>
      <c r="D370" s="198"/>
      <c r="E370" s="403"/>
      <c r="F370" s="198"/>
      <c r="G370" s="403"/>
      <c r="H370" s="198"/>
      <c r="I370" s="403"/>
      <c r="J370" s="198"/>
      <c r="K370" s="403"/>
      <c r="L370" s="198"/>
      <c r="M370" s="403"/>
      <c r="N370" s="198"/>
      <c r="O370" s="403"/>
      <c r="P370" s="198"/>
      <c r="Q370" s="429"/>
      <c r="R370" s="76"/>
      <c r="S370" s="403"/>
      <c r="T370" s="198"/>
      <c r="U370" s="403"/>
      <c r="V370" s="19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03"/>
      <c r="B371" s="198"/>
      <c r="C371" s="403"/>
      <c r="D371" s="198"/>
      <c r="E371" s="403"/>
      <c r="F371" s="198"/>
      <c r="G371" s="403"/>
      <c r="H371" s="198"/>
      <c r="I371" s="403"/>
      <c r="J371" s="198"/>
      <c r="K371" s="403"/>
      <c r="L371" s="198"/>
      <c r="M371" s="403"/>
      <c r="N371" s="198"/>
      <c r="O371" s="403"/>
      <c r="P371" s="198"/>
      <c r="Q371" s="429"/>
      <c r="R371" s="76"/>
      <c r="S371" s="403"/>
      <c r="T371" s="198"/>
      <c r="U371" s="403"/>
      <c r="V371" s="19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03"/>
      <c r="B372" s="198"/>
      <c r="C372" s="403"/>
      <c r="D372" s="198"/>
      <c r="E372" s="403"/>
      <c r="F372" s="198"/>
      <c r="G372" s="403"/>
      <c r="H372" s="198"/>
      <c r="I372" s="403"/>
      <c r="J372" s="198"/>
      <c r="K372" s="403"/>
      <c r="L372" s="198"/>
      <c r="M372" s="403"/>
      <c r="N372" s="198"/>
      <c r="O372" s="403"/>
      <c r="P372" s="198"/>
      <c r="Q372" s="429"/>
      <c r="R372" s="76"/>
      <c r="S372" s="403"/>
      <c r="T372" s="198"/>
      <c r="U372" s="403"/>
      <c r="V372" s="19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03"/>
      <c r="B373" s="198"/>
      <c r="C373" s="403"/>
      <c r="D373" s="198"/>
      <c r="E373" s="403"/>
      <c r="F373" s="198"/>
      <c r="G373" s="403"/>
      <c r="H373" s="198"/>
      <c r="I373" s="403"/>
      <c r="J373" s="198"/>
      <c r="K373" s="403"/>
      <c r="L373" s="198"/>
      <c r="M373" s="403"/>
      <c r="N373" s="198"/>
      <c r="O373" s="403"/>
      <c r="P373" s="198"/>
      <c r="Q373" s="429"/>
      <c r="R373" s="76"/>
      <c r="S373" s="403"/>
      <c r="T373" s="198"/>
      <c r="U373" s="403"/>
      <c r="V373" s="19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03"/>
      <c r="B374" s="198"/>
      <c r="C374" s="403"/>
      <c r="D374" s="198"/>
      <c r="E374" s="403"/>
      <c r="F374" s="198"/>
      <c r="G374" s="403"/>
      <c r="H374" s="198"/>
      <c r="I374" s="403"/>
      <c r="J374" s="198"/>
      <c r="K374" s="403"/>
      <c r="L374" s="198"/>
      <c r="M374" s="403"/>
      <c r="N374" s="198"/>
      <c r="O374" s="403"/>
      <c r="P374" s="198"/>
      <c r="Q374" s="429"/>
      <c r="R374" s="76"/>
      <c r="S374" s="403"/>
      <c r="T374" s="198"/>
      <c r="U374" s="403"/>
      <c r="V374" s="19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03"/>
      <c r="B375" s="198"/>
      <c r="C375" s="403"/>
      <c r="D375" s="198"/>
      <c r="E375" s="403"/>
      <c r="F375" s="198"/>
      <c r="G375" s="403"/>
      <c r="H375" s="198"/>
      <c r="I375" s="403"/>
      <c r="J375" s="198"/>
      <c r="K375" s="403"/>
      <c r="L375" s="198"/>
      <c r="M375" s="403"/>
      <c r="N375" s="198"/>
      <c r="O375" s="403"/>
      <c r="P375" s="198"/>
      <c r="Q375" s="429"/>
      <c r="R375" s="76"/>
      <c r="S375" s="403"/>
      <c r="T375" s="198"/>
      <c r="U375" s="403"/>
      <c r="V375" s="19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03"/>
      <c r="B376" s="198"/>
      <c r="C376" s="403"/>
      <c r="D376" s="198"/>
      <c r="E376" s="403"/>
      <c r="F376" s="198"/>
      <c r="G376" s="403"/>
      <c r="H376" s="198"/>
      <c r="I376" s="403"/>
      <c r="J376" s="198"/>
      <c r="K376" s="403"/>
      <c r="L376" s="198"/>
      <c r="M376" s="403"/>
      <c r="N376" s="198"/>
      <c r="O376" s="403"/>
      <c r="P376" s="198"/>
      <c r="Q376" s="429"/>
      <c r="R376" s="76"/>
      <c r="S376" s="403"/>
      <c r="T376" s="198"/>
      <c r="U376" s="403"/>
      <c r="V376" s="19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03"/>
      <c r="B377" s="198"/>
      <c r="C377" s="403"/>
      <c r="D377" s="198"/>
      <c r="E377" s="403"/>
      <c r="F377" s="198"/>
      <c r="G377" s="403"/>
      <c r="H377" s="198"/>
      <c r="I377" s="403"/>
      <c r="J377" s="198"/>
      <c r="K377" s="403"/>
      <c r="L377" s="198"/>
      <c r="M377" s="403"/>
      <c r="N377" s="198"/>
      <c r="O377" s="403"/>
      <c r="P377" s="198"/>
      <c r="Q377" s="429"/>
      <c r="R377" s="76"/>
      <c r="S377" s="403"/>
      <c r="T377" s="198"/>
      <c r="U377" s="403"/>
      <c r="V377" s="19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03"/>
      <c r="B378" s="198"/>
      <c r="C378" s="403"/>
      <c r="D378" s="198"/>
      <c r="E378" s="403"/>
      <c r="F378" s="198"/>
      <c r="G378" s="403"/>
      <c r="H378" s="198"/>
      <c r="I378" s="403"/>
      <c r="J378" s="198"/>
      <c r="K378" s="403"/>
      <c r="L378" s="198"/>
      <c r="M378" s="403"/>
      <c r="N378" s="198"/>
      <c r="O378" s="403"/>
      <c r="P378" s="198"/>
      <c r="Q378" s="429"/>
      <c r="R378" s="76"/>
      <c r="S378" s="403"/>
      <c r="T378" s="198"/>
      <c r="U378" s="403"/>
      <c r="V378" s="19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03"/>
      <c r="B379" s="198"/>
      <c r="C379" s="403"/>
      <c r="D379" s="198"/>
      <c r="E379" s="403"/>
      <c r="F379" s="198"/>
      <c r="G379" s="403"/>
      <c r="H379" s="198"/>
      <c r="I379" s="403"/>
      <c r="J379" s="198"/>
      <c r="K379" s="403"/>
      <c r="L379" s="198"/>
      <c r="M379" s="403"/>
      <c r="N379" s="198"/>
      <c r="O379" s="403"/>
      <c r="P379" s="198"/>
      <c r="Q379" s="429"/>
      <c r="R379" s="76"/>
      <c r="S379" s="403"/>
      <c r="T379" s="198"/>
      <c r="U379" s="403"/>
      <c r="V379" s="19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03"/>
      <c r="B380" s="198"/>
      <c r="C380" s="403"/>
      <c r="D380" s="198"/>
      <c r="E380" s="403"/>
      <c r="F380" s="198"/>
      <c r="G380" s="403"/>
      <c r="H380" s="198"/>
      <c r="I380" s="403"/>
      <c r="J380" s="198"/>
      <c r="K380" s="403"/>
      <c r="L380" s="198"/>
      <c r="M380" s="403"/>
      <c r="N380" s="198"/>
      <c r="O380" s="403"/>
      <c r="P380" s="198"/>
      <c r="Q380" s="429"/>
      <c r="R380" s="76"/>
      <c r="S380" s="403"/>
      <c r="T380" s="198"/>
      <c r="U380" s="403"/>
      <c r="V380" s="19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03"/>
      <c r="B381" s="198"/>
      <c r="C381" s="403"/>
      <c r="D381" s="198"/>
      <c r="E381" s="403"/>
      <c r="F381" s="198"/>
      <c r="G381" s="403"/>
      <c r="H381" s="198"/>
      <c r="I381" s="403"/>
      <c r="J381" s="198"/>
      <c r="K381" s="403"/>
      <c r="L381" s="198"/>
      <c r="M381" s="403"/>
      <c r="N381" s="198"/>
      <c r="O381" s="403"/>
      <c r="P381" s="198"/>
      <c r="Q381" s="429"/>
      <c r="R381" s="76"/>
      <c r="S381" s="403"/>
      <c r="T381" s="198"/>
      <c r="U381" s="403"/>
      <c r="V381" s="19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03"/>
      <c r="B382" s="198"/>
      <c r="C382" s="403"/>
      <c r="D382" s="198"/>
      <c r="E382" s="403"/>
      <c r="F382" s="198"/>
      <c r="G382" s="403"/>
      <c r="H382" s="198"/>
      <c r="I382" s="403"/>
      <c r="J382" s="198"/>
      <c r="K382" s="403"/>
      <c r="L382" s="198"/>
      <c r="M382" s="403"/>
      <c r="N382" s="198"/>
      <c r="O382" s="403"/>
      <c r="P382" s="198"/>
      <c r="Q382" s="429"/>
      <c r="R382" s="76"/>
      <c r="S382" s="403"/>
      <c r="T382" s="198"/>
      <c r="U382" s="403"/>
      <c r="V382" s="19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03"/>
      <c r="B383" s="198"/>
      <c r="C383" s="403"/>
      <c r="D383" s="198"/>
      <c r="E383" s="403"/>
      <c r="F383" s="198"/>
      <c r="G383" s="403"/>
      <c r="H383" s="198"/>
      <c r="I383" s="403"/>
      <c r="J383" s="198"/>
      <c r="K383" s="403"/>
      <c r="L383" s="198"/>
      <c r="M383" s="403"/>
      <c r="N383" s="198"/>
      <c r="O383" s="403"/>
      <c r="P383" s="198"/>
      <c r="Q383" s="429"/>
      <c r="R383" s="76"/>
      <c r="S383" s="403"/>
      <c r="T383" s="198"/>
      <c r="U383" s="403"/>
      <c r="V383" s="19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03"/>
      <c r="B384" s="198"/>
      <c r="C384" s="403"/>
      <c r="D384" s="198"/>
      <c r="E384" s="403"/>
      <c r="F384" s="198"/>
      <c r="G384" s="403"/>
      <c r="H384" s="198"/>
      <c r="I384" s="403"/>
      <c r="J384" s="198"/>
      <c r="K384" s="403"/>
      <c r="L384" s="198"/>
      <c r="M384" s="403"/>
      <c r="N384" s="198"/>
      <c r="O384" s="403"/>
      <c r="P384" s="198"/>
      <c r="Q384" s="429"/>
      <c r="R384" s="76"/>
      <c r="S384" s="403"/>
      <c r="T384" s="198"/>
      <c r="U384" s="403"/>
      <c r="V384" s="19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03"/>
      <c r="B385" s="198"/>
      <c r="C385" s="403"/>
      <c r="D385" s="198"/>
      <c r="E385" s="403"/>
      <c r="F385" s="198"/>
      <c r="G385" s="403"/>
      <c r="H385" s="198"/>
      <c r="I385" s="403"/>
      <c r="J385" s="198"/>
      <c r="K385" s="403"/>
      <c r="L385" s="198"/>
      <c r="M385" s="403"/>
      <c r="N385" s="198"/>
      <c r="O385" s="403"/>
      <c r="P385" s="198"/>
      <c r="Q385" s="429"/>
      <c r="R385" s="76"/>
      <c r="S385" s="403"/>
      <c r="T385" s="198"/>
      <c r="U385" s="403"/>
      <c r="V385" s="19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03"/>
      <c r="B386" s="198"/>
      <c r="C386" s="403"/>
      <c r="D386" s="198"/>
      <c r="E386" s="403"/>
      <c r="F386" s="198"/>
      <c r="G386" s="403"/>
      <c r="H386" s="198"/>
      <c r="I386" s="403"/>
      <c r="J386" s="198"/>
      <c r="K386" s="403"/>
      <c r="L386" s="198"/>
      <c r="M386" s="403"/>
      <c r="N386" s="198"/>
      <c r="O386" s="403"/>
      <c r="P386" s="198"/>
      <c r="Q386" s="429"/>
      <c r="R386" s="76"/>
      <c r="S386" s="403"/>
      <c r="T386" s="198"/>
      <c r="U386" s="403"/>
      <c r="V386" s="19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03"/>
      <c r="B387" s="198"/>
      <c r="C387" s="403"/>
      <c r="D387" s="198"/>
      <c r="E387" s="403"/>
      <c r="F387" s="198"/>
      <c r="G387" s="403"/>
      <c r="H387" s="198"/>
      <c r="I387" s="403"/>
      <c r="J387" s="198"/>
      <c r="K387" s="403"/>
      <c r="L387" s="198"/>
      <c r="M387" s="403"/>
      <c r="N387" s="198"/>
      <c r="O387" s="403"/>
      <c r="P387" s="198"/>
      <c r="Q387" s="429"/>
      <c r="R387" s="76"/>
      <c r="S387" s="403"/>
      <c r="T387" s="198"/>
      <c r="U387" s="403"/>
      <c r="V387" s="19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03"/>
      <c r="B388" s="198"/>
      <c r="C388" s="403"/>
      <c r="D388" s="198"/>
      <c r="E388" s="403"/>
      <c r="F388" s="198"/>
      <c r="G388" s="403"/>
      <c r="H388" s="198"/>
      <c r="I388" s="403"/>
      <c r="J388" s="198"/>
      <c r="K388" s="403"/>
      <c r="L388" s="198"/>
      <c r="M388" s="403"/>
      <c r="N388" s="198"/>
      <c r="O388" s="403"/>
      <c r="P388" s="198"/>
      <c r="Q388" s="429"/>
      <c r="R388" s="76"/>
      <c r="S388" s="403"/>
      <c r="T388" s="198"/>
      <c r="U388" s="403"/>
      <c r="V388" s="19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03"/>
      <c r="B389" s="198"/>
      <c r="C389" s="403"/>
      <c r="D389" s="198"/>
      <c r="E389" s="403"/>
      <c r="F389" s="198"/>
      <c r="G389" s="403"/>
      <c r="H389" s="198"/>
      <c r="I389" s="403"/>
      <c r="J389" s="198"/>
      <c r="K389" s="403"/>
      <c r="L389" s="198"/>
      <c r="M389" s="403"/>
      <c r="N389" s="198"/>
      <c r="O389" s="403"/>
      <c r="P389" s="198"/>
      <c r="Q389" s="429"/>
      <c r="R389" s="76"/>
      <c r="S389" s="403"/>
      <c r="T389" s="198"/>
      <c r="U389" s="403"/>
      <c r="V389" s="19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03"/>
      <c r="B390" s="198"/>
      <c r="C390" s="403"/>
      <c r="D390" s="198"/>
      <c r="E390" s="403"/>
      <c r="F390" s="198"/>
      <c r="G390" s="403"/>
      <c r="H390" s="198"/>
      <c r="I390" s="403"/>
      <c r="J390" s="198"/>
      <c r="K390" s="403"/>
      <c r="L390" s="198"/>
      <c r="M390" s="403"/>
      <c r="N390" s="198"/>
      <c r="O390" s="403"/>
      <c r="P390" s="198"/>
      <c r="Q390" s="429"/>
      <c r="R390" s="76"/>
      <c r="S390" s="403"/>
      <c r="T390" s="198"/>
      <c r="U390" s="403"/>
      <c r="V390" s="19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03"/>
      <c r="B391" s="198"/>
      <c r="C391" s="403"/>
      <c r="D391" s="198"/>
      <c r="E391" s="403"/>
      <c r="F391" s="198"/>
      <c r="G391" s="403"/>
      <c r="H391" s="198"/>
      <c r="I391" s="403"/>
      <c r="J391" s="198"/>
      <c r="K391" s="403"/>
      <c r="L391" s="198"/>
      <c r="M391" s="403"/>
      <c r="N391" s="198"/>
      <c r="O391" s="403"/>
      <c r="P391" s="198"/>
      <c r="Q391" s="429"/>
      <c r="R391" s="76"/>
      <c r="S391" s="403"/>
      <c r="T391" s="198"/>
      <c r="U391" s="403"/>
      <c r="V391" s="19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03"/>
      <c r="B392" s="198"/>
      <c r="C392" s="403"/>
      <c r="D392" s="198"/>
      <c r="E392" s="403"/>
      <c r="F392" s="198"/>
      <c r="G392" s="403"/>
      <c r="H392" s="198"/>
      <c r="I392" s="403"/>
      <c r="J392" s="198"/>
      <c r="K392" s="403"/>
      <c r="L392" s="198"/>
      <c r="M392" s="403"/>
      <c r="N392" s="198"/>
      <c r="O392" s="403"/>
      <c r="P392" s="198"/>
      <c r="Q392" s="429"/>
      <c r="R392" s="76"/>
      <c r="S392" s="403"/>
      <c r="T392" s="198"/>
      <c r="U392" s="403"/>
      <c r="V392" s="19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03"/>
      <c r="B393" s="198"/>
      <c r="C393" s="403"/>
      <c r="D393" s="198"/>
      <c r="E393" s="403"/>
      <c r="F393" s="198"/>
      <c r="G393" s="403"/>
      <c r="H393" s="198"/>
      <c r="I393" s="403"/>
      <c r="J393" s="198"/>
      <c r="K393" s="403"/>
      <c r="L393" s="198"/>
      <c r="M393" s="403"/>
      <c r="N393" s="198"/>
      <c r="O393" s="403"/>
      <c r="P393" s="198"/>
      <c r="Q393" s="429"/>
      <c r="R393" s="76"/>
      <c r="S393" s="403"/>
      <c r="T393" s="198"/>
      <c r="U393" s="403"/>
      <c r="V393" s="19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03"/>
      <c r="B394" s="198"/>
      <c r="C394" s="403"/>
      <c r="D394" s="198"/>
      <c r="E394" s="403"/>
      <c r="F394" s="198"/>
      <c r="G394" s="403"/>
      <c r="H394" s="198"/>
      <c r="I394" s="403"/>
      <c r="J394" s="198"/>
      <c r="K394" s="403"/>
      <c r="L394" s="198"/>
      <c r="M394" s="403"/>
      <c r="N394" s="198"/>
      <c r="O394" s="403"/>
      <c r="P394" s="198"/>
      <c r="Q394" s="429"/>
      <c r="R394" s="76"/>
      <c r="S394" s="403"/>
      <c r="T394" s="198"/>
      <c r="U394" s="403"/>
      <c r="V394" s="19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03"/>
      <c r="B395" s="198"/>
      <c r="C395" s="403"/>
      <c r="D395" s="198"/>
      <c r="E395" s="403"/>
      <c r="F395" s="198"/>
      <c r="G395" s="403"/>
      <c r="H395" s="198"/>
      <c r="I395" s="403"/>
      <c r="J395" s="198"/>
      <c r="K395" s="403"/>
      <c r="L395" s="198"/>
      <c r="M395" s="403"/>
      <c r="N395" s="198"/>
      <c r="O395" s="403"/>
      <c r="P395" s="198"/>
      <c r="Q395" s="429"/>
      <c r="R395" s="76"/>
      <c r="S395" s="403"/>
      <c r="T395" s="198"/>
      <c r="U395" s="403"/>
      <c r="V395" s="19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03"/>
      <c r="B396" s="198"/>
      <c r="C396" s="403"/>
      <c r="D396" s="198"/>
      <c r="E396" s="403"/>
      <c r="F396" s="198"/>
      <c r="G396" s="403"/>
      <c r="H396" s="198"/>
      <c r="I396" s="403"/>
      <c r="J396" s="198"/>
      <c r="K396" s="403"/>
      <c r="L396" s="198"/>
      <c r="M396" s="403"/>
      <c r="N396" s="198"/>
      <c r="O396" s="403"/>
      <c r="P396" s="198"/>
      <c r="Q396" s="429"/>
      <c r="R396" s="76"/>
      <c r="S396" s="403"/>
      <c r="T396" s="198"/>
      <c r="U396" s="403"/>
      <c r="V396" s="19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03"/>
      <c r="B397" s="198"/>
      <c r="C397" s="403"/>
      <c r="D397" s="198"/>
      <c r="E397" s="403"/>
      <c r="F397" s="198"/>
      <c r="G397" s="403"/>
      <c r="H397" s="198"/>
      <c r="I397" s="403"/>
      <c r="J397" s="198"/>
      <c r="K397" s="403"/>
      <c r="L397" s="198"/>
      <c r="M397" s="403"/>
      <c r="N397" s="198"/>
      <c r="O397" s="403"/>
      <c r="P397" s="198"/>
      <c r="Q397" s="429"/>
      <c r="R397" s="76"/>
      <c r="S397" s="403"/>
      <c r="T397" s="198"/>
      <c r="U397" s="403"/>
      <c r="V397" s="19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03"/>
      <c r="B398" s="198"/>
      <c r="C398" s="403"/>
      <c r="D398" s="198"/>
      <c r="E398" s="403"/>
      <c r="F398" s="198"/>
      <c r="G398" s="403"/>
      <c r="H398" s="198"/>
      <c r="I398" s="403"/>
      <c r="J398" s="198"/>
      <c r="K398" s="403"/>
      <c r="L398" s="198"/>
      <c r="M398" s="403"/>
      <c r="N398" s="198"/>
      <c r="O398" s="403"/>
      <c r="P398" s="198"/>
      <c r="Q398" s="429"/>
      <c r="R398" s="76"/>
      <c r="S398" s="403"/>
      <c r="T398" s="198"/>
      <c r="U398" s="403"/>
      <c r="V398" s="19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03"/>
      <c r="B399" s="198"/>
      <c r="C399" s="403"/>
      <c r="D399" s="198"/>
      <c r="E399" s="403"/>
      <c r="F399" s="198"/>
      <c r="G399" s="403"/>
      <c r="H399" s="198"/>
      <c r="I399" s="403"/>
      <c r="J399" s="198"/>
      <c r="K399" s="403"/>
      <c r="L399" s="198"/>
      <c r="M399" s="403"/>
      <c r="N399" s="198"/>
      <c r="O399" s="403"/>
      <c r="P399" s="198"/>
      <c r="Q399" s="429"/>
      <c r="R399" s="76"/>
      <c r="S399" s="403"/>
      <c r="T399" s="198"/>
      <c r="U399" s="403"/>
      <c r="V399" s="19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03"/>
      <c r="B400" s="198"/>
      <c r="C400" s="403"/>
      <c r="D400" s="198"/>
      <c r="E400" s="403"/>
      <c r="F400" s="198"/>
      <c r="G400" s="403"/>
      <c r="H400" s="198"/>
      <c r="I400" s="403"/>
      <c r="J400" s="198"/>
      <c r="K400" s="403"/>
      <c r="L400" s="198"/>
      <c r="M400" s="403"/>
      <c r="N400" s="198"/>
      <c r="O400" s="403"/>
      <c r="P400" s="198"/>
      <c r="Q400" s="429"/>
      <c r="R400" s="76"/>
      <c r="S400" s="403"/>
      <c r="T400" s="198"/>
      <c r="U400" s="403"/>
      <c r="V400" s="19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03"/>
      <c r="B401" s="198"/>
      <c r="C401" s="403"/>
      <c r="D401" s="198"/>
      <c r="E401" s="403"/>
      <c r="F401" s="198"/>
      <c r="G401" s="403"/>
      <c r="H401" s="198"/>
      <c r="I401" s="403"/>
      <c r="J401" s="198"/>
      <c r="K401" s="403"/>
      <c r="L401" s="198"/>
      <c r="M401" s="403"/>
      <c r="N401" s="198"/>
      <c r="O401" s="403"/>
      <c r="P401" s="198"/>
      <c r="Q401" s="429"/>
      <c r="R401" s="76"/>
      <c r="S401" s="403"/>
      <c r="T401" s="198"/>
      <c r="U401" s="403"/>
      <c r="V401" s="19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03"/>
      <c r="B402" s="198"/>
      <c r="C402" s="403"/>
      <c r="D402" s="198"/>
      <c r="E402" s="403"/>
      <c r="F402" s="198"/>
      <c r="G402" s="403"/>
      <c r="H402" s="198"/>
      <c r="I402" s="403"/>
      <c r="J402" s="198"/>
      <c r="K402" s="403"/>
      <c r="L402" s="198"/>
      <c r="M402" s="403"/>
      <c r="N402" s="198"/>
      <c r="O402" s="403"/>
      <c r="P402" s="198"/>
      <c r="Q402" s="429"/>
      <c r="R402" s="76"/>
      <c r="S402" s="403"/>
      <c r="T402" s="198"/>
      <c r="U402" s="403"/>
      <c r="V402" s="19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03"/>
      <c r="B403" s="198"/>
      <c r="C403" s="403"/>
      <c r="D403" s="198"/>
      <c r="E403" s="403"/>
      <c r="F403" s="198"/>
      <c r="G403" s="403"/>
      <c r="H403" s="198"/>
      <c r="I403" s="403"/>
      <c r="J403" s="198"/>
      <c r="K403" s="403"/>
      <c r="L403" s="198"/>
      <c r="M403" s="403"/>
      <c r="N403" s="198"/>
      <c r="O403" s="403"/>
      <c r="P403" s="198"/>
      <c r="Q403" s="429"/>
      <c r="R403" s="76"/>
      <c r="S403" s="403"/>
      <c r="T403" s="198"/>
      <c r="U403" s="403"/>
      <c r="V403" s="19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03"/>
      <c r="B404" s="198"/>
      <c r="C404" s="403"/>
      <c r="D404" s="198"/>
      <c r="E404" s="403"/>
      <c r="F404" s="198"/>
      <c r="G404" s="403"/>
      <c r="H404" s="198"/>
      <c r="I404" s="403"/>
      <c r="J404" s="198"/>
      <c r="K404" s="403"/>
      <c r="L404" s="198"/>
      <c r="M404" s="403"/>
      <c r="N404" s="198"/>
      <c r="O404" s="403"/>
      <c r="P404" s="198"/>
      <c r="Q404" s="429"/>
      <c r="R404" s="76"/>
      <c r="S404" s="403"/>
      <c r="T404" s="198"/>
      <c r="U404" s="403"/>
      <c r="V404" s="19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03"/>
      <c r="B405" s="198"/>
      <c r="C405" s="403"/>
      <c r="D405" s="198"/>
      <c r="E405" s="403"/>
      <c r="F405" s="198"/>
      <c r="G405" s="403"/>
      <c r="H405" s="198"/>
      <c r="I405" s="403"/>
      <c r="J405" s="198"/>
      <c r="K405" s="403"/>
      <c r="L405" s="198"/>
      <c r="M405" s="403"/>
      <c r="N405" s="198"/>
      <c r="O405" s="403"/>
      <c r="P405" s="198"/>
      <c r="Q405" s="429"/>
      <c r="R405" s="76"/>
      <c r="S405" s="403"/>
      <c r="T405" s="198"/>
      <c r="U405" s="403"/>
      <c r="V405" s="19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03"/>
      <c r="B406" s="198"/>
      <c r="C406" s="403"/>
      <c r="D406" s="198"/>
      <c r="E406" s="403"/>
      <c r="F406" s="198"/>
      <c r="G406" s="403"/>
      <c r="H406" s="198"/>
      <c r="I406" s="403"/>
      <c r="J406" s="198"/>
      <c r="K406" s="403"/>
      <c r="L406" s="198"/>
      <c r="M406" s="403"/>
      <c r="N406" s="198"/>
      <c r="O406" s="403"/>
      <c r="P406" s="198"/>
      <c r="Q406" s="429"/>
      <c r="R406" s="76"/>
      <c r="S406" s="403"/>
      <c r="T406" s="198"/>
      <c r="U406" s="403"/>
      <c r="V406" s="19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03"/>
      <c r="B407" s="198"/>
      <c r="C407" s="403"/>
      <c r="D407" s="198"/>
      <c r="E407" s="403"/>
      <c r="F407" s="198"/>
      <c r="G407" s="403"/>
      <c r="H407" s="198"/>
      <c r="I407" s="403"/>
      <c r="J407" s="198"/>
      <c r="K407" s="403"/>
      <c r="L407" s="198"/>
      <c r="M407" s="403"/>
      <c r="N407" s="198"/>
      <c r="O407" s="403"/>
      <c r="P407" s="198"/>
      <c r="Q407" s="429"/>
      <c r="R407" s="76"/>
      <c r="S407" s="403"/>
      <c r="T407" s="198"/>
      <c r="U407" s="403"/>
      <c r="V407" s="19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03"/>
      <c r="B408" s="198"/>
      <c r="C408" s="403"/>
      <c r="D408" s="198"/>
      <c r="E408" s="403"/>
      <c r="F408" s="198"/>
      <c r="G408" s="403"/>
      <c r="H408" s="198"/>
      <c r="I408" s="403"/>
      <c r="J408" s="198"/>
      <c r="K408" s="403"/>
      <c r="L408" s="198"/>
      <c r="M408" s="403"/>
      <c r="N408" s="198"/>
      <c r="O408" s="403"/>
      <c r="P408" s="198"/>
      <c r="Q408" s="429"/>
      <c r="R408" s="76"/>
      <c r="S408" s="403"/>
      <c r="T408" s="198"/>
      <c r="U408" s="403"/>
      <c r="V408" s="19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03"/>
      <c r="B409" s="198"/>
      <c r="C409" s="403"/>
      <c r="D409" s="198"/>
      <c r="E409" s="403"/>
      <c r="F409" s="198"/>
      <c r="G409" s="403"/>
      <c r="H409" s="198"/>
      <c r="I409" s="403"/>
      <c r="J409" s="198"/>
      <c r="K409" s="403"/>
      <c r="L409" s="198"/>
      <c r="M409" s="403"/>
      <c r="N409" s="198"/>
      <c r="O409" s="403"/>
      <c r="P409" s="198"/>
      <c r="Q409" s="429"/>
      <c r="R409" s="76"/>
      <c r="S409" s="403"/>
      <c r="T409" s="198"/>
      <c r="U409" s="403"/>
      <c r="V409" s="19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03"/>
      <c r="B410" s="198"/>
      <c r="C410" s="403"/>
      <c r="D410" s="198"/>
      <c r="E410" s="403"/>
      <c r="F410" s="198"/>
      <c r="G410" s="403"/>
      <c r="H410" s="198"/>
      <c r="I410" s="403"/>
      <c r="J410" s="198"/>
      <c r="K410" s="403"/>
      <c r="L410" s="198"/>
      <c r="M410" s="403"/>
      <c r="N410" s="198"/>
      <c r="O410" s="403"/>
      <c r="P410" s="198"/>
      <c r="Q410" s="429"/>
      <c r="R410" s="76"/>
      <c r="S410" s="403"/>
      <c r="T410" s="198"/>
      <c r="U410" s="403"/>
      <c r="V410" s="19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03"/>
      <c r="B411" s="198"/>
      <c r="C411" s="403"/>
      <c r="D411" s="198"/>
      <c r="E411" s="403"/>
      <c r="F411" s="198"/>
      <c r="G411" s="403"/>
      <c r="H411" s="198"/>
      <c r="I411" s="403"/>
      <c r="J411" s="198"/>
      <c r="K411" s="403"/>
      <c r="L411" s="198"/>
      <c r="M411" s="403"/>
      <c r="N411" s="198"/>
      <c r="O411" s="403"/>
      <c r="P411" s="198"/>
      <c r="Q411" s="429"/>
      <c r="R411" s="76"/>
      <c r="S411" s="403"/>
      <c r="T411" s="198"/>
      <c r="U411" s="403"/>
      <c r="V411" s="19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03"/>
      <c r="B412" s="198"/>
      <c r="C412" s="403"/>
      <c r="D412" s="198"/>
      <c r="E412" s="403"/>
      <c r="F412" s="198"/>
      <c r="G412" s="403"/>
      <c r="H412" s="198"/>
      <c r="I412" s="403"/>
      <c r="J412" s="198"/>
      <c r="K412" s="403"/>
      <c r="L412" s="198"/>
      <c r="M412" s="403"/>
      <c r="N412" s="198"/>
      <c r="O412" s="403"/>
      <c r="P412" s="198"/>
      <c r="Q412" s="429"/>
      <c r="R412" s="76"/>
      <c r="S412" s="403"/>
      <c r="T412" s="198"/>
      <c r="U412" s="403"/>
      <c r="V412" s="19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03"/>
      <c r="B413" s="198"/>
      <c r="C413" s="403"/>
      <c r="D413" s="198"/>
      <c r="E413" s="403"/>
      <c r="F413" s="198"/>
      <c r="G413" s="403"/>
      <c r="H413" s="198"/>
      <c r="I413" s="403"/>
      <c r="J413" s="198"/>
      <c r="K413" s="403"/>
      <c r="L413" s="198"/>
      <c r="M413" s="403"/>
      <c r="N413" s="198"/>
      <c r="O413" s="403"/>
      <c r="P413" s="198"/>
      <c r="Q413" s="429"/>
      <c r="R413" s="76"/>
      <c r="S413" s="403"/>
      <c r="T413" s="198"/>
      <c r="U413" s="403"/>
      <c r="V413" s="19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03"/>
      <c r="B414" s="198"/>
      <c r="C414" s="403"/>
      <c r="D414" s="198"/>
      <c r="E414" s="403"/>
      <c r="F414" s="198"/>
      <c r="G414" s="403"/>
      <c r="H414" s="198"/>
      <c r="I414" s="403"/>
      <c r="J414" s="198"/>
      <c r="K414" s="403"/>
      <c r="L414" s="198"/>
      <c r="M414" s="403"/>
      <c r="N414" s="198"/>
      <c r="O414" s="403"/>
      <c r="P414" s="198"/>
      <c r="Q414" s="429"/>
      <c r="R414" s="76"/>
      <c r="S414" s="403"/>
      <c r="T414" s="198"/>
      <c r="U414" s="403"/>
      <c r="V414" s="19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03"/>
      <c r="B415" s="198"/>
      <c r="C415" s="403"/>
      <c r="D415" s="198"/>
      <c r="E415" s="403"/>
      <c r="F415" s="198"/>
      <c r="G415" s="403"/>
      <c r="H415" s="198"/>
      <c r="I415" s="403"/>
      <c r="J415" s="198"/>
      <c r="K415" s="403"/>
      <c r="L415" s="198"/>
      <c r="M415" s="403"/>
      <c r="N415" s="198"/>
      <c r="O415" s="403"/>
      <c r="P415" s="198"/>
      <c r="Q415" s="429"/>
      <c r="R415" s="76"/>
      <c r="S415" s="403"/>
      <c r="T415" s="198"/>
      <c r="U415" s="403"/>
      <c r="V415" s="19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03"/>
      <c r="B416" s="198"/>
      <c r="C416" s="403"/>
      <c r="D416" s="198"/>
      <c r="E416" s="403"/>
      <c r="F416" s="198"/>
      <c r="G416" s="403"/>
      <c r="H416" s="198"/>
      <c r="I416" s="403"/>
      <c r="J416" s="198"/>
      <c r="K416" s="403"/>
      <c r="L416" s="198"/>
      <c r="M416" s="403"/>
      <c r="N416" s="198"/>
      <c r="O416" s="403"/>
      <c r="P416" s="198"/>
      <c r="Q416" s="429"/>
      <c r="R416" s="76"/>
      <c r="S416" s="403"/>
      <c r="T416" s="198"/>
      <c r="U416" s="403"/>
      <c r="V416" s="19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03"/>
      <c r="B417" s="198"/>
      <c r="C417" s="403"/>
      <c r="D417" s="198"/>
      <c r="E417" s="403"/>
      <c r="F417" s="198"/>
      <c r="G417" s="403"/>
      <c r="H417" s="198"/>
      <c r="I417" s="403"/>
      <c r="J417" s="198"/>
      <c r="K417" s="403"/>
      <c r="L417" s="198"/>
      <c r="M417" s="403"/>
      <c r="N417" s="198"/>
      <c r="O417" s="403"/>
      <c r="P417" s="198"/>
      <c r="Q417" s="429"/>
      <c r="R417" s="76"/>
      <c r="S417" s="403"/>
      <c r="T417" s="198"/>
      <c r="U417" s="403"/>
      <c r="V417" s="19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03"/>
      <c r="B418" s="198"/>
      <c r="C418" s="403"/>
      <c r="D418" s="198"/>
      <c r="E418" s="403"/>
      <c r="F418" s="198"/>
      <c r="G418" s="403"/>
      <c r="H418" s="198"/>
      <c r="I418" s="403"/>
      <c r="J418" s="198"/>
      <c r="K418" s="403"/>
      <c r="L418" s="198"/>
      <c r="M418" s="403"/>
      <c r="N418" s="198"/>
      <c r="O418" s="403"/>
      <c r="P418" s="198"/>
      <c r="Q418" s="429"/>
      <c r="R418" s="76"/>
      <c r="S418" s="403"/>
      <c r="T418" s="198"/>
      <c r="U418" s="403"/>
      <c r="V418" s="19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03"/>
      <c r="B419" s="198"/>
      <c r="C419" s="403"/>
      <c r="D419" s="198"/>
      <c r="E419" s="403"/>
      <c r="F419" s="198"/>
      <c r="G419" s="403"/>
      <c r="H419" s="198"/>
      <c r="I419" s="403"/>
      <c r="J419" s="198"/>
      <c r="K419" s="403"/>
      <c r="L419" s="198"/>
      <c r="M419" s="403"/>
      <c r="N419" s="198"/>
      <c r="O419" s="403"/>
      <c r="P419" s="198"/>
      <c r="Q419" s="429"/>
      <c r="R419" s="76"/>
      <c r="S419" s="403"/>
      <c r="T419" s="198"/>
      <c r="U419" s="403"/>
      <c r="V419" s="19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03"/>
      <c r="B420" s="198"/>
      <c r="C420" s="403"/>
      <c r="D420" s="198"/>
      <c r="E420" s="403"/>
      <c r="F420" s="198"/>
      <c r="G420" s="403"/>
      <c r="H420" s="198"/>
      <c r="I420" s="403"/>
      <c r="J420" s="198"/>
      <c r="K420" s="403"/>
      <c r="L420" s="198"/>
      <c r="M420" s="403"/>
      <c r="N420" s="198"/>
      <c r="O420" s="403"/>
      <c r="P420" s="198"/>
      <c r="Q420" s="429"/>
      <c r="R420" s="76"/>
      <c r="S420" s="403"/>
      <c r="T420" s="198"/>
      <c r="U420" s="403"/>
      <c r="V420" s="19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03"/>
      <c r="B421" s="198"/>
      <c r="C421" s="403"/>
      <c r="D421" s="198"/>
      <c r="E421" s="403"/>
      <c r="F421" s="198"/>
      <c r="G421" s="403"/>
      <c r="H421" s="198"/>
      <c r="I421" s="403"/>
      <c r="J421" s="198"/>
      <c r="K421" s="403"/>
      <c r="L421" s="198"/>
      <c r="M421" s="403"/>
      <c r="N421" s="198"/>
      <c r="O421" s="403"/>
      <c r="P421" s="198"/>
      <c r="Q421" s="429"/>
      <c r="R421" s="76"/>
      <c r="S421" s="403"/>
      <c r="T421" s="198"/>
      <c r="U421" s="403"/>
      <c r="V421" s="19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03"/>
      <c r="B422" s="198"/>
      <c r="C422" s="403"/>
      <c r="D422" s="198"/>
      <c r="E422" s="403"/>
      <c r="F422" s="198"/>
      <c r="G422" s="403"/>
      <c r="H422" s="198"/>
      <c r="I422" s="403"/>
      <c r="J422" s="198"/>
      <c r="K422" s="403"/>
      <c r="L422" s="198"/>
      <c r="M422" s="403"/>
      <c r="N422" s="198"/>
      <c r="O422" s="403"/>
      <c r="P422" s="198"/>
      <c r="Q422" s="429"/>
      <c r="R422" s="76"/>
      <c r="S422" s="403"/>
      <c r="T422" s="198"/>
      <c r="U422" s="403"/>
      <c r="V422" s="19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03"/>
      <c r="B423" s="198"/>
      <c r="C423" s="403"/>
      <c r="D423" s="198"/>
      <c r="E423" s="403"/>
      <c r="F423" s="198"/>
      <c r="G423" s="403"/>
      <c r="H423" s="198"/>
      <c r="I423" s="403"/>
      <c r="J423" s="198"/>
      <c r="K423" s="403"/>
      <c r="L423" s="198"/>
      <c r="M423" s="403"/>
      <c r="N423" s="198"/>
      <c r="O423" s="403"/>
      <c r="P423" s="198"/>
      <c r="Q423" s="429"/>
      <c r="R423" s="76"/>
      <c r="S423" s="403"/>
      <c r="T423" s="198"/>
      <c r="U423" s="403"/>
      <c r="V423" s="19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03"/>
      <c r="B424" s="198"/>
      <c r="C424" s="403"/>
      <c r="D424" s="198"/>
      <c r="E424" s="403"/>
      <c r="F424" s="198"/>
      <c r="G424" s="403"/>
      <c r="H424" s="198"/>
      <c r="I424" s="403"/>
      <c r="J424" s="198"/>
      <c r="K424" s="403"/>
      <c r="L424" s="198"/>
      <c r="M424" s="403"/>
      <c r="N424" s="198"/>
      <c r="O424" s="403"/>
      <c r="P424" s="198"/>
      <c r="Q424" s="429"/>
      <c r="R424" s="76"/>
      <c r="S424" s="403"/>
      <c r="T424" s="198"/>
      <c r="U424" s="403"/>
      <c r="V424" s="19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03"/>
      <c r="B425" s="198"/>
      <c r="C425" s="403"/>
      <c r="D425" s="198"/>
      <c r="E425" s="403"/>
      <c r="F425" s="198"/>
      <c r="G425" s="403"/>
      <c r="H425" s="198"/>
      <c r="I425" s="403"/>
      <c r="J425" s="198"/>
      <c r="K425" s="403"/>
      <c r="L425" s="198"/>
      <c r="M425" s="403"/>
      <c r="N425" s="198"/>
      <c r="O425" s="403"/>
      <c r="P425" s="198"/>
      <c r="Q425" s="429"/>
      <c r="R425" s="76"/>
      <c r="S425" s="403"/>
      <c r="T425" s="198"/>
      <c r="U425" s="403"/>
      <c r="V425" s="19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03"/>
      <c r="B426" s="198"/>
      <c r="C426" s="403"/>
      <c r="D426" s="198"/>
      <c r="E426" s="403"/>
      <c r="F426" s="198"/>
      <c r="G426" s="403"/>
      <c r="H426" s="198"/>
      <c r="I426" s="403"/>
      <c r="J426" s="198"/>
      <c r="K426" s="403"/>
      <c r="L426" s="198"/>
      <c r="M426" s="403"/>
      <c r="N426" s="198"/>
      <c r="O426" s="403"/>
      <c r="P426" s="198"/>
      <c r="Q426" s="429"/>
      <c r="R426" s="76"/>
      <c r="S426" s="403"/>
      <c r="T426" s="198"/>
      <c r="U426" s="403"/>
      <c r="V426" s="19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03"/>
      <c r="B427" s="198"/>
      <c r="C427" s="403"/>
      <c r="D427" s="198"/>
      <c r="E427" s="403"/>
      <c r="F427" s="198"/>
      <c r="G427" s="403"/>
      <c r="H427" s="198"/>
      <c r="I427" s="403"/>
      <c r="J427" s="198"/>
      <c r="K427" s="403"/>
      <c r="L427" s="198"/>
      <c r="M427" s="403"/>
      <c r="N427" s="198"/>
      <c r="O427" s="403"/>
      <c r="P427" s="198"/>
      <c r="Q427" s="429"/>
      <c r="R427" s="76"/>
      <c r="S427" s="403"/>
      <c r="T427" s="198"/>
      <c r="U427" s="403"/>
      <c r="V427" s="19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03"/>
      <c r="B428" s="198"/>
      <c r="C428" s="403"/>
      <c r="D428" s="198"/>
      <c r="E428" s="403"/>
      <c r="F428" s="198"/>
      <c r="G428" s="403"/>
      <c r="H428" s="198"/>
      <c r="I428" s="403"/>
      <c r="J428" s="198"/>
      <c r="K428" s="403"/>
      <c r="L428" s="198"/>
      <c r="M428" s="403"/>
      <c r="N428" s="198"/>
      <c r="O428" s="403"/>
      <c r="P428" s="198"/>
      <c r="Q428" s="429"/>
      <c r="R428" s="76"/>
      <c r="S428" s="403"/>
      <c r="T428" s="198"/>
      <c r="U428" s="403"/>
      <c r="V428" s="19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03"/>
      <c r="B429" s="198"/>
      <c r="C429" s="403"/>
      <c r="D429" s="198"/>
      <c r="E429" s="403"/>
      <c r="F429" s="198"/>
      <c r="G429" s="403"/>
      <c r="H429" s="198"/>
      <c r="I429" s="403"/>
      <c r="J429" s="198"/>
      <c r="K429" s="403"/>
      <c r="L429" s="198"/>
      <c r="M429" s="403"/>
      <c r="N429" s="198"/>
      <c r="O429" s="403"/>
      <c r="P429" s="198"/>
      <c r="Q429" s="429"/>
      <c r="R429" s="76"/>
      <c r="S429" s="403"/>
      <c r="T429" s="198"/>
      <c r="U429" s="403"/>
      <c r="V429" s="19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03"/>
      <c r="B430" s="198"/>
      <c r="C430" s="403"/>
      <c r="D430" s="198"/>
      <c r="E430" s="403"/>
      <c r="F430" s="198"/>
      <c r="G430" s="403"/>
      <c r="H430" s="198"/>
      <c r="I430" s="403"/>
      <c r="J430" s="198"/>
      <c r="K430" s="403"/>
      <c r="L430" s="198"/>
      <c r="M430" s="403"/>
      <c r="N430" s="198"/>
      <c r="O430" s="403"/>
      <c r="P430" s="198"/>
      <c r="Q430" s="429"/>
      <c r="R430" s="76"/>
      <c r="S430" s="403"/>
      <c r="T430" s="198"/>
      <c r="U430" s="403"/>
      <c r="V430" s="19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03"/>
      <c r="B431" s="198"/>
      <c r="C431" s="403"/>
      <c r="D431" s="198"/>
      <c r="E431" s="403"/>
      <c r="F431" s="198"/>
      <c r="G431" s="403"/>
      <c r="H431" s="198"/>
      <c r="I431" s="403"/>
      <c r="J431" s="198"/>
      <c r="K431" s="403"/>
      <c r="L431" s="198"/>
      <c r="M431" s="403"/>
      <c r="N431" s="198"/>
      <c r="O431" s="403"/>
      <c r="P431" s="198"/>
      <c r="Q431" s="429"/>
      <c r="R431" s="76"/>
      <c r="S431" s="403"/>
      <c r="T431" s="198"/>
      <c r="U431" s="403"/>
      <c r="V431" s="19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03"/>
      <c r="B432" s="198"/>
      <c r="C432" s="403"/>
      <c r="D432" s="198"/>
      <c r="E432" s="403"/>
      <c r="F432" s="198"/>
      <c r="G432" s="403"/>
      <c r="H432" s="198"/>
      <c r="I432" s="403"/>
      <c r="J432" s="198"/>
      <c r="K432" s="403"/>
      <c r="L432" s="198"/>
      <c r="M432" s="403"/>
      <c r="N432" s="198"/>
      <c r="O432" s="403"/>
      <c r="P432" s="198"/>
      <c r="Q432" s="429"/>
      <c r="R432" s="76"/>
      <c r="S432" s="403"/>
      <c r="T432" s="198"/>
      <c r="U432" s="403"/>
      <c r="V432" s="19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03"/>
      <c r="B433" s="198"/>
      <c r="C433" s="403"/>
      <c r="D433" s="198"/>
      <c r="E433" s="403"/>
      <c r="F433" s="198"/>
      <c r="G433" s="403"/>
      <c r="H433" s="198"/>
      <c r="I433" s="403"/>
      <c r="J433" s="198"/>
      <c r="K433" s="403"/>
      <c r="L433" s="198"/>
      <c r="M433" s="403"/>
      <c r="N433" s="198"/>
      <c r="O433" s="403"/>
      <c r="P433" s="198"/>
      <c r="Q433" s="429"/>
      <c r="R433" s="76"/>
      <c r="S433" s="403"/>
      <c r="T433" s="198"/>
      <c r="U433" s="403"/>
      <c r="V433" s="19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03"/>
      <c r="B434" s="198"/>
      <c r="C434" s="403"/>
      <c r="D434" s="198"/>
      <c r="E434" s="403"/>
      <c r="F434" s="198"/>
      <c r="G434" s="403"/>
      <c r="H434" s="198"/>
      <c r="I434" s="403"/>
      <c r="J434" s="198"/>
      <c r="K434" s="403"/>
      <c r="L434" s="198"/>
      <c r="M434" s="403"/>
      <c r="N434" s="198"/>
      <c r="O434" s="403"/>
      <c r="P434" s="198"/>
      <c r="Q434" s="429"/>
      <c r="R434" s="76"/>
      <c r="S434" s="403"/>
      <c r="T434" s="198"/>
      <c r="U434" s="403"/>
      <c r="V434" s="19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03"/>
      <c r="B435" s="198"/>
      <c r="C435" s="403"/>
      <c r="D435" s="198"/>
      <c r="E435" s="403"/>
      <c r="F435" s="198"/>
      <c r="G435" s="403"/>
      <c r="H435" s="198"/>
      <c r="I435" s="403"/>
      <c r="J435" s="198"/>
      <c r="K435" s="403"/>
      <c r="L435" s="198"/>
      <c r="M435" s="403"/>
      <c r="N435" s="198"/>
      <c r="O435" s="403"/>
      <c r="P435" s="198"/>
      <c r="Q435" s="429"/>
      <c r="R435" s="76"/>
      <c r="S435" s="403"/>
      <c r="T435" s="198"/>
      <c r="U435" s="403"/>
      <c r="V435" s="19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03"/>
      <c r="B436" s="198"/>
      <c r="C436" s="403"/>
      <c r="D436" s="198"/>
      <c r="E436" s="403"/>
      <c r="F436" s="198"/>
      <c r="G436" s="403"/>
      <c r="H436" s="198"/>
      <c r="I436" s="403"/>
      <c r="J436" s="198"/>
      <c r="K436" s="403"/>
      <c r="L436" s="198"/>
      <c r="M436" s="403"/>
      <c r="N436" s="198"/>
      <c r="O436" s="403"/>
      <c r="P436" s="198"/>
      <c r="Q436" s="429"/>
      <c r="R436" s="76"/>
      <c r="S436" s="403"/>
      <c r="T436" s="198"/>
      <c r="U436" s="403"/>
      <c r="V436" s="19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03"/>
      <c r="B437" s="198"/>
      <c r="C437" s="403"/>
      <c r="D437" s="198"/>
      <c r="E437" s="403"/>
      <c r="F437" s="198"/>
      <c r="G437" s="403"/>
      <c r="H437" s="198"/>
      <c r="I437" s="403"/>
      <c r="J437" s="198"/>
      <c r="K437" s="403"/>
      <c r="L437" s="198"/>
      <c r="M437" s="403"/>
      <c r="N437" s="198"/>
      <c r="O437" s="403"/>
      <c r="P437" s="198"/>
      <c r="Q437" s="429"/>
      <c r="R437" s="76"/>
      <c r="S437" s="403"/>
      <c r="T437" s="198"/>
      <c r="U437" s="403"/>
      <c r="V437" s="19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03"/>
      <c r="B438" s="198"/>
      <c r="C438" s="403"/>
      <c r="D438" s="198"/>
      <c r="E438" s="403"/>
      <c r="F438" s="198"/>
      <c r="G438" s="403"/>
      <c r="H438" s="198"/>
      <c r="I438" s="403"/>
      <c r="J438" s="198"/>
      <c r="K438" s="403"/>
      <c r="L438" s="198"/>
      <c r="M438" s="403"/>
      <c r="N438" s="198"/>
      <c r="O438" s="403"/>
      <c r="P438" s="198"/>
      <c r="Q438" s="429"/>
      <c r="R438" s="76"/>
      <c r="S438" s="403"/>
      <c r="T438" s="198"/>
      <c r="U438" s="403"/>
      <c r="V438" s="19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03"/>
      <c r="B439" s="198"/>
      <c r="C439" s="403"/>
      <c r="D439" s="198"/>
      <c r="E439" s="403"/>
      <c r="F439" s="198"/>
      <c r="G439" s="403"/>
      <c r="H439" s="198"/>
      <c r="I439" s="403"/>
      <c r="J439" s="198"/>
      <c r="K439" s="403"/>
      <c r="L439" s="198"/>
      <c r="M439" s="403"/>
      <c r="N439" s="198"/>
      <c r="O439" s="403"/>
      <c r="P439" s="198"/>
      <c r="Q439" s="429"/>
      <c r="R439" s="76"/>
      <c r="S439" s="403"/>
      <c r="T439" s="198"/>
      <c r="U439" s="403"/>
      <c r="V439" s="19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03"/>
      <c r="B440" s="198"/>
      <c r="C440" s="403"/>
      <c r="D440" s="198"/>
      <c r="E440" s="403"/>
      <c r="F440" s="198"/>
      <c r="G440" s="403"/>
      <c r="H440" s="198"/>
      <c r="I440" s="403"/>
      <c r="J440" s="198"/>
      <c r="K440" s="403"/>
      <c r="L440" s="198"/>
      <c r="M440" s="403"/>
      <c r="N440" s="198"/>
      <c r="O440" s="403"/>
      <c r="P440" s="198"/>
      <c r="Q440" s="429"/>
      <c r="R440" s="76"/>
      <c r="S440" s="403"/>
      <c r="T440" s="198"/>
      <c r="U440" s="403"/>
      <c r="V440" s="19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03"/>
      <c r="B441" s="198"/>
      <c r="C441" s="403"/>
      <c r="D441" s="198"/>
      <c r="E441" s="403"/>
      <c r="F441" s="198"/>
      <c r="G441" s="403"/>
      <c r="H441" s="198"/>
      <c r="I441" s="403"/>
      <c r="J441" s="198"/>
      <c r="K441" s="403"/>
      <c r="L441" s="198"/>
      <c r="M441" s="403"/>
      <c r="N441" s="198"/>
      <c r="O441" s="403"/>
      <c r="P441" s="198"/>
      <c r="Q441" s="429"/>
      <c r="R441" s="76"/>
      <c r="S441" s="403"/>
      <c r="T441" s="198"/>
      <c r="U441" s="403"/>
      <c r="V441" s="19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03"/>
      <c r="B442" s="198"/>
      <c r="C442" s="403"/>
      <c r="D442" s="198"/>
      <c r="E442" s="403"/>
      <c r="F442" s="198"/>
      <c r="G442" s="403"/>
      <c r="H442" s="198"/>
      <c r="I442" s="403"/>
      <c r="J442" s="198"/>
      <c r="K442" s="403"/>
      <c r="L442" s="198"/>
      <c r="M442" s="403"/>
      <c r="N442" s="198"/>
      <c r="O442" s="403"/>
      <c r="P442" s="198"/>
      <c r="Q442" s="429"/>
      <c r="R442" s="76"/>
      <c r="S442" s="403"/>
      <c r="T442" s="198"/>
      <c r="U442" s="403"/>
      <c r="V442" s="19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03"/>
      <c r="B443" s="198"/>
      <c r="C443" s="403"/>
      <c r="D443" s="198"/>
      <c r="E443" s="403"/>
      <c r="F443" s="198"/>
      <c r="G443" s="403"/>
      <c r="H443" s="198"/>
      <c r="I443" s="403"/>
      <c r="J443" s="198"/>
      <c r="K443" s="403"/>
      <c r="L443" s="198"/>
      <c r="M443" s="403"/>
      <c r="N443" s="198"/>
      <c r="O443" s="403"/>
      <c r="P443" s="198"/>
      <c r="Q443" s="429"/>
      <c r="R443" s="76"/>
      <c r="S443" s="403"/>
      <c r="T443" s="198"/>
      <c r="U443" s="403"/>
      <c r="V443" s="19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03"/>
      <c r="B444" s="198"/>
      <c r="C444" s="403"/>
      <c r="D444" s="198"/>
      <c r="E444" s="403"/>
      <c r="F444" s="198"/>
      <c r="G444" s="403"/>
      <c r="H444" s="198"/>
      <c r="I444" s="403"/>
      <c r="J444" s="198"/>
      <c r="K444" s="403"/>
      <c r="L444" s="198"/>
      <c r="M444" s="403"/>
      <c r="N444" s="198"/>
      <c r="O444" s="403"/>
      <c r="P444" s="198"/>
      <c r="Q444" s="429"/>
      <c r="R444" s="76"/>
      <c r="S444" s="403"/>
      <c r="T444" s="198"/>
      <c r="U444" s="403"/>
      <c r="V444" s="19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03"/>
      <c r="B445" s="198"/>
      <c r="C445" s="403"/>
      <c r="D445" s="198"/>
      <c r="E445" s="403"/>
      <c r="F445" s="198"/>
      <c r="G445" s="403"/>
      <c r="H445" s="198"/>
      <c r="I445" s="403"/>
      <c r="J445" s="198"/>
      <c r="K445" s="403"/>
      <c r="L445" s="198"/>
      <c r="M445" s="403"/>
      <c r="N445" s="198"/>
      <c r="O445" s="403"/>
      <c r="P445" s="198"/>
      <c r="Q445" s="429"/>
      <c r="R445" s="76"/>
      <c r="S445" s="403"/>
      <c r="T445" s="198"/>
      <c r="U445" s="403"/>
      <c r="V445" s="19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03"/>
      <c r="B446" s="198"/>
      <c r="C446" s="403"/>
      <c r="D446" s="198"/>
      <c r="E446" s="403"/>
      <c r="F446" s="198"/>
      <c r="G446" s="403"/>
      <c r="H446" s="198"/>
      <c r="I446" s="403"/>
      <c r="J446" s="198"/>
      <c r="K446" s="403"/>
      <c r="L446" s="198"/>
      <c r="M446" s="403"/>
      <c r="N446" s="198"/>
      <c r="O446" s="403"/>
      <c r="P446" s="198"/>
      <c r="Q446" s="429"/>
      <c r="R446" s="76"/>
      <c r="S446" s="403"/>
      <c r="T446" s="198"/>
      <c r="U446" s="403"/>
      <c r="V446" s="19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03"/>
      <c r="B447" s="198"/>
      <c r="C447" s="403"/>
      <c r="D447" s="198"/>
      <c r="E447" s="403"/>
      <c r="F447" s="198"/>
      <c r="G447" s="403"/>
      <c r="H447" s="198"/>
      <c r="I447" s="403"/>
      <c r="J447" s="198"/>
      <c r="K447" s="403"/>
      <c r="L447" s="198"/>
      <c r="M447" s="403"/>
      <c r="N447" s="198"/>
      <c r="O447" s="403"/>
      <c r="P447" s="198"/>
      <c r="Q447" s="429"/>
      <c r="R447" s="76"/>
      <c r="S447" s="403"/>
      <c r="T447" s="198"/>
      <c r="U447" s="403"/>
      <c r="V447" s="19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03"/>
      <c r="B448" s="198"/>
      <c r="C448" s="403"/>
      <c r="D448" s="198"/>
      <c r="E448" s="403"/>
      <c r="F448" s="198"/>
      <c r="G448" s="403"/>
      <c r="H448" s="198"/>
      <c r="I448" s="403"/>
      <c r="J448" s="198"/>
      <c r="K448" s="403"/>
      <c r="L448" s="198"/>
      <c r="M448" s="403"/>
      <c r="N448" s="198"/>
      <c r="O448" s="403"/>
      <c r="P448" s="198"/>
      <c r="Q448" s="429"/>
      <c r="R448" s="76"/>
      <c r="S448" s="403"/>
      <c r="T448" s="198"/>
      <c r="U448" s="403"/>
      <c r="V448" s="19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03"/>
      <c r="B449" s="198"/>
      <c r="C449" s="403"/>
      <c r="D449" s="198"/>
      <c r="E449" s="403"/>
      <c r="F449" s="198"/>
      <c r="G449" s="403"/>
      <c r="H449" s="198"/>
      <c r="I449" s="403"/>
      <c r="J449" s="198"/>
      <c r="K449" s="403"/>
      <c r="L449" s="198"/>
      <c r="M449" s="403"/>
      <c r="N449" s="198"/>
      <c r="O449" s="403"/>
      <c r="P449" s="198"/>
      <c r="Q449" s="429"/>
      <c r="R449" s="76"/>
      <c r="S449" s="403"/>
      <c r="T449" s="198"/>
      <c r="U449" s="403"/>
      <c r="V449" s="19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03"/>
      <c r="B450" s="198"/>
      <c r="C450" s="403"/>
      <c r="D450" s="198"/>
      <c r="E450" s="403"/>
      <c r="F450" s="198"/>
      <c r="G450" s="403"/>
      <c r="H450" s="198"/>
      <c r="I450" s="403"/>
      <c r="J450" s="198"/>
      <c r="K450" s="403"/>
      <c r="L450" s="198"/>
      <c r="M450" s="403"/>
      <c r="N450" s="198"/>
      <c r="O450" s="403"/>
      <c r="P450" s="198"/>
      <c r="Q450" s="429"/>
      <c r="R450" s="76"/>
      <c r="S450" s="403"/>
      <c r="T450" s="198"/>
      <c r="U450" s="403"/>
      <c r="V450" s="19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03"/>
      <c r="B451" s="198"/>
      <c r="C451" s="403"/>
      <c r="D451" s="198"/>
      <c r="E451" s="403"/>
      <c r="F451" s="198"/>
      <c r="G451" s="403"/>
      <c r="H451" s="198"/>
      <c r="I451" s="403"/>
      <c r="J451" s="198"/>
      <c r="K451" s="403"/>
      <c r="L451" s="198"/>
      <c r="M451" s="403"/>
      <c r="N451" s="198"/>
      <c r="O451" s="403"/>
      <c r="P451" s="198"/>
      <c r="Q451" s="429"/>
      <c r="R451" s="76"/>
      <c r="S451" s="403"/>
      <c r="T451" s="198"/>
      <c r="U451" s="403"/>
      <c r="V451" s="19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03"/>
      <c r="B452" s="198"/>
      <c r="C452" s="403"/>
      <c r="D452" s="198"/>
      <c r="E452" s="403"/>
      <c r="F452" s="198"/>
      <c r="G452" s="403"/>
      <c r="H452" s="198"/>
      <c r="I452" s="403"/>
      <c r="J452" s="198"/>
      <c r="K452" s="403"/>
      <c r="L452" s="198"/>
      <c r="M452" s="403"/>
      <c r="N452" s="198"/>
      <c r="O452" s="403"/>
      <c r="P452" s="198"/>
      <c r="Q452" s="429"/>
      <c r="R452" s="76"/>
      <c r="S452" s="403"/>
      <c r="T452" s="198"/>
      <c r="U452" s="403"/>
      <c r="V452" s="19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03"/>
      <c r="B453" s="198"/>
      <c r="C453" s="403"/>
      <c r="D453" s="198"/>
      <c r="E453" s="403"/>
      <c r="F453" s="198"/>
      <c r="G453" s="403"/>
      <c r="H453" s="198"/>
      <c r="I453" s="403"/>
      <c r="J453" s="198"/>
      <c r="K453" s="403"/>
      <c r="L453" s="198"/>
      <c r="M453" s="403"/>
      <c r="N453" s="198"/>
      <c r="O453" s="403"/>
      <c r="P453" s="198"/>
      <c r="Q453" s="429"/>
      <c r="R453" s="76"/>
      <c r="S453" s="403"/>
      <c r="T453" s="198"/>
      <c r="U453" s="403"/>
      <c r="V453" s="19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03"/>
      <c r="B454" s="198"/>
      <c r="C454" s="403"/>
      <c r="D454" s="198"/>
      <c r="E454" s="403"/>
      <c r="F454" s="198"/>
      <c r="G454" s="403"/>
      <c r="H454" s="198"/>
      <c r="I454" s="403"/>
      <c r="J454" s="198"/>
      <c r="K454" s="403"/>
      <c r="L454" s="198"/>
      <c r="M454" s="403"/>
      <c r="N454" s="198"/>
      <c r="O454" s="403"/>
      <c r="P454" s="198"/>
      <c r="Q454" s="429"/>
      <c r="R454" s="76"/>
      <c r="S454" s="403"/>
      <c r="T454" s="198"/>
      <c r="U454" s="403"/>
      <c r="V454" s="19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03"/>
      <c r="B455" s="198"/>
      <c r="C455" s="403"/>
      <c r="D455" s="198"/>
      <c r="E455" s="403"/>
      <c r="F455" s="198"/>
      <c r="G455" s="403"/>
      <c r="H455" s="198"/>
      <c r="I455" s="403"/>
      <c r="J455" s="198"/>
      <c r="K455" s="403"/>
      <c r="L455" s="198"/>
      <c r="M455" s="403"/>
      <c r="N455" s="198"/>
      <c r="O455" s="403"/>
      <c r="P455" s="198"/>
      <c r="Q455" s="429"/>
      <c r="R455" s="76"/>
      <c r="S455" s="403"/>
      <c r="T455" s="198"/>
      <c r="U455" s="403"/>
      <c r="V455" s="19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03"/>
      <c r="B456" s="198"/>
      <c r="C456" s="403"/>
      <c r="D456" s="198"/>
      <c r="E456" s="403"/>
      <c r="F456" s="198"/>
      <c r="G456" s="403"/>
      <c r="H456" s="198"/>
      <c r="I456" s="403"/>
      <c r="J456" s="198"/>
      <c r="K456" s="403"/>
      <c r="L456" s="198"/>
      <c r="M456" s="403"/>
      <c r="N456" s="198"/>
      <c r="O456" s="403"/>
      <c r="P456" s="198"/>
      <c r="Q456" s="429"/>
      <c r="R456" s="76"/>
      <c r="S456" s="403"/>
      <c r="T456" s="198"/>
      <c r="U456" s="403"/>
      <c r="V456" s="19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03"/>
      <c r="B457" s="198"/>
      <c r="C457" s="403"/>
      <c r="D457" s="198"/>
      <c r="E457" s="403"/>
      <c r="F457" s="198"/>
      <c r="G457" s="403"/>
      <c r="H457" s="198"/>
      <c r="I457" s="403"/>
      <c r="J457" s="198"/>
      <c r="K457" s="403"/>
      <c r="L457" s="198"/>
      <c r="M457" s="403"/>
      <c r="N457" s="198"/>
      <c r="O457" s="403"/>
      <c r="P457" s="198"/>
      <c r="Q457" s="429"/>
      <c r="R457" s="76"/>
      <c r="S457" s="403"/>
      <c r="T457" s="198"/>
      <c r="U457" s="403"/>
      <c r="V457" s="19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03"/>
      <c r="B458" s="198"/>
      <c r="C458" s="403"/>
      <c r="D458" s="198"/>
      <c r="E458" s="403"/>
      <c r="F458" s="198"/>
      <c r="G458" s="403"/>
      <c r="H458" s="198"/>
      <c r="I458" s="403"/>
      <c r="J458" s="198"/>
      <c r="K458" s="403"/>
      <c r="L458" s="198"/>
      <c r="M458" s="403"/>
      <c r="N458" s="198"/>
      <c r="O458" s="403"/>
      <c r="P458" s="198"/>
      <c r="Q458" s="429"/>
      <c r="R458" s="76"/>
      <c r="S458" s="403"/>
      <c r="T458" s="198"/>
      <c r="U458" s="403"/>
      <c r="V458" s="19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03"/>
      <c r="B459" s="198"/>
      <c r="C459" s="403"/>
      <c r="D459" s="198"/>
      <c r="E459" s="403"/>
      <c r="F459" s="198"/>
      <c r="G459" s="403"/>
      <c r="H459" s="198"/>
      <c r="I459" s="403"/>
      <c r="J459" s="198"/>
      <c r="K459" s="403"/>
      <c r="L459" s="198"/>
      <c r="M459" s="403"/>
      <c r="N459" s="198"/>
      <c r="O459" s="403"/>
      <c r="P459" s="198"/>
      <c r="Q459" s="429"/>
      <c r="R459" s="76"/>
      <c r="S459" s="403"/>
      <c r="T459" s="198"/>
      <c r="U459" s="403"/>
      <c r="V459" s="19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03"/>
      <c r="B460" s="198"/>
      <c r="C460" s="403"/>
      <c r="D460" s="198"/>
      <c r="E460" s="403"/>
      <c r="F460" s="198"/>
      <c r="G460" s="403"/>
      <c r="H460" s="198"/>
      <c r="I460" s="403"/>
      <c r="J460" s="198"/>
      <c r="K460" s="403"/>
      <c r="L460" s="198"/>
      <c r="M460" s="403"/>
      <c r="N460" s="198"/>
      <c r="O460" s="403"/>
      <c r="P460" s="198"/>
      <c r="Q460" s="429"/>
      <c r="R460" s="76"/>
      <c r="S460" s="403"/>
      <c r="T460" s="198"/>
      <c r="U460" s="403"/>
      <c r="V460" s="19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03"/>
      <c r="B461" s="198"/>
      <c r="C461" s="403"/>
      <c r="D461" s="198"/>
      <c r="E461" s="403"/>
      <c r="F461" s="198"/>
      <c r="G461" s="403"/>
      <c r="H461" s="198"/>
      <c r="I461" s="403"/>
      <c r="J461" s="198"/>
      <c r="K461" s="403"/>
      <c r="L461" s="198"/>
      <c r="M461" s="403"/>
      <c r="N461" s="198"/>
      <c r="O461" s="403"/>
      <c r="P461" s="198"/>
      <c r="Q461" s="429"/>
      <c r="R461" s="76"/>
      <c r="S461" s="403"/>
      <c r="T461" s="198"/>
      <c r="U461" s="403"/>
      <c r="V461" s="19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03"/>
      <c r="B462" s="198"/>
      <c r="C462" s="403"/>
      <c r="D462" s="198"/>
      <c r="E462" s="403"/>
      <c r="F462" s="198"/>
      <c r="G462" s="403"/>
      <c r="H462" s="198"/>
      <c r="I462" s="403"/>
      <c r="J462" s="198"/>
      <c r="K462" s="403"/>
      <c r="L462" s="198"/>
      <c r="M462" s="403"/>
      <c r="N462" s="198"/>
      <c r="O462" s="403"/>
      <c r="P462" s="198"/>
      <c r="Q462" s="429"/>
      <c r="R462" s="76"/>
      <c r="S462" s="403"/>
      <c r="T462" s="198"/>
      <c r="U462" s="403"/>
      <c r="V462" s="19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03"/>
      <c r="B463" s="198"/>
      <c r="C463" s="403"/>
      <c r="D463" s="198"/>
      <c r="E463" s="403"/>
      <c r="F463" s="198"/>
      <c r="G463" s="403"/>
      <c r="H463" s="198"/>
      <c r="I463" s="403"/>
      <c r="J463" s="198"/>
      <c r="K463" s="403"/>
      <c r="L463" s="198"/>
      <c r="M463" s="403"/>
      <c r="N463" s="198"/>
      <c r="O463" s="403"/>
      <c r="P463" s="198"/>
      <c r="Q463" s="429"/>
      <c r="R463" s="76"/>
      <c r="S463" s="403"/>
      <c r="T463" s="198"/>
      <c r="U463" s="403"/>
      <c r="V463" s="19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03"/>
      <c r="B464" s="198"/>
      <c r="C464" s="403"/>
      <c r="D464" s="198"/>
      <c r="E464" s="403"/>
      <c r="F464" s="198"/>
      <c r="G464" s="403"/>
      <c r="H464" s="198"/>
      <c r="I464" s="403"/>
      <c r="J464" s="198"/>
      <c r="K464" s="403"/>
      <c r="L464" s="198"/>
      <c r="M464" s="403"/>
      <c r="N464" s="198"/>
      <c r="O464" s="403"/>
      <c r="P464" s="198"/>
      <c r="Q464" s="429"/>
      <c r="R464" s="76"/>
      <c r="S464" s="403"/>
      <c r="T464" s="198"/>
      <c r="U464" s="403"/>
      <c r="V464" s="19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03"/>
      <c r="B465" s="198"/>
      <c r="C465" s="403"/>
      <c r="D465" s="198"/>
      <c r="E465" s="403"/>
      <c r="F465" s="198"/>
      <c r="G465" s="403"/>
      <c r="H465" s="198"/>
      <c r="I465" s="403"/>
      <c r="J465" s="198"/>
      <c r="K465" s="403"/>
      <c r="L465" s="198"/>
      <c r="M465" s="403"/>
      <c r="N465" s="198"/>
      <c r="O465" s="403"/>
      <c r="P465" s="198"/>
      <c r="Q465" s="429"/>
      <c r="R465" s="76"/>
      <c r="S465" s="403"/>
      <c r="T465" s="198"/>
      <c r="U465" s="403"/>
      <c r="V465" s="19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03"/>
      <c r="B466" s="198"/>
      <c r="C466" s="403"/>
      <c r="D466" s="198"/>
      <c r="E466" s="403"/>
      <c r="F466" s="198"/>
      <c r="G466" s="403"/>
      <c r="H466" s="198"/>
      <c r="I466" s="403"/>
      <c r="J466" s="198"/>
      <c r="K466" s="403"/>
      <c r="L466" s="198"/>
      <c r="M466" s="403"/>
      <c r="N466" s="198"/>
      <c r="O466" s="403"/>
      <c r="P466" s="198"/>
      <c r="Q466" s="429"/>
      <c r="R466" s="76"/>
      <c r="S466" s="403"/>
      <c r="T466" s="198"/>
      <c r="U466" s="403"/>
      <c r="V466" s="19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03"/>
      <c r="B467" s="198"/>
      <c r="C467" s="403"/>
      <c r="D467" s="198"/>
      <c r="E467" s="403"/>
      <c r="F467" s="198"/>
      <c r="G467" s="403"/>
      <c r="H467" s="198"/>
      <c r="I467" s="403"/>
      <c r="J467" s="198"/>
      <c r="K467" s="403"/>
      <c r="L467" s="198"/>
      <c r="M467" s="403"/>
      <c r="N467" s="198"/>
      <c r="O467" s="403"/>
      <c r="P467" s="198"/>
      <c r="Q467" s="429"/>
      <c r="R467" s="76"/>
      <c r="S467" s="403"/>
      <c r="T467" s="198"/>
      <c r="U467" s="403"/>
      <c r="V467" s="19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03"/>
      <c r="B468" s="198"/>
      <c r="C468" s="403"/>
      <c r="D468" s="198"/>
      <c r="E468" s="403"/>
      <c r="F468" s="198"/>
      <c r="G468" s="403"/>
      <c r="H468" s="198"/>
      <c r="I468" s="403"/>
      <c r="J468" s="198"/>
      <c r="K468" s="403"/>
      <c r="L468" s="198"/>
      <c r="M468" s="403"/>
      <c r="N468" s="198"/>
      <c r="O468" s="403"/>
      <c r="P468" s="198"/>
      <c r="Q468" s="429"/>
      <c r="R468" s="76"/>
      <c r="S468" s="403"/>
      <c r="T468" s="198"/>
      <c r="U468" s="403"/>
      <c r="V468" s="19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03"/>
      <c r="B469" s="198"/>
      <c r="C469" s="403"/>
      <c r="D469" s="198"/>
      <c r="E469" s="403"/>
      <c r="F469" s="198"/>
      <c r="G469" s="403"/>
      <c r="H469" s="198"/>
      <c r="I469" s="403"/>
      <c r="J469" s="198"/>
      <c r="K469" s="403"/>
      <c r="L469" s="198"/>
      <c r="M469" s="403"/>
      <c r="N469" s="198"/>
      <c r="O469" s="403"/>
      <c r="P469" s="198"/>
      <c r="Q469" s="429"/>
      <c r="R469" s="76"/>
      <c r="S469" s="403"/>
      <c r="T469" s="198"/>
      <c r="U469" s="403"/>
      <c r="V469" s="19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03"/>
      <c r="B470" s="198"/>
      <c r="C470" s="403"/>
      <c r="D470" s="198"/>
      <c r="E470" s="403"/>
      <c r="F470" s="198"/>
      <c r="G470" s="403"/>
      <c r="H470" s="198"/>
      <c r="I470" s="403"/>
      <c r="J470" s="198"/>
      <c r="K470" s="403"/>
      <c r="L470" s="198"/>
      <c r="M470" s="403"/>
      <c r="N470" s="198"/>
      <c r="O470" s="403"/>
      <c r="P470" s="198"/>
      <c r="Q470" s="429"/>
      <c r="R470" s="76"/>
      <c r="S470" s="403"/>
      <c r="T470" s="198"/>
      <c r="U470" s="403"/>
      <c r="V470" s="19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03"/>
      <c r="B471" s="198"/>
      <c r="C471" s="403"/>
      <c r="D471" s="198"/>
      <c r="E471" s="403"/>
      <c r="F471" s="198"/>
      <c r="G471" s="403"/>
      <c r="H471" s="198"/>
      <c r="I471" s="403"/>
      <c r="J471" s="198"/>
      <c r="K471" s="403"/>
      <c r="L471" s="198"/>
      <c r="M471" s="403"/>
      <c r="N471" s="198"/>
      <c r="O471" s="403"/>
      <c r="P471" s="198"/>
      <c r="Q471" s="429"/>
      <c r="R471" s="76"/>
      <c r="S471" s="403"/>
      <c r="T471" s="198"/>
      <c r="U471" s="403"/>
      <c r="V471" s="19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03"/>
      <c r="B472" s="198"/>
      <c r="C472" s="403"/>
      <c r="D472" s="198"/>
      <c r="E472" s="403"/>
      <c r="F472" s="198"/>
      <c r="G472" s="403"/>
      <c r="H472" s="198"/>
      <c r="I472" s="403"/>
      <c r="J472" s="198"/>
      <c r="K472" s="403"/>
      <c r="L472" s="198"/>
      <c r="M472" s="403"/>
      <c r="N472" s="198"/>
      <c r="O472" s="403"/>
      <c r="P472" s="198"/>
      <c r="Q472" s="429"/>
      <c r="R472" s="76"/>
      <c r="S472" s="403"/>
      <c r="T472" s="198"/>
      <c r="U472" s="403"/>
      <c r="V472" s="19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03"/>
      <c r="B473" s="198"/>
      <c r="C473" s="403"/>
      <c r="D473" s="198"/>
      <c r="E473" s="403"/>
      <c r="F473" s="198"/>
      <c r="G473" s="403"/>
      <c r="H473" s="198"/>
      <c r="I473" s="403"/>
      <c r="J473" s="198"/>
      <c r="K473" s="403"/>
      <c r="L473" s="198"/>
      <c r="M473" s="403"/>
      <c r="N473" s="198"/>
      <c r="O473" s="403"/>
      <c r="P473" s="198"/>
      <c r="Q473" s="429"/>
      <c r="R473" s="76"/>
      <c r="S473" s="403"/>
      <c r="T473" s="198"/>
      <c r="U473" s="403"/>
      <c r="V473" s="19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03"/>
      <c r="B474" s="198"/>
      <c r="C474" s="403"/>
      <c r="D474" s="198"/>
      <c r="E474" s="403"/>
      <c r="F474" s="198"/>
      <c r="G474" s="403"/>
      <c r="H474" s="198"/>
      <c r="I474" s="403"/>
      <c r="J474" s="198"/>
      <c r="K474" s="403"/>
      <c r="L474" s="198"/>
      <c r="M474" s="403"/>
      <c r="N474" s="198"/>
      <c r="O474" s="403"/>
      <c r="P474" s="198"/>
      <c r="Q474" s="429"/>
      <c r="R474" s="76"/>
      <c r="S474" s="403"/>
      <c r="T474" s="198"/>
      <c r="U474" s="403"/>
      <c r="V474" s="19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03"/>
      <c r="B475" s="198"/>
      <c r="C475" s="403"/>
      <c r="D475" s="198"/>
      <c r="E475" s="403"/>
      <c r="F475" s="198"/>
      <c r="G475" s="403"/>
      <c r="H475" s="198"/>
      <c r="I475" s="403"/>
      <c r="J475" s="198"/>
      <c r="K475" s="403"/>
      <c r="L475" s="198"/>
      <c r="M475" s="403"/>
      <c r="N475" s="198"/>
      <c r="O475" s="403"/>
      <c r="P475" s="198"/>
      <c r="Q475" s="429"/>
      <c r="R475" s="76"/>
      <c r="S475" s="403"/>
      <c r="T475" s="198"/>
      <c r="U475" s="403"/>
      <c r="V475" s="19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03"/>
      <c r="B476" s="198"/>
      <c r="C476" s="403"/>
      <c r="D476" s="198"/>
      <c r="E476" s="403"/>
      <c r="F476" s="198"/>
      <c r="G476" s="403"/>
      <c r="H476" s="198"/>
      <c r="I476" s="403"/>
      <c r="J476" s="198"/>
      <c r="K476" s="403"/>
      <c r="L476" s="198"/>
      <c r="M476" s="403"/>
      <c r="N476" s="198"/>
      <c r="O476" s="403"/>
      <c r="P476" s="198"/>
      <c r="Q476" s="429"/>
      <c r="R476" s="76"/>
      <c r="S476" s="403"/>
      <c r="T476" s="198"/>
      <c r="U476" s="403"/>
      <c r="V476" s="19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03"/>
      <c r="B477" s="198"/>
      <c r="C477" s="403"/>
      <c r="D477" s="198"/>
      <c r="E477" s="403"/>
      <c r="F477" s="198"/>
      <c r="G477" s="403"/>
      <c r="H477" s="198"/>
      <c r="I477" s="403"/>
      <c r="J477" s="198"/>
      <c r="K477" s="403"/>
      <c r="L477" s="198"/>
      <c r="M477" s="403"/>
      <c r="N477" s="198"/>
      <c r="O477" s="403"/>
      <c r="P477" s="198"/>
      <c r="Q477" s="429"/>
      <c r="R477" s="76"/>
      <c r="S477" s="403"/>
      <c r="T477" s="198"/>
      <c r="U477" s="403"/>
      <c r="V477" s="19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03"/>
      <c r="B478" s="198"/>
      <c r="C478" s="403"/>
      <c r="D478" s="198"/>
      <c r="E478" s="403"/>
      <c r="F478" s="198"/>
      <c r="G478" s="403"/>
      <c r="H478" s="198"/>
      <c r="I478" s="403"/>
      <c r="J478" s="198"/>
      <c r="K478" s="403"/>
      <c r="L478" s="198"/>
      <c r="M478" s="403"/>
      <c r="N478" s="198"/>
      <c r="O478" s="403"/>
      <c r="P478" s="198"/>
      <c r="Q478" s="429"/>
      <c r="R478" s="76"/>
      <c r="S478" s="403"/>
      <c r="T478" s="198"/>
      <c r="U478" s="403"/>
      <c r="V478" s="19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03"/>
      <c r="B479" s="198"/>
      <c r="C479" s="403"/>
      <c r="D479" s="198"/>
      <c r="E479" s="403"/>
      <c r="F479" s="198"/>
      <c r="G479" s="403"/>
      <c r="H479" s="198"/>
      <c r="I479" s="403"/>
      <c r="J479" s="198"/>
      <c r="K479" s="403"/>
      <c r="L479" s="198"/>
      <c r="M479" s="403"/>
      <c r="N479" s="198"/>
      <c r="O479" s="403"/>
      <c r="P479" s="198"/>
      <c r="Q479" s="429"/>
      <c r="R479" s="76"/>
      <c r="S479" s="403"/>
      <c r="T479" s="198"/>
      <c r="U479" s="403"/>
      <c r="V479" s="19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03"/>
      <c r="B480" s="198"/>
      <c r="C480" s="403"/>
      <c r="D480" s="198"/>
      <c r="E480" s="403"/>
      <c r="F480" s="198"/>
      <c r="G480" s="403"/>
      <c r="H480" s="198"/>
      <c r="I480" s="403"/>
      <c r="J480" s="198"/>
      <c r="K480" s="403"/>
      <c r="L480" s="198"/>
      <c r="M480" s="403"/>
      <c r="N480" s="198"/>
      <c r="O480" s="403"/>
      <c r="P480" s="198"/>
      <c r="Q480" s="429"/>
      <c r="R480" s="76"/>
      <c r="S480" s="403"/>
      <c r="T480" s="198"/>
      <c r="U480" s="403"/>
      <c r="V480" s="19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03"/>
      <c r="B481" s="198"/>
      <c r="C481" s="403"/>
      <c r="D481" s="198"/>
      <c r="E481" s="403"/>
      <c r="F481" s="198"/>
      <c r="G481" s="403"/>
      <c r="H481" s="198"/>
      <c r="I481" s="403"/>
      <c r="J481" s="198"/>
      <c r="K481" s="403"/>
      <c r="L481" s="198"/>
      <c r="M481" s="403"/>
      <c r="N481" s="198"/>
      <c r="O481" s="403"/>
      <c r="P481" s="198"/>
      <c r="Q481" s="429"/>
      <c r="R481" s="76"/>
      <c r="S481" s="403"/>
      <c r="T481" s="198"/>
      <c r="U481" s="403"/>
      <c r="V481" s="19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03"/>
      <c r="B482" s="198"/>
      <c r="C482" s="403"/>
      <c r="D482" s="198"/>
      <c r="E482" s="403"/>
      <c r="F482" s="198"/>
      <c r="G482" s="403"/>
      <c r="H482" s="198"/>
      <c r="I482" s="403"/>
      <c r="J482" s="198"/>
      <c r="K482" s="403"/>
      <c r="L482" s="198"/>
      <c r="M482" s="403"/>
      <c r="N482" s="198"/>
      <c r="O482" s="403"/>
      <c r="P482" s="198"/>
      <c r="Q482" s="429"/>
      <c r="R482" s="76"/>
      <c r="S482" s="403"/>
      <c r="T482" s="198"/>
      <c r="U482" s="403"/>
      <c r="V482" s="19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03"/>
      <c r="B483" s="198"/>
      <c r="C483" s="403"/>
      <c r="D483" s="198"/>
      <c r="E483" s="403"/>
      <c r="F483" s="198"/>
      <c r="G483" s="403"/>
      <c r="H483" s="198"/>
      <c r="I483" s="403"/>
      <c r="J483" s="198"/>
      <c r="K483" s="403"/>
      <c r="L483" s="198"/>
      <c r="M483" s="403"/>
      <c r="N483" s="198"/>
      <c r="O483" s="403"/>
      <c r="P483" s="198"/>
      <c r="Q483" s="429"/>
      <c r="R483" s="76"/>
      <c r="S483" s="403"/>
      <c r="T483" s="198"/>
      <c r="U483" s="403"/>
      <c r="V483" s="19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03"/>
      <c r="B484" s="198"/>
      <c r="C484" s="403"/>
      <c r="D484" s="198"/>
      <c r="E484" s="403"/>
      <c r="F484" s="198"/>
      <c r="G484" s="403"/>
      <c r="H484" s="198"/>
      <c r="I484" s="403"/>
      <c r="J484" s="198"/>
      <c r="K484" s="403"/>
      <c r="L484" s="198"/>
      <c r="M484" s="403"/>
      <c r="N484" s="198"/>
      <c r="O484" s="403"/>
      <c r="P484" s="198"/>
      <c r="Q484" s="429"/>
      <c r="R484" s="76"/>
      <c r="S484" s="403"/>
      <c r="T484" s="198"/>
      <c r="U484" s="403"/>
      <c r="V484" s="19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03"/>
      <c r="B485" s="198"/>
      <c r="C485" s="403"/>
      <c r="D485" s="198"/>
      <c r="E485" s="403"/>
      <c r="F485" s="198"/>
      <c r="G485" s="403"/>
      <c r="H485" s="198"/>
      <c r="I485" s="403"/>
      <c r="J485" s="198"/>
      <c r="K485" s="403"/>
      <c r="L485" s="198"/>
      <c r="M485" s="403"/>
      <c r="N485" s="198"/>
      <c r="O485" s="403"/>
      <c r="P485" s="198"/>
      <c r="Q485" s="429"/>
      <c r="R485" s="76"/>
      <c r="S485" s="403"/>
      <c r="T485" s="198"/>
      <c r="U485" s="403"/>
      <c r="V485" s="19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03"/>
      <c r="B486" s="198"/>
      <c r="C486" s="403"/>
      <c r="D486" s="198"/>
      <c r="E486" s="403"/>
      <c r="F486" s="198"/>
      <c r="G486" s="403"/>
      <c r="H486" s="198"/>
      <c r="I486" s="403"/>
      <c r="J486" s="198"/>
      <c r="K486" s="403"/>
      <c r="L486" s="198"/>
      <c r="M486" s="403"/>
      <c r="N486" s="198"/>
      <c r="O486" s="403"/>
      <c r="P486" s="198"/>
      <c r="Q486" s="429"/>
      <c r="R486" s="76"/>
      <c r="S486" s="403"/>
      <c r="T486" s="198"/>
      <c r="U486" s="403"/>
      <c r="V486" s="19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03"/>
      <c r="B487" s="198"/>
      <c r="C487" s="403"/>
      <c r="D487" s="198"/>
      <c r="E487" s="403"/>
      <c r="F487" s="198"/>
      <c r="G487" s="403"/>
      <c r="H487" s="198"/>
      <c r="I487" s="403"/>
      <c r="J487" s="198"/>
      <c r="K487" s="403"/>
      <c r="L487" s="198"/>
      <c r="M487" s="403"/>
      <c r="N487" s="198"/>
      <c r="O487" s="403"/>
      <c r="P487" s="198"/>
      <c r="Q487" s="429"/>
      <c r="R487" s="76"/>
      <c r="S487" s="403"/>
      <c r="T487" s="198"/>
      <c r="U487" s="403"/>
      <c r="V487" s="19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03"/>
      <c r="B488" s="198"/>
      <c r="C488" s="403"/>
      <c r="D488" s="198"/>
      <c r="E488" s="403"/>
      <c r="F488" s="198"/>
      <c r="G488" s="403"/>
      <c r="H488" s="198"/>
      <c r="I488" s="403"/>
      <c r="J488" s="198"/>
      <c r="K488" s="403"/>
      <c r="L488" s="198"/>
      <c r="M488" s="403"/>
      <c r="N488" s="198"/>
      <c r="O488" s="403"/>
      <c r="P488" s="198"/>
      <c r="Q488" s="429"/>
      <c r="R488" s="76"/>
      <c r="S488" s="403"/>
      <c r="T488" s="198"/>
      <c r="U488" s="403"/>
      <c r="V488" s="19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03"/>
      <c r="B489" s="198"/>
      <c r="C489" s="403"/>
      <c r="D489" s="198"/>
      <c r="E489" s="403"/>
      <c r="F489" s="198"/>
      <c r="G489" s="403"/>
      <c r="H489" s="198"/>
      <c r="I489" s="403"/>
      <c r="J489" s="198"/>
      <c r="K489" s="403"/>
      <c r="L489" s="198"/>
      <c r="M489" s="403"/>
      <c r="N489" s="198"/>
      <c r="O489" s="403"/>
      <c r="P489" s="198"/>
      <c r="Q489" s="429"/>
      <c r="R489" s="76"/>
      <c r="S489" s="403"/>
      <c r="T489" s="198"/>
      <c r="U489" s="403"/>
      <c r="V489" s="19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03"/>
      <c r="B490" s="198"/>
      <c r="C490" s="403"/>
      <c r="D490" s="198"/>
      <c r="E490" s="403"/>
      <c r="F490" s="198"/>
      <c r="G490" s="403"/>
      <c r="H490" s="198"/>
      <c r="I490" s="403"/>
      <c r="J490" s="198"/>
      <c r="K490" s="403"/>
      <c r="L490" s="198"/>
      <c r="M490" s="403"/>
      <c r="N490" s="198"/>
      <c r="O490" s="403"/>
      <c r="P490" s="198"/>
      <c r="Q490" s="429"/>
      <c r="R490" s="76"/>
      <c r="S490" s="403"/>
      <c r="T490" s="198"/>
      <c r="U490" s="403"/>
      <c r="V490" s="19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03"/>
      <c r="B491" s="198"/>
      <c r="C491" s="403"/>
      <c r="D491" s="198"/>
      <c r="E491" s="403"/>
      <c r="F491" s="198"/>
      <c r="G491" s="403"/>
      <c r="H491" s="198"/>
      <c r="I491" s="403"/>
      <c r="J491" s="198"/>
      <c r="K491" s="403"/>
      <c r="L491" s="198"/>
      <c r="M491" s="403"/>
      <c r="N491" s="198"/>
      <c r="O491" s="403"/>
      <c r="P491" s="198"/>
      <c r="Q491" s="429"/>
      <c r="R491" s="76"/>
      <c r="S491" s="403"/>
      <c r="T491" s="198"/>
      <c r="U491" s="403"/>
      <c r="V491" s="19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03"/>
      <c r="B492" s="198"/>
      <c r="C492" s="403"/>
      <c r="D492" s="198"/>
      <c r="E492" s="403"/>
      <c r="F492" s="198"/>
      <c r="G492" s="403"/>
      <c r="H492" s="198"/>
      <c r="I492" s="403"/>
      <c r="J492" s="198"/>
      <c r="K492" s="403"/>
      <c r="L492" s="198"/>
      <c r="M492" s="403"/>
      <c r="N492" s="198"/>
      <c r="O492" s="403"/>
      <c r="P492" s="198"/>
      <c r="Q492" s="429"/>
      <c r="R492" s="76"/>
      <c r="S492" s="403"/>
      <c r="T492" s="198"/>
      <c r="U492" s="403"/>
      <c r="V492" s="19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03"/>
      <c r="B493" s="198"/>
      <c r="C493" s="403"/>
      <c r="D493" s="198"/>
      <c r="E493" s="403"/>
      <c r="F493" s="198"/>
      <c r="G493" s="403"/>
      <c r="H493" s="198"/>
      <c r="I493" s="403"/>
      <c r="J493" s="198"/>
      <c r="K493" s="403"/>
      <c r="L493" s="198"/>
      <c r="M493" s="403"/>
      <c r="N493" s="198"/>
      <c r="O493" s="403"/>
      <c r="P493" s="198"/>
      <c r="Q493" s="429"/>
      <c r="R493" s="76"/>
      <c r="S493" s="403"/>
      <c r="T493" s="198"/>
      <c r="U493" s="403"/>
      <c r="V493" s="19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03"/>
      <c r="B494" s="198"/>
      <c r="C494" s="403"/>
      <c r="D494" s="198"/>
      <c r="E494" s="403"/>
      <c r="F494" s="198"/>
      <c r="G494" s="403"/>
      <c r="H494" s="198"/>
      <c r="I494" s="403"/>
      <c r="J494" s="198"/>
      <c r="K494" s="403"/>
      <c r="L494" s="198"/>
      <c r="M494" s="403"/>
      <c r="N494" s="198"/>
      <c r="O494" s="403"/>
      <c r="P494" s="198"/>
      <c r="Q494" s="429"/>
      <c r="R494" s="76"/>
      <c r="S494" s="403"/>
      <c r="T494" s="198"/>
      <c r="U494" s="403"/>
      <c r="V494" s="19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03"/>
      <c r="B495" s="198"/>
      <c r="C495" s="403"/>
      <c r="D495" s="198"/>
      <c r="E495" s="403"/>
      <c r="F495" s="198"/>
      <c r="G495" s="403"/>
      <c r="H495" s="198"/>
      <c r="I495" s="403"/>
      <c r="J495" s="198"/>
      <c r="K495" s="403"/>
      <c r="L495" s="198"/>
      <c r="M495" s="403"/>
      <c r="N495" s="198"/>
      <c r="O495" s="403"/>
      <c r="P495" s="198"/>
      <c r="Q495" s="429"/>
      <c r="R495" s="76"/>
      <c r="S495" s="403"/>
      <c r="T495" s="198"/>
      <c r="U495" s="403"/>
      <c r="V495" s="19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03"/>
      <c r="B496" s="198"/>
      <c r="C496" s="403"/>
      <c r="D496" s="198"/>
      <c r="E496" s="403"/>
      <c r="F496" s="198"/>
      <c r="G496" s="403"/>
      <c r="H496" s="198"/>
      <c r="I496" s="403"/>
      <c r="J496" s="198"/>
      <c r="K496" s="403"/>
      <c r="L496" s="198"/>
      <c r="M496" s="403"/>
      <c r="N496" s="198"/>
      <c r="O496" s="403"/>
      <c r="P496" s="198"/>
      <c r="Q496" s="429"/>
      <c r="R496" s="76"/>
      <c r="S496" s="403"/>
      <c r="T496" s="198"/>
      <c r="U496" s="403"/>
      <c r="V496" s="19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03"/>
      <c r="B497" s="198"/>
      <c r="C497" s="403"/>
      <c r="D497" s="198"/>
      <c r="E497" s="403"/>
      <c r="F497" s="198"/>
      <c r="G497" s="403"/>
      <c r="H497" s="198"/>
      <c r="I497" s="403"/>
      <c r="J497" s="198"/>
      <c r="K497" s="403"/>
      <c r="L497" s="198"/>
      <c r="M497" s="403"/>
      <c r="N497" s="198"/>
      <c r="O497" s="403"/>
      <c r="P497" s="198"/>
      <c r="Q497" s="429"/>
      <c r="R497" s="76"/>
      <c r="S497" s="403"/>
      <c r="T497" s="198"/>
      <c r="U497" s="403"/>
      <c r="V497" s="19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03"/>
      <c r="B498" s="198"/>
      <c r="C498" s="403"/>
      <c r="D498" s="198"/>
      <c r="E498" s="403"/>
      <c r="F498" s="198"/>
      <c r="G498" s="403"/>
      <c r="H498" s="198"/>
      <c r="I498" s="403"/>
      <c r="J498" s="198"/>
      <c r="K498" s="403"/>
      <c r="L498" s="198"/>
      <c r="M498" s="403"/>
      <c r="N498" s="198"/>
      <c r="O498" s="403"/>
      <c r="P498" s="198"/>
      <c r="Q498" s="429"/>
      <c r="R498" s="76"/>
      <c r="S498" s="403"/>
      <c r="T498" s="198"/>
      <c r="U498" s="403"/>
      <c r="V498" s="19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03"/>
      <c r="B499" s="198"/>
      <c r="C499" s="403"/>
      <c r="D499" s="198"/>
      <c r="E499" s="403"/>
      <c r="F499" s="198"/>
      <c r="G499" s="403"/>
      <c r="H499" s="198"/>
      <c r="I499" s="403"/>
      <c r="J499" s="198"/>
      <c r="K499" s="403"/>
      <c r="L499" s="198"/>
      <c r="M499" s="403"/>
      <c r="N499" s="198"/>
      <c r="O499" s="403"/>
      <c r="P499" s="198"/>
      <c r="Q499" s="429"/>
      <c r="R499" s="76"/>
      <c r="S499" s="403"/>
      <c r="T499" s="198"/>
      <c r="U499" s="403"/>
      <c r="V499" s="19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03"/>
      <c r="B500" s="198"/>
      <c r="C500" s="403"/>
      <c r="D500" s="198"/>
      <c r="E500" s="403"/>
      <c r="F500" s="198"/>
      <c r="G500" s="403"/>
      <c r="H500" s="198"/>
      <c r="I500" s="403"/>
      <c r="J500" s="198"/>
      <c r="K500" s="403"/>
      <c r="L500" s="198"/>
      <c r="M500" s="403"/>
      <c r="N500" s="198"/>
      <c r="O500" s="403"/>
      <c r="P500" s="198"/>
      <c r="Q500" s="429"/>
      <c r="R500" s="76"/>
      <c r="S500" s="403"/>
      <c r="T500" s="198"/>
      <c r="U500" s="403"/>
      <c r="V500" s="19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03"/>
      <c r="B501" s="198"/>
      <c r="C501" s="403"/>
      <c r="D501" s="198"/>
      <c r="E501" s="403"/>
      <c r="F501" s="198"/>
      <c r="G501" s="403"/>
      <c r="H501" s="198"/>
      <c r="I501" s="403"/>
      <c r="J501" s="198"/>
      <c r="K501" s="403"/>
      <c r="L501" s="198"/>
      <c r="M501" s="403"/>
      <c r="N501" s="198"/>
      <c r="O501" s="403"/>
      <c r="P501" s="198"/>
      <c r="Q501" s="429"/>
      <c r="R501" s="76"/>
      <c r="S501" s="403"/>
      <c r="T501" s="198"/>
      <c r="U501" s="403"/>
      <c r="V501" s="19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03"/>
      <c r="B502" s="198"/>
      <c r="C502" s="403"/>
      <c r="D502" s="198"/>
      <c r="E502" s="403"/>
      <c r="F502" s="198"/>
      <c r="G502" s="403"/>
      <c r="H502" s="198"/>
      <c r="I502" s="403"/>
      <c r="J502" s="198"/>
      <c r="K502" s="403"/>
      <c r="L502" s="198"/>
      <c r="M502" s="403"/>
      <c r="N502" s="198"/>
      <c r="O502" s="403"/>
      <c r="P502" s="198"/>
      <c r="Q502" s="429"/>
      <c r="R502" s="76"/>
      <c r="S502" s="403"/>
      <c r="T502" s="198"/>
      <c r="U502" s="403"/>
      <c r="V502" s="19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03"/>
      <c r="B503" s="198"/>
      <c r="C503" s="403"/>
      <c r="D503" s="198"/>
      <c r="E503" s="403"/>
      <c r="F503" s="198"/>
      <c r="G503" s="403"/>
      <c r="H503" s="198"/>
      <c r="I503" s="403"/>
      <c r="J503" s="198"/>
      <c r="K503" s="403"/>
      <c r="L503" s="198"/>
      <c r="M503" s="403"/>
      <c r="N503" s="198"/>
      <c r="O503" s="403"/>
      <c r="P503" s="198"/>
      <c r="Q503" s="429"/>
      <c r="R503" s="76"/>
      <c r="S503" s="403"/>
      <c r="T503" s="198"/>
      <c r="U503" s="403"/>
      <c r="V503" s="19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03"/>
      <c r="B504" s="198"/>
      <c r="C504" s="403"/>
      <c r="D504" s="198"/>
      <c r="E504" s="403"/>
      <c r="F504" s="198"/>
      <c r="G504" s="403"/>
      <c r="H504" s="198"/>
      <c r="I504" s="403"/>
      <c r="J504" s="198"/>
      <c r="K504" s="403"/>
      <c r="L504" s="198"/>
      <c r="M504" s="403"/>
      <c r="N504" s="198"/>
      <c r="O504" s="403"/>
      <c r="P504" s="198"/>
      <c r="Q504" s="429"/>
      <c r="R504" s="76"/>
      <c r="S504" s="403"/>
      <c r="T504" s="198"/>
      <c r="U504" s="403"/>
      <c r="V504" s="19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03"/>
      <c r="B505" s="198"/>
      <c r="C505" s="403"/>
      <c r="D505" s="198"/>
      <c r="E505" s="403"/>
      <c r="F505" s="198"/>
      <c r="G505" s="403"/>
      <c r="H505" s="198"/>
      <c r="I505" s="403"/>
      <c r="J505" s="198"/>
      <c r="K505" s="403"/>
      <c r="L505" s="198"/>
      <c r="M505" s="403"/>
      <c r="N505" s="198"/>
      <c r="O505" s="403"/>
      <c r="P505" s="198"/>
      <c r="Q505" s="429"/>
      <c r="R505" s="76"/>
      <c r="S505" s="403"/>
      <c r="T505" s="198"/>
      <c r="U505" s="403"/>
      <c r="V505" s="19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03"/>
      <c r="B506" s="198"/>
      <c r="C506" s="403"/>
      <c r="D506" s="198"/>
      <c r="E506" s="403"/>
      <c r="F506" s="198"/>
      <c r="G506" s="403"/>
      <c r="H506" s="198"/>
      <c r="I506" s="403"/>
      <c r="J506" s="198"/>
      <c r="K506" s="403"/>
      <c r="L506" s="198"/>
      <c r="M506" s="403"/>
      <c r="N506" s="198"/>
      <c r="O506" s="403"/>
      <c r="P506" s="198"/>
      <c r="Q506" s="429"/>
      <c r="R506" s="76"/>
      <c r="S506" s="403"/>
      <c r="T506" s="198"/>
      <c r="U506" s="403"/>
      <c r="V506" s="19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03"/>
      <c r="B507" s="198"/>
      <c r="C507" s="403"/>
      <c r="D507" s="198"/>
      <c r="E507" s="403"/>
      <c r="F507" s="198"/>
      <c r="G507" s="403"/>
      <c r="H507" s="198"/>
      <c r="I507" s="403"/>
      <c r="J507" s="198"/>
      <c r="K507" s="403"/>
      <c r="L507" s="198"/>
      <c r="M507" s="403"/>
      <c r="N507" s="198"/>
      <c r="O507" s="403"/>
      <c r="P507" s="198"/>
      <c r="Q507" s="429"/>
      <c r="R507" s="76"/>
      <c r="S507" s="403"/>
      <c r="T507" s="198"/>
      <c r="U507" s="403"/>
      <c r="V507" s="19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03"/>
      <c r="B508" s="198"/>
      <c r="C508" s="403"/>
      <c r="D508" s="198"/>
      <c r="E508" s="403"/>
      <c r="F508" s="198"/>
      <c r="G508" s="403"/>
      <c r="H508" s="198"/>
      <c r="I508" s="403"/>
      <c r="J508" s="198"/>
      <c r="K508" s="403"/>
      <c r="L508" s="198"/>
      <c r="M508" s="403"/>
      <c r="N508" s="198"/>
      <c r="O508" s="403"/>
      <c r="P508" s="198"/>
      <c r="Q508" s="429"/>
      <c r="R508" s="76"/>
      <c r="S508" s="403"/>
      <c r="T508" s="198"/>
      <c r="U508" s="403"/>
      <c r="V508" s="19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03"/>
      <c r="B509" s="198"/>
      <c r="C509" s="403"/>
      <c r="D509" s="198"/>
      <c r="E509" s="403"/>
      <c r="F509" s="198"/>
      <c r="G509" s="403"/>
      <c r="H509" s="198"/>
      <c r="I509" s="403"/>
      <c r="J509" s="198"/>
      <c r="K509" s="403"/>
      <c r="L509" s="198"/>
      <c r="M509" s="403"/>
      <c r="N509" s="198"/>
      <c r="O509" s="403"/>
      <c r="P509" s="198"/>
      <c r="Q509" s="429"/>
      <c r="R509" s="76"/>
      <c r="S509" s="403"/>
      <c r="T509" s="198"/>
      <c r="U509" s="403"/>
      <c r="V509" s="19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03"/>
      <c r="B510" s="198"/>
      <c r="C510" s="403"/>
      <c r="D510" s="198"/>
      <c r="E510" s="403"/>
      <c r="F510" s="198"/>
      <c r="G510" s="403"/>
      <c r="H510" s="198"/>
      <c r="I510" s="403"/>
      <c r="J510" s="198"/>
      <c r="K510" s="403"/>
      <c r="L510" s="198"/>
      <c r="M510" s="403"/>
      <c r="N510" s="198"/>
      <c r="O510" s="403"/>
      <c r="P510" s="198"/>
      <c r="Q510" s="429"/>
      <c r="R510" s="76"/>
      <c r="S510" s="403"/>
      <c r="T510" s="198"/>
      <c r="U510" s="403"/>
      <c r="V510" s="19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03"/>
      <c r="B511" s="198"/>
      <c r="C511" s="403"/>
      <c r="D511" s="198"/>
      <c r="E511" s="403"/>
      <c r="F511" s="198"/>
      <c r="G511" s="403"/>
      <c r="H511" s="198"/>
      <c r="I511" s="403"/>
      <c r="J511" s="198"/>
      <c r="K511" s="403"/>
      <c r="L511" s="198"/>
      <c r="M511" s="403"/>
      <c r="N511" s="198"/>
      <c r="O511" s="403"/>
      <c r="P511" s="198"/>
      <c r="Q511" s="429"/>
      <c r="R511" s="76"/>
      <c r="S511" s="403"/>
      <c r="T511" s="198"/>
      <c r="U511" s="403"/>
      <c r="V511" s="19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03"/>
      <c r="B512" s="198"/>
      <c r="C512" s="403"/>
      <c r="D512" s="198"/>
      <c r="E512" s="403"/>
      <c r="F512" s="198"/>
      <c r="G512" s="403"/>
      <c r="H512" s="198"/>
      <c r="I512" s="403"/>
      <c r="J512" s="198"/>
      <c r="K512" s="403"/>
      <c r="L512" s="198"/>
      <c r="M512" s="403"/>
      <c r="N512" s="198"/>
      <c r="O512" s="403"/>
      <c r="P512" s="198"/>
      <c r="Q512" s="429"/>
      <c r="R512" s="76"/>
      <c r="S512" s="403"/>
      <c r="T512" s="198"/>
      <c r="U512" s="403"/>
      <c r="V512" s="19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03"/>
      <c r="B513" s="198"/>
      <c r="C513" s="403"/>
      <c r="D513" s="198"/>
      <c r="E513" s="403"/>
      <c r="F513" s="198"/>
      <c r="G513" s="403"/>
      <c r="H513" s="198"/>
      <c r="I513" s="403"/>
      <c r="J513" s="198"/>
      <c r="K513" s="403"/>
      <c r="L513" s="198"/>
      <c r="M513" s="403"/>
      <c r="N513" s="198"/>
      <c r="O513" s="403"/>
      <c r="P513" s="198"/>
      <c r="Q513" s="429"/>
      <c r="R513" s="76"/>
      <c r="S513" s="403"/>
      <c r="T513" s="198"/>
      <c r="U513" s="403"/>
      <c r="V513" s="19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03"/>
      <c r="B514" s="198"/>
      <c r="C514" s="403"/>
      <c r="D514" s="198"/>
      <c r="E514" s="403"/>
      <c r="F514" s="198"/>
      <c r="G514" s="403"/>
      <c r="H514" s="198"/>
      <c r="I514" s="403"/>
      <c r="J514" s="198"/>
      <c r="K514" s="403"/>
      <c r="L514" s="198"/>
      <c r="M514" s="403"/>
      <c r="N514" s="198"/>
      <c r="O514" s="403"/>
      <c r="P514" s="198"/>
      <c r="Q514" s="429"/>
      <c r="R514" s="76"/>
      <c r="S514" s="403"/>
      <c r="T514" s="198"/>
      <c r="U514" s="403"/>
      <c r="V514" s="19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03"/>
      <c r="B515" s="198"/>
      <c r="C515" s="403"/>
      <c r="D515" s="198"/>
      <c r="E515" s="403"/>
      <c r="F515" s="198"/>
      <c r="G515" s="403"/>
      <c r="H515" s="198"/>
      <c r="I515" s="403"/>
      <c r="J515" s="198"/>
      <c r="K515" s="403"/>
      <c r="L515" s="198"/>
      <c r="M515" s="403"/>
      <c r="N515" s="198"/>
      <c r="O515" s="403"/>
      <c r="P515" s="198"/>
      <c r="Q515" s="429"/>
      <c r="R515" s="76"/>
      <c r="S515" s="403"/>
      <c r="T515" s="198"/>
      <c r="U515" s="403"/>
      <c r="V515" s="19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03"/>
      <c r="B516" s="198"/>
      <c r="C516" s="403"/>
      <c r="D516" s="198"/>
      <c r="E516" s="403"/>
      <c r="F516" s="198"/>
      <c r="G516" s="403"/>
      <c r="H516" s="198"/>
      <c r="I516" s="403"/>
      <c r="J516" s="198"/>
      <c r="K516" s="403"/>
      <c r="L516" s="198"/>
      <c r="M516" s="403"/>
      <c r="N516" s="198"/>
      <c r="O516" s="403"/>
      <c r="P516" s="198"/>
      <c r="Q516" s="357"/>
      <c r="R516" s="76"/>
      <c r="S516" s="403"/>
      <c r="T516" s="198"/>
      <c r="U516" s="403"/>
      <c r="V516" s="19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03"/>
      <c r="B517" s="198"/>
      <c r="C517" s="403"/>
      <c r="D517" s="198"/>
      <c r="E517" s="403"/>
      <c r="F517" s="198"/>
      <c r="G517" s="403"/>
      <c r="H517" s="198"/>
      <c r="I517" s="403"/>
      <c r="J517" s="198"/>
      <c r="K517" s="403"/>
      <c r="L517" s="198"/>
      <c r="M517" s="403"/>
      <c r="N517" s="198"/>
      <c r="O517" s="403"/>
      <c r="P517" s="198"/>
      <c r="Q517" s="357"/>
      <c r="R517" s="76"/>
      <c r="S517" s="403"/>
      <c r="T517" s="198"/>
      <c r="U517" s="403"/>
      <c r="V517" s="19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03"/>
      <c r="B518" s="198"/>
      <c r="C518" s="403"/>
      <c r="D518" s="198"/>
      <c r="E518" s="403"/>
      <c r="F518" s="198"/>
      <c r="G518" s="403"/>
      <c r="H518" s="198"/>
      <c r="I518" s="403"/>
      <c r="J518" s="198"/>
      <c r="K518" s="403"/>
      <c r="L518" s="198"/>
      <c r="M518" s="403"/>
      <c r="N518" s="198"/>
      <c r="O518" s="403"/>
      <c r="P518" s="198"/>
      <c r="Q518" s="357"/>
      <c r="R518" s="76"/>
      <c r="S518" s="403"/>
      <c r="T518" s="198"/>
      <c r="U518" s="403"/>
      <c r="V518" s="19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03"/>
      <c r="B519" s="198"/>
      <c r="C519" s="403"/>
      <c r="D519" s="198"/>
      <c r="E519" s="403"/>
      <c r="F519" s="198"/>
      <c r="G519" s="403"/>
      <c r="H519" s="198"/>
      <c r="I519" s="403"/>
      <c r="J519" s="198"/>
      <c r="K519" s="403"/>
      <c r="L519" s="198"/>
      <c r="M519" s="403"/>
      <c r="N519" s="198"/>
      <c r="O519" s="403"/>
      <c r="P519" s="198"/>
      <c r="Q519" s="357"/>
      <c r="R519" s="76"/>
      <c r="S519" s="403"/>
      <c r="T519" s="198"/>
      <c r="U519" s="403"/>
      <c r="V519" s="19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03"/>
      <c r="B520" s="198"/>
      <c r="C520" s="403"/>
      <c r="D520" s="198"/>
      <c r="E520" s="403"/>
      <c r="F520" s="198"/>
      <c r="G520" s="403"/>
      <c r="H520" s="198"/>
      <c r="I520" s="403"/>
      <c r="J520" s="198"/>
      <c r="K520" s="403"/>
      <c r="L520" s="198"/>
      <c r="M520" s="403"/>
      <c r="N520" s="198"/>
      <c r="O520" s="403"/>
      <c r="P520" s="198"/>
      <c r="Q520" s="357"/>
      <c r="R520" s="76"/>
      <c r="S520" s="403"/>
      <c r="T520" s="198"/>
      <c r="U520" s="403"/>
      <c r="V520" s="19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03"/>
      <c r="B521" s="198"/>
      <c r="C521" s="403"/>
      <c r="D521" s="198"/>
      <c r="E521" s="403"/>
      <c r="F521" s="198"/>
      <c r="G521" s="403"/>
      <c r="H521" s="198"/>
      <c r="I521" s="403"/>
      <c r="J521" s="198"/>
      <c r="K521" s="403"/>
      <c r="L521" s="198"/>
      <c r="M521" s="403"/>
      <c r="N521" s="198"/>
      <c r="O521" s="403"/>
      <c r="P521" s="198"/>
      <c r="Q521" s="357"/>
      <c r="R521" s="76"/>
      <c r="S521" s="403"/>
      <c r="T521" s="198"/>
      <c r="U521" s="403"/>
      <c r="V521" s="19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03"/>
      <c r="B522" s="198"/>
      <c r="C522" s="403"/>
      <c r="D522" s="198"/>
      <c r="E522" s="403"/>
      <c r="F522" s="198"/>
      <c r="G522" s="403"/>
      <c r="H522" s="198"/>
      <c r="I522" s="403"/>
      <c r="J522" s="198"/>
      <c r="K522" s="403"/>
      <c r="L522" s="198"/>
      <c r="M522" s="403"/>
      <c r="N522" s="198"/>
      <c r="O522" s="403"/>
      <c r="P522" s="198"/>
      <c r="Q522" s="357"/>
      <c r="R522" s="76"/>
      <c r="S522" s="403"/>
      <c r="T522" s="198"/>
      <c r="U522" s="403"/>
      <c r="V522" s="19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03"/>
      <c r="B523" s="198"/>
      <c r="C523" s="403"/>
      <c r="D523" s="198"/>
      <c r="E523" s="403"/>
      <c r="F523" s="198"/>
      <c r="G523" s="403"/>
      <c r="H523" s="198"/>
      <c r="I523" s="403"/>
      <c r="J523" s="198"/>
      <c r="K523" s="403"/>
      <c r="L523" s="198"/>
      <c r="M523" s="403"/>
      <c r="N523" s="198"/>
      <c r="O523" s="403"/>
      <c r="P523" s="198"/>
      <c r="Q523" s="357"/>
      <c r="R523" s="76"/>
      <c r="S523" s="403"/>
      <c r="T523" s="198"/>
      <c r="U523" s="403"/>
      <c r="V523" s="19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03"/>
      <c r="B524" s="198"/>
      <c r="C524" s="403"/>
      <c r="D524" s="198"/>
      <c r="E524" s="403"/>
      <c r="F524" s="198"/>
      <c r="G524" s="403"/>
      <c r="H524" s="198"/>
      <c r="I524" s="403"/>
      <c r="J524" s="198"/>
      <c r="K524" s="403"/>
      <c r="L524" s="198"/>
      <c r="M524" s="403"/>
      <c r="N524" s="198"/>
      <c r="O524" s="403"/>
      <c r="P524" s="198"/>
      <c r="Q524" s="357"/>
      <c r="R524" s="76"/>
      <c r="S524" s="403"/>
      <c r="T524" s="198"/>
      <c r="U524" s="403"/>
      <c r="V524" s="19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03"/>
      <c r="B525" s="198"/>
      <c r="C525" s="403"/>
      <c r="D525" s="198"/>
      <c r="E525" s="403"/>
      <c r="F525" s="198"/>
      <c r="G525" s="403"/>
      <c r="H525" s="198"/>
      <c r="I525" s="403"/>
      <c r="J525" s="198"/>
      <c r="K525" s="403"/>
      <c r="L525" s="198"/>
      <c r="M525" s="403"/>
      <c r="N525" s="198"/>
      <c r="O525" s="403"/>
      <c r="P525" s="198"/>
      <c r="Q525" s="357"/>
      <c r="R525" s="76"/>
      <c r="S525" s="403"/>
      <c r="T525" s="198"/>
      <c r="U525" s="403"/>
      <c r="V525" s="19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03"/>
      <c r="B526" s="198"/>
      <c r="C526" s="403"/>
      <c r="D526" s="198"/>
      <c r="E526" s="403"/>
      <c r="F526" s="198"/>
      <c r="G526" s="403"/>
      <c r="H526" s="198"/>
      <c r="I526" s="403"/>
      <c r="J526" s="198"/>
      <c r="K526" s="403"/>
      <c r="L526" s="198"/>
      <c r="M526" s="403"/>
      <c r="N526" s="198"/>
      <c r="O526" s="403"/>
      <c r="P526" s="198"/>
      <c r="Q526" s="357"/>
      <c r="R526" s="76"/>
      <c r="S526" s="403"/>
      <c r="T526" s="198"/>
      <c r="U526" s="403"/>
      <c r="V526" s="19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03"/>
      <c r="B527" s="198"/>
      <c r="C527" s="403"/>
      <c r="D527" s="198"/>
      <c r="E527" s="403"/>
      <c r="F527" s="198"/>
      <c r="G527" s="403"/>
      <c r="H527" s="198"/>
      <c r="I527" s="403"/>
      <c r="J527" s="198"/>
      <c r="K527" s="403"/>
      <c r="L527" s="198"/>
      <c r="M527" s="403"/>
      <c r="N527" s="198"/>
      <c r="O527" s="403"/>
      <c r="P527" s="198"/>
      <c r="Q527" s="357"/>
      <c r="R527" s="76"/>
      <c r="S527" s="403"/>
      <c r="T527" s="198"/>
      <c r="U527" s="403"/>
      <c r="V527" s="19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03"/>
      <c r="B528" s="198"/>
      <c r="C528" s="403"/>
      <c r="D528" s="198"/>
      <c r="E528" s="403"/>
      <c r="F528" s="198"/>
      <c r="G528" s="403"/>
      <c r="H528" s="198"/>
      <c r="I528" s="403"/>
      <c r="J528" s="198"/>
      <c r="K528" s="403"/>
      <c r="L528" s="198"/>
      <c r="M528" s="403"/>
      <c r="N528" s="198"/>
      <c r="O528" s="403"/>
      <c r="P528" s="198"/>
      <c r="Q528" s="357"/>
      <c r="R528" s="76"/>
      <c r="S528" s="403"/>
      <c r="T528" s="198"/>
      <c r="U528" s="403"/>
      <c r="V528" s="19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03"/>
      <c r="B529" s="198"/>
      <c r="C529" s="403"/>
      <c r="D529" s="198"/>
      <c r="E529" s="403"/>
      <c r="F529" s="198"/>
      <c r="G529" s="403"/>
      <c r="H529" s="198"/>
      <c r="I529" s="403"/>
      <c r="J529" s="198"/>
      <c r="K529" s="403"/>
      <c r="L529" s="198"/>
      <c r="M529" s="403"/>
      <c r="N529" s="198"/>
      <c r="O529" s="403"/>
      <c r="P529" s="198"/>
      <c r="Q529" s="357"/>
      <c r="R529" s="76"/>
      <c r="S529" s="403"/>
      <c r="T529" s="198"/>
      <c r="U529" s="403"/>
      <c r="V529" s="19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03"/>
      <c r="B530" s="198"/>
      <c r="C530" s="403"/>
      <c r="D530" s="198"/>
      <c r="E530" s="403"/>
      <c r="F530" s="198"/>
      <c r="G530" s="403"/>
      <c r="H530" s="198"/>
      <c r="I530" s="403"/>
      <c r="J530" s="198"/>
      <c r="K530" s="403"/>
      <c r="L530" s="198"/>
      <c r="M530" s="403"/>
      <c r="N530" s="198"/>
      <c r="O530" s="403"/>
      <c r="P530" s="198"/>
      <c r="Q530" s="357"/>
      <c r="R530" s="76"/>
      <c r="S530" s="403"/>
      <c r="T530" s="198"/>
      <c r="U530" s="403"/>
      <c r="V530" s="19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03"/>
      <c r="B531" s="198"/>
      <c r="C531" s="403"/>
      <c r="D531" s="198"/>
      <c r="E531" s="403"/>
      <c r="F531" s="198"/>
      <c r="G531" s="403"/>
      <c r="H531" s="198"/>
      <c r="I531" s="403"/>
      <c r="J531" s="198"/>
      <c r="K531" s="403"/>
      <c r="L531" s="198"/>
      <c r="M531" s="403"/>
      <c r="N531" s="198"/>
      <c r="O531" s="403"/>
      <c r="P531" s="198"/>
      <c r="Q531" s="357"/>
      <c r="R531" s="76"/>
      <c r="S531" s="403"/>
      <c r="T531" s="198"/>
      <c r="U531" s="403"/>
      <c r="V531" s="19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03"/>
      <c r="B532" s="198"/>
      <c r="C532" s="403"/>
      <c r="D532" s="198"/>
      <c r="E532" s="403"/>
      <c r="F532" s="198"/>
      <c r="G532" s="403"/>
      <c r="H532" s="198"/>
      <c r="I532" s="403"/>
      <c r="J532" s="198"/>
      <c r="K532" s="403"/>
      <c r="L532" s="198"/>
      <c r="M532" s="403"/>
      <c r="N532" s="198"/>
      <c r="O532" s="403"/>
      <c r="P532" s="198"/>
      <c r="Q532" s="357"/>
      <c r="R532" s="76"/>
      <c r="S532" s="403"/>
      <c r="T532" s="198"/>
      <c r="U532" s="403"/>
      <c r="V532" s="19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03"/>
      <c r="B533" s="198"/>
      <c r="C533" s="403"/>
      <c r="D533" s="198"/>
      <c r="E533" s="403"/>
      <c r="F533" s="198"/>
      <c r="G533" s="403"/>
      <c r="H533" s="198"/>
      <c r="I533" s="403"/>
      <c r="J533" s="198"/>
      <c r="K533" s="403"/>
      <c r="L533" s="198"/>
      <c r="M533" s="403"/>
      <c r="N533" s="198"/>
      <c r="O533" s="403"/>
      <c r="P533" s="198"/>
      <c r="Q533" s="357"/>
      <c r="R533" s="76"/>
      <c r="S533" s="403"/>
      <c r="T533" s="198"/>
      <c r="U533" s="403"/>
      <c r="V533" s="19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03"/>
      <c r="B534" s="198"/>
      <c r="C534" s="403"/>
      <c r="D534" s="198"/>
      <c r="E534" s="403"/>
      <c r="F534" s="198"/>
      <c r="G534" s="403"/>
      <c r="H534" s="198"/>
      <c r="I534" s="403"/>
      <c r="J534" s="198"/>
      <c r="K534" s="403"/>
      <c r="L534" s="198"/>
      <c r="M534" s="403"/>
      <c r="N534" s="198"/>
      <c r="O534" s="403"/>
      <c r="P534" s="198"/>
      <c r="Q534" s="357"/>
      <c r="R534" s="357"/>
      <c r="S534" s="403"/>
      <c r="T534" s="198"/>
      <c r="U534" s="403"/>
      <c r="V534" s="19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03"/>
      <c r="B535" s="198"/>
      <c r="C535" s="403"/>
      <c r="D535" s="198"/>
      <c r="E535" s="403"/>
      <c r="F535" s="198"/>
      <c r="G535" s="403"/>
      <c r="H535" s="198"/>
      <c r="I535" s="403"/>
      <c r="J535" s="198"/>
      <c r="K535" s="403"/>
      <c r="L535" s="198"/>
      <c r="M535" s="403"/>
      <c r="N535" s="198"/>
      <c r="O535" s="403"/>
      <c r="P535" s="198"/>
      <c r="Q535" s="357"/>
      <c r="R535" s="357"/>
      <c r="S535" s="403"/>
      <c r="T535" s="198"/>
      <c r="U535" s="403"/>
      <c r="V535" s="19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03"/>
      <c r="B536" s="198"/>
      <c r="C536" s="403"/>
      <c r="D536" s="198"/>
      <c r="E536" s="403"/>
      <c r="F536" s="198"/>
      <c r="G536" s="403"/>
      <c r="H536" s="198"/>
      <c r="I536" s="403"/>
      <c r="J536" s="198"/>
      <c r="K536" s="403"/>
      <c r="L536" s="198"/>
      <c r="M536" s="403"/>
      <c r="N536" s="198"/>
      <c r="O536" s="403"/>
      <c r="P536" s="198"/>
      <c r="Q536" s="357"/>
      <c r="R536" s="357"/>
      <c r="S536" s="403"/>
      <c r="T536" s="198"/>
      <c r="U536" s="403"/>
      <c r="V536" s="19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03"/>
      <c r="B537" s="198"/>
      <c r="C537" s="403"/>
      <c r="D537" s="198"/>
      <c r="E537" s="403"/>
      <c r="F537" s="198"/>
      <c r="G537" s="403"/>
      <c r="H537" s="198"/>
      <c r="I537" s="403"/>
      <c r="J537" s="198"/>
      <c r="K537" s="403"/>
      <c r="L537" s="198"/>
      <c r="M537" s="403"/>
      <c r="N537" s="198"/>
      <c r="O537" s="403"/>
      <c r="P537" s="198"/>
      <c r="Q537" s="357"/>
      <c r="R537" s="357"/>
      <c r="S537" s="403"/>
      <c r="T537" s="198"/>
      <c r="U537" s="403"/>
      <c r="V537" s="19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03"/>
      <c r="B538" s="198"/>
      <c r="C538" s="403"/>
      <c r="D538" s="198"/>
      <c r="E538" s="403"/>
      <c r="F538" s="198"/>
      <c r="G538" s="403"/>
      <c r="H538" s="198"/>
      <c r="I538" s="403"/>
      <c r="J538" s="198"/>
      <c r="K538" s="403"/>
      <c r="L538" s="198"/>
      <c r="M538" s="403"/>
      <c r="N538" s="198"/>
      <c r="O538" s="403"/>
      <c r="P538" s="198"/>
      <c r="Q538" s="357"/>
      <c r="R538" s="357"/>
      <c r="S538" s="403"/>
      <c r="T538" s="198"/>
      <c r="U538" s="403"/>
      <c r="V538" s="19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03"/>
      <c r="B539" s="198"/>
      <c r="C539" s="403"/>
      <c r="D539" s="198"/>
      <c r="E539" s="403"/>
      <c r="F539" s="198"/>
      <c r="G539" s="403"/>
      <c r="H539" s="198"/>
      <c r="I539" s="403"/>
      <c r="J539" s="198"/>
      <c r="K539" s="403"/>
      <c r="L539" s="198"/>
      <c r="M539" s="403"/>
      <c r="N539" s="198"/>
      <c r="O539" s="403"/>
      <c r="P539" s="198"/>
      <c r="Q539" s="357"/>
      <c r="R539" s="357"/>
      <c r="S539" s="403"/>
      <c r="T539" s="198"/>
      <c r="U539" s="403"/>
      <c r="V539" s="19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03"/>
      <c r="B540" s="198"/>
      <c r="C540" s="403"/>
      <c r="D540" s="198"/>
      <c r="E540" s="403"/>
      <c r="F540" s="198"/>
      <c r="G540" s="403"/>
      <c r="H540" s="198"/>
      <c r="I540" s="403"/>
      <c r="J540" s="198"/>
      <c r="K540" s="403"/>
      <c r="L540" s="198"/>
      <c r="M540" s="403"/>
      <c r="N540" s="198"/>
      <c r="O540" s="403"/>
      <c r="P540" s="198"/>
      <c r="Q540" s="357"/>
      <c r="R540" s="357"/>
      <c r="S540" s="403"/>
      <c r="T540" s="198"/>
      <c r="U540" s="403"/>
      <c r="V540" s="19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03"/>
      <c r="B541" s="198"/>
      <c r="C541" s="403"/>
      <c r="D541" s="198"/>
      <c r="E541" s="403"/>
      <c r="F541" s="198"/>
      <c r="G541" s="403"/>
      <c r="H541" s="198"/>
      <c r="I541" s="403"/>
      <c r="J541" s="198"/>
      <c r="K541" s="403"/>
      <c r="L541" s="198"/>
      <c r="M541" s="403"/>
      <c r="N541" s="198"/>
      <c r="O541" s="403"/>
      <c r="P541" s="198"/>
      <c r="Q541" s="357"/>
      <c r="R541" s="357"/>
      <c r="S541" s="403"/>
      <c r="T541" s="198"/>
      <c r="U541" s="403"/>
      <c r="V541" s="19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03"/>
      <c r="B542" s="198"/>
      <c r="C542" s="403"/>
      <c r="D542" s="198"/>
      <c r="E542" s="403"/>
      <c r="F542" s="198"/>
      <c r="G542" s="403"/>
      <c r="H542" s="198"/>
      <c r="I542" s="403"/>
      <c r="J542" s="198"/>
      <c r="K542" s="403"/>
      <c r="L542" s="198"/>
      <c r="M542" s="403"/>
      <c r="N542" s="198"/>
      <c r="O542" s="403"/>
      <c r="P542" s="198"/>
      <c r="Q542" s="357"/>
      <c r="R542" s="357"/>
      <c r="S542" s="403"/>
      <c r="T542" s="198"/>
      <c r="U542" s="403"/>
      <c r="V542" s="19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03"/>
      <c r="B543" s="198"/>
      <c r="C543" s="403"/>
      <c r="D543" s="198"/>
      <c r="E543" s="403"/>
      <c r="F543" s="198"/>
      <c r="G543" s="403"/>
      <c r="H543" s="198"/>
      <c r="I543" s="403"/>
      <c r="J543" s="198"/>
      <c r="K543" s="403"/>
      <c r="L543" s="198"/>
      <c r="M543" s="403"/>
      <c r="N543" s="198"/>
      <c r="O543" s="403"/>
      <c r="P543" s="198"/>
      <c r="Q543" s="357"/>
      <c r="R543" s="357"/>
      <c r="S543" s="403"/>
      <c r="T543" s="198"/>
      <c r="U543" s="403"/>
      <c r="V543" s="19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03"/>
      <c r="B544" s="198"/>
      <c r="C544" s="403"/>
      <c r="D544" s="198"/>
      <c r="E544" s="403"/>
      <c r="F544" s="198"/>
      <c r="G544" s="403"/>
      <c r="H544" s="198"/>
      <c r="I544" s="403"/>
      <c r="J544" s="198"/>
      <c r="K544" s="403"/>
      <c r="L544" s="198"/>
      <c r="M544" s="403"/>
      <c r="N544" s="198"/>
      <c r="O544" s="403"/>
      <c r="P544" s="198"/>
      <c r="Q544" s="357"/>
      <c r="R544" s="357"/>
      <c r="S544" s="403"/>
      <c r="T544" s="198"/>
      <c r="U544" s="403"/>
      <c r="V544" s="19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03"/>
      <c r="B545" s="198"/>
      <c r="C545" s="403"/>
      <c r="D545" s="198"/>
      <c r="E545" s="403"/>
      <c r="F545" s="198"/>
      <c r="G545" s="403"/>
      <c r="H545" s="198"/>
      <c r="I545" s="403"/>
      <c r="J545" s="198"/>
      <c r="K545" s="403"/>
      <c r="L545" s="198"/>
      <c r="M545" s="403"/>
      <c r="N545" s="198"/>
      <c r="O545" s="403"/>
      <c r="P545" s="198"/>
      <c r="Q545" s="357"/>
      <c r="R545" s="357"/>
      <c r="S545" s="403"/>
      <c r="T545" s="198"/>
      <c r="U545" s="403"/>
      <c r="V545" s="19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03"/>
      <c r="B546" s="198"/>
      <c r="C546" s="403"/>
      <c r="D546" s="198"/>
      <c r="E546" s="403"/>
      <c r="F546" s="198"/>
      <c r="G546" s="403"/>
      <c r="H546" s="198"/>
      <c r="I546" s="403"/>
      <c r="J546" s="198"/>
      <c r="K546" s="403"/>
      <c r="L546" s="198"/>
      <c r="M546" s="403"/>
      <c r="N546" s="198"/>
      <c r="O546" s="403"/>
      <c r="P546" s="198"/>
      <c r="Q546" s="357"/>
      <c r="R546" s="357"/>
      <c r="S546" s="403"/>
      <c r="T546" s="198"/>
      <c r="U546" s="403"/>
      <c r="V546" s="19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03"/>
      <c r="B547" s="198"/>
      <c r="C547" s="403"/>
      <c r="D547" s="198"/>
      <c r="E547" s="403"/>
      <c r="F547" s="198"/>
      <c r="G547" s="403"/>
      <c r="H547" s="198"/>
      <c r="I547" s="403"/>
      <c r="J547" s="198"/>
      <c r="K547" s="403"/>
      <c r="L547" s="198"/>
      <c r="M547" s="403"/>
      <c r="N547" s="198"/>
      <c r="O547" s="403"/>
      <c r="P547" s="198"/>
      <c r="Q547" s="357"/>
      <c r="R547" s="357"/>
      <c r="S547" s="403"/>
      <c r="T547" s="198"/>
      <c r="U547" s="403"/>
      <c r="V547" s="19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03"/>
      <c r="B548" s="198"/>
      <c r="C548" s="403"/>
      <c r="D548" s="198"/>
      <c r="E548" s="403"/>
      <c r="F548" s="198"/>
      <c r="G548" s="403"/>
      <c r="H548" s="198"/>
      <c r="I548" s="403"/>
      <c r="J548" s="198"/>
      <c r="K548" s="403"/>
      <c r="L548" s="198"/>
      <c r="M548" s="403"/>
      <c r="N548" s="198"/>
      <c r="O548" s="403"/>
      <c r="P548" s="198"/>
      <c r="Q548" s="357"/>
      <c r="R548" s="357"/>
      <c r="S548" s="403"/>
      <c r="T548" s="198"/>
      <c r="U548" s="403"/>
      <c r="V548" s="19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03"/>
      <c r="B549" s="198"/>
      <c r="C549" s="403"/>
      <c r="D549" s="198"/>
      <c r="E549" s="403"/>
      <c r="F549" s="198"/>
      <c r="G549" s="403"/>
      <c r="H549" s="198"/>
      <c r="I549" s="403"/>
      <c r="J549" s="198"/>
      <c r="K549" s="403"/>
      <c r="L549" s="198"/>
      <c r="M549" s="403"/>
      <c r="N549" s="198"/>
      <c r="O549" s="403"/>
      <c r="P549" s="198"/>
      <c r="Q549" s="357"/>
      <c r="R549" s="357"/>
      <c r="S549" s="403"/>
      <c r="T549" s="198"/>
      <c r="U549" s="403"/>
      <c r="V549" s="19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03"/>
      <c r="B550" s="198"/>
      <c r="C550" s="403"/>
      <c r="D550" s="198"/>
      <c r="E550" s="403"/>
      <c r="F550" s="198"/>
      <c r="G550" s="403"/>
      <c r="H550" s="198"/>
      <c r="I550" s="403"/>
      <c r="J550" s="198"/>
      <c r="K550" s="403"/>
      <c r="L550" s="198"/>
      <c r="M550" s="403"/>
      <c r="N550" s="198"/>
      <c r="O550" s="403"/>
      <c r="P550" s="198"/>
      <c r="Q550" s="357"/>
      <c r="R550" s="357"/>
      <c r="S550" s="403"/>
      <c r="T550" s="198"/>
      <c r="U550" s="403"/>
      <c r="V550" s="19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03"/>
      <c r="B551" s="198"/>
      <c r="C551" s="403"/>
      <c r="D551" s="198"/>
      <c r="E551" s="403"/>
      <c r="F551" s="198"/>
      <c r="G551" s="403"/>
      <c r="H551" s="198"/>
      <c r="I551" s="403"/>
      <c r="J551" s="198"/>
      <c r="K551" s="403"/>
      <c r="L551" s="198"/>
      <c r="M551" s="403"/>
      <c r="N551" s="198"/>
      <c r="O551" s="403"/>
      <c r="P551" s="198"/>
      <c r="Q551" s="357"/>
      <c r="R551" s="357"/>
      <c r="S551" s="403"/>
      <c r="T551" s="198"/>
      <c r="U551" s="403"/>
      <c r="V551" s="19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03"/>
      <c r="B552" s="198"/>
      <c r="C552" s="403"/>
      <c r="D552" s="198"/>
      <c r="E552" s="403"/>
      <c r="F552" s="198"/>
      <c r="G552" s="403"/>
      <c r="H552" s="198"/>
      <c r="I552" s="403"/>
      <c r="J552" s="198"/>
      <c r="K552" s="403"/>
      <c r="L552" s="198"/>
      <c r="M552" s="403"/>
      <c r="N552" s="198"/>
      <c r="O552" s="403"/>
      <c r="P552" s="198"/>
      <c r="Q552" s="357"/>
      <c r="R552" s="357"/>
      <c r="S552" s="403"/>
      <c r="T552" s="198"/>
      <c r="U552" s="403"/>
      <c r="V552" s="19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03"/>
      <c r="B553" s="198"/>
      <c r="C553" s="403"/>
      <c r="D553" s="198"/>
      <c r="E553" s="403"/>
      <c r="F553" s="198"/>
      <c r="G553" s="403"/>
      <c r="H553" s="198"/>
      <c r="I553" s="403"/>
      <c r="J553" s="198"/>
      <c r="K553" s="403"/>
      <c r="L553" s="198"/>
      <c r="M553" s="403"/>
      <c r="N553" s="198"/>
      <c r="O553" s="403"/>
      <c r="P553" s="198"/>
      <c r="Q553" s="357"/>
      <c r="R553" s="357"/>
      <c r="S553" s="403"/>
      <c r="T553" s="198"/>
      <c r="U553" s="403"/>
      <c r="V553" s="19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03"/>
      <c r="B554" s="198"/>
      <c r="C554" s="403"/>
      <c r="D554" s="198"/>
      <c r="E554" s="403"/>
      <c r="F554" s="198"/>
      <c r="G554" s="403"/>
      <c r="H554" s="198"/>
      <c r="I554" s="403"/>
      <c r="J554" s="198"/>
      <c r="K554" s="403"/>
      <c r="L554" s="198"/>
      <c r="M554" s="403"/>
      <c r="N554" s="198"/>
      <c r="O554" s="403"/>
      <c r="P554" s="198"/>
      <c r="Q554" s="357"/>
      <c r="R554" s="357"/>
      <c r="S554" s="403"/>
      <c r="T554" s="198"/>
      <c r="U554" s="403"/>
      <c r="V554" s="19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03"/>
      <c r="B555" s="198"/>
      <c r="C555" s="403"/>
      <c r="D555" s="198"/>
      <c r="E555" s="403"/>
      <c r="F555" s="198"/>
      <c r="G555" s="403"/>
      <c r="H555" s="198"/>
      <c r="I555" s="403"/>
      <c r="J555" s="198"/>
      <c r="K555" s="403"/>
      <c r="L555" s="198"/>
      <c r="M555" s="403"/>
      <c r="N555" s="198"/>
      <c r="O555" s="403"/>
      <c r="P555" s="198"/>
      <c r="Q555" s="357"/>
      <c r="R555" s="357"/>
      <c r="S555" s="403"/>
      <c r="T555" s="198"/>
      <c r="U555" s="403"/>
      <c r="V555" s="19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03"/>
      <c r="B556" s="198"/>
      <c r="C556" s="403"/>
      <c r="D556" s="198"/>
      <c r="E556" s="403"/>
      <c r="F556" s="198"/>
      <c r="G556" s="403"/>
      <c r="H556" s="198"/>
      <c r="I556" s="403"/>
      <c r="J556" s="198"/>
      <c r="K556" s="403"/>
      <c r="L556" s="198"/>
      <c r="M556" s="403"/>
      <c r="N556" s="198"/>
      <c r="O556" s="403"/>
      <c r="P556" s="198"/>
      <c r="Q556" s="357"/>
      <c r="R556" s="357"/>
      <c r="S556" s="403"/>
      <c r="T556" s="198"/>
      <c r="U556" s="403"/>
      <c r="V556" s="19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03"/>
      <c r="B557" s="198"/>
      <c r="C557" s="403"/>
      <c r="D557" s="198"/>
      <c r="E557" s="403"/>
      <c r="F557" s="198"/>
      <c r="G557" s="403"/>
      <c r="H557" s="198"/>
      <c r="I557" s="403"/>
      <c r="J557" s="198"/>
      <c r="K557" s="403"/>
      <c r="L557" s="198"/>
      <c r="M557" s="403"/>
      <c r="N557" s="198"/>
      <c r="O557" s="403"/>
      <c r="P557" s="198"/>
      <c r="Q557" s="357"/>
      <c r="R557" s="357"/>
      <c r="S557" s="403"/>
      <c r="T557" s="198"/>
      <c r="U557" s="403"/>
      <c r="V557" s="19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03"/>
      <c r="B558" s="198"/>
      <c r="C558" s="403"/>
      <c r="D558" s="198"/>
      <c r="E558" s="403"/>
      <c r="F558" s="198"/>
      <c r="G558" s="403"/>
      <c r="H558" s="198"/>
      <c r="I558" s="403"/>
      <c r="J558" s="198"/>
      <c r="K558" s="403"/>
      <c r="L558" s="198"/>
      <c r="M558" s="403"/>
      <c r="N558" s="198"/>
      <c r="O558" s="403"/>
      <c r="P558" s="198"/>
      <c r="Q558" s="357"/>
      <c r="R558" s="357"/>
      <c r="S558" s="403"/>
      <c r="T558" s="198"/>
      <c r="U558" s="403"/>
      <c r="V558" s="19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03"/>
      <c r="B559" s="198"/>
      <c r="C559" s="403"/>
      <c r="D559" s="198"/>
      <c r="E559" s="403"/>
      <c r="F559" s="198"/>
      <c r="G559" s="403"/>
      <c r="H559" s="198"/>
      <c r="I559" s="403"/>
      <c r="J559" s="198"/>
      <c r="K559" s="403"/>
      <c r="L559" s="198"/>
      <c r="M559" s="403"/>
      <c r="N559" s="198"/>
      <c r="O559" s="403"/>
      <c r="P559" s="198"/>
      <c r="Q559" s="357"/>
      <c r="R559" s="357"/>
      <c r="S559" s="403"/>
      <c r="T559" s="198"/>
      <c r="U559" s="403"/>
      <c r="V559" s="19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03"/>
      <c r="B560" s="198"/>
      <c r="C560" s="403"/>
      <c r="D560" s="198"/>
      <c r="E560" s="403"/>
      <c r="F560" s="198"/>
      <c r="G560" s="403"/>
      <c r="H560" s="198"/>
      <c r="I560" s="403"/>
      <c r="J560" s="198"/>
      <c r="K560" s="403"/>
      <c r="L560" s="198"/>
      <c r="M560" s="403"/>
      <c r="N560" s="198"/>
      <c r="O560" s="403"/>
      <c r="P560" s="198"/>
      <c r="Q560" s="357"/>
      <c r="R560" s="357"/>
      <c r="S560" s="403"/>
      <c r="T560" s="198"/>
      <c r="U560" s="403"/>
      <c r="V560" s="19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03"/>
      <c r="B561" s="198"/>
      <c r="C561" s="403"/>
      <c r="D561" s="198"/>
      <c r="E561" s="403"/>
      <c r="F561" s="198"/>
      <c r="G561" s="403"/>
      <c r="H561" s="198"/>
      <c r="I561" s="403"/>
      <c r="J561" s="198"/>
      <c r="K561" s="403"/>
      <c r="L561" s="198"/>
      <c r="M561" s="403"/>
      <c r="N561" s="198"/>
      <c r="O561" s="403"/>
      <c r="P561" s="198"/>
      <c r="Q561" s="357"/>
      <c r="R561" s="357"/>
      <c r="S561" s="403"/>
      <c r="T561" s="198"/>
      <c r="U561" s="403"/>
      <c r="V561" s="19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03"/>
      <c r="B562" s="198"/>
      <c r="C562" s="403"/>
      <c r="D562" s="198"/>
      <c r="E562" s="403"/>
      <c r="F562" s="198"/>
      <c r="G562" s="403"/>
      <c r="H562" s="198"/>
      <c r="I562" s="403"/>
      <c r="J562" s="198"/>
      <c r="K562" s="403"/>
      <c r="L562" s="198"/>
      <c r="M562" s="403"/>
      <c r="N562" s="198"/>
      <c r="O562" s="403"/>
      <c r="P562" s="198"/>
      <c r="Q562" s="357"/>
      <c r="R562" s="357"/>
      <c r="S562" s="403"/>
      <c r="T562" s="198"/>
      <c r="U562" s="403"/>
      <c r="V562" s="19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03"/>
      <c r="B563" s="198"/>
      <c r="C563" s="403"/>
      <c r="D563" s="198"/>
      <c r="E563" s="403"/>
      <c r="F563" s="198"/>
      <c r="G563" s="403"/>
      <c r="H563" s="198"/>
      <c r="I563" s="403"/>
      <c r="J563" s="198"/>
      <c r="K563" s="403"/>
      <c r="L563" s="198"/>
      <c r="M563" s="403"/>
      <c r="N563" s="198"/>
      <c r="O563" s="403"/>
      <c r="P563" s="198"/>
      <c r="Q563" s="357"/>
      <c r="R563" s="357"/>
      <c r="S563" s="403"/>
      <c r="T563" s="198"/>
      <c r="U563" s="403"/>
      <c r="V563" s="19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03"/>
      <c r="B564" s="198"/>
      <c r="C564" s="403"/>
      <c r="D564" s="198"/>
      <c r="E564" s="403"/>
      <c r="F564" s="198"/>
      <c r="G564" s="403"/>
      <c r="H564" s="198"/>
      <c r="I564" s="403"/>
      <c r="J564" s="198"/>
      <c r="K564" s="403"/>
      <c r="L564" s="198"/>
      <c r="M564" s="403"/>
      <c r="N564" s="198"/>
      <c r="O564" s="403"/>
      <c r="P564" s="198"/>
      <c r="Q564" s="357"/>
      <c r="R564" s="357"/>
      <c r="S564" s="403"/>
      <c r="T564" s="198"/>
      <c r="U564" s="403"/>
      <c r="V564" s="19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03"/>
      <c r="B565" s="198"/>
      <c r="C565" s="403"/>
      <c r="D565" s="198"/>
      <c r="E565" s="403"/>
      <c r="F565" s="198"/>
      <c r="G565" s="403"/>
      <c r="H565" s="198"/>
      <c r="I565" s="403"/>
      <c r="J565" s="198"/>
      <c r="K565" s="403"/>
      <c r="L565" s="198"/>
      <c r="M565" s="403"/>
      <c r="N565" s="198"/>
      <c r="O565" s="403"/>
      <c r="P565" s="198"/>
      <c r="Q565" s="357"/>
      <c r="R565" s="357"/>
      <c r="S565" s="403"/>
      <c r="T565" s="198"/>
      <c r="U565" s="403"/>
      <c r="V565" s="19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03"/>
      <c r="B566" s="198"/>
      <c r="C566" s="403"/>
      <c r="D566" s="198"/>
      <c r="E566" s="403"/>
      <c r="F566" s="198"/>
      <c r="G566" s="403"/>
      <c r="H566" s="198"/>
      <c r="I566" s="403"/>
      <c r="J566" s="198"/>
      <c r="K566" s="403"/>
      <c r="L566" s="198"/>
      <c r="M566" s="403"/>
      <c r="N566" s="198"/>
      <c r="O566" s="403"/>
      <c r="P566" s="198"/>
      <c r="Q566" s="357"/>
      <c r="R566" s="357"/>
      <c r="S566" s="403"/>
      <c r="T566" s="198"/>
      <c r="U566" s="403"/>
      <c r="V566" s="19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03"/>
      <c r="B567" s="198"/>
      <c r="C567" s="403"/>
      <c r="D567" s="198"/>
      <c r="E567" s="403"/>
      <c r="F567" s="198"/>
      <c r="G567" s="403"/>
      <c r="H567" s="198"/>
      <c r="I567" s="403"/>
      <c r="J567" s="198"/>
      <c r="K567" s="403"/>
      <c r="L567" s="198"/>
      <c r="M567" s="403"/>
      <c r="N567" s="198"/>
      <c r="O567" s="403"/>
      <c r="P567" s="198"/>
      <c r="Q567" s="357"/>
      <c r="R567" s="357"/>
      <c r="S567" s="403"/>
      <c r="T567" s="198"/>
      <c r="U567" s="403"/>
      <c r="V567" s="19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03"/>
      <c r="B568" s="198"/>
      <c r="C568" s="403"/>
      <c r="D568" s="198"/>
      <c r="E568" s="403"/>
      <c r="F568" s="198"/>
      <c r="G568" s="403"/>
      <c r="H568" s="198"/>
      <c r="I568" s="403"/>
      <c r="J568" s="198"/>
      <c r="K568" s="403"/>
      <c r="L568" s="198"/>
      <c r="M568" s="403"/>
      <c r="N568" s="198"/>
      <c r="O568" s="403"/>
      <c r="P568" s="198"/>
      <c r="Q568" s="357"/>
      <c r="R568" s="357"/>
      <c r="S568" s="403"/>
      <c r="T568" s="198"/>
      <c r="U568" s="403"/>
      <c r="V568" s="19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03"/>
      <c r="B569" s="198"/>
      <c r="C569" s="403"/>
      <c r="D569" s="198"/>
      <c r="E569" s="403"/>
      <c r="F569" s="198"/>
      <c r="G569" s="403"/>
      <c r="H569" s="198"/>
      <c r="I569" s="403"/>
      <c r="J569" s="198"/>
      <c r="K569" s="403"/>
      <c r="L569" s="198"/>
      <c r="M569" s="403"/>
      <c r="N569" s="198"/>
      <c r="O569" s="403"/>
      <c r="P569" s="198"/>
      <c r="Q569" s="357"/>
      <c r="R569" s="357"/>
      <c r="S569" s="403"/>
      <c r="T569" s="198"/>
      <c r="U569" s="403"/>
      <c r="V569" s="19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03"/>
      <c r="B570" s="198"/>
      <c r="C570" s="403"/>
      <c r="D570" s="198"/>
      <c r="E570" s="403"/>
      <c r="F570" s="198"/>
      <c r="G570" s="403"/>
      <c r="H570" s="198"/>
      <c r="I570" s="403"/>
      <c r="J570" s="198"/>
      <c r="K570" s="403"/>
      <c r="L570" s="198"/>
      <c r="M570" s="403"/>
      <c r="N570" s="198"/>
      <c r="O570" s="403"/>
      <c r="P570" s="198"/>
      <c r="Q570" s="357"/>
      <c r="R570" s="357"/>
      <c r="S570" s="403"/>
      <c r="T570" s="198"/>
      <c r="U570" s="403"/>
      <c r="V570" s="19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03"/>
      <c r="B571" s="198"/>
      <c r="C571" s="403"/>
      <c r="D571" s="198"/>
      <c r="E571" s="403"/>
      <c r="F571" s="198"/>
      <c r="G571" s="403"/>
      <c r="H571" s="198"/>
      <c r="I571" s="403"/>
      <c r="J571" s="198"/>
      <c r="K571" s="403"/>
      <c r="L571" s="198"/>
      <c r="M571" s="403"/>
      <c r="N571" s="198"/>
      <c r="O571" s="403"/>
      <c r="P571" s="198"/>
      <c r="Q571" s="357"/>
      <c r="R571" s="357"/>
      <c r="S571" s="403"/>
      <c r="T571" s="198"/>
      <c r="U571" s="403"/>
      <c r="V571" s="19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03"/>
      <c r="B572" s="198"/>
      <c r="C572" s="403"/>
      <c r="D572" s="198"/>
      <c r="E572" s="403"/>
      <c r="F572" s="198"/>
      <c r="G572" s="403"/>
      <c r="H572" s="198"/>
      <c r="I572" s="403"/>
      <c r="J572" s="198"/>
      <c r="K572" s="403"/>
      <c r="L572" s="198"/>
      <c r="M572" s="403"/>
      <c r="N572" s="198"/>
      <c r="O572" s="403"/>
      <c r="P572" s="198"/>
      <c r="Q572" s="357"/>
      <c r="R572" s="357"/>
      <c r="S572" s="403"/>
      <c r="T572" s="198"/>
      <c r="U572" s="403"/>
      <c r="V572" s="19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03"/>
      <c r="B573" s="198"/>
      <c r="C573" s="403"/>
      <c r="D573" s="198"/>
      <c r="E573" s="403"/>
      <c r="F573" s="198"/>
      <c r="G573" s="403"/>
      <c r="H573" s="198"/>
      <c r="I573" s="403"/>
      <c r="J573" s="198"/>
      <c r="K573" s="403"/>
      <c r="L573" s="198"/>
      <c r="M573" s="403"/>
      <c r="N573" s="198"/>
      <c r="O573" s="403"/>
      <c r="P573" s="198"/>
      <c r="Q573" s="357"/>
      <c r="R573" s="357"/>
      <c r="S573" s="403"/>
      <c r="T573" s="198"/>
      <c r="U573" s="403"/>
      <c r="V573" s="19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03"/>
      <c r="B574" s="198"/>
      <c r="C574" s="403"/>
      <c r="D574" s="198"/>
      <c r="E574" s="403"/>
      <c r="F574" s="198"/>
      <c r="G574" s="403"/>
      <c r="H574" s="198"/>
      <c r="I574" s="403"/>
      <c r="J574" s="198"/>
      <c r="K574" s="403"/>
      <c r="L574" s="198"/>
      <c r="M574" s="403"/>
      <c r="N574" s="198"/>
      <c r="O574" s="403"/>
      <c r="P574" s="198"/>
      <c r="Q574" s="357"/>
      <c r="R574" s="357"/>
      <c r="S574" s="403"/>
      <c r="T574" s="198"/>
      <c r="U574" s="403"/>
      <c r="V574" s="19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03"/>
      <c r="B575" s="198"/>
      <c r="C575" s="403"/>
      <c r="D575" s="198"/>
      <c r="E575" s="403"/>
      <c r="F575" s="198"/>
      <c r="G575" s="403"/>
      <c r="H575" s="198"/>
      <c r="I575" s="403"/>
      <c r="J575" s="198"/>
      <c r="K575" s="403"/>
      <c r="L575" s="198"/>
      <c r="M575" s="403"/>
      <c r="N575" s="198"/>
      <c r="O575" s="403"/>
      <c r="P575" s="198"/>
      <c r="Q575" s="357"/>
      <c r="R575" s="357"/>
      <c r="S575" s="403"/>
      <c r="T575" s="198"/>
      <c r="U575" s="403"/>
      <c r="V575" s="19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03"/>
      <c r="B576" s="198"/>
      <c r="C576" s="403"/>
      <c r="D576" s="198"/>
      <c r="E576" s="403"/>
      <c r="F576" s="198"/>
      <c r="G576" s="403"/>
      <c r="H576" s="198"/>
      <c r="I576" s="403"/>
      <c r="J576" s="198"/>
      <c r="K576" s="403"/>
      <c r="L576" s="198"/>
      <c r="M576" s="403"/>
      <c r="N576" s="198"/>
      <c r="O576" s="403"/>
      <c r="P576" s="198"/>
      <c r="Q576" s="357"/>
      <c r="R576" s="357"/>
      <c r="S576" s="403"/>
      <c r="T576" s="198"/>
      <c r="U576" s="403"/>
      <c r="V576" s="19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03"/>
      <c r="B577" s="198"/>
      <c r="C577" s="403"/>
      <c r="D577" s="198"/>
      <c r="E577" s="403"/>
      <c r="F577" s="198"/>
      <c r="G577" s="403"/>
      <c r="H577" s="198"/>
      <c r="I577" s="403"/>
      <c r="J577" s="198"/>
      <c r="K577" s="403"/>
      <c r="L577" s="198"/>
      <c r="M577" s="403"/>
      <c r="N577" s="198"/>
      <c r="O577" s="403"/>
      <c r="P577" s="198"/>
      <c r="Q577" s="357"/>
      <c r="R577" s="357"/>
      <c r="S577" s="403"/>
      <c r="T577" s="198"/>
      <c r="U577" s="403"/>
      <c r="V577" s="19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03"/>
      <c r="B578" s="198"/>
      <c r="C578" s="403"/>
      <c r="D578" s="198"/>
      <c r="E578" s="403"/>
      <c r="F578" s="198"/>
      <c r="G578" s="403"/>
      <c r="H578" s="198"/>
      <c r="I578" s="403"/>
      <c r="J578" s="198"/>
      <c r="K578" s="403"/>
      <c r="L578" s="198"/>
      <c r="M578" s="403"/>
      <c r="N578" s="198"/>
      <c r="O578" s="403"/>
      <c r="P578" s="198"/>
      <c r="Q578" s="357"/>
      <c r="R578" s="357"/>
      <c r="S578" s="403"/>
      <c r="T578" s="198"/>
      <c r="U578" s="403"/>
      <c r="V578" s="19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03"/>
      <c r="B579" s="198"/>
      <c r="C579" s="403"/>
      <c r="D579" s="198"/>
      <c r="E579" s="403"/>
      <c r="F579" s="198"/>
      <c r="G579" s="403"/>
      <c r="H579" s="198"/>
      <c r="I579" s="403"/>
      <c r="J579" s="198"/>
      <c r="K579" s="403"/>
      <c r="L579" s="198"/>
      <c r="M579" s="403"/>
      <c r="N579" s="198"/>
      <c r="O579" s="403"/>
      <c r="P579" s="198"/>
      <c r="Q579" s="357"/>
      <c r="R579" s="357"/>
      <c r="S579" s="403"/>
      <c r="T579" s="198"/>
      <c r="U579" s="403"/>
      <c r="V579" s="19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03"/>
      <c r="B580" s="198"/>
      <c r="C580" s="403"/>
      <c r="D580" s="198"/>
      <c r="E580" s="403"/>
      <c r="F580" s="198"/>
      <c r="G580" s="403"/>
      <c r="H580" s="198"/>
      <c r="I580" s="403"/>
      <c r="J580" s="198"/>
      <c r="K580" s="403"/>
      <c r="L580" s="198"/>
      <c r="M580" s="403"/>
      <c r="N580" s="198"/>
      <c r="O580" s="403"/>
      <c r="P580" s="198"/>
      <c r="Q580" s="357"/>
      <c r="R580" s="357"/>
      <c r="S580" s="403"/>
      <c r="T580" s="198"/>
      <c r="U580" s="403"/>
      <c r="V580" s="19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03"/>
      <c r="B581" s="198"/>
      <c r="C581" s="403"/>
      <c r="D581" s="198"/>
      <c r="E581" s="403"/>
      <c r="F581" s="198"/>
      <c r="G581" s="403"/>
      <c r="H581" s="198"/>
      <c r="I581" s="403"/>
      <c r="J581" s="198"/>
      <c r="K581" s="403"/>
      <c r="L581" s="198"/>
      <c r="M581" s="403"/>
      <c r="N581" s="198"/>
      <c r="O581" s="403"/>
      <c r="P581" s="198"/>
      <c r="Q581" s="357"/>
      <c r="R581" s="357"/>
      <c r="S581" s="403"/>
      <c r="T581" s="198"/>
      <c r="U581" s="403"/>
      <c r="V581" s="19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03"/>
      <c r="B582" s="198"/>
      <c r="C582" s="403"/>
      <c r="D582" s="198"/>
      <c r="E582" s="403"/>
      <c r="F582" s="198"/>
      <c r="G582" s="403"/>
      <c r="H582" s="198"/>
      <c r="I582" s="403"/>
      <c r="J582" s="198"/>
      <c r="K582" s="403"/>
      <c r="L582" s="198"/>
      <c r="M582" s="403"/>
      <c r="N582" s="198"/>
      <c r="O582" s="403"/>
      <c r="P582" s="198"/>
      <c r="Q582" s="357"/>
      <c r="R582" s="357"/>
      <c r="S582" s="403"/>
      <c r="T582" s="198"/>
      <c r="U582" s="403"/>
      <c r="V582" s="19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03"/>
      <c r="B583" s="198"/>
      <c r="C583" s="403"/>
      <c r="D583" s="198"/>
      <c r="E583" s="403"/>
      <c r="F583" s="198"/>
      <c r="G583" s="403"/>
      <c r="H583" s="198"/>
      <c r="I583" s="403"/>
      <c r="J583" s="198"/>
      <c r="K583" s="403"/>
      <c r="L583" s="198"/>
      <c r="M583" s="403"/>
      <c r="N583" s="198"/>
      <c r="O583" s="403"/>
      <c r="P583" s="198"/>
      <c r="Q583" s="357"/>
      <c r="R583" s="357"/>
      <c r="S583" s="403"/>
      <c r="T583" s="198"/>
      <c r="U583" s="403"/>
      <c r="V583" s="19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03"/>
      <c r="B584" s="198"/>
      <c r="C584" s="403"/>
      <c r="D584" s="198"/>
      <c r="E584" s="403"/>
      <c r="F584" s="198"/>
      <c r="G584" s="403"/>
      <c r="H584" s="198"/>
      <c r="I584" s="403"/>
      <c r="J584" s="198"/>
      <c r="K584" s="403"/>
      <c r="L584" s="198"/>
      <c r="M584" s="403"/>
      <c r="N584" s="198"/>
      <c r="O584" s="403"/>
      <c r="P584" s="198"/>
      <c r="Q584" s="357"/>
      <c r="R584" s="357"/>
      <c r="S584" s="403"/>
      <c r="T584" s="198"/>
      <c r="U584" s="403"/>
      <c r="V584" s="19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03"/>
      <c r="B585" s="198"/>
      <c r="C585" s="403"/>
      <c r="D585" s="198"/>
      <c r="E585" s="403"/>
      <c r="F585" s="198"/>
      <c r="G585" s="403"/>
      <c r="H585" s="198"/>
      <c r="I585" s="403"/>
      <c r="J585" s="198"/>
      <c r="K585" s="403"/>
      <c r="L585" s="198"/>
      <c r="M585" s="403"/>
      <c r="N585" s="198"/>
      <c r="O585" s="403"/>
      <c r="P585" s="198"/>
      <c r="Q585" s="357"/>
      <c r="R585" s="357"/>
      <c r="S585" s="403"/>
      <c r="T585" s="198"/>
      <c r="U585" s="403"/>
      <c r="V585" s="19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03"/>
      <c r="B586" s="198"/>
      <c r="C586" s="403"/>
      <c r="D586" s="198"/>
      <c r="E586" s="403"/>
      <c r="F586" s="198"/>
      <c r="G586" s="403"/>
      <c r="H586" s="198"/>
      <c r="I586" s="403"/>
      <c r="J586" s="198"/>
      <c r="K586" s="403"/>
      <c r="L586" s="198"/>
      <c r="M586" s="403"/>
      <c r="N586" s="198"/>
      <c r="O586" s="403"/>
      <c r="P586" s="198"/>
      <c r="Q586" s="357"/>
      <c r="R586" s="357"/>
      <c r="S586" s="403"/>
      <c r="T586" s="198"/>
      <c r="U586" s="403"/>
      <c r="V586" s="19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03"/>
      <c r="B587" s="198"/>
      <c r="C587" s="403"/>
      <c r="D587" s="198"/>
      <c r="E587" s="403"/>
      <c r="F587" s="198"/>
      <c r="G587" s="403"/>
      <c r="H587" s="198"/>
      <c r="I587" s="403"/>
      <c r="J587" s="198"/>
      <c r="K587" s="403"/>
      <c r="L587" s="198"/>
      <c r="M587" s="403"/>
      <c r="N587" s="198"/>
      <c r="O587" s="403"/>
      <c r="P587" s="198"/>
      <c r="Q587" s="357"/>
      <c r="R587" s="357"/>
      <c r="S587" s="403"/>
      <c r="T587" s="198"/>
      <c r="U587" s="403"/>
      <c r="V587" s="19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03"/>
      <c r="B588" s="198"/>
      <c r="C588" s="403"/>
      <c r="D588" s="198"/>
      <c r="E588" s="403"/>
      <c r="F588" s="198"/>
      <c r="G588" s="403"/>
      <c r="H588" s="198"/>
      <c r="I588" s="403"/>
      <c r="J588" s="198"/>
      <c r="K588" s="403"/>
      <c r="L588" s="198"/>
      <c r="M588" s="403"/>
      <c r="N588" s="198"/>
      <c r="O588" s="403"/>
      <c r="P588" s="198"/>
      <c r="Q588" s="357"/>
      <c r="R588" s="357"/>
      <c r="S588" s="403"/>
      <c r="T588" s="198"/>
      <c r="U588" s="403"/>
      <c r="V588" s="19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03"/>
      <c r="B589" s="198"/>
      <c r="C589" s="403"/>
      <c r="D589" s="198"/>
      <c r="E589" s="403"/>
      <c r="F589" s="198"/>
      <c r="G589" s="403"/>
      <c r="H589" s="198"/>
      <c r="I589" s="403"/>
      <c r="J589" s="198"/>
      <c r="K589" s="403"/>
      <c r="L589" s="198"/>
      <c r="M589" s="403"/>
      <c r="N589" s="198"/>
      <c r="O589" s="403"/>
      <c r="P589" s="198"/>
      <c r="Q589" s="357"/>
      <c r="R589" s="357"/>
      <c r="S589" s="403"/>
      <c r="T589" s="198"/>
      <c r="U589" s="403"/>
      <c r="V589" s="19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03"/>
      <c r="B590" s="198"/>
      <c r="C590" s="403"/>
      <c r="D590" s="198"/>
      <c r="E590" s="403"/>
      <c r="F590" s="198"/>
      <c r="G590" s="403"/>
      <c r="H590" s="198"/>
      <c r="I590" s="403"/>
      <c r="J590" s="198"/>
      <c r="K590" s="403"/>
      <c r="L590" s="198"/>
      <c r="M590" s="403"/>
      <c r="N590" s="198"/>
      <c r="O590" s="403"/>
      <c r="P590" s="198"/>
      <c r="Q590" s="357"/>
      <c r="R590" s="357"/>
      <c r="S590" s="403"/>
      <c r="T590" s="198"/>
      <c r="U590" s="403"/>
      <c r="V590" s="19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03"/>
      <c r="B591" s="198"/>
      <c r="C591" s="403"/>
      <c r="D591" s="198"/>
      <c r="E591" s="403"/>
      <c r="F591" s="198"/>
      <c r="G591" s="403"/>
      <c r="H591" s="198"/>
      <c r="I591" s="403"/>
      <c r="J591" s="198"/>
      <c r="K591" s="403"/>
      <c r="L591" s="198"/>
      <c r="M591" s="403"/>
      <c r="N591" s="198"/>
      <c r="O591" s="403"/>
      <c r="P591" s="198"/>
      <c r="Q591" s="357"/>
      <c r="R591" s="357"/>
      <c r="S591" s="403"/>
      <c r="T591" s="198"/>
      <c r="U591" s="403"/>
      <c r="V591" s="19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03"/>
      <c r="B592" s="198"/>
      <c r="C592" s="403"/>
      <c r="D592" s="198"/>
      <c r="E592" s="403"/>
      <c r="F592" s="198"/>
      <c r="G592" s="403"/>
      <c r="H592" s="198"/>
      <c r="I592" s="403"/>
      <c r="J592" s="198"/>
      <c r="K592" s="403"/>
      <c r="L592" s="198"/>
      <c r="M592" s="403"/>
      <c r="N592" s="198"/>
      <c r="O592" s="403"/>
      <c r="P592" s="198"/>
      <c r="Q592" s="357"/>
      <c r="R592" s="357"/>
      <c r="S592" s="403"/>
      <c r="T592" s="198"/>
      <c r="U592" s="403"/>
      <c r="V592" s="19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03"/>
      <c r="B593" s="198"/>
      <c r="C593" s="403"/>
      <c r="D593" s="198"/>
      <c r="E593" s="403"/>
      <c r="F593" s="198"/>
      <c r="G593" s="403"/>
      <c r="H593" s="198"/>
      <c r="I593" s="403"/>
      <c r="J593" s="198"/>
      <c r="K593" s="403"/>
      <c r="L593" s="198"/>
      <c r="M593" s="403"/>
      <c r="N593" s="198"/>
      <c r="O593" s="403"/>
      <c r="P593" s="198"/>
      <c r="Q593" s="357"/>
      <c r="R593" s="357"/>
      <c r="S593" s="403"/>
      <c r="T593" s="198"/>
      <c r="U593" s="403"/>
      <c r="V593" s="19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03"/>
      <c r="B594" s="198"/>
      <c r="C594" s="403"/>
      <c r="D594" s="198"/>
      <c r="E594" s="403"/>
      <c r="F594" s="198"/>
      <c r="G594" s="403"/>
      <c r="H594" s="198"/>
      <c r="I594" s="403"/>
      <c r="J594" s="198"/>
      <c r="K594" s="403"/>
      <c r="L594" s="198"/>
      <c r="M594" s="403"/>
      <c r="N594" s="198"/>
      <c r="O594" s="403"/>
      <c r="P594" s="198"/>
      <c r="Q594" s="357"/>
      <c r="R594" s="357"/>
      <c r="S594" s="403"/>
      <c r="T594" s="198"/>
      <c r="U594" s="403"/>
      <c r="V594" s="19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03"/>
      <c r="B595" s="198"/>
      <c r="C595" s="403"/>
      <c r="D595" s="198"/>
      <c r="E595" s="403"/>
      <c r="F595" s="198"/>
      <c r="G595" s="403"/>
      <c r="H595" s="198"/>
      <c r="I595" s="403"/>
      <c r="J595" s="198"/>
      <c r="K595" s="403"/>
      <c r="L595" s="198"/>
      <c r="M595" s="403"/>
      <c r="N595" s="198"/>
      <c r="O595" s="403"/>
      <c r="P595" s="198"/>
      <c r="Q595" s="357"/>
      <c r="R595" s="357"/>
      <c r="S595" s="403"/>
      <c r="T595" s="198"/>
      <c r="U595" s="403"/>
      <c r="V595" s="19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03"/>
      <c r="B596" s="198"/>
      <c r="C596" s="403"/>
      <c r="D596" s="198"/>
      <c r="E596" s="403"/>
      <c r="F596" s="198"/>
      <c r="G596" s="403"/>
      <c r="H596" s="198"/>
      <c r="I596" s="403"/>
      <c r="J596" s="198"/>
      <c r="K596" s="403"/>
      <c r="L596" s="198"/>
      <c r="M596" s="403"/>
      <c r="N596" s="198"/>
      <c r="O596" s="403"/>
      <c r="P596" s="198"/>
      <c r="Q596" s="357"/>
      <c r="R596" s="357"/>
      <c r="S596" s="403"/>
      <c r="T596" s="198"/>
      <c r="U596" s="403"/>
      <c r="V596" s="19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03"/>
      <c r="B597" s="198"/>
      <c r="C597" s="403"/>
      <c r="D597" s="198"/>
      <c r="E597" s="403"/>
      <c r="F597" s="198"/>
      <c r="G597" s="403"/>
      <c r="H597" s="198"/>
      <c r="I597" s="403"/>
      <c r="J597" s="198"/>
      <c r="K597" s="403"/>
      <c r="L597" s="198"/>
      <c r="M597" s="403"/>
      <c r="N597" s="198"/>
      <c r="O597" s="403"/>
      <c r="P597" s="198"/>
      <c r="Q597" s="357"/>
      <c r="R597" s="357"/>
      <c r="S597" s="403"/>
      <c r="T597" s="198"/>
      <c r="U597" s="403"/>
      <c r="V597" s="19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03"/>
      <c r="B598" s="198"/>
      <c r="C598" s="403"/>
      <c r="D598" s="198"/>
      <c r="E598" s="403"/>
      <c r="F598" s="198"/>
      <c r="G598" s="403"/>
      <c r="H598" s="198"/>
      <c r="I598" s="403"/>
      <c r="J598" s="198"/>
      <c r="K598" s="403"/>
      <c r="L598" s="198"/>
      <c r="M598" s="403"/>
      <c r="N598" s="198"/>
      <c r="O598" s="403"/>
      <c r="P598" s="198"/>
      <c r="Q598" s="357"/>
      <c r="R598" s="357"/>
      <c r="S598" s="403"/>
      <c r="T598" s="198"/>
      <c r="U598" s="403"/>
      <c r="V598" s="19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03"/>
      <c r="B599" s="198"/>
      <c r="C599" s="403"/>
      <c r="D599" s="198"/>
      <c r="E599" s="403"/>
      <c r="F599" s="198"/>
      <c r="G599" s="403"/>
      <c r="H599" s="198"/>
      <c r="I599" s="403"/>
      <c r="J599" s="198"/>
      <c r="K599" s="403"/>
      <c r="L599" s="198"/>
      <c r="M599" s="403"/>
      <c r="N599" s="198"/>
      <c r="O599" s="403"/>
      <c r="P599" s="198"/>
      <c r="Q599" s="357"/>
      <c r="R599" s="357"/>
      <c r="S599" s="403"/>
      <c r="T599" s="198"/>
      <c r="U599" s="403"/>
      <c r="V599" s="19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03"/>
      <c r="B600" s="198"/>
      <c r="C600" s="403"/>
      <c r="D600" s="198"/>
      <c r="E600" s="403"/>
      <c r="F600" s="198"/>
      <c r="G600" s="403"/>
      <c r="H600" s="198"/>
      <c r="I600" s="403"/>
      <c r="J600" s="198"/>
      <c r="K600" s="403"/>
      <c r="L600" s="198"/>
      <c r="M600" s="403"/>
      <c r="N600" s="198"/>
      <c r="O600" s="403"/>
      <c r="P600" s="198"/>
      <c r="Q600" s="357"/>
      <c r="R600" s="357"/>
      <c r="S600" s="403"/>
      <c r="T600" s="198"/>
      <c r="U600" s="403"/>
      <c r="V600" s="19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03"/>
      <c r="B601" s="198"/>
      <c r="C601" s="403"/>
      <c r="D601" s="198"/>
      <c r="E601" s="403"/>
      <c r="F601" s="198"/>
      <c r="G601" s="403"/>
      <c r="H601" s="198"/>
      <c r="I601" s="403"/>
      <c r="J601" s="198"/>
      <c r="K601" s="403"/>
      <c r="L601" s="198"/>
      <c r="M601" s="403"/>
      <c r="N601" s="198"/>
      <c r="O601" s="403"/>
      <c r="P601" s="198"/>
      <c r="Q601" s="357"/>
      <c r="R601" s="357"/>
      <c r="S601" s="403"/>
      <c r="T601" s="198"/>
      <c r="U601" s="403"/>
      <c r="V601" s="19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03"/>
      <c r="B602" s="198"/>
      <c r="C602" s="403"/>
      <c r="D602" s="198"/>
      <c r="E602" s="403"/>
      <c r="F602" s="198"/>
      <c r="G602" s="403"/>
      <c r="H602" s="198"/>
      <c r="I602" s="403"/>
      <c r="J602" s="198"/>
      <c r="K602" s="403"/>
      <c r="L602" s="198"/>
      <c r="M602" s="403"/>
      <c r="N602" s="198"/>
      <c r="O602" s="403"/>
      <c r="P602" s="198"/>
      <c r="Q602" s="357"/>
      <c r="R602" s="357"/>
      <c r="S602" s="403"/>
      <c r="T602" s="198"/>
      <c r="U602" s="403"/>
      <c r="V602" s="19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03"/>
      <c r="B603" s="198"/>
      <c r="C603" s="403"/>
      <c r="D603" s="198"/>
      <c r="E603" s="403"/>
      <c r="F603" s="198"/>
      <c r="G603" s="403"/>
      <c r="H603" s="198"/>
      <c r="I603" s="403"/>
      <c r="J603" s="198"/>
      <c r="K603" s="403"/>
      <c r="L603" s="198"/>
      <c r="M603" s="403"/>
      <c r="N603" s="198"/>
      <c r="O603" s="403"/>
      <c r="P603" s="198"/>
      <c r="Q603" s="357"/>
      <c r="R603" s="357"/>
      <c r="S603" s="403"/>
      <c r="T603" s="198"/>
      <c r="U603" s="403"/>
      <c r="V603" s="19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03"/>
      <c r="B604" s="198"/>
      <c r="C604" s="403"/>
      <c r="D604" s="198"/>
      <c r="E604" s="403"/>
      <c r="F604" s="198"/>
      <c r="G604" s="403"/>
      <c r="H604" s="198"/>
      <c r="I604" s="403"/>
      <c r="J604" s="198"/>
      <c r="K604" s="403"/>
      <c r="L604" s="198"/>
      <c r="M604" s="403"/>
      <c r="N604" s="198"/>
      <c r="O604" s="403"/>
      <c r="P604" s="198"/>
      <c r="Q604" s="357"/>
      <c r="R604" s="357"/>
      <c r="S604" s="403"/>
      <c r="T604" s="198"/>
      <c r="U604" s="403"/>
      <c r="V604" s="19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03"/>
      <c r="B605" s="198"/>
      <c r="C605" s="403"/>
      <c r="D605" s="198"/>
      <c r="E605" s="403"/>
      <c r="F605" s="198"/>
      <c r="G605" s="403"/>
      <c r="H605" s="198"/>
      <c r="I605" s="403"/>
      <c r="J605" s="198"/>
      <c r="K605" s="403"/>
      <c r="L605" s="198"/>
      <c r="M605" s="403"/>
      <c r="N605" s="198"/>
      <c r="O605" s="403"/>
      <c r="P605" s="198"/>
      <c r="Q605" s="357"/>
      <c r="R605" s="357"/>
      <c r="S605" s="403"/>
      <c r="T605" s="198"/>
      <c r="U605" s="403"/>
      <c r="V605" s="19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03"/>
      <c r="B606" s="198"/>
      <c r="C606" s="403"/>
      <c r="D606" s="198"/>
      <c r="E606" s="403"/>
      <c r="F606" s="198"/>
      <c r="G606" s="403"/>
      <c r="H606" s="198"/>
      <c r="I606" s="403"/>
      <c r="J606" s="198"/>
      <c r="K606" s="403"/>
      <c r="L606" s="198"/>
      <c r="M606" s="403"/>
      <c r="N606" s="198"/>
      <c r="O606" s="403"/>
      <c r="P606" s="198"/>
      <c r="Q606" s="357"/>
      <c r="R606" s="357"/>
      <c r="S606" s="403"/>
      <c r="T606" s="198"/>
      <c r="U606" s="403"/>
      <c r="V606" s="19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03"/>
      <c r="B607" s="198"/>
      <c r="C607" s="403"/>
      <c r="D607" s="198"/>
      <c r="E607" s="403"/>
      <c r="F607" s="198"/>
      <c r="G607" s="403"/>
      <c r="H607" s="198"/>
      <c r="I607" s="403"/>
      <c r="J607" s="198"/>
      <c r="K607" s="403"/>
      <c r="L607" s="198"/>
      <c r="M607" s="403"/>
      <c r="N607" s="198"/>
      <c r="O607" s="403"/>
      <c r="P607" s="198"/>
      <c r="Q607" s="357"/>
      <c r="R607" s="357"/>
      <c r="S607" s="403"/>
      <c r="T607" s="198"/>
      <c r="U607" s="403"/>
      <c r="V607" s="19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03"/>
      <c r="B608" s="198"/>
      <c r="C608" s="403"/>
      <c r="D608" s="198"/>
      <c r="E608" s="403"/>
      <c r="F608" s="198"/>
      <c r="G608" s="403"/>
      <c r="H608" s="198"/>
      <c r="I608" s="403"/>
      <c r="J608" s="198"/>
      <c r="K608" s="403"/>
      <c r="L608" s="198"/>
      <c r="M608" s="403"/>
      <c r="N608" s="198"/>
      <c r="O608" s="403"/>
      <c r="P608" s="198"/>
      <c r="Q608" s="357"/>
      <c r="R608" s="357"/>
      <c r="S608" s="403"/>
      <c r="T608" s="198"/>
      <c r="U608" s="403"/>
      <c r="V608" s="19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03"/>
      <c r="B609" s="198"/>
      <c r="C609" s="403"/>
      <c r="D609" s="198"/>
      <c r="E609" s="403"/>
      <c r="F609" s="198"/>
      <c r="G609" s="403"/>
      <c r="H609" s="198"/>
      <c r="I609" s="403"/>
      <c r="J609" s="198"/>
      <c r="K609" s="403"/>
      <c r="L609" s="198"/>
      <c r="M609" s="403"/>
      <c r="N609" s="198"/>
      <c r="O609" s="403"/>
      <c r="P609" s="198"/>
      <c r="Q609" s="357"/>
      <c r="R609" s="357"/>
      <c r="S609" s="403"/>
      <c r="T609" s="198"/>
      <c r="U609" s="403"/>
      <c r="V609" s="19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03"/>
      <c r="B610" s="198"/>
      <c r="C610" s="403"/>
      <c r="D610" s="198"/>
      <c r="E610" s="403"/>
      <c r="F610" s="198"/>
      <c r="G610" s="403"/>
      <c r="H610" s="198"/>
      <c r="I610" s="403"/>
      <c r="J610" s="198"/>
      <c r="K610" s="403"/>
      <c r="L610" s="198"/>
      <c r="M610" s="403"/>
      <c r="N610" s="198"/>
      <c r="O610" s="403"/>
      <c r="P610" s="198"/>
      <c r="Q610" s="357"/>
      <c r="R610" s="357"/>
      <c r="S610" s="403"/>
      <c r="T610" s="198"/>
      <c r="U610" s="403"/>
      <c r="V610" s="19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03"/>
      <c r="B611" s="198"/>
      <c r="C611" s="403"/>
      <c r="D611" s="198"/>
      <c r="E611" s="403"/>
      <c r="F611" s="198"/>
      <c r="G611" s="403"/>
      <c r="H611" s="198"/>
      <c r="I611" s="403"/>
      <c r="J611" s="198"/>
      <c r="K611" s="403"/>
      <c r="L611" s="198"/>
      <c r="M611" s="403"/>
      <c r="N611" s="198"/>
      <c r="O611" s="403"/>
      <c r="P611" s="198"/>
      <c r="Q611" s="357"/>
      <c r="R611" s="357"/>
      <c r="S611" s="403"/>
      <c r="T611" s="198"/>
      <c r="U611" s="403"/>
      <c r="V611" s="19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03"/>
      <c r="B612" s="198"/>
      <c r="C612" s="403"/>
      <c r="D612" s="198"/>
      <c r="E612" s="403"/>
      <c r="F612" s="198"/>
      <c r="G612" s="403"/>
      <c r="H612" s="198"/>
      <c r="I612" s="403"/>
      <c r="J612" s="198"/>
      <c r="K612" s="403"/>
      <c r="L612" s="198"/>
      <c r="M612" s="403"/>
      <c r="N612" s="198"/>
      <c r="O612" s="403"/>
      <c r="P612" s="198"/>
      <c r="Q612" s="357"/>
      <c r="R612" s="357"/>
      <c r="S612" s="403"/>
      <c r="T612" s="198"/>
      <c r="U612" s="403"/>
      <c r="V612" s="19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03"/>
      <c r="B613" s="198"/>
      <c r="C613" s="403"/>
      <c r="D613" s="198"/>
      <c r="E613" s="403"/>
      <c r="F613" s="198"/>
      <c r="G613" s="403"/>
      <c r="H613" s="198"/>
      <c r="I613" s="403"/>
      <c r="J613" s="198"/>
      <c r="K613" s="403"/>
      <c r="L613" s="198"/>
      <c r="M613" s="403"/>
      <c r="N613" s="198"/>
      <c r="O613" s="403"/>
      <c r="P613" s="198"/>
      <c r="Q613" s="357"/>
      <c r="R613" s="357"/>
      <c r="S613" s="403"/>
      <c r="T613" s="198"/>
      <c r="U613" s="403"/>
      <c r="V613" s="19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03"/>
      <c r="B614" s="198"/>
      <c r="C614" s="403"/>
      <c r="D614" s="198"/>
      <c r="E614" s="403"/>
      <c r="F614" s="198"/>
      <c r="G614" s="403"/>
      <c r="H614" s="198"/>
      <c r="I614" s="403"/>
      <c r="J614" s="198"/>
      <c r="K614" s="403"/>
      <c r="L614" s="198"/>
      <c r="M614" s="403"/>
      <c r="N614" s="198"/>
      <c r="O614" s="403"/>
      <c r="P614" s="198"/>
      <c r="Q614" s="357"/>
      <c r="R614" s="357"/>
      <c r="S614" s="403"/>
      <c r="T614" s="198"/>
      <c r="U614" s="403"/>
      <c r="V614" s="19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03"/>
      <c r="B615" s="198"/>
      <c r="C615" s="403"/>
      <c r="D615" s="198"/>
      <c r="E615" s="403"/>
      <c r="F615" s="198"/>
      <c r="G615" s="403"/>
      <c r="H615" s="198"/>
      <c r="I615" s="403"/>
      <c r="J615" s="198"/>
      <c r="K615" s="403"/>
      <c r="L615" s="198"/>
      <c r="M615" s="403"/>
      <c r="N615" s="198"/>
      <c r="O615" s="403"/>
      <c r="P615" s="198"/>
      <c r="Q615" s="357"/>
      <c r="R615" s="357"/>
      <c r="S615" s="403"/>
      <c r="T615" s="198"/>
      <c r="U615" s="403"/>
      <c r="V615" s="19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03"/>
      <c r="B616" s="198"/>
      <c r="C616" s="403"/>
      <c r="D616" s="198"/>
      <c r="E616" s="403"/>
      <c r="F616" s="198"/>
      <c r="G616" s="403"/>
      <c r="H616" s="198"/>
      <c r="I616" s="403"/>
      <c r="J616" s="198"/>
      <c r="K616" s="403"/>
      <c r="L616" s="198"/>
      <c r="M616" s="403"/>
      <c r="N616" s="198"/>
      <c r="O616" s="403"/>
      <c r="P616" s="198"/>
      <c r="Q616" s="357"/>
      <c r="R616" s="357"/>
      <c r="S616" s="403"/>
      <c r="T616" s="198"/>
      <c r="U616" s="403"/>
      <c r="V616" s="19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03"/>
      <c r="B617" s="198"/>
      <c r="C617" s="403"/>
      <c r="D617" s="198"/>
      <c r="E617" s="403"/>
      <c r="F617" s="198"/>
      <c r="G617" s="403"/>
      <c r="H617" s="198"/>
      <c r="I617" s="403"/>
      <c r="J617" s="198"/>
      <c r="K617" s="403"/>
      <c r="L617" s="198"/>
      <c r="M617" s="403"/>
      <c r="N617" s="198"/>
      <c r="O617" s="403"/>
      <c r="P617" s="198"/>
      <c r="Q617" s="357"/>
      <c r="R617" s="357"/>
      <c r="S617" s="403"/>
      <c r="T617" s="198"/>
      <c r="U617" s="403"/>
      <c r="V617" s="19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03"/>
      <c r="B618" s="198"/>
      <c r="C618" s="403"/>
      <c r="D618" s="198"/>
      <c r="E618" s="403"/>
      <c r="F618" s="198"/>
      <c r="G618" s="403"/>
      <c r="H618" s="198"/>
      <c r="I618" s="403"/>
      <c r="J618" s="198"/>
      <c r="K618" s="403"/>
      <c r="L618" s="198"/>
      <c r="M618" s="403"/>
      <c r="N618" s="198"/>
      <c r="O618" s="403"/>
      <c r="P618" s="198"/>
      <c r="Q618" s="357"/>
      <c r="R618" s="357"/>
      <c r="S618" s="403"/>
      <c r="T618" s="198"/>
      <c r="U618" s="403"/>
      <c r="V618" s="19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03"/>
      <c r="B619" s="198"/>
      <c r="C619" s="403"/>
      <c r="D619" s="198"/>
      <c r="E619" s="403"/>
      <c r="F619" s="198"/>
      <c r="G619" s="403"/>
      <c r="H619" s="198"/>
      <c r="I619" s="403"/>
      <c r="J619" s="198"/>
      <c r="K619" s="403"/>
      <c r="L619" s="198"/>
      <c r="M619" s="403"/>
      <c r="N619" s="198"/>
      <c r="O619" s="403"/>
      <c r="P619" s="198"/>
      <c r="Q619" s="357"/>
      <c r="R619" s="357"/>
      <c r="S619" s="403"/>
      <c r="T619" s="198"/>
      <c r="U619" s="403"/>
      <c r="V619" s="19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03"/>
      <c r="B620" s="198"/>
      <c r="C620" s="403"/>
      <c r="D620" s="198"/>
      <c r="E620" s="403"/>
      <c r="F620" s="198"/>
      <c r="G620" s="403"/>
      <c r="H620" s="198"/>
      <c r="I620" s="403"/>
      <c r="J620" s="198"/>
      <c r="K620" s="403"/>
      <c r="L620" s="198"/>
      <c r="M620" s="403"/>
      <c r="N620" s="198"/>
      <c r="O620" s="403"/>
      <c r="P620" s="198"/>
      <c r="Q620" s="357"/>
      <c r="R620" s="357"/>
      <c r="S620" s="403"/>
      <c r="T620" s="198"/>
      <c r="U620" s="403"/>
      <c r="V620" s="19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03"/>
      <c r="B621" s="198"/>
      <c r="C621" s="403"/>
      <c r="D621" s="198"/>
      <c r="E621" s="403"/>
      <c r="F621" s="198"/>
      <c r="G621" s="403"/>
      <c r="H621" s="198"/>
      <c r="I621" s="403"/>
      <c r="J621" s="198"/>
      <c r="K621" s="403"/>
      <c r="L621" s="198"/>
      <c r="M621" s="403"/>
      <c r="N621" s="198"/>
      <c r="O621" s="403"/>
      <c r="P621" s="198"/>
      <c r="Q621" s="357"/>
      <c r="R621" s="357"/>
      <c r="S621" s="403"/>
      <c r="T621" s="198"/>
      <c r="U621" s="403"/>
      <c r="V621" s="19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03"/>
      <c r="B622" s="198"/>
      <c r="C622" s="403"/>
      <c r="D622" s="198"/>
      <c r="E622" s="403"/>
      <c r="F622" s="198"/>
      <c r="G622" s="403"/>
      <c r="H622" s="198"/>
      <c r="I622" s="403"/>
      <c r="J622" s="198"/>
      <c r="K622" s="403"/>
      <c r="L622" s="198"/>
      <c r="M622" s="403"/>
      <c r="N622" s="198"/>
      <c r="O622" s="403"/>
      <c r="P622" s="198"/>
      <c r="Q622" s="357"/>
      <c r="R622" s="357"/>
      <c r="S622" s="403"/>
      <c r="T622" s="198"/>
      <c r="U622" s="403"/>
      <c r="V622" s="19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03"/>
      <c r="B623" s="198"/>
      <c r="C623" s="403"/>
      <c r="D623" s="198"/>
      <c r="E623" s="403"/>
      <c r="F623" s="198"/>
      <c r="G623" s="403"/>
      <c r="H623" s="198"/>
      <c r="I623" s="403"/>
      <c r="J623" s="198"/>
      <c r="K623" s="403"/>
      <c r="L623" s="198"/>
      <c r="M623" s="403"/>
      <c r="N623" s="198"/>
      <c r="O623" s="403"/>
      <c r="P623" s="198"/>
      <c r="Q623" s="357"/>
      <c r="R623" s="357"/>
      <c r="S623" s="403"/>
      <c r="T623" s="198"/>
      <c r="U623" s="403"/>
      <c r="V623" s="19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03"/>
      <c r="B624" s="198"/>
      <c r="C624" s="403"/>
      <c r="D624" s="198"/>
      <c r="E624" s="403"/>
      <c r="F624" s="198"/>
      <c r="G624" s="403"/>
      <c r="H624" s="198"/>
      <c r="I624" s="403"/>
      <c r="J624" s="198"/>
      <c r="K624" s="403"/>
      <c r="L624" s="198"/>
      <c r="M624" s="403"/>
      <c r="N624" s="198"/>
      <c r="O624" s="403"/>
      <c r="P624" s="198"/>
      <c r="Q624" s="357"/>
      <c r="R624" s="357"/>
      <c r="S624" s="403"/>
      <c r="T624" s="198"/>
      <c r="U624" s="403"/>
      <c r="V624" s="19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03"/>
      <c r="B625" s="198"/>
      <c r="C625" s="403"/>
      <c r="D625" s="198"/>
      <c r="E625" s="403"/>
      <c r="F625" s="198"/>
      <c r="G625" s="403"/>
      <c r="H625" s="198"/>
      <c r="I625" s="403"/>
      <c r="J625" s="198"/>
      <c r="K625" s="403"/>
      <c r="L625" s="198"/>
      <c r="M625" s="403"/>
      <c r="N625" s="198"/>
      <c r="O625" s="403"/>
      <c r="P625" s="198"/>
      <c r="Q625" s="357"/>
      <c r="R625" s="357"/>
      <c r="S625" s="403"/>
      <c r="T625" s="198"/>
      <c r="U625" s="403"/>
      <c r="V625" s="19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03"/>
      <c r="B626" s="198"/>
      <c r="C626" s="403"/>
      <c r="D626" s="198"/>
      <c r="E626" s="403"/>
      <c r="F626" s="198"/>
      <c r="G626" s="403"/>
      <c r="H626" s="198"/>
      <c r="I626" s="403"/>
      <c r="J626" s="198"/>
      <c r="K626" s="403"/>
      <c r="L626" s="198"/>
      <c r="M626" s="403"/>
      <c r="N626" s="198"/>
      <c r="O626" s="403"/>
      <c r="P626" s="198"/>
      <c r="Q626" s="357"/>
      <c r="R626" s="357"/>
      <c r="S626" s="403"/>
      <c r="T626" s="198"/>
      <c r="U626" s="403"/>
      <c r="V626" s="19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03"/>
      <c r="B627" s="198"/>
      <c r="C627" s="403"/>
      <c r="D627" s="198"/>
      <c r="E627" s="403"/>
      <c r="F627" s="198"/>
      <c r="G627" s="403"/>
      <c r="H627" s="198"/>
      <c r="I627" s="403"/>
      <c r="J627" s="198"/>
      <c r="K627" s="403"/>
      <c r="L627" s="198"/>
      <c r="M627" s="403"/>
      <c r="N627" s="198"/>
      <c r="O627" s="403"/>
      <c r="P627" s="198"/>
      <c r="Q627" s="357"/>
      <c r="R627" s="357"/>
      <c r="S627" s="403"/>
      <c r="T627" s="198"/>
      <c r="U627" s="403"/>
      <c r="V627" s="19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03"/>
      <c r="B628" s="198"/>
      <c r="C628" s="403"/>
      <c r="D628" s="198"/>
      <c r="E628" s="403"/>
      <c r="F628" s="198"/>
      <c r="G628" s="403"/>
      <c r="H628" s="198"/>
      <c r="I628" s="403"/>
      <c r="J628" s="198"/>
      <c r="K628" s="403"/>
      <c r="L628" s="198"/>
      <c r="M628" s="403"/>
      <c r="N628" s="198"/>
      <c r="O628" s="403"/>
      <c r="P628" s="198"/>
      <c r="Q628" s="357"/>
      <c r="R628" s="357"/>
      <c r="S628" s="403"/>
      <c r="T628" s="198"/>
      <c r="U628" s="403"/>
      <c r="V628" s="19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03"/>
      <c r="B629" s="198"/>
      <c r="C629" s="403"/>
      <c r="D629" s="198"/>
      <c r="E629" s="403"/>
      <c r="F629" s="198"/>
      <c r="G629" s="403"/>
      <c r="H629" s="198"/>
      <c r="I629" s="403"/>
      <c r="J629" s="198"/>
      <c r="K629" s="403"/>
      <c r="L629" s="198"/>
      <c r="M629" s="403"/>
      <c r="N629" s="198"/>
      <c r="O629" s="403"/>
      <c r="P629" s="198"/>
      <c r="Q629" s="357"/>
      <c r="R629" s="357"/>
      <c r="S629" s="403"/>
      <c r="T629" s="198"/>
      <c r="U629" s="403"/>
      <c r="V629" s="19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03"/>
      <c r="B630" s="198"/>
      <c r="C630" s="403"/>
      <c r="D630" s="198"/>
      <c r="E630" s="403"/>
      <c r="F630" s="198"/>
      <c r="G630" s="403"/>
      <c r="H630" s="198"/>
      <c r="I630" s="403"/>
      <c r="J630" s="198"/>
      <c r="K630" s="403"/>
      <c r="L630" s="198"/>
      <c r="M630" s="403"/>
      <c r="N630" s="198"/>
      <c r="O630" s="403"/>
      <c r="P630" s="198"/>
      <c r="Q630" s="357"/>
      <c r="R630" s="357"/>
      <c r="S630" s="403"/>
      <c r="T630" s="198"/>
      <c r="U630" s="403"/>
      <c r="V630" s="19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03"/>
      <c r="B631" s="198"/>
      <c r="C631" s="403"/>
      <c r="D631" s="198"/>
      <c r="E631" s="403"/>
      <c r="F631" s="198"/>
      <c r="G631" s="403"/>
      <c r="H631" s="198"/>
      <c r="I631" s="403"/>
      <c r="J631" s="198"/>
      <c r="K631" s="403"/>
      <c r="L631" s="198"/>
      <c r="M631" s="403"/>
      <c r="N631" s="198"/>
      <c r="O631" s="403"/>
      <c r="P631" s="198"/>
      <c r="Q631" s="357"/>
      <c r="R631" s="357"/>
      <c r="S631" s="403"/>
      <c r="T631" s="198"/>
      <c r="U631" s="403"/>
      <c r="V631" s="19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03"/>
      <c r="B632" s="198"/>
      <c r="C632" s="403"/>
      <c r="D632" s="198"/>
      <c r="E632" s="403"/>
      <c r="F632" s="198"/>
      <c r="G632" s="403"/>
      <c r="H632" s="198"/>
      <c r="I632" s="403"/>
      <c r="J632" s="198"/>
      <c r="K632" s="403"/>
      <c r="L632" s="198"/>
      <c r="M632" s="403"/>
      <c r="N632" s="198"/>
      <c r="O632" s="403"/>
      <c r="P632" s="198"/>
      <c r="Q632" s="357"/>
      <c r="R632" s="357"/>
      <c r="S632" s="403"/>
      <c r="T632" s="198"/>
      <c r="U632" s="403"/>
      <c r="V632" s="19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03"/>
      <c r="B633" s="198"/>
      <c r="C633" s="403"/>
      <c r="D633" s="198"/>
      <c r="E633" s="403"/>
      <c r="F633" s="198"/>
      <c r="G633" s="403"/>
      <c r="H633" s="198"/>
      <c r="I633" s="403"/>
      <c r="J633" s="198"/>
      <c r="K633" s="403"/>
      <c r="L633" s="198"/>
      <c r="M633" s="403"/>
      <c r="N633" s="198"/>
      <c r="O633" s="403"/>
      <c r="P633" s="198"/>
      <c r="Q633" s="357"/>
      <c r="R633" s="357"/>
      <c r="S633" s="403"/>
      <c r="T633" s="198"/>
      <c r="U633" s="403"/>
      <c r="V633" s="19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03"/>
      <c r="B634" s="198"/>
      <c r="C634" s="403"/>
      <c r="D634" s="198"/>
      <c r="E634" s="403"/>
      <c r="F634" s="198"/>
      <c r="G634" s="403"/>
      <c r="H634" s="198"/>
      <c r="I634" s="403"/>
      <c r="J634" s="198"/>
      <c r="K634" s="403"/>
      <c r="L634" s="198"/>
      <c r="M634" s="403"/>
      <c r="N634" s="198"/>
      <c r="O634" s="403"/>
      <c r="P634" s="198"/>
      <c r="Q634" s="357"/>
      <c r="R634" s="357"/>
      <c r="S634" s="403"/>
      <c r="T634" s="198"/>
      <c r="U634" s="403"/>
      <c r="V634" s="19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03"/>
      <c r="B635" s="198"/>
      <c r="C635" s="403"/>
      <c r="D635" s="198"/>
      <c r="E635" s="403"/>
      <c r="F635" s="198"/>
      <c r="G635" s="403"/>
      <c r="H635" s="198"/>
      <c r="I635" s="403"/>
      <c r="J635" s="198"/>
      <c r="K635" s="403"/>
      <c r="L635" s="198"/>
      <c r="M635" s="403"/>
      <c r="N635" s="198"/>
      <c r="O635" s="403"/>
      <c r="P635" s="198"/>
      <c r="Q635" s="357"/>
      <c r="R635" s="357"/>
      <c r="S635" s="403"/>
      <c r="T635" s="198"/>
      <c r="U635" s="403"/>
      <c r="V635" s="19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03"/>
      <c r="B636" s="198"/>
      <c r="C636" s="403"/>
      <c r="D636" s="198"/>
      <c r="E636" s="403"/>
      <c r="F636" s="198"/>
      <c r="G636" s="403"/>
      <c r="H636" s="198"/>
      <c r="I636" s="403"/>
      <c r="J636" s="198"/>
      <c r="K636" s="403"/>
      <c r="L636" s="198"/>
      <c r="M636" s="403"/>
      <c r="N636" s="198"/>
      <c r="O636" s="403"/>
      <c r="P636" s="198"/>
      <c r="Q636" s="357"/>
      <c r="R636" s="357"/>
      <c r="S636" s="403"/>
      <c r="T636" s="198"/>
      <c r="U636" s="403"/>
      <c r="V636" s="19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03"/>
      <c r="B637" s="198"/>
      <c r="C637" s="403"/>
      <c r="D637" s="198"/>
      <c r="E637" s="403"/>
      <c r="F637" s="198"/>
      <c r="G637" s="403"/>
      <c r="H637" s="198"/>
      <c r="I637" s="403"/>
      <c r="J637" s="198"/>
      <c r="K637" s="403"/>
      <c r="L637" s="198"/>
      <c r="M637" s="403"/>
      <c r="N637" s="198"/>
      <c r="O637" s="403"/>
      <c r="P637" s="198"/>
      <c r="Q637" s="357"/>
      <c r="R637" s="357"/>
      <c r="S637" s="403"/>
      <c r="T637" s="198"/>
      <c r="U637" s="403"/>
      <c r="V637" s="19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03"/>
      <c r="B638" s="198"/>
      <c r="C638" s="403"/>
      <c r="D638" s="198"/>
      <c r="E638" s="403"/>
      <c r="F638" s="198"/>
      <c r="G638" s="403"/>
      <c r="H638" s="198"/>
      <c r="I638" s="403"/>
      <c r="J638" s="198"/>
      <c r="K638" s="403"/>
      <c r="L638" s="198"/>
      <c r="M638" s="403"/>
      <c r="N638" s="198"/>
      <c r="O638" s="403"/>
      <c r="P638" s="198"/>
      <c r="Q638" s="357"/>
      <c r="R638" s="357"/>
      <c r="S638" s="403"/>
      <c r="T638" s="198"/>
      <c r="U638" s="403"/>
      <c r="V638" s="19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03"/>
      <c r="B639" s="198"/>
      <c r="C639" s="403"/>
      <c r="D639" s="198"/>
      <c r="E639" s="403"/>
      <c r="F639" s="198"/>
      <c r="G639" s="403"/>
      <c r="H639" s="198"/>
      <c r="I639" s="403"/>
      <c r="J639" s="198"/>
      <c r="K639" s="403"/>
      <c r="L639" s="198"/>
      <c r="M639" s="403"/>
      <c r="N639" s="198"/>
      <c r="O639" s="403"/>
      <c r="P639" s="198"/>
      <c r="Q639" s="357"/>
      <c r="R639" s="357"/>
      <c r="S639" s="403"/>
      <c r="T639" s="198"/>
      <c r="U639" s="403"/>
      <c r="V639" s="19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03"/>
      <c r="B640" s="198"/>
      <c r="C640" s="403"/>
      <c r="D640" s="198"/>
      <c r="E640" s="403"/>
      <c r="F640" s="198"/>
      <c r="G640" s="403"/>
      <c r="H640" s="198"/>
      <c r="I640" s="403"/>
      <c r="J640" s="198"/>
      <c r="K640" s="403"/>
      <c r="L640" s="198"/>
      <c r="M640" s="403"/>
      <c r="N640" s="198"/>
      <c r="O640" s="403"/>
      <c r="P640" s="198"/>
      <c r="Q640" s="357"/>
      <c r="R640" s="357"/>
      <c r="S640" s="403"/>
      <c r="T640" s="198"/>
      <c r="U640" s="403"/>
      <c r="V640" s="19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03"/>
      <c r="B641" s="198"/>
      <c r="C641" s="403"/>
      <c r="D641" s="198"/>
      <c r="E641" s="403"/>
      <c r="F641" s="198"/>
      <c r="G641" s="403"/>
      <c r="H641" s="198"/>
      <c r="I641" s="403"/>
      <c r="J641" s="198"/>
      <c r="K641" s="403"/>
      <c r="L641" s="198"/>
      <c r="M641" s="403"/>
      <c r="N641" s="198"/>
      <c r="O641" s="403"/>
      <c r="P641" s="198"/>
      <c r="Q641" s="357"/>
      <c r="R641" s="357"/>
      <c r="S641" s="403"/>
      <c r="T641" s="198"/>
      <c r="U641" s="403"/>
      <c r="V641" s="19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03"/>
      <c r="B642" s="198"/>
      <c r="C642" s="403"/>
      <c r="D642" s="198"/>
      <c r="E642" s="403"/>
      <c r="F642" s="198"/>
      <c r="G642" s="403"/>
      <c r="H642" s="198"/>
      <c r="I642" s="403"/>
      <c r="J642" s="198"/>
      <c r="K642" s="403"/>
      <c r="L642" s="198"/>
      <c r="M642" s="403"/>
      <c r="N642" s="198"/>
      <c r="O642" s="403"/>
      <c r="P642" s="198"/>
      <c r="Q642" s="357"/>
      <c r="R642" s="357"/>
      <c r="S642" s="403"/>
      <c r="T642" s="198"/>
      <c r="U642" s="403"/>
      <c r="V642" s="19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03"/>
      <c r="B643" s="198"/>
      <c r="C643" s="403"/>
      <c r="D643" s="198"/>
      <c r="E643" s="403"/>
      <c r="F643" s="198"/>
      <c r="G643" s="403"/>
      <c r="H643" s="198"/>
      <c r="I643" s="403"/>
      <c r="J643" s="198"/>
      <c r="K643" s="403"/>
      <c r="L643" s="198"/>
      <c r="M643" s="403"/>
      <c r="N643" s="198"/>
      <c r="O643" s="403"/>
      <c r="P643" s="198"/>
      <c r="Q643" s="357"/>
      <c r="R643" s="357"/>
      <c r="S643" s="403"/>
      <c r="T643" s="198"/>
      <c r="U643" s="403"/>
      <c r="V643" s="19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03"/>
      <c r="B644" s="198"/>
      <c r="C644" s="403"/>
      <c r="D644" s="198"/>
      <c r="E644" s="403"/>
      <c r="F644" s="198"/>
      <c r="G644" s="403"/>
      <c r="H644" s="198"/>
      <c r="I644" s="403"/>
      <c r="J644" s="198"/>
      <c r="K644" s="403"/>
      <c r="L644" s="198"/>
      <c r="M644" s="403"/>
      <c r="N644" s="198"/>
      <c r="O644" s="403"/>
      <c r="P644" s="198"/>
      <c r="Q644" s="357"/>
      <c r="R644" s="357"/>
      <c r="S644" s="403"/>
      <c r="T644" s="198"/>
      <c r="U644" s="403"/>
      <c r="V644" s="19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03"/>
      <c r="B645" s="198"/>
      <c r="C645" s="403"/>
      <c r="D645" s="198"/>
      <c r="E645" s="403"/>
      <c r="F645" s="198"/>
      <c r="G645" s="403"/>
      <c r="H645" s="198"/>
      <c r="I645" s="403"/>
      <c r="J645" s="198"/>
      <c r="K645" s="403"/>
      <c r="L645" s="198"/>
      <c r="M645" s="403"/>
      <c r="N645" s="198"/>
      <c r="O645" s="403"/>
      <c r="P645" s="198"/>
      <c r="Q645" s="357"/>
      <c r="R645" s="357"/>
      <c r="S645" s="403"/>
      <c r="T645" s="198"/>
      <c r="U645" s="403"/>
      <c r="V645" s="19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03"/>
      <c r="B646" s="198"/>
      <c r="C646" s="403"/>
      <c r="D646" s="198"/>
      <c r="E646" s="403"/>
      <c r="F646" s="198"/>
      <c r="G646" s="403"/>
      <c r="H646" s="198"/>
      <c r="I646" s="403"/>
      <c r="J646" s="198"/>
      <c r="K646" s="403"/>
      <c r="L646" s="198"/>
      <c r="M646" s="403"/>
      <c r="N646" s="198"/>
      <c r="O646" s="403"/>
      <c r="P646" s="198"/>
      <c r="Q646" s="357"/>
      <c r="R646" s="357"/>
      <c r="S646" s="403"/>
      <c r="T646" s="198"/>
      <c r="U646" s="403"/>
      <c r="V646" s="19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03"/>
      <c r="B647" s="198"/>
      <c r="C647" s="403"/>
      <c r="D647" s="198"/>
      <c r="E647" s="403"/>
      <c r="F647" s="198"/>
      <c r="G647" s="403"/>
      <c r="H647" s="198"/>
      <c r="I647" s="403"/>
      <c r="J647" s="198"/>
      <c r="K647" s="403"/>
      <c r="L647" s="198"/>
      <c r="M647" s="403"/>
      <c r="N647" s="198"/>
      <c r="O647" s="403"/>
      <c r="P647" s="198"/>
      <c r="Q647" s="357"/>
      <c r="R647" s="357"/>
      <c r="S647" s="403"/>
      <c r="T647" s="198"/>
      <c r="U647" s="403"/>
      <c r="V647" s="19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03"/>
      <c r="B648" s="198"/>
      <c r="C648" s="403"/>
      <c r="D648" s="198"/>
      <c r="E648" s="403"/>
      <c r="F648" s="198"/>
      <c r="G648" s="403"/>
      <c r="H648" s="198"/>
      <c r="I648" s="403"/>
      <c r="J648" s="198"/>
      <c r="K648" s="403"/>
      <c r="L648" s="198"/>
      <c r="M648" s="403"/>
      <c r="N648" s="198"/>
      <c r="O648" s="403"/>
      <c r="P648" s="198"/>
      <c r="Q648" s="357"/>
      <c r="R648" s="357"/>
      <c r="S648" s="403"/>
      <c r="T648" s="198"/>
      <c r="U648" s="403"/>
      <c r="V648" s="19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03"/>
      <c r="B649" s="198"/>
      <c r="C649" s="403"/>
      <c r="D649" s="198"/>
      <c r="E649" s="403"/>
      <c r="F649" s="198"/>
      <c r="G649" s="403"/>
      <c r="H649" s="198"/>
      <c r="I649" s="403"/>
      <c r="J649" s="198"/>
      <c r="K649" s="403"/>
      <c r="L649" s="198"/>
      <c r="M649" s="403"/>
      <c r="N649" s="198"/>
      <c r="O649" s="403"/>
      <c r="P649" s="198"/>
      <c r="Q649" s="357"/>
      <c r="R649" s="357"/>
      <c r="S649" s="403"/>
      <c r="T649" s="198"/>
      <c r="U649" s="403"/>
      <c r="V649" s="19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03"/>
      <c r="B650" s="198"/>
      <c r="C650" s="403"/>
      <c r="D650" s="198"/>
      <c r="E650" s="403"/>
      <c r="F650" s="198"/>
      <c r="G650" s="403"/>
      <c r="H650" s="198"/>
      <c r="I650" s="403"/>
      <c r="J650" s="198"/>
      <c r="K650" s="403"/>
      <c r="L650" s="198"/>
      <c r="M650" s="403"/>
      <c r="N650" s="198"/>
      <c r="O650" s="403"/>
      <c r="P650" s="198"/>
      <c r="Q650" s="357"/>
      <c r="R650" s="357"/>
      <c r="S650" s="403"/>
      <c r="T650" s="198"/>
      <c r="U650" s="403"/>
      <c r="V650" s="19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03"/>
      <c r="B651" s="198"/>
      <c r="C651" s="403"/>
      <c r="D651" s="198"/>
      <c r="E651" s="403"/>
      <c r="F651" s="198"/>
      <c r="G651" s="403"/>
      <c r="H651" s="198"/>
      <c r="I651" s="403"/>
      <c r="J651" s="198"/>
      <c r="K651" s="403"/>
      <c r="L651" s="198"/>
      <c r="M651" s="403"/>
      <c r="N651" s="198"/>
      <c r="O651" s="403"/>
      <c r="P651" s="198"/>
      <c r="Q651" s="357"/>
      <c r="R651" s="357"/>
      <c r="S651" s="403"/>
      <c r="T651" s="198"/>
      <c r="U651" s="403"/>
      <c r="V651" s="19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03"/>
      <c r="B652" s="198"/>
      <c r="C652" s="403"/>
      <c r="D652" s="198"/>
      <c r="E652" s="403"/>
      <c r="F652" s="198"/>
      <c r="G652" s="403"/>
      <c r="H652" s="198"/>
      <c r="I652" s="403"/>
      <c r="J652" s="198"/>
      <c r="K652" s="403"/>
      <c r="L652" s="198"/>
      <c r="M652" s="403"/>
      <c r="N652" s="198"/>
      <c r="O652" s="403"/>
      <c r="P652" s="198"/>
      <c r="Q652" s="357"/>
      <c r="R652" s="357"/>
      <c r="S652" s="403"/>
      <c r="T652" s="198"/>
      <c r="U652" s="403"/>
      <c r="V652" s="19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03"/>
      <c r="B653" s="198"/>
      <c r="C653" s="403"/>
      <c r="D653" s="198"/>
      <c r="E653" s="403"/>
      <c r="F653" s="198"/>
      <c r="G653" s="403"/>
      <c r="H653" s="198"/>
      <c r="I653" s="403"/>
      <c r="J653" s="198"/>
      <c r="K653" s="403"/>
      <c r="L653" s="198"/>
      <c r="M653" s="403"/>
      <c r="N653" s="198"/>
      <c r="O653" s="403"/>
      <c r="P653" s="198"/>
      <c r="Q653" s="357"/>
      <c r="R653" s="357"/>
      <c r="S653" s="403"/>
      <c r="T653" s="198"/>
      <c r="U653" s="403"/>
      <c r="V653" s="19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03"/>
      <c r="B654" s="198"/>
      <c r="C654" s="403"/>
      <c r="D654" s="198"/>
      <c r="E654" s="403"/>
      <c r="F654" s="198"/>
      <c r="G654" s="403"/>
      <c r="H654" s="198"/>
      <c r="I654" s="403"/>
      <c r="J654" s="198"/>
      <c r="K654" s="403"/>
      <c r="L654" s="198"/>
      <c r="M654" s="403"/>
      <c r="N654" s="198"/>
      <c r="O654" s="403"/>
      <c r="P654" s="198"/>
      <c r="Q654" s="357"/>
      <c r="R654" s="357"/>
      <c r="S654" s="403"/>
      <c r="T654" s="198"/>
      <c r="U654" s="403"/>
      <c r="V654" s="19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03"/>
      <c r="B655" s="198"/>
      <c r="C655" s="403"/>
      <c r="D655" s="198"/>
      <c r="E655" s="403"/>
      <c r="F655" s="198"/>
      <c r="G655" s="403"/>
      <c r="H655" s="198"/>
      <c r="I655" s="403"/>
      <c r="J655" s="198"/>
      <c r="K655" s="403"/>
      <c r="L655" s="198"/>
      <c r="M655" s="403"/>
      <c r="N655" s="198"/>
      <c r="O655" s="403"/>
      <c r="P655" s="198"/>
      <c r="Q655" s="357"/>
      <c r="R655" s="357"/>
      <c r="S655" s="403"/>
      <c r="T655" s="198"/>
      <c r="U655" s="403"/>
      <c r="V655" s="19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03"/>
      <c r="B656" s="198"/>
      <c r="C656" s="403"/>
      <c r="D656" s="198"/>
      <c r="E656" s="403"/>
      <c r="F656" s="198"/>
      <c r="G656" s="403"/>
      <c r="H656" s="198"/>
      <c r="I656" s="403"/>
      <c r="J656" s="198"/>
      <c r="K656" s="403"/>
      <c r="L656" s="198"/>
      <c r="M656" s="403"/>
      <c r="N656" s="198"/>
      <c r="O656" s="403"/>
      <c r="P656" s="198"/>
      <c r="Q656" s="357"/>
      <c r="R656" s="357"/>
      <c r="S656" s="403"/>
      <c r="T656" s="198"/>
      <c r="U656" s="403"/>
      <c r="V656" s="19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03"/>
      <c r="B657" s="198"/>
      <c r="C657" s="403"/>
      <c r="D657" s="198"/>
      <c r="E657" s="403"/>
      <c r="F657" s="198"/>
      <c r="G657" s="403"/>
      <c r="H657" s="198"/>
      <c r="I657" s="403"/>
      <c r="J657" s="198"/>
      <c r="K657" s="403"/>
      <c r="L657" s="198"/>
      <c r="M657" s="403"/>
      <c r="N657" s="198"/>
      <c r="O657" s="403"/>
      <c r="P657" s="198"/>
      <c r="Q657" s="357"/>
      <c r="R657" s="357"/>
      <c r="S657" s="403"/>
      <c r="T657" s="198"/>
      <c r="U657" s="403"/>
      <c r="V657" s="19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03"/>
      <c r="B658" s="198"/>
      <c r="C658" s="403"/>
      <c r="D658" s="198"/>
      <c r="E658" s="403"/>
      <c r="F658" s="198"/>
      <c r="G658" s="403"/>
      <c r="H658" s="198"/>
      <c r="I658" s="403"/>
      <c r="J658" s="198"/>
      <c r="K658" s="403"/>
      <c r="L658" s="198"/>
      <c r="M658" s="403"/>
      <c r="N658" s="198"/>
      <c r="O658" s="403"/>
      <c r="P658" s="198"/>
      <c r="Q658" s="357"/>
      <c r="R658" s="357"/>
      <c r="S658" s="403"/>
      <c r="T658" s="198"/>
      <c r="U658" s="403"/>
      <c r="V658" s="19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03"/>
      <c r="B659" s="198"/>
      <c r="C659" s="403"/>
      <c r="D659" s="198"/>
      <c r="E659" s="403"/>
      <c r="F659" s="198"/>
      <c r="G659" s="403"/>
      <c r="H659" s="198"/>
      <c r="I659" s="403"/>
      <c r="J659" s="198"/>
      <c r="K659" s="403"/>
      <c r="L659" s="198"/>
      <c r="M659" s="403"/>
      <c r="N659" s="198"/>
      <c r="O659" s="403"/>
      <c r="P659" s="198"/>
      <c r="Q659" s="357"/>
      <c r="R659" s="357"/>
      <c r="S659" s="403"/>
      <c r="T659" s="198"/>
      <c r="U659" s="403"/>
      <c r="V659" s="19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03"/>
      <c r="B660" s="198"/>
      <c r="C660" s="403"/>
      <c r="D660" s="198"/>
      <c r="E660" s="403"/>
      <c r="F660" s="198"/>
      <c r="G660" s="403"/>
      <c r="H660" s="198"/>
      <c r="I660" s="403"/>
      <c r="J660" s="198"/>
      <c r="K660" s="403"/>
      <c r="L660" s="198"/>
      <c r="M660" s="403"/>
      <c r="N660" s="198"/>
      <c r="O660" s="403"/>
      <c r="P660" s="198"/>
      <c r="Q660" s="357"/>
      <c r="R660" s="357"/>
      <c r="S660" s="403"/>
      <c r="T660" s="198"/>
      <c r="U660" s="403"/>
      <c r="V660" s="19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03"/>
      <c r="B661" s="198"/>
      <c r="C661" s="403"/>
      <c r="D661" s="198"/>
      <c r="E661" s="403"/>
      <c r="F661" s="198"/>
      <c r="G661" s="403"/>
      <c r="H661" s="198"/>
      <c r="I661" s="403"/>
      <c r="J661" s="198"/>
      <c r="K661" s="403"/>
      <c r="L661" s="198"/>
      <c r="M661" s="403"/>
      <c r="N661" s="198"/>
      <c r="O661" s="403"/>
      <c r="P661" s="198"/>
      <c r="Q661" s="357"/>
      <c r="R661" s="357"/>
      <c r="S661" s="403"/>
      <c r="T661" s="198"/>
      <c r="U661" s="403"/>
      <c r="V661" s="19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03"/>
      <c r="B662" s="198"/>
      <c r="C662" s="403"/>
      <c r="D662" s="198"/>
      <c r="E662" s="403"/>
      <c r="F662" s="198"/>
      <c r="G662" s="403"/>
      <c r="H662" s="198"/>
      <c r="I662" s="403"/>
      <c r="J662" s="198"/>
      <c r="K662" s="403"/>
      <c r="L662" s="198"/>
      <c r="M662" s="403"/>
      <c r="N662" s="198"/>
      <c r="O662" s="403"/>
      <c r="P662" s="198"/>
      <c r="Q662" s="357"/>
      <c r="R662" s="357"/>
      <c r="S662" s="403"/>
      <c r="T662" s="198"/>
      <c r="U662" s="403"/>
      <c r="V662" s="19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03"/>
      <c r="B663" s="198"/>
      <c r="C663" s="403"/>
      <c r="D663" s="198"/>
      <c r="E663" s="403"/>
      <c r="F663" s="198"/>
      <c r="G663" s="403"/>
      <c r="H663" s="198"/>
      <c r="I663" s="403"/>
      <c r="J663" s="198"/>
      <c r="K663" s="403"/>
      <c r="L663" s="198"/>
      <c r="M663" s="403"/>
      <c r="N663" s="198"/>
      <c r="O663" s="403"/>
      <c r="P663" s="198"/>
      <c r="Q663" s="357"/>
      <c r="R663" s="357"/>
      <c r="S663" s="403"/>
      <c r="T663" s="198"/>
      <c r="U663" s="403"/>
      <c r="V663" s="19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03"/>
      <c r="B664" s="198"/>
      <c r="C664" s="403"/>
      <c r="D664" s="198"/>
      <c r="E664" s="403"/>
      <c r="F664" s="198"/>
      <c r="G664" s="403"/>
      <c r="H664" s="198"/>
      <c r="I664" s="403"/>
      <c r="J664" s="198"/>
      <c r="K664" s="403"/>
      <c r="L664" s="198"/>
      <c r="M664" s="403"/>
      <c r="N664" s="198"/>
      <c r="O664" s="403"/>
      <c r="P664" s="198"/>
      <c r="Q664" s="357"/>
      <c r="R664" s="357"/>
      <c r="S664" s="403"/>
      <c r="T664" s="198"/>
      <c r="U664" s="403"/>
      <c r="V664" s="19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03"/>
      <c r="B665" s="198"/>
      <c r="C665" s="403"/>
      <c r="D665" s="198"/>
      <c r="E665" s="403"/>
      <c r="F665" s="198"/>
      <c r="G665" s="403"/>
      <c r="H665" s="198"/>
      <c r="I665" s="403"/>
      <c r="J665" s="198"/>
      <c r="K665" s="403"/>
      <c r="L665" s="198"/>
      <c r="M665" s="403"/>
      <c r="N665" s="198"/>
      <c r="O665" s="403"/>
      <c r="P665" s="198"/>
      <c r="Q665" s="357"/>
      <c r="R665" s="357"/>
      <c r="S665" s="403"/>
      <c r="T665" s="198"/>
      <c r="U665" s="403"/>
      <c r="V665" s="19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03"/>
      <c r="B666" s="198"/>
      <c r="C666" s="403"/>
      <c r="D666" s="198"/>
      <c r="E666" s="403"/>
      <c r="F666" s="198"/>
      <c r="G666" s="403"/>
      <c r="H666" s="198"/>
      <c r="I666" s="403"/>
      <c r="J666" s="198"/>
      <c r="K666" s="403"/>
      <c r="L666" s="198"/>
      <c r="M666" s="403"/>
      <c r="N666" s="198"/>
      <c r="O666" s="403"/>
      <c r="P666" s="198"/>
      <c r="Q666" s="357"/>
      <c r="R666" s="357"/>
      <c r="S666" s="403"/>
      <c r="T666" s="198"/>
      <c r="U666" s="403"/>
      <c r="V666" s="19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03"/>
      <c r="B667" s="198"/>
      <c r="C667" s="403"/>
      <c r="D667" s="198"/>
      <c r="E667" s="403"/>
      <c r="F667" s="198"/>
      <c r="G667" s="403"/>
      <c r="H667" s="198"/>
      <c r="I667" s="403"/>
      <c r="J667" s="198"/>
      <c r="K667" s="403"/>
      <c r="L667" s="198"/>
      <c r="M667" s="403"/>
      <c r="N667" s="198"/>
      <c r="O667" s="403"/>
      <c r="P667" s="198"/>
      <c r="Q667" s="357"/>
      <c r="R667" s="357"/>
      <c r="S667" s="403"/>
      <c r="T667" s="198"/>
      <c r="U667" s="403"/>
      <c r="V667" s="19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03"/>
      <c r="B668" s="198"/>
      <c r="C668" s="403"/>
      <c r="D668" s="198"/>
      <c r="E668" s="403"/>
      <c r="F668" s="198"/>
      <c r="G668" s="403"/>
      <c r="H668" s="198"/>
      <c r="I668" s="403"/>
      <c r="J668" s="198"/>
      <c r="K668" s="403"/>
      <c r="L668" s="198"/>
      <c r="M668" s="403"/>
      <c r="N668" s="198"/>
      <c r="O668" s="403"/>
      <c r="P668" s="198"/>
      <c r="Q668" s="357"/>
      <c r="R668" s="357"/>
      <c r="S668" s="403"/>
      <c r="T668" s="198"/>
      <c r="U668" s="403"/>
      <c r="V668" s="19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03"/>
      <c r="B669" s="198"/>
      <c r="C669" s="403"/>
      <c r="D669" s="198"/>
      <c r="E669" s="403"/>
      <c r="F669" s="198"/>
      <c r="G669" s="403"/>
      <c r="H669" s="198"/>
      <c r="I669" s="403"/>
      <c r="J669" s="198"/>
      <c r="K669" s="403"/>
      <c r="L669" s="198"/>
      <c r="M669" s="403"/>
      <c r="N669" s="198"/>
      <c r="O669" s="403"/>
      <c r="P669" s="198"/>
      <c r="Q669" s="357"/>
      <c r="R669" s="357"/>
      <c r="S669" s="403"/>
      <c r="T669" s="198"/>
      <c r="U669" s="403"/>
      <c r="V669" s="19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03"/>
      <c r="B670" s="198"/>
      <c r="C670" s="403"/>
      <c r="D670" s="198"/>
      <c r="E670" s="403"/>
      <c r="F670" s="198"/>
      <c r="G670" s="403"/>
      <c r="H670" s="198"/>
      <c r="I670" s="403"/>
      <c r="J670" s="198"/>
      <c r="K670" s="403"/>
      <c r="L670" s="198"/>
      <c r="M670" s="403"/>
      <c r="N670" s="198"/>
      <c r="O670" s="403"/>
      <c r="P670" s="198"/>
      <c r="Q670" s="357"/>
      <c r="R670" s="357"/>
      <c r="S670" s="403"/>
      <c r="T670" s="198"/>
      <c r="U670" s="403"/>
      <c r="V670" s="19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03"/>
      <c r="B671" s="198"/>
      <c r="C671" s="403"/>
      <c r="D671" s="198"/>
      <c r="E671" s="403"/>
      <c r="F671" s="198"/>
      <c r="G671" s="403"/>
      <c r="H671" s="198"/>
      <c r="I671" s="403"/>
      <c r="J671" s="198"/>
      <c r="K671" s="403"/>
      <c r="L671" s="198"/>
      <c r="M671" s="403"/>
      <c r="N671" s="198"/>
      <c r="O671" s="403"/>
      <c r="P671" s="198"/>
      <c r="Q671" s="357"/>
      <c r="R671" s="357"/>
      <c r="S671" s="403"/>
      <c r="T671" s="198"/>
      <c r="U671" s="403"/>
      <c r="V671" s="19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03"/>
      <c r="B672" s="198"/>
      <c r="C672" s="403"/>
      <c r="D672" s="198"/>
      <c r="E672" s="403"/>
      <c r="F672" s="198"/>
      <c r="G672" s="403"/>
      <c r="H672" s="198"/>
      <c r="I672" s="403"/>
      <c r="J672" s="198"/>
      <c r="K672" s="403"/>
      <c r="L672" s="198"/>
      <c r="M672" s="403"/>
      <c r="N672" s="198"/>
      <c r="O672" s="403"/>
      <c r="P672" s="198"/>
      <c r="Q672" s="357"/>
      <c r="R672" s="357"/>
      <c r="S672" s="403"/>
      <c r="T672" s="198"/>
      <c r="U672" s="403"/>
      <c r="V672" s="19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03"/>
      <c r="B673" s="198"/>
      <c r="C673" s="403"/>
      <c r="D673" s="198"/>
      <c r="E673" s="403"/>
      <c r="F673" s="198"/>
      <c r="G673" s="403"/>
      <c r="H673" s="198"/>
      <c r="I673" s="403"/>
      <c r="J673" s="198"/>
      <c r="K673" s="403"/>
      <c r="L673" s="198"/>
      <c r="M673" s="403"/>
      <c r="N673" s="198"/>
      <c r="O673" s="403"/>
      <c r="P673" s="198"/>
      <c r="Q673" s="357"/>
      <c r="R673" s="357"/>
      <c r="S673" s="403"/>
      <c r="T673" s="198"/>
      <c r="U673" s="403"/>
      <c r="V673" s="19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03"/>
      <c r="B674" s="198"/>
      <c r="C674" s="403"/>
      <c r="D674" s="198"/>
      <c r="E674" s="403"/>
      <c r="F674" s="198"/>
      <c r="G674" s="403"/>
      <c r="H674" s="198"/>
      <c r="I674" s="403"/>
      <c r="J674" s="198"/>
      <c r="K674" s="403"/>
      <c r="L674" s="198"/>
      <c r="M674" s="403"/>
      <c r="N674" s="198"/>
      <c r="O674" s="403"/>
      <c r="P674" s="198"/>
      <c r="Q674" s="357"/>
      <c r="R674" s="357"/>
      <c r="S674" s="403"/>
      <c r="T674" s="198"/>
      <c r="U674" s="403"/>
      <c r="V674" s="19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03"/>
      <c r="B675" s="198"/>
      <c r="C675" s="403"/>
      <c r="D675" s="198"/>
      <c r="E675" s="403"/>
      <c r="F675" s="198"/>
      <c r="G675" s="403"/>
      <c r="H675" s="198"/>
      <c r="I675" s="403"/>
      <c r="J675" s="198"/>
      <c r="K675" s="403"/>
      <c r="L675" s="198"/>
      <c r="M675" s="403"/>
      <c r="N675" s="198"/>
      <c r="O675" s="403"/>
      <c r="P675" s="198"/>
      <c r="Q675" s="357"/>
      <c r="R675" s="357"/>
      <c r="S675" s="403"/>
      <c r="T675" s="198"/>
      <c r="U675" s="403"/>
      <c r="V675" s="19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03"/>
      <c r="B676" s="198"/>
      <c r="C676" s="403"/>
      <c r="D676" s="198"/>
      <c r="E676" s="403"/>
      <c r="F676" s="198"/>
      <c r="G676" s="403"/>
      <c r="H676" s="198"/>
      <c r="I676" s="403"/>
      <c r="J676" s="198"/>
      <c r="K676" s="403"/>
      <c r="L676" s="198"/>
      <c r="M676" s="403"/>
      <c r="N676" s="198"/>
      <c r="O676" s="403"/>
      <c r="P676" s="198"/>
      <c r="Q676" s="357"/>
      <c r="R676" s="357"/>
      <c r="S676" s="403"/>
      <c r="T676" s="198"/>
      <c r="U676" s="403"/>
      <c r="V676" s="19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03"/>
      <c r="B677" s="198"/>
      <c r="C677" s="403"/>
      <c r="D677" s="198"/>
      <c r="E677" s="403"/>
      <c r="F677" s="198"/>
      <c r="G677" s="403"/>
      <c r="H677" s="198"/>
      <c r="I677" s="403"/>
      <c r="J677" s="198"/>
      <c r="K677" s="403"/>
      <c r="L677" s="198"/>
      <c r="M677" s="403"/>
      <c r="N677" s="198"/>
      <c r="O677" s="403"/>
      <c r="P677" s="198"/>
      <c r="Q677" s="357"/>
      <c r="R677" s="357"/>
      <c r="S677" s="403"/>
      <c r="T677" s="198"/>
      <c r="U677" s="403"/>
      <c r="V677" s="19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03"/>
      <c r="B678" s="198"/>
      <c r="C678" s="403"/>
      <c r="D678" s="198"/>
      <c r="E678" s="403"/>
      <c r="F678" s="198"/>
      <c r="G678" s="403"/>
      <c r="H678" s="198"/>
      <c r="I678" s="403"/>
      <c r="J678" s="198"/>
      <c r="K678" s="403"/>
      <c r="L678" s="198"/>
      <c r="M678" s="403"/>
      <c r="N678" s="198"/>
      <c r="O678" s="403"/>
      <c r="P678" s="198"/>
      <c r="Q678" s="357"/>
      <c r="R678" s="357"/>
      <c r="S678" s="403"/>
      <c r="T678" s="198"/>
      <c r="U678" s="403"/>
      <c r="V678" s="19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03"/>
      <c r="B679" s="198"/>
      <c r="C679" s="403"/>
      <c r="D679" s="198"/>
      <c r="E679" s="403"/>
      <c r="F679" s="198"/>
      <c r="G679" s="403"/>
      <c r="H679" s="198"/>
      <c r="I679" s="403"/>
      <c r="J679" s="198"/>
      <c r="K679" s="403"/>
      <c r="L679" s="198"/>
      <c r="M679" s="403"/>
      <c r="N679" s="198"/>
      <c r="O679" s="403"/>
      <c r="P679" s="198"/>
      <c r="Q679" s="357"/>
      <c r="R679" s="357"/>
      <c r="S679" s="403"/>
      <c r="T679" s="198"/>
      <c r="U679" s="403"/>
      <c r="V679" s="19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03"/>
      <c r="B680" s="198"/>
      <c r="C680" s="403"/>
      <c r="D680" s="198"/>
      <c r="E680" s="403"/>
      <c r="F680" s="198"/>
      <c r="G680" s="403"/>
      <c r="H680" s="198"/>
      <c r="I680" s="403"/>
      <c r="J680" s="198"/>
      <c r="K680" s="403"/>
      <c r="L680" s="198"/>
      <c r="M680" s="403"/>
      <c r="N680" s="198"/>
      <c r="O680" s="403"/>
      <c r="P680" s="198"/>
      <c r="Q680" s="357"/>
      <c r="R680" s="357"/>
      <c r="S680" s="403"/>
      <c r="T680" s="198"/>
      <c r="U680" s="403"/>
      <c r="V680" s="19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03"/>
      <c r="B681" s="198"/>
      <c r="C681" s="403"/>
      <c r="D681" s="198"/>
      <c r="E681" s="403"/>
      <c r="F681" s="198"/>
      <c r="G681" s="403"/>
      <c r="H681" s="198"/>
      <c r="I681" s="403"/>
      <c r="J681" s="198"/>
      <c r="K681" s="403"/>
      <c r="L681" s="198"/>
      <c r="M681" s="403"/>
      <c r="N681" s="198"/>
      <c r="O681" s="403"/>
      <c r="P681" s="198"/>
      <c r="Q681" s="357"/>
      <c r="R681" s="357"/>
      <c r="S681" s="403"/>
      <c r="T681" s="198"/>
      <c r="U681" s="403"/>
      <c r="V681" s="19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03"/>
      <c r="B682" s="198"/>
      <c r="C682" s="403"/>
      <c r="D682" s="198"/>
      <c r="E682" s="403"/>
      <c r="F682" s="198"/>
      <c r="G682" s="403"/>
      <c r="H682" s="198"/>
      <c r="I682" s="403"/>
      <c r="J682" s="198"/>
      <c r="K682" s="403"/>
      <c r="L682" s="198"/>
      <c r="M682" s="403"/>
      <c r="N682" s="198"/>
      <c r="O682" s="403"/>
      <c r="P682" s="198"/>
      <c r="Q682" s="357"/>
      <c r="R682" s="357"/>
      <c r="S682" s="403"/>
      <c r="T682" s="198"/>
      <c r="U682" s="403"/>
      <c r="V682" s="19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03"/>
      <c r="B683" s="198"/>
      <c r="C683" s="403"/>
      <c r="D683" s="198"/>
      <c r="E683" s="403"/>
      <c r="F683" s="198"/>
      <c r="G683" s="403"/>
      <c r="H683" s="198"/>
      <c r="I683" s="403"/>
      <c r="J683" s="198"/>
      <c r="K683" s="403"/>
      <c r="L683" s="198"/>
      <c r="M683" s="403"/>
      <c r="N683" s="198"/>
      <c r="O683" s="403"/>
      <c r="P683" s="198"/>
      <c r="Q683" s="357"/>
      <c r="R683" s="357"/>
      <c r="S683" s="403"/>
      <c r="T683" s="198"/>
      <c r="U683" s="403"/>
      <c r="V683" s="19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03"/>
      <c r="B684" s="198"/>
      <c r="C684" s="403"/>
      <c r="D684" s="198"/>
      <c r="E684" s="403"/>
      <c r="F684" s="198"/>
      <c r="G684" s="403"/>
      <c r="H684" s="198"/>
      <c r="I684" s="403"/>
      <c r="J684" s="198"/>
      <c r="K684" s="403"/>
      <c r="L684" s="198"/>
      <c r="M684" s="403"/>
      <c r="N684" s="198"/>
      <c r="O684" s="403"/>
      <c r="P684" s="198"/>
      <c r="Q684" s="357"/>
      <c r="R684" s="357"/>
      <c r="S684" s="403"/>
      <c r="T684" s="198"/>
      <c r="U684" s="403"/>
      <c r="V684" s="19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03"/>
      <c r="B685" s="198"/>
      <c r="C685" s="403"/>
      <c r="D685" s="198"/>
      <c r="E685" s="403"/>
      <c r="F685" s="198"/>
      <c r="G685" s="403"/>
      <c r="H685" s="198"/>
      <c r="I685" s="403"/>
      <c r="J685" s="198"/>
      <c r="K685" s="403"/>
      <c r="L685" s="198"/>
      <c r="M685" s="403"/>
      <c r="N685" s="198"/>
      <c r="O685" s="403"/>
      <c r="P685" s="198"/>
      <c r="Q685" s="357"/>
      <c r="R685" s="357"/>
      <c r="S685" s="403"/>
      <c r="T685" s="198"/>
      <c r="U685" s="403"/>
      <c r="V685" s="19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03"/>
      <c r="B686" s="198"/>
      <c r="C686" s="403"/>
      <c r="D686" s="198"/>
      <c r="E686" s="403"/>
      <c r="F686" s="198"/>
      <c r="G686" s="403"/>
      <c r="H686" s="198"/>
      <c r="I686" s="403"/>
      <c r="J686" s="198"/>
      <c r="K686" s="403"/>
      <c r="L686" s="198"/>
      <c r="M686" s="403"/>
      <c r="N686" s="198"/>
      <c r="O686" s="403"/>
      <c r="P686" s="198"/>
      <c r="Q686" s="357"/>
      <c r="R686" s="357"/>
      <c r="S686" s="403"/>
      <c r="T686" s="198"/>
      <c r="U686" s="403"/>
      <c r="V686" s="19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03"/>
      <c r="B687" s="198"/>
      <c r="C687" s="403"/>
      <c r="D687" s="198"/>
      <c r="E687" s="403"/>
      <c r="F687" s="198"/>
      <c r="G687" s="403"/>
      <c r="H687" s="198"/>
      <c r="I687" s="403"/>
      <c r="J687" s="198"/>
      <c r="K687" s="403"/>
      <c r="L687" s="198"/>
      <c r="M687" s="403"/>
      <c r="N687" s="198"/>
      <c r="O687" s="403"/>
      <c r="P687" s="198"/>
      <c r="Q687" s="357"/>
      <c r="R687" s="357"/>
      <c r="S687" s="403"/>
      <c r="T687" s="198"/>
      <c r="U687" s="403"/>
      <c r="V687" s="19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03"/>
      <c r="B688" s="198"/>
      <c r="C688" s="403"/>
      <c r="D688" s="198"/>
      <c r="E688" s="403"/>
      <c r="F688" s="198"/>
      <c r="G688" s="403"/>
      <c r="H688" s="198"/>
      <c r="I688" s="403"/>
      <c r="J688" s="198"/>
      <c r="K688" s="403"/>
      <c r="L688" s="198"/>
      <c r="M688" s="403"/>
      <c r="N688" s="198"/>
      <c r="O688" s="403"/>
      <c r="P688" s="198"/>
      <c r="Q688" s="357"/>
      <c r="R688" s="357"/>
      <c r="S688" s="403"/>
      <c r="T688" s="198"/>
      <c r="U688" s="403"/>
      <c r="V688" s="19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03"/>
      <c r="B689" s="198"/>
      <c r="C689" s="403"/>
      <c r="D689" s="198"/>
      <c r="E689" s="403"/>
      <c r="F689" s="198"/>
      <c r="G689" s="403"/>
      <c r="H689" s="198"/>
      <c r="I689" s="403"/>
      <c r="J689" s="198"/>
      <c r="K689" s="403"/>
      <c r="L689" s="198"/>
      <c r="M689" s="403"/>
      <c r="N689" s="198"/>
      <c r="O689" s="403"/>
      <c r="P689" s="198"/>
      <c r="Q689" s="357"/>
      <c r="R689" s="357"/>
      <c r="S689" s="403"/>
      <c r="T689" s="198"/>
      <c r="U689" s="403"/>
      <c r="V689" s="19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03"/>
      <c r="B690" s="198"/>
      <c r="C690" s="403"/>
      <c r="D690" s="198"/>
      <c r="E690" s="403"/>
      <c r="F690" s="198"/>
      <c r="G690" s="403"/>
      <c r="H690" s="198"/>
      <c r="I690" s="403"/>
      <c r="J690" s="198"/>
      <c r="K690" s="403"/>
      <c r="L690" s="198"/>
      <c r="M690" s="403"/>
      <c r="N690" s="198"/>
      <c r="O690" s="403"/>
      <c r="P690" s="198"/>
      <c r="Q690" s="357"/>
      <c r="R690" s="357"/>
      <c r="S690" s="403"/>
      <c r="T690" s="198"/>
      <c r="U690" s="403"/>
      <c r="V690" s="19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03"/>
      <c r="B691" s="198"/>
      <c r="C691" s="403"/>
      <c r="D691" s="198"/>
      <c r="E691" s="403"/>
      <c r="F691" s="198"/>
      <c r="G691" s="403"/>
      <c r="H691" s="198"/>
      <c r="I691" s="403"/>
      <c r="J691" s="198"/>
      <c r="K691" s="403"/>
      <c r="L691" s="198"/>
      <c r="M691" s="403"/>
      <c r="N691" s="198"/>
      <c r="O691" s="403"/>
      <c r="P691" s="198"/>
      <c r="Q691" s="357"/>
      <c r="R691" s="357"/>
      <c r="S691" s="403"/>
      <c r="T691" s="198"/>
      <c r="U691" s="403"/>
      <c r="V691" s="19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03"/>
      <c r="B692" s="198"/>
      <c r="C692" s="403"/>
      <c r="D692" s="198"/>
      <c r="E692" s="403"/>
      <c r="F692" s="198"/>
      <c r="G692" s="403"/>
      <c r="H692" s="198"/>
      <c r="I692" s="403"/>
      <c r="J692" s="198"/>
      <c r="K692" s="403"/>
      <c r="L692" s="198"/>
      <c r="M692" s="403"/>
      <c r="N692" s="198"/>
      <c r="O692" s="403"/>
      <c r="P692" s="198"/>
      <c r="Q692" s="357"/>
      <c r="R692" s="357"/>
      <c r="S692" s="403"/>
      <c r="T692" s="198"/>
      <c r="U692" s="403"/>
      <c r="V692" s="19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03"/>
      <c r="B693" s="198"/>
      <c r="C693" s="403"/>
      <c r="D693" s="198"/>
      <c r="E693" s="403"/>
      <c r="F693" s="198"/>
      <c r="G693" s="403"/>
      <c r="H693" s="198"/>
      <c r="I693" s="403"/>
      <c r="J693" s="198"/>
      <c r="K693" s="403"/>
      <c r="L693" s="198"/>
      <c r="M693" s="403"/>
      <c r="N693" s="198"/>
      <c r="O693" s="403"/>
      <c r="P693" s="198"/>
      <c r="Q693" s="357"/>
      <c r="R693" s="357"/>
      <c r="S693" s="403"/>
      <c r="T693" s="198"/>
      <c r="U693" s="403"/>
      <c r="V693" s="19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03"/>
      <c r="B694" s="198"/>
      <c r="C694" s="403"/>
      <c r="D694" s="198"/>
      <c r="E694" s="403"/>
      <c r="F694" s="198"/>
      <c r="G694" s="403"/>
      <c r="H694" s="198"/>
      <c r="I694" s="403"/>
      <c r="J694" s="198"/>
      <c r="K694" s="403"/>
      <c r="L694" s="198"/>
      <c r="M694" s="403"/>
      <c r="N694" s="198"/>
      <c r="O694" s="403"/>
      <c r="P694" s="198"/>
      <c r="Q694" s="357"/>
      <c r="R694" s="357"/>
      <c r="S694" s="403"/>
      <c r="T694" s="198"/>
      <c r="U694" s="403"/>
      <c r="V694" s="19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03"/>
      <c r="B695" s="198"/>
      <c r="C695" s="403"/>
      <c r="D695" s="198"/>
      <c r="E695" s="403"/>
      <c r="F695" s="198"/>
      <c r="G695" s="403"/>
      <c r="H695" s="198"/>
      <c r="I695" s="403"/>
      <c r="J695" s="198"/>
      <c r="K695" s="403"/>
      <c r="L695" s="198"/>
      <c r="M695" s="403"/>
      <c r="N695" s="198"/>
      <c r="O695" s="403"/>
      <c r="P695" s="198"/>
      <c r="Q695" s="357"/>
      <c r="R695" s="357"/>
      <c r="S695" s="403"/>
      <c r="T695" s="198"/>
      <c r="U695" s="403"/>
      <c r="V695" s="19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03"/>
      <c r="B696" s="198"/>
      <c r="C696" s="403"/>
      <c r="D696" s="198"/>
      <c r="E696" s="403"/>
      <c r="F696" s="198"/>
      <c r="G696" s="403"/>
      <c r="H696" s="198"/>
      <c r="I696" s="403"/>
      <c r="J696" s="198"/>
      <c r="K696" s="403"/>
      <c r="L696" s="198"/>
      <c r="M696" s="403"/>
      <c r="N696" s="198"/>
      <c r="O696" s="403"/>
      <c r="P696" s="198"/>
      <c r="Q696" s="357"/>
      <c r="R696" s="357"/>
      <c r="S696" s="403"/>
      <c r="T696" s="198"/>
      <c r="U696" s="403"/>
      <c r="V696" s="19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03"/>
      <c r="B697" s="198"/>
      <c r="C697" s="403"/>
      <c r="D697" s="198"/>
      <c r="E697" s="403"/>
      <c r="F697" s="198"/>
      <c r="G697" s="403"/>
      <c r="H697" s="198"/>
      <c r="I697" s="403"/>
      <c r="J697" s="198"/>
      <c r="K697" s="403"/>
      <c r="L697" s="198"/>
      <c r="M697" s="403"/>
      <c r="N697" s="198"/>
      <c r="O697" s="403"/>
      <c r="P697" s="198"/>
      <c r="Q697" s="357"/>
      <c r="R697" s="357"/>
      <c r="S697" s="403"/>
      <c r="T697" s="198"/>
      <c r="U697" s="403"/>
      <c r="V697" s="19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03"/>
      <c r="B698" s="198"/>
      <c r="C698" s="403"/>
      <c r="D698" s="198"/>
      <c r="E698" s="403"/>
      <c r="F698" s="198"/>
      <c r="G698" s="403"/>
      <c r="H698" s="198"/>
      <c r="I698" s="403"/>
      <c r="J698" s="198"/>
      <c r="K698" s="403"/>
      <c r="L698" s="198"/>
      <c r="M698" s="403"/>
      <c r="N698" s="198"/>
      <c r="O698" s="403"/>
      <c r="P698" s="198"/>
      <c r="Q698" s="357"/>
      <c r="R698" s="357"/>
      <c r="S698" s="403"/>
      <c r="T698" s="198"/>
      <c r="U698" s="403"/>
      <c r="V698" s="19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03"/>
      <c r="B699" s="198"/>
      <c r="C699" s="403"/>
      <c r="D699" s="198"/>
      <c r="E699" s="403"/>
      <c r="F699" s="198"/>
      <c r="G699" s="403"/>
      <c r="H699" s="198"/>
      <c r="I699" s="403"/>
      <c r="J699" s="198"/>
      <c r="K699" s="403"/>
      <c r="L699" s="198"/>
      <c r="M699" s="403"/>
      <c r="N699" s="198"/>
      <c r="O699" s="403"/>
      <c r="P699" s="198"/>
      <c r="Q699" s="357"/>
      <c r="R699" s="357"/>
      <c r="S699" s="403"/>
      <c r="T699" s="198"/>
      <c r="U699" s="403"/>
      <c r="V699" s="19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03"/>
      <c r="B700" s="198"/>
      <c r="C700" s="403"/>
      <c r="D700" s="198"/>
      <c r="E700" s="403"/>
      <c r="F700" s="198"/>
      <c r="G700" s="403"/>
      <c r="H700" s="198"/>
      <c r="I700" s="403"/>
      <c r="J700" s="198"/>
      <c r="K700" s="403"/>
      <c r="L700" s="198"/>
      <c r="M700" s="403"/>
      <c r="N700" s="198"/>
      <c r="O700" s="403"/>
      <c r="P700" s="198"/>
      <c r="Q700" s="357"/>
      <c r="R700" s="357"/>
      <c r="S700" s="403"/>
      <c r="T700" s="198"/>
      <c r="U700" s="403"/>
      <c r="V700" s="19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03"/>
      <c r="B701" s="198"/>
      <c r="C701" s="403"/>
      <c r="D701" s="198"/>
      <c r="E701" s="403"/>
      <c r="F701" s="198"/>
      <c r="G701" s="403"/>
      <c r="H701" s="198"/>
      <c r="I701" s="403"/>
      <c r="J701" s="198"/>
      <c r="K701" s="403"/>
      <c r="L701" s="198"/>
      <c r="M701" s="403"/>
      <c r="N701" s="198"/>
      <c r="O701" s="403"/>
      <c r="P701" s="198"/>
      <c r="Q701" s="357"/>
      <c r="R701" s="357"/>
      <c r="S701" s="403"/>
      <c r="T701" s="198"/>
      <c r="U701" s="403"/>
      <c r="V701" s="19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03"/>
      <c r="B702" s="198"/>
      <c r="C702" s="403"/>
      <c r="D702" s="198"/>
      <c r="E702" s="403"/>
      <c r="F702" s="198"/>
      <c r="G702" s="403"/>
      <c r="H702" s="198"/>
      <c r="I702" s="403"/>
      <c r="J702" s="198"/>
      <c r="K702" s="403"/>
      <c r="L702" s="198"/>
      <c r="M702" s="403"/>
      <c r="N702" s="198"/>
      <c r="O702" s="403"/>
      <c r="P702" s="198"/>
      <c r="Q702" s="357"/>
      <c r="R702" s="357"/>
      <c r="S702" s="403"/>
      <c r="T702" s="198"/>
      <c r="U702" s="403"/>
      <c r="V702" s="19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03"/>
      <c r="B703" s="198"/>
      <c r="C703" s="403"/>
      <c r="D703" s="198"/>
      <c r="E703" s="403"/>
      <c r="F703" s="198"/>
      <c r="G703" s="403"/>
      <c r="H703" s="198"/>
      <c r="I703" s="403"/>
      <c r="J703" s="198"/>
      <c r="K703" s="403"/>
      <c r="L703" s="198"/>
      <c r="M703" s="403"/>
      <c r="N703" s="198"/>
      <c r="O703" s="403"/>
      <c r="P703" s="198"/>
      <c r="Q703" s="357"/>
      <c r="R703" s="357"/>
      <c r="S703" s="403"/>
      <c r="T703" s="198"/>
      <c r="U703" s="403"/>
      <c r="V703" s="19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03"/>
      <c r="B704" s="198"/>
      <c r="C704" s="403"/>
      <c r="D704" s="198"/>
      <c r="E704" s="403"/>
      <c r="F704" s="198"/>
      <c r="G704" s="403"/>
      <c r="H704" s="198"/>
      <c r="I704" s="403"/>
      <c r="J704" s="198"/>
      <c r="K704" s="403"/>
      <c r="L704" s="198"/>
      <c r="M704" s="403"/>
      <c r="N704" s="198"/>
      <c r="O704" s="403"/>
      <c r="P704" s="198"/>
      <c r="Q704" s="357"/>
      <c r="R704" s="357"/>
      <c r="S704" s="403"/>
      <c r="T704" s="198"/>
      <c r="U704" s="403"/>
      <c r="V704" s="19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03"/>
      <c r="B705" s="198"/>
      <c r="C705" s="403"/>
      <c r="D705" s="198"/>
      <c r="E705" s="403"/>
      <c r="F705" s="198"/>
      <c r="G705" s="403"/>
      <c r="H705" s="198"/>
      <c r="I705" s="403"/>
      <c r="J705" s="198"/>
      <c r="K705" s="403"/>
      <c r="L705" s="198"/>
      <c r="M705" s="403"/>
      <c r="N705" s="198"/>
      <c r="O705" s="403"/>
      <c r="P705" s="198"/>
      <c r="Q705" s="357"/>
      <c r="R705" s="357"/>
      <c r="S705" s="403"/>
      <c r="T705" s="198"/>
      <c r="U705" s="403"/>
      <c r="V705" s="19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03"/>
      <c r="B706" s="198"/>
      <c r="C706" s="403"/>
      <c r="D706" s="198"/>
      <c r="E706" s="403"/>
      <c r="F706" s="198"/>
      <c r="G706" s="403"/>
      <c r="H706" s="198"/>
      <c r="I706" s="403"/>
      <c r="J706" s="198"/>
      <c r="K706" s="403"/>
      <c r="L706" s="198"/>
      <c r="M706" s="403"/>
      <c r="N706" s="198"/>
      <c r="O706" s="403"/>
      <c r="P706" s="198"/>
      <c r="Q706" s="357"/>
      <c r="R706" s="357"/>
      <c r="S706" s="403"/>
      <c r="T706" s="198"/>
      <c r="U706" s="403"/>
      <c r="V706" s="19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03"/>
      <c r="B707" s="198"/>
      <c r="C707" s="403"/>
      <c r="D707" s="198"/>
      <c r="E707" s="403"/>
      <c r="F707" s="198"/>
      <c r="G707" s="403"/>
      <c r="H707" s="198"/>
      <c r="I707" s="403"/>
      <c r="J707" s="198"/>
      <c r="K707" s="403"/>
      <c r="L707" s="198"/>
      <c r="M707" s="403"/>
      <c r="N707" s="198"/>
      <c r="O707" s="403"/>
      <c r="P707" s="198"/>
      <c r="Q707" s="357"/>
      <c r="R707" s="357"/>
      <c r="S707" s="403"/>
      <c r="T707" s="198"/>
      <c r="U707" s="403"/>
      <c r="V707" s="19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03"/>
      <c r="B708" s="198"/>
      <c r="C708" s="403"/>
      <c r="D708" s="198"/>
      <c r="E708" s="403"/>
      <c r="F708" s="198"/>
      <c r="G708" s="403"/>
      <c r="H708" s="198"/>
      <c r="I708" s="403"/>
      <c r="J708" s="198"/>
      <c r="K708" s="403"/>
      <c r="L708" s="198"/>
      <c r="M708" s="403"/>
      <c r="N708" s="198"/>
      <c r="O708" s="403"/>
      <c r="P708" s="198"/>
      <c r="Q708" s="357"/>
      <c r="R708" s="357"/>
      <c r="S708" s="403"/>
      <c r="T708" s="198"/>
      <c r="U708" s="403"/>
      <c r="V708" s="19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03"/>
      <c r="B709" s="198"/>
      <c r="C709" s="403"/>
      <c r="D709" s="198"/>
      <c r="E709" s="403"/>
      <c r="F709" s="198"/>
      <c r="G709" s="403"/>
      <c r="H709" s="198"/>
      <c r="I709" s="403"/>
      <c r="J709" s="198"/>
      <c r="K709" s="403"/>
      <c r="L709" s="198"/>
      <c r="M709" s="403"/>
      <c r="N709" s="198"/>
      <c r="O709" s="403"/>
      <c r="P709" s="198"/>
      <c r="Q709" s="357"/>
      <c r="R709" s="357"/>
      <c r="S709" s="403"/>
      <c r="T709" s="198"/>
      <c r="U709" s="403"/>
      <c r="V709" s="19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03"/>
      <c r="B710" s="198"/>
      <c r="C710" s="403"/>
      <c r="D710" s="198"/>
      <c r="E710" s="403"/>
      <c r="F710" s="198"/>
      <c r="G710" s="403"/>
      <c r="H710" s="198"/>
      <c r="I710" s="403"/>
      <c r="J710" s="198"/>
      <c r="K710" s="403"/>
      <c r="L710" s="198"/>
      <c r="M710" s="403"/>
      <c r="N710" s="198"/>
      <c r="O710" s="403"/>
      <c r="P710" s="198"/>
      <c r="Q710" s="357"/>
      <c r="R710" s="357"/>
      <c r="S710" s="403"/>
      <c r="T710" s="198"/>
      <c r="U710" s="403"/>
      <c r="V710" s="19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03"/>
      <c r="B711" s="198"/>
      <c r="C711" s="403"/>
      <c r="D711" s="198"/>
      <c r="E711" s="403"/>
      <c r="F711" s="198"/>
      <c r="G711" s="403"/>
      <c r="H711" s="198"/>
      <c r="I711" s="403"/>
      <c r="J711" s="198"/>
      <c r="K711" s="403"/>
      <c r="L711" s="198"/>
      <c r="M711" s="403"/>
      <c r="N711" s="198"/>
      <c r="O711" s="403"/>
      <c r="P711" s="198"/>
      <c r="Q711" s="357"/>
      <c r="R711" s="357"/>
      <c r="S711" s="403"/>
      <c r="T711" s="198"/>
      <c r="U711" s="403"/>
      <c r="V711" s="19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03"/>
      <c r="B712" s="198"/>
      <c r="C712" s="403"/>
      <c r="D712" s="198"/>
      <c r="E712" s="403"/>
      <c r="F712" s="198"/>
      <c r="G712" s="403"/>
      <c r="H712" s="198"/>
      <c r="I712" s="403"/>
      <c r="J712" s="198"/>
      <c r="K712" s="403"/>
      <c r="L712" s="198"/>
      <c r="M712" s="403"/>
      <c r="N712" s="198"/>
      <c r="O712" s="403"/>
      <c r="P712" s="198"/>
      <c r="Q712" s="357"/>
      <c r="R712" s="357"/>
      <c r="S712" s="403"/>
      <c r="T712" s="198"/>
      <c r="U712" s="403"/>
      <c r="V712" s="19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03"/>
      <c r="B713" s="198"/>
      <c r="C713" s="403"/>
      <c r="D713" s="198"/>
      <c r="E713" s="403"/>
      <c r="F713" s="198"/>
      <c r="G713" s="403"/>
      <c r="H713" s="198"/>
      <c r="I713" s="403"/>
      <c r="J713" s="198"/>
      <c r="K713" s="403"/>
      <c r="L713" s="198"/>
      <c r="M713" s="403"/>
      <c r="N713" s="198"/>
      <c r="O713" s="403"/>
      <c r="P713" s="198"/>
      <c r="Q713" s="357"/>
      <c r="R713" s="357"/>
      <c r="S713" s="403"/>
      <c r="T713" s="198"/>
      <c r="U713" s="403"/>
      <c r="V713" s="19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03"/>
      <c r="B714" s="198"/>
      <c r="C714" s="403"/>
      <c r="D714" s="198"/>
      <c r="E714" s="403"/>
      <c r="F714" s="198"/>
      <c r="G714" s="403"/>
      <c r="H714" s="198"/>
      <c r="I714" s="403"/>
      <c r="J714" s="198"/>
      <c r="K714" s="403"/>
      <c r="L714" s="198"/>
      <c r="M714" s="403"/>
      <c r="N714" s="198"/>
      <c r="O714" s="403"/>
      <c r="P714" s="198"/>
      <c r="Q714" s="357"/>
      <c r="R714" s="357"/>
      <c r="S714" s="403"/>
      <c r="T714" s="198"/>
      <c r="U714" s="403"/>
      <c r="V714" s="19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03"/>
      <c r="B715" s="198"/>
      <c r="C715" s="403"/>
      <c r="D715" s="198"/>
      <c r="E715" s="403"/>
      <c r="F715" s="198"/>
      <c r="G715" s="403"/>
      <c r="H715" s="198"/>
      <c r="I715" s="403"/>
      <c r="J715" s="198"/>
      <c r="K715" s="403"/>
      <c r="L715" s="198"/>
      <c r="M715" s="403"/>
      <c r="N715" s="198"/>
      <c r="O715" s="403"/>
      <c r="P715" s="198"/>
      <c r="Q715" s="357"/>
      <c r="R715" s="357"/>
      <c r="S715" s="403"/>
      <c r="T715" s="198"/>
      <c r="U715" s="403"/>
      <c r="V715" s="19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03"/>
      <c r="B716" s="198"/>
      <c r="C716" s="403"/>
      <c r="D716" s="198"/>
      <c r="E716" s="403"/>
      <c r="F716" s="198"/>
      <c r="G716" s="403"/>
      <c r="H716" s="198"/>
      <c r="I716" s="403"/>
      <c r="J716" s="198"/>
      <c r="K716" s="403"/>
      <c r="L716" s="198"/>
      <c r="M716" s="403"/>
      <c r="N716" s="198"/>
      <c r="O716" s="403"/>
      <c r="P716" s="198"/>
      <c r="Q716" s="357"/>
      <c r="R716" s="357"/>
      <c r="S716" s="403"/>
      <c r="T716" s="198"/>
      <c r="U716" s="403"/>
      <c r="V716" s="19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03"/>
      <c r="B717" s="198"/>
      <c r="C717" s="403"/>
      <c r="D717" s="198"/>
      <c r="E717" s="403"/>
      <c r="F717" s="198"/>
      <c r="G717" s="403"/>
      <c r="H717" s="198"/>
      <c r="I717" s="403"/>
      <c r="J717" s="198"/>
      <c r="K717" s="403"/>
      <c r="L717" s="198"/>
      <c r="M717" s="403"/>
      <c r="N717" s="198"/>
      <c r="O717" s="403"/>
      <c r="P717" s="198"/>
      <c r="Q717" s="357"/>
      <c r="R717" s="357"/>
      <c r="S717" s="403"/>
      <c r="T717" s="198"/>
      <c r="U717" s="403"/>
      <c r="V717" s="19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03"/>
      <c r="B718" s="198"/>
      <c r="C718" s="403"/>
      <c r="D718" s="198"/>
      <c r="E718" s="403"/>
      <c r="F718" s="198"/>
      <c r="G718" s="403"/>
      <c r="H718" s="198"/>
      <c r="I718" s="403"/>
      <c r="J718" s="198"/>
      <c r="K718" s="403"/>
      <c r="L718" s="198"/>
      <c r="M718" s="403"/>
      <c r="N718" s="198"/>
      <c r="O718" s="403"/>
      <c r="P718" s="198"/>
      <c r="Q718" s="357"/>
      <c r="R718" s="357"/>
      <c r="S718" s="403"/>
      <c r="T718" s="198"/>
      <c r="U718" s="403"/>
      <c r="V718" s="19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03"/>
      <c r="B719" s="198"/>
      <c r="C719" s="403"/>
      <c r="D719" s="198"/>
      <c r="E719" s="403"/>
      <c r="F719" s="198"/>
      <c r="G719" s="403"/>
      <c r="H719" s="198"/>
      <c r="I719" s="403"/>
      <c r="J719" s="198"/>
      <c r="K719" s="403"/>
      <c r="L719" s="198"/>
      <c r="M719" s="403"/>
      <c r="N719" s="198"/>
      <c r="O719" s="403"/>
      <c r="P719" s="198"/>
      <c r="Q719" s="357"/>
      <c r="R719" s="357"/>
      <c r="S719" s="403"/>
      <c r="T719" s="198"/>
      <c r="U719" s="403"/>
      <c r="V719" s="19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03"/>
      <c r="B720" s="198"/>
      <c r="C720" s="403"/>
      <c r="D720" s="198"/>
      <c r="E720" s="403"/>
      <c r="F720" s="198"/>
      <c r="G720" s="403"/>
      <c r="H720" s="198"/>
      <c r="I720" s="403"/>
      <c r="J720" s="198"/>
      <c r="K720" s="403"/>
      <c r="L720" s="198"/>
      <c r="M720" s="403"/>
      <c r="N720" s="198"/>
      <c r="O720" s="403"/>
      <c r="P720" s="198"/>
      <c r="Q720" s="357"/>
      <c r="R720" s="357"/>
      <c r="S720" s="403"/>
      <c r="T720" s="198"/>
      <c r="U720" s="403"/>
      <c r="V720" s="19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03"/>
      <c r="B721" s="198"/>
      <c r="C721" s="403"/>
      <c r="D721" s="198"/>
      <c r="E721" s="403"/>
      <c r="F721" s="198"/>
      <c r="G721" s="403"/>
      <c r="H721" s="198"/>
      <c r="I721" s="403"/>
      <c r="J721" s="198"/>
      <c r="K721" s="403"/>
      <c r="L721" s="198"/>
      <c r="M721" s="403"/>
      <c r="N721" s="198"/>
      <c r="O721" s="403"/>
      <c r="P721" s="198"/>
      <c r="Q721" s="357"/>
      <c r="R721" s="357"/>
      <c r="S721" s="403"/>
      <c r="T721" s="198"/>
      <c r="U721" s="403"/>
      <c r="V721" s="19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03"/>
      <c r="B722" s="198"/>
      <c r="C722" s="403"/>
      <c r="D722" s="198"/>
      <c r="E722" s="403"/>
      <c r="F722" s="198"/>
      <c r="G722" s="403"/>
      <c r="H722" s="198"/>
      <c r="I722" s="403"/>
      <c r="J722" s="198"/>
      <c r="K722" s="403"/>
      <c r="L722" s="198"/>
      <c r="M722" s="403"/>
      <c r="N722" s="198"/>
      <c r="O722" s="403"/>
      <c r="P722" s="198"/>
      <c r="Q722" s="357"/>
      <c r="R722" s="357"/>
      <c r="S722" s="403"/>
      <c r="T722" s="198"/>
      <c r="U722" s="403"/>
      <c r="V722" s="19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03"/>
      <c r="B723" s="198"/>
      <c r="C723" s="403"/>
      <c r="D723" s="198"/>
      <c r="E723" s="403"/>
      <c r="F723" s="198"/>
      <c r="G723" s="403"/>
      <c r="H723" s="198"/>
      <c r="I723" s="403"/>
      <c r="J723" s="198"/>
      <c r="K723" s="403"/>
      <c r="L723" s="198"/>
      <c r="M723" s="403"/>
      <c r="N723" s="198"/>
      <c r="O723" s="403"/>
      <c r="P723" s="198"/>
      <c r="Q723" s="357"/>
      <c r="R723" s="357"/>
      <c r="S723" s="403"/>
      <c r="T723" s="198"/>
      <c r="U723" s="403"/>
      <c r="V723" s="19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03"/>
      <c r="B724" s="198"/>
      <c r="C724" s="403"/>
      <c r="D724" s="198"/>
      <c r="E724" s="403"/>
      <c r="F724" s="198"/>
      <c r="G724" s="403"/>
      <c r="H724" s="198"/>
      <c r="I724" s="403"/>
      <c r="J724" s="198"/>
      <c r="K724" s="403"/>
      <c r="L724" s="198"/>
      <c r="M724" s="403"/>
      <c r="N724" s="198"/>
      <c r="O724" s="403"/>
      <c r="P724" s="198"/>
      <c r="Q724" s="357"/>
      <c r="R724" s="357"/>
      <c r="S724" s="403"/>
      <c r="T724" s="198"/>
      <c r="U724" s="403"/>
      <c r="V724" s="19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03"/>
      <c r="B725" s="198"/>
      <c r="C725" s="403"/>
      <c r="D725" s="198"/>
      <c r="E725" s="403"/>
      <c r="F725" s="198"/>
      <c r="G725" s="403"/>
      <c r="H725" s="198"/>
      <c r="I725" s="403"/>
      <c r="J725" s="198"/>
      <c r="K725" s="403"/>
      <c r="L725" s="198"/>
      <c r="M725" s="403"/>
      <c r="N725" s="198"/>
      <c r="O725" s="403"/>
      <c r="P725" s="198"/>
      <c r="Q725" s="357"/>
      <c r="R725" s="357"/>
      <c r="S725" s="403"/>
      <c r="T725" s="198"/>
      <c r="U725" s="403"/>
      <c r="V725" s="19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03"/>
      <c r="B726" s="198"/>
      <c r="C726" s="403"/>
      <c r="D726" s="198"/>
      <c r="E726" s="403"/>
      <c r="F726" s="198"/>
      <c r="G726" s="403"/>
      <c r="H726" s="198"/>
      <c r="I726" s="403"/>
      <c r="J726" s="198"/>
      <c r="K726" s="403"/>
      <c r="L726" s="198"/>
      <c r="M726" s="403"/>
      <c r="N726" s="198"/>
      <c r="O726" s="403"/>
      <c r="P726" s="198"/>
      <c r="Q726" s="357"/>
      <c r="R726" s="357"/>
      <c r="S726" s="403"/>
      <c r="T726" s="198"/>
      <c r="U726" s="403"/>
      <c r="V726" s="19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03"/>
      <c r="B727" s="198"/>
      <c r="C727" s="403"/>
      <c r="D727" s="198"/>
      <c r="E727" s="403"/>
      <c r="F727" s="198"/>
      <c r="G727" s="403"/>
      <c r="H727" s="198"/>
      <c r="I727" s="403"/>
      <c r="J727" s="198"/>
      <c r="K727" s="403"/>
      <c r="L727" s="198"/>
      <c r="M727" s="403"/>
      <c r="N727" s="198"/>
      <c r="O727" s="403"/>
      <c r="P727" s="198"/>
      <c r="Q727" s="357"/>
      <c r="R727" s="357"/>
      <c r="S727" s="403"/>
      <c r="T727" s="198"/>
      <c r="U727" s="403"/>
      <c r="V727" s="19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03"/>
      <c r="B728" s="198"/>
      <c r="C728" s="403"/>
      <c r="D728" s="198"/>
      <c r="E728" s="403"/>
      <c r="F728" s="198"/>
      <c r="G728" s="403"/>
      <c r="H728" s="198"/>
      <c r="I728" s="403"/>
      <c r="J728" s="198"/>
      <c r="K728" s="403"/>
      <c r="L728" s="198"/>
      <c r="M728" s="403"/>
      <c r="N728" s="198"/>
      <c r="O728" s="403"/>
      <c r="P728" s="198"/>
      <c r="Q728" s="357"/>
      <c r="R728" s="357"/>
      <c r="S728" s="403"/>
      <c r="T728" s="198"/>
      <c r="U728" s="403"/>
      <c r="V728" s="19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03"/>
      <c r="B729" s="198"/>
      <c r="C729" s="403"/>
      <c r="D729" s="198"/>
      <c r="E729" s="403"/>
      <c r="F729" s="198"/>
      <c r="G729" s="403"/>
      <c r="H729" s="198"/>
      <c r="I729" s="403"/>
      <c r="J729" s="198"/>
      <c r="K729" s="403"/>
      <c r="L729" s="198"/>
      <c r="M729" s="403"/>
      <c r="N729" s="198"/>
      <c r="O729" s="403"/>
      <c r="P729" s="198"/>
      <c r="Q729" s="357"/>
      <c r="R729" s="357"/>
      <c r="S729" s="403"/>
      <c r="T729" s="198"/>
      <c r="U729" s="403"/>
      <c r="V729" s="19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03"/>
      <c r="B730" s="198"/>
      <c r="C730" s="403"/>
      <c r="D730" s="198"/>
      <c r="E730" s="403"/>
      <c r="F730" s="198"/>
      <c r="G730" s="403"/>
      <c r="H730" s="198"/>
      <c r="I730" s="403"/>
      <c r="J730" s="198"/>
      <c r="K730" s="403"/>
      <c r="L730" s="198"/>
      <c r="M730" s="403"/>
      <c r="N730" s="198"/>
      <c r="O730" s="403"/>
      <c r="P730" s="198"/>
      <c r="Q730" s="357"/>
      <c r="R730" s="357"/>
      <c r="S730" s="403"/>
      <c r="T730" s="198"/>
      <c r="U730" s="403"/>
      <c r="V730" s="19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03"/>
      <c r="B731" s="198"/>
      <c r="C731" s="403"/>
      <c r="D731" s="198"/>
      <c r="E731" s="403"/>
      <c r="F731" s="198"/>
      <c r="G731" s="403"/>
      <c r="H731" s="198"/>
      <c r="I731" s="403"/>
      <c r="J731" s="198"/>
      <c r="K731" s="403"/>
      <c r="L731" s="198"/>
      <c r="M731" s="403"/>
      <c r="N731" s="198"/>
      <c r="O731" s="403"/>
      <c r="P731" s="198"/>
      <c r="Q731" s="357"/>
      <c r="R731" s="357"/>
      <c r="S731" s="403"/>
      <c r="T731" s="198"/>
      <c r="U731" s="403"/>
      <c r="V731" s="19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03"/>
      <c r="B732" s="198"/>
      <c r="C732" s="403"/>
      <c r="D732" s="198"/>
      <c r="E732" s="403"/>
      <c r="F732" s="198"/>
      <c r="G732" s="403"/>
      <c r="H732" s="198"/>
      <c r="I732" s="403"/>
      <c r="J732" s="198"/>
      <c r="K732" s="403"/>
      <c r="L732" s="198"/>
      <c r="M732" s="403"/>
      <c r="N732" s="198"/>
      <c r="O732" s="403"/>
      <c r="P732" s="198"/>
      <c r="Q732" s="357"/>
      <c r="R732" s="357"/>
      <c r="S732" s="403"/>
      <c r="T732" s="198"/>
      <c r="U732" s="403"/>
      <c r="V732" s="19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03"/>
      <c r="B733" s="198"/>
      <c r="C733" s="403"/>
      <c r="D733" s="198"/>
      <c r="E733" s="403"/>
      <c r="F733" s="198"/>
      <c r="G733" s="403"/>
      <c r="H733" s="198"/>
      <c r="I733" s="403"/>
      <c r="J733" s="198"/>
      <c r="K733" s="403"/>
      <c r="L733" s="198"/>
      <c r="M733" s="403"/>
      <c r="N733" s="198"/>
      <c r="O733" s="403"/>
      <c r="P733" s="198"/>
      <c r="Q733" s="357"/>
      <c r="R733" s="357"/>
      <c r="S733" s="403"/>
      <c r="T733" s="198"/>
      <c r="U733" s="403"/>
      <c r="V733" s="19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03"/>
      <c r="B734" s="198"/>
      <c r="C734" s="403"/>
      <c r="D734" s="198"/>
      <c r="E734" s="403"/>
      <c r="F734" s="198"/>
      <c r="G734" s="403"/>
      <c r="H734" s="198"/>
      <c r="I734" s="403"/>
      <c r="J734" s="198"/>
      <c r="K734" s="403"/>
      <c r="L734" s="198"/>
      <c r="M734" s="403"/>
      <c r="N734" s="198"/>
      <c r="O734" s="403"/>
      <c r="P734" s="198"/>
      <c r="Q734" s="357"/>
      <c r="R734" s="357"/>
      <c r="S734" s="403"/>
      <c r="T734" s="198"/>
      <c r="U734" s="403"/>
      <c r="V734" s="19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03"/>
      <c r="B735" s="198"/>
      <c r="C735" s="403"/>
      <c r="D735" s="198"/>
      <c r="E735" s="403"/>
      <c r="F735" s="198"/>
      <c r="G735" s="403"/>
      <c r="H735" s="198"/>
      <c r="I735" s="403"/>
      <c r="J735" s="198"/>
      <c r="K735" s="403"/>
      <c r="L735" s="198"/>
      <c r="M735" s="403"/>
      <c r="N735" s="198"/>
      <c r="O735" s="403"/>
      <c r="P735" s="198"/>
      <c r="Q735" s="357"/>
      <c r="R735" s="357"/>
      <c r="S735" s="403"/>
      <c r="T735" s="198"/>
      <c r="U735" s="403"/>
      <c r="V735" s="19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03"/>
      <c r="B736" s="198"/>
      <c r="C736" s="403"/>
      <c r="D736" s="198"/>
      <c r="E736" s="403"/>
      <c r="F736" s="198"/>
      <c r="G736" s="403"/>
      <c r="H736" s="198"/>
      <c r="I736" s="403"/>
      <c r="J736" s="198"/>
      <c r="K736" s="403"/>
      <c r="L736" s="198"/>
      <c r="M736" s="403"/>
      <c r="N736" s="198"/>
      <c r="O736" s="403"/>
      <c r="P736" s="198"/>
      <c r="Q736" s="357"/>
      <c r="R736" s="357"/>
      <c r="S736" s="403"/>
      <c r="T736" s="198"/>
      <c r="U736" s="403"/>
      <c r="V736" s="19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03"/>
      <c r="B737" s="198"/>
      <c r="C737" s="403"/>
      <c r="D737" s="198"/>
      <c r="E737" s="403"/>
      <c r="F737" s="198"/>
      <c r="G737" s="403"/>
      <c r="H737" s="198"/>
      <c r="I737" s="403"/>
      <c r="J737" s="198"/>
      <c r="K737" s="403"/>
      <c r="L737" s="198"/>
      <c r="M737" s="403"/>
      <c r="N737" s="198"/>
      <c r="O737" s="403"/>
      <c r="P737" s="198"/>
      <c r="Q737" s="357"/>
      <c r="R737" s="357"/>
      <c r="S737" s="403"/>
      <c r="T737" s="198"/>
      <c r="U737" s="403"/>
      <c r="V737" s="19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03"/>
      <c r="B738" s="198"/>
      <c r="C738" s="403"/>
      <c r="D738" s="198"/>
      <c r="E738" s="403"/>
      <c r="F738" s="198"/>
      <c r="G738" s="403"/>
      <c r="H738" s="198"/>
      <c r="I738" s="403"/>
      <c r="J738" s="198"/>
      <c r="K738" s="403"/>
      <c r="L738" s="198"/>
      <c r="M738" s="403"/>
      <c r="N738" s="198"/>
      <c r="O738" s="403"/>
      <c r="P738" s="198"/>
      <c r="Q738" s="357"/>
      <c r="R738" s="357"/>
      <c r="S738" s="403"/>
      <c r="T738" s="198"/>
      <c r="U738" s="403"/>
      <c r="V738" s="19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03"/>
      <c r="B739" s="198"/>
      <c r="C739" s="403"/>
      <c r="D739" s="198"/>
      <c r="E739" s="403"/>
      <c r="F739" s="198"/>
      <c r="G739" s="403"/>
      <c r="H739" s="198"/>
      <c r="I739" s="403"/>
      <c r="J739" s="198"/>
      <c r="K739" s="403"/>
      <c r="L739" s="198"/>
      <c r="M739" s="403"/>
      <c r="N739" s="198"/>
      <c r="O739" s="403"/>
      <c r="P739" s="198"/>
      <c r="Q739" s="357"/>
      <c r="R739" s="357"/>
      <c r="S739" s="403"/>
      <c r="T739" s="198"/>
      <c r="U739" s="403"/>
      <c r="V739" s="19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03"/>
      <c r="B740" s="198"/>
      <c r="C740" s="403"/>
      <c r="D740" s="198"/>
      <c r="E740" s="403"/>
      <c r="F740" s="198"/>
      <c r="G740" s="403"/>
      <c r="H740" s="198"/>
      <c r="I740" s="403"/>
      <c r="J740" s="198"/>
      <c r="K740" s="403"/>
      <c r="L740" s="198"/>
      <c r="M740" s="403"/>
      <c r="N740" s="198"/>
      <c r="O740" s="403"/>
      <c r="P740" s="198"/>
      <c r="Q740" s="357"/>
      <c r="R740" s="357"/>
      <c r="S740" s="403"/>
      <c r="T740" s="198"/>
      <c r="U740" s="403"/>
      <c r="V740" s="19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03"/>
      <c r="B741" s="198"/>
      <c r="C741" s="403"/>
      <c r="D741" s="198"/>
      <c r="E741" s="403"/>
      <c r="F741" s="198"/>
      <c r="G741" s="403"/>
      <c r="H741" s="198"/>
      <c r="I741" s="403"/>
      <c r="J741" s="198"/>
      <c r="K741" s="403"/>
      <c r="L741" s="198"/>
      <c r="M741" s="403"/>
      <c r="N741" s="198"/>
      <c r="O741" s="403"/>
      <c r="P741" s="198"/>
      <c r="Q741" s="357"/>
      <c r="R741" s="357"/>
      <c r="S741" s="403"/>
      <c r="T741" s="198"/>
      <c r="U741" s="403"/>
      <c r="V741" s="19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03"/>
      <c r="B742" s="198"/>
      <c r="C742" s="403"/>
      <c r="D742" s="198"/>
      <c r="E742" s="403"/>
      <c r="F742" s="198"/>
      <c r="G742" s="403"/>
      <c r="H742" s="198"/>
      <c r="I742" s="403"/>
      <c r="J742" s="198"/>
      <c r="K742" s="403"/>
      <c r="L742" s="198"/>
      <c r="M742" s="403"/>
      <c r="N742" s="198"/>
      <c r="O742" s="403"/>
      <c r="P742" s="198"/>
      <c r="Q742" s="357"/>
      <c r="R742" s="357"/>
      <c r="S742" s="403"/>
      <c r="T742" s="198"/>
      <c r="U742" s="403"/>
      <c r="V742" s="19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03"/>
      <c r="B743" s="198"/>
      <c r="C743" s="403"/>
      <c r="D743" s="198"/>
      <c r="E743" s="403"/>
      <c r="F743" s="198"/>
      <c r="G743" s="403"/>
      <c r="H743" s="198"/>
      <c r="I743" s="403"/>
      <c r="J743" s="198"/>
      <c r="K743" s="403"/>
      <c r="L743" s="198"/>
      <c r="M743" s="403"/>
      <c r="N743" s="198"/>
      <c r="O743" s="403"/>
      <c r="P743" s="198"/>
      <c r="Q743" s="357"/>
      <c r="R743" s="357"/>
      <c r="S743" s="403"/>
      <c r="T743" s="198"/>
      <c r="U743" s="403"/>
      <c r="V743" s="19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03"/>
      <c r="B744" s="198"/>
      <c r="C744" s="403"/>
      <c r="D744" s="198"/>
      <c r="E744" s="403"/>
      <c r="F744" s="198"/>
      <c r="G744" s="403"/>
      <c r="H744" s="198"/>
      <c r="I744" s="403"/>
      <c r="J744" s="198"/>
      <c r="K744" s="403"/>
      <c r="L744" s="198"/>
      <c r="M744" s="403"/>
      <c r="N744" s="198"/>
      <c r="O744" s="403"/>
      <c r="P744" s="198"/>
      <c r="Q744" s="357"/>
      <c r="R744" s="357"/>
      <c r="S744" s="403"/>
      <c r="T744" s="198"/>
      <c r="U744" s="403"/>
      <c r="V744" s="19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03"/>
      <c r="B745" s="198"/>
      <c r="C745" s="403"/>
      <c r="D745" s="198"/>
      <c r="E745" s="403"/>
      <c r="F745" s="198"/>
      <c r="G745" s="403"/>
      <c r="H745" s="198"/>
      <c r="I745" s="403"/>
      <c r="J745" s="198"/>
      <c r="K745" s="403"/>
      <c r="L745" s="198"/>
      <c r="M745" s="403"/>
      <c r="N745" s="198"/>
      <c r="O745" s="403"/>
      <c r="P745" s="198"/>
      <c r="Q745" s="357"/>
      <c r="R745" s="357"/>
      <c r="S745" s="403"/>
      <c r="T745" s="198"/>
      <c r="U745" s="403"/>
      <c r="V745" s="19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03"/>
      <c r="B746" s="198"/>
      <c r="C746" s="403"/>
      <c r="D746" s="198"/>
      <c r="E746" s="403"/>
      <c r="F746" s="198"/>
      <c r="G746" s="403"/>
      <c r="H746" s="198"/>
      <c r="I746" s="403"/>
      <c r="J746" s="198"/>
      <c r="K746" s="403"/>
      <c r="L746" s="198"/>
      <c r="M746" s="403"/>
      <c r="N746" s="198"/>
      <c r="O746" s="403"/>
      <c r="P746" s="198"/>
      <c r="Q746" s="357"/>
      <c r="R746" s="357"/>
      <c r="S746" s="403"/>
      <c r="T746" s="198"/>
      <c r="U746" s="403"/>
      <c r="V746" s="19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03"/>
      <c r="B747" s="198"/>
      <c r="C747" s="403"/>
      <c r="D747" s="198"/>
      <c r="E747" s="403"/>
      <c r="F747" s="198"/>
      <c r="G747" s="403"/>
      <c r="H747" s="198"/>
      <c r="I747" s="403"/>
      <c r="J747" s="198"/>
      <c r="K747" s="403"/>
      <c r="L747" s="198"/>
      <c r="M747" s="403"/>
      <c r="N747" s="198"/>
      <c r="O747" s="403"/>
      <c r="P747" s="198"/>
      <c r="Q747" s="357"/>
      <c r="R747" s="357"/>
      <c r="S747" s="403"/>
      <c r="T747" s="198"/>
      <c r="U747" s="403"/>
      <c r="V747" s="19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03"/>
      <c r="B748" s="198"/>
      <c r="C748" s="403"/>
      <c r="D748" s="198"/>
      <c r="E748" s="403"/>
      <c r="F748" s="198"/>
      <c r="G748" s="403"/>
      <c r="H748" s="198"/>
      <c r="I748" s="403"/>
      <c r="J748" s="198"/>
      <c r="K748" s="403"/>
      <c r="L748" s="198"/>
      <c r="M748" s="403"/>
      <c r="N748" s="198"/>
      <c r="O748" s="403"/>
      <c r="P748" s="198"/>
      <c r="Q748" s="357"/>
      <c r="R748" s="357"/>
      <c r="S748" s="403"/>
      <c r="T748" s="198"/>
      <c r="U748" s="403"/>
      <c r="V748" s="19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03"/>
      <c r="B749" s="198"/>
      <c r="C749" s="403"/>
      <c r="D749" s="198"/>
      <c r="E749" s="403"/>
      <c r="F749" s="198"/>
      <c r="G749" s="403"/>
      <c r="H749" s="198"/>
      <c r="I749" s="403"/>
      <c r="J749" s="198"/>
      <c r="K749" s="403"/>
      <c r="L749" s="198"/>
      <c r="M749" s="403"/>
      <c r="N749" s="198"/>
      <c r="O749" s="403"/>
      <c r="P749" s="198"/>
      <c r="Q749" s="357"/>
      <c r="R749" s="357"/>
      <c r="S749" s="403"/>
      <c r="T749" s="198"/>
      <c r="U749" s="403"/>
      <c r="V749" s="19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03"/>
      <c r="B750" s="198"/>
      <c r="C750" s="403"/>
      <c r="D750" s="198"/>
      <c r="E750" s="403"/>
      <c r="F750" s="198"/>
      <c r="G750" s="403"/>
      <c r="H750" s="198"/>
      <c r="I750" s="403"/>
      <c r="J750" s="198"/>
      <c r="K750" s="403"/>
      <c r="L750" s="198"/>
      <c r="M750" s="403"/>
      <c r="N750" s="198"/>
      <c r="O750" s="403"/>
      <c r="P750" s="198"/>
      <c r="Q750" s="357"/>
      <c r="R750" s="357"/>
      <c r="S750" s="403"/>
      <c r="T750" s="198"/>
      <c r="U750" s="403"/>
      <c r="V750" s="19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03"/>
      <c r="B751" s="198"/>
      <c r="C751" s="403"/>
      <c r="D751" s="198"/>
      <c r="E751" s="403"/>
      <c r="F751" s="198"/>
      <c r="G751" s="403"/>
      <c r="H751" s="198"/>
      <c r="I751" s="403"/>
      <c r="J751" s="198"/>
      <c r="K751" s="403"/>
      <c r="L751" s="198"/>
      <c r="M751" s="403"/>
      <c r="N751" s="198"/>
      <c r="O751" s="403"/>
      <c r="P751" s="198"/>
      <c r="Q751" s="357"/>
      <c r="R751" s="357"/>
      <c r="S751" s="403"/>
      <c r="T751" s="198"/>
      <c r="U751" s="403"/>
      <c r="V751" s="19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03"/>
      <c r="B752" s="198"/>
      <c r="C752" s="403"/>
      <c r="D752" s="198"/>
      <c r="E752" s="403"/>
      <c r="F752" s="198"/>
      <c r="G752" s="403"/>
      <c r="H752" s="198"/>
      <c r="I752" s="403"/>
      <c r="J752" s="198"/>
      <c r="K752" s="403"/>
      <c r="L752" s="198"/>
      <c r="M752" s="403"/>
      <c r="N752" s="198"/>
      <c r="O752" s="403"/>
      <c r="P752" s="198"/>
      <c r="Q752" s="357"/>
      <c r="R752" s="357"/>
      <c r="S752" s="403"/>
      <c r="T752" s="198"/>
      <c r="U752" s="403"/>
      <c r="V752" s="19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03"/>
      <c r="B753" s="198"/>
      <c r="C753" s="403"/>
      <c r="D753" s="198"/>
      <c r="E753" s="403"/>
      <c r="F753" s="198"/>
      <c r="G753" s="403"/>
      <c r="H753" s="198"/>
      <c r="I753" s="403"/>
      <c r="J753" s="198"/>
      <c r="K753" s="403"/>
      <c r="L753" s="198"/>
      <c r="M753" s="403"/>
      <c r="N753" s="198"/>
      <c r="O753" s="403"/>
      <c r="P753" s="198"/>
      <c r="Q753" s="357"/>
      <c r="R753" s="357"/>
      <c r="S753" s="403"/>
      <c r="T753" s="198"/>
      <c r="U753" s="403"/>
      <c r="V753" s="19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03"/>
      <c r="B754" s="198"/>
      <c r="C754" s="403"/>
      <c r="D754" s="198"/>
      <c r="E754" s="403"/>
      <c r="F754" s="198"/>
      <c r="G754" s="403"/>
      <c r="H754" s="198"/>
      <c r="I754" s="403"/>
      <c r="J754" s="198"/>
      <c r="K754" s="403"/>
      <c r="L754" s="198"/>
      <c r="M754" s="403"/>
      <c r="N754" s="198"/>
      <c r="O754" s="403"/>
      <c r="P754" s="198"/>
      <c r="Q754" s="357"/>
      <c r="R754" s="357"/>
      <c r="S754" s="403"/>
      <c r="T754" s="198"/>
      <c r="U754" s="403"/>
      <c r="V754" s="19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03"/>
      <c r="B755" s="198"/>
      <c r="C755" s="403"/>
      <c r="D755" s="198"/>
      <c r="E755" s="403"/>
      <c r="F755" s="198"/>
      <c r="G755" s="403"/>
      <c r="H755" s="198"/>
      <c r="I755" s="403"/>
      <c r="J755" s="198"/>
      <c r="K755" s="403"/>
      <c r="L755" s="198"/>
      <c r="M755" s="403"/>
      <c r="N755" s="198"/>
      <c r="O755" s="403"/>
      <c r="P755" s="198"/>
      <c r="Q755" s="357"/>
      <c r="R755" s="357"/>
      <c r="S755" s="403"/>
      <c r="T755" s="198"/>
      <c r="U755" s="403"/>
      <c r="V755" s="19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03"/>
      <c r="B756" s="198"/>
      <c r="C756" s="403"/>
      <c r="D756" s="198"/>
      <c r="E756" s="403"/>
      <c r="F756" s="198"/>
      <c r="G756" s="403"/>
      <c r="H756" s="198"/>
      <c r="I756" s="403"/>
      <c r="J756" s="198"/>
      <c r="K756" s="403"/>
      <c r="L756" s="198"/>
      <c r="M756" s="403"/>
      <c r="N756" s="198"/>
      <c r="O756" s="403"/>
      <c r="P756" s="198"/>
      <c r="Q756" s="357"/>
      <c r="R756" s="357"/>
      <c r="S756" s="403"/>
      <c r="T756" s="198"/>
      <c r="U756" s="403"/>
      <c r="V756" s="19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03"/>
      <c r="B757" s="198"/>
      <c r="C757" s="403"/>
      <c r="D757" s="198"/>
      <c r="E757" s="403"/>
      <c r="F757" s="198"/>
      <c r="G757" s="403"/>
      <c r="H757" s="198"/>
      <c r="I757" s="403"/>
      <c r="J757" s="198"/>
      <c r="K757" s="403"/>
      <c r="L757" s="198"/>
      <c r="M757" s="403"/>
      <c r="N757" s="198"/>
      <c r="O757" s="403"/>
      <c r="P757" s="198"/>
      <c r="Q757" s="357"/>
      <c r="R757" s="357"/>
      <c r="S757" s="403"/>
      <c r="T757" s="198"/>
      <c r="U757" s="403"/>
      <c r="V757" s="19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03"/>
      <c r="B758" s="198"/>
      <c r="C758" s="403"/>
      <c r="D758" s="198"/>
      <c r="E758" s="403"/>
      <c r="F758" s="198"/>
      <c r="G758" s="403"/>
      <c r="H758" s="198"/>
      <c r="I758" s="403"/>
      <c r="J758" s="198"/>
      <c r="K758" s="403"/>
      <c r="L758" s="198"/>
      <c r="M758" s="403"/>
      <c r="N758" s="198"/>
      <c r="O758" s="403"/>
      <c r="P758" s="198"/>
      <c r="Q758" s="357"/>
      <c r="R758" s="357"/>
      <c r="S758" s="403"/>
      <c r="T758" s="198"/>
      <c r="U758" s="403"/>
      <c r="V758" s="19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03"/>
      <c r="B759" s="198"/>
      <c r="C759" s="403"/>
      <c r="D759" s="198"/>
      <c r="E759" s="403"/>
      <c r="F759" s="198"/>
      <c r="G759" s="403"/>
      <c r="H759" s="198"/>
      <c r="I759" s="403"/>
      <c r="J759" s="198"/>
      <c r="K759" s="403"/>
      <c r="L759" s="198"/>
      <c r="M759" s="403"/>
      <c r="N759" s="198"/>
      <c r="O759" s="403"/>
      <c r="P759" s="198"/>
      <c r="Q759" s="357"/>
      <c r="R759" s="357"/>
      <c r="S759" s="403"/>
      <c r="T759" s="198"/>
      <c r="U759" s="403"/>
      <c r="V759" s="19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03"/>
      <c r="B760" s="198"/>
      <c r="C760" s="403"/>
      <c r="D760" s="198"/>
      <c r="E760" s="403"/>
      <c r="F760" s="198"/>
      <c r="G760" s="403"/>
      <c r="H760" s="198"/>
      <c r="I760" s="403"/>
      <c r="J760" s="198"/>
      <c r="K760" s="403"/>
      <c r="L760" s="198"/>
      <c r="M760" s="403"/>
      <c r="N760" s="198"/>
      <c r="O760" s="403"/>
      <c r="P760" s="198"/>
      <c r="Q760" s="357"/>
      <c r="R760" s="357"/>
      <c r="S760" s="403"/>
      <c r="T760" s="198"/>
      <c r="U760" s="403"/>
      <c r="V760" s="19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03"/>
      <c r="B761" s="198"/>
      <c r="C761" s="403"/>
      <c r="D761" s="198"/>
      <c r="E761" s="403"/>
      <c r="F761" s="198"/>
      <c r="G761" s="403"/>
      <c r="H761" s="198"/>
      <c r="I761" s="403"/>
      <c r="J761" s="198"/>
      <c r="K761" s="403"/>
      <c r="L761" s="198"/>
      <c r="M761" s="403"/>
      <c r="N761" s="198"/>
      <c r="O761" s="403"/>
      <c r="P761" s="198"/>
      <c r="Q761" s="357"/>
      <c r="R761" s="357"/>
      <c r="S761" s="403"/>
      <c r="T761" s="198"/>
      <c r="U761" s="403"/>
      <c r="V761" s="19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03"/>
      <c r="B762" s="198"/>
      <c r="C762" s="403"/>
      <c r="D762" s="198"/>
      <c r="E762" s="403"/>
      <c r="F762" s="198"/>
      <c r="G762" s="403"/>
      <c r="H762" s="198"/>
      <c r="I762" s="403"/>
      <c r="J762" s="198"/>
      <c r="K762" s="403"/>
      <c r="L762" s="198"/>
      <c r="M762" s="403"/>
      <c r="N762" s="198"/>
      <c r="O762" s="403"/>
      <c r="P762" s="198"/>
      <c r="Q762" s="357"/>
      <c r="R762" s="357"/>
      <c r="S762" s="403"/>
      <c r="T762" s="198"/>
      <c r="U762" s="403"/>
      <c r="V762" s="19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03"/>
      <c r="B763" s="198"/>
      <c r="C763" s="403"/>
      <c r="D763" s="198"/>
      <c r="E763" s="403"/>
      <c r="F763" s="198"/>
      <c r="G763" s="403"/>
      <c r="H763" s="198"/>
      <c r="I763" s="403"/>
      <c r="J763" s="198"/>
      <c r="K763" s="403"/>
      <c r="L763" s="198"/>
      <c r="M763" s="403"/>
      <c r="N763" s="198"/>
      <c r="O763" s="403"/>
      <c r="P763" s="198"/>
      <c r="Q763" s="357"/>
      <c r="R763" s="357"/>
      <c r="S763" s="403"/>
      <c r="T763" s="198"/>
      <c r="U763" s="403"/>
      <c r="V763" s="19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03"/>
      <c r="B764" s="198"/>
      <c r="C764" s="403"/>
      <c r="D764" s="198"/>
      <c r="E764" s="403"/>
      <c r="F764" s="198"/>
      <c r="G764" s="403"/>
      <c r="H764" s="198"/>
      <c r="I764" s="403"/>
      <c r="J764" s="198"/>
      <c r="K764" s="403"/>
      <c r="L764" s="198"/>
      <c r="M764" s="403"/>
      <c r="N764" s="198"/>
      <c r="O764" s="403"/>
      <c r="P764" s="198"/>
      <c r="Q764" s="357"/>
      <c r="R764" s="357"/>
      <c r="S764" s="403"/>
      <c r="T764" s="198"/>
      <c r="U764" s="403"/>
      <c r="V764" s="19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03"/>
      <c r="B765" s="198"/>
      <c r="C765" s="403"/>
      <c r="D765" s="198"/>
      <c r="E765" s="403"/>
      <c r="F765" s="198"/>
      <c r="G765" s="403"/>
      <c r="H765" s="198"/>
      <c r="I765" s="403"/>
      <c r="J765" s="198"/>
      <c r="K765" s="403"/>
      <c r="L765" s="198"/>
      <c r="M765" s="403"/>
      <c r="N765" s="198"/>
      <c r="O765" s="403"/>
      <c r="P765" s="198"/>
      <c r="Q765" s="357"/>
      <c r="R765" s="357"/>
      <c r="S765" s="403"/>
      <c r="T765" s="198"/>
      <c r="U765" s="403"/>
      <c r="V765" s="19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03"/>
      <c r="B766" s="198"/>
      <c r="C766" s="403"/>
      <c r="D766" s="198"/>
      <c r="E766" s="403"/>
      <c r="F766" s="198"/>
      <c r="G766" s="403"/>
      <c r="H766" s="198"/>
      <c r="I766" s="403"/>
      <c r="J766" s="198"/>
      <c r="K766" s="403"/>
      <c r="L766" s="198"/>
      <c r="M766" s="403"/>
      <c r="N766" s="198"/>
      <c r="O766" s="403"/>
      <c r="P766" s="198"/>
      <c r="Q766" s="357"/>
      <c r="R766" s="357"/>
      <c r="S766" s="403"/>
      <c r="T766" s="198"/>
      <c r="U766" s="403"/>
      <c r="V766" s="19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03"/>
      <c r="B767" s="198"/>
      <c r="C767" s="403"/>
      <c r="D767" s="198"/>
      <c r="E767" s="403"/>
      <c r="F767" s="198"/>
      <c r="G767" s="403"/>
      <c r="H767" s="198"/>
      <c r="I767" s="403"/>
      <c r="J767" s="198"/>
      <c r="K767" s="403"/>
      <c r="L767" s="198"/>
      <c r="M767" s="403"/>
      <c r="N767" s="198"/>
      <c r="O767" s="403"/>
      <c r="P767" s="198"/>
      <c r="Q767" s="357"/>
      <c r="R767" s="357"/>
      <c r="S767" s="403"/>
      <c r="T767" s="198"/>
      <c r="U767" s="403"/>
      <c r="V767" s="19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03"/>
      <c r="B768" s="198"/>
      <c r="C768" s="403"/>
      <c r="D768" s="198"/>
      <c r="E768" s="403"/>
      <c r="F768" s="198"/>
      <c r="G768" s="403"/>
      <c r="H768" s="198"/>
      <c r="I768" s="403"/>
      <c r="J768" s="198"/>
      <c r="K768" s="403"/>
      <c r="L768" s="198"/>
      <c r="M768" s="403"/>
      <c r="N768" s="198"/>
      <c r="O768" s="403"/>
      <c r="P768" s="198"/>
      <c r="Q768" s="357"/>
      <c r="R768" s="357"/>
      <c r="S768" s="403"/>
      <c r="T768" s="198"/>
      <c r="U768" s="403"/>
      <c r="V768" s="19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03"/>
      <c r="B769" s="198"/>
      <c r="C769" s="403"/>
      <c r="D769" s="198"/>
      <c r="E769" s="403"/>
      <c r="F769" s="198"/>
      <c r="G769" s="403"/>
      <c r="H769" s="198"/>
      <c r="I769" s="403"/>
      <c r="J769" s="198"/>
      <c r="K769" s="403"/>
      <c r="L769" s="198"/>
      <c r="M769" s="403"/>
      <c r="N769" s="198"/>
      <c r="O769" s="403"/>
      <c r="P769" s="198"/>
      <c r="Q769" s="357"/>
      <c r="R769" s="357"/>
      <c r="S769" s="403"/>
      <c r="T769" s="198"/>
      <c r="U769" s="403"/>
      <c r="V769" s="19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03"/>
      <c r="B770" s="198"/>
      <c r="C770" s="403"/>
      <c r="D770" s="198"/>
      <c r="E770" s="403"/>
      <c r="F770" s="198"/>
      <c r="G770" s="403"/>
      <c r="H770" s="198"/>
      <c r="I770" s="403"/>
      <c r="J770" s="198"/>
      <c r="K770" s="403"/>
      <c r="L770" s="198"/>
      <c r="M770" s="403"/>
      <c r="N770" s="198"/>
      <c r="O770" s="403"/>
      <c r="P770" s="198"/>
      <c r="Q770" s="357"/>
      <c r="R770" s="357"/>
      <c r="S770" s="403"/>
      <c r="T770" s="198"/>
      <c r="U770" s="403"/>
      <c r="V770" s="19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03"/>
      <c r="B771" s="198"/>
      <c r="C771" s="403"/>
      <c r="D771" s="198"/>
      <c r="E771" s="403"/>
      <c r="F771" s="198"/>
      <c r="G771" s="403"/>
      <c r="H771" s="198"/>
      <c r="I771" s="403"/>
      <c r="J771" s="198"/>
      <c r="K771" s="403"/>
      <c r="L771" s="198"/>
      <c r="M771" s="403"/>
      <c r="N771" s="198"/>
      <c r="O771" s="403"/>
      <c r="P771" s="198"/>
      <c r="Q771" s="357"/>
      <c r="R771" s="357"/>
      <c r="S771" s="403"/>
      <c r="T771" s="198"/>
      <c r="U771" s="403"/>
      <c r="V771" s="19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03"/>
      <c r="B772" s="198"/>
      <c r="C772" s="403"/>
      <c r="D772" s="198"/>
      <c r="E772" s="403"/>
      <c r="F772" s="198"/>
      <c r="G772" s="403"/>
      <c r="H772" s="198"/>
      <c r="I772" s="403"/>
      <c r="J772" s="198"/>
      <c r="K772" s="403"/>
      <c r="L772" s="198"/>
      <c r="M772" s="403"/>
      <c r="N772" s="198"/>
      <c r="O772" s="403"/>
      <c r="P772" s="198"/>
      <c r="Q772" s="357"/>
      <c r="R772" s="357"/>
      <c r="S772" s="403"/>
      <c r="T772" s="198"/>
      <c r="U772" s="403"/>
      <c r="V772" s="19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03"/>
      <c r="B773" s="198"/>
      <c r="C773" s="403"/>
      <c r="D773" s="198"/>
      <c r="E773" s="403"/>
      <c r="F773" s="198"/>
      <c r="G773" s="403"/>
      <c r="H773" s="198"/>
      <c r="I773" s="403"/>
      <c r="J773" s="198"/>
      <c r="K773" s="403"/>
      <c r="L773" s="198"/>
      <c r="M773" s="403"/>
      <c r="N773" s="198"/>
      <c r="O773" s="403"/>
      <c r="P773" s="198"/>
      <c r="Q773" s="357"/>
      <c r="R773" s="357"/>
      <c r="S773" s="403"/>
      <c r="T773" s="198"/>
      <c r="U773" s="403"/>
      <c r="V773" s="19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03"/>
      <c r="B774" s="198"/>
      <c r="C774" s="403"/>
      <c r="D774" s="198"/>
      <c r="E774" s="403"/>
      <c r="F774" s="198"/>
      <c r="G774" s="403"/>
      <c r="H774" s="198"/>
      <c r="I774" s="403"/>
      <c r="J774" s="198"/>
      <c r="K774" s="403"/>
      <c r="L774" s="198"/>
      <c r="M774" s="403"/>
      <c r="N774" s="198"/>
      <c r="O774" s="403"/>
      <c r="P774" s="198"/>
      <c r="Q774" s="357"/>
      <c r="R774" s="357"/>
      <c r="S774" s="403"/>
      <c r="T774" s="198"/>
      <c r="U774" s="403"/>
      <c r="V774" s="19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03"/>
      <c r="B775" s="198"/>
      <c r="C775" s="403"/>
      <c r="D775" s="198"/>
      <c r="E775" s="403"/>
      <c r="F775" s="198"/>
      <c r="G775" s="403"/>
      <c r="H775" s="198"/>
      <c r="I775" s="403"/>
      <c r="J775" s="198"/>
      <c r="K775" s="403"/>
      <c r="L775" s="198"/>
      <c r="M775" s="403"/>
      <c r="N775" s="198"/>
      <c r="O775" s="403"/>
      <c r="P775" s="198"/>
      <c r="Q775" s="357"/>
      <c r="R775" s="357"/>
      <c r="S775" s="403"/>
      <c r="T775" s="198"/>
      <c r="U775" s="403"/>
      <c r="V775" s="19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03"/>
      <c r="B776" s="198"/>
      <c r="C776" s="403"/>
      <c r="D776" s="198"/>
      <c r="E776" s="403"/>
      <c r="F776" s="198"/>
      <c r="G776" s="403"/>
      <c r="H776" s="198"/>
      <c r="I776" s="403"/>
      <c r="J776" s="198"/>
      <c r="K776" s="403"/>
      <c r="L776" s="198"/>
      <c r="M776" s="403"/>
      <c r="N776" s="198"/>
      <c r="O776" s="403"/>
      <c r="P776" s="198"/>
      <c r="Q776" s="357"/>
      <c r="R776" s="357"/>
      <c r="S776" s="403"/>
      <c r="T776" s="198"/>
      <c r="U776" s="403"/>
      <c r="V776" s="19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03"/>
      <c r="B777" s="198"/>
      <c r="C777" s="403"/>
      <c r="D777" s="198"/>
      <c r="E777" s="403"/>
      <c r="F777" s="198"/>
      <c r="G777" s="403"/>
      <c r="H777" s="198"/>
      <c r="I777" s="403"/>
      <c r="J777" s="198"/>
      <c r="K777" s="403"/>
      <c r="L777" s="198"/>
      <c r="M777" s="403"/>
      <c r="N777" s="198"/>
      <c r="O777" s="403"/>
      <c r="P777" s="198"/>
      <c r="Q777" s="357"/>
      <c r="R777" s="357"/>
      <c r="S777" s="403"/>
      <c r="T777" s="198"/>
      <c r="U777" s="403"/>
      <c r="V777" s="19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03"/>
      <c r="B778" s="198"/>
      <c r="C778" s="403"/>
      <c r="D778" s="198"/>
      <c r="E778" s="403"/>
      <c r="F778" s="198"/>
      <c r="G778" s="403"/>
      <c r="H778" s="198"/>
      <c r="I778" s="403"/>
      <c r="J778" s="198"/>
      <c r="K778" s="403"/>
      <c r="L778" s="198"/>
      <c r="M778" s="403"/>
      <c r="N778" s="198"/>
      <c r="O778" s="403"/>
      <c r="P778" s="198"/>
      <c r="Q778" s="357"/>
      <c r="R778" s="357"/>
      <c r="S778" s="403"/>
      <c r="T778" s="198"/>
      <c r="U778" s="403"/>
      <c r="V778" s="19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03"/>
      <c r="B779" s="198"/>
      <c r="C779" s="403"/>
      <c r="D779" s="198"/>
      <c r="E779" s="403"/>
      <c r="F779" s="198"/>
      <c r="G779" s="403"/>
      <c r="H779" s="198"/>
      <c r="I779" s="403"/>
      <c r="J779" s="198"/>
      <c r="K779" s="403"/>
      <c r="L779" s="198"/>
      <c r="M779" s="403"/>
      <c r="N779" s="198"/>
      <c r="O779" s="403"/>
      <c r="P779" s="198"/>
      <c r="Q779" s="357"/>
      <c r="R779" s="357"/>
      <c r="S779" s="403"/>
      <c r="T779" s="198"/>
      <c r="U779" s="403"/>
      <c r="V779" s="19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03"/>
      <c r="B780" s="198"/>
      <c r="C780" s="403"/>
      <c r="D780" s="198"/>
      <c r="E780" s="403"/>
      <c r="F780" s="198"/>
      <c r="G780" s="403"/>
      <c r="H780" s="198"/>
      <c r="I780" s="403"/>
      <c r="J780" s="198"/>
      <c r="K780" s="403"/>
      <c r="L780" s="198"/>
      <c r="M780" s="403"/>
      <c r="N780" s="198"/>
      <c r="O780" s="403"/>
      <c r="P780" s="198"/>
      <c r="Q780" s="357"/>
      <c r="R780" s="357"/>
      <c r="S780" s="403"/>
      <c r="T780" s="198"/>
      <c r="U780" s="403"/>
      <c r="V780" s="19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03"/>
      <c r="B781" s="198"/>
      <c r="C781" s="403"/>
      <c r="D781" s="198"/>
      <c r="E781" s="403"/>
      <c r="F781" s="198"/>
      <c r="G781" s="403"/>
      <c r="H781" s="198"/>
      <c r="I781" s="403"/>
      <c r="J781" s="198"/>
      <c r="K781" s="403"/>
      <c r="L781" s="198"/>
      <c r="M781" s="403"/>
      <c r="N781" s="198"/>
      <c r="O781" s="403"/>
      <c r="P781" s="198"/>
      <c r="Q781" s="357"/>
      <c r="R781" s="357"/>
      <c r="S781" s="403"/>
      <c r="T781" s="198"/>
      <c r="U781" s="403"/>
      <c r="V781" s="19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03"/>
      <c r="B782" s="198"/>
      <c r="C782" s="403"/>
      <c r="D782" s="198"/>
      <c r="E782" s="403"/>
      <c r="F782" s="198"/>
      <c r="G782" s="403"/>
      <c r="H782" s="198"/>
      <c r="I782" s="403"/>
      <c r="J782" s="198"/>
      <c r="K782" s="403"/>
      <c r="L782" s="198"/>
      <c r="M782" s="403"/>
      <c r="N782" s="198"/>
      <c r="O782" s="403"/>
      <c r="P782" s="198"/>
      <c r="Q782" s="357"/>
      <c r="R782" s="357"/>
      <c r="S782" s="403"/>
      <c r="T782" s="198"/>
      <c r="U782" s="403"/>
      <c r="V782" s="19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03"/>
      <c r="B783" s="198"/>
      <c r="C783" s="403"/>
      <c r="D783" s="198"/>
      <c r="E783" s="403"/>
      <c r="F783" s="198"/>
      <c r="G783" s="403"/>
      <c r="H783" s="198"/>
      <c r="I783" s="403"/>
      <c r="J783" s="198"/>
      <c r="K783" s="403"/>
      <c r="L783" s="198"/>
      <c r="M783" s="403"/>
      <c r="N783" s="198"/>
      <c r="O783" s="403"/>
      <c r="P783" s="198"/>
      <c r="Q783" s="357"/>
      <c r="R783" s="357"/>
      <c r="S783" s="403"/>
      <c r="T783" s="198"/>
      <c r="U783" s="403"/>
      <c r="V783" s="19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03"/>
      <c r="B784" s="198"/>
      <c r="C784" s="403"/>
      <c r="D784" s="198"/>
      <c r="E784" s="403"/>
      <c r="F784" s="198"/>
      <c r="G784" s="403"/>
      <c r="H784" s="198"/>
      <c r="I784" s="403"/>
      <c r="J784" s="198"/>
      <c r="K784" s="403"/>
      <c r="L784" s="198"/>
      <c r="M784" s="403"/>
      <c r="N784" s="198"/>
      <c r="O784" s="403"/>
      <c r="P784" s="198"/>
      <c r="Q784" s="357"/>
      <c r="R784" s="357"/>
      <c r="S784" s="403"/>
      <c r="T784" s="198"/>
      <c r="U784" s="403"/>
      <c r="V784" s="19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03"/>
      <c r="B785" s="198"/>
      <c r="C785" s="403"/>
      <c r="D785" s="198"/>
      <c r="E785" s="403"/>
      <c r="F785" s="198"/>
      <c r="G785" s="403"/>
      <c r="H785" s="198"/>
      <c r="I785" s="403"/>
      <c r="J785" s="198"/>
      <c r="K785" s="403"/>
      <c r="L785" s="198"/>
      <c r="M785" s="403"/>
      <c r="N785" s="198"/>
      <c r="O785" s="403"/>
      <c r="P785" s="198"/>
      <c r="Q785" s="357"/>
      <c r="R785" s="357"/>
      <c r="S785" s="403"/>
      <c r="T785" s="198"/>
      <c r="U785" s="403"/>
      <c r="V785" s="19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03"/>
      <c r="B786" s="198"/>
      <c r="C786" s="403"/>
      <c r="D786" s="198"/>
      <c r="E786" s="403"/>
      <c r="F786" s="198"/>
      <c r="G786" s="403"/>
      <c r="H786" s="198"/>
      <c r="I786" s="403"/>
      <c r="J786" s="198"/>
      <c r="K786" s="403"/>
      <c r="L786" s="198"/>
      <c r="M786" s="403"/>
      <c r="N786" s="198"/>
      <c r="O786" s="403"/>
      <c r="P786" s="198"/>
      <c r="Q786" s="357"/>
      <c r="R786" s="357"/>
      <c r="S786" s="403"/>
      <c r="T786" s="198"/>
      <c r="U786" s="403"/>
      <c r="V786" s="19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03"/>
      <c r="B787" s="198"/>
      <c r="C787" s="403"/>
      <c r="D787" s="198"/>
      <c r="E787" s="403"/>
      <c r="F787" s="198"/>
      <c r="G787" s="403"/>
      <c r="H787" s="198"/>
      <c r="I787" s="403"/>
      <c r="J787" s="198"/>
      <c r="K787" s="403"/>
      <c r="L787" s="198"/>
      <c r="M787" s="403"/>
      <c r="N787" s="198"/>
      <c r="O787" s="403"/>
      <c r="P787" s="198"/>
      <c r="Q787" s="357"/>
      <c r="R787" s="357"/>
      <c r="S787" s="403"/>
      <c r="T787" s="198"/>
      <c r="U787" s="403"/>
      <c r="V787" s="19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03"/>
      <c r="B788" s="198"/>
      <c r="C788" s="403"/>
      <c r="D788" s="198"/>
      <c r="E788" s="403"/>
      <c r="F788" s="198"/>
      <c r="G788" s="403"/>
      <c r="H788" s="198"/>
      <c r="I788" s="403"/>
      <c r="J788" s="198"/>
      <c r="K788" s="403"/>
      <c r="L788" s="198"/>
      <c r="M788" s="403"/>
      <c r="N788" s="198"/>
      <c r="O788" s="403"/>
      <c r="P788" s="198"/>
      <c r="Q788" s="357"/>
      <c r="R788" s="357"/>
      <c r="S788" s="403"/>
      <c r="T788" s="198"/>
      <c r="U788" s="403"/>
      <c r="V788" s="19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03"/>
      <c r="B789" s="198"/>
      <c r="C789" s="403"/>
      <c r="D789" s="198"/>
      <c r="E789" s="403"/>
      <c r="F789" s="198"/>
      <c r="G789" s="403"/>
      <c r="H789" s="198"/>
      <c r="I789" s="403"/>
      <c r="J789" s="198"/>
      <c r="K789" s="403"/>
      <c r="L789" s="198"/>
      <c r="M789" s="403"/>
      <c r="N789" s="198"/>
      <c r="O789" s="403"/>
      <c r="P789" s="198"/>
      <c r="Q789" s="357"/>
      <c r="R789" s="357"/>
      <c r="S789" s="403"/>
      <c r="T789" s="198"/>
      <c r="U789" s="403"/>
      <c r="V789" s="19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03"/>
      <c r="B790" s="198"/>
      <c r="C790" s="403"/>
      <c r="D790" s="198"/>
      <c r="E790" s="403"/>
      <c r="F790" s="198"/>
      <c r="G790" s="403"/>
      <c r="H790" s="198"/>
      <c r="I790" s="403"/>
      <c r="J790" s="198"/>
      <c r="K790" s="403"/>
      <c r="L790" s="198"/>
      <c r="M790" s="403"/>
      <c r="N790" s="198"/>
      <c r="O790" s="403"/>
      <c r="P790" s="198"/>
      <c r="Q790" s="357"/>
      <c r="R790" s="357"/>
      <c r="S790" s="403"/>
      <c r="T790" s="198"/>
      <c r="U790" s="403"/>
      <c r="V790" s="19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03"/>
      <c r="B791" s="198"/>
      <c r="C791" s="403"/>
      <c r="D791" s="198"/>
      <c r="E791" s="403"/>
      <c r="F791" s="198"/>
      <c r="G791" s="403"/>
      <c r="H791" s="198"/>
      <c r="I791" s="403"/>
      <c r="J791" s="198"/>
      <c r="K791" s="403"/>
      <c r="L791" s="198"/>
      <c r="M791" s="403"/>
      <c r="N791" s="198"/>
      <c r="O791" s="403"/>
      <c r="P791" s="198"/>
      <c r="Q791" s="357"/>
      <c r="R791" s="357"/>
      <c r="S791" s="403"/>
      <c r="T791" s="198"/>
      <c r="U791" s="403"/>
      <c r="V791" s="19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03"/>
      <c r="B792" s="198"/>
      <c r="C792" s="403"/>
      <c r="D792" s="198"/>
      <c r="E792" s="403"/>
      <c r="F792" s="198"/>
      <c r="G792" s="403"/>
      <c r="H792" s="198"/>
      <c r="I792" s="403"/>
      <c r="J792" s="198"/>
      <c r="K792" s="403"/>
      <c r="L792" s="198"/>
      <c r="M792" s="403"/>
      <c r="N792" s="198"/>
      <c r="O792" s="403"/>
      <c r="P792" s="198"/>
      <c r="Q792" s="357"/>
      <c r="R792" s="357"/>
      <c r="S792" s="403"/>
      <c r="T792" s="198"/>
      <c r="U792" s="403"/>
      <c r="V792" s="19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03"/>
      <c r="B793" s="198"/>
      <c r="C793" s="403"/>
      <c r="D793" s="198"/>
      <c r="E793" s="403"/>
      <c r="F793" s="198"/>
      <c r="G793" s="403"/>
      <c r="H793" s="198"/>
      <c r="I793" s="403"/>
      <c r="J793" s="198"/>
      <c r="K793" s="403"/>
      <c r="L793" s="198"/>
      <c r="M793" s="403"/>
      <c r="N793" s="198"/>
      <c r="O793" s="403"/>
      <c r="P793" s="198"/>
      <c r="Q793" s="357"/>
      <c r="R793" s="357"/>
      <c r="S793" s="403"/>
      <c r="T793" s="198"/>
      <c r="U793" s="403"/>
      <c r="V793" s="19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03"/>
      <c r="B794" s="198"/>
      <c r="C794" s="403"/>
      <c r="D794" s="198"/>
      <c r="E794" s="403"/>
      <c r="F794" s="198"/>
      <c r="G794" s="403"/>
      <c r="H794" s="198"/>
      <c r="I794" s="403"/>
      <c r="J794" s="198"/>
      <c r="K794" s="403"/>
      <c r="L794" s="198"/>
      <c r="M794" s="403"/>
      <c r="N794" s="198"/>
      <c r="O794" s="403"/>
      <c r="P794" s="198"/>
      <c r="Q794" s="357"/>
      <c r="R794" s="357"/>
      <c r="S794" s="403"/>
      <c r="T794" s="198"/>
      <c r="U794" s="403"/>
      <c r="V794" s="19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03"/>
      <c r="B795" s="198"/>
      <c r="C795" s="403"/>
      <c r="D795" s="198"/>
      <c r="E795" s="403"/>
      <c r="F795" s="198"/>
      <c r="G795" s="403"/>
      <c r="H795" s="198"/>
      <c r="I795" s="403"/>
      <c r="J795" s="198"/>
      <c r="K795" s="403"/>
      <c r="L795" s="198"/>
      <c r="M795" s="403"/>
      <c r="N795" s="198"/>
      <c r="O795" s="403"/>
      <c r="P795" s="198"/>
      <c r="Q795" s="357"/>
      <c r="R795" s="357"/>
      <c r="S795" s="403"/>
      <c r="T795" s="198"/>
      <c r="U795" s="403"/>
      <c r="V795" s="19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03"/>
      <c r="B796" s="198"/>
      <c r="C796" s="403"/>
      <c r="D796" s="198"/>
      <c r="E796" s="403"/>
      <c r="F796" s="198"/>
      <c r="G796" s="403"/>
      <c r="H796" s="198"/>
      <c r="I796" s="403"/>
      <c r="J796" s="198"/>
      <c r="K796" s="403"/>
      <c r="L796" s="198"/>
      <c r="M796" s="403"/>
      <c r="N796" s="198"/>
      <c r="O796" s="403"/>
      <c r="P796" s="198"/>
      <c r="Q796" s="357"/>
      <c r="R796" s="357"/>
      <c r="S796" s="403"/>
      <c r="T796" s="198"/>
      <c r="U796" s="403"/>
      <c r="V796" s="19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03"/>
      <c r="B797" s="198"/>
      <c r="C797" s="403"/>
      <c r="D797" s="198"/>
      <c r="E797" s="403"/>
      <c r="F797" s="198"/>
      <c r="G797" s="403"/>
      <c r="H797" s="198"/>
      <c r="I797" s="403"/>
      <c r="J797" s="198"/>
      <c r="K797" s="403"/>
      <c r="L797" s="198"/>
      <c r="M797" s="403"/>
      <c r="N797" s="198"/>
      <c r="O797" s="403"/>
      <c r="P797" s="198"/>
      <c r="Q797" s="357"/>
      <c r="R797" s="357"/>
      <c r="S797" s="403"/>
      <c r="T797" s="198"/>
      <c r="U797" s="403"/>
      <c r="V797" s="19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03"/>
      <c r="B798" s="198"/>
      <c r="C798" s="403"/>
      <c r="D798" s="198"/>
      <c r="E798" s="403"/>
      <c r="F798" s="198"/>
      <c r="G798" s="403"/>
      <c r="H798" s="198"/>
      <c r="I798" s="403"/>
      <c r="J798" s="198"/>
      <c r="K798" s="403"/>
      <c r="L798" s="198"/>
      <c r="M798" s="403"/>
      <c r="N798" s="198"/>
      <c r="O798" s="403"/>
      <c r="P798" s="198"/>
      <c r="Q798" s="357"/>
      <c r="R798" s="357"/>
      <c r="S798" s="403"/>
      <c r="T798" s="198"/>
      <c r="U798" s="403"/>
      <c r="V798" s="19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03"/>
      <c r="B799" s="198"/>
      <c r="C799" s="403"/>
      <c r="D799" s="198"/>
      <c r="E799" s="403"/>
      <c r="F799" s="198"/>
      <c r="G799" s="403"/>
      <c r="H799" s="198"/>
      <c r="I799" s="403"/>
      <c r="J799" s="198"/>
      <c r="K799" s="403"/>
      <c r="L799" s="198"/>
      <c r="M799" s="403"/>
      <c r="N799" s="198"/>
      <c r="O799" s="403"/>
      <c r="P799" s="198"/>
      <c r="Q799" s="357"/>
      <c r="R799" s="357"/>
      <c r="S799" s="403"/>
      <c r="T799" s="198"/>
      <c r="U799" s="403"/>
      <c r="V799" s="19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03"/>
      <c r="B800" s="198"/>
      <c r="C800" s="403"/>
      <c r="D800" s="198"/>
      <c r="E800" s="403"/>
      <c r="F800" s="198"/>
      <c r="G800" s="403"/>
      <c r="H800" s="198"/>
      <c r="I800" s="403"/>
      <c r="J800" s="198"/>
      <c r="K800" s="403"/>
      <c r="L800" s="198"/>
      <c r="M800" s="403"/>
      <c r="N800" s="198"/>
      <c r="O800" s="403"/>
      <c r="P800" s="198"/>
      <c r="Q800" s="357"/>
      <c r="R800" s="357"/>
      <c r="S800" s="403"/>
      <c r="T800" s="198"/>
      <c r="U800" s="403"/>
      <c r="V800" s="19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03"/>
      <c r="B801" s="198"/>
      <c r="C801" s="403"/>
      <c r="D801" s="198"/>
      <c r="E801" s="403"/>
      <c r="F801" s="198"/>
      <c r="G801" s="403"/>
      <c r="H801" s="198"/>
      <c r="I801" s="403"/>
      <c r="J801" s="198"/>
      <c r="K801" s="403"/>
      <c r="L801" s="198"/>
      <c r="M801" s="403"/>
      <c r="N801" s="198"/>
      <c r="O801" s="403"/>
      <c r="P801" s="198"/>
      <c r="Q801" s="357"/>
      <c r="R801" s="357"/>
      <c r="S801" s="403"/>
      <c r="T801" s="198"/>
      <c r="U801" s="403"/>
      <c r="V801" s="19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03"/>
      <c r="B802" s="198"/>
      <c r="C802" s="403"/>
      <c r="D802" s="198"/>
      <c r="E802" s="403"/>
      <c r="F802" s="198"/>
      <c r="G802" s="403"/>
      <c r="H802" s="198"/>
      <c r="I802" s="403"/>
      <c r="J802" s="198"/>
      <c r="K802" s="403"/>
      <c r="L802" s="198"/>
      <c r="M802" s="403"/>
      <c r="N802" s="198"/>
      <c r="O802" s="403"/>
      <c r="P802" s="198"/>
      <c r="Q802" s="357"/>
      <c r="R802" s="357"/>
      <c r="S802" s="403"/>
      <c r="T802" s="198"/>
      <c r="U802" s="403"/>
      <c r="V802" s="19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03"/>
      <c r="B803" s="198"/>
      <c r="C803" s="403"/>
      <c r="D803" s="198"/>
      <c r="E803" s="403"/>
      <c r="F803" s="198"/>
      <c r="G803" s="403"/>
      <c r="H803" s="198"/>
      <c r="I803" s="403"/>
      <c r="J803" s="198"/>
      <c r="K803" s="403"/>
      <c r="L803" s="198"/>
      <c r="M803" s="403"/>
      <c r="N803" s="198"/>
      <c r="O803" s="403"/>
      <c r="P803" s="198"/>
      <c r="Q803" s="357"/>
      <c r="R803" s="357"/>
      <c r="S803" s="403"/>
      <c r="T803" s="198"/>
      <c r="U803" s="403"/>
      <c r="V803" s="19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03"/>
      <c r="B804" s="198"/>
      <c r="C804" s="403"/>
      <c r="D804" s="198"/>
      <c r="E804" s="403"/>
      <c r="F804" s="198"/>
      <c r="G804" s="403"/>
      <c r="H804" s="198"/>
      <c r="I804" s="403"/>
      <c r="J804" s="198"/>
      <c r="K804" s="403"/>
      <c r="L804" s="198"/>
      <c r="M804" s="403"/>
      <c r="N804" s="198"/>
      <c r="O804" s="403"/>
      <c r="P804" s="198"/>
      <c r="Q804" s="357"/>
      <c r="R804" s="357"/>
      <c r="S804" s="403"/>
      <c r="T804" s="198"/>
      <c r="U804" s="403"/>
      <c r="V804" s="19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03"/>
      <c r="B805" s="198"/>
      <c r="C805" s="403"/>
      <c r="D805" s="198"/>
      <c r="E805" s="403"/>
      <c r="F805" s="198"/>
      <c r="G805" s="403"/>
      <c r="H805" s="198"/>
      <c r="I805" s="403"/>
      <c r="J805" s="198"/>
      <c r="K805" s="403"/>
      <c r="L805" s="198"/>
      <c r="M805" s="403"/>
      <c r="N805" s="198"/>
      <c r="O805" s="403"/>
      <c r="P805" s="198"/>
      <c r="Q805" s="357"/>
      <c r="R805" s="357"/>
      <c r="S805" s="403"/>
      <c r="T805" s="198"/>
      <c r="U805" s="403"/>
      <c r="V805" s="19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03"/>
      <c r="B806" s="198"/>
      <c r="C806" s="403"/>
      <c r="D806" s="198"/>
      <c r="E806" s="403"/>
      <c r="F806" s="198"/>
      <c r="G806" s="403"/>
      <c r="H806" s="198"/>
      <c r="I806" s="403"/>
      <c r="J806" s="198"/>
      <c r="K806" s="403"/>
      <c r="L806" s="198"/>
      <c r="M806" s="403"/>
      <c r="N806" s="198"/>
      <c r="O806" s="403"/>
      <c r="P806" s="198"/>
      <c r="Q806" s="357"/>
      <c r="R806" s="357"/>
      <c r="S806" s="403"/>
      <c r="T806" s="198"/>
      <c r="U806" s="403"/>
      <c r="V806" s="19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03"/>
      <c r="B807" s="198"/>
      <c r="C807" s="403"/>
      <c r="D807" s="198"/>
      <c r="E807" s="403"/>
      <c r="F807" s="198"/>
      <c r="G807" s="403"/>
      <c r="H807" s="198"/>
      <c r="I807" s="403"/>
      <c r="J807" s="198"/>
      <c r="K807" s="403"/>
      <c r="L807" s="198"/>
      <c r="M807" s="403"/>
      <c r="N807" s="198"/>
      <c r="O807" s="403"/>
      <c r="P807" s="198"/>
      <c r="Q807" s="357"/>
      <c r="R807" s="357"/>
      <c r="S807" s="403"/>
      <c r="T807" s="198"/>
      <c r="U807" s="403"/>
      <c r="V807" s="19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03"/>
      <c r="B808" s="198"/>
      <c r="C808" s="403"/>
      <c r="D808" s="198"/>
      <c r="E808" s="403"/>
      <c r="F808" s="198"/>
      <c r="G808" s="403"/>
      <c r="H808" s="198"/>
      <c r="I808" s="403"/>
      <c r="J808" s="198"/>
      <c r="K808" s="403"/>
      <c r="L808" s="198"/>
      <c r="M808" s="403"/>
      <c r="N808" s="198"/>
      <c r="O808" s="403"/>
      <c r="P808" s="198"/>
      <c r="Q808" s="357"/>
      <c r="R808" s="357"/>
      <c r="S808" s="403"/>
      <c r="T808" s="198"/>
      <c r="U808" s="403"/>
      <c r="V808" s="19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03"/>
      <c r="B809" s="198"/>
      <c r="C809" s="403"/>
      <c r="D809" s="198"/>
      <c r="E809" s="403"/>
      <c r="F809" s="198"/>
      <c r="G809" s="403"/>
      <c r="H809" s="198"/>
      <c r="I809" s="403"/>
      <c r="J809" s="198"/>
      <c r="K809" s="403"/>
      <c r="L809" s="198"/>
      <c r="M809" s="403"/>
      <c r="N809" s="198"/>
      <c r="O809" s="403"/>
      <c r="P809" s="198"/>
      <c r="Q809" s="357"/>
      <c r="R809" s="357"/>
      <c r="S809" s="403"/>
      <c r="T809" s="198"/>
      <c r="U809" s="403"/>
      <c r="V809" s="19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03"/>
      <c r="B810" s="198"/>
      <c r="C810" s="403"/>
      <c r="D810" s="198"/>
      <c r="E810" s="403"/>
      <c r="F810" s="198"/>
      <c r="G810" s="403"/>
      <c r="H810" s="198"/>
      <c r="I810" s="403"/>
      <c r="J810" s="198"/>
      <c r="K810" s="403"/>
      <c r="L810" s="198"/>
      <c r="M810" s="403"/>
      <c r="N810" s="198"/>
      <c r="O810" s="403"/>
      <c r="P810" s="198"/>
      <c r="Q810" s="357"/>
      <c r="R810" s="357"/>
      <c r="S810" s="403"/>
      <c r="T810" s="198"/>
      <c r="U810" s="403"/>
      <c r="V810" s="19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03"/>
      <c r="B811" s="198"/>
      <c r="C811" s="403"/>
      <c r="D811" s="198"/>
      <c r="E811" s="403"/>
      <c r="F811" s="198"/>
      <c r="G811" s="403"/>
      <c r="H811" s="198"/>
      <c r="I811" s="403"/>
      <c r="J811" s="198"/>
      <c r="K811" s="403"/>
      <c r="L811" s="198"/>
      <c r="M811" s="403"/>
      <c r="N811" s="198"/>
      <c r="O811" s="403"/>
      <c r="P811" s="198"/>
      <c r="Q811" s="357"/>
      <c r="R811" s="357"/>
      <c r="S811" s="403"/>
      <c r="T811" s="198"/>
      <c r="U811" s="403"/>
      <c r="V811" s="19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03"/>
      <c r="B812" s="198"/>
      <c r="C812" s="403"/>
      <c r="D812" s="198"/>
      <c r="E812" s="403"/>
      <c r="F812" s="198"/>
      <c r="G812" s="403"/>
      <c r="H812" s="198"/>
      <c r="I812" s="403"/>
      <c r="J812" s="198"/>
      <c r="K812" s="403"/>
      <c r="L812" s="198"/>
      <c r="M812" s="403"/>
      <c r="N812" s="198"/>
      <c r="O812" s="403"/>
      <c r="P812" s="198"/>
      <c r="Q812" s="357"/>
      <c r="R812" s="357"/>
      <c r="S812" s="403"/>
      <c r="T812" s="198"/>
      <c r="U812" s="403"/>
      <c r="V812" s="19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03"/>
      <c r="B813" s="198"/>
      <c r="C813" s="403"/>
      <c r="D813" s="198"/>
      <c r="E813" s="403"/>
      <c r="F813" s="198"/>
      <c r="G813" s="403"/>
      <c r="H813" s="198"/>
      <c r="I813" s="403"/>
      <c r="J813" s="198"/>
      <c r="K813" s="403"/>
      <c r="L813" s="198"/>
      <c r="M813" s="403"/>
      <c r="N813" s="198"/>
      <c r="O813" s="403"/>
      <c r="P813" s="198"/>
      <c r="Q813" s="357"/>
      <c r="R813" s="357"/>
      <c r="S813" s="403"/>
      <c r="T813" s="198"/>
      <c r="U813" s="403"/>
      <c r="V813" s="19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03"/>
      <c r="B814" s="198"/>
      <c r="C814" s="403"/>
      <c r="D814" s="198"/>
      <c r="E814" s="403"/>
      <c r="F814" s="198"/>
      <c r="G814" s="403"/>
      <c r="H814" s="198"/>
      <c r="I814" s="403"/>
      <c r="J814" s="198"/>
      <c r="K814" s="403"/>
      <c r="L814" s="198"/>
      <c r="M814" s="403"/>
      <c r="N814" s="198"/>
      <c r="O814" s="403"/>
      <c r="P814" s="198"/>
      <c r="Q814" s="357"/>
      <c r="R814" s="357"/>
      <c r="S814" s="403"/>
      <c r="T814" s="198"/>
      <c r="U814" s="403"/>
      <c r="V814" s="19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03"/>
      <c r="B815" s="198"/>
      <c r="C815" s="403"/>
      <c r="D815" s="198"/>
      <c r="E815" s="403"/>
      <c r="F815" s="198"/>
      <c r="G815" s="403"/>
      <c r="H815" s="198"/>
      <c r="I815" s="403"/>
      <c r="J815" s="198"/>
      <c r="K815" s="403"/>
      <c r="L815" s="198"/>
      <c r="M815" s="403"/>
      <c r="N815" s="198"/>
      <c r="O815" s="403"/>
      <c r="P815" s="198"/>
      <c r="Q815" s="357"/>
      <c r="R815" s="357"/>
      <c r="S815" s="403"/>
      <c r="T815" s="198"/>
      <c r="U815" s="403"/>
      <c r="V815" s="19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03"/>
      <c r="B816" s="198"/>
      <c r="C816" s="403"/>
      <c r="D816" s="198"/>
      <c r="E816" s="403"/>
      <c r="F816" s="198"/>
      <c r="G816" s="403"/>
      <c r="H816" s="198"/>
      <c r="I816" s="403"/>
      <c r="J816" s="198"/>
      <c r="K816" s="403"/>
      <c r="L816" s="198"/>
      <c r="M816" s="403"/>
      <c r="N816" s="198"/>
      <c r="O816" s="403"/>
      <c r="P816" s="198"/>
      <c r="Q816" s="357"/>
      <c r="R816" s="357"/>
      <c r="S816" s="403"/>
      <c r="T816" s="198"/>
      <c r="U816" s="403"/>
      <c r="V816" s="19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03"/>
      <c r="B817" s="198"/>
      <c r="C817" s="403"/>
      <c r="D817" s="198"/>
      <c r="E817" s="403"/>
      <c r="F817" s="198"/>
      <c r="G817" s="403"/>
      <c r="H817" s="198"/>
      <c r="I817" s="403"/>
      <c r="J817" s="198"/>
      <c r="K817" s="403"/>
      <c r="L817" s="198"/>
      <c r="M817" s="403"/>
      <c r="N817" s="198"/>
      <c r="O817" s="403"/>
      <c r="P817" s="198"/>
      <c r="Q817" s="357"/>
      <c r="R817" s="357"/>
      <c r="S817" s="403"/>
      <c r="T817" s="198"/>
      <c r="U817" s="403"/>
      <c r="V817" s="19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03"/>
      <c r="B818" s="198"/>
      <c r="C818" s="403"/>
      <c r="D818" s="198"/>
      <c r="E818" s="403"/>
      <c r="F818" s="198"/>
      <c r="G818" s="403"/>
      <c r="H818" s="198"/>
      <c r="I818" s="403"/>
      <c r="J818" s="198"/>
      <c r="K818" s="403"/>
      <c r="L818" s="198"/>
      <c r="M818" s="403"/>
      <c r="N818" s="198"/>
      <c r="O818" s="403"/>
      <c r="P818" s="198"/>
      <c r="Q818" s="357"/>
      <c r="R818" s="357"/>
      <c r="S818" s="403"/>
      <c r="T818" s="198"/>
      <c r="U818" s="403"/>
      <c r="V818" s="19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03"/>
      <c r="B819" s="198"/>
      <c r="C819" s="403"/>
      <c r="D819" s="198"/>
      <c r="E819" s="403"/>
      <c r="F819" s="198"/>
      <c r="G819" s="403"/>
      <c r="H819" s="198"/>
      <c r="I819" s="403"/>
      <c r="J819" s="198"/>
      <c r="K819" s="403"/>
      <c r="L819" s="198"/>
      <c r="M819" s="403"/>
      <c r="N819" s="198"/>
      <c r="O819" s="403"/>
      <c r="P819" s="198"/>
      <c r="Q819" s="357"/>
      <c r="R819" s="357"/>
      <c r="S819" s="403"/>
      <c r="T819" s="198"/>
      <c r="U819" s="403"/>
      <c r="V819" s="19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03"/>
      <c r="B820" s="198"/>
      <c r="C820" s="403"/>
      <c r="D820" s="198"/>
      <c r="E820" s="403"/>
      <c r="F820" s="198"/>
      <c r="G820" s="403"/>
      <c r="H820" s="198"/>
      <c r="I820" s="403"/>
      <c r="J820" s="198"/>
      <c r="K820" s="403"/>
      <c r="L820" s="198"/>
      <c r="M820" s="403"/>
      <c r="N820" s="198"/>
      <c r="O820" s="403"/>
      <c r="P820" s="198"/>
      <c r="Q820" s="357"/>
      <c r="R820" s="357"/>
      <c r="S820" s="403"/>
      <c r="T820" s="198"/>
      <c r="U820" s="403"/>
      <c r="V820" s="19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03"/>
      <c r="B821" s="198"/>
      <c r="C821" s="403"/>
      <c r="D821" s="198"/>
      <c r="E821" s="403"/>
      <c r="F821" s="198"/>
      <c r="G821" s="403"/>
      <c r="H821" s="198"/>
      <c r="I821" s="403"/>
      <c r="J821" s="198"/>
      <c r="K821" s="403"/>
      <c r="L821" s="198"/>
      <c r="M821" s="403"/>
      <c r="N821" s="198"/>
      <c r="O821" s="403"/>
      <c r="P821" s="198"/>
      <c r="Q821" s="357"/>
      <c r="R821" s="357"/>
      <c r="S821" s="403"/>
      <c r="T821" s="198"/>
      <c r="U821" s="403"/>
      <c r="V821" s="19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03"/>
      <c r="B822" s="198"/>
      <c r="C822" s="403"/>
      <c r="D822" s="198"/>
      <c r="E822" s="403"/>
      <c r="F822" s="198"/>
      <c r="G822" s="403"/>
      <c r="H822" s="198"/>
      <c r="I822" s="403"/>
      <c r="J822" s="198"/>
      <c r="K822" s="403"/>
      <c r="L822" s="198"/>
      <c r="M822" s="403"/>
      <c r="N822" s="198"/>
      <c r="O822" s="403"/>
      <c r="P822" s="198"/>
      <c r="Q822" s="357"/>
      <c r="R822" s="357"/>
      <c r="S822" s="403"/>
      <c r="T822" s="198"/>
      <c r="U822" s="403"/>
      <c r="V822" s="19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03"/>
      <c r="B823" s="198"/>
      <c r="C823" s="403"/>
      <c r="D823" s="198"/>
      <c r="E823" s="403"/>
      <c r="F823" s="198"/>
      <c r="G823" s="403"/>
      <c r="H823" s="198"/>
      <c r="I823" s="403"/>
      <c r="J823" s="198"/>
      <c r="K823" s="403"/>
      <c r="L823" s="198"/>
      <c r="M823" s="403"/>
      <c r="N823" s="198"/>
      <c r="O823" s="403"/>
      <c r="P823" s="198"/>
      <c r="Q823" s="357"/>
      <c r="R823" s="357"/>
      <c r="S823" s="403"/>
      <c r="T823" s="198"/>
      <c r="U823" s="403"/>
      <c r="V823" s="19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03"/>
      <c r="B824" s="198"/>
      <c r="C824" s="403"/>
      <c r="D824" s="198"/>
      <c r="E824" s="403"/>
      <c r="F824" s="198"/>
      <c r="G824" s="403"/>
      <c r="H824" s="198"/>
      <c r="I824" s="403"/>
      <c r="J824" s="198"/>
      <c r="K824" s="403"/>
      <c r="L824" s="198"/>
      <c r="M824" s="403"/>
      <c r="N824" s="198"/>
      <c r="O824" s="403"/>
      <c r="P824" s="198"/>
      <c r="Q824" s="357"/>
      <c r="R824" s="357"/>
      <c r="S824" s="403"/>
      <c r="T824" s="198"/>
      <c r="U824" s="403"/>
      <c r="V824" s="19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03"/>
      <c r="B825" s="198"/>
      <c r="C825" s="403"/>
      <c r="D825" s="198"/>
      <c r="E825" s="403"/>
      <c r="F825" s="198"/>
      <c r="G825" s="403"/>
      <c r="H825" s="198"/>
      <c r="I825" s="403"/>
      <c r="J825" s="198"/>
      <c r="K825" s="403"/>
      <c r="L825" s="198"/>
      <c r="M825" s="403"/>
      <c r="N825" s="198"/>
      <c r="O825" s="403"/>
      <c r="P825" s="198"/>
      <c r="Q825" s="357"/>
      <c r="R825" s="357"/>
      <c r="S825" s="403"/>
      <c r="T825" s="198"/>
      <c r="U825" s="403"/>
      <c r="V825" s="19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03"/>
      <c r="B826" s="198"/>
      <c r="C826" s="403"/>
      <c r="D826" s="198"/>
      <c r="E826" s="403"/>
      <c r="F826" s="198"/>
      <c r="G826" s="403"/>
      <c r="H826" s="198"/>
      <c r="I826" s="403"/>
      <c r="J826" s="198"/>
      <c r="K826" s="403"/>
      <c r="L826" s="198"/>
      <c r="M826" s="403"/>
      <c r="N826" s="198"/>
      <c r="O826" s="403"/>
      <c r="P826" s="198"/>
      <c r="Q826" s="357"/>
      <c r="R826" s="357"/>
      <c r="S826" s="403"/>
      <c r="T826" s="198"/>
      <c r="U826" s="403"/>
      <c r="V826" s="19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03"/>
      <c r="B827" s="198"/>
      <c r="C827" s="403"/>
      <c r="D827" s="198"/>
      <c r="E827" s="403"/>
      <c r="F827" s="198"/>
      <c r="G827" s="403"/>
      <c r="H827" s="198"/>
      <c r="I827" s="403"/>
      <c r="J827" s="198"/>
      <c r="K827" s="403"/>
      <c r="L827" s="198"/>
      <c r="M827" s="403"/>
      <c r="N827" s="198"/>
      <c r="O827" s="403"/>
      <c r="P827" s="198"/>
      <c r="Q827" s="357"/>
      <c r="R827" s="357"/>
      <c r="S827" s="403"/>
      <c r="T827" s="198"/>
      <c r="U827" s="403"/>
      <c r="V827" s="19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03"/>
      <c r="B828" s="198"/>
      <c r="C828" s="403"/>
      <c r="D828" s="198"/>
      <c r="E828" s="403"/>
      <c r="F828" s="198"/>
      <c r="G828" s="403"/>
      <c r="H828" s="198"/>
      <c r="I828" s="403"/>
      <c r="J828" s="198"/>
      <c r="K828" s="403"/>
      <c r="L828" s="198"/>
      <c r="M828" s="403"/>
      <c r="N828" s="198"/>
      <c r="O828" s="403"/>
      <c r="P828" s="198"/>
      <c r="Q828" s="357"/>
      <c r="R828" s="357"/>
      <c r="S828" s="403"/>
      <c r="T828" s="198"/>
      <c r="U828" s="403"/>
      <c r="V828" s="19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03"/>
      <c r="B829" s="198"/>
      <c r="C829" s="403"/>
      <c r="D829" s="198"/>
      <c r="E829" s="403"/>
      <c r="F829" s="198"/>
      <c r="G829" s="403"/>
      <c r="H829" s="198"/>
      <c r="I829" s="403"/>
      <c r="J829" s="198"/>
      <c r="K829" s="403"/>
      <c r="L829" s="198"/>
      <c r="M829" s="403"/>
      <c r="N829" s="198"/>
      <c r="O829" s="403"/>
      <c r="P829" s="198"/>
      <c r="Q829" s="357"/>
      <c r="R829" s="357"/>
      <c r="S829" s="403"/>
      <c r="T829" s="198"/>
      <c r="U829" s="403"/>
      <c r="V829" s="19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03"/>
      <c r="B830" s="198"/>
      <c r="C830" s="403"/>
      <c r="D830" s="198"/>
      <c r="E830" s="403"/>
      <c r="F830" s="198"/>
      <c r="G830" s="403"/>
      <c r="H830" s="198"/>
      <c r="I830" s="403"/>
      <c r="J830" s="198"/>
      <c r="K830" s="403"/>
      <c r="L830" s="198"/>
      <c r="M830" s="403"/>
      <c r="N830" s="198"/>
      <c r="O830" s="403"/>
      <c r="P830" s="198"/>
      <c r="Q830" s="357"/>
      <c r="R830" s="357"/>
      <c r="S830" s="403"/>
      <c r="T830" s="198"/>
      <c r="U830" s="403"/>
      <c r="V830" s="19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03"/>
      <c r="B831" s="198"/>
      <c r="C831" s="403"/>
      <c r="D831" s="198"/>
      <c r="E831" s="403"/>
      <c r="F831" s="198"/>
      <c r="G831" s="403"/>
      <c r="H831" s="198"/>
      <c r="I831" s="403"/>
      <c r="J831" s="198"/>
      <c r="K831" s="403"/>
      <c r="L831" s="198"/>
      <c r="M831" s="403"/>
      <c r="N831" s="198"/>
      <c r="O831" s="403"/>
      <c r="P831" s="198"/>
      <c r="Q831" s="357"/>
      <c r="R831" s="357"/>
      <c r="S831" s="403"/>
      <c r="T831" s="198"/>
      <c r="U831" s="403"/>
      <c r="V831" s="19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03"/>
      <c r="B832" s="198"/>
      <c r="C832" s="403"/>
      <c r="D832" s="198"/>
      <c r="E832" s="403"/>
      <c r="F832" s="198"/>
      <c r="G832" s="403"/>
      <c r="H832" s="198"/>
      <c r="I832" s="403"/>
      <c r="J832" s="198"/>
      <c r="K832" s="403"/>
      <c r="L832" s="198"/>
      <c r="M832" s="403"/>
      <c r="N832" s="198"/>
      <c r="O832" s="403"/>
      <c r="P832" s="198"/>
      <c r="Q832" s="357"/>
      <c r="R832" s="357"/>
      <c r="S832" s="403"/>
      <c r="T832" s="198"/>
      <c r="U832" s="403"/>
      <c r="V832" s="19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03"/>
      <c r="B833" s="198"/>
      <c r="C833" s="403"/>
      <c r="D833" s="198"/>
      <c r="E833" s="403"/>
      <c r="F833" s="198"/>
      <c r="G833" s="403"/>
      <c r="H833" s="198"/>
      <c r="I833" s="403"/>
      <c r="J833" s="198"/>
      <c r="K833" s="403"/>
      <c r="L833" s="198"/>
      <c r="M833" s="403"/>
      <c r="N833" s="198"/>
      <c r="O833" s="403"/>
      <c r="P833" s="198"/>
      <c r="Q833" s="357"/>
      <c r="R833" s="357"/>
      <c r="S833" s="403"/>
      <c r="T833" s="198"/>
      <c r="U833" s="403"/>
      <c r="V833" s="19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03"/>
      <c r="B834" s="198"/>
      <c r="C834" s="403"/>
      <c r="D834" s="198"/>
      <c r="E834" s="403"/>
      <c r="F834" s="198"/>
      <c r="G834" s="403"/>
      <c r="H834" s="198"/>
      <c r="I834" s="403"/>
      <c r="J834" s="198"/>
      <c r="K834" s="403"/>
      <c r="L834" s="198"/>
      <c r="M834" s="403"/>
      <c r="N834" s="198"/>
      <c r="O834" s="403"/>
      <c r="P834" s="198"/>
      <c r="Q834" s="357"/>
      <c r="R834" s="357"/>
      <c r="S834" s="403"/>
      <c r="T834" s="198"/>
      <c r="U834" s="403"/>
      <c r="V834" s="19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03"/>
      <c r="B835" s="198"/>
      <c r="C835" s="403"/>
      <c r="D835" s="198"/>
      <c r="E835" s="403"/>
      <c r="F835" s="198"/>
      <c r="G835" s="403"/>
      <c r="H835" s="198"/>
      <c r="I835" s="403"/>
      <c r="J835" s="198"/>
      <c r="K835" s="403"/>
      <c r="L835" s="198"/>
      <c r="M835" s="403"/>
      <c r="N835" s="198"/>
      <c r="O835" s="403"/>
      <c r="P835" s="198"/>
      <c r="Q835" s="357"/>
      <c r="R835" s="357"/>
      <c r="S835" s="403"/>
      <c r="T835" s="198"/>
      <c r="U835" s="403"/>
      <c r="V835" s="19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03"/>
      <c r="B836" s="198"/>
      <c r="C836" s="403"/>
      <c r="D836" s="198"/>
      <c r="E836" s="403"/>
      <c r="F836" s="198"/>
      <c r="G836" s="403"/>
      <c r="H836" s="198"/>
      <c r="I836" s="403"/>
      <c r="J836" s="198"/>
      <c r="K836" s="403"/>
      <c r="L836" s="198"/>
      <c r="M836" s="403"/>
      <c r="N836" s="198"/>
      <c r="O836" s="403"/>
      <c r="P836" s="198"/>
      <c r="Q836" s="357"/>
      <c r="R836" s="357"/>
      <c r="S836" s="403"/>
      <c r="T836" s="198"/>
      <c r="U836" s="403"/>
      <c r="V836" s="19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03"/>
      <c r="B837" s="198"/>
      <c r="C837" s="403"/>
      <c r="D837" s="198"/>
      <c r="E837" s="403"/>
      <c r="F837" s="198"/>
      <c r="G837" s="403"/>
      <c r="H837" s="198"/>
      <c r="I837" s="403"/>
      <c r="J837" s="198"/>
      <c r="K837" s="403"/>
      <c r="L837" s="198"/>
      <c r="M837" s="403"/>
      <c r="N837" s="198"/>
      <c r="O837" s="403"/>
      <c r="P837" s="198"/>
      <c r="Q837" s="357"/>
      <c r="R837" s="357"/>
      <c r="S837" s="403"/>
      <c r="T837" s="198"/>
      <c r="U837" s="403"/>
      <c r="V837" s="19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03"/>
      <c r="B838" s="198"/>
      <c r="C838" s="403"/>
      <c r="D838" s="198"/>
      <c r="E838" s="403"/>
      <c r="F838" s="198"/>
      <c r="G838" s="403"/>
      <c r="H838" s="198"/>
      <c r="I838" s="403"/>
      <c r="J838" s="198"/>
      <c r="K838" s="403"/>
      <c r="L838" s="198"/>
      <c r="M838" s="403"/>
      <c r="N838" s="198"/>
      <c r="O838" s="403"/>
      <c r="P838" s="198"/>
      <c r="Q838" s="357"/>
      <c r="R838" s="357"/>
      <c r="S838" s="403"/>
      <c r="T838" s="198"/>
      <c r="U838" s="403"/>
      <c r="V838" s="19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03"/>
      <c r="B839" s="198"/>
      <c r="C839" s="403"/>
      <c r="D839" s="198"/>
      <c r="E839" s="403"/>
      <c r="F839" s="198"/>
      <c r="G839" s="403"/>
      <c r="H839" s="198"/>
      <c r="I839" s="403"/>
      <c r="J839" s="198"/>
      <c r="K839" s="403"/>
      <c r="L839" s="198"/>
      <c r="M839" s="403"/>
      <c r="N839" s="198"/>
      <c r="O839" s="403"/>
      <c r="P839" s="198"/>
      <c r="Q839" s="357"/>
      <c r="R839" s="357"/>
      <c r="S839" s="403"/>
      <c r="T839" s="198"/>
      <c r="U839" s="403"/>
      <c r="V839" s="19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03"/>
      <c r="B840" s="198"/>
      <c r="C840" s="403"/>
      <c r="D840" s="198"/>
      <c r="E840" s="403"/>
      <c r="F840" s="198"/>
      <c r="G840" s="403"/>
      <c r="H840" s="198"/>
      <c r="I840" s="403"/>
      <c r="J840" s="198"/>
      <c r="K840" s="403"/>
      <c r="L840" s="198"/>
      <c r="M840" s="403"/>
      <c r="N840" s="198"/>
      <c r="O840" s="403"/>
      <c r="P840" s="198"/>
      <c r="Q840" s="357"/>
      <c r="R840" s="357"/>
      <c r="S840" s="403"/>
      <c r="T840" s="198"/>
      <c r="U840" s="403"/>
      <c r="V840" s="19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03"/>
      <c r="B841" s="198"/>
      <c r="C841" s="403"/>
      <c r="D841" s="198"/>
      <c r="E841" s="403"/>
      <c r="F841" s="198"/>
      <c r="G841" s="403"/>
      <c r="H841" s="198"/>
      <c r="I841" s="403"/>
      <c r="J841" s="198"/>
      <c r="K841" s="403"/>
      <c r="L841" s="198"/>
      <c r="M841" s="403"/>
      <c r="N841" s="198"/>
      <c r="O841" s="403"/>
      <c r="P841" s="198"/>
      <c r="Q841" s="357"/>
      <c r="R841" s="357"/>
      <c r="S841" s="403"/>
      <c r="T841" s="198"/>
      <c r="U841" s="403"/>
      <c r="V841" s="19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03"/>
      <c r="B842" s="198"/>
      <c r="C842" s="403"/>
      <c r="D842" s="198"/>
      <c r="E842" s="403"/>
      <c r="F842" s="198"/>
      <c r="G842" s="403"/>
      <c r="H842" s="198"/>
      <c r="I842" s="403"/>
      <c r="J842" s="198"/>
      <c r="K842" s="403"/>
      <c r="L842" s="198"/>
      <c r="M842" s="403"/>
      <c r="N842" s="198"/>
      <c r="O842" s="403"/>
      <c r="P842" s="198"/>
      <c r="Q842" s="357"/>
      <c r="R842" s="357"/>
      <c r="S842" s="403"/>
      <c r="T842" s="198"/>
      <c r="U842" s="403"/>
      <c r="V842" s="19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03"/>
      <c r="B843" s="198"/>
      <c r="C843" s="403"/>
      <c r="D843" s="198"/>
      <c r="E843" s="403"/>
      <c r="F843" s="198"/>
      <c r="G843" s="403"/>
      <c r="H843" s="198"/>
      <c r="I843" s="403"/>
      <c r="J843" s="198"/>
      <c r="K843" s="403"/>
      <c r="L843" s="198"/>
      <c r="M843" s="403"/>
      <c r="N843" s="198"/>
      <c r="O843" s="403"/>
      <c r="P843" s="198"/>
      <c r="Q843" s="357"/>
      <c r="R843" s="357"/>
      <c r="S843" s="403"/>
      <c r="T843" s="198"/>
      <c r="U843" s="403"/>
      <c r="V843" s="19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03"/>
      <c r="B844" s="198"/>
      <c r="C844" s="403"/>
      <c r="D844" s="198"/>
      <c r="E844" s="403"/>
      <c r="F844" s="198"/>
      <c r="G844" s="403"/>
      <c r="H844" s="198"/>
      <c r="I844" s="403"/>
      <c r="J844" s="198"/>
      <c r="K844" s="403"/>
      <c r="L844" s="198"/>
      <c r="M844" s="403"/>
      <c r="N844" s="198"/>
      <c r="O844" s="403"/>
      <c r="P844" s="198"/>
      <c r="Q844" s="357"/>
      <c r="R844" s="357"/>
      <c r="S844" s="403"/>
      <c r="T844" s="198"/>
      <c r="U844" s="403"/>
      <c r="V844" s="19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03"/>
      <c r="B845" s="198"/>
      <c r="C845" s="403"/>
      <c r="D845" s="198"/>
      <c r="E845" s="403"/>
      <c r="F845" s="198"/>
      <c r="G845" s="403"/>
      <c r="H845" s="198"/>
      <c r="I845" s="403"/>
      <c r="J845" s="198"/>
      <c r="K845" s="403"/>
      <c r="L845" s="198"/>
      <c r="M845" s="403"/>
      <c r="N845" s="198"/>
      <c r="O845" s="403"/>
      <c r="P845" s="198"/>
      <c r="Q845" s="357"/>
      <c r="R845" s="357"/>
      <c r="S845" s="403"/>
      <c r="T845" s="198"/>
      <c r="U845" s="403"/>
      <c r="V845" s="19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03"/>
      <c r="B846" s="198"/>
      <c r="C846" s="403"/>
      <c r="D846" s="198"/>
      <c r="E846" s="403"/>
      <c r="F846" s="198"/>
      <c r="G846" s="403"/>
      <c r="H846" s="198"/>
      <c r="I846" s="403"/>
      <c r="J846" s="198"/>
      <c r="K846" s="403"/>
      <c r="L846" s="198"/>
      <c r="M846" s="403"/>
      <c r="N846" s="198"/>
      <c r="O846" s="403"/>
      <c r="P846" s="198"/>
      <c r="Q846" s="357"/>
      <c r="R846" s="357"/>
      <c r="S846" s="403"/>
      <c r="T846" s="198"/>
      <c r="U846" s="403"/>
      <c r="V846" s="19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03"/>
      <c r="B847" s="198"/>
      <c r="C847" s="403"/>
      <c r="D847" s="198"/>
      <c r="E847" s="403"/>
      <c r="F847" s="198"/>
      <c r="G847" s="403"/>
      <c r="H847" s="198"/>
      <c r="I847" s="403"/>
      <c r="J847" s="198"/>
      <c r="K847" s="403"/>
      <c r="L847" s="198"/>
      <c r="M847" s="403"/>
      <c r="N847" s="198"/>
      <c r="O847" s="403"/>
      <c r="P847" s="198"/>
      <c r="Q847" s="357"/>
      <c r="R847" s="357"/>
      <c r="S847" s="403"/>
      <c r="T847" s="198"/>
      <c r="U847" s="403"/>
      <c r="V847" s="19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03"/>
      <c r="B848" s="198"/>
      <c r="C848" s="403"/>
      <c r="D848" s="198"/>
      <c r="E848" s="403"/>
      <c r="F848" s="198"/>
      <c r="G848" s="403"/>
      <c r="H848" s="198"/>
      <c r="I848" s="403"/>
      <c r="J848" s="198"/>
      <c r="K848" s="403"/>
      <c r="L848" s="198"/>
      <c r="M848" s="403"/>
      <c r="N848" s="198"/>
      <c r="O848" s="403"/>
      <c r="P848" s="198"/>
      <c r="Q848" s="357"/>
      <c r="R848" s="357"/>
      <c r="S848" s="403"/>
      <c r="T848" s="198"/>
      <c r="U848" s="403"/>
      <c r="V848" s="19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03"/>
      <c r="B849" s="198"/>
      <c r="C849" s="403"/>
      <c r="D849" s="198"/>
      <c r="E849" s="403"/>
      <c r="F849" s="198"/>
      <c r="G849" s="403"/>
      <c r="H849" s="198"/>
      <c r="I849" s="403"/>
      <c r="J849" s="198"/>
      <c r="K849" s="403"/>
      <c r="L849" s="198"/>
      <c r="M849" s="403"/>
      <c r="N849" s="198"/>
      <c r="O849" s="403"/>
      <c r="P849" s="198"/>
      <c r="Q849" s="357"/>
      <c r="R849" s="357"/>
      <c r="S849" s="403"/>
      <c r="T849" s="198"/>
      <c r="U849" s="403"/>
      <c r="V849" s="19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03"/>
      <c r="B850" s="198"/>
      <c r="C850" s="403"/>
      <c r="D850" s="198"/>
      <c r="E850" s="403"/>
      <c r="F850" s="198"/>
      <c r="G850" s="403"/>
      <c r="H850" s="198"/>
      <c r="I850" s="403"/>
      <c r="J850" s="198"/>
      <c r="K850" s="403"/>
      <c r="L850" s="198"/>
      <c r="M850" s="403"/>
      <c r="N850" s="198"/>
      <c r="O850" s="403"/>
      <c r="P850" s="198"/>
      <c r="Q850" s="357"/>
      <c r="R850" s="357"/>
      <c r="S850" s="403"/>
      <c r="T850" s="198"/>
      <c r="U850" s="403"/>
      <c r="V850" s="19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03"/>
      <c r="B851" s="198"/>
      <c r="C851" s="403"/>
      <c r="D851" s="198"/>
      <c r="E851" s="403"/>
      <c r="F851" s="198"/>
      <c r="G851" s="403"/>
      <c r="H851" s="198"/>
      <c r="I851" s="403"/>
      <c r="J851" s="198"/>
      <c r="K851" s="403"/>
      <c r="L851" s="198"/>
      <c r="M851" s="403"/>
      <c r="N851" s="198"/>
      <c r="O851" s="403"/>
      <c r="P851" s="198"/>
      <c r="Q851" s="357"/>
      <c r="R851" s="357"/>
      <c r="S851" s="403"/>
      <c r="T851" s="198"/>
      <c r="U851" s="403"/>
      <c r="V851" s="19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03"/>
      <c r="B852" s="198"/>
      <c r="C852" s="403"/>
      <c r="D852" s="198"/>
      <c r="E852" s="403"/>
      <c r="F852" s="198"/>
      <c r="G852" s="403"/>
      <c r="H852" s="198"/>
      <c r="I852" s="403"/>
      <c r="J852" s="198"/>
      <c r="K852" s="403"/>
      <c r="L852" s="198"/>
      <c r="M852" s="403"/>
      <c r="N852" s="198"/>
      <c r="O852" s="403"/>
      <c r="P852" s="198"/>
      <c r="Q852" s="357"/>
      <c r="R852" s="357"/>
      <c r="S852" s="403"/>
      <c r="T852" s="198"/>
      <c r="U852" s="403"/>
      <c r="V852" s="19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03"/>
      <c r="B853" s="198"/>
      <c r="C853" s="403"/>
      <c r="D853" s="198"/>
      <c r="E853" s="403"/>
      <c r="F853" s="198"/>
      <c r="G853" s="403"/>
      <c r="H853" s="198"/>
      <c r="I853" s="403"/>
      <c r="J853" s="198"/>
      <c r="K853" s="403"/>
      <c r="L853" s="198"/>
      <c r="M853" s="403"/>
      <c r="N853" s="198"/>
      <c r="O853" s="403"/>
      <c r="P853" s="198"/>
      <c r="Q853" s="357"/>
      <c r="R853" s="357"/>
      <c r="S853" s="403"/>
      <c r="T853" s="198"/>
      <c r="U853" s="403"/>
      <c r="V853" s="19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03"/>
      <c r="B854" s="198"/>
      <c r="C854" s="403"/>
      <c r="D854" s="198"/>
      <c r="E854" s="403"/>
      <c r="F854" s="198"/>
      <c r="G854" s="403"/>
      <c r="H854" s="198"/>
      <c r="I854" s="403"/>
      <c r="J854" s="198"/>
      <c r="K854" s="403"/>
      <c r="L854" s="198"/>
      <c r="M854" s="403"/>
      <c r="N854" s="198"/>
      <c r="O854" s="403"/>
      <c r="P854" s="198"/>
      <c r="Q854" s="357"/>
      <c r="R854" s="357"/>
      <c r="S854" s="403"/>
      <c r="T854" s="198"/>
      <c r="U854" s="403"/>
      <c r="V854" s="19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03"/>
      <c r="B855" s="198"/>
      <c r="C855" s="403"/>
      <c r="D855" s="198"/>
      <c r="E855" s="403"/>
      <c r="F855" s="198"/>
      <c r="G855" s="403"/>
      <c r="H855" s="198"/>
      <c r="I855" s="403"/>
      <c r="J855" s="198"/>
      <c r="K855" s="403"/>
      <c r="L855" s="198"/>
      <c r="M855" s="403"/>
      <c r="N855" s="198"/>
      <c r="O855" s="403"/>
      <c r="P855" s="198"/>
      <c r="Q855" s="357"/>
      <c r="R855" s="357"/>
      <c r="S855" s="403"/>
      <c r="T855" s="198"/>
      <c r="U855" s="403"/>
      <c r="V855" s="19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03"/>
      <c r="B856" s="198"/>
      <c r="C856" s="403"/>
      <c r="D856" s="198"/>
      <c r="E856" s="403"/>
      <c r="F856" s="198"/>
      <c r="G856" s="403"/>
      <c r="H856" s="198"/>
      <c r="I856" s="403"/>
      <c r="J856" s="198"/>
      <c r="K856" s="403"/>
      <c r="L856" s="198"/>
      <c r="M856" s="403"/>
      <c r="N856" s="198"/>
      <c r="O856" s="403"/>
      <c r="P856" s="198"/>
      <c r="Q856" s="357"/>
      <c r="R856" s="357"/>
      <c r="S856" s="403"/>
      <c r="T856" s="198"/>
      <c r="U856" s="403"/>
      <c r="V856" s="19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03"/>
      <c r="B857" s="198"/>
      <c r="C857" s="403"/>
      <c r="D857" s="198"/>
      <c r="E857" s="403"/>
      <c r="F857" s="198"/>
      <c r="G857" s="403"/>
      <c r="H857" s="198"/>
      <c r="I857" s="403"/>
      <c r="J857" s="198"/>
      <c r="K857" s="403"/>
      <c r="L857" s="198"/>
      <c r="M857" s="403"/>
      <c r="N857" s="198"/>
      <c r="O857" s="403"/>
      <c r="P857" s="198"/>
      <c r="Q857" s="357"/>
      <c r="R857" s="357"/>
      <c r="S857" s="403"/>
      <c r="T857" s="198"/>
      <c r="U857" s="403"/>
      <c r="V857" s="19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03"/>
      <c r="B858" s="198"/>
      <c r="C858" s="403"/>
      <c r="D858" s="198"/>
      <c r="E858" s="403"/>
      <c r="F858" s="198"/>
      <c r="G858" s="403"/>
      <c r="H858" s="198"/>
      <c r="I858" s="403"/>
      <c r="J858" s="198"/>
      <c r="K858" s="403"/>
      <c r="L858" s="198"/>
      <c r="M858" s="403"/>
      <c r="N858" s="198"/>
      <c r="O858" s="403"/>
      <c r="P858" s="198"/>
      <c r="Q858" s="357"/>
      <c r="R858" s="357"/>
      <c r="S858" s="403"/>
      <c r="T858" s="198"/>
      <c r="U858" s="403"/>
      <c r="V858" s="19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03"/>
      <c r="B859" s="198"/>
      <c r="C859" s="403"/>
      <c r="D859" s="198"/>
      <c r="E859" s="403"/>
      <c r="F859" s="198"/>
      <c r="G859" s="403"/>
      <c r="H859" s="198"/>
      <c r="I859" s="403"/>
      <c r="J859" s="198"/>
      <c r="K859" s="403"/>
      <c r="L859" s="198"/>
      <c r="M859" s="403"/>
      <c r="N859" s="198"/>
      <c r="O859" s="403"/>
      <c r="P859" s="198"/>
      <c r="Q859" s="357"/>
      <c r="R859" s="357"/>
      <c r="S859" s="403"/>
      <c r="T859" s="198"/>
      <c r="U859" s="403"/>
      <c r="V859" s="19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03"/>
      <c r="B860" s="198"/>
      <c r="C860" s="403"/>
      <c r="D860" s="198"/>
      <c r="E860" s="403"/>
      <c r="F860" s="198"/>
      <c r="G860" s="403"/>
      <c r="H860" s="198"/>
      <c r="I860" s="403"/>
      <c r="J860" s="198"/>
      <c r="K860" s="403"/>
      <c r="L860" s="198"/>
      <c r="M860" s="403"/>
      <c r="N860" s="198"/>
      <c r="O860" s="403"/>
      <c r="P860" s="198"/>
      <c r="Q860" s="357"/>
      <c r="R860" s="357"/>
      <c r="S860" s="403"/>
      <c r="T860" s="198"/>
      <c r="U860" s="403"/>
      <c r="V860" s="19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03"/>
      <c r="B861" s="198"/>
      <c r="C861" s="403"/>
      <c r="D861" s="198"/>
      <c r="E861" s="403"/>
      <c r="F861" s="198"/>
      <c r="G861" s="403"/>
      <c r="H861" s="198"/>
      <c r="I861" s="403"/>
      <c r="J861" s="198"/>
      <c r="K861" s="403"/>
      <c r="L861" s="198"/>
      <c r="M861" s="403"/>
      <c r="N861" s="198"/>
      <c r="O861" s="403"/>
      <c r="P861" s="198"/>
      <c r="Q861" s="357"/>
      <c r="R861" s="357"/>
      <c r="S861" s="403"/>
      <c r="T861" s="198"/>
      <c r="U861" s="403"/>
      <c r="V861" s="19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03"/>
      <c r="B862" s="198"/>
      <c r="C862" s="403"/>
      <c r="D862" s="198"/>
      <c r="E862" s="403"/>
      <c r="F862" s="198"/>
      <c r="G862" s="403"/>
      <c r="H862" s="198"/>
      <c r="I862" s="403"/>
      <c r="J862" s="198"/>
      <c r="K862" s="403"/>
      <c r="L862" s="198"/>
      <c r="M862" s="403"/>
      <c r="N862" s="198"/>
      <c r="O862" s="403"/>
      <c r="P862" s="198"/>
      <c r="Q862" s="357"/>
      <c r="R862" s="357"/>
      <c r="S862" s="403"/>
      <c r="T862" s="198"/>
      <c r="U862" s="403"/>
      <c r="V862" s="19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03"/>
      <c r="B863" s="198"/>
      <c r="C863" s="403"/>
      <c r="D863" s="198"/>
      <c r="E863" s="403"/>
      <c r="F863" s="198"/>
      <c r="G863" s="403"/>
      <c r="H863" s="198"/>
      <c r="I863" s="403"/>
      <c r="J863" s="198"/>
      <c r="K863" s="403"/>
      <c r="L863" s="198"/>
      <c r="M863" s="403"/>
      <c r="N863" s="198"/>
      <c r="O863" s="403"/>
      <c r="P863" s="198"/>
      <c r="Q863" s="357"/>
      <c r="R863" s="357"/>
      <c r="S863" s="403"/>
      <c r="T863" s="198"/>
      <c r="U863" s="403"/>
      <c r="V863" s="19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03"/>
      <c r="B864" s="198"/>
      <c r="C864" s="403"/>
      <c r="D864" s="198"/>
      <c r="E864" s="403"/>
      <c r="F864" s="198"/>
      <c r="G864" s="403"/>
      <c r="H864" s="198"/>
      <c r="I864" s="403"/>
      <c r="J864" s="198"/>
      <c r="K864" s="403"/>
      <c r="L864" s="198"/>
      <c r="M864" s="403"/>
      <c r="N864" s="198"/>
      <c r="O864" s="403"/>
      <c r="P864" s="198"/>
      <c r="Q864" s="357"/>
      <c r="R864" s="357"/>
      <c r="S864" s="403"/>
      <c r="T864" s="198"/>
      <c r="U864" s="403"/>
      <c r="V864" s="19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03"/>
      <c r="B865" s="198"/>
      <c r="C865" s="403"/>
      <c r="D865" s="198"/>
      <c r="E865" s="403"/>
      <c r="F865" s="198"/>
      <c r="G865" s="403"/>
      <c r="H865" s="198"/>
      <c r="I865" s="403"/>
      <c r="J865" s="198"/>
      <c r="K865" s="403"/>
      <c r="L865" s="198"/>
      <c r="M865" s="403"/>
      <c r="N865" s="198"/>
      <c r="O865" s="403"/>
      <c r="P865" s="198"/>
      <c r="Q865" s="357"/>
      <c r="R865" s="357"/>
      <c r="S865" s="403"/>
      <c r="T865" s="198"/>
      <c r="U865" s="403"/>
      <c r="V865" s="19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03"/>
      <c r="B866" s="198"/>
      <c r="C866" s="403"/>
      <c r="D866" s="198"/>
      <c r="E866" s="403"/>
      <c r="F866" s="198"/>
      <c r="G866" s="403"/>
      <c r="H866" s="198"/>
      <c r="I866" s="403"/>
      <c r="J866" s="198"/>
      <c r="K866" s="403"/>
      <c r="L866" s="198"/>
      <c r="M866" s="403"/>
      <c r="N866" s="198"/>
      <c r="O866" s="403"/>
      <c r="P866" s="198"/>
      <c r="Q866" s="357"/>
      <c r="R866" s="357"/>
      <c r="S866" s="403"/>
      <c r="T866" s="198"/>
      <c r="U866" s="403"/>
      <c r="V866" s="19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03"/>
      <c r="B867" s="198"/>
      <c r="C867" s="403"/>
      <c r="D867" s="198"/>
      <c r="E867" s="403"/>
      <c r="F867" s="198"/>
      <c r="G867" s="403"/>
      <c r="H867" s="198"/>
      <c r="I867" s="403"/>
      <c r="J867" s="198"/>
      <c r="K867" s="403"/>
      <c r="L867" s="198"/>
      <c r="M867" s="403"/>
      <c r="N867" s="198"/>
      <c r="O867" s="403"/>
      <c r="P867" s="198"/>
      <c r="Q867" s="357"/>
      <c r="R867" s="357"/>
      <c r="S867" s="403"/>
      <c r="T867" s="198"/>
      <c r="U867" s="403"/>
      <c r="V867" s="19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03"/>
      <c r="B868" s="198"/>
      <c r="C868" s="403"/>
      <c r="D868" s="198"/>
      <c r="E868" s="403"/>
      <c r="F868" s="198"/>
      <c r="G868" s="403"/>
      <c r="H868" s="198"/>
      <c r="I868" s="403"/>
      <c r="J868" s="198"/>
      <c r="K868" s="403"/>
      <c r="L868" s="198"/>
      <c r="M868" s="403"/>
      <c r="N868" s="198"/>
      <c r="O868" s="403"/>
      <c r="P868" s="198"/>
      <c r="Q868" s="357"/>
      <c r="R868" s="357"/>
      <c r="S868" s="403"/>
      <c r="T868" s="198"/>
      <c r="U868" s="403"/>
      <c r="V868" s="19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03"/>
      <c r="B869" s="198"/>
      <c r="C869" s="403"/>
      <c r="D869" s="198"/>
      <c r="E869" s="403"/>
      <c r="F869" s="198"/>
      <c r="G869" s="403"/>
      <c r="H869" s="198"/>
      <c r="I869" s="403"/>
      <c r="J869" s="198"/>
      <c r="K869" s="403"/>
      <c r="L869" s="198"/>
      <c r="M869" s="403"/>
      <c r="N869" s="198"/>
      <c r="O869" s="403"/>
      <c r="P869" s="198"/>
      <c r="Q869" s="357"/>
      <c r="R869" s="357"/>
      <c r="S869" s="403"/>
      <c r="T869" s="198"/>
      <c r="U869" s="403"/>
      <c r="V869" s="19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03"/>
      <c r="B870" s="198"/>
      <c r="C870" s="403"/>
      <c r="D870" s="198"/>
      <c r="E870" s="403"/>
      <c r="F870" s="198"/>
      <c r="G870" s="403"/>
      <c r="H870" s="198"/>
      <c r="I870" s="403"/>
      <c r="J870" s="198"/>
      <c r="K870" s="403"/>
      <c r="L870" s="198"/>
      <c r="M870" s="403"/>
      <c r="N870" s="198"/>
      <c r="O870" s="403"/>
      <c r="P870" s="198"/>
      <c r="Q870" s="357"/>
      <c r="R870" s="357"/>
      <c r="S870" s="403"/>
      <c r="T870" s="198"/>
      <c r="U870" s="403"/>
      <c r="V870" s="19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03"/>
      <c r="B871" s="198"/>
      <c r="C871" s="403"/>
      <c r="D871" s="198"/>
      <c r="E871" s="403"/>
      <c r="F871" s="198"/>
      <c r="G871" s="403"/>
      <c r="H871" s="198"/>
      <c r="I871" s="403"/>
      <c r="J871" s="198"/>
      <c r="K871" s="403"/>
      <c r="L871" s="198"/>
      <c r="M871" s="403"/>
      <c r="N871" s="198"/>
      <c r="O871" s="403"/>
      <c r="P871" s="198"/>
      <c r="Q871" s="357"/>
      <c r="R871" s="357"/>
      <c r="S871" s="403"/>
      <c r="T871" s="198"/>
      <c r="U871" s="403"/>
      <c r="V871" s="19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03"/>
      <c r="B872" s="198"/>
      <c r="C872" s="403"/>
      <c r="D872" s="198"/>
      <c r="E872" s="403"/>
      <c r="F872" s="198"/>
      <c r="G872" s="403"/>
      <c r="H872" s="198"/>
      <c r="I872" s="403"/>
      <c r="J872" s="198"/>
      <c r="K872" s="403"/>
      <c r="L872" s="198"/>
      <c r="M872" s="403"/>
      <c r="N872" s="198"/>
      <c r="O872" s="403"/>
      <c r="P872" s="198"/>
      <c r="Q872" s="357"/>
      <c r="R872" s="357"/>
      <c r="S872" s="403"/>
      <c r="T872" s="198"/>
      <c r="U872" s="403"/>
      <c r="V872" s="19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03"/>
      <c r="B873" s="198"/>
      <c r="C873" s="403"/>
      <c r="D873" s="198"/>
      <c r="E873" s="403"/>
      <c r="F873" s="198"/>
      <c r="G873" s="403"/>
      <c r="H873" s="198"/>
      <c r="I873" s="403"/>
      <c r="J873" s="198"/>
      <c r="K873" s="403"/>
      <c r="L873" s="198"/>
      <c r="M873" s="403"/>
      <c r="N873" s="198"/>
      <c r="O873" s="403"/>
      <c r="P873" s="198"/>
      <c r="Q873" s="357"/>
      <c r="R873" s="357"/>
      <c r="S873" s="403"/>
      <c r="T873" s="198"/>
      <c r="U873" s="403"/>
      <c r="V873" s="19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03"/>
      <c r="B874" s="198"/>
      <c r="C874" s="403"/>
      <c r="D874" s="198"/>
      <c r="E874" s="403"/>
      <c r="F874" s="198"/>
      <c r="G874" s="403"/>
      <c r="H874" s="198"/>
      <c r="I874" s="403"/>
      <c r="J874" s="198"/>
      <c r="K874" s="403"/>
      <c r="L874" s="198"/>
      <c r="M874" s="403"/>
      <c r="N874" s="198"/>
      <c r="O874" s="403"/>
      <c r="P874" s="198"/>
      <c r="Q874" s="357"/>
      <c r="R874" s="357"/>
      <c r="S874" s="403"/>
      <c r="T874" s="198"/>
      <c r="U874" s="403"/>
      <c r="V874" s="19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03"/>
      <c r="B875" s="198"/>
      <c r="C875" s="403"/>
      <c r="D875" s="198"/>
      <c r="E875" s="403"/>
      <c r="F875" s="198"/>
      <c r="G875" s="403"/>
      <c r="H875" s="198"/>
      <c r="I875" s="403"/>
      <c r="J875" s="198"/>
      <c r="K875" s="403"/>
      <c r="L875" s="198"/>
      <c r="M875" s="403"/>
      <c r="N875" s="198"/>
      <c r="O875" s="403"/>
      <c r="P875" s="198"/>
      <c r="Q875" s="357"/>
      <c r="R875" s="357"/>
      <c r="S875" s="403"/>
      <c r="T875" s="198"/>
      <c r="U875" s="403"/>
      <c r="V875" s="19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03"/>
      <c r="B876" s="198"/>
      <c r="C876" s="403"/>
      <c r="D876" s="198"/>
      <c r="E876" s="403"/>
      <c r="F876" s="198"/>
      <c r="G876" s="403"/>
      <c r="H876" s="198"/>
      <c r="I876" s="403"/>
      <c r="J876" s="198"/>
      <c r="K876" s="403"/>
      <c r="L876" s="198"/>
      <c r="M876" s="403"/>
      <c r="N876" s="198"/>
      <c r="O876" s="403"/>
      <c r="P876" s="198"/>
      <c r="Q876" s="357"/>
      <c r="R876" s="357"/>
      <c r="S876" s="403"/>
      <c r="T876" s="198"/>
      <c r="U876" s="403"/>
      <c r="V876" s="19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03"/>
      <c r="B877" s="198"/>
      <c r="C877" s="403"/>
      <c r="D877" s="198"/>
      <c r="E877" s="403"/>
      <c r="F877" s="198"/>
      <c r="G877" s="403"/>
      <c r="H877" s="198"/>
      <c r="I877" s="403"/>
      <c r="J877" s="198"/>
      <c r="K877" s="403"/>
      <c r="L877" s="198"/>
      <c r="M877" s="403"/>
      <c r="N877" s="198"/>
      <c r="O877" s="403"/>
      <c r="P877" s="198"/>
      <c r="Q877" s="357"/>
      <c r="R877" s="357"/>
      <c r="S877" s="403"/>
      <c r="T877" s="198"/>
      <c r="U877" s="403"/>
      <c r="V877" s="19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03"/>
      <c r="B878" s="198"/>
      <c r="C878" s="403"/>
      <c r="D878" s="198"/>
      <c r="E878" s="403"/>
      <c r="F878" s="198"/>
      <c r="G878" s="403"/>
      <c r="H878" s="198"/>
      <c r="I878" s="403"/>
      <c r="J878" s="198"/>
      <c r="K878" s="403"/>
      <c r="L878" s="198"/>
      <c r="M878" s="403"/>
      <c r="N878" s="198"/>
      <c r="O878" s="403"/>
      <c r="P878" s="198"/>
      <c r="Q878" s="357"/>
      <c r="R878" s="357"/>
      <c r="S878" s="403"/>
      <c r="T878" s="198"/>
      <c r="U878" s="403"/>
      <c r="V878" s="19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03"/>
      <c r="B879" s="198"/>
      <c r="C879" s="403"/>
      <c r="D879" s="198"/>
      <c r="E879" s="403"/>
      <c r="F879" s="198"/>
      <c r="G879" s="403"/>
      <c r="H879" s="198"/>
      <c r="I879" s="403"/>
      <c r="J879" s="198"/>
      <c r="K879" s="403"/>
      <c r="L879" s="198"/>
      <c r="M879" s="403"/>
      <c r="N879" s="198"/>
      <c r="O879" s="403"/>
      <c r="P879" s="198"/>
      <c r="Q879" s="357"/>
      <c r="R879" s="357"/>
      <c r="S879" s="403"/>
      <c r="T879" s="198"/>
      <c r="U879" s="403"/>
      <c r="V879" s="19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03"/>
      <c r="B880" s="198"/>
      <c r="C880" s="403"/>
      <c r="D880" s="198"/>
      <c r="E880" s="403"/>
      <c r="F880" s="198"/>
      <c r="G880" s="403"/>
      <c r="H880" s="198"/>
      <c r="I880" s="403"/>
      <c r="J880" s="198"/>
      <c r="K880" s="403"/>
      <c r="L880" s="198"/>
      <c r="M880" s="403"/>
      <c r="N880" s="198"/>
      <c r="O880" s="403"/>
      <c r="P880" s="198"/>
      <c r="Q880" s="357"/>
      <c r="R880" s="357"/>
      <c r="S880" s="403"/>
      <c r="T880" s="198"/>
      <c r="U880" s="403"/>
      <c r="V880" s="19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03"/>
      <c r="B881" s="198"/>
      <c r="C881" s="403"/>
      <c r="D881" s="198"/>
      <c r="E881" s="403"/>
      <c r="F881" s="198"/>
      <c r="G881" s="403"/>
      <c r="H881" s="198"/>
      <c r="I881" s="403"/>
      <c r="J881" s="198"/>
      <c r="K881" s="403"/>
      <c r="L881" s="198"/>
      <c r="M881" s="403"/>
      <c r="N881" s="198"/>
      <c r="O881" s="403"/>
      <c r="P881" s="198"/>
      <c r="Q881" s="357"/>
      <c r="R881" s="357"/>
      <c r="S881" s="403"/>
      <c r="T881" s="198"/>
      <c r="U881" s="403"/>
      <c r="V881" s="19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03"/>
      <c r="B882" s="198"/>
      <c r="C882" s="403"/>
      <c r="D882" s="198"/>
      <c r="E882" s="403"/>
      <c r="F882" s="198"/>
      <c r="G882" s="403"/>
      <c r="H882" s="198"/>
      <c r="I882" s="403"/>
      <c r="J882" s="198"/>
      <c r="K882" s="403"/>
      <c r="L882" s="198"/>
      <c r="M882" s="403"/>
      <c r="N882" s="198"/>
      <c r="O882" s="403"/>
      <c r="P882" s="198"/>
      <c r="Q882" s="357"/>
      <c r="R882" s="357"/>
      <c r="S882" s="403"/>
      <c r="T882" s="198"/>
      <c r="U882" s="403"/>
      <c r="V882" s="19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03"/>
      <c r="B883" s="198"/>
      <c r="C883" s="403"/>
      <c r="D883" s="198"/>
      <c r="E883" s="403"/>
      <c r="F883" s="198"/>
      <c r="G883" s="403"/>
      <c r="H883" s="198"/>
      <c r="I883" s="403"/>
      <c r="J883" s="198"/>
      <c r="K883" s="403"/>
      <c r="L883" s="198"/>
      <c r="M883" s="403"/>
      <c r="N883" s="198"/>
      <c r="O883" s="403"/>
      <c r="P883" s="198"/>
      <c r="Q883" s="357"/>
      <c r="R883" s="357"/>
      <c r="S883" s="403"/>
      <c r="T883" s="198"/>
      <c r="U883" s="403"/>
      <c r="V883" s="19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03"/>
      <c r="B884" s="198"/>
      <c r="C884" s="403"/>
      <c r="D884" s="198"/>
      <c r="E884" s="403"/>
      <c r="F884" s="198"/>
      <c r="G884" s="403"/>
      <c r="H884" s="198"/>
      <c r="I884" s="403"/>
      <c r="J884" s="198"/>
      <c r="K884" s="403"/>
      <c r="L884" s="198"/>
      <c r="M884" s="403"/>
      <c r="N884" s="198"/>
      <c r="O884" s="403"/>
      <c r="P884" s="198"/>
      <c r="Q884" s="357"/>
      <c r="R884" s="357"/>
      <c r="S884" s="403"/>
      <c r="T884" s="198"/>
      <c r="U884" s="403"/>
      <c r="V884" s="19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03"/>
      <c r="B885" s="198"/>
      <c r="C885" s="403"/>
      <c r="D885" s="198"/>
      <c r="E885" s="403"/>
      <c r="F885" s="198"/>
      <c r="G885" s="403"/>
      <c r="H885" s="198"/>
      <c r="I885" s="403"/>
      <c r="J885" s="198"/>
      <c r="K885" s="403"/>
      <c r="L885" s="198"/>
      <c r="M885" s="403"/>
      <c r="N885" s="198"/>
      <c r="O885" s="403"/>
      <c r="P885" s="198"/>
      <c r="Q885" s="357"/>
      <c r="R885" s="357"/>
      <c r="S885" s="403"/>
      <c r="T885" s="198"/>
      <c r="U885" s="403"/>
      <c r="V885" s="19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03"/>
      <c r="B886" s="198"/>
      <c r="C886" s="403"/>
      <c r="D886" s="198"/>
      <c r="E886" s="403"/>
      <c r="F886" s="198"/>
      <c r="G886" s="403"/>
      <c r="H886" s="198"/>
      <c r="I886" s="403"/>
      <c r="J886" s="198"/>
      <c r="K886" s="403"/>
      <c r="L886" s="198"/>
      <c r="M886" s="403"/>
      <c r="N886" s="198"/>
      <c r="O886" s="403"/>
      <c r="P886" s="198"/>
      <c r="Q886" s="357"/>
      <c r="R886" s="357"/>
      <c r="S886" s="403"/>
      <c r="T886" s="198"/>
      <c r="U886" s="403"/>
      <c r="V886" s="19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03"/>
      <c r="B887" s="198"/>
      <c r="C887" s="403"/>
      <c r="D887" s="198"/>
      <c r="E887" s="403"/>
      <c r="F887" s="198"/>
      <c r="G887" s="403"/>
      <c r="H887" s="198"/>
      <c r="I887" s="403"/>
      <c r="J887" s="198"/>
      <c r="K887" s="403"/>
      <c r="L887" s="198"/>
      <c r="M887" s="403"/>
      <c r="N887" s="198"/>
      <c r="O887" s="403"/>
      <c r="P887" s="198"/>
      <c r="Q887" s="357"/>
      <c r="R887" s="357"/>
      <c r="S887" s="403"/>
      <c r="T887" s="198"/>
      <c r="U887" s="403"/>
      <c r="V887" s="19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03"/>
      <c r="B888" s="198"/>
      <c r="C888" s="403"/>
      <c r="D888" s="198"/>
      <c r="E888" s="403"/>
      <c r="F888" s="198"/>
      <c r="G888" s="403"/>
      <c r="H888" s="198"/>
      <c r="I888" s="403"/>
      <c r="J888" s="198"/>
      <c r="K888" s="403"/>
      <c r="L888" s="198"/>
      <c r="M888" s="403"/>
      <c r="N888" s="198"/>
      <c r="O888" s="403"/>
      <c r="P888" s="198"/>
      <c r="Q888" s="357"/>
      <c r="R888" s="357"/>
      <c r="S888" s="403"/>
      <c r="T888" s="198"/>
      <c r="U888" s="403"/>
      <c r="V888" s="19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03"/>
      <c r="B889" s="198"/>
      <c r="C889" s="403"/>
      <c r="D889" s="198"/>
      <c r="E889" s="403"/>
      <c r="F889" s="198"/>
      <c r="G889" s="403"/>
      <c r="H889" s="198"/>
      <c r="I889" s="403"/>
      <c r="J889" s="198"/>
      <c r="K889" s="403"/>
      <c r="L889" s="198"/>
      <c r="M889" s="403"/>
      <c r="N889" s="198"/>
      <c r="O889" s="403"/>
      <c r="P889" s="198"/>
      <c r="Q889" s="357"/>
      <c r="R889" s="357"/>
      <c r="S889" s="403"/>
      <c r="T889" s="198"/>
      <c r="U889" s="403"/>
      <c r="V889" s="19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03"/>
      <c r="B890" s="198"/>
      <c r="C890" s="403"/>
      <c r="D890" s="198"/>
      <c r="E890" s="403"/>
      <c r="F890" s="198"/>
      <c r="G890" s="403"/>
      <c r="H890" s="198"/>
      <c r="I890" s="403"/>
      <c r="J890" s="198"/>
      <c r="K890" s="403"/>
      <c r="L890" s="198"/>
      <c r="M890" s="403"/>
      <c r="N890" s="198"/>
      <c r="O890" s="403"/>
      <c r="P890" s="198"/>
      <c r="Q890" s="357"/>
      <c r="R890" s="357"/>
      <c r="S890" s="403"/>
      <c r="T890" s="198"/>
      <c r="U890" s="403"/>
      <c r="V890" s="19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03"/>
      <c r="B891" s="198"/>
      <c r="C891" s="403"/>
      <c r="D891" s="198"/>
      <c r="E891" s="403"/>
      <c r="F891" s="198"/>
      <c r="G891" s="403"/>
      <c r="H891" s="198"/>
      <c r="I891" s="403"/>
      <c r="J891" s="198"/>
      <c r="K891" s="403"/>
      <c r="L891" s="198"/>
      <c r="M891" s="403"/>
      <c r="N891" s="198"/>
      <c r="O891" s="403"/>
      <c r="P891" s="198"/>
      <c r="Q891" s="357"/>
      <c r="R891" s="357"/>
      <c r="S891" s="403"/>
      <c r="T891" s="198"/>
      <c r="U891" s="403"/>
      <c r="V891" s="19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03"/>
      <c r="B892" s="198"/>
      <c r="C892" s="403"/>
      <c r="D892" s="198"/>
      <c r="E892" s="403"/>
      <c r="F892" s="198"/>
      <c r="G892" s="403"/>
      <c r="H892" s="198"/>
      <c r="I892" s="403"/>
      <c r="J892" s="198"/>
      <c r="K892" s="403"/>
      <c r="L892" s="198"/>
      <c r="M892" s="403"/>
      <c r="N892" s="198"/>
      <c r="O892" s="403"/>
      <c r="P892" s="198"/>
      <c r="Q892" s="357"/>
      <c r="R892" s="357"/>
      <c r="S892" s="403"/>
      <c r="T892" s="198"/>
      <c r="U892" s="403"/>
      <c r="V892" s="19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03"/>
      <c r="B893" s="198"/>
      <c r="C893" s="403"/>
      <c r="D893" s="198"/>
      <c r="E893" s="403"/>
      <c r="F893" s="198"/>
      <c r="G893" s="403"/>
      <c r="H893" s="198"/>
      <c r="I893" s="403"/>
      <c r="J893" s="198"/>
      <c r="K893" s="403"/>
      <c r="L893" s="198"/>
      <c r="M893" s="403"/>
      <c r="N893" s="198"/>
      <c r="O893" s="403"/>
      <c r="P893" s="198"/>
      <c r="Q893" s="357"/>
      <c r="R893" s="357"/>
      <c r="S893" s="403"/>
      <c r="T893" s="198"/>
      <c r="U893" s="403"/>
      <c r="V893" s="19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03"/>
      <c r="B894" s="198"/>
      <c r="C894" s="403"/>
      <c r="D894" s="198"/>
      <c r="E894" s="403"/>
      <c r="F894" s="198"/>
      <c r="G894" s="403"/>
      <c r="H894" s="198"/>
      <c r="I894" s="403"/>
      <c r="J894" s="198"/>
      <c r="K894" s="403"/>
      <c r="L894" s="198"/>
      <c r="M894" s="403"/>
      <c r="N894" s="198"/>
      <c r="O894" s="403"/>
      <c r="P894" s="198"/>
      <c r="Q894" s="357"/>
      <c r="R894" s="357"/>
      <c r="S894" s="403"/>
      <c r="T894" s="198"/>
      <c r="U894" s="403"/>
      <c r="V894" s="19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03"/>
      <c r="B895" s="198"/>
      <c r="C895" s="403"/>
      <c r="D895" s="198"/>
      <c r="E895" s="403"/>
      <c r="F895" s="198"/>
      <c r="G895" s="403"/>
      <c r="H895" s="198"/>
      <c r="I895" s="403"/>
      <c r="J895" s="198"/>
      <c r="K895" s="403"/>
      <c r="L895" s="198"/>
      <c r="M895" s="403"/>
      <c r="N895" s="198"/>
      <c r="O895" s="403"/>
      <c r="P895" s="198"/>
      <c r="Q895" s="357"/>
      <c r="R895" s="357"/>
      <c r="S895" s="403"/>
      <c r="T895" s="198"/>
      <c r="U895" s="403"/>
      <c r="V895" s="19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03"/>
      <c r="B896" s="198"/>
      <c r="C896" s="403"/>
      <c r="D896" s="198"/>
      <c r="E896" s="403"/>
      <c r="F896" s="198"/>
      <c r="G896" s="403"/>
      <c r="H896" s="198"/>
      <c r="I896" s="403"/>
      <c r="J896" s="198"/>
      <c r="K896" s="403"/>
      <c r="L896" s="198"/>
      <c r="M896" s="403"/>
      <c r="N896" s="198"/>
      <c r="O896" s="403"/>
      <c r="P896" s="198"/>
      <c r="Q896" s="357"/>
      <c r="R896" s="357"/>
      <c r="S896" s="403"/>
      <c r="T896" s="198"/>
      <c r="U896" s="403"/>
      <c r="V896" s="19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03"/>
      <c r="B897" s="198"/>
      <c r="C897" s="403"/>
      <c r="D897" s="198"/>
      <c r="E897" s="403"/>
      <c r="F897" s="198"/>
      <c r="G897" s="403"/>
      <c r="H897" s="198"/>
      <c r="I897" s="403"/>
      <c r="J897" s="198"/>
      <c r="K897" s="403"/>
      <c r="L897" s="198"/>
      <c r="M897" s="403"/>
      <c r="N897" s="198"/>
      <c r="O897" s="403"/>
      <c r="P897" s="198"/>
      <c r="Q897" s="357"/>
      <c r="R897" s="357"/>
      <c r="S897" s="403"/>
      <c r="T897" s="198"/>
      <c r="U897" s="403"/>
      <c r="V897" s="19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03"/>
      <c r="B898" s="198"/>
      <c r="C898" s="403"/>
      <c r="D898" s="198"/>
      <c r="E898" s="403"/>
      <c r="F898" s="198"/>
      <c r="G898" s="403"/>
      <c r="H898" s="198"/>
      <c r="I898" s="403"/>
      <c r="J898" s="198"/>
      <c r="K898" s="403"/>
      <c r="L898" s="198"/>
      <c r="M898" s="403"/>
      <c r="N898" s="198"/>
      <c r="O898" s="403"/>
      <c r="P898" s="198"/>
      <c r="Q898" s="357"/>
      <c r="R898" s="357"/>
      <c r="S898" s="403"/>
      <c r="T898" s="198"/>
      <c r="U898" s="403"/>
      <c r="V898" s="19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03"/>
      <c r="B899" s="198"/>
      <c r="C899" s="403"/>
      <c r="D899" s="198"/>
      <c r="E899" s="403"/>
      <c r="F899" s="198"/>
      <c r="G899" s="403"/>
      <c r="H899" s="198"/>
      <c r="I899" s="403"/>
      <c r="J899" s="198"/>
      <c r="K899" s="403"/>
      <c r="L899" s="198"/>
      <c r="M899" s="403"/>
      <c r="N899" s="198"/>
      <c r="O899" s="403"/>
      <c r="P899" s="198"/>
      <c r="Q899" s="357"/>
      <c r="R899" s="357"/>
      <c r="S899" s="403"/>
      <c r="T899" s="198"/>
      <c r="U899" s="403"/>
      <c r="V899" s="19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03"/>
      <c r="B900" s="198"/>
      <c r="C900" s="403"/>
      <c r="D900" s="198"/>
      <c r="E900" s="403"/>
      <c r="F900" s="198"/>
      <c r="G900" s="403"/>
      <c r="H900" s="198"/>
      <c r="I900" s="403"/>
      <c r="J900" s="198"/>
      <c r="K900" s="403"/>
      <c r="L900" s="198"/>
      <c r="M900" s="403"/>
      <c r="N900" s="198"/>
      <c r="O900" s="403"/>
      <c r="P900" s="198"/>
      <c r="Q900" s="357"/>
      <c r="R900" s="357"/>
      <c r="S900" s="403"/>
      <c r="T900" s="198"/>
      <c r="U900" s="403"/>
      <c r="V900" s="19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03"/>
      <c r="B901" s="198"/>
      <c r="C901" s="403"/>
      <c r="D901" s="198"/>
      <c r="E901" s="403"/>
      <c r="F901" s="198"/>
      <c r="G901" s="403"/>
      <c r="H901" s="198"/>
      <c r="I901" s="403"/>
      <c r="J901" s="198"/>
      <c r="K901" s="403"/>
      <c r="L901" s="198"/>
      <c r="M901" s="403"/>
      <c r="N901" s="198"/>
      <c r="O901" s="403"/>
      <c r="P901" s="198"/>
      <c r="Q901" s="357"/>
      <c r="R901" s="357"/>
      <c r="S901" s="403"/>
      <c r="T901" s="198"/>
      <c r="U901" s="403"/>
      <c r="V901" s="19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03"/>
      <c r="B902" s="198"/>
      <c r="C902" s="403"/>
      <c r="D902" s="198"/>
      <c r="E902" s="403"/>
      <c r="F902" s="198"/>
      <c r="G902" s="403"/>
      <c r="H902" s="198"/>
      <c r="I902" s="403"/>
      <c r="J902" s="198"/>
      <c r="K902" s="403"/>
      <c r="L902" s="198"/>
      <c r="M902" s="403"/>
      <c r="N902" s="198"/>
      <c r="O902" s="403"/>
      <c r="P902" s="198"/>
      <c r="Q902" s="357"/>
      <c r="R902" s="357"/>
      <c r="S902" s="403"/>
      <c r="T902" s="198"/>
      <c r="U902" s="403"/>
      <c r="V902" s="19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03"/>
      <c r="B903" s="198"/>
      <c r="C903" s="403"/>
      <c r="D903" s="198"/>
      <c r="E903" s="403"/>
      <c r="F903" s="198"/>
      <c r="G903" s="403"/>
      <c r="H903" s="198"/>
      <c r="I903" s="403"/>
      <c r="J903" s="198"/>
      <c r="K903" s="403"/>
      <c r="L903" s="198"/>
      <c r="M903" s="403"/>
      <c r="N903" s="198"/>
      <c r="O903" s="403"/>
      <c r="P903" s="198"/>
      <c r="Q903" s="357"/>
      <c r="R903" s="357"/>
      <c r="S903" s="403"/>
      <c r="T903" s="198"/>
      <c r="U903" s="403"/>
      <c r="V903" s="19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03"/>
      <c r="B904" s="198"/>
      <c r="C904" s="403"/>
      <c r="D904" s="198"/>
      <c r="E904" s="403"/>
      <c r="F904" s="198"/>
      <c r="G904" s="403"/>
      <c r="H904" s="198"/>
      <c r="I904" s="403"/>
      <c r="J904" s="198"/>
      <c r="K904" s="403"/>
      <c r="L904" s="198"/>
      <c r="M904" s="403"/>
      <c r="N904" s="198"/>
      <c r="O904" s="403"/>
      <c r="P904" s="198"/>
      <c r="Q904" s="357"/>
      <c r="R904" s="357"/>
      <c r="S904" s="403"/>
      <c r="T904" s="198"/>
      <c r="U904" s="403"/>
      <c r="V904" s="19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03"/>
      <c r="B905" s="198"/>
      <c r="C905" s="403"/>
      <c r="D905" s="198"/>
      <c r="E905" s="403"/>
      <c r="F905" s="198"/>
      <c r="G905" s="403"/>
      <c r="H905" s="198"/>
      <c r="I905" s="403"/>
      <c r="J905" s="198"/>
      <c r="K905" s="403"/>
      <c r="L905" s="198"/>
      <c r="M905" s="403"/>
      <c r="N905" s="198"/>
      <c r="O905" s="403"/>
      <c r="P905" s="198"/>
      <c r="Q905" s="357"/>
      <c r="R905" s="357"/>
      <c r="S905" s="403"/>
      <c r="T905" s="198"/>
      <c r="U905" s="403"/>
      <c r="V905" s="19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03"/>
      <c r="B906" s="198"/>
      <c r="C906" s="403"/>
      <c r="D906" s="198"/>
      <c r="E906" s="403"/>
      <c r="F906" s="198"/>
      <c r="G906" s="403"/>
      <c r="H906" s="198"/>
      <c r="I906" s="403"/>
      <c r="J906" s="198"/>
      <c r="K906" s="403"/>
      <c r="L906" s="198"/>
      <c r="M906" s="403"/>
      <c r="N906" s="198"/>
      <c r="O906" s="403"/>
      <c r="P906" s="198"/>
      <c r="Q906" s="357"/>
      <c r="R906" s="357"/>
      <c r="S906" s="403"/>
      <c r="T906" s="198"/>
      <c r="U906" s="403"/>
      <c r="V906" s="19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03"/>
      <c r="B907" s="198"/>
      <c r="C907" s="403"/>
      <c r="D907" s="198"/>
      <c r="E907" s="403"/>
      <c r="F907" s="198"/>
      <c r="G907" s="403"/>
      <c r="H907" s="198"/>
      <c r="I907" s="403"/>
      <c r="J907" s="198"/>
      <c r="K907" s="403"/>
      <c r="L907" s="198"/>
      <c r="M907" s="403"/>
      <c r="N907" s="198"/>
      <c r="O907" s="403"/>
      <c r="P907" s="198"/>
      <c r="Q907" s="357"/>
      <c r="R907" s="357"/>
      <c r="S907" s="403"/>
      <c r="T907" s="198"/>
      <c r="U907" s="403"/>
      <c r="V907" s="19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03"/>
      <c r="B908" s="198"/>
      <c r="C908" s="403"/>
      <c r="D908" s="198"/>
      <c r="E908" s="403"/>
      <c r="F908" s="198"/>
      <c r="G908" s="403"/>
      <c r="H908" s="198"/>
      <c r="I908" s="403"/>
      <c r="J908" s="198"/>
      <c r="K908" s="403"/>
      <c r="L908" s="198"/>
      <c r="M908" s="403"/>
      <c r="N908" s="198"/>
      <c r="O908" s="403"/>
      <c r="P908" s="198"/>
      <c r="Q908" s="357"/>
      <c r="R908" s="357"/>
      <c r="S908" s="403"/>
      <c r="T908" s="198"/>
      <c r="U908" s="403"/>
      <c r="V908" s="19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03"/>
      <c r="B909" s="198"/>
      <c r="C909" s="403"/>
      <c r="D909" s="198"/>
      <c r="E909" s="403"/>
      <c r="F909" s="198"/>
      <c r="G909" s="403"/>
      <c r="H909" s="198"/>
      <c r="I909" s="403"/>
      <c r="J909" s="198"/>
      <c r="K909" s="403"/>
      <c r="L909" s="198"/>
      <c r="M909" s="403"/>
      <c r="N909" s="198"/>
      <c r="O909" s="403"/>
      <c r="P909" s="198"/>
      <c r="Q909" s="357"/>
      <c r="R909" s="357"/>
      <c r="S909" s="403"/>
      <c r="T909" s="198"/>
      <c r="U909" s="403"/>
      <c r="V909" s="19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03"/>
      <c r="B910" s="198"/>
      <c r="C910" s="403"/>
      <c r="D910" s="198"/>
      <c r="E910" s="403"/>
      <c r="F910" s="198"/>
      <c r="G910" s="403"/>
      <c r="H910" s="198"/>
      <c r="I910" s="403"/>
      <c r="J910" s="198"/>
      <c r="K910" s="403"/>
      <c r="L910" s="198"/>
      <c r="M910" s="403"/>
      <c r="N910" s="198"/>
      <c r="O910" s="403"/>
      <c r="P910" s="198"/>
      <c r="Q910" s="357"/>
      <c r="R910" s="357"/>
      <c r="S910" s="403"/>
      <c r="T910" s="198"/>
      <c r="U910" s="403"/>
      <c r="V910" s="19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03"/>
      <c r="B911" s="198"/>
      <c r="C911" s="403"/>
      <c r="D911" s="198"/>
      <c r="E911" s="403"/>
      <c r="F911" s="198"/>
      <c r="G911" s="403"/>
      <c r="H911" s="198"/>
      <c r="I911" s="403"/>
      <c r="J911" s="198"/>
      <c r="K911" s="403"/>
      <c r="L911" s="198"/>
      <c r="M911" s="403"/>
      <c r="N911" s="198"/>
      <c r="O911" s="403"/>
      <c r="P911" s="198"/>
      <c r="Q911" s="357"/>
      <c r="R911" s="357"/>
      <c r="S911" s="403"/>
      <c r="T911" s="198"/>
      <c r="U911" s="403"/>
      <c r="V911" s="19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03"/>
      <c r="B912" s="198"/>
      <c r="C912" s="403"/>
      <c r="D912" s="198"/>
      <c r="E912" s="403"/>
      <c r="F912" s="198"/>
      <c r="G912" s="403"/>
      <c r="H912" s="198"/>
      <c r="I912" s="403"/>
      <c r="J912" s="198"/>
      <c r="K912" s="403"/>
      <c r="L912" s="198"/>
      <c r="M912" s="403"/>
      <c r="N912" s="198"/>
      <c r="O912" s="403"/>
      <c r="P912" s="198"/>
      <c r="Q912" s="357"/>
      <c r="R912" s="357"/>
      <c r="S912" s="403"/>
      <c r="T912" s="198"/>
      <c r="U912" s="403"/>
      <c r="V912" s="19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03"/>
      <c r="B913" s="198"/>
      <c r="C913" s="403"/>
      <c r="D913" s="198"/>
      <c r="E913" s="403"/>
      <c r="F913" s="198"/>
      <c r="G913" s="403"/>
      <c r="H913" s="198"/>
      <c r="I913" s="403"/>
      <c r="J913" s="198"/>
      <c r="K913" s="403"/>
      <c r="L913" s="198"/>
      <c r="M913" s="403"/>
      <c r="N913" s="198"/>
      <c r="O913" s="403"/>
      <c r="P913" s="198"/>
      <c r="Q913" s="357"/>
      <c r="R913" s="357"/>
      <c r="S913" s="403"/>
      <c r="T913" s="198"/>
      <c r="U913" s="403"/>
      <c r="V913" s="19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03"/>
      <c r="B914" s="198"/>
      <c r="C914" s="403"/>
      <c r="D914" s="198"/>
      <c r="E914" s="403"/>
      <c r="F914" s="198"/>
      <c r="G914" s="403"/>
      <c r="H914" s="198"/>
      <c r="I914" s="403"/>
      <c r="J914" s="198"/>
      <c r="K914" s="403"/>
      <c r="L914" s="198"/>
      <c r="M914" s="403"/>
      <c r="N914" s="198"/>
      <c r="O914" s="403"/>
      <c r="P914" s="198"/>
      <c r="Q914" s="357"/>
      <c r="R914" s="357"/>
      <c r="S914" s="403"/>
      <c r="T914" s="198"/>
      <c r="U914" s="403"/>
      <c r="V914" s="19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03"/>
      <c r="B915" s="198"/>
      <c r="C915" s="403"/>
      <c r="D915" s="198"/>
      <c r="E915" s="403"/>
      <c r="F915" s="198"/>
      <c r="G915" s="403"/>
      <c r="H915" s="198"/>
      <c r="I915" s="403"/>
      <c r="J915" s="198"/>
      <c r="K915" s="403"/>
      <c r="L915" s="198"/>
      <c r="M915" s="403"/>
      <c r="N915" s="198"/>
      <c r="O915" s="403"/>
      <c r="P915" s="198"/>
      <c r="Q915" s="357"/>
      <c r="R915" s="357"/>
      <c r="S915" s="403"/>
      <c r="T915" s="198"/>
      <c r="U915" s="403"/>
      <c r="V915" s="19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03"/>
      <c r="B916" s="198"/>
      <c r="C916" s="403"/>
      <c r="D916" s="198"/>
      <c r="E916" s="403"/>
      <c r="F916" s="198"/>
      <c r="G916" s="403"/>
      <c r="H916" s="198"/>
      <c r="I916" s="403"/>
      <c r="J916" s="198"/>
      <c r="K916" s="403"/>
      <c r="L916" s="198"/>
      <c r="M916" s="403"/>
      <c r="N916" s="198"/>
      <c r="O916" s="403"/>
      <c r="P916" s="198"/>
      <c r="Q916" s="357"/>
      <c r="R916" s="357"/>
      <c r="S916" s="403"/>
      <c r="T916" s="198"/>
      <c r="U916" s="403"/>
      <c r="V916" s="19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03"/>
      <c r="B917" s="198"/>
      <c r="C917" s="403"/>
      <c r="D917" s="198"/>
      <c r="E917" s="403"/>
      <c r="F917" s="198"/>
      <c r="G917" s="403"/>
      <c r="H917" s="198"/>
      <c r="I917" s="403"/>
      <c r="J917" s="198"/>
      <c r="K917" s="403"/>
      <c r="L917" s="198"/>
      <c r="M917" s="403"/>
      <c r="N917" s="198"/>
      <c r="O917" s="403"/>
      <c r="P917" s="198"/>
      <c r="Q917" s="357"/>
      <c r="R917" s="357"/>
      <c r="S917" s="403"/>
      <c r="T917" s="198"/>
      <c r="U917" s="403"/>
      <c r="V917" s="19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03"/>
      <c r="B918" s="198"/>
      <c r="C918" s="403"/>
      <c r="D918" s="198"/>
      <c r="E918" s="403"/>
      <c r="F918" s="198"/>
      <c r="G918" s="403"/>
      <c r="H918" s="198"/>
      <c r="I918" s="403"/>
      <c r="J918" s="198"/>
      <c r="K918" s="403"/>
      <c r="L918" s="198"/>
      <c r="M918" s="403"/>
      <c r="N918" s="198"/>
      <c r="O918" s="403"/>
      <c r="P918" s="198"/>
      <c r="Q918" s="357"/>
      <c r="R918" s="357"/>
      <c r="S918" s="403"/>
      <c r="T918" s="198"/>
      <c r="U918" s="403"/>
      <c r="V918" s="19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03"/>
      <c r="B919" s="198"/>
      <c r="C919" s="403"/>
      <c r="D919" s="198"/>
      <c r="E919" s="403"/>
      <c r="F919" s="198"/>
      <c r="G919" s="403"/>
      <c r="H919" s="198"/>
      <c r="I919" s="403"/>
      <c r="J919" s="198"/>
      <c r="K919" s="403"/>
      <c r="L919" s="198"/>
      <c r="M919" s="403"/>
      <c r="N919" s="198"/>
      <c r="O919" s="403"/>
      <c r="P919" s="198"/>
      <c r="Q919" s="357"/>
      <c r="R919" s="357"/>
      <c r="S919" s="403"/>
      <c r="T919" s="198"/>
      <c r="U919" s="403"/>
      <c r="V919" s="19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03"/>
      <c r="B920" s="198"/>
      <c r="C920" s="403"/>
      <c r="D920" s="198"/>
      <c r="E920" s="403"/>
      <c r="F920" s="198"/>
      <c r="G920" s="403"/>
      <c r="H920" s="198"/>
      <c r="I920" s="403"/>
      <c r="J920" s="198"/>
      <c r="K920" s="403"/>
      <c r="L920" s="198"/>
      <c r="M920" s="403"/>
      <c r="N920" s="198"/>
      <c r="O920" s="403"/>
      <c r="P920" s="198"/>
      <c r="Q920" s="357"/>
      <c r="R920" s="357"/>
      <c r="S920" s="403"/>
      <c r="T920" s="198"/>
      <c r="U920" s="403"/>
      <c r="V920" s="19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03"/>
      <c r="B921" s="198"/>
      <c r="C921" s="403"/>
      <c r="D921" s="198"/>
      <c r="E921" s="403"/>
      <c r="F921" s="198"/>
      <c r="G921" s="403"/>
      <c r="H921" s="198"/>
      <c r="I921" s="403"/>
      <c r="J921" s="198"/>
      <c r="K921" s="403"/>
      <c r="L921" s="198"/>
      <c r="M921" s="403"/>
      <c r="N921" s="198"/>
      <c r="O921" s="403"/>
      <c r="P921" s="198"/>
      <c r="Q921" s="357"/>
      <c r="R921" s="357"/>
      <c r="S921" s="403"/>
      <c r="T921" s="198"/>
      <c r="U921" s="403"/>
      <c r="V921" s="19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03"/>
      <c r="B922" s="198"/>
      <c r="C922" s="403"/>
      <c r="D922" s="198"/>
      <c r="E922" s="403"/>
      <c r="F922" s="198"/>
      <c r="G922" s="403"/>
      <c r="H922" s="198"/>
      <c r="I922" s="403"/>
      <c r="J922" s="198"/>
      <c r="K922" s="403"/>
      <c r="L922" s="198"/>
      <c r="M922" s="403"/>
      <c r="N922" s="198"/>
      <c r="O922" s="403"/>
      <c r="P922" s="198"/>
      <c r="Q922" s="357"/>
      <c r="R922" s="357"/>
      <c r="S922" s="403"/>
      <c r="T922" s="198"/>
      <c r="U922" s="403"/>
      <c r="V922" s="19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03"/>
      <c r="B923" s="198"/>
      <c r="C923" s="403"/>
      <c r="D923" s="198"/>
      <c r="E923" s="403"/>
      <c r="F923" s="198"/>
      <c r="G923" s="403"/>
      <c r="H923" s="198"/>
      <c r="I923" s="403"/>
      <c r="J923" s="198"/>
      <c r="K923" s="403"/>
      <c r="L923" s="198"/>
      <c r="M923" s="403"/>
      <c r="N923" s="198"/>
      <c r="O923" s="403"/>
      <c r="P923" s="198"/>
      <c r="Q923" s="357"/>
      <c r="R923" s="357"/>
      <c r="S923" s="403"/>
      <c r="T923" s="198"/>
      <c r="U923" s="403"/>
      <c r="V923" s="19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03"/>
      <c r="B924" s="198"/>
      <c r="C924" s="403"/>
      <c r="D924" s="198"/>
      <c r="E924" s="403"/>
      <c r="F924" s="198"/>
      <c r="G924" s="403"/>
      <c r="H924" s="198"/>
      <c r="I924" s="403"/>
      <c r="J924" s="198"/>
      <c r="K924" s="403"/>
      <c r="L924" s="198"/>
      <c r="M924" s="403"/>
      <c r="N924" s="198"/>
      <c r="O924" s="403"/>
      <c r="P924" s="198"/>
      <c r="Q924" s="357"/>
      <c r="R924" s="357"/>
      <c r="S924" s="403"/>
      <c r="T924" s="198"/>
      <c r="U924" s="403"/>
      <c r="V924" s="19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03"/>
      <c r="B925" s="198"/>
      <c r="C925" s="403"/>
      <c r="D925" s="198"/>
      <c r="E925" s="403"/>
      <c r="F925" s="198"/>
      <c r="G925" s="403"/>
      <c r="H925" s="198"/>
      <c r="I925" s="403"/>
      <c r="J925" s="198"/>
      <c r="K925" s="403"/>
      <c r="L925" s="198"/>
      <c r="M925" s="403"/>
      <c r="N925" s="198"/>
      <c r="O925" s="403"/>
      <c r="P925" s="198"/>
      <c r="Q925" s="357"/>
      <c r="R925" s="357"/>
      <c r="S925" s="403"/>
      <c r="T925" s="198"/>
      <c r="U925" s="403"/>
      <c r="V925" s="19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03"/>
      <c r="B926" s="198"/>
      <c r="C926" s="403"/>
      <c r="D926" s="198"/>
      <c r="E926" s="403"/>
      <c r="F926" s="198"/>
      <c r="G926" s="403"/>
      <c r="H926" s="198"/>
      <c r="I926" s="403"/>
      <c r="J926" s="198"/>
      <c r="K926" s="403"/>
      <c r="L926" s="198"/>
      <c r="M926" s="403"/>
      <c r="N926" s="198"/>
      <c r="O926" s="403"/>
      <c r="P926" s="198"/>
      <c r="Q926" s="357"/>
      <c r="R926" s="357"/>
      <c r="S926" s="403"/>
      <c r="T926" s="198"/>
      <c r="U926" s="403"/>
      <c r="V926" s="19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03"/>
      <c r="B927" s="198"/>
      <c r="C927" s="403"/>
      <c r="D927" s="198"/>
      <c r="E927" s="403"/>
      <c r="F927" s="198"/>
      <c r="G927" s="403"/>
      <c r="H927" s="198"/>
      <c r="I927" s="403"/>
      <c r="J927" s="198"/>
      <c r="K927" s="403"/>
      <c r="L927" s="198"/>
      <c r="M927" s="403"/>
      <c r="N927" s="198"/>
      <c r="O927" s="403"/>
      <c r="P927" s="198"/>
      <c r="Q927" s="357"/>
      <c r="R927" s="357"/>
      <c r="S927" s="403"/>
      <c r="T927" s="198"/>
      <c r="U927" s="403"/>
      <c r="V927" s="19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03"/>
      <c r="B928" s="198"/>
      <c r="C928" s="403"/>
      <c r="D928" s="198"/>
      <c r="E928" s="403"/>
      <c r="F928" s="198"/>
      <c r="G928" s="403"/>
      <c r="H928" s="198"/>
      <c r="I928" s="403"/>
      <c r="J928" s="198"/>
      <c r="K928" s="403"/>
      <c r="L928" s="198"/>
      <c r="M928" s="403"/>
      <c r="N928" s="198"/>
      <c r="O928" s="403"/>
      <c r="P928" s="198"/>
      <c r="Q928" s="357"/>
      <c r="R928" s="357"/>
      <c r="S928" s="403"/>
      <c r="T928" s="198"/>
      <c r="U928" s="403"/>
      <c r="V928" s="19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03"/>
      <c r="B929" s="198"/>
      <c r="C929" s="403"/>
      <c r="D929" s="198"/>
      <c r="E929" s="403"/>
      <c r="F929" s="198"/>
      <c r="G929" s="403"/>
      <c r="H929" s="198"/>
      <c r="I929" s="403"/>
      <c r="J929" s="198"/>
      <c r="K929" s="403"/>
      <c r="L929" s="198"/>
      <c r="M929" s="403"/>
      <c r="N929" s="198"/>
      <c r="O929" s="403"/>
      <c r="P929" s="198"/>
      <c r="Q929" s="357"/>
      <c r="R929" s="357"/>
      <c r="S929" s="403"/>
      <c r="T929" s="198"/>
      <c r="U929" s="403"/>
      <c r="V929" s="19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03"/>
      <c r="B930" s="198"/>
      <c r="C930" s="403"/>
      <c r="D930" s="198"/>
      <c r="E930" s="403"/>
      <c r="F930" s="198"/>
      <c r="G930" s="403"/>
      <c r="H930" s="198"/>
      <c r="I930" s="403"/>
      <c r="J930" s="198"/>
      <c r="K930" s="403"/>
      <c r="L930" s="198"/>
      <c r="M930" s="403"/>
      <c r="N930" s="198"/>
      <c r="O930" s="403"/>
      <c r="P930" s="198"/>
      <c r="Q930" s="357"/>
      <c r="R930" s="357"/>
      <c r="S930" s="403"/>
      <c r="T930" s="198"/>
      <c r="U930" s="403"/>
      <c r="V930" s="19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03"/>
      <c r="B931" s="198"/>
      <c r="C931" s="403"/>
      <c r="D931" s="198"/>
      <c r="E931" s="403"/>
      <c r="F931" s="198"/>
      <c r="G931" s="403"/>
      <c r="H931" s="198"/>
      <c r="I931" s="403"/>
      <c r="J931" s="198"/>
      <c r="K931" s="403"/>
      <c r="L931" s="198"/>
      <c r="M931" s="403"/>
      <c r="N931" s="198"/>
      <c r="O931" s="403"/>
      <c r="P931" s="198"/>
      <c r="Q931" s="357"/>
      <c r="R931" s="357"/>
      <c r="S931" s="403"/>
      <c r="T931" s="198"/>
      <c r="U931" s="403"/>
      <c r="V931" s="19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03"/>
      <c r="B932" s="198"/>
      <c r="C932" s="403"/>
      <c r="D932" s="198"/>
      <c r="E932" s="403"/>
      <c r="F932" s="198"/>
      <c r="G932" s="403"/>
      <c r="H932" s="198"/>
      <c r="I932" s="403"/>
      <c r="J932" s="198"/>
      <c r="K932" s="403"/>
      <c r="L932" s="198"/>
      <c r="M932" s="403"/>
      <c r="N932" s="198"/>
      <c r="O932" s="403"/>
      <c r="P932" s="198"/>
      <c r="Q932" s="357"/>
      <c r="R932" s="357"/>
      <c r="S932" s="403"/>
      <c r="T932" s="198"/>
      <c r="U932" s="403"/>
      <c r="V932" s="19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03"/>
      <c r="B933" s="198"/>
      <c r="C933" s="403"/>
      <c r="D933" s="198"/>
      <c r="E933" s="403"/>
      <c r="F933" s="198"/>
      <c r="G933" s="403"/>
      <c r="H933" s="198"/>
      <c r="I933" s="403"/>
      <c r="J933" s="198"/>
      <c r="K933" s="403"/>
      <c r="L933" s="198"/>
      <c r="M933" s="403"/>
      <c r="N933" s="198"/>
      <c r="O933" s="403"/>
      <c r="P933" s="198"/>
      <c r="Q933" s="357"/>
      <c r="R933" s="357"/>
      <c r="S933" s="403"/>
      <c r="T933" s="198"/>
      <c r="U933" s="403"/>
      <c r="V933" s="19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03"/>
      <c r="B934" s="198"/>
      <c r="C934" s="403"/>
      <c r="D934" s="198"/>
      <c r="E934" s="403"/>
      <c r="F934" s="198"/>
      <c r="G934" s="403"/>
      <c r="H934" s="198"/>
      <c r="I934" s="403"/>
      <c r="J934" s="198"/>
      <c r="K934" s="403"/>
      <c r="L934" s="198"/>
      <c r="M934" s="403"/>
      <c r="N934" s="198"/>
      <c r="O934" s="403"/>
      <c r="P934" s="198"/>
      <c r="Q934" s="357"/>
      <c r="R934" s="357"/>
      <c r="S934" s="403"/>
      <c r="T934" s="198"/>
      <c r="U934" s="403"/>
      <c r="V934" s="19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03"/>
      <c r="B935" s="198"/>
      <c r="C935" s="403"/>
      <c r="D935" s="198"/>
      <c r="E935" s="403"/>
      <c r="F935" s="198"/>
      <c r="G935" s="403"/>
      <c r="H935" s="198"/>
      <c r="I935" s="403"/>
      <c r="J935" s="198"/>
      <c r="K935" s="403"/>
      <c r="L935" s="198"/>
      <c r="M935" s="403"/>
      <c r="N935" s="198"/>
      <c r="O935" s="403"/>
      <c r="P935" s="198"/>
      <c r="Q935" s="357"/>
      <c r="R935" s="357"/>
      <c r="S935" s="403"/>
      <c r="T935" s="198"/>
      <c r="U935" s="403"/>
      <c r="V935" s="19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03"/>
      <c r="B936" s="198"/>
      <c r="C936" s="403"/>
      <c r="D936" s="198"/>
      <c r="E936" s="403"/>
      <c r="F936" s="198"/>
      <c r="G936" s="403"/>
      <c r="H936" s="198"/>
      <c r="I936" s="403"/>
      <c r="J936" s="198"/>
      <c r="K936" s="403"/>
      <c r="L936" s="198"/>
      <c r="M936" s="403"/>
      <c r="N936" s="198"/>
      <c r="O936" s="403"/>
      <c r="P936" s="198"/>
      <c r="Q936" s="357"/>
      <c r="R936" s="357"/>
      <c r="S936" s="403"/>
      <c r="T936" s="198"/>
      <c r="U936" s="403"/>
      <c r="V936" s="19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03"/>
      <c r="B937" s="198"/>
      <c r="C937" s="403"/>
      <c r="D937" s="198"/>
      <c r="E937" s="403"/>
      <c r="F937" s="198"/>
      <c r="G937" s="403"/>
      <c r="H937" s="198"/>
      <c r="I937" s="403"/>
      <c r="J937" s="198"/>
      <c r="K937" s="403"/>
      <c r="L937" s="198"/>
      <c r="M937" s="403"/>
      <c r="N937" s="198"/>
      <c r="O937" s="403"/>
      <c r="P937" s="198"/>
      <c r="Q937" s="357"/>
      <c r="R937" s="357"/>
      <c r="S937" s="403"/>
      <c r="T937" s="198"/>
      <c r="U937" s="403"/>
      <c r="V937" s="19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03"/>
      <c r="B938" s="198"/>
      <c r="C938" s="403"/>
      <c r="D938" s="198"/>
      <c r="E938" s="403"/>
      <c r="F938" s="198"/>
      <c r="G938" s="403"/>
      <c r="H938" s="198"/>
      <c r="I938" s="403"/>
      <c r="J938" s="198"/>
      <c r="K938" s="403"/>
      <c r="L938" s="198"/>
      <c r="M938" s="403"/>
      <c r="N938" s="198"/>
      <c r="O938" s="403"/>
      <c r="P938" s="198"/>
      <c r="Q938" s="357"/>
      <c r="R938" s="357"/>
      <c r="S938" s="403"/>
      <c r="T938" s="198"/>
      <c r="U938" s="403"/>
      <c r="V938" s="19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03"/>
      <c r="B939" s="198"/>
      <c r="C939" s="403"/>
      <c r="D939" s="198"/>
      <c r="E939" s="403"/>
      <c r="F939" s="198"/>
      <c r="G939" s="403"/>
      <c r="H939" s="198"/>
      <c r="I939" s="403"/>
      <c r="J939" s="198"/>
      <c r="K939" s="403"/>
      <c r="L939" s="198"/>
      <c r="M939" s="403"/>
      <c r="N939" s="198"/>
      <c r="O939" s="403"/>
      <c r="P939" s="198"/>
      <c r="Q939" s="357"/>
      <c r="R939" s="357"/>
      <c r="S939" s="403"/>
      <c r="T939" s="198"/>
      <c r="U939" s="403"/>
      <c r="V939" s="19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03"/>
      <c r="B940" s="198"/>
      <c r="C940" s="403"/>
      <c r="D940" s="198"/>
      <c r="E940" s="403"/>
      <c r="F940" s="198"/>
      <c r="G940" s="403"/>
      <c r="H940" s="198"/>
      <c r="I940" s="403"/>
      <c r="J940" s="198"/>
      <c r="K940" s="403"/>
      <c r="L940" s="198"/>
      <c r="M940" s="403"/>
      <c r="N940" s="198"/>
      <c r="O940" s="403"/>
      <c r="P940" s="198"/>
      <c r="Q940" s="357"/>
      <c r="R940" s="357"/>
      <c r="S940" s="403"/>
      <c r="T940" s="198"/>
      <c r="U940" s="403"/>
      <c r="V940" s="19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03"/>
      <c r="B941" s="198"/>
      <c r="C941" s="403"/>
      <c r="D941" s="198"/>
      <c r="E941" s="403"/>
      <c r="F941" s="198"/>
      <c r="G941" s="403"/>
      <c r="H941" s="198"/>
      <c r="I941" s="403"/>
      <c r="J941" s="198"/>
      <c r="K941" s="403"/>
      <c r="L941" s="198"/>
      <c r="M941" s="403"/>
      <c r="N941" s="198"/>
      <c r="O941" s="403"/>
      <c r="P941" s="198"/>
      <c r="Q941" s="357"/>
      <c r="R941" s="357"/>
      <c r="S941" s="403"/>
      <c r="T941" s="198"/>
      <c r="U941" s="403"/>
      <c r="V941" s="19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03"/>
      <c r="B942" s="198"/>
      <c r="C942" s="403"/>
      <c r="D942" s="198"/>
      <c r="E942" s="403"/>
      <c r="F942" s="198"/>
      <c r="G942" s="403"/>
      <c r="H942" s="198"/>
      <c r="I942" s="403"/>
      <c r="J942" s="198"/>
      <c r="K942" s="403"/>
      <c r="L942" s="198"/>
      <c r="M942" s="403"/>
      <c r="N942" s="198"/>
      <c r="O942" s="403"/>
      <c r="P942" s="198"/>
      <c r="Q942" s="357"/>
      <c r="R942" s="357"/>
      <c r="S942" s="403"/>
      <c r="T942" s="198"/>
      <c r="U942" s="403"/>
      <c r="V942" s="19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03"/>
      <c r="B943" s="198"/>
      <c r="C943" s="403"/>
      <c r="D943" s="198"/>
      <c r="E943" s="403"/>
      <c r="F943" s="198"/>
      <c r="G943" s="403"/>
      <c r="H943" s="198"/>
      <c r="I943" s="403"/>
      <c r="J943" s="198"/>
      <c r="K943" s="403"/>
      <c r="L943" s="198"/>
      <c r="M943" s="403"/>
      <c r="N943" s="198"/>
      <c r="O943" s="403"/>
      <c r="P943" s="198"/>
      <c r="Q943" s="357"/>
      <c r="R943" s="357"/>
      <c r="S943" s="403"/>
      <c r="T943" s="198"/>
      <c r="U943" s="403"/>
      <c r="V943" s="19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03"/>
      <c r="B944" s="198"/>
      <c r="C944" s="403"/>
      <c r="D944" s="198"/>
      <c r="E944" s="403"/>
      <c r="F944" s="198"/>
      <c r="G944" s="403"/>
      <c r="H944" s="198"/>
      <c r="I944" s="403"/>
      <c r="J944" s="198"/>
      <c r="K944" s="403"/>
      <c r="L944" s="198"/>
      <c r="M944" s="403"/>
      <c r="N944" s="198"/>
      <c r="O944" s="403"/>
      <c r="P944" s="198"/>
      <c r="Q944" s="357"/>
      <c r="R944" s="357"/>
      <c r="S944" s="403"/>
      <c r="T944" s="198"/>
      <c r="U944" s="403"/>
      <c r="V944" s="19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03"/>
      <c r="B945" s="198"/>
      <c r="C945" s="403"/>
      <c r="D945" s="198"/>
      <c r="E945" s="403"/>
      <c r="F945" s="198"/>
      <c r="G945" s="403"/>
      <c r="H945" s="198"/>
      <c r="I945" s="403"/>
      <c r="J945" s="198"/>
      <c r="K945" s="403"/>
      <c r="L945" s="198"/>
      <c r="M945" s="403"/>
      <c r="N945" s="198"/>
      <c r="O945" s="403"/>
      <c r="P945" s="198"/>
      <c r="Q945" s="357"/>
      <c r="R945" s="357"/>
      <c r="S945" s="403"/>
      <c r="T945" s="198"/>
      <c r="U945" s="403"/>
      <c r="V945" s="19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03"/>
      <c r="B946" s="198"/>
      <c r="C946" s="403"/>
      <c r="D946" s="198"/>
      <c r="E946" s="403"/>
      <c r="F946" s="198"/>
      <c r="G946" s="403"/>
      <c r="H946" s="198"/>
      <c r="I946" s="403"/>
      <c r="J946" s="198"/>
      <c r="K946" s="403"/>
      <c r="L946" s="198"/>
      <c r="M946" s="403"/>
      <c r="N946" s="198"/>
      <c r="O946" s="403"/>
      <c r="P946" s="198"/>
      <c r="Q946" s="357"/>
      <c r="R946" s="357"/>
      <c r="S946" s="403"/>
      <c r="T946" s="198"/>
      <c r="U946" s="403"/>
      <c r="V946" s="19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03"/>
      <c r="B947" s="198"/>
      <c r="C947" s="403"/>
      <c r="D947" s="198"/>
      <c r="E947" s="403"/>
      <c r="F947" s="198"/>
      <c r="G947" s="403"/>
      <c r="H947" s="198"/>
      <c r="I947" s="403"/>
      <c r="J947" s="198"/>
      <c r="K947" s="403"/>
      <c r="L947" s="198"/>
      <c r="M947" s="403"/>
      <c r="N947" s="198"/>
      <c r="O947" s="403"/>
      <c r="P947" s="198"/>
      <c r="Q947" s="357"/>
      <c r="R947" s="357"/>
      <c r="S947" s="403"/>
      <c r="T947" s="198"/>
      <c r="U947" s="403"/>
      <c r="V947" s="19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03"/>
      <c r="B948" s="198"/>
      <c r="C948" s="403"/>
      <c r="D948" s="198"/>
      <c r="E948" s="403"/>
      <c r="F948" s="198"/>
      <c r="G948" s="403"/>
      <c r="H948" s="198"/>
      <c r="I948" s="403"/>
      <c r="J948" s="198"/>
      <c r="K948" s="403"/>
      <c r="L948" s="198"/>
      <c r="M948" s="403"/>
      <c r="N948" s="198"/>
      <c r="O948" s="403"/>
      <c r="P948" s="198"/>
      <c r="Q948" s="357"/>
      <c r="R948" s="357"/>
      <c r="S948" s="403"/>
      <c r="T948" s="198"/>
      <c r="U948" s="403"/>
      <c r="V948" s="19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03"/>
      <c r="B949" s="198"/>
      <c r="C949" s="403"/>
      <c r="D949" s="198"/>
      <c r="E949" s="403"/>
      <c r="F949" s="198"/>
      <c r="G949" s="403"/>
      <c r="H949" s="198"/>
      <c r="I949" s="403"/>
      <c r="J949" s="198"/>
      <c r="K949" s="403"/>
      <c r="L949" s="198"/>
      <c r="M949" s="403"/>
      <c r="N949" s="198"/>
      <c r="O949" s="403"/>
      <c r="P949" s="198"/>
      <c r="Q949" s="357"/>
      <c r="R949" s="357"/>
      <c r="S949" s="403"/>
      <c r="T949" s="198"/>
      <c r="U949" s="403"/>
      <c r="V949" s="19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03"/>
      <c r="B950" s="198"/>
      <c r="C950" s="403"/>
      <c r="D950" s="198"/>
      <c r="E950" s="403"/>
      <c r="F950" s="198"/>
      <c r="G950" s="403"/>
      <c r="H950" s="198"/>
      <c r="I950" s="403"/>
      <c r="J950" s="198"/>
      <c r="K950" s="403"/>
      <c r="L950" s="198"/>
      <c r="M950" s="403"/>
      <c r="N950" s="198"/>
      <c r="O950" s="403"/>
      <c r="P950" s="198"/>
      <c r="Q950" s="357"/>
      <c r="R950" s="357"/>
      <c r="S950" s="403"/>
      <c r="T950" s="198"/>
      <c r="U950" s="403"/>
      <c r="V950" s="19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03"/>
      <c r="B951" s="198"/>
      <c r="C951" s="403"/>
      <c r="D951" s="198"/>
      <c r="E951" s="403"/>
      <c r="F951" s="198"/>
      <c r="G951" s="403"/>
      <c r="H951" s="198"/>
      <c r="I951" s="403"/>
      <c r="J951" s="198"/>
      <c r="K951" s="403"/>
      <c r="L951" s="198"/>
      <c r="M951" s="403"/>
      <c r="N951" s="198"/>
      <c r="O951" s="403"/>
      <c r="P951" s="198"/>
      <c r="Q951" s="357"/>
      <c r="R951" s="357"/>
      <c r="S951" s="403"/>
      <c r="T951" s="198"/>
      <c r="U951" s="403"/>
      <c r="V951" s="19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03"/>
      <c r="B952" s="198"/>
      <c r="C952" s="403"/>
      <c r="D952" s="198"/>
      <c r="E952" s="403"/>
      <c r="F952" s="198"/>
      <c r="G952" s="403"/>
      <c r="H952" s="198"/>
      <c r="I952" s="403"/>
      <c r="J952" s="198"/>
      <c r="K952" s="403"/>
      <c r="L952" s="198"/>
      <c r="M952" s="403"/>
      <c r="N952" s="198"/>
      <c r="O952" s="403"/>
      <c r="P952" s="198"/>
      <c r="Q952" s="357"/>
      <c r="R952" s="357"/>
      <c r="S952" s="403"/>
      <c r="T952" s="198"/>
      <c r="U952" s="403"/>
      <c r="V952" s="19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03"/>
      <c r="B953" s="198"/>
      <c r="C953" s="403"/>
      <c r="D953" s="198"/>
      <c r="E953" s="403"/>
      <c r="F953" s="198"/>
      <c r="G953" s="403"/>
      <c r="H953" s="198"/>
      <c r="I953" s="403"/>
      <c r="J953" s="198"/>
      <c r="K953" s="403"/>
      <c r="L953" s="198"/>
      <c r="M953" s="403"/>
      <c r="N953" s="198"/>
      <c r="O953" s="403"/>
      <c r="P953" s="198"/>
      <c r="Q953" s="357"/>
      <c r="R953" s="357"/>
      <c r="S953" s="403"/>
      <c r="T953" s="198"/>
      <c r="U953" s="403"/>
      <c r="V953" s="19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03"/>
      <c r="B954" s="198"/>
      <c r="C954" s="403"/>
      <c r="D954" s="198"/>
      <c r="E954" s="403"/>
      <c r="F954" s="198"/>
      <c r="G954" s="403"/>
      <c r="H954" s="198"/>
      <c r="I954" s="403"/>
      <c r="J954" s="198"/>
      <c r="K954" s="403"/>
      <c r="L954" s="198"/>
      <c r="M954" s="403"/>
      <c r="N954" s="198"/>
      <c r="O954" s="403"/>
      <c r="P954" s="198"/>
      <c r="Q954" s="357"/>
      <c r="R954" s="357"/>
      <c r="S954" s="403"/>
      <c r="T954" s="198"/>
      <c r="U954" s="403"/>
      <c r="V954" s="19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03"/>
      <c r="B955" s="198"/>
      <c r="C955" s="403"/>
      <c r="D955" s="198"/>
      <c r="E955" s="403"/>
      <c r="F955" s="198"/>
      <c r="G955" s="403"/>
      <c r="H955" s="198"/>
      <c r="I955" s="403"/>
      <c r="J955" s="198"/>
      <c r="K955" s="403"/>
      <c r="L955" s="198"/>
      <c r="M955" s="403"/>
      <c r="N955" s="198"/>
      <c r="O955" s="403"/>
      <c r="P955" s="198"/>
      <c r="Q955" s="357"/>
      <c r="R955" s="357"/>
      <c r="S955" s="403"/>
      <c r="T955" s="198"/>
      <c r="U955" s="403"/>
      <c r="V955" s="19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03"/>
      <c r="B956" s="198"/>
      <c r="C956" s="403"/>
      <c r="D956" s="198"/>
      <c r="E956" s="403"/>
      <c r="F956" s="198"/>
      <c r="G956" s="403"/>
      <c r="H956" s="198"/>
      <c r="I956" s="403"/>
      <c r="J956" s="198"/>
      <c r="K956" s="403"/>
      <c r="L956" s="198"/>
      <c r="M956" s="403"/>
      <c r="N956" s="198"/>
      <c r="O956" s="403"/>
      <c r="P956" s="198"/>
      <c r="Q956" s="357"/>
      <c r="R956" s="357"/>
      <c r="S956" s="403"/>
      <c r="T956" s="198"/>
      <c r="U956" s="403"/>
      <c r="V956" s="19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03"/>
      <c r="B957" s="198"/>
      <c r="C957" s="403"/>
      <c r="D957" s="198"/>
      <c r="E957" s="403"/>
      <c r="F957" s="198"/>
      <c r="G957" s="403"/>
      <c r="H957" s="198"/>
      <c r="I957" s="403"/>
      <c r="J957" s="198"/>
      <c r="K957" s="403"/>
      <c r="L957" s="198"/>
      <c r="M957" s="403"/>
      <c r="N957" s="198"/>
      <c r="O957" s="403"/>
      <c r="P957" s="198"/>
      <c r="Q957" s="357"/>
      <c r="R957" s="357"/>
      <c r="S957" s="403"/>
      <c r="T957" s="198"/>
      <c r="U957" s="403"/>
      <c r="V957" s="19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03"/>
      <c r="B958" s="198"/>
      <c r="C958" s="403"/>
      <c r="D958" s="198"/>
      <c r="E958" s="403"/>
      <c r="F958" s="198"/>
      <c r="G958" s="403"/>
      <c r="H958" s="198"/>
      <c r="I958" s="403"/>
      <c r="J958" s="198"/>
      <c r="K958" s="403"/>
      <c r="L958" s="198"/>
      <c r="M958" s="403"/>
      <c r="N958" s="198"/>
      <c r="O958" s="403"/>
      <c r="P958" s="198"/>
      <c r="Q958" s="357"/>
      <c r="R958" s="357"/>
      <c r="S958" s="403"/>
      <c r="T958" s="198"/>
      <c r="U958" s="403"/>
      <c r="V958" s="19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03"/>
      <c r="B959" s="198"/>
      <c r="C959" s="403"/>
      <c r="D959" s="198"/>
      <c r="E959" s="403"/>
      <c r="F959" s="198"/>
      <c r="G959" s="403"/>
      <c r="H959" s="198"/>
      <c r="I959" s="403"/>
      <c r="J959" s="198"/>
      <c r="K959" s="403"/>
      <c r="L959" s="198"/>
      <c r="M959" s="403"/>
      <c r="N959" s="198"/>
      <c r="O959" s="403"/>
      <c r="P959" s="198"/>
      <c r="Q959" s="357"/>
      <c r="R959" s="357"/>
      <c r="S959" s="403"/>
      <c r="T959" s="198"/>
      <c r="U959" s="403"/>
      <c r="V959" s="19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03"/>
      <c r="B960" s="198"/>
      <c r="C960" s="403"/>
      <c r="D960" s="198"/>
      <c r="E960" s="403"/>
      <c r="F960" s="198"/>
      <c r="G960" s="403"/>
      <c r="H960" s="198"/>
      <c r="I960" s="403"/>
      <c r="J960" s="198"/>
      <c r="K960" s="403"/>
      <c r="L960" s="198"/>
      <c r="M960" s="403"/>
      <c r="N960" s="198"/>
      <c r="O960" s="403"/>
      <c r="P960" s="198"/>
      <c r="Q960" s="357"/>
      <c r="R960" s="357"/>
      <c r="S960" s="403"/>
      <c r="T960" s="198"/>
      <c r="U960" s="403"/>
      <c r="V960" s="19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03"/>
      <c r="B961" s="198"/>
      <c r="C961" s="403"/>
      <c r="D961" s="198"/>
      <c r="E961" s="403"/>
      <c r="F961" s="198"/>
      <c r="G961" s="403"/>
      <c r="H961" s="198"/>
      <c r="I961" s="403"/>
      <c r="J961" s="198"/>
      <c r="K961" s="403"/>
      <c r="L961" s="198"/>
      <c r="M961" s="403"/>
      <c r="N961" s="198"/>
      <c r="O961" s="403"/>
      <c r="P961" s="198"/>
      <c r="Q961" s="357"/>
      <c r="R961" s="357"/>
      <c r="S961" s="403"/>
      <c r="T961" s="198"/>
      <c r="U961" s="403"/>
      <c r="V961" s="19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03"/>
      <c r="B962" s="198"/>
      <c r="C962" s="403"/>
      <c r="D962" s="198"/>
      <c r="E962" s="403"/>
      <c r="F962" s="198"/>
      <c r="G962" s="403"/>
      <c r="H962" s="198"/>
      <c r="I962" s="403"/>
      <c r="J962" s="198"/>
      <c r="K962" s="403"/>
      <c r="L962" s="198"/>
      <c r="M962" s="403"/>
      <c r="N962" s="198"/>
      <c r="O962" s="403"/>
      <c r="P962" s="198"/>
      <c r="Q962" s="357"/>
      <c r="R962" s="357"/>
      <c r="S962" s="403"/>
      <c r="T962" s="198"/>
      <c r="U962" s="403"/>
      <c r="V962" s="19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03"/>
      <c r="B963" s="198"/>
      <c r="C963" s="403"/>
      <c r="D963" s="198"/>
      <c r="E963" s="403"/>
      <c r="F963" s="198"/>
      <c r="G963" s="403"/>
      <c r="H963" s="198"/>
      <c r="I963" s="403"/>
      <c r="J963" s="198"/>
      <c r="K963" s="403"/>
      <c r="L963" s="198"/>
      <c r="M963" s="403"/>
      <c r="N963" s="198"/>
      <c r="O963" s="403"/>
      <c r="P963" s="198"/>
      <c r="Q963" s="357"/>
      <c r="R963" s="357"/>
      <c r="S963" s="403"/>
      <c r="T963" s="198"/>
      <c r="U963" s="403"/>
      <c r="V963" s="19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03"/>
      <c r="B964" s="198"/>
      <c r="C964" s="403"/>
      <c r="D964" s="198"/>
      <c r="E964" s="403"/>
      <c r="F964" s="198"/>
      <c r="G964" s="403"/>
      <c r="H964" s="198"/>
      <c r="I964" s="403"/>
      <c r="J964" s="198"/>
      <c r="K964" s="403"/>
      <c r="L964" s="198"/>
      <c r="M964" s="403"/>
      <c r="N964" s="198"/>
      <c r="O964" s="403"/>
      <c r="P964" s="198"/>
      <c r="Q964" s="357"/>
      <c r="R964" s="357"/>
      <c r="S964" s="403"/>
      <c r="T964" s="198"/>
      <c r="U964" s="403"/>
      <c r="V964" s="19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03"/>
      <c r="B965" s="198"/>
      <c r="C965" s="403"/>
      <c r="D965" s="198"/>
      <c r="E965" s="403"/>
      <c r="F965" s="198"/>
      <c r="G965" s="403"/>
      <c r="H965" s="198"/>
      <c r="I965" s="403"/>
      <c r="J965" s="198"/>
      <c r="K965" s="403"/>
      <c r="L965" s="198"/>
      <c r="M965" s="403"/>
      <c r="N965" s="198"/>
      <c r="O965" s="403"/>
      <c r="P965" s="198"/>
      <c r="Q965" s="357"/>
      <c r="R965" s="357"/>
      <c r="S965" s="403"/>
      <c r="T965" s="198"/>
      <c r="U965" s="403"/>
      <c r="V965" s="19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03"/>
      <c r="B966" s="198"/>
      <c r="C966" s="403"/>
      <c r="D966" s="198"/>
      <c r="E966" s="403"/>
      <c r="F966" s="198"/>
      <c r="G966" s="403"/>
      <c r="H966" s="198"/>
      <c r="I966" s="403"/>
      <c r="J966" s="198"/>
      <c r="K966" s="403"/>
      <c r="L966" s="198"/>
      <c r="M966" s="403"/>
      <c r="N966" s="198"/>
      <c r="O966" s="403"/>
      <c r="P966" s="198"/>
      <c r="Q966" s="357"/>
      <c r="R966" s="357"/>
      <c r="S966" s="403"/>
      <c r="T966" s="198"/>
      <c r="U966" s="403"/>
      <c r="V966" s="19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03"/>
      <c r="B967" s="198"/>
      <c r="C967" s="403"/>
      <c r="D967" s="198"/>
      <c r="E967" s="403"/>
      <c r="F967" s="198"/>
      <c r="G967" s="403"/>
      <c r="H967" s="198"/>
      <c r="I967" s="403"/>
      <c r="J967" s="198"/>
      <c r="K967" s="403"/>
      <c r="L967" s="198"/>
      <c r="M967" s="403"/>
      <c r="N967" s="198"/>
      <c r="O967" s="403"/>
      <c r="P967" s="198"/>
      <c r="Q967" s="357"/>
      <c r="R967" s="357"/>
      <c r="S967" s="403"/>
      <c r="T967" s="198"/>
      <c r="U967" s="403"/>
      <c r="V967" s="19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03"/>
      <c r="B968" s="198"/>
      <c r="C968" s="403"/>
      <c r="D968" s="198"/>
      <c r="E968" s="403"/>
      <c r="F968" s="198"/>
      <c r="G968" s="403"/>
      <c r="H968" s="198"/>
      <c r="I968" s="403"/>
      <c r="J968" s="198"/>
      <c r="K968" s="403"/>
      <c r="L968" s="198"/>
      <c r="M968" s="403"/>
      <c r="N968" s="198"/>
      <c r="O968" s="403"/>
      <c r="P968" s="198"/>
      <c r="Q968" s="357"/>
      <c r="R968" s="357"/>
      <c r="S968" s="403"/>
      <c r="T968" s="198"/>
      <c r="U968" s="403"/>
      <c r="V968" s="19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03"/>
      <c r="B969" s="198"/>
      <c r="C969" s="403"/>
      <c r="D969" s="198"/>
      <c r="E969" s="403"/>
      <c r="F969" s="198"/>
      <c r="G969" s="403"/>
      <c r="H969" s="198"/>
      <c r="I969" s="403"/>
      <c r="J969" s="198"/>
      <c r="K969" s="403"/>
      <c r="L969" s="198"/>
      <c r="M969" s="403"/>
      <c r="N969" s="198"/>
      <c r="O969" s="403"/>
      <c r="P969" s="198"/>
      <c r="Q969" s="357"/>
      <c r="R969" s="357"/>
      <c r="S969" s="403"/>
      <c r="T969" s="198"/>
      <c r="U969" s="403"/>
      <c r="V969" s="19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03"/>
      <c r="B970" s="198"/>
      <c r="C970" s="403"/>
      <c r="D970" s="198"/>
      <c r="E970" s="403"/>
      <c r="F970" s="198"/>
      <c r="G970" s="403"/>
      <c r="H970" s="198"/>
      <c r="I970" s="403"/>
      <c r="J970" s="198"/>
      <c r="K970" s="403"/>
      <c r="L970" s="198"/>
      <c r="M970" s="403"/>
      <c r="N970" s="198"/>
      <c r="O970" s="403"/>
      <c r="P970" s="198"/>
      <c r="Q970" s="357"/>
      <c r="R970" s="357"/>
      <c r="S970" s="403"/>
      <c r="T970" s="198"/>
      <c r="U970" s="403"/>
      <c r="V970" s="19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03"/>
      <c r="B971" s="198"/>
      <c r="C971" s="403"/>
      <c r="D971" s="198"/>
      <c r="E971" s="403"/>
      <c r="F971" s="198"/>
      <c r="G971" s="403"/>
      <c r="H971" s="198"/>
      <c r="I971" s="403"/>
      <c r="J971" s="198"/>
      <c r="K971" s="403"/>
      <c r="L971" s="198"/>
      <c r="M971" s="403"/>
      <c r="N971" s="198"/>
      <c r="O971" s="403"/>
      <c r="P971" s="198"/>
      <c r="Q971" s="357"/>
      <c r="R971" s="357"/>
      <c r="S971" s="403"/>
      <c r="T971" s="198"/>
      <c r="U971" s="403"/>
      <c r="V971" s="19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03"/>
      <c r="B972" s="198"/>
      <c r="C972" s="403"/>
      <c r="D972" s="198"/>
      <c r="E972" s="403"/>
      <c r="F972" s="198"/>
      <c r="G972" s="403"/>
      <c r="H972" s="198"/>
      <c r="I972" s="403"/>
      <c r="J972" s="198"/>
      <c r="K972" s="403"/>
      <c r="L972" s="198"/>
      <c r="M972" s="403"/>
      <c r="N972" s="198"/>
      <c r="O972" s="403"/>
      <c r="P972" s="198"/>
      <c r="Q972" s="357"/>
      <c r="R972" s="357"/>
      <c r="S972" s="403"/>
      <c r="T972" s="198"/>
      <c r="U972" s="403"/>
      <c r="V972" s="19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03"/>
      <c r="B973" s="198"/>
      <c r="C973" s="403"/>
      <c r="D973" s="198"/>
      <c r="E973" s="403"/>
      <c r="F973" s="198"/>
      <c r="G973" s="403"/>
      <c r="H973" s="198"/>
      <c r="I973" s="403"/>
      <c r="J973" s="198"/>
      <c r="K973" s="403"/>
      <c r="L973" s="198"/>
      <c r="M973" s="403"/>
      <c r="N973" s="198"/>
      <c r="O973" s="403"/>
      <c r="P973" s="198"/>
      <c r="Q973" s="357"/>
      <c r="R973" s="357"/>
      <c r="S973" s="403"/>
      <c r="T973" s="198"/>
      <c r="U973" s="403"/>
      <c r="V973" s="19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03"/>
      <c r="B974" s="198"/>
      <c r="C974" s="403"/>
      <c r="D974" s="198"/>
      <c r="E974" s="403"/>
      <c r="F974" s="198"/>
      <c r="G974" s="403"/>
      <c r="H974" s="198"/>
      <c r="I974" s="403"/>
      <c r="J974" s="198"/>
      <c r="K974" s="403"/>
      <c r="L974" s="198"/>
      <c r="M974" s="403"/>
      <c r="N974" s="198"/>
      <c r="O974" s="403"/>
      <c r="P974" s="198"/>
      <c r="Q974" s="357"/>
      <c r="R974" s="357"/>
      <c r="S974" s="403"/>
      <c r="T974" s="198"/>
      <c r="U974" s="403"/>
      <c r="V974" s="19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03"/>
      <c r="B975" s="198"/>
      <c r="C975" s="403"/>
      <c r="D975" s="198"/>
      <c r="E975" s="403"/>
      <c r="F975" s="198"/>
      <c r="G975" s="403"/>
      <c r="H975" s="198"/>
      <c r="I975" s="403"/>
      <c r="J975" s="198"/>
      <c r="K975" s="403"/>
      <c r="L975" s="198"/>
      <c r="M975" s="403"/>
      <c r="N975" s="198"/>
      <c r="O975" s="403"/>
      <c r="P975" s="198"/>
      <c r="Q975" s="357"/>
      <c r="R975" s="357"/>
      <c r="S975" s="403"/>
      <c r="T975" s="198"/>
      <c r="U975" s="403"/>
      <c r="V975" s="19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03"/>
      <c r="B976" s="198"/>
      <c r="C976" s="403"/>
      <c r="D976" s="198"/>
      <c r="E976" s="403"/>
      <c r="F976" s="198"/>
      <c r="G976" s="403"/>
      <c r="H976" s="198"/>
      <c r="I976" s="403"/>
      <c r="J976" s="198"/>
      <c r="K976" s="403"/>
      <c r="L976" s="198"/>
      <c r="M976" s="403"/>
      <c r="N976" s="198"/>
      <c r="O976" s="403"/>
      <c r="P976" s="198"/>
      <c r="Q976" s="357"/>
      <c r="R976" s="357"/>
      <c r="S976" s="403"/>
      <c r="T976" s="198"/>
      <c r="U976" s="403"/>
      <c r="V976" s="19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03"/>
      <c r="B977" s="198"/>
      <c r="C977" s="403"/>
      <c r="D977" s="198"/>
      <c r="E977" s="403"/>
      <c r="F977" s="198"/>
      <c r="G977" s="403"/>
      <c r="H977" s="198"/>
      <c r="I977" s="403"/>
      <c r="J977" s="198"/>
      <c r="K977" s="403"/>
      <c r="L977" s="198"/>
      <c r="M977" s="403"/>
      <c r="N977" s="198"/>
      <c r="O977" s="403"/>
      <c r="P977" s="198"/>
      <c r="Q977" s="357"/>
      <c r="R977" s="357"/>
      <c r="S977" s="403"/>
      <c r="T977" s="198"/>
      <c r="U977" s="403"/>
      <c r="V977" s="19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03"/>
      <c r="B978" s="198"/>
      <c r="C978" s="403"/>
      <c r="D978" s="198"/>
      <c r="E978" s="403"/>
      <c r="F978" s="198"/>
      <c r="G978" s="403"/>
      <c r="H978" s="198"/>
      <c r="I978" s="403"/>
      <c r="J978" s="198"/>
      <c r="K978" s="403"/>
      <c r="L978" s="198"/>
      <c r="M978" s="403"/>
      <c r="N978" s="198"/>
      <c r="O978" s="403"/>
      <c r="P978" s="198"/>
      <c r="Q978" s="357"/>
      <c r="R978" s="357"/>
      <c r="S978" s="403"/>
      <c r="T978" s="198"/>
      <c r="U978" s="403"/>
      <c r="V978" s="19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03"/>
      <c r="B979" s="198"/>
      <c r="C979" s="403"/>
      <c r="D979" s="198"/>
      <c r="E979" s="403"/>
      <c r="F979" s="198"/>
      <c r="G979" s="403"/>
      <c r="H979" s="198"/>
      <c r="I979" s="403"/>
      <c r="J979" s="198"/>
      <c r="K979" s="403"/>
      <c r="L979" s="198"/>
      <c r="M979" s="403"/>
      <c r="N979" s="198"/>
      <c r="O979" s="403"/>
      <c r="P979" s="198"/>
      <c r="Q979" s="357"/>
      <c r="R979" s="357"/>
      <c r="S979" s="403"/>
      <c r="T979" s="198"/>
      <c r="U979" s="403"/>
      <c r="V979" s="19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03"/>
      <c r="B980" s="198"/>
      <c r="C980" s="403"/>
      <c r="D980" s="198"/>
      <c r="E980" s="403"/>
      <c r="F980" s="198"/>
      <c r="G980" s="403"/>
      <c r="H980" s="198"/>
      <c r="I980" s="403"/>
      <c r="J980" s="198"/>
      <c r="K980" s="403"/>
      <c r="L980" s="198"/>
      <c r="M980" s="403"/>
      <c r="N980" s="198"/>
      <c r="O980" s="403"/>
      <c r="P980" s="198"/>
      <c r="Q980" s="357"/>
      <c r="R980" s="357"/>
      <c r="S980" s="403"/>
      <c r="T980" s="198"/>
      <c r="U980" s="403"/>
      <c r="V980" s="19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03"/>
      <c r="B981" s="198"/>
      <c r="C981" s="403"/>
      <c r="D981" s="198"/>
      <c r="E981" s="403"/>
      <c r="F981" s="198"/>
      <c r="G981" s="403"/>
      <c r="H981" s="198"/>
      <c r="I981" s="403"/>
      <c r="J981" s="198"/>
      <c r="K981" s="403"/>
      <c r="L981" s="198"/>
      <c r="M981" s="403"/>
      <c r="N981" s="198"/>
      <c r="O981" s="403"/>
      <c r="P981" s="198"/>
      <c r="Q981" s="357"/>
      <c r="R981" s="357"/>
      <c r="S981" s="403"/>
      <c r="T981" s="198"/>
      <c r="U981" s="403"/>
      <c r="V981" s="19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03"/>
      <c r="B982" s="198"/>
      <c r="C982" s="403"/>
      <c r="D982" s="198"/>
      <c r="E982" s="403"/>
      <c r="F982" s="198"/>
      <c r="G982" s="403"/>
      <c r="H982" s="198"/>
      <c r="I982" s="403"/>
      <c r="J982" s="198"/>
      <c r="K982" s="403"/>
      <c r="L982" s="198"/>
      <c r="M982" s="403"/>
      <c r="N982" s="198"/>
      <c r="O982" s="403"/>
      <c r="P982" s="198"/>
      <c r="Q982" s="357"/>
      <c r="R982" s="357"/>
      <c r="S982" s="403"/>
      <c r="T982" s="198"/>
      <c r="U982" s="403"/>
      <c r="V982" s="19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03"/>
      <c r="B983" s="198"/>
      <c r="C983" s="403"/>
      <c r="D983" s="198"/>
      <c r="E983" s="403"/>
      <c r="F983" s="198"/>
      <c r="G983" s="403"/>
      <c r="H983" s="198"/>
      <c r="I983" s="403"/>
      <c r="J983" s="198"/>
      <c r="K983" s="403"/>
      <c r="L983" s="198"/>
      <c r="M983" s="403"/>
      <c r="N983" s="198"/>
      <c r="O983" s="403"/>
      <c r="P983" s="198"/>
      <c r="Q983" s="357"/>
      <c r="R983" s="357"/>
      <c r="S983" s="403"/>
      <c r="T983" s="198"/>
      <c r="U983" s="403"/>
      <c r="V983" s="19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03"/>
      <c r="B984" s="198"/>
      <c r="C984" s="403"/>
      <c r="D984" s="198"/>
      <c r="E984" s="403"/>
      <c r="F984" s="198"/>
      <c r="G984" s="403"/>
      <c r="H984" s="198"/>
      <c r="I984" s="403"/>
      <c r="J984" s="198"/>
      <c r="K984" s="403"/>
      <c r="L984" s="198"/>
      <c r="M984" s="403"/>
      <c r="N984" s="198"/>
      <c r="O984" s="403"/>
      <c r="P984" s="198"/>
      <c r="Q984" s="357"/>
      <c r="R984" s="357"/>
      <c r="S984" s="403"/>
      <c r="T984" s="198"/>
      <c r="U984" s="403"/>
      <c r="V984" s="19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03"/>
      <c r="B985" s="198"/>
      <c r="C985" s="403"/>
      <c r="D985" s="198"/>
      <c r="E985" s="403"/>
      <c r="F985" s="198"/>
      <c r="G985" s="403"/>
      <c r="H985" s="198"/>
      <c r="I985" s="403"/>
      <c r="J985" s="198"/>
      <c r="K985" s="403"/>
      <c r="L985" s="198"/>
      <c r="M985" s="403"/>
      <c r="N985" s="198"/>
      <c r="O985" s="403"/>
      <c r="P985" s="198"/>
      <c r="Q985" s="357"/>
      <c r="R985" s="357"/>
      <c r="S985" s="403"/>
      <c r="T985" s="198"/>
      <c r="U985" s="403"/>
      <c r="V985" s="19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03"/>
      <c r="B986" s="198"/>
      <c r="C986" s="403"/>
      <c r="D986" s="198"/>
      <c r="E986" s="403"/>
      <c r="F986" s="198"/>
      <c r="G986" s="403"/>
      <c r="H986" s="198"/>
      <c r="I986" s="403"/>
      <c r="J986" s="198"/>
      <c r="K986" s="403"/>
      <c r="L986" s="198"/>
      <c r="M986" s="403"/>
      <c r="N986" s="198"/>
      <c r="O986" s="403"/>
      <c r="P986" s="198"/>
      <c r="Q986" s="357"/>
      <c r="R986" s="357"/>
      <c r="S986" s="403"/>
      <c r="T986" s="198"/>
      <c r="U986" s="403"/>
      <c r="V986" s="19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03"/>
      <c r="B987" s="198"/>
      <c r="C987" s="403"/>
      <c r="D987" s="198"/>
      <c r="E987" s="403"/>
      <c r="F987" s="198"/>
      <c r="G987" s="403"/>
      <c r="H987" s="198"/>
      <c r="I987" s="403"/>
      <c r="J987" s="198"/>
      <c r="K987" s="403"/>
      <c r="L987" s="198"/>
      <c r="M987" s="403"/>
      <c r="N987" s="198"/>
      <c r="O987" s="403"/>
      <c r="P987" s="198"/>
      <c r="Q987" s="357"/>
      <c r="R987" s="357"/>
      <c r="S987" s="403"/>
      <c r="T987" s="198"/>
      <c r="U987" s="403"/>
      <c r="V987" s="19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03"/>
      <c r="B988" s="198"/>
      <c r="C988" s="403"/>
      <c r="D988" s="198"/>
      <c r="E988" s="403"/>
      <c r="F988" s="198"/>
      <c r="G988" s="403"/>
      <c r="H988" s="198"/>
      <c r="I988" s="403"/>
      <c r="J988" s="198"/>
      <c r="K988" s="403"/>
      <c r="L988" s="198"/>
      <c r="M988" s="403"/>
      <c r="N988" s="198"/>
      <c r="O988" s="403"/>
      <c r="P988" s="198"/>
      <c r="Q988" s="357"/>
      <c r="R988" s="357"/>
      <c r="S988" s="403"/>
      <c r="T988" s="198"/>
      <c r="U988" s="403"/>
      <c r="V988" s="19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03"/>
      <c r="B989" s="198"/>
      <c r="C989" s="403"/>
      <c r="D989" s="198"/>
      <c r="E989" s="403"/>
      <c r="F989" s="198"/>
      <c r="G989" s="403"/>
      <c r="H989" s="198"/>
      <c r="I989" s="403"/>
      <c r="J989" s="198"/>
      <c r="K989" s="403"/>
      <c r="L989" s="198"/>
      <c r="M989" s="403"/>
      <c r="N989" s="198"/>
      <c r="O989" s="403"/>
      <c r="P989" s="198"/>
      <c r="Q989" s="357"/>
      <c r="R989" s="357"/>
      <c r="S989" s="403"/>
      <c r="T989" s="198"/>
      <c r="U989" s="403"/>
      <c r="V989" s="19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03"/>
      <c r="B990" s="198"/>
      <c r="C990" s="403"/>
      <c r="D990" s="198"/>
      <c r="E990" s="403"/>
      <c r="F990" s="198"/>
      <c r="G990" s="403"/>
      <c r="H990" s="198"/>
      <c r="I990" s="403"/>
      <c r="J990" s="198"/>
      <c r="K990" s="403"/>
      <c r="L990" s="198"/>
      <c r="M990" s="403"/>
      <c r="N990" s="198"/>
      <c r="O990" s="403"/>
      <c r="P990" s="198"/>
      <c r="Q990" s="357"/>
      <c r="R990" s="357"/>
      <c r="S990" s="403"/>
      <c r="T990" s="198"/>
      <c r="U990" s="403"/>
      <c r="V990" s="19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03"/>
      <c r="B991" s="198"/>
      <c r="C991" s="403"/>
      <c r="D991" s="198"/>
      <c r="E991" s="403"/>
      <c r="F991" s="198"/>
      <c r="G991" s="403"/>
      <c r="H991" s="198"/>
      <c r="I991" s="403"/>
      <c r="J991" s="198"/>
      <c r="K991" s="403"/>
      <c r="L991" s="198"/>
      <c r="M991" s="403"/>
      <c r="N991" s="198"/>
      <c r="O991" s="403"/>
      <c r="P991" s="198"/>
      <c r="Q991" s="357"/>
      <c r="R991" s="357"/>
      <c r="S991" s="403"/>
      <c r="T991" s="198"/>
      <c r="U991" s="403"/>
      <c r="V991" s="19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03"/>
      <c r="B992" s="198"/>
      <c r="C992" s="403"/>
      <c r="D992" s="198"/>
      <c r="E992" s="403"/>
      <c r="F992" s="198"/>
      <c r="G992" s="403"/>
      <c r="H992" s="198"/>
      <c r="I992" s="403"/>
      <c r="J992" s="198"/>
      <c r="K992" s="403"/>
      <c r="L992" s="198"/>
      <c r="M992" s="403"/>
      <c r="N992" s="198"/>
      <c r="O992" s="403"/>
      <c r="P992" s="198"/>
      <c r="Q992" s="357"/>
      <c r="R992" s="357"/>
      <c r="S992" s="403"/>
      <c r="T992" s="198"/>
      <c r="U992" s="403"/>
      <c r="V992" s="19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03"/>
      <c r="B993" s="198"/>
      <c r="C993" s="403"/>
      <c r="D993" s="198"/>
      <c r="E993" s="403"/>
      <c r="F993" s="198"/>
      <c r="G993" s="403"/>
      <c r="H993" s="198"/>
      <c r="I993" s="403"/>
      <c r="J993" s="198"/>
      <c r="K993" s="403"/>
      <c r="L993" s="198"/>
      <c r="M993" s="403"/>
      <c r="N993" s="198"/>
      <c r="O993" s="403"/>
      <c r="P993" s="198"/>
      <c r="Q993" s="357"/>
      <c r="R993" s="357"/>
      <c r="S993" s="403"/>
      <c r="T993" s="198"/>
      <c r="U993" s="403"/>
      <c r="V993" s="19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03"/>
      <c r="B994" s="198"/>
      <c r="C994" s="403"/>
      <c r="D994" s="198"/>
      <c r="E994" s="403"/>
      <c r="F994" s="198"/>
      <c r="G994" s="403"/>
      <c r="H994" s="198"/>
      <c r="I994" s="403"/>
      <c r="J994" s="198"/>
      <c r="K994" s="403"/>
      <c r="L994" s="198"/>
      <c r="M994" s="403"/>
      <c r="N994" s="198"/>
      <c r="O994" s="403"/>
      <c r="P994" s="198"/>
      <c r="Q994" s="357"/>
      <c r="R994" s="357"/>
      <c r="S994" s="403"/>
      <c r="T994" s="198"/>
      <c r="U994" s="403"/>
      <c r="V994" s="19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03"/>
      <c r="B995" s="198"/>
      <c r="C995" s="403"/>
      <c r="D995" s="198"/>
      <c r="E995" s="403"/>
      <c r="F995" s="198"/>
      <c r="G995" s="403"/>
      <c r="H995" s="198"/>
      <c r="I995" s="403"/>
      <c r="J995" s="198"/>
      <c r="K995" s="403"/>
      <c r="L995" s="198"/>
      <c r="M995" s="403"/>
      <c r="N995" s="198"/>
      <c r="O995" s="403"/>
      <c r="P995" s="198"/>
      <c r="Q995" s="357"/>
      <c r="R995" s="357"/>
      <c r="S995" s="403"/>
      <c r="T995" s="198"/>
      <c r="U995" s="403"/>
      <c r="V995" s="19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03"/>
      <c r="B996" s="198"/>
      <c r="C996" s="403"/>
      <c r="D996" s="198"/>
      <c r="E996" s="403"/>
      <c r="F996" s="198"/>
      <c r="G996" s="403"/>
      <c r="H996" s="198"/>
      <c r="I996" s="403"/>
      <c r="J996" s="198"/>
      <c r="K996" s="403"/>
      <c r="L996" s="198"/>
      <c r="M996" s="403"/>
      <c r="N996" s="198"/>
      <c r="O996" s="403"/>
      <c r="P996" s="198"/>
      <c r="Q996" s="357"/>
      <c r="R996" s="357"/>
      <c r="S996" s="403"/>
      <c r="T996" s="198"/>
      <c r="U996" s="403"/>
      <c r="V996" s="19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03"/>
      <c r="B997" s="198"/>
      <c r="C997" s="403"/>
      <c r="D997" s="198"/>
      <c r="E997" s="403"/>
      <c r="F997" s="198"/>
      <c r="G997" s="403"/>
      <c r="H997" s="198"/>
      <c r="I997" s="403"/>
      <c r="J997" s="198"/>
      <c r="K997" s="403"/>
      <c r="L997" s="198"/>
      <c r="M997" s="403"/>
      <c r="N997" s="198"/>
      <c r="O997" s="403"/>
      <c r="P997" s="198"/>
      <c r="Q997" s="357"/>
      <c r="R997" s="357"/>
      <c r="S997" s="403"/>
      <c r="T997" s="198"/>
      <c r="U997" s="403"/>
      <c r="V997" s="19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03"/>
      <c r="B998" s="198"/>
      <c r="C998" s="403"/>
      <c r="D998" s="198"/>
      <c r="E998" s="403"/>
      <c r="F998" s="198"/>
      <c r="G998" s="403"/>
      <c r="H998" s="198"/>
      <c r="I998" s="403"/>
      <c r="J998" s="198"/>
      <c r="K998" s="403"/>
      <c r="L998" s="198"/>
      <c r="M998" s="403"/>
      <c r="N998" s="198"/>
      <c r="O998" s="403"/>
      <c r="P998" s="198"/>
      <c r="Q998" s="357"/>
      <c r="R998" s="357"/>
      <c r="S998" s="403"/>
      <c r="T998" s="198"/>
      <c r="U998" s="403"/>
      <c r="V998" s="19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03"/>
      <c r="B999" s="198"/>
      <c r="C999" s="403"/>
      <c r="D999" s="198"/>
      <c r="E999" s="403"/>
      <c r="F999" s="198"/>
      <c r="G999" s="403"/>
      <c r="H999" s="198"/>
      <c r="I999" s="403"/>
      <c r="J999" s="198"/>
      <c r="K999" s="403"/>
      <c r="L999" s="198"/>
      <c r="M999" s="403"/>
      <c r="N999" s="198"/>
      <c r="O999" s="403"/>
      <c r="P999" s="198"/>
      <c r="Q999" s="357"/>
      <c r="R999" s="357"/>
      <c r="S999" s="403"/>
      <c r="T999" s="198"/>
      <c r="U999" s="403"/>
      <c r="V999" s="19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03"/>
      <c r="B1000" s="198"/>
      <c r="C1000" s="403"/>
      <c r="D1000" s="198"/>
      <c r="E1000" s="403"/>
      <c r="F1000" s="198"/>
      <c r="G1000" s="403"/>
      <c r="H1000" s="198"/>
      <c r="I1000" s="403"/>
      <c r="J1000" s="198"/>
      <c r="K1000" s="403"/>
      <c r="L1000" s="198"/>
      <c r="M1000" s="403"/>
      <c r="N1000" s="198"/>
      <c r="O1000" s="403"/>
      <c r="P1000" s="198"/>
      <c r="Q1000" s="357"/>
      <c r="R1000" s="357"/>
      <c r="S1000" s="403"/>
      <c r="T1000" s="198"/>
      <c r="U1000" s="403"/>
      <c r="V1000" s="19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03"/>
      <c r="B1001" s="198"/>
      <c r="C1001" s="403"/>
      <c r="D1001" s="198"/>
      <c r="E1001" s="403"/>
      <c r="F1001" s="198"/>
      <c r="G1001" s="403"/>
      <c r="H1001" s="198"/>
      <c r="I1001" s="403"/>
      <c r="J1001" s="198"/>
      <c r="K1001" s="403"/>
      <c r="L1001" s="198"/>
      <c r="M1001" s="403"/>
      <c r="N1001" s="198"/>
      <c r="O1001" s="403"/>
      <c r="P1001" s="198"/>
      <c r="Q1001" s="357"/>
      <c r="R1001" s="357"/>
      <c r="S1001" s="403"/>
      <c r="T1001" s="198"/>
      <c r="U1001" s="403"/>
      <c r="V1001" s="19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03"/>
      <c r="B1002" s="198"/>
      <c r="C1002" s="403"/>
      <c r="D1002" s="198"/>
      <c r="E1002" s="403"/>
      <c r="F1002" s="198"/>
      <c r="G1002" s="403"/>
      <c r="H1002" s="198"/>
      <c r="I1002" s="403"/>
      <c r="J1002" s="198"/>
      <c r="K1002" s="403"/>
      <c r="L1002" s="198"/>
      <c r="M1002" s="403"/>
      <c r="N1002" s="198"/>
      <c r="O1002" s="403"/>
      <c r="P1002" s="198"/>
      <c r="Q1002" s="357"/>
      <c r="R1002" s="357"/>
      <c r="S1002" s="403"/>
      <c r="T1002" s="198"/>
      <c r="U1002" s="403"/>
      <c r="V1002" s="19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03"/>
      <c r="B1003" s="198"/>
      <c r="C1003" s="403"/>
      <c r="D1003" s="198"/>
      <c r="E1003" s="403"/>
      <c r="F1003" s="198"/>
      <c r="G1003" s="403"/>
      <c r="H1003" s="198"/>
      <c r="I1003" s="403"/>
      <c r="J1003" s="198"/>
      <c r="K1003" s="403"/>
      <c r="L1003" s="198"/>
      <c r="M1003" s="403"/>
      <c r="N1003" s="198"/>
      <c r="O1003" s="403"/>
      <c r="P1003" s="198"/>
      <c r="Q1003" s="357"/>
      <c r="R1003" s="357"/>
      <c r="S1003" s="403"/>
      <c r="T1003" s="198"/>
      <c r="U1003" s="403"/>
      <c r="V1003" s="19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03"/>
      <c r="B1004" s="198"/>
      <c r="C1004" s="403"/>
      <c r="D1004" s="198"/>
      <c r="E1004" s="403"/>
      <c r="F1004" s="198"/>
      <c r="G1004" s="403"/>
      <c r="H1004" s="198"/>
      <c r="I1004" s="403"/>
      <c r="J1004" s="198"/>
      <c r="K1004" s="403"/>
      <c r="L1004" s="198"/>
      <c r="M1004" s="403"/>
      <c r="N1004" s="198"/>
      <c r="O1004" s="403"/>
      <c r="P1004" s="198"/>
      <c r="Q1004" s="403"/>
      <c r="R1004" s="198"/>
      <c r="S1004" s="403"/>
      <c r="T1004" s="198"/>
      <c r="U1004" s="403"/>
      <c r="V1004" s="19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03"/>
      <c r="B1005" s="198"/>
      <c r="C1005" s="403"/>
      <c r="D1005" s="198"/>
      <c r="E1005" s="403"/>
      <c r="F1005" s="198"/>
      <c r="G1005" s="403"/>
      <c r="H1005" s="198"/>
      <c r="I1005" s="403"/>
      <c r="J1005" s="198"/>
      <c r="K1005" s="403"/>
      <c r="L1005" s="198"/>
      <c r="M1005" s="403"/>
      <c r="N1005" s="198"/>
      <c r="O1005" s="403"/>
      <c r="P1005" s="198"/>
      <c r="Q1005" s="403"/>
      <c r="R1005" s="198"/>
      <c r="S1005" s="403"/>
      <c r="T1005" s="198"/>
      <c r="U1005" s="403"/>
      <c r="V1005" s="19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03"/>
      <c r="B1006" s="198"/>
      <c r="C1006" s="403"/>
      <c r="D1006" s="198"/>
      <c r="E1006" s="403"/>
      <c r="F1006" s="198"/>
      <c r="G1006" s="403"/>
      <c r="H1006" s="198"/>
      <c r="I1006" s="403"/>
      <c r="J1006" s="198"/>
      <c r="K1006" s="403"/>
      <c r="L1006" s="198"/>
      <c r="M1006" s="403"/>
      <c r="N1006" s="198"/>
      <c r="O1006" s="403"/>
      <c r="P1006" s="198"/>
      <c r="Q1006" s="403"/>
      <c r="R1006" s="198"/>
      <c r="S1006" s="403"/>
      <c r="T1006" s="198"/>
      <c r="U1006" s="403"/>
      <c r="V1006" s="19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03"/>
      <c r="B1007" s="198"/>
      <c r="C1007" s="403"/>
      <c r="D1007" s="198"/>
      <c r="E1007" s="403"/>
      <c r="F1007" s="198"/>
      <c r="G1007" s="403"/>
      <c r="H1007" s="198"/>
      <c r="I1007" s="403"/>
      <c r="J1007" s="198"/>
      <c r="K1007" s="403"/>
      <c r="L1007" s="198"/>
      <c r="M1007" s="403"/>
      <c r="N1007" s="198"/>
      <c r="O1007" s="403"/>
      <c r="P1007" s="198"/>
      <c r="Q1007" s="403"/>
      <c r="R1007" s="198"/>
      <c r="S1007" s="403"/>
      <c r="T1007" s="198"/>
      <c r="U1007" s="403"/>
      <c r="V1007" s="19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03"/>
      <c r="B1008" s="198"/>
      <c r="C1008" s="403"/>
      <c r="D1008" s="198"/>
      <c r="E1008" s="403"/>
      <c r="F1008" s="198"/>
      <c r="G1008" s="403"/>
      <c r="H1008" s="198"/>
      <c r="I1008" s="403"/>
      <c r="J1008" s="198"/>
      <c r="K1008" s="403"/>
      <c r="L1008" s="198"/>
      <c r="M1008" s="403"/>
      <c r="N1008" s="198"/>
      <c r="O1008" s="403"/>
      <c r="P1008" s="198"/>
      <c r="Q1008" s="403"/>
      <c r="R1008" s="198"/>
      <c r="S1008" s="403"/>
      <c r="T1008" s="198"/>
      <c r="U1008" s="403"/>
      <c r="V1008" s="19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03"/>
      <c r="B1009" s="198"/>
      <c r="C1009" s="403"/>
      <c r="D1009" s="198"/>
      <c r="E1009" s="403"/>
      <c r="F1009" s="198"/>
      <c r="G1009" s="403"/>
      <c r="H1009" s="198"/>
      <c r="I1009" s="403"/>
      <c r="J1009" s="198"/>
      <c r="K1009" s="403"/>
      <c r="L1009" s="198"/>
      <c r="M1009" s="403"/>
      <c r="N1009" s="198"/>
      <c r="O1009" s="403"/>
      <c r="P1009" s="198"/>
      <c r="Q1009" s="403"/>
      <c r="R1009" s="198"/>
      <c r="S1009" s="403"/>
      <c r="T1009" s="198"/>
      <c r="U1009" s="403"/>
      <c r="V1009" s="19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row>
    <row r="1010">
      <c r="A1010" s="403"/>
      <c r="B1010" s="198"/>
      <c r="C1010" s="403"/>
      <c r="D1010" s="198"/>
      <c r="E1010" s="403"/>
      <c r="F1010" s="198"/>
      <c r="G1010" s="403"/>
      <c r="H1010" s="198"/>
      <c r="I1010" s="403"/>
      <c r="J1010" s="198"/>
      <c r="K1010" s="403"/>
      <c r="L1010" s="198"/>
      <c r="M1010" s="403"/>
      <c r="N1010" s="198"/>
      <c r="O1010" s="403"/>
      <c r="P1010" s="198"/>
      <c r="Q1010" s="403"/>
      <c r="R1010" s="198"/>
      <c r="S1010" s="403"/>
      <c r="T1010" s="198"/>
      <c r="U1010" s="403"/>
      <c r="V1010" s="19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row>
    <row r="1011">
      <c r="A1011" s="403"/>
      <c r="B1011" s="198"/>
      <c r="C1011" s="403"/>
      <c r="D1011" s="198"/>
      <c r="E1011" s="403"/>
      <c r="F1011" s="198"/>
      <c r="G1011" s="403"/>
      <c r="H1011" s="198"/>
      <c r="I1011" s="403"/>
      <c r="J1011" s="198"/>
      <c r="K1011" s="403"/>
      <c r="L1011" s="198"/>
      <c r="M1011" s="403"/>
      <c r="N1011" s="198"/>
      <c r="O1011" s="403"/>
      <c r="P1011" s="198"/>
      <c r="Q1011" s="403"/>
      <c r="R1011" s="198"/>
      <c r="S1011" s="403"/>
      <c r="T1011" s="198"/>
      <c r="U1011" s="403"/>
      <c r="V1011" s="19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row>
  </sheetData>
  <mergeCells count="55">
    <mergeCell ref="O68:P68"/>
    <mergeCell ref="Q68:R68"/>
    <mergeCell ref="S68:T68"/>
    <mergeCell ref="U68:V68"/>
    <mergeCell ref="A68:B68"/>
    <mergeCell ref="C68:D68"/>
    <mergeCell ref="E68:F68"/>
    <mergeCell ref="G68:H68"/>
    <mergeCell ref="I68:J68"/>
    <mergeCell ref="K68:L68"/>
    <mergeCell ref="M68:N68"/>
    <mergeCell ref="O2:P2"/>
    <mergeCell ref="Q2:R2"/>
    <mergeCell ref="S2:T2"/>
    <mergeCell ref="U2:V2"/>
    <mergeCell ref="A2:B2"/>
    <mergeCell ref="C2:D2"/>
    <mergeCell ref="E2:F2"/>
    <mergeCell ref="G2:H2"/>
    <mergeCell ref="I2:J2"/>
    <mergeCell ref="K2:L2"/>
    <mergeCell ref="M2:N2"/>
    <mergeCell ref="O20:P20"/>
    <mergeCell ref="Q20:R20"/>
    <mergeCell ref="S20:T20"/>
    <mergeCell ref="U20:V20"/>
    <mergeCell ref="A20:B20"/>
    <mergeCell ref="C20:D20"/>
    <mergeCell ref="E20:F20"/>
    <mergeCell ref="G20:H20"/>
    <mergeCell ref="I20:J20"/>
    <mergeCell ref="K20:L20"/>
    <mergeCell ref="M20:N20"/>
    <mergeCell ref="O51:P51"/>
    <mergeCell ref="Q51:R51"/>
    <mergeCell ref="S51:T51"/>
    <mergeCell ref="U51:V51"/>
    <mergeCell ref="A51:B51"/>
    <mergeCell ref="C51:D51"/>
    <mergeCell ref="E51:F51"/>
    <mergeCell ref="G51:H51"/>
    <mergeCell ref="I51:J51"/>
    <mergeCell ref="K51:L51"/>
    <mergeCell ref="M51:N51"/>
    <mergeCell ref="O81:P81"/>
    <mergeCell ref="Q81:R81"/>
    <mergeCell ref="S81:T81"/>
    <mergeCell ref="U81:V81"/>
    <mergeCell ref="A81:B81"/>
    <mergeCell ref="C81:D81"/>
    <mergeCell ref="E81:F81"/>
    <mergeCell ref="G81:H81"/>
    <mergeCell ref="I81:J81"/>
    <mergeCell ref="K81:L81"/>
    <mergeCell ref="M81:N8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4.75"/>
    <col customWidth="1" min="20" max="20" width="31.5"/>
    <col customWidth="1" min="21" max="21" width="14.75"/>
    <col customWidth="1" min="22" max="22" width="31.5"/>
  </cols>
  <sheetData>
    <row r="1">
      <c r="A1" s="393" t="s">
        <v>8987</v>
      </c>
      <c r="B1" s="84" t="s">
        <v>8988</v>
      </c>
      <c r="C1" s="393" t="str">
        <f>IFERROR(__xludf.DUMMYFUNCTION("GOOGLETRANSLATE(A1,""zh-tw"",""ja"")"),"小道具名")</f>
        <v>小道具名</v>
      </c>
      <c r="D1" s="84" t="str">
        <f>IFERROR(__xludf.DUMMYFUNCTION("GOOGLETRANSLATE(B1,""zh-tw"",""ja"")"),"効果")</f>
        <v>効果</v>
      </c>
      <c r="E1" s="395" t="str">
        <f>IFERROR(__xludf.DUMMYFUNCTION("GOOGLETRANSLATE(A1,""zh-tw"",""en"")"),"Prop name")</f>
        <v>Prop name</v>
      </c>
      <c r="F1" s="88" t="str">
        <f>IFERROR(__xludf.DUMMYFUNCTION("GOOGLETRANSLATE(B1,""zh-tw"",""en"")"),"Effect")</f>
        <v>Effect</v>
      </c>
      <c r="G1" s="393" t="str">
        <f>IFERROR(__xludf.DUMMYFUNCTION("GOOGLETRANSLATE(A1,""zh-tw"",""zh"")"),"道具名称")</f>
        <v>道具名称</v>
      </c>
      <c r="H1" s="84" t="str">
        <f>IFERROR(__xludf.DUMMYFUNCTION("GOOGLETRANSLATE(B1,""zh-tw"",""zh"")"),"效果")</f>
        <v>效果</v>
      </c>
      <c r="I1" s="394" t="str">
        <f>IFERROR(__xludf.DUMMYFUNCTION("GOOGLETRANSLATE(A1,""zh-tw"",""es-MX"")"),"Nombre de la propiedad")</f>
        <v>Nombre de la propiedad</v>
      </c>
      <c r="J1" s="53" t="str">
        <f>IFERROR(__xludf.DUMMYFUNCTION("GOOGLETRANSLATE(B1,""zh-tw"",""es-MX"")"),"Efecto")</f>
        <v>Efecto</v>
      </c>
      <c r="K1" s="394" t="str">
        <f>IFERROR(__xludf.DUMMYFUNCTION("GOOGLETRANSLATE(A1,""zh-tw"",""KO"")"),"소품 이름")</f>
        <v>소품 이름</v>
      </c>
      <c r="L1" s="53" t="str">
        <f>IFERROR(__xludf.DUMMYFUNCTION("GOOGLETRANSLATE(B1,""zh-tw"",""KO"")"),"효과")</f>
        <v>효과</v>
      </c>
      <c r="M1" s="430" t="s">
        <v>8989</v>
      </c>
      <c r="N1" s="81" t="s">
        <v>8990</v>
      </c>
      <c r="O1" s="393" t="s">
        <v>8991</v>
      </c>
      <c r="P1" s="84" t="s">
        <v>8992</v>
      </c>
      <c r="Q1" s="430" t="s">
        <v>8993</v>
      </c>
      <c r="R1" s="81" t="s">
        <v>8994</v>
      </c>
      <c r="S1" s="395" t="s">
        <v>8995</v>
      </c>
      <c r="T1" s="88" t="s">
        <v>8996</v>
      </c>
      <c r="U1" s="393" t="s">
        <v>8997</v>
      </c>
      <c r="V1" s="84" t="s">
        <v>8998</v>
      </c>
      <c r="W1" s="431"/>
      <c r="X1" s="431"/>
      <c r="Y1" s="431"/>
      <c r="Z1" s="431"/>
      <c r="AA1" s="431"/>
      <c r="AB1" s="431"/>
      <c r="AC1" s="431"/>
      <c r="AD1" s="431"/>
      <c r="AE1" s="431"/>
      <c r="AF1" s="431"/>
      <c r="AG1" s="431"/>
      <c r="AH1" s="431"/>
      <c r="AI1" s="431"/>
      <c r="AJ1" s="431"/>
      <c r="AK1" s="431"/>
      <c r="AL1" s="431"/>
      <c r="AM1" s="431"/>
      <c r="AN1" s="431"/>
      <c r="AO1" s="431"/>
      <c r="AP1" s="431"/>
      <c r="AQ1" s="431"/>
      <c r="AR1" s="431"/>
      <c r="AS1" s="431"/>
      <c r="AT1" s="431"/>
    </row>
    <row r="2">
      <c r="A2" s="166" t="s">
        <v>7046</v>
      </c>
      <c r="C2" s="166" t="s">
        <v>7047</v>
      </c>
      <c r="E2" s="166" t="s">
        <v>7048</v>
      </c>
      <c r="G2" s="166" t="s">
        <v>7049</v>
      </c>
      <c r="I2" s="166"/>
      <c r="K2" s="166"/>
      <c r="M2" s="166" t="s">
        <v>7050</v>
      </c>
      <c r="O2" s="166"/>
      <c r="Q2" s="166"/>
      <c r="S2" s="166" t="s">
        <v>7051</v>
      </c>
      <c r="U2" s="166"/>
      <c r="W2" s="8"/>
      <c r="X2" s="8"/>
      <c r="Y2" s="8"/>
      <c r="Z2" s="8"/>
      <c r="AA2" s="8"/>
      <c r="AB2" s="8"/>
      <c r="AC2" s="8"/>
      <c r="AD2" s="8"/>
      <c r="AE2" s="8"/>
      <c r="AF2" s="8"/>
      <c r="AG2" s="8"/>
      <c r="AH2" s="8"/>
      <c r="AI2" s="8"/>
      <c r="AJ2" s="8"/>
      <c r="AK2" s="8"/>
      <c r="AL2" s="8"/>
      <c r="AM2" s="8"/>
      <c r="AN2" s="8"/>
      <c r="AO2" s="8"/>
      <c r="AP2" s="8"/>
      <c r="AQ2" s="8"/>
      <c r="AR2" s="8"/>
      <c r="AS2" s="8"/>
      <c r="AT2" s="8"/>
    </row>
    <row r="3">
      <c r="A3" s="399" t="s">
        <v>8999</v>
      </c>
      <c r="B3" s="167" t="s">
        <v>9000</v>
      </c>
      <c r="C3" s="399" t="s">
        <v>9001</v>
      </c>
      <c r="D3" s="167" t="s">
        <v>9002</v>
      </c>
      <c r="E3" s="399" t="s">
        <v>9003</v>
      </c>
      <c r="F3" s="167" t="s">
        <v>9004</v>
      </c>
      <c r="G3" s="399" t="str">
        <f>IFERROR(__xludf.DUMMYFUNCTION("GOOGLETRANSLATE(A3,""zh-tw"",""zh"")"),"好喝的牛奶")</f>
        <v>好喝的牛奶</v>
      </c>
      <c r="H3" s="167" t="str">
        <f>IFERROR(__xludf.DUMMYFUNCTION("GOOGLETRANSLATE(B3,""zh-tw"",""zh"")"),"回复体力120，自动回复效果")</f>
        <v>回复体力120，自动回复效果</v>
      </c>
      <c r="I3" s="403" t="str">
        <f>IFERROR(__xludf.DUMMYFUNCTION("GOOGLETRANSLATE(A3,""zh-tw"",""es-MX"")"),"Leche deliciosa")</f>
        <v>Leche deliciosa</v>
      </c>
      <c r="J3" s="167" t="s">
        <v>9005</v>
      </c>
      <c r="K3" s="403" t="str">
        <f>IFERROR(__xludf.DUMMYFUNCTION("GOOGLETRANSLATE(A3,""zh-tw"",""KO"")"),"맛있는 우유")</f>
        <v>맛있는 우유</v>
      </c>
      <c r="L3" s="167" t="s">
        <v>9006</v>
      </c>
      <c r="M3" s="403" t="s">
        <v>9007</v>
      </c>
      <c r="N3" s="198" t="s">
        <v>9008</v>
      </c>
      <c r="O3" s="399" t="s">
        <v>9009</v>
      </c>
      <c r="P3" s="167" t="s">
        <v>9010</v>
      </c>
      <c r="Q3" s="404" t="s">
        <v>9011</v>
      </c>
      <c r="R3" s="155" t="s">
        <v>9012</v>
      </c>
      <c r="S3" s="403" t="s">
        <v>9013</v>
      </c>
      <c r="T3" s="167" t="s">
        <v>9014</v>
      </c>
      <c r="U3" s="399" t="s">
        <v>9015</v>
      </c>
      <c r="V3" s="167" t="s">
        <v>9016</v>
      </c>
      <c r="W3" s="8"/>
      <c r="X3" s="8"/>
      <c r="Y3" s="8"/>
      <c r="Z3" s="8"/>
      <c r="AA3" s="8"/>
      <c r="AB3" s="8"/>
      <c r="AC3" s="8"/>
      <c r="AD3" s="8"/>
      <c r="AE3" s="8"/>
      <c r="AF3" s="8"/>
      <c r="AG3" s="8"/>
      <c r="AH3" s="8"/>
      <c r="AI3" s="8"/>
      <c r="AJ3" s="8"/>
      <c r="AK3" s="8"/>
      <c r="AL3" s="8"/>
      <c r="AM3" s="8"/>
      <c r="AN3" s="8"/>
      <c r="AO3" s="8"/>
      <c r="AP3" s="8"/>
      <c r="AQ3" s="8"/>
      <c r="AR3" s="8"/>
      <c r="AS3" s="8"/>
      <c r="AT3" s="8"/>
    </row>
    <row r="4">
      <c r="A4" s="399" t="s">
        <v>9017</v>
      </c>
      <c r="B4" s="167" t="s">
        <v>9018</v>
      </c>
      <c r="C4" s="399" t="s">
        <v>9019</v>
      </c>
      <c r="D4" s="167" t="s">
        <v>9020</v>
      </c>
      <c r="E4" s="399" t="s">
        <v>9021</v>
      </c>
      <c r="F4" s="167" t="s">
        <v>9022</v>
      </c>
      <c r="G4" s="399" t="str">
        <f>IFERROR(__xludf.DUMMYFUNCTION("GOOGLETRANSLATE(A4,""zh-tw"",""zh"")"),"胡萝卜牛奶")</f>
        <v>胡萝卜牛奶</v>
      </c>
      <c r="H4" s="167" t="str">
        <f>IFERROR(__xludf.DUMMYFUNCTION("GOOGLETRANSLATE(B4,""zh-tw"",""zh"")"),"回复体力75，消除异常")</f>
        <v>回复体力75，消除异常</v>
      </c>
      <c r="I4" s="403" t="str">
        <f>IFERROR(__xludf.DUMMYFUNCTION("GOOGLETRANSLATE(A4,""zh-tw"",""es-MX"")"),"Leche de zanahoria")</f>
        <v>Leche de zanahoria</v>
      </c>
      <c r="J4" s="167" t="s">
        <v>9023</v>
      </c>
      <c r="K4" s="403" t="str">
        <f>IFERROR(__xludf.DUMMYFUNCTION("GOOGLETRANSLATE(A4,""zh-tw"",""KO"")"),"당근 우유")</f>
        <v>당근 우유</v>
      </c>
      <c r="L4" s="167" t="s">
        <v>9024</v>
      </c>
      <c r="M4" s="403" t="s">
        <v>9025</v>
      </c>
      <c r="N4" s="198" t="s">
        <v>9026</v>
      </c>
      <c r="O4" s="399" t="s">
        <v>9027</v>
      </c>
      <c r="P4" s="167" t="s">
        <v>9028</v>
      </c>
      <c r="Q4" s="404" t="s">
        <v>9029</v>
      </c>
      <c r="R4" s="155" t="s">
        <v>9030</v>
      </c>
      <c r="S4" s="403" t="s">
        <v>9031</v>
      </c>
      <c r="T4" s="198" t="s">
        <v>9032</v>
      </c>
      <c r="U4" s="399" t="s">
        <v>9033</v>
      </c>
      <c r="V4" s="167" t="s">
        <v>9034</v>
      </c>
      <c r="W4" s="8"/>
      <c r="X4" s="8"/>
      <c r="Y4" s="8"/>
      <c r="Z4" s="8"/>
      <c r="AA4" s="8"/>
      <c r="AB4" s="8"/>
      <c r="AC4" s="8"/>
      <c r="AD4" s="8"/>
      <c r="AE4" s="8"/>
      <c r="AF4" s="8"/>
      <c r="AG4" s="8"/>
      <c r="AH4" s="8"/>
      <c r="AI4" s="8"/>
      <c r="AJ4" s="8"/>
      <c r="AK4" s="8"/>
      <c r="AL4" s="8"/>
      <c r="AM4" s="8"/>
      <c r="AN4" s="8"/>
      <c r="AO4" s="8"/>
      <c r="AP4" s="8"/>
      <c r="AQ4" s="8"/>
      <c r="AR4" s="8"/>
      <c r="AS4" s="8"/>
      <c r="AT4" s="8"/>
    </row>
    <row r="5">
      <c r="A5" s="399" t="s">
        <v>9035</v>
      </c>
      <c r="B5" s="167" t="s">
        <v>9036</v>
      </c>
      <c r="C5" s="399" t="s">
        <v>9037</v>
      </c>
      <c r="D5" s="167" t="s">
        <v>9038</v>
      </c>
      <c r="E5" s="399" t="s">
        <v>9039</v>
      </c>
      <c r="F5" s="167" t="s">
        <v>9040</v>
      </c>
      <c r="G5" s="399" t="str">
        <f>IFERROR(__xludf.DUMMYFUNCTION("GOOGLETRANSLATE(A5,""zh-tw"",""zh"")"),"草莓味牛奶")</f>
        <v>草莓味牛奶</v>
      </c>
      <c r="H5" s="167" t="str">
        <f>IFERROR(__xludf.DUMMYFUNCTION("GOOGLETRANSLATE(B5,""zh-tw"",""zh"")"),"回复体力75，提高50%攻击")</f>
        <v>回复体力75，提高50%攻击</v>
      </c>
      <c r="I5" s="403" t="str">
        <f>IFERROR(__xludf.DUMMYFUNCTION("GOOGLETRANSLATE(A5,""zh-tw"",""es-MX"")"),"leche de fresa")</f>
        <v>leche de fresa</v>
      </c>
      <c r="J5" s="167" t="s">
        <v>9041</v>
      </c>
      <c r="K5" s="399" t="s">
        <v>9042</v>
      </c>
      <c r="L5" s="198" t="str">
        <f>IFERROR(__xludf.DUMMYFUNCTION("GOOGLETRANSLATE(B5,""zh-tw"",""KO"")"),"스태미나를 75 회복하고 공격력을 50% 증가시킵니다.")</f>
        <v>스태미나를 75 회복하고 공격력을 50% 증가시킵니다.</v>
      </c>
      <c r="M5" s="403" t="s">
        <v>9043</v>
      </c>
      <c r="N5" s="198" t="s">
        <v>9044</v>
      </c>
      <c r="O5" s="399" t="s">
        <v>9045</v>
      </c>
      <c r="P5" s="167" t="s">
        <v>9046</v>
      </c>
      <c r="Q5" s="404" t="s">
        <v>9047</v>
      </c>
      <c r="R5" s="155" t="s">
        <v>9048</v>
      </c>
      <c r="S5" s="403" t="s">
        <v>9049</v>
      </c>
      <c r="T5" s="198" t="s">
        <v>9050</v>
      </c>
      <c r="U5" s="399" t="s">
        <v>9051</v>
      </c>
      <c r="V5" s="167" t="s">
        <v>9052</v>
      </c>
      <c r="W5" s="8"/>
      <c r="X5" s="8"/>
      <c r="Y5" s="8"/>
      <c r="Z5" s="8"/>
      <c r="AA5" s="8"/>
      <c r="AB5" s="8"/>
      <c r="AC5" s="8"/>
      <c r="AD5" s="8"/>
      <c r="AE5" s="8"/>
      <c r="AF5" s="8"/>
      <c r="AG5" s="8"/>
      <c r="AH5" s="8"/>
      <c r="AI5" s="8"/>
      <c r="AJ5" s="8"/>
      <c r="AK5" s="8"/>
      <c r="AL5" s="8"/>
      <c r="AM5" s="8"/>
      <c r="AN5" s="8"/>
      <c r="AO5" s="8"/>
      <c r="AP5" s="8"/>
      <c r="AQ5" s="8"/>
      <c r="AR5" s="8"/>
      <c r="AS5" s="8"/>
      <c r="AT5" s="8"/>
    </row>
    <row r="6">
      <c r="A6" s="399" t="s">
        <v>9053</v>
      </c>
      <c r="B6" s="167" t="s">
        <v>9054</v>
      </c>
      <c r="C6" s="399" t="s">
        <v>9055</v>
      </c>
      <c r="D6" s="167" t="s">
        <v>9056</v>
      </c>
      <c r="E6" s="399" t="s">
        <v>9057</v>
      </c>
      <c r="F6" s="167" t="s">
        <v>9058</v>
      </c>
      <c r="G6" s="399" t="str">
        <f>IFERROR(__xludf.DUMMYFUNCTION("GOOGLETRANSLATE(A6,""zh-tw"",""zh"")"),"蜜瓜味牛奶")</f>
        <v>蜜瓜味牛奶</v>
      </c>
      <c r="H6" s="167" t="str">
        <f>IFERROR(__xludf.DUMMYFUNCTION("GOOGLETRANSLATE(B6,""zh-tw"",""zh"")"),"回复体力75，提高50%魔力")</f>
        <v>回复体力75，提高50%魔力</v>
      </c>
      <c r="I6" s="399" t="s">
        <v>9059</v>
      </c>
      <c r="J6" s="167" t="s">
        <v>9060</v>
      </c>
      <c r="K6" s="399" t="s">
        <v>9061</v>
      </c>
      <c r="L6" s="198" t="str">
        <f>IFERROR(__xludf.DUMMYFUNCTION("GOOGLETRANSLATE(B6,""zh-tw"",""KO"")"),"스태미나를 75 회복하고 마나를 50% 증가시킵니다.")</f>
        <v>스태미나를 75 회복하고 마나를 50% 증가시킵니다.</v>
      </c>
      <c r="M6" s="403" t="s">
        <v>9062</v>
      </c>
      <c r="N6" s="198" t="s">
        <v>9063</v>
      </c>
      <c r="O6" s="399" t="s">
        <v>9064</v>
      </c>
      <c r="P6" s="167" t="s">
        <v>9065</v>
      </c>
      <c r="Q6" s="404" t="s">
        <v>9066</v>
      </c>
      <c r="R6" s="155" t="s">
        <v>9067</v>
      </c>
      <c r="S6" s="403" t="s">
        <v>9068</v>
      </c>
      <c r="T6" s="198" t="s">
        <v>9069</v>
      </c>
      <c r="U6" s="399" t="s">
        <v>9070</v>
      </c>
      <c r="V6" s="167" t="s">
        <v>9071</v>
      </c>
      <c r="W6" s="8"/>
      <c r="X6" s="8"/>
      <c r="Y6" s="8"/>
      <c r="Z6" s="8"/>
      <c r="AA6" s="8"/>
      <c r="AB6" s="8"/>
      <c r="AC6" s="8"/>
      <c r="AD6" s="8"/>
      <c r="AE6" s="8"/>
      <c r="AF6" s="8"/>
      <c r="AG6" s="8"/>
      <c r="AH6" s="8"/>
      <c r="AI6" s="8"/>
      <c r="AJ6" s="8"/>
      <c r="AK6" s="8"/>
      <c r="AL6" s="8"/>
      <c r="AM6" s="8"/>
      <c r="AN6" s="8"/>
      <c r="AO6" s="8"/>
      <c r="AP6" s="8"/>
      <c r="AQ6" s="8"/>
      <c r="AR6" s="8"/>
      <c r="AS6" s="8"/>
      <c r="AT6" s="8"/>
    </row>
    <row r="7">
      <c r="A7" s="399" t="s">
        <v>9072</v>
      </c>
      <c r="B7" s="167" t="s">
        <v>9073</v>
      </c>
      <c r="C7" s="399" t="s">
        <v>9074</v>
      </c>
      <c r="D7" s="167" t="s">
        <v>9075</v>
      </c>
      <c r="E7" s="399" t="s">
        <v>9076</v>
      </c>
      <c r="F7" s="167" t="s">
        <v>9077</v>
      </c>
      <c r="G7" s="399" t="str">
        <f>IFERROR(__xludf.DUMMYFUNCTION("GOOGLETRANSLATE(A7,""zh-tw"",""zh"")"),"香蕉味牛奶")</f>
        <v>香蕉味牛奶</v>
      </c>
      <c r="H7" s="167" t="str">
        <f>IFERROR(__xludf.DUMMYFUNCTION("GOOGLETRANSLATE(B7,""zh-tw"",""zh"")"),"回复体力75，移速增强")</f>
        <v>回复体力75，移速增强</v>
      </c>
      <c r="I7" s="403" t="str">
        <f>IFERROR(__xludf.DUMMYFUNCTION("GOOGLETRANSLATE(A7,""zh-tw"",""es-MX"")"),"Leche con sabor a plátano")</f>
        <v>Leche con sabor a plátano</v>
      </c>
      <c r="J7" s="167" t="s">
        <v>9078</v>
      </c>
      <c r="K7" s="403" t="str">
        <f>IFERROR(__xludf.DUMMYFUNCTION("GOOGLETRANSLATE(A7,""zh-tw"",""KO"")"),"바나나맛 우유")</f>
        <v>바나나맛 우유</v>
      </c>
      <c r="L7" s="167" t="s">
        <v>9079</v>
      </c>
      <c r="M7" s="403" t="s">
        <v>9080</v>
      </c>
      <c r="N7" s="198" t="s">
        <v>9081</v>
      </c>
      <c r="O7" s="399" t="s">
        <v>9082</v>
      </c>
      <c r="P7" s="167" t="s">
        <v>9083</v>
      </c>
      <c r="Q7" s="404" t="s">
        <v>9084</v>
      </c>
      <c r="R7" s="155" t="s">
        <v>9085</v>
      </c>
      <c r="S7" s="403" t="s">
        <v>9086</v>
      </c>
      <c r="T7" s="198" t="s">
        <v>9087</v>
      </c>
      <c r="U7" s="399" t="s">
        <v>9088</v>
      </c>
      <c r="V7" s="167" t="s">
        <v>9089</v>
      </c>
      <c r="W7" s="8"/>
      <c r="X7" s="8"/>
      <c r="Y7" s="8"/>
      <c r="Z7" s="8"/>
      <c r="AA7" s="8"/>
      <c r="AB7" s="8"/>
      <c r="AC7" s="8"/>
      <c r="AD7" s="8"/>
      <c r="AE7" s="8"/>
      <c r="AF7" s="8"/>
      <c r="AG7" s="8"/>
      <c r="AH7" s="8"/>
      <c r="AI7" s="8"/>
      <c r="AJ7" s="8"/>
      <c r="AK7" s="8"/>
      <c r="AL7" s="8"/>
      <c r="AM7" s="8"/>
      <c r="AN7" s="8"/>
      <c r="AO7" s="8"/>
      <c r="AP7" s="8"/>
      <c r="AQ7" s="8"/>
      <c r="AR7" s="8"/>
      <c r="AS7" s="8"/>
      <c r="AT7" s="8"/>
    </row>
    <row r="8">
      <c r="A8" s="399" t="s">
        <v>9090</v>
      </c>
      <c r="B8" s="167" t="s">
        <v>9091</v>
      </c>
      <c r="C8" s="399" t="s">
        <v>9092</v>
      </c>
      <c r="D8" s="167" t="s">
        <v>9093</v>
      </c>
      <c r="E8" s="399" t="s">
        <v>9094</v>
      </c>
      <c r="F8" s="167" t="s">
        <v>9095</v>
      </c>
      <c r="G8" s="399" t="str">
        <f>IFERROR(__xludf.DUMMYFUNCTION("GOOGLETRANSLATE(A8,""zh-tw"",""zh"")"),"巧克力牛奶")</f>
        <v>巧克力牛奶</v>
      </c>
      <c r="H8" s="167" t="str">
        <f>IFERROR(__xludf.DUMMYFUNCTION("GOOGLETRANSLATE(B8,""zh-tw"",""zh"")"),"回复体力78，霸体效果
(未实装)")</f>
        <v>回复体力78，霸体效果
(未实装)</v>
      </c>
      <c r="I8" s="403" t="str">
        <f>IFERROR(__xludf.DUMMYFUNCTION("GOOGLETRANSLATE(A8,""zh-tw"",""es-MX"")"),"leche con chocolate")</f>
        <v>leche con chocolate</v>
      </c>
      <c r="J8" s="167" t="s">
        <v>9096</v>
      </c>
      <c r="K8" s="399" t="s">
        <v>9097</v>
      </c>
      <c r="L8" s="198" t="str">
        <f>IFERROR(__xludf.DUMMYFUNCTION("GOOGLETRANSLATE(B8,""zh-tw"",""KO"")"),"스태미나 78을 회복하고 무적 효과를 부여합니다.
(아직 구현되지 않음)")</f>
        <v>스태미나 78을 회복하고 무적 효과를 부여합니다.
(아직 구현되지 않음)</v>
      </c>
      <c r="M8" s="403" t="s">
        <v>9098</v>
      </c>
      <c r="N8" s="167" t="s">
        <v>9099</v>
      </c>
      <c r="O8" s="399" t="s">
        <v>9100</v>
      </c>
      <c r="P8" s="167" t="s">
        <v>9101</v>
      </c>
      <c r="Q8" s="404" t="s">
        <v>9102</v>
      </c>
      <c r="R8" s="155" t="s">
        <v>9103</v>
      </c>
      <c r="S8" s="425" t="s">
        <v>9094</v>
      </c>
      <c r="T8" s="198" t="s">
        <v>9104</v>
      </c>
      <c r="U8" s="399" t="s">
        <v>9105</v>
      </c>
      <c r="V8" s="167" t="s">
        <v>9106</v>
      </c>
      <c r="W8" s="8"/>
      <c r="X8" s="8"/>
      <c r="Y8" s="8"/>
      <c r="Z8" s="8"/>
      <c r="AA8" s="8"/>
      <c r="AB8" s="8"/>
      <c r="AC8" s="8"/>
      <c r="AD8" s="8"/>
      <c r="AE8" s="8"/>
      <c r="AF8" s="8"/>
      <c r="AG8" s="8"/>
      <c r="AH8" s="8"/>
      <c r="AI8" s="8"/>
      <c r="AJ8" s="8"/>
      <c r="AK8" s="8"/>
      <c r="AL8" s="8"/>
      <c r="AM8" s="8"/>
      <c r="AN8" s="8"/>
      <c r="AO8" s="8"/>
      <c r="AP8" s="8"/>
      <c r="AQ8" s="8"/>
      <c r="AR8" s="8"/>
      <c r="AS8" s="8"/>
      <c r="AT8" s="8"/>
    </row>
    <row r="9">
      <c r="A9" s="399" t="s">
        <v>9107</v>
      </c>
      <c r="B9" s="167" t="s">
        <v>9108</v>
      </c>
      <c r="C9" s="399" t="str">
        <f>IFERROR(__xludf.DUMMYFUNCTION("GOOGLETRANSLATE(A9,""zh-tw"",""ja"")"),"ジャック・ボム")</f>
        <v>ジャック・ボム</v>
      </c>
      <c r="D9" s="167" t="s">
        <v>9109</v>
      </c>
      <c r="E9" s="399" t="s">
        <v>9110</v>
      </c>
      <c r="F9" s="167" t="s">
        <v>9111</v>
      </c>
      <c r="G9" s="399" t="str">
        <f>IFERROR(__xludf.DUMMYFUNCTION("GOOGLETRANSLATE(A9,""zh-tw"",""zh"")"),"杰克爆弹")</f>
        <v>杰克爆弹</v>
      </c>
      <c r="H9" s="167" t="str">
        <f>IFERROR(__xludf.DUMMYFUNCTION("GOOGLETRANSLATE(B9,""zh-tw"",""zh"")"),"炸弹(无视防御)")</f>
        <v>炸弹(无视防御)</v>
      </c>
      <c r="I9" s="403" t="str">
        <f>IFERROR(__xludf.DUMMYFUNCTION("GOOGLETRANSLATE(A9,""zh-tw"",""es-MX"")"),"Bomba Jack")</f>
        <v>Bomba Jack</v>
      </c>
      <c r="J9" s="167" t="s">
        <v>9112</v>
      </c>
      <c r="K9" s="399" t="s">
        <v>9113</v>
      </c>
      <c r="L9" s="198" t="str">
        <f>IFERROR(__xludf.DUMMYFUNCTION("GOOGLETRANSLATE(B9,""zh-tw"",""KO"")"),"폭탄 (방어 무시)")</f>
        <v>폭탄 (방어 무시)</v>
      </c>
      <c r="M9" s="403" t="s">
        <v>9114</v>
      </c>
      <c r="N9" s="198" t="s">
        <v>9115</v>
      </c>
      <c r="O9" s="399" t="s">
        <v>9116</v>
      </c>
      <c r="P9" s="167" t="s">
        <v>9117</v>
      </c>
      <c r="Q9" s="404" t="s">
        <v>9110</v>
      </c>
      <c r="R9" s="155" t="s">
        <v>9118</v>
      </c>
      <c r="S9" s="403" t="s">
        <v>9119</v>
      </c>
      <c r="T9" s="198" t="s">
        <v>9120</v>
      </c>
      <c r="U9" s="399" t="s">
        <v>9121</v>
      </c>
      <c r="V9" s="167" t="s">
        <v>9122</v>
      </c>
      <c r="W9" s="8"/>
      <c r="X9" s="8"/>
      <c r="Y9" s="8"/>
      <c r="Z9" s="8"/>
      <c r="AA9" s="8"/>
      <c r="AB9" s="8"/>
      <c r="AC9" s="8"/>
      <c r="AD9" s="8"/>
      <c r="AE9" s="8"/>
      <c r="AF9" s="8"/>
      <c r="AG9" s="8"/>
      <c r="AH9" s="8"/>
      <c r="AI9" s="8"/>
      <c r="AJ9" s="8"/>
      <c r="AK9" s="8"/>
      <c r="AL9" s="8"/>
      <c r="AM9" s="8"/>
      <c r="AN9" s="8"/>
      <c r="AO9" s="8"/>
      <c r="AP9" s="8"/>
      <c r="AQ9" s="8"/>
      <c r="AR9" s="8"/>
      <c r="AS9" s="8"/>
      <c r="AT9" s="8"/>
    </row>
    <row r="10" ht="36.0" customHeight="1">
      <c r="A10" s="391" t="s">
        <v>9123</v>
      </c>
      <c r="B10" s="391" t="s">
        <v>9124</v>
      </c>
      <c r="C10" s="399" t="s">
        <v>9125</v>
      </c>
      <c r="D10" s="167" t="s">
        <v>9126</v>
      </c>
      <c r="E10" s="399" t="s">
        <v>9127</v>
      </c>
      <c r="F10" s="167" t="s">
        <v>9128</v>
      </c>
      <c r="G10" s="399" t="s">
        <v>9129</v>
      </c>
      <c r="H10" s="167" t="s">
        <v>9130</v>
      </c>
      <c r="I10" s="403" t="str">
        <f>IFERROR(__xludf.DUMMYFUNCTION("GOOGLETRANSLATE(A10,""zh-tw"",""es-MX"")"),"Pato de goma")</f>
        <v>Pato de goma</v>
      </c>
      <c r="J10" s="167"/>
      <c r="K10" s="399" t="s">
        <v>9113</v>
      </c>
      <c r="L10" s="198" t="str">
        <f>IFERROR(__xludf.DUMMYFUNCTION("GOOGLETRANSLATE(B10,""zh-tw"",""KO"")"),"집에서 샤워할 때 사용하시면 됩니다.")</f>
        <v>집에서 샤워할 때 사용하시면 됩니다.</v>
      </c>
      <c r="M10" s="399" t="s">
        <v>9131</v>
      </c>
      <c r="N10" s="167" t="s">
        <v>9132</v>
      </c>
      <c r="O10" s="399"/>
      <c r="P10" s="167" t="s">
        <v>9133</v>
      </c>
      <c r="Q10" s="399" t="s">
        <v>9134</v>
      </c>
      <c r="R10" s="167" t="s">
        <v>9135</v>
      </c>
      <c r="S10" s="399" t="s">
        <v>9136</v>
      </c>
      <c r="T10" s="167" t="s">
        <v>9137</v>
      </c>
      <c r="U10" s="399" t="s">
        <v>9138</v>
      </c>
      <c r="V10" s="167" t="s">
        <v>9139</v>
      </c>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399" t="s">
        <v>9140</v>
      </c>
      <c r="B11" s="167" t="s">
        <v>9141</v>
      </c>
      <c r="C11" s="399" t="str">
        <f>IFERROR(__xludf.DUMMYFUNCTION("GOOGLETRANSLATE(A11,""zh-tw"",""ja"")"),"ポラロイド 1-8")</f>
        <v>ポラロイド 1-8</v>
      </c>
      <c r="D11" s="167" t="s">
        <v>9142</v>
      </c>
      <c r="E11" s="399" t="s">
        <v>9143</v>
      </c>
      <c r="F11" s="167" t="s">
        <v>9144</v>
      </c>
      <c r="G11" s="399" t="str">
        <f>IFERROR(__xludf.DUMMYFUNCTION("GOOGLETRANSLATE(A11,""zh-tw"",""zh"")"),"拍立得1~8")</f>
        <v>拍立得1~8</v>
      </c>
      <c r="H11" s="167" t="str">
        <f>IFERROR(__xludf.DUMMYFUNCTION("GOOGLETRANSLATE(B11,""zh-tw"",""zh"")"),"查看优质照片")</f>
        <v>查看优质照片</v>
      </c>
      <c r="I11" s="403" t="str">
        <f>IFERROR(__xludf.DUMMYFUNCTION("GOOGLETRANSLATE(A11,""zh-tw"",""es-MX"")"),"Polaroid 1-8")</f>
        <v>Polaroid 1-8</v>
      </c>
      <c r="J11" s="167" t="s">
        <v>9145</v>
      </c>
      <c r="K11" s="403" t="str">
        <f>IFERROR(__xludf.DUMMYFUNCTION("GOOGLETRANSLATE(A11,""zh-tw"",""KO"")"),"폴라로이드 1-8")</f>
        <v>폴라로이드 1-8</v>
      </c>
      <c r="L11" s="198" t="str">
        <f>IFERROR(__xludf.DUMMYFUNCTION("GOOGLETRANSLATE(B11,""zh-tw"",""KO"")"),"고화질 사진을 보세요")</f>
        <v>고화질 사진을 보세요</v>
      </c>
      <c r="M11" s="399" t="s">
        <v>9146</v>
      </c>
      <c r="N11" s="198" t="s">
        <v>9147</v>
      </c>
      <c r="O11" s="399" t="s">
        <v>9148</v>
      </c>
      <c r="P11" s="167" t="s">
        <v>9149</v>
      </c>
      <c r="Q11" s="399" t="s">
        <v>9143</v>
      </c>
      <c r="R11" s="155" t="s">
        <v>9150</v>
      </c>
      <c r="S11" s="399" t="s">
        <v>9143</v>
      </c>
      <c r="T11" s="198" t="s">
        <v>9151</v>
      </c>
      <c r="U11" s="399" t="s">
        <v>9143</v>
      </c>
      <c r="V11" s="167" t="s">
        <v>9152</v>
      </c>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404" t="s">
        <v>9153</v>
      </c>
      <c r="B12" s="198" t="s">
        <v>9154</v>
      </c>
      <c r="C12" s="399" t="s">
        <v>9155</v>
      </c>
      <c r="D12" s="167" t="s">
        <v>9156</v>
      </c>
      <c r="E12" s="399" t="s">
        <v>9157</v>
      </c>
      <c r="F12" s="167" t="s">
        <v>9158</v>
      </c>
      <c r="G12" s="399" t="str">
        <f>IFERROR(__xludf.DUMMYFUNCTION("GOOGLETRANSLATE(A12,""zh-tw"",""zh"")"),"茶会拍立得收藏集")</f>
        <v>茶会拍立得收藏集</v>
      </c>
      <c r="H12" s="167" t="str">
        <f>IFERROR(__xludf.DUMMYFUNCTION("GOOGLETRANSLATE(B12,""zh-tw"",""zh"")"),"完成后提升幸运值")</f>
        <v>完成后提升幸运值</v>
      </c>
      <c r="I12" s="399" t="s">
        <v>9157</v>
      </c>
      <c r="J12" s="167" t="s">
        <v>9159</v>
      </c>
      <c r="K12" s="403" t="str">
        <f>IFERROR(__xludf.DUMMYFUNCTION("GOOGLETRANSLATE(A12,""zh-tw"",""KO"")"),"티 파티 폴라로이드 사진 모음")</f>
        <v>티 파티 폴라로이드 사진 모음</v>
      </c>
      <c r="L12" s="198" t="str">
        <f>IFERROR(__xludf.DUMMYFUNCTION("GOOGLETRANSLATE(B12,""zh-tw"",""KO"")"),"완료 시 행운 수치 증가")</f>
        <v>완료 시 행운 수치 증가</v>
      </c>
      <c r="M12" s="403" t="s">
        <v>9160</v>
      </c>
      <c r="N12" s="198" t="s">
        <v>9161</v>
      </c>
      <c r="O12" s="399" t="s">
        <v>9162</v>
      </c>
      <c r="P12" s="167" t="s">
        <v>9163</v>
      </c>
      <c r="Q12" s="399" t="s">
        <v>9164</v>
      </c>
      <c r="R12" s="167" t="s">
        <v>9165</v>
      </c>
      <c r="S12" s="425" t="s">
        <v>9166</v>
      </c>
      <c r="T12" s="198" t="s">
        <v>9167</v>
      </c>
      <c r="U12" s="399" t="s">
        <v>9168</v>
      </c>
      <c r="V12" s="167" t="s">
        <v>9169</v>
      </c>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403" t="s">
        <v>9170</v>
      </c>
      <c r="B13" s="198" t="s">
        <v>9171</v>
      </c>
      <c r="C13" s="403" t="s">
        <v>9172</v>
      </c>
      <c r="D13" s="198" t="s">
        <v>9173</v>
      </c>
      <c r="E13" s="399" t="s">
        <v>9174</v>
      </c>
      <c r="F13" s="198" t="s">
        <v>9175</v>
      </c>
      <c r="G13" s="403" t="s">
        <v>9176</v>
      </c>
      <c r="H13" s="198" t="s">
        <v>9177</v>
      </c>
      <c r="I13" s="403" t="str">
        <f>IFERROR(__xludf.DUMMYFUNCTION("GOOGLETRANSLATE(A13,""zh-tw"",""es-MX"")"),"Boleto para gatos")</f>
        <v>Boleto para gatos</v>
      </c>
      <c r="J13" s="142" t="str">
        <f>IFERROR(__xludf.DUMMYFUNCTION("GOOGLETRANSLATE(B13,""zh-tw"",""es-MX"")"),"Confiscar monedas de oro y acumular puntos de pecado")</f>
        <v>Confiscar monedas de oro y acumular puntos de pecado</v>
      </c>
      <c r="K13" s="403" t="str">
        <f>IFERROR(__xludf.DUMMYFUNCTION("GOOGLETRANSLATE(A13,""zh-tw"",""KO"")"),"고양이 티켓")</f>
        <v>고양이 티켓</v>
      </c>
      <c r="L13" s="198" t="str">
        <f>IFERROR(__xludf.DUMMYFUNCTION("GOOGLETRANSLATE(B13,""zh-tw"",""KO"")"),"금화 압수 및 죄악 점수 누적")</f>
        <v>금화 압수 및 죄악 점수 누적</v>
      </c>
      <c r="M13" s="403" t="s">
        <v>9178</v>
      </c>
      <c r="N13" s="198" t="s">
        <v>9179</v>
      </c>
      <c r="O13" s="403" t="s">
        <v>9180</v>
      </c>
      <c r="P13" s="198" t="s">
        <v>9181</v>
      </c>
      <c r="Q13" s="432" t="s">
        <v>9182</v>
      </c>
      <c r="R13" s="433" t="s">
        <v>9183</v>
      </c>
      <c r="S13" s="403" t="s">
        <v>9184</v>
      </c>
      <c r="T13" s="198" t="s">
        <v>9185</v>
      </c>
      <c r="U13" s="403" t="s">
        <v>9186</v>
      </c>
      <c r="V13" s="198" t="s">
        <v>9187</v>
      </c>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166" t="s">
        <v>7265</v>
      </c>
      <c r="C14" s="166" t="s">
        <v>7266</v>
      </c>
      <c r="E14" s="166" t="s">
        <v>7267</v>
      </c>
      <c r="G14" s="166" t="s">
        <v>7268</v>
      </c>
      <c r="I14" s="166"/>
      <c r="K14" s="166"/>
      <c r="M14" s="166" t="s">
        <v>7269</v>
      </c>
      <c r="O14" s="166"/>
      <c r="Q14" s="166"/>
      <c r="S14" s="166" t="s">
        <v>7270</v>
      </c>
      <c r="U14" s="166"/>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399" t="s">
        <v>9188</v>
      </c>
      <c r="B15" s="167" t="s">
        <v>9189</v>
      </c>
      <c r="C15" s="399" t="s">
        <v>9190</v>
      </c>
      <c r="D15" s="167" t="s">
        <v>9191</v>
      </c>
      <c r="E15" s="399" t="s">
        <v>9192</v>
      </c>
      <c r="F15" s="167" t="s">
        <v>9193</v>
      </c>
      <c r="G15" s="399" t="str">
        <f>IFERROR(__xludf.DUMMYFUNCTION("GOOGLETRANSLATE(A15,""zh-tw"",""zh"")"),"逆流可乐")</f>
        <v>逆流可乐</v>
      </c>
      <c r="H15" s="167" t="str">
        <f>IFERROR(__xludf.DUMMYFUNCTION("GOOGLETRANSLATE(B15,""zh-tw"",""zh"")"),"(战斗效果未实装)")</f>
        <v>(战斗效果未实装)</v>
      </c>
      <c r="I15" s="399" t="s">
        <v>9194</v>
      </c>
      <c r="J15" s="167" t="s">
        <v>9195</v>
      </c>
      <c r="K15" s="399" t="s">
        <v>9196</v>
      </c>
      <c r="L15" s="198" t="str">
        <f>IFERROR(__xludf.DUMMYFUNCTION("GOOGLETRANSLATE(B15,""zh-tw"",""KO"")"),"(전투 효과는 아직 구현되지 않았습니다)")</f>
        <v>(전투 효과는 아직 구현되지 않았습니다)</v>
      </c>
      <c r="M15" s="403" t="s">
        <v>9197</v>
      </c>
      <c r="N15" s="198" t="s">
        <v>9198</v>
      </c>
      <c r="O15" s="399" t="s">
        <v>9194</v>
      </c>
      <c r="P15" s="167" t="s">
        <v>9199</v>
      </c>
      <c r="Q15" s="404" t="s">
        <v>9194</v>
      </c>
      <c r="R15" s="155" t="s">
        <v>9200</v>
      </c>
      <c r="S15" s="403" t="s">
        <v>9201</v>
      </c>
      <c r="T15" s="198" t="s">
        <v>9202</v>
      </c>
      <c r="U15" s="399" t="s">
        <v>9203</v>
      </c>
      <c r="V15" s="167" t="s">
        <v>9204</v>
      </c>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399" t="s">
        <v>9205</v>
      </c>
      <c r="B16" s="167" t="s">
        <v>9206</v>
      </c>
      <c r="C16" s="399" t="s">
        <v>9207</v>
      </c>
      <c r="D16" s="167" t="s">
        <v>9208</v>
      </c>
      <c r="E16" s="399" t="s">
        <v>9209</v>
      </c>
      <c r="F16" s="167" t="s">
        <v>9210</v>
      </c>
      <c r="G16" s="399" t="str">
        <f>IFERROR(__xludf.DUMMYFUNCTION("GOOGLETRANSLATE(A16,""zh-tw"",""zh"")"),"冰霜杰克爆弹")</f>
        <v>冰霜杰克爆弹</v>
      </c>
      <c r="H16" s="167" t="str">
        <f>IFERROR(__xludf.DUMMYFUNCTION("GOOGLETRANSLATE(B16,""zh-tw"",""zh"")"),"冰属性炸弹")</f>
        <v>冰属性炸弹</v>
      </c>
      <c r="I16" s="403" t="str">
        <f>IFERROR(__xludf.DUMMYFUNCTION("GOOGLETRANSLATE(A16,""zh-tw"",""es-MX"")"),"Bomba de Frost Jack")</f>
        <v>Bomba de Frost Jack</v>
      </c>
      <c r="J16" s="167" t="s">
        <v>9211</v>
      </c>
      <c r="K16" s="403" t="str">
        <f>IFERROR(__xludf.DUMMYFUNCTION("GOOGLETRANSLATE(A16,""zh-tw"",""KO"")"),"프로스트 잭 밤")</f>
        <v>프로스트 잭 밤</v>
      </c>
      <c r="L16" s="167" t="s">
        <v>9212</v>
      </c>
      <c r="M16" s="403" t="s">
        <v>9213</v>
      </c>
      <c r="N16" s="198" t="s">
        <v>9214</v>
      </c>
      <c r="O16" s="399" t="s">
        <v>9215</v>
      </c>
      <c r="P16" s="167" t="s">
        <v>9216</v>
      </c>
      <c r="Q16" s="404" t="s">
        <v>9209</v>
      </c>
      <c r="R16" s="155" t="s">
        <v>9217</v>
      </c>
      <c r="S16" s="403" t="s">
        <v>9218</v>
      </c>
      <c r="T16" s="198" t="s">
        <v>9219</v>
      </c>
      <c r="U16" s="399" t="s">
        <v>9220</v>
      </c>
      <c r="V16" s="167" t="s">
        <v>9221</v>
      </c>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399" t="s">
        <v>9222</v>
      </c>
      <c r="B17" s="167" t="s">
        <v>9223</v>
      </c>
      <c r="C17" s="399" t="s">
        <v>9224</v>
      </c>
      <c r="D17" s="167" t="s">
        <v>9225</v>
      </c>
      <c r="E17" s="399" t="s">
        <v>9226</v>
      </c>
      <c r="F17" s="167" t="s">
        <v>9227</v>
      </c>
      <c r="G17" s="399" t="str">
        <f>IFERROR(__xludf.DUMMYFUNCTION("GOOGLETRANSLATE(A17,""zh-tw"",""zh"")"),"猛毒杰克爆弹")</f>
        <v>猛毒杰克爆弹</v>
      </c>
      <c r="H17" s="167" t="str">
        <f>IFERROR(__xludf.DUMMYFUNCTION("GOOGLETRANSLATE(B17,""zh-tw"",""zh"")"),"毒属性炸弹")</f>
        <v>毒属性炸弹</v>
      </c>
      <c r="I17" s="399" t="s">
        <v>9226</v>
      </c>
      <c r="J17" s="167" t="s">
        <v>9228</v>
      </c>
      <c r="K17" s="399" t="s">
        <v>9229</v>
      </c>
      <c r="L17" s="167" t="s">
        <v>9230</v>
      </c>
      <c r="M17" s="403" t="s">
        <v>9231</v>
      </c>
      <c r="N17" s="198" t="s">
        <v>9232</v>
      </c>
      <c r="O17" s="399" t="s">
        <v>9233</v>
      </c>
      <c r="P17" s="167" t="s">
        <v>9234</v>
      </c>
      <c r="Q17" s="404" t="s">
        <v>9226</v>
      </c>
      <c r="R17" s="155" t="s">
        <v>9235</v>
      </c>
      <c r="S17" s="403" t="s">
        <v>9236</v>
      </c>
      <c r="T17" s="198" t="s">
        <v>9237</v>
      </c>
      <c r="U17" s="399" t="s">
        <v>9226</v>
      </c>
      <c r="V17" s="167" t="s">
        <v>9238</v>
      </c>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399" t="s">
        <v>9239</v>
      </c>
      <c r="B18" s="167" t="s">
        <v>9240</v>
      </c>
      <c r="C18" s="399" t="s">
        <v>9241</v>
      </c>
      <c r="D18" s="198" t="str">
        <f>IFERROR(__xludf.DUMMYFUNCTION("GOOGLETRANSLATE(B18,""zh-tw"",""ja"")"),"現在、（ジェムを）引き換える方法はありません。")</f>
        <v>現在、（ジェムを）引き換える方法はありません。</v>
      </c>
      <c r="E18" s="399" t="s">
        <v>9242</v>
      </c>
      <c r="F18" s="167" t="s">
        <v>9243</v>
      </c>
      <c r="G18" s="399" t="str">
        <f>IFERROR(__xludf.DUMMYFUNCTION("GOOGLETRANSLATE(A18,""zh-tw"",""zh"")"),"蓝辉石")</f>
        <v>蓝辉石</v>
      </c>
      <c r="H18" s="167" t="str">
        <f>IFERROR(__xludf.DUMMYFUNCTION("GOOGLETRANSLATE(B18,""zh-tw"",""zh"")"),"目前没有兑换方式
(宝石)")</f>
        <v>目前没有兑换方式
(宝石)</v>
      </c>
      <c r="I18" s="399" t="s">
        <v>9244</v>
      </c>
      <c r="J18" s="167" t="s">
        <v>9245</v>
      </c>
      <c r="K18" s="403" t="str">
        <f>IFERROR(__xludf.DUMMYFUNCTION("GOOGLETRANSLATE(A18,""zh-tw"",""KO"")"),"블루 사파이어")</f>
        <v>블루 사파이어</v>
      </c>
      <c r="L18" s="198" t="str">
        <f>IFERROR(__xludf.DUMMYFUNCTION("GOOGLETRANSLATE(B18,""zh-tw"",""KO"")"),"현재로서는 (보석을) 사용할 수 있는 방법이 없습니다.")</f>
        <v>현재로서는 (보석을) 사용할 수 있는 방법이 없습니다.</v>
      </c>
      <c r="M18" s="403" t="s">
        <v>9246</v>
      </c>
      <c r="N18" s="198" t="s">
        <v>9247</v>
      </c>
      <c r="O18" s="400" t="s">
        <v>9248</v>
      </c>
      <c r="P18" s="202" t="s">
        <v>9249</v>
      </c>
      <c r="Q18" s="399" t="s">
        <v>9250</v>
      </c>
      <c r="R18" s="155" t="s">
        <v>9251</v>
      </c>
      <c r="S18" s="425" t="s">
        <v>9242</v>
      </c>
      <c r="T18" s="198" t="s">
        <v>9252</v>
      </c>
      <c r="U18" s="399" t="s">
        <v>9253</v>
      </c>
      <c r="V18" s="167" t="s">
        <v>9254</v>
      </c>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399" t="s">
        <v>9255</v>
      </c>
      <c r="B19" s="167" t="s">
        <v>9256</v>
      </c>
      <c r="C19" s="399" t="s">
        <v>9257</v>
      </c>
      <c r="D19" s="167" t="s">
        <v>9258</v>
      </c>
      <c r="E19" s="399" t="s">
        <v>9259</v>
      </c>
      <c r="F19" s="167" t="s">
        <v>9260</v>
      </c>
      <c r="G19" s="399" t="str">
        <f>IFERROR(__xludf.DUMMYFUNCTION("GOOGLETRANSLATE(A19,""zh-tw"",""zh"")"),"银坷拉")</f>
        <v>银坷拉</v>
      </c>
      <c r="H19" s="167" t="str">
        <f>IFERROR(__xludf.DUMMYFUNCTION("GOOGLETRANSLATE(B19,""zh-tw"",""zh"")"),"诱饵/粉尘爆炸")</f>
        <v>诱饵/粉尘爆炸</v>
      </c>
      <c r="I19" s="399" t="s">
        <v>9259</v>
      </c>
      <c r="J19" s="167" t="s">
        <v>9261</v>
      </c>
      <c r="K19" s="403" t="str">
        <f>IFERROR(__xludf.DUMMYFUNCTION("GOOGLETRANSLATE(A19,""zh-tw"",""KO"")"),"인 켈라")</f>
        <v>인 켈라</v>
      </c>
      <c r="L19" s="198" t="str">
        <f>IFERROR(__xludf.DUMMYFUNCTION("GOOGLETRANSLATE(B19,""zh-tw"",""KO"")"),"미끼/먼지 폭발")</f>
        <v>미끼/먼지 폭발</v>
      </c>
      <c r="M19" s="403" t="s">
        <v>9262</v>
      </c>
      <c r="N19" s="198" t="s">
        <v>9263</v>
      </c>
      <c r="O19" s="399" t="s">
        <v>9259</v>
      </c>
      <c r="P19" s="167" t="s">
        <v>9264</v>
      </c>
      <c r="Q19" s="399" t="s">
        <v>9259</v>
      </c>
      <c r="R19" s="167" t="s">
        <v>9265</v>
      </c>
      <c r="S19" s="403" t="s">
        <v>9259</v>
      </c>
      <c r="T19" s="198" t="s">
        <v>9266</v>
      </c>
      <c r="U19" s="399" t="s">
        <v>9259</v>
      </c>
      <c r="V19" s="167" t="s">
        <v>9267</v>
      </c>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399" t="s">
        <v>9268</v>
      </c>
      <c r="B20" s="167" t="s">
        <v>9141</v>
      </c>
      <c r="C20" s="399" t="str">
        <f>IFERROR(__xludf.DUMMYFUNCTION("GOOGLETRANSLATE(A20,""zh-tw"",""ja"")"),"ポラロイド 9〜15")</f>
        <v>ポラロイド 9〜15</v>
      </c>
      <c r="D20" s="167" t="s">
        <v>9142</v>
      </c>
      <c r="E20" s="399" t="s">
        <v>9269</v>
      </c>
      <c r="F20" s="167" t="s">
        <v>9144</v>
      </c>
      <c r="G20" s="399" t="str">
        <f>IFERROR(__xludf.DUMMYFUNCTION("GOOGLETRANSLATE(A20,""zh-tw"",""zh"")"),"拍立得9~15")</f>
        <v>拍立得9~15</v>
      </c>
      <c r="H20" s="167" t="str">
        <f>IFERROR(__xludf.DUMMYFUNCTION("GOOGLETRANSLATE(B20,""zh-tw"",""zh"")"),"查看优质照片")</f>
        <v>查看优质照片</v>
      </c>
      <c r="I20" s="403" t="str">
        <f>IFERROR(__xludf.DUMMYFUNCTION("GOOGLETRANSLATE(A20,""zh-tw"",""es-MX"")"),"Polaroid 9~15")</f>
        <v>Polaroid 9~15</v>
      </c>
      <c r="J20" s="167" t="s">
        <v>9145</v>
      </c>
      <c r="K20" s="403" t="str">
        <f>IFERROR(__xludf.DUMMYFUNCTION("GOOGLETRANSLATE(A20,""zh-tw"",""KO"")"),"폴라로이드 9~15")</f>
        <v>폴라로이드 9~15</v>
      </c>
      <c r="L20" s="198" t="str">
        <f>IFERROR(__xludf.DUMMYFUNCTION("GOOGLETRANSLATE(B20,""zh-tw"",""KO"")"),"고화질 사진을 보세요")</f>
        <v>고화질 사진을 보세요</v>
      </c>
      <c r="M20" s="399" t="s">
        <v>9270</v>
      </c>
      <c r="N20" s="198" t="s">
        <v>9147</v>
      </c>
      <c r="O20" s="399" t="s">
        <v>9271</v>
      </c>
      <c r="P20" s="167" t="s">
        <v>9149</v>
      </c>
      <c r="Q20" s="399" t="s">
        <v>9269</v>
      </c>
      <c r="R20" s="155" t="s">
        <v>9150</v>
      </c>
      <c r="S20" s="399" t="s">
        <v>9269</v>
      </c>
      <c r="T20" s="198" t="s">
        <v>9151</v>
      </c>
      <c r="U20" s="399" t="s">
        <v>9269</v>
      </c>
      <c r="V20" s="167" t="s">
        <v>9152</v>
      </c>
      <c r="W20" s="8"/>
      <c r="X20" s="8"/>
      <c r="Y20" s="8"/>
      <c r="Z20" s="8"/>
      <c r="AA20" s="8"/>
      <c r="AB20" s="8"/>
      <c r="AC20" s="8"/>
      <c r="AD20" s="8"/>
      <c r="AE20" s="8"/>
      <c r="AF20" s="8"/>
      <c r="AG20" s="8"/>
      <c r="AH20" s="8"/>
      <c r="AI20" s="8"/>
      <c r="AJ20" s="8"/>
      <c r="AK20" s="8"/>
      <c r="AL20" s="8"/>
      <c r="AM20" s="8"/>
      <c r="AN20" s="8"/>
      <c r="AO20" s="8"/>
      <c r="AP20" s="8"/>
      <c r="AQ20" s="8"/>
      <c r="AR20" s="8"/>
      <c r="AS20" s="8"/>
      <c r="AT20" s="8"/>
    </row>
    <row r="21">
      <c r="A21" s="399" t="s">
        <v>9272</v>
      </c>
      <c r="B21" s="167" t="s">
        <v>9273</v>
      </c>
      <c r="C21" s="399" t="s">
        <v>9274</v>
      </c>
      <c r="D21" s="167" t="s">
        <v>9275</v>
      </c>
      <c r="E21" s="399" t="s">
        <v>9166</v>
      </c>
      <c r="F21" s="167" t="s">
        <v>9276</v>
      </c>
      <c r="G21" s="399" t="str">
        <f>IFERROR(__xludf.DUMMYFUNCTION("GOOGLETRANSLATE(A21,""zh-tw"",""zh"")"),"魔力小凝胶")</f>
        <v>魔力小凝胶</v>
      </c>
      <c r="H21" s="167" t="str">
        <f>IFERROR(__xludf.DUMMYFUNCTION("GOOGLETRANSLATE(B21,""zh-tw"",""zh"")"),"扩充格子")</f>
        <v>扩充格子</v>
      </c>
      <c r="I21" s="399" t="s">
        <v>9277</v>
      </c>
      <c r="J21" s="167" t="s">
        <v>9278</v>
      </c>
      <c r="K21" s="400" t="s">
        <v>9279</v>
      </c>
      <c r="L21" s="198" t="str">
        <f>IFERROR(__xludf.DUMMYFUNCTION("GOOGLETRANSLATE(B21,""zh-tw"",""KO"")"),"그리드를 확장하세요")</f>
        <v>그리드를 확장하세요</v>
      </c>
      <c r="M21" s="403" t="s">
        <v>9280</v>
      </c>
      <c r="N21" s="198" t="s">
        <v>9281</v>
      </c>
      <c r="O21" s="399" t="s">
        <v>9282</v>
      </c>
      <c r="P21" s="167" t="s">
        <v>9283</v>
      </c>
      <c r="Q21" s="404" t="s">
        <v>9284</v>
      </c>
      <c r="R21" s="155" t="s">
        <v>9285</v>
      </c>
      <c r="S21" s="403" t="s">
        <v>9286</v>
      </c>
      <c r="T21" s="198" t="s">
        <v>9287</v>
      </c>
      <c r="U21" s="399" t="s">
        <v>9288</v>
      </c>
      <c r="V21" s="167" t="s">
        <v>9289</v>
      </c>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399" t="s">
        <v>9290</v>
      </c>
      <c r="B22" s="167" t="s">
        <v>9291</v>
      </c>
      <c r="C22" s="399" t="str">
        <f>IFERROR(__xludf.DUMMYFUNCTION("GOOGLETRANSLATE(A22,""zh-tw"",""ja"")"),"寿司プリン")</f>
        <v>寿司プリン</v>
      </c>
      <c r="D22" s="167" t="s">
        <v>9292</v>
      </c>
      <c r="E22" s="399" t="s">
        <v>9293</v>
      </c>
      <c r="F22" s="167" t="s">
        <v>9294</v>
      </c>
      <c r="G22" s="399" t="str">
        <f>IFERROR(__xludf.DUMMYFUNCTION("GOOGLETRANSLATE(A22,""zh-tw"",""zh"")"),"寿司布丁")</f>
        <v>寿司布丁</v>
      </c>
      <c r="H22" s="167" t="str">
        <f>IFERROR(__xludf.DUMMYFUNCTION("GOOGLETRANSLATE(B22,""zh-tw"",""zh"")"),"飞向恶魔商店的位置")</f>
        <v>飞向恶魔商店的位置</v>
      </c>
      <c r="I22" s="403" t="str">
        <f>IFERROR(__xludf.DUMMYFUNCTION("GOOGLETRANSLATE(A22,""zh-tw"",""es-MX"")"),"Pudín de sushi")</f>
        <v>Pudín de sushi</v>
      </c>
      <c r="J22" s="167" t="s">
        <v>9295</v>
      </c>
      <c r="K22" s="403" t="str">
        <f>IFERROR(__xludf.DUMMYFUNCTION("GOOGLETRANSLATE(A22,""zh-tw"",""KO"")"),"스시 푸딩")</f>
        <v>스시 푸딩</v>
      </c>
      <c r="L22" s="198" t="str">
        <f>IFERROR(__xludf.DUMMYFUNCTION("GOOGLETRANSLATE(B22,""zh-tw"",""KO"")"),"악마 상점이 있는 곳으로 날아가세요")</f>
        <v>악마 상점이 있는 곳으로 날아가세요</v>
      </c>
      <c r="M22" s="403" t="s">
        <v>9296</v>
      </c>
      <c r="N22" s="198" t="s">
        <v>9297</v>
      </c>
      <c r="O22" s="399" t="s">
        <v>9293</v>
      </c>
      <c r="P22" s="167" t="s">
        <v>9298</v>
      </c>
      <c r="Q22" s="404" t="s">
        <v>9293</v>
      </c>
      <c r="R22" s="155" t="s">
        <v>9299</v>
      </c>
      <c r="S22" s="403" t="s">
        <v>9300</v>
      </c>
      <c r="T22" s="198" t="s">
        <v>9301</v>
      </c>
      <c r="U22" s="399" t="s">
        <v>9302</v>
      </c>
      <c r="V22" s="167" t="s">
        <v>9303</v>
      </c>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399" t="s">
        <v>9304</v>
      </c>
      <c r="B23" s="167" t="s">
        <v>9305</v>
      </c>
      <c r="C23" s="399" t="s">
        <v>9306</v>
      </c>
      <c r="D23" s="167" t="s">
        <v>9307</v>
      </c>
      <c r="E23" s="399" t="s">
        <v>9308</v>
      </c>
      <c r="F23" s="167" t="s">
        <v>9309</v>
      </c>
      <c r="G23" s="399" t="str">
        <f>IFERROR(__xludf.DUMMYFUNCTION("GOOGLETRANSLATE(A23,""zh-tw"",""zh"")"),"电风扇")</f>
        <v>电风扇</v>
      </c>
      <c r="H23" s="167" t="str">
        <f>IFERROR(__xludf.DUMMYFUNCTION("GOOGLETRANSLATE(B23,""zh-tw"",""zh"")"),"炎热剧情道具
(战车商店贩售)")</f>
        <v>炎热剧情道具
(战车商店贩售)</v>
      </c>
      <c r="I23" s="399" t="s">
        <v>9310</v>
      </c>
      <c r="J23" s="167" t="s">
        <v>9311</v>
      </c>
      <c r="K23" s="403" t="str">
        <f>IFERROR(__xludf.DUMMYFUNCTION("GOOGLETRANSLATE(A23,""zh-tw"",""KO"")"),"선풍기")</f>
        <v>선풍기</v>
      </c>
      <c r="L23" s="167" t="s">
        <v>9312</v>
      </c>
      <c r="M23" s="403" t="s">
        <v>9313</v>
      </c>
      <c r="N23" s="198" t="s">
        <v>9314</v>
      </c>
      <c r="O23" s="399" t="s">
        <v>9315</v>
      </c>
      <c r="P23" s="167" t="s">
        <v>9316</v>
      </c>
      <c r="Q23" s="404" t="s">
        <v>9317</v>
      </c>
      <c r="R23" s="155" t="s">
        <v>9318</v>
      </c>
      <c r="S23" s="403" t="s">
        <v>9319</v>
      </c>
      <c r="T23" s="198" t="s">
        <v>9320</v>
      </c>
      <c r="U23" s="399" t="s">
        <v>9321</v>
      </c>
      <c r="V23" s="167" t="s">
        <v>9322</v>
      </c>
      <c r="W23" s="8"/>
      <c r="X23" s="8"/>
      <c r="Y23" s="8"/>
      <c r="Z23" s="8"/>
      <c r="AA23" s="8"/>
      <c r="AB23" s="8"/>
      <c r="AC23" s="8"/>
      <c r="AD23" s="8"/>
      <c r="AE23" s="8"/>
      <c r="AF23" s="8"/>
      <c r="AG23" s="8"/>
      <c r="AH23" s="8"/>
      <c r="AI23" s="8"/>
      <c r="AJ23" s="8"/>
      <c r="AK23" s="8"/>
      <c r="AL23" s="8"/>
      <c r="AM23" s="8"/>
      <c r="AN23" s="8"/>
      <c r="AO23" s="8"/>
      <c r="AP23" s="8"/>
      <c r="AQ23" s="8"/>
      <c r="AR23" s="8"/>
      <c r="AS23" s="8"/>
      <c r="AT23" s="8"/>
    </row>
    <row r="24">
      <c r="A24" s="166" t="s">
        <v>7508</v>
      </c>
      <c r="C24" s="166" t="s">
        <v>7509</v>
      </c>
      <c r="E24" s="166" t="s">
        <v>7510</v>
      </c>
      <c r="G24" s="166" t="s">
        <v>7511</v>
      </c>
      <c r="I24" s="166"/>
      <c r="K24" s="166"/>
      <c r="M24" s="166" t="s">
        <v>7512</v>
      </c>
      <c r="O24" s="166"/>
      <c r="Q24" s="166"/>
      <c r="S24" s="166" t="s">
        <v>7513</v>
      </c>
      <c r="U24" s="166"/>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399" t="s">
        <v>9323</v>
      </c>
      <c r="B25" s="167" t="s">
        <v>9324</v>
      </c>
      <c r="C25" s="399" t="s">
        <v>9325</v>
      </c>
      <c r="D25" s="167" t="s">
        <v>9326</v>
      </c>
      <c r="E25" s="399" t="s">
        <v>9327</v>
      </c>
      <c r="F25" s="167" t="s">
        <v>9328</v>
      </c>
      <c r="G25" s="399" t="str">
        <f>IFERROR(__xludf.DUMMYFUNCTION("GOOGLETRANSLATE(A25,""zh-tw"",""zh"")"),"粉色金平糖")</f>
        <v>粉色金平糖</v>
      </c>
      <c r="H25" s="167" t="str">
        <f>IFERROR(__xludf.DUMMYFUNCTION("GOOGLETRANSLATE(B25,""zh-tw"",""zh"")"),"使妹妹处于发情状态
哥哥会处于兴奋状态
(哥哥未实装)")</f>
        <v>使妹妹处于发情状态
哥哥会处于兴奋状态
(哥哥未实装)</v>
      </c>
      <c r="I25" s="403" t="str">
        <f>IFERROR(__xludf.DUMMYFUNCTION("GOOGLETRANSLATE(A25,""zh-tw"",""es-MX"")"),"Konpeito rosa")</f>
        <v>Konpeito rosa</v>
      </c>
      <c r="J25" s="167" t="s">
        <v>9329</v>
      </c>
      <c r="K25" s="399" t="s">
        <v>9330</v>
      </c>
      <c r="L25" s="167" t="s">
        <v>9331</v>
      </c>
      <c r="M25" s="403" t="s">
        <v>9332</v>
      </c>
      <c r="N25" s="198" t="s">
        <v>9333</v>
      </c>
      <c r="O25" s="399" t="s">
        <v>9334</v>
      </c>
      <c r="P25" s="167" t="s">
        <v>9335</v>
      </c>
      <c r="Q25" s="404" t="s">
        <v>9336</v>
      </c>
      <c r="R25" s="155" t="s">
        <v>9337</v>
      </c>
      <c r="S25" s="399" t="s">
        <v>9338</v>
      </c>
      <c r="T25" s="198" t="s">
        <v>9339</v>
      </c>
      <c r="U25" s="399" t="s">
        <v>9340</v>
      </c>
      <c r="V25" s="167" t="s">
        <v>9341</v>
      </c>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399" t="s">
        <v>9342</v>
      </c>
      <c r="B26" s="167" t="s">
        <v>9343</v>
      </c>
      <c r="C26" s="399" t="s">
        <v>9344</v>
      </c>
      <c r="D26" s="167" t="s">
        <v>9345</v>
      </c>
      <c r="E26" s="399" t="s">
        <v>9346</v>
      </c>
      <c r="F26" s="167" t="s">
        <v>9347</v>
      </c>
      <c r="G26" s="399" t="str">
        <f>IFERROR(__xludf.DUMMYFUNCTION("GOOGLETRANSLATE(A26,""zh-tw"",""zh"")"),"蓝色金平糖")</f>
        <v>蓝色金平糖</v>
      </c>
      <c r="H26" s="167" t="str">
        <f>IFERROR(__xludf.DUMMYFUNCTION("GOOGLETRANSLATE(B26,""zh-tw"",""zh"")"),"使妹妹嗜睡(和肉料理可叠加)
哥哥会降低兴奋度
喂食两颗妹妹立即犯困，当晚睡眠品质会非常好。  ")</f>
        <v>使妹妹嗜睡(和肉料理可叠加)
哥哥会降低兴奋度
喂食两颗妹妹立即犯困，当晚睡眠品质会非常好。  </v>
      </c>
      <c r="I26" s="403" t="str">
        <f>IFERROR(__xludf.DUMMYFUNCTION("GOOGLETRANSLATE(A26,""zh-tw"",""es-MX"")"),"Konpeito azul")</f>
        <v>Konpeito azul</v>
      </c>
      <c r="J26" s="167" t="s">
        <v>9348</v>
      </c>
      <c r="K26" s="399" t="s">
        <v>9349</v>
      </c>
      <c r="L26" s="167" t="s">
        <v>9350</v>
      </c>
      <c r="M26" s="403" t="s">
        <v>9351</v>
      </c>
      <c r="N26" s="198" t="s">
        <v>9352</v>
      </c>
      <c r="O26" s="399" t="s">
        <v>9353</v>
      </c>
      <c r="P26" s="167" t="s">
        <v>9354</v>
      </c>
      <c r="Q26" s="404" t="s">
        <v>9355</v>
      </c>
      <c r="R26" s="155" t="s">
        <v>9356</v>
      </c>
      <c r="S26" s="399" t="s">
        <v>9357</v>
      </c>
      <c r="T26" s="198" t="s">
        <v>9358</v>
      </c>
      <c r="U26" s="399" t="s">
        <v>9359</v>
      </c>
      <c r="V26" s="167" t="s">
        <v>9360</v>
      </c>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399" t="s">
        <v>9361</v>
      </c>
      <c r="B27" s="167" t="s">
        <v>9362</v>
      </c>
      <c r="C27" s="399" t="s">
        <v>9363</v>
      </c>
      <c r="D27" s="167" t="s">
        <v>1070</v>
      </c>
      <c r="E27" s="399" t="s">
        <v>9364</v>
      </c>
      <c r="F27" s="167" t="s">
        <v>9365</v>
      </c>
      <c r="G27" s="399" t="str">
        <f>IFERROR(__xludf.DUMMYFUNCTION("GOOGLETRANSLATE(A27,""zh-tw"",""zh"")"),"绿色金平糖")</f>
        <v>绿色金平糖</v>
      </c>
      <c r="H27" s="167" t="str">
        <f>IFERROR(__xludf.DUMMYFUNCTION("GOOGLETRANSLATE(B27,""zh-tw"",""zh"")"),"效果未实装")</f>
        <v>效果未实装</v>
      </c>
      <c r="I27" s="403" t="str">
        <f>IFERROR(__xludf.DUMMYFUNCTION("GOOGLETRANSLATE(A27,""zh-tw"",""es-MX"")"),"Kinpeito verde")</f>
        <v>Kinpeito verde</v>
      </c>
      <c r="J27" s="167" t="s">
        <v>9366</v>
      </c>
      <c r="K27" s="399" t="s">
        <v>9367</v>
      </c>
      <c r="L27" s="198" t="str">
        <f>IFERROR(__xludf.DUMMYFUNCTION("GOOGLETRANSLATE(B27,""zh-tw"",""KO"")"),"해당 효과는 아직 적용되지 않았습니다.")</f>
        <v>해당 효과는 아직 적용되지 않았습니다.</v>
      </c>
      <c r="M27" s="403" t="s">
        <v>9368</v>
      </c>
      <c r="N27" s="198" t="s">
        <v>9369</v>
      </c>
      <c r="O27" s="399" t="s">
        <v>9370</v>
      </c>
      <c r="P27" s="167" t="s">
        <v>5425</v>
      </c>
      <c r="Q27" s="404" t="s">
        <v>9371</v>
      </c>
      <c r="R27" s="155" t="s">
        <v>9372</v>
      </c>
      <c r="S27" s="403" t="s">
        <v>9373</v>
      </c>
      <c r="T27" s="198" t="s">
        <v>9374</v>
      </c>
      <c r="U27" s="399" t="s">
        <v>9375</v>
      </c>
      <c r="V27" s="167" t="s">
        <v>1659</v>
      </c>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399" t="s">
        <v>9376</v>
      </c>
      <c r="B28" s="167" t="s">
        <v>9377</v>
      </c>
      <c r="C28" s="399" t="s">
        <v>9378</v>
      </c>
      <c r="D28" s="167" t="s">
        <v>9379</v>
      </c>
      <c r="E28" s="399" t="s">
        <v>9380</v>
      </c>
      <c r="F28" s="167" t="s">
        <v>9381</v>
      </c>
      <c r="G28" s="399" t="str">
        <f>IFERROR(__xludf.DUMMYFUNCTION("GOOGLETRANSLATE(A28,""zh-tw"",""zh"")"),"超敏软Q水馒头")</f>
        <v>超敏软Q水馒头</v>
      </c>
      <c r="H28" s="167" t="str">
        <f>IFERROR(__xludf.DUMMYFUNCTION("GOOGLETRANSLATE(B28,""zh-tw"",""zh"")"),"于AKI商店购买
提升敏感度(效果未实装)")</f>
        <v>于AKI商店购买
提升敏感度(效果未实装)</v>
      </c>
      <c r="I28" s="399" t="s">
        <v>9382</v>
      </c>
      <c r="J28" s="167" t="s">
        <v>9383</v>
      </c>
      <c r="K28" s="403" t="str">
        <f>IFERROR(__xludf.DUMMYFUNCTION("GOOGLETRANSLATE(A28,""zh-tw"",""KO"")"),"아주 부드럽고 쫄깃한 찐빵")</f>
        <v>아주 부드럽고 쫄깃한 찐빵</v>
      </c>
      <c r="L28" s="198" t="str">
        <f>IFERROR(__xludf.DUMMYFUNCTION("GOOGLETRANSLATE(B28,""zh-tw"",""KO"")"),"AKI 스토어에서 구매 가능. 감도 증가 (효과는 아직 구현되지 않음)")</f>
        <v>AKI 스토어에서 구매 가능. 감도 증가 (효과는 아직 구현되지 않음)</v>
      </c>
      <c r="M28" s="403" t="s">
        <v>9384</v>
      </c>
      <c r="N28" s="198" t="s">
        <v>9385</v>
      </c>
      <c r="O28" s="399" t="s">
        <v>9386</v>
      </c>
      <c r="P28" s="167" t="s">
        <v>9387</v>
      </c>
      <c r="Q28" s="404" t="s">
        <v>9388</v>
      </c>
      <c r="R28" s="155" t="s">
        <v>9389</v>
      </c>
      <c r="S28" s="403" t="s">
        <v>9390</v>
      </c>
      <c r="T28" s="198" t="s">
        <v>9391</v>
      </c>
      <c r="U28" s="399" t="s">
        <v>9392</v>
      </c>
      <c r="V28" s="167" t="s">
        <v>9393</v>
      </c>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399" t="s">
        <v>9394</v>
      </c>
      <c r="B29" s="167" t="s">
        <v>9240</v>
      </c>
      <c r="C29" s="399" t="s">
        <v>9395</v>
      </c>
      <c r="D29" s="167" t="s">
        <v>9396</v>
      </c>
      <c r="E29" s="399" t="s">
        <v>9397</v>
      </c>
      <c r="F29" s="167" t="s">
        <v>1393</v>
      </c>
      <c r="G29" s="399" t="str">
        <f>IFERROR(__xludf.DUMMYFUNCTION("GOOGLETRANSLATE(A29,""zh-tw"",""zh"")"),"火菱石")</f>
        <v>火菱石</v>
      </c>
      <c r="H29" s="167" t="str">
        <f>IFERROR(__xludf.DUMMYFUNCTION("GOOGLETRANSLATE(B29,""zh-tw"",""zh"")"),"目前没有兑换方式
(宝石)")</f>
        <v>目前没有兑换方式
(宝石)</v>
      </c>
      <c r="I29" s="399" t="s">
        <v>9398</v>
      </c>
      <c r="J29" s="167" t="s">
        <v>9399</v>
      </c>
      <c r="K29" s="403" t="str">
        <f>IFERROR(__xludf.DUMMYFUNCTION("GOOGLETRANSLATE(A29,""zh-tw"",""KO"")"),"파이어스톤")</f>
        <v>파이어스톤</v>
      </c>
      <c r="L29" s="198" t="str">
        <f>IFERROR(__xludf.DUMMYFUNCTION("GOOGLETRANSLATE(B29,""zh-tw"",""KO"")"),"현재로서는 (보석을) 사용할 수 있는 방법이 없습니다.")</f>
        <v>현재로서는 (보석을) 사용할 수 있는 방법이 없습니다.</v>
      </c>
      <c r="M29" s="403" t="s">
        <v>9400</v>
      </c>
      <c r="N29" s="198" t="s">
        <v>9247</v>
      </c>
      <c r="O29" s="399" t="s">
        <v>9401</v>
      </c>
      <c r="P29" s="167" t="s">
        <v>9402</v>
      </c>
      <c r="Q29" s="399" t="s">
        <v>9403</v>
      </c>
      <c r="R29" s="155" t="s">
        <v>1253</v>
      </c>
      <c r="S29" s="425" t="s">
        <v>9397</v>
      </c>
      <c r="T29" s="198" t="s">
        <v>9404</v>
      </c>
      <c r="U29" s="399" t="s">
        <v>9405</v>
      </c>
      <c r="V29" s="167" t="s">
        <v>1659</v>
      </c>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399" t="s">
        <v>9406</v>
      </c>
      <c r="B30" s="167" t="s">
        <v>9141</v>
      </c>
      <c r="C30" s="399" t="str">
        <f>IFERROR(__xludf.DUMMYFUNCTION("GOOGLETRANSLATE(A30,""zh-tw"",""ja"")"),"ポラロイド 16～23")</f>
        <v>ポラロイド 16～23</v>
      </c>
      <c r="D30" s="167" t="s">
        <v>9142</v>
      </c>
      <c r="E30" s="399" t="s">
        <v>9407</v>
      </c>
      <c r="F30" s="167" t="s">
        <v>9144</v>
      </c>
      <c r="G30" s="399" t="str">
        <f>IFERROR(__xludf.DUMMYFUNCTION("GOOGLETRANSLATE(A30,""zh-tw"",""zh"")"),"拍立得16~23")</f>
        <v>拍立得16~23</v>
      </c>
      <c r="H30" s="167" t="str">
        <f>IFERROR(__xludf.DUMMYFUNCTION("GOOGLETRANSLATE(B30,""zh-tw"",""zh"")"),"查看优质照片")</f>
        <v>查看优质照片</v>
      </c>
      <c r="I30" s="403" t="str">
        <f>IFERROR(__xludf.DUMMYFUNCTION("GOOGLETRANSLATE(A30,""zh-tw"",""es-MX"")"),"Polaroid 16~23")</f>
        <v>Polaroid 16~23</v>
      </c>
      <c r="J30" s="167" t="s">
        <v>9145</v>
      </c>
      <c r="K30" s="403" t="str">
        <f>IFERROR(__xludf.DUMMYFUNCTION("GOOGLETRANSLATE(A30,""zh-tw"",""KO"")"),"폴라로이드 16~23")</f>
        <v>폴라로이드 16~23</v>
      </c>
      <c r="L30" s="198" t="str">
        <f>IFERROR(__xludf.DUMMYFUNCTION("GOOGLETRANSLATE(B30,""zh-tw"",""KO"")"),"고화질 사진을 보세요")</f>
        <v>고화질 사진을 보세요</v>
      </c>
      <c r="M30" s="399" t="s">
        <v>9408</v>
      </c>
      <c r="N30" s="198" t="s">
        <v>9147</v>
      </c>
      <c r="O30" s="399" t="s">
        <v>9409</v>
      </c>
      <c r="P30" s="167" t="s">
        <v>9149</v>
      </c>
      <c r="Q30" s="399" t="s">
        <v>9410</v>
      </c>
      <c r="R30" s="155" t="s">
        <v>9150</v>
      </c>
      <c r="S30" s="399" t="s">
        <v>9410</v>
      </c>
      <c r="T30" s="198" t="s">
        <v>9151</v>
      </c>
      <c r="U30" s="399" t="s">
        <v>9410</v>
      </c>
      <c r="V30" s="167" t="s">
        <v>9152</v>
      </c>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403" t="s">
        <v>9411</v>
      </c>
      <c r="B31" s="198" t="s">
        <v>9412</v>
      </c>
      <c r="C31" s="403" t="s">
        <v>9413</v>
      </c>
      <c r="D31" s="198" t="s">
        <v>9414</v>
      </c>
      <c r="E31" s="403" t="s">
        <v>9415</v>
      </c>
      <c r="F31" s="198" t="s">
        <v>9416</v>
      </c>
      <c r="G31" s="403" t="s">
        <v>9417</v>
      </c>
      <c r="H31" s="198" t="s">
        <v>9418</v>
      </c>
      <c r="I31" s="403" t="str">
        <f>IFERROR(__xludf.DUMMYFUNCTION("GOOGLETRANSLATE(A31,""zh-tw"",""es-MX"")"),"Cinta de vídeo de terror")</f>
        <v>Cinta de vídeo de terror</v>
      </c>
      <c r="J31" s="167" t="s">
        <v>9419</v>
      </c>
      <c r="K31" s="403" t="str">
        <f>IFERROR(__xludf.DUMMYFUNCTION("GOOGLETRANSLATE(A31,""zh-tw"",""KO"")"),"공포 비디오테이프")</f>
        <v>공포 비디오테이프</v>
      </c>
      <c r="L31" s="198" t="str">
        <f>IFERROR(__xludf.DUMMYFUNCTION("GOOGLETRANSLATE(B31,""zh-tw"",""KO"")"),"심야 텔레비전 방송에 사용됨")</f>
        <v>심야 텔레비전 방송에 사용됨</v>
      </c>
      <c r="M31" s="403" t="s">
        <v>9420</v>
      </c>
      <c r="N31" s="198" t="s">
        <v>9421</v>
      </c>
      <c r="O31" s="399" t="s">
        <v>9422</v>
      </c>
      <c r="P31" s="167" t="s">
        <v>9423</v>
      </c>
      <c r="Q31" s="434" t="s">
        <v>9424</v>
      </c>
      <c r="R31" s="435" t="s">
        <v>9425</v>
      </c>
      <c r="S31" s="403" t="s">
        <v>9426</v>
      </c>
      <c r="T31" s="198" t="s">
        <v>9427</v>
      </c>
      <c r="U31" s="399" t="s">
        <v>9428</v>
      </c>
      <c r="V31" s="167" t="s">
        <v>9429</v>
      </c>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403" t="s">
        <v>9430</v>
      </c>
      <c r="B32" s="198" t="s">
        <v>9412</v>
      </c>
      <c r="C32" s="403" t="s">
        <v>9431</v>
      </c>
      <c r="D32" s="198" t="s">
        <v>9414</v>
      </c>
      <c r="E32" s="403" t="s">
        <v>9432</v>
      </c>
      <c r="F32" s="198" t="s">
        <v>9416</v>
      </c>
      <c r="G32" s="403" t="s">
        <v>9433</v>
      </c>
      <c r="H32" s="198" t="s">
        <v>9418</v>
      </c>
      <c r="I32" s="399" t="s">
        <v>9434</v>
      </c>
      <c r="J32" s="167" t="s">
        <v>9419</v>
      </c>
      <c r="K32" s="403" t="str">
        <f>IFERROR(__xludf.DUMMYFUNCTION("GOOGLETRANSLATE(A32,""zh-tw"",""KO"")"),"성인 비디오테이프")</f>
        <v>성인 비디오테이프</v>
      </c>
      <c r="L32" s="198" t="str">
        <f>IFERROR(__xludf.DUMMYFUNCTION("GOOGLETRANSLATE(B32,""zh-tw"",""KO"")"),"심야 텔레비전 방송에 사용됨")</f>
        <v>심야 텔레비전 방송에 사용됨</v>
      </c>
      <c r="M32" s="403" t="s">
        <v>9435</v>
      </c>
      <c r="N32" s="198" t="s">
        <v>9421</v>
      </c>
      <c r="O32" s="399" t="s">
        <v>9436</v>
      </c>
      <c r="P32" s="167" t="s">
        <v>9423</v>
      </c>
      <c r="Q32" s="434" t="s">
        <v>9437</v>
      </c>
      <c r="R32" s="435" t="s">
        <v>9425</v>
      </c>
      <c r="S32" s="403" t="s">
        <v>9438</v>
      </c>
      <c r="T32" s="198" t="s">
        <v>9427</v>
      </c>
      <c r="U32" s="399" t="s">
        <v>9439</v>
      </c>
      <c r="V32" s="167" t="s">
        <v>9429</v>
      </c>
      <c r="W32" s="8"/>
      <c r="X32" s="8"/>
      <c r="Y32" s="8"/>
      <c r="Z32" s="8"/>
      <c r="AA32" s="8"/>
      <c r="AB32" s="8"/>
      <c r="AC32" s="8"/>
      <c r="AD32" s="8"/>
      <c r="AE32" s="8"/>
      <c r="AF32" s="8"/>
      <c r="AG32" s="8"/>
      <c r="AH32" s="8"/>
      <c r="AI32" s="8"/>
      <c r="AJ32" s="8"/>
      <c r="AK32" s="8"/>
      <c r="AL32" s="8"/>
      <c r="AM32" s="8"/>
      <c r="AN32" s="8"/>
      <c r="AO32" s="8"/>
      <c r="AP32" s="8"/>
      <c r="AQ32" s="8"/>
      <c r="AR32" s="8"/>
      <c r="AS32" s="8"/>
      <c r="AT32" s="8"/>
    </row>
    <row r="33" ht="42.75" customHeight="1">
      <c r="A33" s="399" t="s">
        <v>9440</v>
      </c>
      <c r="B33" s="167" t="s">
        <v>9441</v>
      </c>
      <c r="C33" s="399" t="s">
        <v>9442</v>
      </c>
      <c r="D33" s="167"/>
      <c r="E33" s="399" t="s">
        <v>3586</v>
      </c>
      <c r="F33" s="167"/>
      <c r="G33" s="399" t="s">
        <v>9440</v>
      </c>
      <c r="H33" s="167" t="s">
        <v>9443</v>
      </c>
      <c r="I33" s="399"/>
      <c r="J33" s="167"/>
      <c r="K33" s="399"/>
      <c r="L33" s="167"/>
      <c r="M33" s="399" t="s">
        <v>9444</v>
      </c>
      <c r="N33" s="198"/>
      <c r="O33" s="399"/>
      <c r="P33" s="167"/>
      <c r="Q33" s="404"/>
      <c r="R33" s="155"/>
      <c r="S33" s="399" t="s">
        <v>3586</v>
      </c>
      <c r="T33" s="167" t="s">
        <v>9445</v>
      </c>
      <c r="U33" s="399"/>
      <c r="V33" s="167"/>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399" t="s">
        <v>9446</v>
      </c>
      <c r="B34" s="167" t="s">
        <v>9447</v>
      </c>
      <c r="C34" s="399" t="s">
        <v>9448</v>
      </c>
      <c r="D34" s="167" t="s">
        <v>9449</v>
      </c>
      <c r="E34" s="399" t="s">
        <v>9450</v>
      </c>
      <c r="F34" s="167" t="s">
        <v>9451</v>
      </c>
      <c r="G34" s="399" t="str">
        <f>IFERROR(__xludf.DUMMYFUNCTION("GOOGLETRANSLATE(A34,""zh-tw"",""zh"")"),"封存的时计")</f>
        <v>封存的时计</v>
      </c>
      <c r="H34" s="167" t="str">
        <f>IFERROR(__xludf.DUMMYFUNCTION("GOOGLETRANSLATE(B34,""zh-tw"",""zh"")"),"范围暂停")</f>
        <v>范围暂停</v>
      </c>
      <c r="I34" s="399" t="s">
        <v>9452</v>
      </c>
      <c r="J34" s="167" t="s">
        <v>9453</v>
      </c>
      <c r="K34" s="399" t="s">
        <v>9454</v>
      </c>
      <c r="L34" s="167" t="s">
        <v>9455</v>
      </c>
      <c r="M34" s="403" t="s">
        <v>9456</v>
      </c>
      <c r="N34" s="198" t="s">
        <v>9457</v>
      </c>
      <c r="O34" s="399" t="s">
        <v>9458</v>
      </c>
      <c r="P34" s="167" t="s">
        <v>9459</v>
      </c>
      <c r="Q34" s="404" t="s">
        <v>9460</v>
      </c>
      <c r="R34" s="155" t="s">
        <v>9461</v>
      </c>
      <c r="S34" s="403" t="s">
        <v>9462</v>
      </c>
      <c r="T34" s="198" t="s">
        <v>9463</v>
      </c>
      <c r="U34" s="399" t="s">
        <v>9464</v>
      </c>
      <c r="V34" s="167" t="s">
        <v>9465</v>
      </c>
      <c r="W34" s="8"/>
      <c r="X34" s="8"/>
      <c r="Y34" s="8"/>
      <c r="Z34" s="8"/>
      <c r="AA34" s="8"/>
      <c r="AB34" s="8"/>
      <c r="AC34" s="8"/>
      <c r="AD34" s="8"/>
      <c r="AE34" s="8"/>
      <c r="AF34" s="8"/>
      <c r="AG34" s="8"/>
      <c r="AH34" s="8"/>
      <c r="AI34" s="8"/>
      <c r="AJ34" s="8"/>
      <c r="AK34" s="8"/>
      <c r="AL34" s="8"/>
      <c r="AM34" s="8"/>
      <c r="AN34" s="8"/>
      <c r="AO34" s="8"/>
      <c r="AP34" s="8"/>
      <c r="AQ34" s="8"/>
      <c r="AR34" s="8"/>
      <c r="AS34" s="8"/>
      <c r="AT34" s="8"/>
    </row>
    <row r="35" ht="29.25" customHeight="1">
      <c r="A35" s="391" t="s">
        <v>9466</v>
      </c>
      <c r="B35" s="391" t="s">
        <v>9467</v>
      </c>
      <c r="C35" s="399" t="s">
        <v>9468</v>
      </c>
      <c r="D35" s="167" t="s">
        <v>9469</v>
      </c>
      <c r="E35" s="399" t="s">
        <v>9470</v>
      </c>
      <c r="F35" s="167" t="s">
        <v>9471</v>
      </c>
      <c r="G35" s="399" t="s">
        <v>9472</v>
      </c>
      <c r="H35" s="167" t="s">
        <v>9473</v>
      </c>
      <c r="I35" s="410"/>
      <c r="J35" s="142"/>
      <c r="K35" s="410"/>
      <c r="L35" s="142"/>
      <c r="M35" s="399" t="s">
        <v>9474</v>
      </c>
      <c r="N35" s="167" t="s">
        <v>9475</v>
      </c>
      <c r="O35" s="403"/>
      <c r="P35" s="198"/>
      <c r="Q35" s="399" t="s">
        <v>9476</v>
      </c>
      <c r="R35" s="167" t="s">
        <v>9477</v>
      </c>
      <c r="S35" s="399" t="s">
        <v>9478</v>
      </c>
      <c r="T35" s="167" t="s">
        <v>9479</v>
      </c>
      <c r="U35" s="403"/>
      <c r="V35" s="167" t="s">
        <v>9480</v>
      </c>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399" t="s">
        <v>9481</v>
      </c>
      <c r="B36" s="167" t="s">
        <v>9482</v>
      </c>
      <c r="C36" s="399" t="s">
        <v>9483</v>
      </c>
      <c r="D36" s="167" t="s">
        <v>9484</v>
      </c>
      <c r="E36" s="399" t="s">
        <v>9485</v>
      </c>
      <c r="F36" s="167" t="s">
        <v>9486</v>
      </c>
      <c r="G36" s="399" t="s">
        <v>9487</v>
      </c>
      <c r="H36" s="167" t="s">
        <v>9488</v>
      </c>
      <c r="I36" s="410"/>
      <c r="J36" s="142"/>
      <c r="K36" s="410"/>
      <c r="L36" s="142"/>
      <c r="M36" s="399" t="s">
        <v>9489</v>
      </c>
      <c r="N36" s="167" t="s">
        <v>9490</v>
      </c>
      <c r="O36" s="403"/>
      <c r="P36" s="198"/>
      <c r="Q36" s="399" t="s">
        <v>9491</v>
      </c>
      <c r="R36" s="167" t="s">
        <v>9492</v>
      </c>
      <c r="S36" s="403" t="s">
        <v>9493</v>
      </c>
      <c r="T36" s="167" t="s">
        <v>9494</v>
      </c>
      <c r="U36" s="403"/>
      <c r="V36" s="198"/>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166" t="s">
        <v>7674</v>
      </c>
      <c r="C37" s="166" t="s">
        <v>7675</v>
      </c>
      <c r="E37" s="166" t="s">
        <v>7676</v>
      </c>
      <c r="G37" s="166" t="s">
        <v>7677</v>
      </c>
      <c r="I37" s="166"/>
      <c r="K37" s="166"/>
      <c r="M37" s="166" t="s">
        <v>7678</v>
      </c>
      <c r="O37" s="166"/>
      <c r="Q37" s="166"/>
      <c r="S37" s="166" t="s">
        <v>7679</v>
      </c>
      <c r="U37" s="166"/>
      <c r="W37" s="8"/>
      <c r="X37" s="8"/>
      <c r="Y37" s="8"/>
      <c r="Z37" s="8"/>
      <c r="AA37" s="8"/>
      <c r="AB37" s="8"/>
      <c r="AC37" s="8"/>
      <c r="AD37" s="8"/>
      <c r="AE37" s="8"/>
      <c r="AF37" s="8"/>
      <c r="AG37" s="8"/>
      <c r="AH37" s="8"/>
      <c r="AI37" s="8"/>
      <c r="AJ37" s="8"/>
      <c r="AK37" s="8"/>
      <c r="AL37" s="8"/>
      <c r="AM37" s="8"/>
      <c r="AN37" s="8"/>
      <c r="AO37" s="8"/>
      <c r="AP37" s="8"/>
      <c r="AQ37" s="8"/>
      <c r="AR37" s="8"/>
      <c r="AS37" s="8"/>
      <c r="AT37" s="8"/>
    </row>
    <row r="38" ht="35.25" customHeight="1">
      <c r="A38" s="391" t="s">
        <v>9495</v>
      </c>
      <c r="B38" s="391" t="s">
        <v>9496</v>
      </c>
      <c r="C38" s="399" t="s">
        <v>9497</v>
      </c>
      <c r="D38" s="167" t="s">
        <v>9498</v>
      </c>
      <c r="E38" s="399" t="s">
        <v>9499</v>
      </c>
      <c r="F38" s="167" t="s">
        <v>9500</v>
      </c>
      <c r="G38" s="399" t="str">
        <f>IFERROR(__xludf.DUMMYFUNCTION("GOOGLETRANSLATE(A38,""zh-tw"",""zh"")"),"塔罗牌-愚者")</f>
        <v>塔罗牌-愚者</v>
      </c>
      <c r="H38" s="167" t="str">
        <f>IFERROR(__xludf.DUMMYFUNCTION("GOOGLETRANSLATE(B38,""zh-tw"",""zh"")"),"传送至随机地图
")</f>
        <v>传送至随机地图
</v>
      </c>
      <c r="I38" s="403"/>
      <c r="J38" s="167"/>
      <c r="K38" s="399"/>
      <c r="L38" s="167"/>
      <c r="M38" s="399" t="s">
        <v>9501</v>
      </c>
      <c r="N38" s="167" t="s">
        <v>9502</v>
      </c>
      <c r="O38" s="399"/>
      <c r="P38" s="167"/>
      <c r="Q38" s="399" t="s">
        <v>9503</v>
      </c>
      <c r="R38" s="167" t="s">
        <v>9504</v>
      </c>
      <c r="S38" s="399" t="s">
        <v>9505</v>
      </c>
      <c r="T38" s="167" t="s">
        <v>9506</v>
      </c>
      <c r="U38" s="399"/>
      <c r="V38" s="167"/>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399" t="s">
        <v>9507</v>
      </c>
      <c r="B39" s="167" t="s">
        <v>9508</v>
      </c>
      <c r="C39" s="399" t="s">
        <v>9509</v>
      </c>
      <c r="D39" s="167" t="s">
        <v>9510</v>
      </c>
      <c r="E39" s="399" t="s">
        <v>9511</v>
      </c>
      <c r="F39" s="167" t="s">
        <v>9512</v>
      </c>
      <c r="G39" s="399" t="str">
        <f>IFERROR(__xludf.DUMMYFUNCTION("GOOGLETRANSLATE(A39,""zh-tw"",""zh"")"),"塔罗牌-女祭司")</f>
        <v>塔罗牌-女祭司</v>
      </c>
      <c r="H39" s="167" t="str">
        <f>IFERROR(__xludf.DUMMYFUNCTION("GOOGLETRANSLATE(B39,""zh-tw"",""zh"")"),"召唤教堂")</f>
        <v>召唤教堂</v>
      </c>
      <c r="I39" s="403" t="str">
        <f>IFERROR(__xludf.DUMMYFUNCTION("GOOGLETRANSLATE(A39,""zh-tw"",""es-MX"")"),"Tarot - La Suma Sacerdotisa")</f>
        <v>Tarot - La Suma Sacerdotisa</v>
      </c>
      <c r="J39" s="167" t="s">
        <v>9513</v>
      </c>
      <c r="K39" s="399" t="s">
        <v>9514</v>
      </c>
      <c r="L39" s="167" t="s">
        <v>9515</v>
      </c>
      <c r="M39" s="403" t="s">
        <v>9516</v>
      </c>
      <c r="N39" s="198" t="s">
        <v>9517</v>
      </c>
      <c r="O39" s="399" t="s">
        <v>9518</v>
      </c>
      <c r="P39" s="167" t="s">
        <v>9519</v>
      </c>
      <c r="Q39" s="399" t="s">
        <v>9520</v>
      </c>
      <c r="R39" s="155" t="s">
        <v>9521</v>
      </c>
      <c r="S39" s="403" t="s">
        <v>9522</v>
      </c>
      <c r="T39" s="198" t="s">
        <v>9523</v>
      </c>
      <c r="U39" s="399" t="s">
        <v>9524</v>
      </c>
      <c r="V39" s="167" t="s">
        <v>9525</v>
      </c>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399" t="s">
        <v>9526</v>
      </c>
      <c r="B40" s="167" t="s">
        <v>9527</v>
      </c>
      <c r="C40" s="399" t="s">
        <v>9528</v>
      </c>
      <c r="D40" s="167" t="s">
        <v>9529</v>
      </c>
      <c r="E40" s="399" t="s">
        <v>9530</v>
      </c>
      <c r="F40" s="167" t="s">
        <v>9531</v>
      </c>
      <c r="G40" s="399" t="str">
        <f>IFERROR(__xludf.DUMMYFUNCTION("GOOGLETRANSLATE(A40,""zh-tw"",""zh"")"),"塔罗牌-皇帝")</f>
        <v>塔罗牌-皇帝</v>
      </c>
      <c r="H40" s="167" t="str">
        <f>IFERROR(__xludf.DUMMYFUNCTION("GOOGLETRANSLATE(B40,""zh-tw"",""zh"")"),"巨龙咆啸")</f>
        <v>巨龙咆啸</v>
      </c>
      <c r="I40" s="403" t="str">
        <f>IFERROR(__xludf.DUMMYFUNCTION("GOOGLETRANSLATE(A40,""zh-tw"",""es-MX"")"),"Tarot - El Emperador")</f>
        <v>Tarot - El Emperador</v>
      </c>
      <c r="J40" s="167" t="s">
        <v>9532</v>
      </c>
      <c r="K40" s="403" t="str">
        <f>IFERROR(__xludf.DUMMYFUNCTION("GOOGLETRANSLATE(A40,""zh-tw"",""KO"")"),"타로 - 황제 카드")</f>
        <v>타로 - 황제 카드</v>
      </c>
      <c r="L40" s="167" t="s">
        <v>9533</v>
      </c>
      <c r="M40" s="403" t="s">
        <v>9534</v>
      </c>
      <c r="N40" s="198" t="s">
        <v>9535</v>
      </c>
      <c r="O40" s="399" t="s">
        <v>9536</v>
      </c>
      <c r="P40" s="167" t="s">
        <v>9537</v>
      </c>
      <c r="Q40" s="399" t="s">
        <v>9538</v>
      </c>
      <c r="R40" s="155" t="s">
        <v>9539</v>
      </c>
      <c r="S40" s="403" t="s">
        <v>9540</v>
      </c>
      <c r="T40" s="198" t="s">
        <v>9541</v>
      </c>
      <c r="U40" s="399" t="s">
        <v>9542</v>
      </c>
      <c r="V40" s="167" t="s">
        <v>9543</v>
      </c>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399" t="s">
        <v>9544</v>
      </c>
      <c r="B41" s="167" t="s">
        <v>9545</v>
      </c>
      <c r="C41" s="399" t="s">
        <v>9546</v>
      </c>
      <c r="D41" s="167" t="s">
        <v>9547</v>
      </c>
      <c r="E41" s="399" t="s">
        <v>9548</v>
      </c>
      <c r="F41" s="167" t="s">
        <v>9549</v>
      </c>
      <c r="G41" s="399" t="str">
        <f>IFERROR(__xludf.DUMMYFUNCTION("GOOGLETRANSLATE(A41,""zh-tw"",""zh"")"),"塔罗牌-战车")</f>
        <v>塔罗牌-战车</v>
      </c>
      <c r="H41" s="167" t="str">
        <f>IFERROR(__xludf.DUMMYFUNCTION("GOOGLETRANSLATE(B41,""zh-tw"",""zh"")"),"召唤猫娘商店车")</f>
        <v>召唤猫娘商店车</v>
      </c>
      <c r="I41" s="403" t="str">
        <f>IFERROR(__xludf.DUMMYFUNCTION("GOOGLETRANSLATE(A41,""zh-tw"",""es-MX"")"),"Carta del Tarot - El Carro")</f>
        <v>Carta del Tarot - El Carro</v>
      </c>
      <c r="J41" s="167" t="s">
        <v>9550</v>
      </c>
      <c r="K41" s="399" t="s">
        <v>9551</v>
      </c>
      <c r="L41" s="198" t="str">
        <f>IFERROR(__xludf.DUMMYFUNCTION("GOOGLETRANSLATE(B41,""zh-tw"",""KO"")"),"고양이 소녀 상점 카트를 소환하세요")</f>
        <v>고양이 소녀 상점 카트를 소환하세요</v>
      </c>
      <c r="M41" s="403" t="s">
        <v>9552</v>
      </c>
      <c r="N41" s="198" t="s">
        <v>9553</v>
      </c>
      <c r="O41" s="399" t="s">
        <v>9554</v>
      </c>
      <c r="P41" s="167" t="s">
        <v>9555</v>
      </c>
      <c r="Q41" s="399" t="s">
        <v>9556</v>
      </c>
      <c r="R41" s="155" t="s">
        <v>9557</v>
      </c>
      <c r="S41" s="403" t="s">
        <v>9558</v>
      </c>
      <c r="T41" s="198" t="s">
        <v>9559</v>
      </c>
      <c r="U41" s="399" t="s">
        <v>9560</v>
      </c>
      <c r="V41" s="167" t="s">
        <v>9561</v>
      </c>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399" t="s">
        <v>9562</v>
      </c>
      <c r="B42" s="167" t="s">
        <v>9563</v>
      </c>
      <c r="C42" s="399" t="s">
        <v>9564</v>
      </c>
      <c r="D42" s="167" t="s">
        <v>9565</v>
      </c>
      <c r="E42" s="399" t="s">
        <v>9566</v>
      </c>
      <c r="F42" s="167" t="s">
        <v>9567</v>
      </c>
      <c r="G42" s="399" t="str">
        <f>IFERROR(__xludf.DUMMYFUNCTION("GOOGLETRANSLATE(A42,""zh-tw"",""zh"")"),"塔罗牌-力")</f>
        <v>塔罗牌-力</v>
      </c>
      <c r="H42" s="167" t="str">
        <f>IFERROR(__xludf.DUMMYFUNCTION("GOOGLETRANSLATE(B42,""zh-tw"",""zh"")"),"武器巨大化增强")</f>
        <v>武器巨大化增强</v>
      </c>
      <c r="I42" s="403" t="str">
        <f>IFERROR(__xludf.DUMMYFUNCTION("GOOGLETRANSLATE(A42,""zh-tw"",""es-MX"")"),"Carta del Tarot - Fuerza")</f>
        <v>Carta del Tarot - Fuerza</v>
      </c>
      <c r="J42" s="167" t="s">
        <v>9568</v>
      </c>
      <c r="K42" s="403" t="str">
        <f>IFERROR(__xludf.DUMMYFUNCTION("GOOGLETRANSLATE(A42,""zh-tw"",""KO"")"),"타로 카드 - 힘")</f>
        <v>타로 카드 - 힘</v>
      </c>
      <c r="L42" s="167" t="s">
        <v>9569</v>
      </c>
      <c r="M42" s="403" t="s">
        <v>9570</v>
      </c>
      <c r="N42" s="198" t="s">
        <v>9571</v>
      </c>
      <c r="O42" s="399" t="s">
        <v>9572</v>
      </c>
      <c r="P42" s="167" t="s">
        <v>9573</v>
      </c>
      <c r="Q42" s="399" t="s">
        <v>9574</v>
      </c>
      <c r="R42" s="155" t="s">
        <v>9575</v>
      </c>
      <c r="S42" s="403" t="s">
        <v>9576</v>
      </c>
      <c r="T42" s="198" t="s">
        <v>9577</v>
      </c>
      <c r="U42" s="399" t="s">
        <v>9578</v>
      </c>
      <c r="V42" s="167" t="s">
        <v>9579</v>
      </c>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399" t="s">
        <v>9580</v>
      </c>
      <c r="B43" s="167" t="s">
        <v>9581</v>
      </c>
      <c r="C43" s="399" t="s">
        <v>9582</v>
      </c>
      <c r="D43" s="167" t="s">
        <v>9583</v>
      </c>
      <c r="E43" s="399" t="s">
        <v>9584</v>
      </c>
      <c r="F43" s="167" t="s">
        <v>9585</v>
      </c>
      <c r="G43" s="399" t="str">
        <f>IFERROR(__xludf.DUMMYFUNCTION("GOOGLETRANSLATE(A43,""zh-tw"",""zh"")"),"塔罗牌-命运之轮")</f>
        <v>塔罗牌-命运之轮</v>
      </c>
      <c r="H43" s="167" t="str">
        <f>IFERROR(__xludf.DUMMYFUNCTION("GOOGLETRANSLATE(B43,""zh-tw"",""zh"")"),"随机BUFF效果")</f>
        <v>随机BUFF效果</v>
      </c>
      <c r="I43" s="403" t="str">
        <f>IFERROR(__xludf.DUMMYFUNCTION("GOOGLETRANSLATE(A43,""zh-tw"",""es-MX"")"),"Tarot - La Rueda de la Fortuna")</f>
        <v>Tarot - La Rueda de la Fortuna</v>
      </c>
      <c r="J43" s="167" t="s">
        <v>9586</v>
      </c>
      <c r="K43" s="399" t="s">
        <v>9587</v>
      </c>
      <c r="L43" s="167" t="s">
        <v>9588</v>
      </c>
      <c r="M43" s="403" t="s">
        <v>9589</v>
      </c>
      <c r="N43" s="198" t="s">
        <v>9590</v>
      </c>
      <c r="O43" s="399" t="s">
        <v>9591</v>
      </c>
      <c r="P43" s="167" t="s">
        <v>9592</v>
      </c>
      <c r="Q43" s="399" t="s">
        <v>9593</v>
      </c>
      <c r="R43" s="155" t="s">
        <v>9594</v>
      </c>
      <c r="S43" s="403" t="s">
        <v>9595</v>
      </c>
      <c r="T43" s="198" t="s">
        <v>9596</v>
      </c>
      <c r="U43" s="399" t="s">
        <v>9597</v>
      </c>
      <c r="V43" s="167" t="s">
        <v>9598</v>
      </c>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399" t="s">
        <v>9599</v>
      </c>
      <c r="B44" s="167" t="s">
        <v>9600</v>
      </c>
      <c r="C44" s="399" t="s">
        <v>9601</v>
      </c>
      <c r="D44" s="167" t="s">
        <v>9602</v>
      </c>
      <c r="E44" s="399" t="s">
        <v>9603</v>
      </c>
      <c r="F44" s="167" t="s">
        <v>9604</v>
      </c>
      <c r="G44" s="399" t="str">
        <f>IFERROR(__xludf.DUMMYFUNCTION("GOOGLETRANSLATE(A44,""zh-tw"",""zh"")"),"塔罗牌-正义")</f>
        <v>塔罗牌-正义</v>
      </c>
      <c r="H44" s="167" t="str">
        <f>IFERROR(__xludf.DUMMYFUNCTION("GOOGLETRANSLATE(B44,""zh-tw"",""zh"")"),"消除状态")</f>
        <v>消除状态</v>
      </c>
      <c r="I44" s="403" t="str">
        <f>IFERROR(__xludf.DUMMYFUNCTION("GOOGLETRANSLATE(A44,""zh-tw"",""es-MX"")"),"Tarot - Justicia")</f>
        <v>Tarot - Justicia</v>
      </c>
      <c r="J44" s="167" t="s">
        <v>9605</v>
      </c>
      <c r="K44" s="399" t="s">
        <v>9606</v>
      </c>
      <c r="L44" s="202" t="s">
        <v>9607</v>
      </c>
      <c r="M44" s="403" t="s">
        <v>9608</v>
      </c>
      <c r="N44" s="198" t="s">
        <v>9609</v>
      </c>
      <c r="O44" s="399" t="s">
        <v>9610</v>
      </c>
      <c r="P44" s="167" t="s">
        <v>9611</v>
      </c>
      <c r="Q44" s="399" t="s">
        <v>9612</v>
      </c>
      <c r="R44" s="167" t="s">
        <v>9613</v>
      </c>
      <c r="S44" s="403" t="s">
        <v>9614</v>
      </c>
      <c r="T44" s="198" t="s">
        <v>9615</v>
      </c>
      <c r="U44" s="399" t="s">
        <v>9616</v>
      </c>
      <c r="V44" s="167" t="s">
        <v>9617</v>
      </c>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404" t="s">
        <v>9618</v>
      </c>
      <c r="B45" s="167" t="s">
        <v>9619</v>
      </c>
      <c r="C45" s="404" t="s">
        <v>9620</v>
      </c>
      <c r="D45" s="167" t="s">
        <v>9621</v>
      </c>
      <c r="E45" s="404" t="s">
        <v>9622</v>
      </c>
      <c r="F45" s="155" t="s">
        <v>9623</v>
      </c>
      <c r="G45" s="399" t="str">
        <f>IFERROR(__xludf.DUMMYFUNCTION("GOOGLETRANSLATE(A45,""zh-tw"",""zh"")"),"塔罗牌-死神")</f>
        <v>塔罗牌-死神</v>
      </c>
      <c r="H45" s="167" t="str">
        <f>IFERROR(__xludf.DUMMYFUNCTION("GOOGLETRANSLATE(B45,""zh-tw"",""zh"")"),"死之恶魔现身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5" s="403" t="str">
        <f>IFERROR(__xludf.DUMMYFUNCTION("GOOGLETRANSLATE(A45,""zh-tw"",""es-MX"")"),"Carta del Tarot - Muerte")</f>
        <v>Carta del Tarot - Muerte</v>
      </c>
      <c r="J45" s="167" t="s">
        <v>9624</v>
      </c>
      <c r="K45" s="403" t="str">
        <f>IFERROR(__xludf.DUMMYFUNCTION("GOOGLETRANSLATE(A45,""zh-tw"",""KO"")"),"타로 카드 - 죽음")</f>
        <v>타로 카드 - 죽음</v>
      </c>
      <c r="L45" s="198" t="str">
        <f>IFERROR(__xludf.DUMMYFUNCTION("GOOGLETRANSLATE(B45,""zh-tw"",""KO"")"),"죽음의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5" s="403" t="s">
        <v>9625</v>
      </c>
      <c r="N45" s="198" t="s">
        <v>9626</v>
      </c>
      <c r="O45" s="399" t="s">
        <v>9627</v>
      </c>
      <c r="P45" s="167" t="s">
        <v>9628</v>
      </c>
      <c r="Q45" s="399" t="s">
        <v>9629</v>
      </c>
      <c r="R45" s="155" t="s">
        <v>9630</v>
      </c>
      <c r="S45" s="403" t="s">
        <v>9631</v>
      </c>
      <c r="T45" s="198" t="s">
        <v>9632</v>
      </c>
      <c r="U45" s="399" t="s">
        <v>9633</v>
      </c>
      <c r="V45" s="167" t="s">
        <v>9634</v>
      </c>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399" t="s">
        <v>9635</v>
      </c>
      <c r="B46" s="167" t="s">
        <v>9636</v>
      </c>
      <c r="C46" s="399" t="s">
        <v>9637</v>
      </c>
      <c r="D46" s="167" t="s">
        <v>9638</v>
      </c>
      <c r="E46" s="399" t="s">
        <v>9639</v>
      </c>
      <c r="F46" s="167" t="s">
        <v>9640</v>
      </c>
      <c r="G46" s="399" t="str">
        <f>IFERROR(__xludf.DUMMYFUNCTION("GOOGLETRANSLATE(A46,""zh-tw"",""zh"")"),"塔罗牌-节制")</f>
        <v>塔罗牌-节制</v>
      </c>
      <c r="H46" s="167" t="str">
        <f>IFERROR(__xludf.DUMMYFUNCTION("GOOGLETRANSLATE(B46,""zh-tw"",""zh"")"),"召唤扭蛋机")</f>
        <v>召唤扭蛋机</v>
      </c>
      <c r="I46" s="403" t="str">
        <f>IFERROR(__xludf.DUMMYFUNCTION("GOOGLETRANSLATE(A46,""zh-tw"",""es-MX"")"),"Tarot - La Templanza")</f>
        <v>Tarot - La Templanza</v>
      </c>
      <c r="J46" s="167" t="s">
        <v>9641</v>
      </c>
      <c r="K46" s="399" t="s">
        <v>9642</v>
      </c>
      <c r="L46" s="198" t="str">
        <f>IFERROR(__xludf.DUMMYFUNCTION("GOOGLETRANSLATE(B46,""zh-tw"",""KO"")"),"가샤폰 소환기")</f>
        <v>가샤폰 소환기</v>
      </c>
      <c r="M46" s="403" t="s">
        <v>9643</v>
      </c>
      <c r="N46" s="198" t="s">
        <v>9644</v>
      </c>
      <c r="O46" s="399" t="s">
        <v>9645</v>
      </c>
      <c r="P46" s="167" t="s">
        <v>9646</v>
      </c>
      <c r="Q46" s="399" t="s">
        <v>9647</v>
      </c>
      <c r="R46" s="155" t="s">
        <v>9648</v>
      </c>
      <c r="S46" s="403" t="s">
        <v>9649</v>
      </c>
      <c r="T46" s="198" t="s">
        <v>9650</v>
      </c>
      <c r="U46" s="399" t="s">
        <v>9651</v>
      </c>
      <c r="V46" s="167" t="s">
        <v>9652</v>
      </c>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403" t="s">
        <v>9653</v>
      </c>
      <c r="B47" s="198" t="s">
        <v>9654</v>
      </c>
      <c r="C47" s="403" t="s">
        <v>9655</v>
      </c>
      <c r="D47" s="198" t="s">
        <v>9656</v>
      </c>
      <c r="E47" s="403" t="s">
        <v>9657</v>
      </c>
      <c r="F47" s="198" t="s">
        <v>9658</v>
      </c>
      <c r="G47" s="403" t="s">
        <v>9659</v>
      </c>
      <c r="H47" s="198" t="s">
        <v>9660</v>
      </c>
      <c r="I47" s="403" t="str">
        <f>IFERROR(__xludf.DUMMYFUNCTION("GOOGLETRANSLATE(A47,""zh-tw"",""es-MX"")"),"Tarot - La Torre")</f>
        <v>Tarot - La Torre</v>
      </c>
      <c r="J47" s="142" t="str">
        <f>IFERROR(__xludf.DUMMYFUNCTION("GOOGLETRANSLATE(B47,""zh-tw"",""es-MX"")"),"Uso en el Abismo
Invocar Pilar del Sello
No se pueden usar varias copias simultáneamente.")</f>
        <v>Uso en el Abismo
Invocar Pilar del Sello
No se pueden usar varias copias simultáneamente.</v>
      </c>
      <c r="K47" s="403" t="str">
        <f>IFERROR(__xludf.DUMMYFUNCTION("GOOGLETRANSLATE(A47,""zh-tw"",""KO"")"),"타로 - 탑 카드")</f>
        <v>타로 - 탑 카드</v>
      </c>
      <c r="L47" s="198" t="str">
        <f>IFERROR(__xludf.DUMMYFUNCTION("GOOGLETRANSLATE(B47,""zh-tw"",""KO"")"),"심연에서의 사용
봉인의 기둥 소환
여러 장을 동시에 사용할 수 없습니다.")</f>
        <v>심연에서의 사용
봉인의 기둥 소환
여러 장을 동시에 사용할 수 없습니다.</v>
      </c>
      <c r="M47" s="403" t="s">
        <v>9661</v>
      </c>
      <c r="N47" s="198" t="s">
        <v>9662</v>
      </c>
      <c r="O47" s="403" t="s">
        <v>9663</v>
      </c>
      <c r="P47" s="198" t="s">
        <v>9664</v>
      </c>
      <c r="Q47" s="432" t="s">
        <v>9665</v>
      </c>
      <c r="R47" s="211" t="s">
        <v>9666</v>
      </c>
      <c r="S47" s="403" t="s">
        <v>9667</v>
      </c>
      <c r="T47" s="198" t="s">
        <v>9668</v>
      </c>
      <c r="U47" s="403" t="s">
        <v>9669</v>
      </c>
      <c r="V47" s="198" t="s">
        <v>9670</v>
      </c>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399" t="s">
        <v>9671</v>
      </c>
      <c r="B48" s="167" t="s">
        <v>9672</v>
      </c>
      <c r="C48" s="399" t="str">
        <f>IFERROR(__xludf.DUMMYFUNCTION("GOOGLETRANSLATE(A48,""zh-tw"",""ja"")"),"タロット - 星")</f>
        <v>タロット - 星</v>
      </c>
      <c r="D48" s="167" t="s">
        <v>9673</v>
      </c>
      <c r="E48" s="399" t="s">
        <v>9674</v>
      </c>
      <c r="F48" s="167" t="s">
        <v>9675</v>
      </c>
      <c r="G48" s="399" t="str">
        <f>IFERROR(__xludf.DUMMYFUNCTION("GOOGLETRANSLATE(A48,""zh-tw"",""zh"")"),"塔罗牌-星")</f>
        <v>塔罗牌-星</v>
      </c>
      <c r="H48" s="167" t="str">
        <f>IFERROR(__xludf.DUMMYFUNCTION("GOOGLETRANSLATE(B48,""zh-tw"",""zh"")"),"星之门")</f>
        <v>星之门</v>
      </c>
      <c r="I48" s="403" t="str">
        <f>IFERROR(__xludf.DUMMYFUNCTION("GOOGLETRANSLATE(A48,""zh-tw"",""es-MX"")"),"Tarot - La Estrella")</f>
        <v>Tarot - La Estrella</v>
      </c>
      <c r="J48" s="167" t="s">
        <v>9676</v>
      </c>
      <c r="K48" s="403" t="str">
        <f>IFERROR(__xludf.DUMMYFUNCTION("GOOGLETRANSLATE(A48,""zh-tw"",""KO"")"),"타로 - 별")</f>
        <v>타로 - 별</v>
      </c>
      <c r="L48" s="167" t="s">
        <v>9677</v>
      </c>
      <c r="M48" s="403" t="s">
        <v>9678</v>
      </c>
      <c r="N48" s="198" t="s">
        <v>9679</v>
      </c>
      <c r="O48" s="399" t="s">
        <v>9680</v>
      </c>
      <c r="P48" s="167" t="s">
        <v>9681</v>
      </c>
      <c r="Q48" s="399" t="s">
        <v>9682</v>
      </c>
      <c r="R48" s="155" t="s">
        <v>9683</v>
      </c>
      <c r="S48" s="403" t="s">
        <v>9684</v>
      </c>
      <c r="T48" s="167" t="s">
        <v>9685</v>
      </c>
      <c r="U48" s="399" t="s">
        <v>9686</v>
      </c>
      <c r="V48" s="167" t="s">
        <v>9687</v>
      </c>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399" t="s">
        <v>9688</v>
      </c>
      <c r="B49" s="167" t="s">
        <v>9689</v>
      </c>
      <c r="C49" s="399" t="s">
        <v>9690</v>
      </c>
      <c r="D49" s="198" t="str">
        <f>IFERROR(__xludf.DUMMYFUNCTION("GOOGLETRANSLATE(B49,""zh-tw"",""ja"")"),"一定期間内であれば、一度だけ復活できます。")</f>
        <v>一定期間内であれば、一度だけ復活できます。</v>
      </c>
      <c r="E49" s="399" t="s">
        <v>9691</v>
      </c>
      <c r="F49" s="167" t="s">
        <v>9692</v>
      </c>
      <c r="G49" s="399" t="str">
        <f>IFERROR(__xludf.DUMMYFUNCTION("GOOGLETRANSLATE(A49,""zh-tw"",""zh"")"),"塔罗牌-日")</f>
        <v>塔罗牌-日</v>
      </c>
      <c r="H49" s="167" t="str">
        <f>IFERROR(__xludf.DUMMYFUNCTION("GOOGLETRANSLATE(B49,""zh-tw"",""zh"")"),"一定时间内，可复活一次")</f>
        <v>一定时间内，可复活一次</v>
      </c>
      <c r="I49" s="403" t="str">
        <f>IFERROR(__xludf.DUMMYFUNCTION("GOOGLETRANSLATE(A49,""zh-tw"",""es-MX"")"),"Tarot - Sol")</f>
        <v>Tarot - Sol</v>
      </c>
      <c r="J49" s="167" t="s">
        <v>9693</v>
      </c>
      <c r="K49" s="436" t="s">
        <v>9694</v>
      </c>
      <c r="L49" s="167" t="s">
        <v>9695</v>
      </c>
      <c r="M49" s="403" t="s">
        <v>9696</v>
      </c>
      <c r="N49" s="198" t="s">
        <v>9697</v>
      </c>
      <c r="O49" s="399" t="s">
        <v>9698</v>
      </c>
      <c r="P49" s="167" t="s">
        <v>9699</v>
      </c>
      <c r="Q49" s="399" t="s">
        <v>9700</v>
      </c>
      <c r="R49" s="155" t="s">
        <v>9701</v>
      </c>
      <c r="S49" s="403" t="s">
        <v>9702</v>
      </c>
      <c r="T49" s="198" t="s">
        <v>9703</v>
      </c>
      <c r="U49" s="399" t="s">
        <v>9704</v>
      </c>
      <c r="V49" s="167" t="s">
        <v>9705</v>
      </c>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399" t="s">
        <v>9706</v>
      </c>
      <c r="B50" s="167" t="s">
        <v>9707</v>
      </c>
      <c r="C50" s="399" t="s">
        <v>9708</v>
      </c>
      <c r="D50" s="167" t="s">
        <v>9709</v>
      </c>
      <c r="E50" s="399" t="s">
        <v>9710</v>
      </c>
      <c r="F50" s="167" t="s">
        <v>9711</v>
      </c>
      <c r="G50" s="399" t="str">
        <f>IFERROR(__xludf.DUMMYFUNCTION("GOOGLETRANSLATE(A50,""zh-tw"",""zh"")"),"塔罗牌-世界")</f>
        <v>塔罗牌-世界</v>
      </c>
      <c r="H50" s="167" t="str">
        <f>IFERROR(__xludf.DUMMYFUNCTION("GOOGLETRANSLATE(B50,""zh-tw"",""zh"")"),"重制场地")</f>
        <v>重制场地</v>
      </c>
      <c r="I50" s="403" t="str">
        <f>IFERROR(__xludf.DUMMYFUNCTION("GOOGLETRANSLATE(A50,""zh-tw"",""es-MX"")"),"Tarot - El Mundo")</f>
        <v>Tarot - El Mundo</v>
      </c>
      <c r="J50" s="167" t="s">
        <v>9712</v>
      </c>
      <c r="K50" s="403" t="str">
        <f>IFERROR(__xludf.DUMMYFUNCTION("GOOGLETRANSLATE(A50,""zh-tw"",""KO"")"),"타로 - 세계")</f>
        <v>타로 - 세계</v>
      </c>
      <c r="L50" s="167" t="s">
        <v>9713</v>
      </c>
      <c r="M50" s="403" t="s">
        <v>9714</v>
      </c>
      <c r="N50" s="198" t="s">
        <v>9715</v>
      </c>
      <c r="O50" s="399" t="s">
        <v>9716</v>
      </c>
      <c r="P50" s="167" t="s">
        <v>9717</v>
      </c>
      <c r="Q50" s="399" t="s">
        <v>9718</v>
      </c>
      <c r="R50" s="155" t="s">
        <v>9719</v>
      </c>
      <c r="S50" s="403" t="s">
        <v>9720</v>
      </c>
      <c r="T50" s="198" t="s">
        <v>9721</v>
      </c>
      <c r="U50" s="399" t="s">
        <v>9722</v>
      </c>
      <c r="V50" s="167" t="s">
        <v>9723</v>
      </c>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399" t="s">
        <v>9724</v>
      </c>
      <c r="B51" s="167" t="s">
        <v>9725</v>
      </c>
      <c r="C51" s="399" t="s">
        <v>9726</v>
      </c>
      <c r="D51" s="167" t="s">
        <v>9727</v>
      </c>
      <c r="E51" s="399" t="s">
        <v>9728</v>
      </c>
      <c r="F51" s="167" t="s">
        <v>9729</v>
      </c>
      <c r="G51" s="399" t="str">
        <f>IFERROR(__xludf.DUMMYFUNCTION("GOOGLETRANSLATE(A51,""zh-tw"",""zh"")"),"卢恩符文Ansuz")</f>
        <v>卢恩符文Ansuz</v>
      </c>
      <c r="H51" s="167" t="s">
        <v>9730</v>
      </c>
      <c r="I51" s="403" t="str">
        <f>IFERROR(__xludf.DUMMYFUNCTION("GOOGLETRANSLATE(A51,""zh-tw"",""es-MX"")"),"Runa Ansuz")</f>
        <v>Runa Ansuz</v>
      </c>
      <c r="J51" s="167" t="s">
        <v>9731</v>
      </c>
      <c r="K51" s="399" t="s">
        <v>9732</v>
      </c>
      <c r="L51" s="167" t="s">
        <v>9733</v>
      </c>
      <c r="M51" s="403" t="s">
        <v>9734</v>
      </c>
      <c r="N51" s="198" t="s">
        <v>9735</v>
      </c>
      <c r="O51" s="399" t="s">
        <v>9736</v>
      </c>
      <c r="P51" s="167" t="s">
        <v>9737</v>
      </c>
      <c r="Q51" s="399" t="s">
        <v>9738</v>
      </c>
      <c r="R51" s="155" t="s">
        <v>9739</v>
      </c>
      <c r="S51" s="399" t="s">
        <v>9740</v>
      </c>
      <c r="T51" s="198" t="s">
        <v>9741</v>
      </c>
      <c r="U51" s="399" t="s">
        <v>9728</v>
      </c>
      <c r="V51" s="167" t="s">
        <v>9742</v>
      </c>
      <c r="W51" s="8"/>
      <c r="X51" s="8"/>
      <c r="Y51" s="8"/>
      <c r="Z51" s="8"/>
      <c r="AA51" s="8"/>
      <c r="AB51" s="8"/>
      <c r="AC51" s="8"/>
      <c r="AD51" s="8"/>
      <c r="AE51" s="8"/>
      <c r="AF51" s="8"/>
      <c r="AG51" s="8"/>
      <c r="AH51" s="8"/>
      <c r="AI51" s="8"/>
      <c r="AJ51" s="8"/>
      <c r="AK51" s="8"/>
      <c r="AL51" s="8"/>
      <c r="AM51" s="8"/>
      <c r="AN51" s="8"/>
      <c r="AO51" s="8"/>
      <c r="AP51" s="8"/>
      <c r="AQ51" s="8"/>
      <c r="AR51" s="8"/>
      <c r="AS51" s="8"/>
      <c r="AT51" s="8"/>
    </row>
    <row r="52">
      <c r="A52" s="399" t="s">
        <v>9743</v>
      </c>
      <c r="B52" s="167" t="s">
        <v>9744</v>
      </c>
      <c r="C52" s="399" t="s">
        <v>9745</v>
      </c>
      <c r="D52" s="167" t="s">
        <v>9746</v>
      </c>
      <c r="E52" s="399" t="s">
        <v>9747</v>
      </c>
      <c r="F52" s="167" t="s">
        <v>9748</v>
      </c>
      <c r="G52" s="399" t="str">
        <f>IFERROR(__xludf.DUMMYFUNCTION("GOOGLETRANSLATE(A52,""zh-tw"",""zh"")"),"卢恩符文Raido")</f>
        <v>卢恩符文Raido</v>
      </c>
      <c r="H52" s="167" t="str">
        <f>IFERROR(__xludf.DUMMYFUNCTION("GOOGLETRANSLATE(B52,""zh-tw"",""zh"")"),"投掷后，滑鼠点选R的位置进行交换")</f>
        <v>投掷后，滑鼠点选R的位置进行交换</v>
      </c>
      <c r="I52" s="403" t="str">
        <f>IFERROR(__xludf.DUMMYFUNCTION("GOOGLETRANSLATE(A52,""zh-tw"",""es-MX"")"),"Runa Raido")</f>
        <v>Runa Raido</v>
      </c>
      <c r="J52" s="167" t="s">
        <v>9749</v>
      </c>
      <c r="K52" s="399" t="s">
        <v>9750</v>
      </c>
      <c r="L52" s="167" t="s">
        <v>9751</v>
      </c>
      <c r="M52" s="403" t="s">
        <v>9752</v>
      </c>
      <c r="N52" s="198" t="s">
        <v>9753</v>
      </c>
      <c r="O52" s="399" t="s">
        <v>9754</v>
      </c>
      <c r="P52" s="167" t="s">
        <v>9755</v>
      </c>
      <c r="Q52" s="399" t="s">
        <v>9756</v>
      </c>
      <c r="R52" s="155" t="s">
        <v>9757</v>
      </c>
      <c r="S52" s="399" t="s">
        <v>9758</v>
      </c>
      <c r="T52" s="198" t="s">
        <v>9759</v>
      </c>
      <c r="U52" s="399" t="s">
        <v>9747</v>
      </c>
      <c r="V52" s="167" t="s">
        <v>9760</v>
      </c>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404" t="s">
        <v>9761</v>
      </c>
      <c r="B53" s="198" t="s">
        <v>9762</v>
      </c>
      <c r="C53" s="403" t="s">
        <v>9763</v>
      </c>
      <c r="D53" s="198" t="s">
        <v>9764</v>
      </c>
      <c r="E53" s="403" t="s">
        <v>9765</v>
      </c>
      <c r="F53" s="198" t="s">
        <v>9766</v>
      </c>
      <c r="G53" s="399" t="str">
        <f>IFERROR(__xludf.DUMMYFUNCTION("GOOGLETRANSLATE(A53,""zh-tw"",""zh"")"),"卢恩符文Kenaz")</f>
        <v>卢恩符文Kenaz</v>
      </c>
      <c r="H53" s="167" t="str">
        <f>IFERROR(__xludf.DUMMYFUNCTION("GOOGLETRANSLATE(B53,""zh-tw"",""zh"")"),"将目标变为炸弹
依照对方体型，影响爆炸范围")</f>
        <v>将目标变为炸弹
依照对方体型，影响爆炸范围</v>
      </c>
      <c r="I53" s="403" t="str">
        <f>IFERROR(__xludf.DUMMYFUNCTION("GOOGLETRANSLATE(A53,""zh-tw"",""es-MX"")"),"Runa Kenaz")</f>
        <v>Runa Kenaz</v>
      </c>
      <c r="J53" s="198" t="str">
        <f>IFERROR(__xludf.DUMMYFUNCTION("GOOGLETRANSLATE(B53,""zh-tw"",""es-MX"")"),"Convierte el objetivo en una bomba. Ajusta el radio de explosión según el tamaño del objetivo.")</f>
        <v>Convierte el objetivo en una bomba. Ajusta el radio de explosión según el tamaño del objetivo.</v>
      </c>
      <c r="K53" s="403" t="str">
        <f>IFERROR(__xludf.DUMMYFUNCTION("GOOGLETRANSLATE(A53,""zh-tw"",""KO"")"),"룬 케나즈")</f>
        <v>룬 케나즈</v>
      </c>
      <c r="L53" s="198" t="str">
        <f>IFERROR(__xludf.DUMMYFUNCTION("GOOGLETRANSLATE(B53,""zh-tw"",""KO"")"),"목표물을 폭탄으로 바꾸세요. 목표물의 크기에 따라 폭발 반경을 조절하세요.")</f>
        <v>목표물을 폭탄으로 바꾸세요. 목표물의 크기에 따라 폭발 반경을 조절하세요.</v>
      </c>
      <c r="M53" s="403" t="s">
        <v>9767</v>
      </c>
      <c r="N53" s="198" t="s">
        <v>9768</v>
      </c>
      <c r="O53" s="403" t="s">
        <v>9765</v>
      </c>
      <c r="P53" s="198" t="s">
        <v>9766</v>
      </c>
      <c r="Q53" s="399" t="s">
        <v>9769</v>
      </c>
      <c r="R53" s="198" t="s">
        <v>9770</v>
      </c>
      <c r="S53" s="399" t="s">
        <v>9771</v>
      </c>
      <c r="T53" s="167" t="s">
        <v>9772</v>
      </c>
      <c r="U53" s="399" t="s">
        <v>9765</v>
      </c>
      <c r="V53" s="167" t="s">
        <v>9773</v>
      </c>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399" t="s">
        <v>9774</v>
      </c>
      <c r="B54" s="167" t="s">
        <v>9775</v>
      </c>
      <c r="C54" s="399" t="s">
        <v>9776</v>
      </c>
      <c r="D54" s="167" t="s">
        <v>9777</v>
      </c>
      <c r="E54" s="399" t="s">
        <v>9778</v>
      </c>
      <c r="F54" s="167" t="s">
        <v>9779</v>
      </c>
      <c r="G54" s="399" t="str">
        <f>IFERROR(__xludf.DUMMYFUNCTION("GOOGLETRANSLATE(A54,""zh-tw"",""zh"")"),"卢恩符文Ehwaz")</f>
        <v>卢恩符文Ehwaz</v>
      </c>
      <c r="H54" s="167" t="str">
        <f>IFERROR(__xludf.DUMMYFUNCTION("GOOGLETRANSLATE(B54,""zh-tw"",""zh"")"),"投掷后与目标进行位置交换")</f>
        <v>投掷后与目标进行位置交换</v>
      </c>
      <c r="I54" s="403" t="str">
        <f>IFERROR(__xludf.DUMMYFUNCTION("GOOGLETRANSLATE(A54,""zh-tw"",""es-MX"")"),"Runa Ehwaz")</f>
        <v>Runa Ehwaz</v>
      </c>
      <c r="J54" s="167" t="s">
        <v>9780</v>
      </c>
      <c r="K54" s="399" t="s">
        <v>9781</v>
      </c>
      <c r="L54" s="167" t="s">
        <v>9782</v>
      </c>
      <c r="M54" s="403" t="s">
        <v>9783</v>
      </c>
      <c r="N54" s="198" t="s">
        <v>9784</v>
      </c>
      <c r="O54" s="399" t="s">
        <v>9785</v>
      </c>
      <c r="P54" s="167" t="s">
        <v>9786</v>
      </c>
      <c r="Q54" s="399" t="s">
        <v>9787</v>
      </c>
      <c r="R54" s="155" t="s">
        <v>9788</v>
      </c>
      <c r="S54" s="399" t="s">
        <v>9789</v>
      </c>
      <c r="T54" s="198" t="s">
        <v>9790</v>
      </c>
      <c r="U54" s="399" t="s">
        <v>9778</v>
      </c>
      <c r="V54" s="167" t="s">
        <v>9791</v>
      </c>
      <c r="W54" s="8"/>
      <c r="X54" s="8"/>
      <c r="Y54" s="8"/>
      <c r="Z54" s="8"/>
      <c r="AA54" s="8"/>
      <c r="AB54" s="8"/>
      <c r="AC54" s="8"/>
      <c r="AD54" s="8"/>
      <c r="AE54" s="8"/>
      <c r="AF54" s="8"/>
      <c r="AG54" s="8"/>
      <c r="AH54" s="8"/>
      <c r="AI54" s="8"/>
      <c r="AJ54" s="8"/>
      <c r="AK54" s="8"/>
      <c r="AL54" s="8"/>
      <c r="AM54" s="8"/>
      <c r="AN54" s="8"/>
      <c r="AO54" s="8"/>
      <c r="AP54" s="8"/>
      <c r="AQ54" s="8"/>
      <c r="AR54" s="8"/>
      <c r="AS54" s="8"/>
      <c r="AT54" s="8"/>
    </row>
    <row r="55">
      <c r="A55" s="399" t="s">
        <v>9792</v>
      </c>
      <c r="B55" s="167" t="s">
        <v>9793</v>
      </c>
      <c r="C55" s="399" t="s">
        <v>9794</v>
      </c>
      <c r="D55" s="167" t="s">
        <v>9795</v>
      </c>
      <c r="E55" s="399" t="s">
        <v>9796</v>
      </c>
      <c r="F55" s="167" t="s">
        <v>9797</v>
      </c>
      <c r="G55" s="399" t="str">
        <f>IFERROR(__xludf.DUMMYFUNCTION("GOOGLETRANSLATE(A55,""zh-tw"",""zh"")"),"百合同人本")</f>
        <v>百合同人本</v>
      </c>
      <c r="H55" s="167" t="str">
        <f>IFERROR(__xludf.DUMMYFUNCTION("GOOGLETRANSLATE(B55,""zh-tw"",""zh"")"),"提升性欲
(战车商店贩售)")</f>
        <v>提升性欲
(战车商店贩售)</v>
      </c>
      <c r="I55" s="399" t="s">
        <v>9798</v>
      </c>
      <c r="J55" s="167" t="s">
        <v>9799</v>
      </c>
      <c r="K55" s="403" t="str">
        <f>IFERROR(__xludf.DUMMYFUNCTION("GOOGLETRANSLATE(A55,""zh-tw"",""KO"")"),"바이헤헤헤헤헤")</f>
        <v>바이헤헤헤헤헤</v>
      </c>
      <c r="L55" s="167" t="s">
        <v>9312</v>
      </c>
      <c r="M55" s="403" t="s">
        <v>9800</v>
      </c>
      <c r="N55" s="155" t="s">
        <v>9801</v>
      </c>
      <c r="O55" s="399" t="s">
        <v>9315</v>
      </c>
      <c r="P55" s="167" t="s">
        <v>9316</v>
      </c>
      <c r="Q55" s="404" t="s">
        <v>9802</v>
      </c>
      <c r="R55" s="155" t="s">
        <v>9803</v>
      </c>
      <c r="S55" s="403" t="s">
        <v>9802</v>
      </c>
      <c r="T55" s="167" t="s">
        <v>9804</v>
      </c>
      <c r="U55" s="399" t="s">
        <v>9796</v>
      </c>
      <c r="V55" s="167" t="s">
        <v>9805</v>
      </c>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399" t="s">
        <v>9806</v>
      </c>
      <c r="B56" s="167" t="s">
        <v>9793</v>
      </c>
      <c r="C56" s="399" t="s">
        <v>9807</v>
      </c>
      <c r="D56" s="167" t="s">
        <v>9808</v>
      </c>
      <c r="E56" s="399" t="s">
        <v>9809</v>
      </c>
      <c r="F56" s="167" t="s">
        <v>9797</v>
      </c>
      <c r="G56" s="399" t="str">
        <f>IFERROR(__xludf.DUMMYFUNCTION("GOOGLETRANSLATE(A56,""zh-tw"",""zh"")"),"萌萌同人本")</f>
        <v>萌萌同人本</v>
      </c>
      <c r="H56" s="167" t="str">
        <f>IFERROR(__xludf.DUMMYFUNCTION("GOOGLETRANSLATE(B56,""zh-tw"",""zh"")"),"提升性欲
(战车商店贩售)")</f>
        <v>提升性欲
(战车商店贩售)</v>
      </c>
      <c r="I56" s="399" t="s">
        <v>9810</v>
      </c>
      <c r="J56" s="167" t="s">
        <v>9799</v>
      </c>
      <c r="K56" s="400" t="s">
        <v>9279</v>
      </c>
      <c r="L56" s="198" t="str">
        <f>IFERROR(__xludf.DUMMYFUNCTION("GOOGLETRANSLATE(B56,""zh-tw"",""KO"")"),"성욕을 증진시켜 줍니다
(탱크샵에서 구입 가능)")</f>
        <v>성욕을 증진시켜 줍니다
(탱크샵에서 구입 가능)</v>
      </c>
      <c r="M56" s="403" t="s">
        <v>9811</v>
      </c>
      <c r="N56" s="155" t="s">
        <v>9801</v>
      </c>
      <c r="O56" s="399" t="s">
        <v>9282</v>
      </c>
      <c r="P56" s="167" t="s">
        <v>9283</v>
      </c>
      <c r="Q56" s="404" t="s">
        <v>9812</v>
      </c>
      <c r="R56" s="155" t="s">
        <v>9803</v>
      </c>
      <c r="S56" s="403" t="s">
        <v>9812</v>
      </c>
      <c r="T56" s="167" t="s">
        <v>9804</v>
      </c>
      <c r="U56" s="399" t="s">
        <v>9809</v>
      </c>
      <c r="V56" s="167" t="s">
        <v>9805</v>
      </c>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391" t="s">
        <v>9813</v>
      </c>
      <c r="B57" s="167" t="s">
        <v>9793</v>
      </c>
      <c r="C57" s="399" t="s">
        <v>9306</v>
      </c>
      <c r="D57" s="167" t="s">
        <v>9808</v>
      </c>
      <c r="E57" s="399" t="s">
        <v>9814</v>
      </c>
      <c r="F57" s="167" t="s">
        <v>9797</v>
      </c>
      <c r="G57" s="399" t="str">
        <f>IFERROR(__xludf.DUMMYFUNCTION("GOOGLETRANSLATE(A57,""zh-tw"",""zh"")"),"猫娘同人本")</f>
        <v>猫娘同人本</v>
      </c>
      <c r="H57" s="167" t="str">
        <f>IFERROR(__xludf.DUMMYFUNCTION("GOOGLETRANSLATE(B57,""zh-tw"",""zh"")"),"提升性欲
(战车商店贩售)")</f>
        <v>提升性欲
(战车商店贩售)</v>
      </c>
      <c r="I57" s="399" t="s">
        <v>9810</v>
      </c>
      <c r="J57" s="167" t="s">
        <v>9799</v>
      </c>
      <c r="K57" s="400" t="s">
        <v>9279</v>
      </c>
      <c r="L57" s="198" t="str">
        <f>IFERROR(__xludf.DUMMYFUNCTION("GOOGLETRANSLATE(B57,""zh-tw"",""KO"")"),"성욕을 증진시켜 줍니다
(탱크샵에서 구입 가능)")</f>
        <v>성욕을 증진시켜 줍니다
(탱크샵에서 구입 가능)</v>
      </c>
      <c r="M57" s="399" t="s">
        <v>9815</v>
      </c>
      <c r="N57" s="155" t="s">
        <v>9801</v>
      </c>
      <c r="O57" s="399" t="s">
        <v>9282</v>
      </c>
      <c r="P57" s="167" t="s">
        <v>9283</v>
      </c>
      <c r="Q57" s="399" t="s">
        <v>9816</v>
      </c>
      <c r="R57" s="155" t="s">
        <v>9803</v>
      </c>
      <c r="S57" s="399" t="s">
        <v>9817</v>
      </c>
      <c r="T57" s="167" t="s">
        <v>9804</v>
      </c>
      <c r="U57" s="399" t="s">
        <v>9809</v>
      </c>
      <c r="V57" s="167" t="s">
        <v>9805</v>
      </c>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399" t="s">
        <v>9818</v>
      </c>
      <c r="B58" s="167" t="s">
        <v>9141</v>
      </c>
      <c r="C58" s="399" t="str">
        <f>IFERROR(__xludf.DUMMYFUNCTION("GOOGLETRANSLATE(A58,""zh-tw"",""ja"")"),"ポラロイド 24～29")</f>
        <v>ポラロイド 24～29</v>
      </c>
      <c r="D58" s="167" t="s">
        <v>9142</v>
      </c>
      <c r="E58" s="399" t="s">
        <v>9819</v>
      </c>
      <c r="F58" s="167" t="s">
        <v>9144</v>
      </c>
      <c r="G58" s="399" t="str">
        <f>IFERROR(__xludf.DUMMYFUNCTION("GOOGLETRANSLATE(A58,""zh-tw"",""zh"")"),"拍立得24~29")</f>
        <v>拍立得24~29</v>
      </c>
      <c r="H58" s="167" t="str">
        <f>IFERROR(__xludf.DUMMYFUNCTION("GOOGLETRANSLATE(B58,""zh-tw"",""zh"")"),"查看优质照片")</f>
        <v>查看优质照片</v>
      </c>
      <c r="I58" s="403" t="str">
        <f>IFERROR(__xludf.DUMMYFUNCTION("GOOGLETRANSLATE(A58,""zh-tw"",""es-MX"")"),"Polaroid 24~29")</f>
        <v>Polaroid 24~29</v>
      </c>
      <c r="J58" s="167" t="s">
        <v>9145</v>
      </c>
      <c r="K58" s="403" t="str">
        <f>IFERROR(__xludf.DUMMYFUNCTION("GOOGLETRANSLATE(A58,""zh-tw"",""KO"")"),"폴라로이드 24~29")</f>
        <v>폴라로이드 24~29</v>
      </c>
      <c r="L58" s="198" t="str">
        <f>IFERROR(__xludf.DUMMYFUNCTION("GOOGLETRANSLATE(B58,""zh-tw"",""KO"")"),"고화질 사진을 보세요")</f>
        <v>고화질 사진을 보세요</v>
      </c>
      <c r="M58" s="399" t="s">
        <v>9820</v>
      </c>
      <c r="N58" s="198" t="s">
        <v>9147</v>
      </c>
      <c r="O58" s="399" t="s">
        <v>9821</v>
      </c>
      <c r="P58" s="167" t="s">
        <v>9149</v>
      </c>
      <c r="Q58" s="399" t="s">
        <v>9822</v>
      </c>
      <c r="R58" s="155" t="s">
        <v>9150</v>
      </c>
      <c r="S58" s="399" t="s">
        <v>9822</v>
      </c>
      <c r="T58" s="198" t="s">
        <v>9151</v>
      </c>
      <c r="U58" s="399" t="s">
        <v>9822</v>
      </c>
      <c r="V58" s="167" t="s">
        <v>9152</v>
      </c>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404" t="s">
        <v>9823</v>
      </c>
      <c r="B59" s="198" t="s">
        <v>9824</v>
      </c>
      <c r="C59" s="399" t="s">
        <v>9825</v>
      </c>
      <c r="D59" s="167" t="s">
        <v>9826</v>
      </c>
      <c r="E59" s="403" t="s">
        <v>9827</v>
      </c>
      <c r="F59" s="198" t="s">
        <v>9828</v>
      </c>
      <c r="G59" s="399" t="str">
        <f>IFERROR(__xludf.DUMMYFUNCTION("GOOGLETRANSLATE(A59,""zh-tw"",""zh"")"),"茶点心券")</f>
        <v>茶点心券</v>
      </c>
      <c r="H59" s="167" t="str">
        <f>IFERROR(__xludf.DUMMYFUNCTION("GOOGLETRANSLATE(B59,""zh-tw"",""zh"")"),"于扭蛋机取得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59" s="399" t="s">
        <v>9829</v>
      </c>
      <c r="J59" s="167" t="s">
        <v>9830</v>
      </c>
      <c r="K59" s="403" t="str">
        <f>IFERROR(__xludf.DUMMYFUNCTION("GOOGLETRANSLATE(A59,""zh-tw"",""KO"")"),"차와 간식 쿠폰")</f>
        <v>차와 간식 쿠폰</v>
      </c>
      <c r="L59" s="198" t="str">
        <f>IFERROR(__xludf.DUMMYFUNCTION("GOOGLETRANSLATE(B59,""zh-tw"",""KO"")"),"가샤폰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59" s="403" t="s">
        <v>9831</v>
      </c>
      <c r="N59" s="198" t="s">
        <v>9832</v>
      </c>
      <c r="O59" s="399" t="s">
        <v>9833</v>
      </c>
      <c r="P59" s="167" t="s">
        <v>9834</v>
      </c>
      <c r="Q59" s="404" t="s">
        <v>9835</v>
      </c>
      <c r="R59" s="167" t="s">
        <v>9836</v>
      </c>
      <c r="S59" s="403" t="s">
        <v>9837</v>
      </c>
      <c r="T59" s="198" t="s">
        <v>9838</v>
      </c>
      <c r="U59" s="399" t="s">
        <v>9839</v>
      </c>
      <c r="V59" s="167" t="s">
        <v>9840</v>
      </c>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399" t="s">
        <v>9841</v>
      </c>
      <c r="B60" s="167" t="s">
        <v>9842</v>
      </c>
      <c r="C60" s="399" t="s">
        <v>9843</v>
      </c>
      <c r="D60" s="167" t="s">
        <v>9844</v>
      </c>
      <c r="E60" s="399" t="s">
        <v>9845</v>
      </c>
      <c r="F60" s="167" t="s">
        <v>9846</v>
      </c>
      <c r="G60" s="399" t="str">
        <f>IFERROR(__xludf.DUMMYFUNCTION("GOOGLETRANSLATE(A60,""zh-tw"",""zh"")"),"兔子地图")</f>
        <v>兔子地图</v>
      </c>
      <c r="H60" s="167" t="str">
        <f>IFERROR(__xludf.DUMMYFUNCTION("GOOGLETRANSLATE(B60,""zh-tw"",""zh"")"),"游戏地图(部分地区可能需要连国外网路)")</f>
        <v>游戏地图(部分地区可能需要连国外网路)</v>
      </c>
      <c r="I60" s="403" t="str">
        <f>IFERROR(__xludf.DUMMYFUNCTION("GOOGLETRANSLATE(A60,""zh-tw"",""es-MX"")"),"Mapa del conejo")</f>
        <v>Mapa del conejo</v>
      </c>
      <c r="J60" s="167" t="s">
        <v>9847</v>
      </c>
      <c r="K60" s="403" t="str">
        <f>IFERROR(__xludf.DUMMYFUNCTION("GOOGLETRANSLATE(A60,""zh-tw"",""KO"")"),"토끼 지도")</f>
        <v>토끼 지도</v>
      </c>
      <c r="L60" s="198" t="str">
        <f>IFERROR(__xludf.DUMMYFUNCTION("GOOGLETRANSLATE(B60,""zh-tw"",""KO"")"),"게임 지도 (일부 지역에서는 국제 인터넷 연결이 필요할 수 있습니다)")</f>
        <v>게임 지도 (일부 지역에서는 국제 인터넷 연결이 필요할 수 있습니다)</v>
      </c>
      <c r="M60" s="403" t="s">
        <v>9848</v>
      </c>
      <c r="N60" s="198" t="s">
        <v>9849</v>
      </c>
      <c r="O60" s="399" t="s">
        <v>9850</v>
      </c>
      <c r="P60" s="167" t="s">
        <v>9851</v>
      </c>
      <c r="Q60" s="399" t="s">
        <v>9852</v>
      </c>
      <c r="R60" s="167" t="s">
        <v>9853</v>
      </c>
      <c r="S60" s="403" t="s">
        <v>9854</v>
      </c>
      <c r="T60" s="198" t="s">
        <v>9855</v>
      </c>
      <c r="U60" s="399" t="s">
        <v>9856</v>
      </c>
      <c r="V60" s="167" t="s">
        <v>9857</v>
      </c>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166" t="s">
        <v>7754</v>
      </c>
      <c r="C61" s="166" t="s">
        <v>7755</v>
      </c>
      <c r="E61" s="166" t="s">
        <v>7756</v>
      </c>
      <c r="G61" s="166" t="s">
        <v>7757</v>
      </c>
      <c r="I61" s="166"/>
      <c r="K61" s="166"/>
      <c r="M61" s="166" t="s">
        <v>7758</v>
      </c>
      <c r="O61" s="166"/>
      <c r="Q61" s="166"/>
      <c r="S61" s="166" t="s">
        <v>7759</v>
      </c>
      <c r="U61" s="166"/>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399" t="s">
        <v>9858</v>
      </c>
      <c r="B62" s="167" t="s">
        <v>9859</v>
      </c>
      <c r="C62" s="399" t="s">
        <v>9860</v>
      </c>
      <c r="D62" s="167" t="s">
        <v>9861</v>
      </c>
      <c r="E62" s="399" t="s">
        <v>9862</v>
      </c>
      <c r="F62" s="167" t="s">
        <v>9863</v>
      </c>
      <c r="G62" s="399" t="str">
        <f>IFERROR(__xludf.DUMMYFUNCTION("GOOGLETRANSLATE(A62,""zh-tw"",""zh"")"),"妹妹的任意券")</f>
        <v>妹妹的任意券</v>
      </c>
      <c r="H62" s="167" t="str">
        <f>IFERROR(__xludf.DUMMYFUNCTION("GOOGLETRANSLATE(B62,""zh-tw"",""zh"")"),"使用于SLG相关的事件")</f>
        <v>使用于SLG相关的事件</v>
      </c>
      <c r="I62" s="399" t="s">
        <v>9864</v>
      </c>
      <c r="J62" s="167" t="s">
        <v>9865</v>
      </c>
      <c r="K62" s="403" t="str">
        <f>IFERROR(__xludf.DUMMYFUNCTION("GOOGLETRANSLATE(A62,""zh-tw"",""KO"")"),"여동생 쿠폰")</f>
        <v>여동생 쿠폰</v>
      </c>
      <c r="L62" s="198" t="str">
        <f>IFERROR(__xludf.DUMMYFUNCTION("GOOGLETRANSLATE(B62,""zh-tw"",""KO"")"),"SLG 관련 이벤트")</f>
        <v>SLG 관련 이벤트</v>
      </c>
      <c r="M62" s="403" t="s">
        <v>9866</v>
      </c>
      <c r="N62" s="198" t="s">
        <v>9867</v>
      </c>
      <c r="O62" s="399" t="s">
        <v>9868</v>
      </c>
      <c r="P62" s="167" t="s">
        <v>9869</v>
      </c>
      <c r="Q62" s="399" t="s">
        <v>9870</v>
      </c>
      <c r="R62" s="167" t="s">
        <v>9871</v>
      </c>
      <c r="S62" s="403" t="s">
        <v>9872</v>
      </c>
      <c r="T62" s="198" t="s">
        <v>9873</v>
      </c>
      <c r="U62" s="399" t="s">
        <v>9874</v>
      </c>
      <c r="V62" s="167" t="s">
        <v>9875</v>
      </c>
      <c r="W62" s="8"/>
      <c r="X62" s="8"/>
      <c r="Y62" s="8"/>
      <c r="Z62" s="8"/>
      <c r="AA62" s="8"/>
      <c r="AB62" s="8"/>
      <c r="AC62" s="8"/>
      <c r="AD62" s="8"/>
      <c r="AE62" s="8"/>
      <c r="AF62" s="8"/>
      <c r="AG62" s="8"/>
      <c r="AH62" s="8"/>
      <c r="AI62" s="8"/>
      <c r="AJ62" s="8"/>
      <c r="AK62" s="8"/>
      <c r="AL62" s="8"/>
      <c r="AM62" s="8"/>
      <c r="AN62" s="8"/>
      <c r="AO62" s="8"/>
      <c r="AP62" s="8"/>
      <c r="AQ62" s="8"/>
      <c r="AR62" s="8"/>
      <c r="AS62" s="8"/>
      <c r="AT62" s="8"/>
    </row>
    <row r="63" ht="57.0" customHeight="1">
      <c r="A63" s="391" t="s">
        <v>9876</v>
      </c>
      <c r="B63" s="391" t="s">
        <v>9877</v>
      </c>
      <c r="C63" s="399" t="s">
        <v>3540</v>
      </c>
      <c r="D63" s="167" t="s">
        <v>9878</v>
      </c>
      <c r="E63" s="399" t="s">
        <v>9876</v>
      </c>
      <c r="F63" s="167" t="s">
        <v>9879</v>
      </c>
      <c r="G63" s="399" t="s">
        <v>9876</v>
      </c>
      <c r="H63" s="167" t="s">
        <v>9880</v>
      </c>
      <c r="I63" s="399"/>
      <c r="J63" s="167"/>
      <c r="K63" s="403"/>
      <c r="L63" s="198"/>
      <c r="M63" s="399" t="s">
        <v>9876</v>
      </c>
      <c r="N63" s="167" t="s">
        <v>9881</v>
      </c>
      <c r="O63" s="399" t="s">
        <v>9876</v>
      </c>
      <c r="P63" s="167"/>
      <c r="Q63" s="399" t="s">
        <v>9876</v>
      </c>
      <c r="R63" s="167" t="s">
        <v>9882</v>
      </c>
      <c r="S63" s="437" t="s">
        <v>9876</v>
      </c>
      <c r="T63" s="167" t="s">
        <v>9883</v>
      </c>
      <c r="U63" s="399" t="s">
        <v>9876</v>
      </c>
      <c r="V63" s="167" t="s">
        <v>9884</v>
      </c>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399" t="s">
        <v>9885</v>
      </c>
      <c r="B64" s="167" t="s">
        <v>9141</v>
      </c>
      <c r="C64" s="399" t="str">
        <f>IFERROR(__xludf.DUMMYFUNCTION("GOOGLETRANSLATE(A64,""zh-tw"",""ja"")"),"インスタントカメラ 30～35")</f>
        <v>インスタントカメラ 30～35</v>
      </c>
      <c r="D64" s="167" t="s">
        <v>9142</v>
      </c>
      <c r="E64" s="399" t="s">
        <v>9886</v>
      </c>
      <c r="F64" s="167" t="s">
        <v>9144</v>
      </c>
      <c r="G64" s="399" t="str">
        <f>IFERROR(__xludf.DUMMYFUNCTION("GOOGLETRANSLATE(A64,""zh-tw"",""zh"")"),"拍立得30~35")</f>
        <v>拍立得30~35</v>
      </c>
      <c r="H64" s="167" t="str">
        <f>IFERROR(__xludf.DUMMYFUNCTION("GOOGLETRANSLATE(B64,""zh-tw"",""zh"")"),"查看优质照片")</f>
        <v>查看优质照片</v>
      </c>
      <c r="I64" s="403" t="str">
        <f>IFERROR(__xludf.DUMMYFUNCTION("GOOGLETRANSLATE(A64,""zh-tw"",""es-MX"")"),"Cámara instantánea 30~35")</f>
        <v>Cámara instantánea 30~35</v>
      </c>
      <c r="J64" s="167" t="s">
        <v>9145</v>
      </c>
      <c r="K64" s="403" t="str">
        <f>IFERROR(__xludf.DUMMYFUNCTION("GOOGLETRANSLATE(A64,""zh-tw"",""KO"")"),"즉석 카메라 30~35")</f>
        <v>즉석 카메라 30~35</v>
      </c>
      <c r="L64" s="198" t="str">
        <f>IFERROR(__xludf.DUMMYFUNCTION("GOOGLETRANSLATE(B64,""zh-tw"",""KO"")"),"고화질 사진을 보세요")</f>
        <v>고화질 사진을 보세요</v>
      </c>
      <c r="M64" s="399" t="s">
        <v>9887</v>
      </c>
      <c r="N64" s="198" t="s">
        <v>9147</v>
      </c>
      <c r="O64" s="399" t="s">
        <v>9888</v>
      </c>
      <c r="P64" s="167" t="s">
        <v>9149</v>
      </c>
      <c r="Q64" s="399" t="s">
        <v>9886</v>
      </c>
      <c r="R64" s="155" t="s">
        <v>9150</v>
      </c>
      <c r="S64" s="399" t="s">
        <v>9886</v>
      </c>
      <c r="T64" s="198" t="s">
        <v>9151</v>
      </c>
      <c r="U64" s="399" t="s">
        <v>9886</v>
      </c>
      <c r="V64" s="167" t="s">
        <v>9152</v>
      </c>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399" t="s">
        <v>9889</v>
      </c>
      <c r="B65" s="167" t="s">
        <v>9890</v>
      </c>
      <c r="C65" s="399" t="s">
        <v>9891</v>
      </c>
      <c r="D65" s="167" t="s">
        <v>9892</v>
      </c>
      <c r="E65" s="399" t="s">
        <v>9893</v>
      </c>
      <c r="F65" s="167" t="s">
        <v>9894</v>
      </c>
      <c r="G65" s="399" t="str">
        <f>IFERROR(__xludf.DUMMYFUNCTION("GOOGLETRANSLATE(A65,""zh-tw"",""zh"")"),"冒险者心得")</f>
        <v>冒险者心得</v>
      </c>
      <c r="H65" s="167" t="str">
        <f>IFERROR(__xludf.DUMMYFUNCTION("GOOGLETRANSLATE(B65,""zh-tw"",""zh"")"),"攻略心得(部分地区可能需要连国外网路)")</f>
        <v>攻略心得(部分地区可能需要连国外网路)</v>
      </c>
      <c r="I65" s="399" t="s">
        <v>9895</v>
      </c>
      <c r="J65" s="167" t="s">
        <v>9896</v>
      </c>
      <c r="K65" s="403" t="str">
        <f>IFERROR(__xludf.DUMMYFUNCTION("GOOGLETRANSLATE(A65,""zh-tw"",""KO"")"),"모험가를 위한 팁")</f>
        <v>모험가를 위한 팁</v>
      </c>
      <c r="L65" s="198" t="str">
        <f>IFERROR(__xludf.DUMMYFUNCTION("GOOGLETRANSLATE(B65,""zh-tw"",""KO"")"),"여행 팁 (일부 지역에서는 국제 인터넷 연결이 필요할 수 있습니다)")</f>
        <v>여행 팁 (일부 지역에서는 국제 인터넷 연결이 필요할 수 있습니다)</v>
      </c>
      <c r="M65" s="403" t="s">
        <v>9897</v>
      </c>
      <c r="N65" s="198" t="s">
        <v>9898</v>
      </c>
      <c r="O65" s="399" t="s">
        <v>9899</v>
      </c>
      <c r="P65" s="167" t="s">
        <v>9900</v>
      </c>
      <c r="Q65" s="399" t="s">
        <v>9901</v>
      </c>
      <c r="R65" s="167" t="s">
        <v>9902</v>
      </c>
      <c r="S65" s="403" t="s">
        <v>9903</v>
      </c>
      <c r="T65" s="198" t="s">
        <v>9904</v>
      </c>
      <c r="U65" s="399" t="s">
        <v>9905</v>
      </c>
      <c r="V65" s="167" t="s">
        <v>9906</v>
      </c>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166" t="s">
        <v>9907</v>
      </c>
      <c r="C66" s="166"/>
      <c r="E66" s="166" t="s">
        <v>9908</v>
      </c>
      <c r="G66" s="166" t="s">
        <v>9909</v>
      </c>
      <c r="I66" s="166"/>
      <c r="K66" s="166"/>
      <c r="M66" s="166" t="s">
        <v>9910</v>
      </c>
      <c r="O66" s="166"/>
      <c r="Q66" s="166"/>
      <c r="S66" s="166"/>
      <c r="U66" s="166"/>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399" t="s">
        <v>9911</v>
      </c>
      <c r="B67" s="167" t="s">
        <v>9912</v>
      </c>
      <c r="C67" s="399" t="s">
        <v>9913</v>
      </c>
      <c r="D67" s="167" t="s">
        <v>9914</v>
      </c>
      <c r="E67" s="399" t="s">
        <v>9915</v>
      </c>
      <c r="F67" s="167" t="s">
        <v>9916</v>
      </c>
      <c r="G67" s="399" t="str">
        <f>IFERROR(__xludf.DUMMYFUNCTION("GOOGLETRANSLATE(A67,""zh-tw"",""zh"")"),"天上之石碎片")</f>
        <v>天上之石碎片</v>
      </c>
      <c r="H67" s="167" t="str">
        <f>IFERROR(__xludf.DUMMYFUNCTION("GOOGLETRANSLATE(B67,""zh-tw"",""zh"")"),"增加哥哥的状态或者转化为""红髓液""")</f>
        <v>增加哥哥的状态或者转化为"红髓液"</v>
      </c>
      <c r="I67" s="399" t="s">
        <v>9917</v>
      </c>
      <c r="J67" s="167" t="s">
        <v>9918</v>
      </c>
      <c r="K67" s="403" t="str">
        <f>IFERROR(__xludf.DUMMYFUNCTION("GOOGLETRANSLATE(A67,""zh-tw"",""KO"")"),"천상의 돌 조각들")</f>
        <v>천상의 돌 조각들</v>
      </c>
      <c r="L67" s="167" t="s">
        <v>9919</v>
      </c>
      <c r="M67" s="403" t="s">
        <v>9920</v>
      </c>
      <c r="N67" s="198" t="s">
        <v>9921</v>
      </c>
      <c r="O67" s="399" t="s">
        <v>9922</v>
      </c>
      <c r="P67" s="167" t="s">
        <v>9923</v>
      </c>
      <c r="Q67" s="404" t="s">
        <v>9924</v>
      </c>
      <c r="R67" s="167" t="s">
        <v>9925</v>
      </c>
      <c r="S67" s="399" t="s">
        <v>9926</v>
      </c>
      <c r="T67" s="167" t="s">
        <v>9927</v>
      </c>
      <c r="U67" s="399" t="s">
        <v>9928</v>
      </c>
      <c r="V67" s="167" t="s">
        <v>9929</v>
      </c>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399" t="s">
        <v>9930</v>
      </c>
      <c r="B68" s="167" t="s">
        <v>9931</v>
      </c>
      <c r="C68" s="399" t="s">
        <v>9932</v>
      </c>
      <c r="D68" s="167" t="s">
        <v>9933</v>
      </c>
      <c r="E68" s="399" t="s">
        <v>9934</v>
      </c>
      <c r="F68" s="167" t="s">
        <v>9935</v>
      </c>
      <c r="G68" s="399" t="str">
        <f>IFERROR(__xludf.DUMMYFUNCTION("GOOGLETRANSLATE(A68,""zh-tw"",""zh"")"),"红髓液")</f>
        <v>红髓液</v>
      </c>
      <c r="H68" s="167" t="str">
        <f>IFERROR(__xludf.DUMMYFUNCTION("GOOGLETRANSLATE(B68,""zh-tw"",""zh"")"),"使用于治疗妹妹")</f>
        <v>使用于治疗妹妹</v>
      </c>
      <c r="I68" s="399" t="s">
        <v>9936</v>
      </c>
      <c r="J68" s="167" t="s">
        <v>9937</v>
      </c>
      <c r="K68" s="403" t="str">
        <f>IFERROR(__xludf.DUMMYFUNCTION("GOOGLETRANSLATE(A68,""zh-tw"",""KO"")"),"적골수액")</f>
        <v>적골수액</v>
      </c>
      <c r="L68" s="198" t="str">
        <f>IFERROR(__xludf.DUMMYFUNCTION("GOOGLETRANSLATE(B68,""zh-tw"",""KO"")"),"제 여동생을 치료하곤 했어요.")</f>
        <v>제 여동생을 치료하곤 했어요.</v>
      </c>
      <c r="M68" s="403" t="s">
        <v>9938</v>
      </c>
      <c r="N68" s="198" t="s">
        <v>9939</v>
      </c>
      <c r="O68" s="399" t="s">
        <v>9940</v>
      </c>
      <c r="P68" s="167" t="s">
        <v>9941</v>
      </c>
      <c r="Q68" s="399" t="s">
        <v>9942</v>
      </c>
      <c r="R68" s="167" t="s">
        <v>9943</v>
      </c>
      <c r="S68" s="403" t="s">
        <v>9944</v>
      </c>
      <c r="T68" s="198" t="s">
        <v>9945</v>
      </c>
      <c r="U68" s="399" t="s">
        <v>9946</v>
      </c>
      <c r="V68" s="167" t="s">
        <v>9947</v>
      </c>
      <c r="W68" s="8"/>
      <c r="X68" s="8"/>
      <c r="Y68" s="8"/>
      <c r="Z68" s="8"/>
      <c r="AA68" s="8"/>
      <c r="AB68" s="8"/>
      <c r="AC68" s="8"/>
      <c r="AD68" s="8"/>
      <c r="AE68" s="8"/>
      <c r="AF68" s="8"/>
      <c r="AG68" s="8"/>
      <c r="AH68" s="8"/>
      <c r="AI68" s="8"/>
      <c r="AJ68" s="8"/>
      <c r="AK68" s="8"/>
      <c r="AL68" s="8"/>
      <c r="AM68" s="8"/>
      <c r="AN68" s="8"/>
      <c r="AO68" s="8"/>
      <c r="AP68" s="8"/>
      <c r="AQ68" s="8"/>
      <c r="AR68" s="8"/>
      <c r="AS68" s="8"/>
      <c r="AT68" s="8"/>
    </row>
    <row r="69">
      <c r="A69" s="403"/>
      <c r="B69" s="198"/>
      <c r="C69" s="403"/>
      <c r="D69" s="198"/>
      <c r="E69" s="403"/>
      <c r="F69" s="198"/>
      <c r="G69" s="403"/>
      <c r="H69" s="198"/>
      <c r="I69" s="410"/>
      <c r="J69" s="142"/>
      <c r="K69" s="410"/>
      <c r="L69" s="142"/>
      <c r="M69" s="403"/>
      <c r="N69" s="198"/>
      <c r="O69" s="403"/>
      <c r="P69" s="198"/>
      <c r="Q69" s="404"/>
      <c r="R69" s="155"/>
      <c r="S69" s="403"/>
      <c r="T69" s="198"/>
      <c r="U69" s="403"/>
      <c r="V69" s="198"/>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403"/>
      <c r="B70" s="198"/>
      <c r="C70" s="403"/>
      <c r="D70" s="198"/>
      <c r="E70" s="403"/>
      <c r="F70" s="198"/>
      <c r="G70" s="403"/>
      <c r="H70" s="198"/>
      <c r="I70" s="410"/>
      <c r="J70" s="142"/>
      <c r="K70" s="410"/>
      <c r="L70" s="142"/>
      <c r="M70" s="403"/>
      <c r="N70" s="198"/>
      <c r="O70" s="403"/>
      <c r="P70" s="198"/>
      <c r="Q70" s="404"/>
      <c r="R70" s="155"/>
      <c r="S70" s="403"/>
      <c r="T70" s="198"/>
      <c r="U70" s="403"/>
      <c r="V70" s="198"/>
      <c r="W70" s="8"/>
      <c r="X70" s="8"/>
      <c r="Y70" s="8"/>
      <c r="Z70" s="8"/>
      <c r="AA70" s="8"/>
      <c r="AB70" s="8"/>
      <c r="AC70" s="8"/>
      <c r="AD70" s="8"/>
      <c r="AE70" s="8"/>
      <c r="AF70" s="8"/>
      <c r="AG70" s="8"/>
      <c r="AH70" s="8"/>
      <c r="AI70" s="8"/>
      <c r="AJ70" s="8"/>
      <c r="AK70" s="8"/>
      <c r="AL70" s="8"/>
      <c r="AM70" s="8"/>
      <c r="AN70" s="8"/>
      <c r="AO70" s="8"/>
      <c r="AP70" s="8"/>
      <c r="AQ70" s="8"/>
      <c r="AR70" s="8"/>
      <c r="AS70" s="8"/>
      <c r="AT70" s="8"/>
    </row>
    <row r="71">
      <c r="A71" s="403"/>
      <c r="B71" s="198"/>
      <c r="C71" s="403"/>
      <c r="D71" s="198"/>
      <c r="E71" s="403"/>
      <c r="F71" s="198"/>
      <c r="G71" s="403"/>
      <c r="H71" s="198"/>
      <c r="I71" s="410"/>
      <c r="J71" s="142"/>
      <c r="K71" s="410"/>
      <c r="L71" s="142"/>
      <c r="M71" s="403"/>
      <c r="N71" s="198"/>
      <c r="O71" s="403"/>
      <c r="P71" s="198"/>
      <c r="Q71" s="404"/>
      <c r="R71" s="155"/>
      <c r="S71" s="403"/>
      <c r="T71" s="198"/>
      <c r="U71" s="403"/>
      <c r="V71" s="198"/>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403"/>
      <c r="B72" s="198"/>
      <c r="C72" s="403"/>
      <c r="D72" s="198"/>
      <c r="E72" s="403"/>
      <c r="F72" s="198"/>
      <c r="G72" s="403"/>
      <c r="H72" s="198"/>
      <c r="I72" s="410"/>
      <c r="J72" s="142"/>
      <c r="K72" s="410"/>
      <c r="L72" s="142"/>
      <c r="M72" s="403"/>
      <c r="N72" s="198"/>
      <c r="O72" s="403"/>
      <c r="P72" s="198"/>
      <c r="Q72" s="404"/>
      <c r="R72" s="155"/>
      <c r="S72" s="403"/>
      <c r="T72" s="198"/>
      <c r="U72" s="403"/>
      <c r="V72" s="198"/>
      <c r="W72" s="8"/>
      <c r="X72" s="8"/>
      <c r="Y72" s="8"/>
      <c r="Z72" s="8"/>
      <c r="AA72" s="8"/>
      <c r="AB72" s="8"/>
      <c r="AC72" s="8"/>
      <c r="AD72" s="8"/>
      <c r="AE72" s="8"/>
      <c r="AF72" s="8"/>
      <c r="AG72" s="8"/>
      <c r="AH72" s="8"/>
      <c r="AI72" s="8"/>
      <c r="AJ72" s="8"/>
      <c r="AK72" s="8"/>
      <c r="AL72" s="8"/>
      <c r="AM72" s="8"/>
      <c r="AN72" s="8"/>
      <c r="AO72" s="8"/>
      <c r="AP72" s="8"/>
      <c r="AQ72" s="8"/>
      <c r="AR72" s="8"/>
      <c r="AS72" s="8"/>
      <c r="AT72" s="8"/>
    </row>
    <row r="73">
      <c r="A73" s="403"/>
      <c r="B73" s="198"/>
      <c r="C73" s="403"/>
      <c r="D73" s="198"/>
      <c r="E73" s="403"/>
      <c r="F73" s="198"/>
      <c r="G73" s="403"/>
      <c r="H73" s="198"/>
      <c r="I73" s="410"/>
      <c r="J73" s="142"/>
      <c r="K73" s="410"/>
      <c r="L73" s="142"/>
      <c r="M73" s="403"/>
      <c r="N73" s="198"/>
      <c r="O73" s="403"/>
      <c r="P73" s="198"/>
      <c r="Q73" s="404"/>
      <c r="R73" s="155"/>
      <c r="S73" s="403"/>
      <c r="T73" s="198"/>
      <c r="U73" s="403"/>
      <c r="V73" s="198"/>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403"/>
      <c r="B74" s="198"/>
      <c r="C74" s="403"/>
      <c r="D74" s="198"/>
      <c r="E74" s="403"/>
      <c r="F74" s="198"/>
      <c r="G74" s="403"/>
      <c r="H74" s="198"/>
      <c r="I74" s="410"/>
      <c r="J74" s="142"/>
      <c r="K74" s="410"/>
      <c r="L74" s="142"/>
      <c r="M74" s="403"/>
      <c r="N74" s="198"/>
      <c r="O74" s="403"/>
      <c r="P74" s="198"/>
      <c r="Q74" s="404"/>
      <c r="R74" s="155"/>
      <c r="S74" s="403"/>
      <c r="T74" s="198"/>
      <c r="U74" s="403"/>
      <c r="V74" s="198"/>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403"/>
      <c r="B75" s="198"/>
      <c r="C75" s="403"/>
      <c r="D75" s="198"/>
      <c r="E75" s="403"/>
      <c r="F75" s="198"/>
      <c r="G75" s="403"/>
      <c r="H75" s="198"/>
      <c r="I75" s="410"/>
      <c r="J75" s="142"/>
      <c r="K75" s="410"/>
      <c r="L75" s="142"/>
      <c r="M75" s="403"/>
      <c r="N75" s="198"/>
      <c r="O75" s="403"/>
      <c r="P75" s="198"/>
      <c r="Q75" s="404"/>
      <c r="R75" s="155"/>
      <c r="S75" s="403"/>
      <c r="T75" s="198"/>
      <c r="U75" s="403"/>
      <c r="V75" s="198"/>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403"/>
      <c r="B76" s="198"/>
      <c r="C76" s="403"/>
      <c r="D76" s="198"/>
      <c r="E76" s="403"/>
      <c r="F76" s="198"/>
      <c r="G76" s="403"/>
      <c r="H76" s="198"/>
      <c r="I76" s="410"/>
      <c r="J76" s="142"/>
      <c r="K76" s="410"/>
      <c r="L76" s="142"/>
      <c r="M76" s="403"/>
      <c r="N76" s="198"/>
      <c r="O76" s="403"/>
      <c r="P76" s="198"/>
      <c r="Q76" s="404"/>
      <c r="R76" s="155"/>
      <c r="S76" s="403"/>
      <c r="T76" s="198"/>
      <c r="U76" s="403"/>
      <c r="V76" s="198"/>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403"/>
      <c r="B77" s="198"/>
      <c r="C77" s="403"/>
      <c r="D77" s="198"/>
      <c r="E77" s="403"/>
      <c r="F77" s="198"/>
      <c r="G77" s="403"/>
      <c r="H77" s="198"/>
      <c r="I77" s="410"/>
      <c r="J77" s="142"/>
      <c r="K77" s="410"/>
      <c r="L77" s="142"/>
      <c r="M77" s="403"/>
      <c r="N77" s="198"/>
      <c r="O77" s="403"/>
      <c r="P77" s="198"/>
      <c r="Q77" s="404"/>
      <c r="R77" s="155"/>
      <c r="S77" s="403"/>
      <c r="T77" s="198"/>
      <c r="U77" s="403"/>
      <c r="V77" s="198"/>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403"/>
      <c r="B78" s="198"/>
      <c r="C78" s="403"/>
      <c r="D78" s="198"/>
      <c r="E78" s="403"/>
      <c r="F78" s="198"/>
      <c r="G78" s="403"/>
      <c r="H78" s="198"/>
      <c r="I78" s="410"/>
      <c r="J78" s="142"/>
      <c r="K78" s="410"/>
      <c r="L78" s="142"/>
      <c r="M78" s="403"/>
      <c r="N78" s="198"/>
      <c r="O78" s="403"/>
      <c r="P78" s="198"/>
      <c r="Q78" s="404"/>
      <c r="R78" s="155"/>
      <c r="S78" s="403"/>
      <c r="T78" s="198"/>
      <c r="U78" s="403"/>
      <c r="V78" s="198"/>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403"/>
      <c r="B79" s="198"/>
      <c r="C79" s="403"/>
      <c r="D79" s="198"/>
      <c r="E79" s="403"/>
      <c r="F79" s="198"/>
      <c r="G79" s="403"/>
      <c r="H79" s="198"/>
      <c r="I79" s="410"/>
      <c r="J79" s="142"/>
      <c r="K79" s="410"/>
      <c r="L79" s="142"/>
      <c r="M79" s="403"/>
      <c r="N79" s="198"/>
      <c r="O79" s="403"/>
      <c r="P79" s="198"/>
      <c r="Q79" s="404"/>
      <c r="R79" s="155"/>
      <c r="S79" s="403"/>
      <c r="T79" s="198"/>
      <c r="U79" s="403"/>
      <c r="V79" s="198"/>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403"/>
      <c r="B80" s="198"/>
      <c r="C80" s="403"/>
      <c r="D80" s="198"/>
      <c r="E80" s="403"/>
      <c r="F80" s="198"/>
      <c r="G80" s="403"/>
      <c r="H80" s="198"/>
      <c r="I80" s="410"/>
      <c r="J80" s="142"/>
      <c r="K80" s="410"/>
      <c r="L80" s="142"/>
      <c r="M80" s="403"/>
      <c r="N80" s="198"/>
      <c r="O80" s="403"/>
      <c r="P80" s="198"/>
      <c r="Q80" s="404"/>
      <c r="R80" s="155"/>
      <c r="S80" s="403"/>
      <c r="T80" s="198"/>
      <c r="U80" s="403"/>
      <c r="V80" s="198"/>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403"/>
      <c r="B81" s="198"/>
      <c r="C81" s="403"/>
      <c r="D81" s="198"/>
      <c r="E81" s="403"/>
      <c r="F81" s="198"/>
      <c r="G81" s="403"/>
      <c r="H81" s="198"/>
      <c r="I81" s="410"/>
      <c r="J81" s="142"/>
      <c r="K81" s="410"/>
      <c r="L81" s="142"/>
      <c r="M81" s="403"/>
      <c r="N81" s="198"/>
      <c r="O81" s="403"/>
      <c r="P81" s="198"/>
      <c r="Q81" s="404"/>
      <c r="R81" s="155"/>
      <c r="S81" s="403"/>
      <c r="T81" s="198"/>
      <c r="U81" s="403"/>
      <c r="V81" s="198"/>
      <c r="W81" s="8"/>
      <c r="X81" s="8"/>
      <c r="Y81" s="8"/>
      <c r="Z81" s="8"/>
      <c r="AA81" s="8"/>
      <c r="AB81" s="8"/>
      <c r="AC81" s="8"/>
      <c r="AD81" s="8"/>
      <c r="AE81" s="8"/>
      <c r="AF81" s="8"/>
      <c r="AG81" s="8"/>
      <c r="AH81" s="8"/>
      <c r="AI81" s="8"/>
      <c r="AJ81" s="8"/>
      <c r="AK81" s="8"/>
      <c r="AL81" s="8"/>
      <c r="AM81" s="8"/>
      <c r="AN81" s="8"/>
      <c r="AO81" s="8"/>
      <c r="AP81" s="8"/>
      <c r="AQ81" s="8"/>
      <c r="AR81" s="8"/>
      <c r="AS81" s="8"/>
      <c r="AT81" s="8"/>
    </row>
    <row r="82">
      <c r="A82" s="403"/>
      <c r="B82" s="198"/>
      <c r="C82" s="403"/>
      <c r="D82" s="198"/>
      <c r="E82" s="403"/>
      <c r="F82" s="198"/>
      <c r="G82" s="403"/>
      <c r="H82" s="198"/>
      <c r="I82" s="410"/>
      <c r="J82" s="142"/>
      <c r="K82" s="410"/>
      <c r="L82" s="142"/>
      <c r="M82" s="403"/>
      <c r="N82" s="198"/>
      <c r="O82" s="403"/>
      <c r="P82" s="198"/>
      <c r="Q82" s="404"/>
      <c r="R82" s="155"/>
      <c r="S82" s="403"/>
      <c r="T82" s="198"/>
      <c r="U82" s="403"/>
      <c r="V82" s="198"/>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403"/>
      <c r="B83" s="198"/>
      <c r="C83" s="403"/>
      <c r="D83" s="198"/>
      <c r="E83" s="403"/>
      <c r="F83" s="198"/>
      <c r="G83" s="403"/>
      <c r="H83" s="198"/>
      <c r="I83" s="410"/>
      <c r="J83" s="142"/>
      <c r="K83" s="410"/>
      <c r="L83" s="142"/>
      <c r="M83" s="403"/>
      <c r="N83" s="198"/>
      <c r="O83" s="403"/>
      <c r="P83" s="198"/>
      <c r="Q83" s="404"/>
      <c r="R83" s="155"/>
      <c r="S83" s="403"/>
      <c r="T83" s="198"/>
      <c r="U83" s="403"/>
      <c r="V83" s="198"/>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403"/>
      <c r="B84" s="198"/>
      <c r="C84" s="403"/>
      <c r="D84" s="198"/>
      <c r="E84" s="403"/>
      <c r="F84" s="198"/>
      <c r="G84" s="403"/>
      <c r="H84" s="198"/>
      <c r="I84" s="410"/>
      <c r="J84" s="142"/>
      <c r="K84" s="410"/>
      <c r="L84" s="142"/>
      <c r="M84" s="403"/>
      <c r="N84" s="198"/>
      <c r="O84" s="403"/>
      <c r="P84" s="198"/>
      <c r="Q84" s="404"/>
      <c r="R84" s="155"/>
      <c r="S84" s="403"/>
      <c r="T84" s="198"/>
      <c r="U84" s="403"/>
      <c r="V84" s="198"/>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403"/>
      <c r="B85" s="198"/>
      <c r="C85" s="403"/>
      <c r="D85" s="198"/>
      <c r="E85" s="403"/>
      <c r="F85" s="198"/>
      <c r="G85" s="403"/>
      <c r="H85" s="198"/>
      <c r="I85" s="410"/>
      <c r="J85" s="142"/>
      <c r="K85" s="410"/>
      <c r="L85" s="142"/>
      <c r="M85" s="403"/>
      <c r="N85" s="198"/>
      <c r="O85" s="403"/>
      <c r="P85" s="198"/>
      <c r="Q85" s="404"/>
      <c r="R85" s="155"/>
      <c r="S85" s="403"/>
      <c r="T85" s="198"/>
      <c r="U85" s="403"/>
      <c r="V85" s="198"/>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403"/>
      <c r="B86" s="198"/>
      <c r="C86" s="403"/>
      <c r="D86" s="198"/>
      <c r="E86" s="403"/>
      <c r="F86" s="198"/>
      <c r="G86" s="403"/>
      <c r="H86" s="198"/>
      <c r="I86" s="410"/>
      <c r="J86" s="142"/>
      <c r="K86" s="410"/>
      <c r="L86" s="142"/>
      <c r="M86" s="403"/>
      <c r="N86" s="198"/>
      <c r="O86" s="403"/>
      <c r="P86" s="198"/>
      <c r="Q86" s="404"/>
      <c r="R86" s="155"/>
      <c r="S86" s="403"/>
      <c r="T86" s="198"/>
      <c r="U86" s="403"/>
      <c r="V86" s="198"/>
      <c r="W86" s="8"/>
      <c r="X86" s="8"/>
      <c r="Y86" s="8"/>
      <c r="Z86" s="8"/>
      <c r="AA86" s="8"/>
      <c r="AB86" s="8"/>
      <c r="AC86" s="8"/>
      <c r="AD86" s="8"/>
      <c r="AE86" s="8"/>
      <c r="AF86" s="8"/>
      <c r="AG86" s="8"/>
      <c r="AH86" s="8"/>
      <c r="AI86" s="8"/>
      <c r="AJ86" s="8"/>
      <c r="AK86" s="8"/>
      <c r="AL86" s="8"/>
      <c r="AM86" s="8"/>
      <c r="AN86" s="8"/>
      <c r="AO86" s="8"/>
      <c r="AP86" s="8"/>
      <c r="AQ86" s="8"/>
      <c r="AR86" s="8"/>
      <c r="AS86" s="8"/>
      <c r="AT86" s="8"/>
    </row>
    <row r="87">
      <c r="A87" s="403"/>
      <c r="B87" s="198"/>
      <c r="C87" s="403"/>
      <c r="D87" s="198"/>
      <c r="E87" s="403"/>
      <c r="F87" s="198"/>
      <c r="G87" s="403"/>
      <c r="H87" s="198"/>
      <c r="I87" s="410"/>
      <c r="J87" s="142"/>
      <c r="K87" s="410"/>
      <c r="L87" s="142"/>
      <c r="M87" s="403"/>
      <c r="N87" s="198"/>
      <c r="O87" s="403"/>
      <c r="P87" s="198"/>
      <c r="Q87" s="404"/>
      <c r="R87" s="155"/>
      <c r="S87" s="403"/>
      <c r="T87" s="198"/>
      <c r="U87" s="403"/>
      <c r="V87" s="198"/>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403"/>
      <c r="B88" s="198"/>
      <c r="C88" s="403"/>
      <c r="D88" s="198"/>
      <c r="E88" s="403"/>
      <c r="F88" s="198"/>
      <c r="G88" s="403"/>
      <c r="H88" s="198"/>
      <c r="I88" s="410"/>
      <c r="J88" s="142"/>
      <c r="K88" s="410"/>
      <c r="L88" s="142"/>
      <c r="M88" s="403"/>
      <c r="N88" s="198"/>
      <c r="O88" s="403"/>
      <c r="P88" s="198"/>
      <c r="Q88" s="404"/>
      <c r="R88" s="155"/>
      <c r="S88" s="403"/>
      <c r="T88" s="198"/>
      <c r="U88" s="403"/>
      <c r="V88" s="198"/>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403"/>
      <c r="B89" s="198"/>
      <c r="C89" s="403"/>
      <c r="D89" s="198"/>
      <c r="E89" s="403"/>
      <c r="F89" s="198"/>
      <c r="G89" s="403"/>
      <c r="H89" s="198"/>
      <c r="I89" s="410"/>
      <c r="J89" s="142"/>
      <c r="K89" s="410"/>
      <c r="L89" s="142"/>
      <c r="M89" s="403"/>
      <c r="N89" s="198"/>
      <c r="O89" s="403"/>
      <c r="P89" s="198"/>
      <c r="Q89" s="404"/>
      <c r="R89" s="155"/>
      <c r="S89" s="403"/>
      <c r="T89" s="198"/>
      <c r="U89" s="403"/>
      <c r="V89" s="198"/>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403"/>
      <c r="B90" s="198"/>
      <c r="C90" s="403"/>
      <c r="D90" s="198"/>
      <c r="E90" s="403"/>
      <c r="F90" s="198"/>
      <c r="G90" s="403"/>
      <c r="H90" s="198"/>
      <c r="I90" s="410"/>
      <c r="J90" s="142"/>
      <c r="K90" s="410"/>
      <c r="L90" s="142"/>
      <c r="M90" s="403"/>
      <c r="N90" s="198"/>
      <c r="O90" s="403"/>
      <c r="P90" s="198"/>
      <c r="Q90" s="404"/>
      <c r="R90" s="155"/>
      <c r="S90" s="403"/>
      <c r="T90" s="198"/>
      <c r="U90" s="403"/>
      <c r="V90" s="198"/>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403"/>
      <c r="B91" s="198"/>
      <c r="C91" s="403"/>
      <c r="D91" s="198"/>
      <c r="E91" s="403"/>
      <c r="F91" s="198"/>
      <c r="G91" s="403"/>
      <c r="H91" s="198"/>
      <c r="I91" s="410"/>
      <c r="J91" s="142"/>
      <c r="K91" s="410"/>
      <c r="L91" s="142"/>
      <c r="M91" s="403"/>
      <c r="N91" s="198"/>
      <c r="O91" s="403"/>
      <c r="P91" s="198"/>
      <c r="Q91" s="404"/>
      <c r="R91" s="155"/>
      <c r="S91" s="403"/>
      <c r="T91" s="198"/>
      <c r="U91" s="403"/>
      <c r="V91" s="198"/>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403"/>
      <c r="B92" s="198"/>
      <c r="C92" s="403"/>
      <c r="D92" s="198"/>
      <c r="E92" s="403"/>
      <c r="F92" s="198"/>
      <c r="G92" s="403"/>
      <c r="H92" s="198"/>
      <c r="I92" s="410"/>
      <c r="J92" s="142"/>
      <c r="K92" s="410"/>
      <c r="L92" s="142"/>
      <c r="M92" s="403"/>
      <c r="N92" s="198"/>
      <c r="O92" s="403"/>
      <c r="P92" s="198"/>
      <c r="Q92" s="404"/>
      <c r="R92" s="155"/>
      <c r="S92" s="403"/>
      <c r="T92" s="198"/>
      <c r="U92" s="403"/>
      <c r="V92" s="198"/>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403"/>
      <c r="B93" s="198"/>
      <c r="C93" s="403"/>
      <c r="D93" s="198"/>
      <c r="E93" s="403"/>
      <c r="F93" s="198"/>
      <c r="G93" s="403"/>
      <c r="H93" s="198"/>
      <c r="I93" s="410"/>
      <c r="J93" s="142"/>
      <c r="K93" s="410"/>
      <c r="L93" s="142"/>
      <c r="M93" s="403"/>
      <c r="N93" s="198"/>
      <c r="O93" s="403"/>
      <c r="P93" s="198"/>
      <c r="Q93" s="404"/>
      <c r="R93" s="155"/>
      <c r="S93" s="403"/>
      <c r="T93" s="198"/>
      <c r="U93" s="403"/>
      <c r="V93" s="198"/>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403"/>
      <c r="B94" s="198"/>
      <c r="C94" s="403"/>
      <c r="D94" s="198"/>
      <c r="E94" s="403"/>
      <c r="F94" s="198"/>
      <c r="G94" s="403"/>
      <c r="H94" s="198"/>
      <c r="I94" s="410"/>
      <c r="J94" s="142"/>
      <c r="K94" s="410"/>
      <c r="L94" s="142"/>
      <c r="M94" s="403"/>
      <c r="N94" s="198"/>
      <c r="O94" s="403"/>
      <c r="P94" s="198"/>
      <c r="Q94" s="404"/>
      <c r="R94" s="155"/>
      <c r="S94" s="403"/>
      <c r="T94" s="198"/>
      <c r="U94" s="403"/>
      <c r="V94" s="198"/>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403"/>
      <c r="B95" s="198"/>
      <c r="C95" s="403"/>
      <c r="D95" s="198"/>
      <c r="E95" s="403"/>
      <c r="F95" s="198"/>
      <c r="G95" s="403"/>
      <c r="H95" s="198"/>
      <c r="I95" s="410"/>
      <c r="J95" s="142"/>
      <c r="K95" s="410"/>
      <c r="L95" s="142"/>
      <c r="M95" s="403"/>
      <c r="N95" s="198"/>
      <c r="O95" s="403"/>
      <c r="P95" s="198"/>
      <c r="Q95" s="404"/>
      <c r="R95" s="155"/>
      <c r="S95" s="403"/>
      <c r="T95" s="198"/>
      <c r="U95" s="403"/>
      <c r="V95" s="198"/>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403"/>
      <c r="B96" s="198"/>
      <c r="C96" s="403"/>
      <c r="D96" s="198"/>
      <c r="E96" s="403"/>
      <c r="F96" s="198"/>
      <c r="G96" s="403"/>
      <c r="H96" s="198"/>
      <c r="I96" s="410"/>
      <c r="J96" s="142"/>
      <c r="K96" s="410"/>
      <c r="L96" s="142"/>
      <c r="M96" s="403"/>
      <c r="N96" s="198"/>
      <c r="O96" s="403"/>
      <c r="P96" s="198"/>
      <c r="Q96" s="404"/>
      <c r="R96" s="155"/>
      <c r="S96" s="403"/>
      <c r="T96" s="198"/>
      <c r="U96" s="403"/>
      <c r="V96" s="198"/>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403"/>
      <c r="B97" s="198"/>
      <c r="C97" s="403"/>
      <c r="D97" s="198"/>
      <c r="E97" s="403"/>
      <c r="F97" s="198"/>
      <c r="G97" s="403"/>
      <c r="H97" s="198"/>
      <c r="I97" s="410"/>
      <c r="J97" s="142"/>
      <c r="K97" s="410"/>
      <c r="L97" s="142"/>
      <c r="M97" s="403"/>
      <c r="N97" s="198"/>
      <c r="O97" s="403"/>
      <c r="P97" s="198"/>
      <c r="Q97" s="404"/>
      <c r="R97" s="155"/>
      <c r="S97" s="403"/>
      <c r="T97" s="198"/>
      <c r="U97" s="403"/>
      <c r="V97" s="198"/>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403"/>
      <c r="B98" s="198"/>
      <c r="C98" s="403"/>
      <c r="D98" s="198"/>
      <c r="E98" s="403"/>
      <c r="F98" s="198"/>
      <c r="G98" s="403"/>
      <c r="H98" s="198"/>
      <c r="I98" s="410"/>
      <c r="J98" s="142"/>
      <c r="K98" s="410"/>
      <c r="L98" s="142"/>
      <c r="M98" s="403"/>
      <c r="N98" s="198"/>
      <c r="O98" s="403"/>
      <c r="P98" s="198"/>
      <c r="Q98" s="404"/>
      <c r="R98" s="155"/>
      <c r="S98" s="403"/>
      <c r="T98" s="198"/>
      <c r="U98" s="403"/>
      <c r="V98" s="198"/>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403"/>
      <c r="B99" s="198"/>
      <c r="C99" s="403"/>
      <c r="D99" s="198"/>
      <c r="E99" s="403"/>
      <c r="F99" s="198"/>
      <c r="G99" s="403"/>
      <c r="H99" s="198"/>
      <c r="I99" s="410"/>
      <c r="J99" s="142"/>
      <c r="K99" s="410"/>
      <c r="L99" s="142"/>
      <c r="M99" s="403"/>
      <c r="N99" s="198"/>
      <c r="O99" s="403"/>
      <c r="P99" s="198"/>
      <c r="Q99" s="404"/>
      <c r="R99" s="155"/>
      <c r="S99" s="403"/>
      <c r="T99" s="198"/>
      <c r="U99" s="403"/>
      <c r="V99" s="198"/>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403"/>
      <c r="B100" s="198"/>
      <c r="C100" s="403"/>
      <c r="D100" s="198"/>
      <c r="E100" s="403"/>
      <c r="F100" s="198"/>
      <c r="G100" s="403"/>
      <c r="H100" s="198"/>
      <c r="I100" s="410"/>
      <c r="J100" s="142"/>
      <c r="K100" s="410"/>
      <c r="L100" s="142"/>
      <c r="M100" s="403"/>
      <c r="N100" s="198"/>
      <c r="O100" s="403"/>
      <c r="P100" s="198"/>
      <c r="Q100" s="404"/>
      <c r="R100" s="155"/>
      <c r="S100" s="403"/>
      <c r="T100" s="198"/>
      <c r="U100" s="403"/>
      <c r="V100" s="19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03"/>
      <c r="B101" s="198"/>
      <c r="C101" s="403"/>
      <c r="D101" s="198"/>
      <c r="E101" s="403"/>
      <c r="F101" s="198"/>
      <c r="G101" s="403"/>
      <c r="H101" s="198"/>
      <c r="I101" s="410"/>
      <c r="J101" s="142"/>
      <c r="K101" s="410"/>
      <c r="L101" s="142"/>
      <c r="M101" s="403"/>
      <c r="N101" s="198"/>
      <c r="O101" s="403"/>
      <c r="P101" s="198"/>
      <c r="Q101" s="404"/>
      <c r="R101" s="155"/>
      <c r="S101" s="403"/>
      <c r="T101" s="198"/>
      <c r="U101" s="403"/>
      <c r="V101" s="19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03"/>
      <c r="B102" s="198"/>
      <c r="C102" s="403"/>
      <c r="D102" s="198"/>
      <c r="E102" s="403"/>
      <c r="F102" s="198"/>
      <c r="G102" s="403"/>
      <c r="H102" s="198"/>
      <c r="I102" s="410"/>
      <c r="J102" s="142"/>
      <c r="K102" s="410"/>
      <c r="L102" s="142"/>
      <c r="M102" s="403"/>
      <c r="N102" s="198"/>
      <c r="O102" s="403"/>
      <c r="P102" s="198"/>
      <c r="Q102" s="404"/>
      <c r="R102" s="155"/>
      <c r="S102" s="403"/>
      <c r="T102" s="198"/>
      <c r="U102" s="403"/>
      <c r="V102" s="19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03"/>
      <c r="B103" s="198"/>
      <c r="C103" s="403"/>
      <c r="D103" s="198"/>
      <c r="E103" s="403"/>
      <c r="F103" s="198"/>
      <c r="G103" s="403"/>
      <c r="H103" s="198"/>
      <c r="I103" s="410"/>
      <c r="J103" s="142"/>
      <c r="K103" s="410"/>
      <c r="L103" s="142"/>
      <c r="M103" s="403"/>
      <c r="N103" s="198"/>
      <c r="O103" s="403"/>
      <c r="P103" s="198"/>
      <c r="Q103" s="403"/>
      <c r="R103" s="198"/>
      <c r="S103" s="403"/>
      <c r="T103" s="198"/>
      <c r="U103" s="403"/>
      <c r="V103" s="19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03"/>
      <c r="B104" s="198"/>
      <c r="C104" s="403"/>
      <c r="D104" s="198"/>
      <c r="E104" s="403"/>
      <c r="F104" s="198"/>
      <c r="G104" s="403"/>
      <c r="H104" s="198"/>
      <c r="I104" s="410"/>
      <c r="J104" s="142"/>
      <c r="K104" s="410"/>
      <c r="L104" s="142"/>
      <c r="M104" s="403"/>
      <c r="N104" s="198"/>
      <c r="O104" s="403"/>
      <c r="P104" s="198"/>
      <c r="Q104" s="403"/>
      <c r="R104" s="198"/>
      <c r="S104" s="403"/>
      <c r="T104" s="198"/>
      <c r="U104" s="403"/>
      <c r="V104" s="19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03"/>
      <c r="B105" s="198"/>
      <c r="C105" s="403"/>
      <c r="D105" s="198"/>
      <c r="E105" s="403"/>
      <c r="F105" s="198"/>
      <c r="G105" s="403"/>
      <c r="H105" s="198"/>
      <c r="I105" s="410"/>
      <c r="J105" s="142"/>
      <c r="K105" s="410"/>
      <c r="L105" s="142"/>
      <c r="M105" s="403"/>
      <c r="N105" s="198"/>
      <c r="O105" s="403"/>
      <c r="P105" s="198"/>
      <c r="Q105" s="403"/>
      <c r="R105" s="198"/>
      <c r="S105" s="403"/>
      <c r="T105" s="198"/>
      <c r="U105" s="403"/>
      <c r="V105" s="19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03"/>
      <c r="B106" s="198"/>
      <c r="C106" s="403"/>
      <c r="D106" s="198"/>
      <c r="E106" s="403"/>
      <c r="F106" s="198"/>
      <c r="G106" s="403"/>
      <c r="H106" s="198"/>
      <c r="I106" s="410"/>
      <c r="J106" s="142"/>
      <c r="K106" s="410"/>
      <c r="L106" s="142"/>
      <c r="M106" s="403"/>
      <c r="N106" s="198"/>
      <c r="O106" s="403"/>
      <c r="P106" s="198"/>
      <c r="Q106" s="403"/>
      <c r="R106" s="198"/>
      <c r="S106" s="403"/>
      <c r="T106" s="198"/>
      <c r="U106" s="403"/>
      <c r="V106" s="19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03"/>
      <c r="B107" s="198"/>
      <c r="C107" s="403"/>
      <c r="D107" s="198"/>
      <c r="E107" s="403"/>
      <c r="F107" s="198"/>
      <c r="G107" s="403"/>
      <c r="H107" s="198"/>
      <c r="I107" s="410"/>
      <c r="J107" s="142"/>
      <c r="K107" s="410"/>
      <c r="L107" s="142"/>
      <c r="M107" s="403"/>
      <c r="N107" s="198"/>
      <c r="O107" s="403"/>
      <c r="P107" s="198"/>
      <c r="Q107" s="403"/>
      <c r="R107" s="198"/>
      <c r="S107" s="403"/>
      <c r="T107" s="198"/>
      <c r="U107" s="403"/>
      <c r="V107" s="19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03"/>
      <c r="B108" s="198"/>
      <c r="C108" s="403"/>
      <c r="D108" s="198"/>
      <c r="E108" s="403"/>
      <c r="F108" s="198"/>
      <c r="G108" s="403"/>
      <c r="H108" s="198"/>
      <c r="I108" s="410"/>
      <c r="J108" s="142"/>
      <c r="K108" s="410"/>
      <c r="L108" s="142"/>
      <c r="M108" s="403"/>
      <c r="N108" s="198"/>
      <c r="O108" s="403"/>
      <c r="P108" s="198"/>
      <c r="Q108" s="403"/>
      <c r="R108" s="198"/>
      <c r="S108" s="403"/>
      <c r="T108" s="198"/>
      <c r="U108" s="403"/>
      <c r="V108" s="19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03"/>
      <c r="B109" s="198"/>
      <c r="C109" s="403"/>
      <c r="D109" s="198"/>
      <c r="E109" s="403"/>
      <c r="F109" s="198"/>
      <c r="G109" s="403"/>
      <c r="H109" s="198"/>
      <c r="I109" s="410"/>
      <c r="J109" s="142"/>
      <c r="K109" s="410"/>
      <c r="L109" s="142"/>
      <c r="M109" s="403"/>
      <c r="N109" s="198"/>
      <c r="O109" s="403"/>
      <c r="P109" s="198"/>
      <c r="Q109" s="403"/>
      <c r="R109" s="198"/>
      <c r="S109" s="403"/>
      <c r="T109" s="198"/>
      <c r="U109" s="403"/>
      <c r="V109" s="19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03"/>
      <c r="B110" s="198"/>
      <c r="C110" s="403"/>
      <c r="D110" s="198"/>
      <c r="E110" s="403"/>
      <c r="F110" s="198"/>
      <c r="G110" s="403"/>
      <c r="H110" s="198"/>
      <c r="I110" s="410"/>
      <c r="J110" s="142"/>
      <c r="K110" s="410"/>
      <c r="L110" s="142"/>
      <c r="M110" s="403"/>
      <c r="N110" s="198"/>
      <c r="O110" s="403"/>
      <c r="P110" s="198"/>
      <c r="Q110" s="403"/>
      <c r="R110" s="198"/>
      <c r="S110" s="403"/>
      <c r="T110" s="198"/>
      <c r="U110" s="403"/>
      <c r="V110" s="19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03"/>
      <c r="B111" s="198"/>
      <c r="C111" s="403"/>
      <c r="D111" s="198"/>
      <c r="E111" s="403"/>
      <c r="F111" s="198"/>
      <c r="G111" s="403"/>
      <c r="H111" s="198"/>
      <c r="I111" s="410"/>
      <c r="J111" s="142"/>
      <c r="K111" s="410"/>
      <c r="L111" s="142"/>
      <c r="M111" s="403"/>
      <c r="N111" s="198"/>
      <c r="O111" s="403"/>
      <c r="P111" s="198"/>
      <c r="Q111" s="403"/>
      <c r="R111" s="198"/>
      <c r="S111" s="403"/>
      <c r="T111" s="198"/>
      <c r="U111" s="403"/>
      <c r="V111" s="19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03"/>
      <c r="B112" s="198"/>
      <c r="C112" s="403"/>
      <c r="D112" s="198"/>
      <c r="E112" s="403"/>
      <c r="F112" s="198"/>
      <c r="G112" s="403"/>
      <c r="H112" s="198"/>
      <c r="I112" s="410"/>
      <c r="J112" s="142"/>
      <c r="K112" s="410"/>
      <c r="L112" s="142"/>
      <c r="M112" s="403"/>
      <c r="N112" s="198"/>
      <c r="O112" s="403"/>
      <c r="P112" s="198"/>
      <c r="Q112" s="403"/>
      <c r="R112" s="198"/>
      <c r="S112" s="403"/>
      <c r="T112" s="198"/>
      <c r="U112" s="403"/>
      <c r="V112" s="19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03"/>
      <c r="B113" s="198"/>
      <c r="C113" s="403"/>
      <c r="D113" s="198"/>
      <c r="E113" s="403"/>
      <c r="F113" s="198"/>
      <c r="G113" s="403"/>
      <c r="H113" s="198"/>
      <c r="I113" s="410"/>
      <c r="J113" s="142"/>
      <c r="K113" s="410"/>
      <c r="L113" s="142"/>
      <c r="M113" s="403"/>
      <c r="N113" s="198"/>
      <c r="O113" s="403"/>
      <c r="P113" s="198"/>
      <c r="Q113" s="403"/>
      <c r="R113" s="198"/>
      <c r="S113" s="403"/>
      <c r="T113" s="198"/>
      <c r="U113" s="403"/>
      <c r="V113" s="19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03"/>
      <c r="B114" s="198"/>
      <c r="C114" s="403"/>
      <c r="D114" s="198"/>
      <c r="E114" s="403"/>
      <c r="F114" s="198"/>
      <c r="G114" s="403"/>
      <c r="H114" s="198"/>
      <c r="I114" s="410"/>
      <c r="J114" s="142"/>
      <c r="K114" s="410"/>
      <c r="L114" s="142"/>
      <c r="M114" s="403"/>
      <c r="N114" s="198"/>
      <c r="O114" s="403"/>
      <c r="P114" s="198"/>
      <c r="Q114" s="403"/>
      <c r="R114" s="198"/>
      <c r="S114" s="403"/>
      <c r="T114" s="198"/>
      <c r="U114" s="403"/>
      <c r="V114" s="19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03"/>
      <c r="B115" s="198"/>
      <c r="C115" s="403"/>
      <c r="D115" s="198"/>
      <c r="E115" s="403"/>
      <c r="F115" s="198"/>
      <c r="G115" s="403"/>
      <c r="H115" s="198"/>
      <c r="I115" s="410"/>
      <c r="J115" s="142"/>
      <c r="K115" s="410"/>
      <c r="L115" s="142"/>
      <c r="M115" s="403"/>
      <c r="N115" s="198"/>
      <c r="O115" s="403"/>
      <c r="P115" s="198"/>
      <c r="Q115" s="403"/>
      <c r="R115" s="198"/>
      <c r="S115" s="403"/>
      <c r="T115" s="198"/>
      <c r="U115" s="403"/>
      <c r="V115" s="19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03"/>
      <c r="B116" s="198"/>
      <c r="C116" s="403"/>
      <c r="D116" s="198"/>
      <c r="E116" s="403"/>
      <c r="F116" s="198"/>
      <c r="G116" s="403"/>
      <c r="H116" s="198"/>
      <c r="I116" s="410"/>
      <c r="J116" s="142"/>
      <c r="K116" s="410"/>
      <c r="L116" s="142"/>
      <c r="M116" s="403"/>
      <c r="N116" s="198"/>
      <c r="O116" s="403"/>
      <c r="P116" s="198"/>
      <c r="Q116" s="403"/>
      <c r="R116" s="198"/>
      <c r="S116" s="403"/>
      <c r="T116" s="198"/>
      <c r="U116" s="403"/>
      <c r="V116" s="19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03"/>
      <c r="B117" s="198"/>
      <c r="C117" s="403"/>
      <c r="D117" s="198"/>
      <c r="E117" s="403"/>
      <c r="F117" s="198"/>
      <c r="G117" s="403"/>
      <c r="H117" s="198"/>
      <c r="I117" s="410"/>
      <c r="J117" s="142"/>
      <c r="K117" s="410"/>
      <c r="L117" s="142"/>
      <c r="M117" s="403"/>
      <c r="N117" s="198"/>
      <c r="O117" s="403"/>
      <c r="P117" s="198"/>
      <c r="Q117" s="403"/>
      <c r="R117" s="198"/>
      <c r="S117" s="403"/>
      <c r="T117" s="198"/>
      <c r="U117" s="403"/>
      <c r="V117" s="19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03"/>
      <c r="B118" s="198"/>
      <c r="C118" s="403"/>
      <c r="D118" s="198"/>
      <c r="E118" s="403"/>
      <c r="F118" s="198"/>
      <c r="G118" s="403"/>
      <c r="H118" s="198"/>
      <c r="I118" s="410"/>
      <c r="J118" s="142"/>
      <c r="K118" s="410"/>
      <c r="L118" s="142"/>
      <c r="M118" s="403"/>
      <c r="N118" s="198"/>
      <c r="O118" s="403"/>
      <c r="P118" s="198"/>
      <c r="Q118" s="403"/>
      <c r="R118" s="198"/>
      <c r="S118" s="403"/>
      <c r="T118" s="198"/>
      <c r="U118" s="403"/>
      <c r="V118" s="19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03"/>
      <c r="B119" s="198"/>
      <c r="C119" s="403"/>
      <c r="D119" s="198"/>
      <c r="E119" s="403"/>
      <c r="F119" s="198"/>
      <c r="G119" s="403"/>
      <c r="H119" s="198"/>
      <c r="I119" s="410"/>
      <c r="J119" s="142"/>
      <c r="K119" s="410"/>
      <c r="L119" s="142"/>
      <c r="M119" s="403"/>
      <c r="N119" s="198"/>
      <c r="O119" s="403"/>
      <c r="P119" s="198"/>
      <c r="Q119" s="403"/>
      <c r="R119" s="198"/>
      <c r="S119" s="403"/>
      <c r="T119" s="198"/>
      <c r="U119" s="403"/>
      <c r="V119" s="19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03"/>
      <c r="B120" s="198"/>
      <c r="C120" s="403"/>
      <c r="D120" s="198"/>
      <c r="E120" s="403"/>
      <c r="F120" s="198"/>
      <c r="G120" s="403"/>
      <c r="H120" s="198"/>
      <c r="I120" s="410"/>
      <c r="J120" s="142"/>
      <c r="K120" s="410"/>
      <c r="L120" s="142"/>
      <c r="M120" s="403"/>
      <c r="N120" s="198"/>
      <c r="O120" s="403"/>
      <c r="P120" s="198"/>
      <c r="Q120" s="403"/>
      <c r="R120" s="198"/>
      <c r="S120" s="403"/>
      <c r="T120" s="198"/>
      <c r="U120" s="403"/>
      <c r="V120" s="19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03"/>
      <c r="B121" s="198"/>
      <c r="C121" s="403"/>
      <c r="D121" s="198"/>
      <c r="E121" s="403"/>
      <c r="F121" s="198"/>
      <c r="G121" s="403"/>
      <c r="H121" s="198"/>
      <c r="I121" s="410"/>
      <c r="J121" s="142"/>
      <c r="K121" s="410"/>
      <c r="L121" s="142"/>
      <c r="M121" s="403"/>
      <c r="N121" s="198"/>
      <c r="O121" s="403"/>
      <c r="P121" s="198"/>
      <c r="Q121" s="403"/>
      <c r="R121" s="198"/>
      <c r="S121" s="403"/>
      <c r="T121" s="198"/>
      <c r="U121" s="403"/>
      <c r="V121" s="19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03"/>
      <c r="B122" s="198"/>
      <c r="C122" s="403"/>
      <c r="D122" s="198"/>
      <c r="E122" s="403"/>
      <c r="F122" s="198"/>
      <c r="G122" s="403"/>
      <c r="H122" s="198"/>
      <c r="I122" s="410"/>
      <c r="J122" s="142"/>
      <c r="K122" s="410"/>
      <c r="L122" s="142"/>
      <c r="M122" s="403"/>
      <c r="N122" s="198"/>
      <c r="O122" s="403"/>
      <c r="P122" s="198"/>
      <c r="Q122" s="403"/>
      <c r="R122" s="198"/>
      <c r="S122" s="403"/>
      <c r="T122" s="198"/>
      <c r="U122" s="403"/>
      <c r="V122" s="19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03"/>
      <c r="B123" s="198"/>
      <c r="C123" s="403"/>
      <c r="D123" s="198"/>
      <c r="E123" s="403"/>
      <c r="F123" s="198"/>
      <c r="G123" s="403"/>
      <c r="H123" s="198"/>
      <c r="I123" s="410"/>
      <c r="J123" s="142"/>
      <c r="K123" s="410"/>
      <c r="L123" s="142"/>
      <c r="M123" s="403"/>
      <c r="N123" s="198"/>
      <c r="O123" s="403"/>
      <c r="P123" s="198"/>
      <c r="Q123" s="403"/>
      <c r="R123" s="198"/>
      <c r="S123" s="403"/>
      <c r="T123" s="198"/>
      <c r="U123" s="403"/>
      <c r="V123" s="19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03"/>
      <c r="B124" s="198"/>
      <c r="C124" s="403"/>
      <c r="D124" s="198"/>
      <c r="E124" s="403"/>
      <c r="F124" s="198"/>
      <c r="G124" s="403"/>
      <c r="H124" s="198"/>
      <c r="I124" s="410"/>
      <c r="J124" s="142"/>
      <c r="K124" s="410"/>
      <c r="L124" s="142"/>
      <c r="M124" s="403"/>
      <c r="N124" s="198"/>
      <c r="O124" s="403"/>
      <c r="P124" s="198"/>
      <c r="Q124" s="403"/>
      <c r="R124" s="198"/>
      <c r="S124" s="403"/>
      <c r="T124" s="198"/>
      <c r="U124" s="403"/>
      <c r="V124" s="19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03"/>
      <c r="B125" s="198"/>
      <c r="C125" s="403"/>
      <c r="D125" s="198"/>
      <c r="E125" s="403"/>
      <c r="F125" s="198"/>
      <c r="G125" s="403"/>
      <c r="H125" s="198"/>
      <c r="I125" s="410"/>
      <c r="J125" s="142"/>
      <c r="K125" s="410"/>
      <c r="L125" s="142"/>
      <c r="M125" s="403"/>
      <c r="N125" s="198"/>
      <c r="O125" s="403"/>
      <c r="P125" s="198"/>
      <c r="Q125" s="403"/>
      <c r="R125" s="198"/>
      <c r="S125" s="403"/>
      <c r="T125" s="198"/>
      <c r="U125" s="403"/>
      <c r="V125" s="19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03"/>
      <c r="B126" s="198"/>
      <c r="C126" s="403"/>
      <c r="D126" s="198"/>
      <c r="E126" s="403"/>
      <c r="F126" s="198"/>
      <c r="G126" s="403"/>
      <c r="H126" s="198"/>
      <c r="I126" s="410"/>
      <c r="J126" s="142"/>
      <c r="K126" s="410"/>
      <c r="L126" s="142"/>
      <c r="M126" s="403"/>
      <c r="N126" s="198"/>
      <c r="O126" s="403"/>
      <c r="P126" s="198"/>
      <c r="Q126" s="403"/>
      <c r="R126" s="198"/>
      <c r="S126" s="403"/>
      <c r="T126" s="198"/>
      <c r="U126" s="403"/>
      <c r="V126" s="19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03"/>
      <c r="B127" s="198"/>
      <c r="C127" s="403"/>
      <c r="D127" s="198"/>
      <c r="E127" s="403"/>
      <c r="F127" s="198"/>
      <c r="G127" s="403"/>
      <c r="H127" s="198"/>
      <c r="I127" s="410"/>
      <c r="J127" s="142"/>
      <c r="K127" s="410"/>
      <c r="L127" s="142"/>
      <c r="M127" s="403"/>
      <c r="N127" s="198"/>
      <c r="O127" s="403"/>
      <c r="P127" s="198"/>
      <c r="Q127" s="403"/>
      <c r="R127" s="198"/>
      <c r="S127" s="403"/>
      <c r="T127" s="198"/>
      <c r="U127" s="403"/>
      <c r="V127" s="19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03"/>
      <c r="B128" s="198"/>
      <c r="C128" s="403"/>
      <c r="D128" s="198"/>
      <c r="E128" s="403"/>
      <c r="F128" s="198"/>
      <c r="G128" s="403"/>
      <c r="H128" s="198"/>
      <c r="I128" s="410"/>
      <c r="J128" s="142"/>
      <c r="K128" s="410"/>
      <c r="L128" s="142"/>
      <c r="M128" s="403"/>
      <c r="N128" s="198"/>
      <c r="O128" s="403"/>
      <c r="P128" s="198"/>
      <c r="Q128" s="403"/>
      <c r="R128" s="198"/>
      <c r="S128" s="403"/>
      <c r="T128" s="198"/>
      <c r="U128" s="403"/>
      <c r="V128" s="19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03"/>
      <c r="B129" s="198"/>
      <c r="C129" s="403"/>
      <c r="D129" s="198"/>
      <c r="E129" s="403"/>
      <c r="F129" s="198"/>
      <c r="G129" s="403"/>
      <c r="H129" s="198"/>
      <c r="I129" s="410"/>
      <c r="J129" s="142"/>
      <c r="K129" s="410"/>
      <c r="L129" s="142"/>
      <c r="M129" s="403"/>
      <c r="N129" s="198"/>
      <c r="O129" s="403"/>
      <c r="P129" s="198"/>
      <c r="Q129" s="403"/>
      <c r="R129" s="198"/>
      <c r="S129" s="403"/>
      <c r="T129" s="198"/>
      <c r="U129" s="403"/>
      <c r="V129" s="19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03"/>
      <c r="B130" s="198"/>
      <c r="C130" s="403"/>
      <c r="D130" s="198"/>
      <c r="E130" s="403"/>
      <c r="F130" s="198"/>
      <c r="G130" s="403"/>
      <c r="H130" s="198"/>
      <c r="I130" s="410"/>
      <c r="J130" s="142"/>
      <c r="K130" s="410"/>
      <c r="L130" s="142"/>
      <c r="M130" s="403"/>
      <c r="N130" s="198"/>
      <c r="O130" s="403"/>
      <c r="P130" s="198"/>
      <c r="Q130" s="403"/>
      <c r="R130" s="198"/>
      <c r="S130" s="403"/>
      <c r="T130" s="198"/>
      <c r="U130" s="403"/>
      <c r="V130" s="19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03"/>
      <c r="B131" s="198"/>
      <c r="C131" s="403"/>
      <c r="D131" s="198"/>
      <c r="E131" s="403"/>
      <c r="F131" s="198"/>
      <c r="G131" s="403"/>
      <c r="H131" s="198"/>
      <c r="I131" s="410"/>
      <c r="J131" s="142"/>
      <c r="K131" s="410"/>
      <c r="L131" s="142"/>
      <c r="M131" s="403"/>
      <c r="N131" s="198"/>
      <c r="O131" s="403"/>
      <c r="P131" s="198"/>
      <c r="Q131" s="403"/>
      <c r="R131" s="198"/>
      <c r="S131" s="403"/>
      <c r="T131" s="198"/>
      <c r="U131" s="403"/>
      <c r="V131" s="19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03"/>
      <c r="B132" s="198"/>
      <c r="C132" s="403"/>
      <c r="D132" s="198"/>
      <c r="E132" s="403"/>
      <c r="F132" s="198"/>
      <c r="G132" s="403"/>
      <c r="H132" s="198"/>
      <c r="I132" s="410"/>
      <c r="J132" s="142"/>
      <c r="K132" s="410"/>
      <c r="L132" s="142"/>
      <c r="M132" s="403"/>
      <c r="N132" s="198"/>
      <c r="O132" s="403"/>
      <c r="P132" s="198"/>
      <c r="Q132" s="403"/>
      <c r="R132" s="198"/>
      <c r="S132" s="403"/>
      <c r="T132" s="198"/>
      <c r="U132" s="403"/>
      <c r="V132" s="19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03"/>
      <c r="B133" s="198"/>
      <c r="C133" s="403"/>
      <c r="D133" s="198"/>
      <c r="E133" s="403"/>
      <c r="F133" s="198"/>
      <c r="G133" s="403"/>
      <c r="H133" s="198"/>
      <c r="I133" s="410"/>
      <c r="J133" s="142"/>
      <c r="K133" s="410"/>
      <c r="L133" s="142"/>
      <c r="M133" s="403"/>
      <c r="N133" s="198"/>
      <c r="O133" s="403"/>
      <c r="P133" s="198"/>
      <c r="Q133" s="403"/>
      <c r="R133" s="198"/>
      <c r="S133" s="403"/>
      <c r="T133" s="198"/>
      <c r="U133" s="403"/>
      <c r="V133" s="19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03"/>
      <c r="B134" s="198"/>
      <c r="C134" s="403"/>
      <c r="D134" s="198"/>
      <c r="E134" s="403"/>
      <c r="F134" s="198"/>
      <c r="G134" s="403"/>
      <c r="H134" s="198"/>
      <c r="I134" s="410"/>
      <c r="J134" s="142"/>
      <c r="K134" s="410"/>
      <c r="L134" s="142"/>
      <c r="M134" s="403"/>
      <c r="N134" s="198"/>
      <c r="O134" s="403"/>
      <c r="P134" s="198"/>
      <c r="Q134" s="403"/>
      <c r="R134" s="198"/>
      <c r="S134" s="403"/>
      <c r="T134" s="198"/>
      <c r="U134" s="403"/>
      <c r="V134" s="19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03"/>
      <c r="B135" s="198"/>
      <c r="C135" s="403"/>
      <c r="D135" s="198"/>
      <c r="E135" s="403"/>
      <c r="F135" s="198"/>
      <c r="G135" s="403"/>
      <c r="H135" s="198"/>
      <c r="I135" s="410"/>
      <c r="J135" s="142"/>
      <c r="K135" s="410"/>
      <c r="L135" s="142"/>
      <c r="M135" s="403"/>
      <c r="N135" s="198"/>
      <c r="O135" s="403"/>
      <c r="P135" s="198"/>
      <c r="Q135" s="403"/>
      <c r="R135" s="198"/>
      <c r="S135" s="403"/>
      <c r="T135" s="198"/>
      <c r="U135" s="403"/>
      <c r="V135" s="19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03"/>
      <c r="B136" s="198"/>
      <c r="C136" s="403"/>
      <c r="D136" s="198"/>
      <c r="E136" s="403"/>
      <c r="F136" s="198"/>
      <c r="G136" s="403"/>
      <c r="H136" s="198"/>
      <c r="I136" s="410"/>
      <c r="J136" s="142"/>
      <c r="K136" s="410"/>
      <c r="L136" s="142"/>
      <c r="M136" s="403"/>
      <c r="N136" s="198"/>
      <c r="O136" s="403"/>
      <c r="P136" s="198"/>
      <c r="Q136" s="403"/>
      <c r="R136" s="198"/>
      <c r="S136" s="403"/>
      <c r="T136" s="198"/>
      <c r="U136" s="403"/>
      <c r="V136" s="19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03"/>
      <c r="B137" s="198"/>
      <c r="C137" s="403"/>
      <c r="D137" s="198"/>
      <c r="E137" s="403"/>
      <c r="F137" s="198"/>
      <c r="G137" s="403"/>
      <c r="H137" s="198"/>
      <c r="I137" s="410"/>
      <c r="J137" s="142"/>
      <c r="K137" s="410"/>
      <c r="L137" s="142"/>
      <c r="M137" s="403"/>
      <c r="N137" s="198"/>
      <c r="O137" s="403"/>
      <c r="P137" s="198"/>
      <c r="Q137" s="403"/>
      <c r="R137" s="198"/>
      <c r="S137" s="403"/>
      <c r="T137" s="198"/>
      <c r="U137" s="403"/>
      <c r="V137" s="19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03"/>
      <c r="B138" s="198"/>
      <c r="C138" s="403"/>
      <c r="D138" s="198"/>
      <c r="E138" s="403"/>
      <c r="F138" s="198"/>
      <c r="G138" s="403"/>
      <c r="H138" s="198"/>
      <c r="I138" s="410"/>
      <c r="J138" s="142"/>
      <c r="K138" s="410"/>
      <c r="L138" s="142"/>
      <c r="M138" s="403"/>
      <c r="N138" s="198"/>
      <c r="O138" s="403"/>
      <c r="P138" s="198"/>
      <c r="Q138" s="403"/>
      <c r="R138" s="198"/>
      <c r="S138" s="403"/>
      <c r="T138" s="198"/>
      <c r="U138" s="403"/>
      <c r="V138" s="19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03"/>
      <c r="B139" s="198"/>
      <c r="C139" s="403"/>
      <c r="D139" s="198"/>
      <c r="E139" s="403"/>
      <c r="F139" s="198"/>
      <c r="G139" s="403"/>
      <c r="H139" s="198"/>
      <c r="I139" s="410"/>
      <c r="J139" s="142"/>
      <c r="K139" s="410"/>
      <c r="L139" s="142"/>
      <c r="M139" s="403"/>
      <c r="N139" s="198"/>
      <c r="O139" s="403"/>
      <c r="P139" s="198"/>
      <c r="Q139" s="403"/>
      <c r="R139" s="198"/>
      <c r="S139" s="403"/>
      <c r="T139" s="198"/>
      <c r="U139" s="403"/>
      <c r="V139" s="19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03"/>
      <c r="B140" s="198"/>
      <c r="C140" s="403"/>
      <c r="D140" s="198"/>
      <c r="E140" s="403"/>
      <c r="F140" s="198"/>
      <c r="G140" s="403"/>
      <c r="H140" s="198"/>
      <c r="I140" s="410"/>
      <c r="J140" s="142"/>
      <c r="K140" s="410"/>
      <c r="L140" s="142"/>
      <c r="M140" s="403"/>
      <c r="N140" s="198"/>
      <c r="O140" s="403"/>
      <c r="P140" s="198"/>
      <c r="Q140" s="403"/>
      <c r="R140" s="198"/>
      <c r="S140" s="403"/>
      <c r="T140" s="198"/>
      <c r="U140" s="403"/>
      <c r="V140" s="19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03"/>
      <c r="B141" s="198"/>
      <c r="C141" s="403"/>
      <c r="D141" s="198"/>
      <c r="E141" s="403"/>
      <c r="F141" s="198"/>
      <c r="G141" s="403"/>
      <c r="H141" s="198"/>
      <c r="I141" s="410"/>
      <c r="J141" s="142"/>
      <c r="K141" s="410"/>
      <c r="L141" s="142"/>
      <c r="M141" s="403"/>
      <c r="N141" s="198"/>
      <c r="O141" s="403"/>
      <c r="P141" s="198"/>
      <c r="Q141" s="403"/>
      <c r="R141" s="198"/>
      <c r="S141" s="403"/>
      <c r="T141" s="198"/>
      <c r="U141" s="403"/>
      <c r="V141" s="19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03"/>
      <c r="B142" s="198"/>
      <c r="C142" s="403"/>
      <c r="D142" s="198"/>
      <c r="E142" s="403"/>
      <c r="F142" s="198"/>
      <c r="G142" s="403"/>
      <c r="H142" s="198"/>
      <c r="I142" s="410"/>
      <c r="J142" s="142"/>
      <c r="K142" s="410"/>
      <c r="L142" s="142"/>
      <c r="M142" s="403"/>
      <c r="N142" s="198"/>
      <c r="O142" s="403"/>
      <c r="P142" s="198"/>
      <c r="Q142" s="403"/>
      <c r="R142" s="198"/>
      <c r="S142" s="403"/>
      <c r="T142" s="198"/>
      <c r="U142" s="403"/>
      <c r="V142" s="19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03"/>
      <c r="B143" s="198"/>
      <c r="C143" s="403"/>
      <c r="D143" s="198"/>
      <c r="E143" s="403"/>
      <c r="F143" s="198"/>
      <c r="G143" s="403"/>
      <c r="H143" s="198"/>
      <c r="I143" s="410"/>
      <c r="J143" s="142"/>
      <c r="K143" s="410"/>
      <c r="L143" s="142"/>
      <c r="M143" s="403"/>
      <c r="N143" s="198"/>
      <c r="O143" s="403"/>
      <c r="P143" s="198"/>
      <c r="Q143" s="403"/>
      <c r="R143" s="198"/>
      <c r="S143" s="403"/>
      <c r="T143" s="198"/>
      <c r="U143" s="403"/>
      <c r="V143" s="19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03"/>
      <c r="B144" s="198"/>
      <c r="C144" s="403"/>
      <c r="D144" s="198"/>
      <c r="E144" s="403"/>
      <c r="F144" s="198"/>
      <c r="G144" s="403"/>
      <c r="H144" s="198"/>
      <c r="I144" s="410"/>
      <c r="J144" s="142"/>
      <c r="K144" s="410"/>
      <c r="L144" s="142"/>
      <c r="M144" s="403"/>
      <c r="N144" s="198"/>
      <c r="O144" s="403"/>
      <c r="P144" s="198"/>
      <c r="Q144" s="403"/>
      <c r="R144" s="198"/>
      <c r="S144" s="403"/>
      <c r="T144" s="198"/>
      <c r="U144" s="403"/>
      <c r="V144" s="19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03"/>
      <c r="B145" s="198"/>
      <c r="C145" s="403"/>
      <c r="D145" s="198"/>
      <c r="E145" s="403"/>
      <c r="F145" s="198"/>
      <c r="G145" s="403"/>
      <c r="H145" s="198"/>
      <c r="I145" s="410"/>
      <c r="J145" s="142"/>
      <c r="K145" s="410"/>
      <c r="L145" s="142"/>
      <c r="M145" s="403"/>
      <c r="N145" s="198"/>
      <c r="O145" s="403"/>
      <c r="P145" s="198"/>
      <c r="Q145" s="403"/>
      <c r="R145" s="198"/>
      <c r="S145" s="403"/>
      <c r="T145" s="198"/>
      <c r="U145" s="403"/>
      <c r="V145" s="19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03"/>
      <c r="B146" s="198"/>
      <c r="C146" s="403"/>
      <c r="D146" s="198"/>
      <c r="E146" s="403"/>
      <c r="F146" s="198"/>
      <c r="G146" s="403"/>
      <c r="H146" s="198"/>
      <c r="I146" s="410"/>
      <c r="J146" s="142"/>
      <c r="K146" s="410"/>
      <c r="L146" s="142"/>
      <c r="M146" s="403"/>
      <c r="N146" s="198"/>
      <c r="O146" s="403"/>
      <c r="P146" s="198"/>
      <c r="Q146" s="403"/>
      <c r="R146" s="198"/>
      <c r="S146" s="403"/>
      <c r="T146" s="198"/>
      <c r="U146" s="403"/>
      <c r="V146" s="19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03"/>
      <c r="B147" s="198"/>
      <c r="C147" s="403"/>
      <c r="D147" s="198"/>
      <c r="E147" s="403"/>
      <c r="F147" s="198"/>
      <c r="G147" s="403"/>
      <c r="H147" s="198"/>
      <c r="I147" s="410"/>
      <c r="J147" s="142"/>
      <c r="K147" s="410"/>
      <c r="L147" s="142"/>
      <c r="M147" s="403"/>
      <c r="N147" s="198"/>
      <c r="O147" s="403"/>
      <c r="P147" s="198"/>
      <c r="Q147" s="403"/>
      <c r="R147" s="198"/>
      <c r="S147" s="403"/>
      <c r="T147" s="198"/>
      <c r="U147" s="403"/>
      <c r="V147" s="19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03"/>
      <c r="B148" s="198"/>
      <c r="C148" s="403"/>
      <c r="D148" s="198"/>
      <c r="E148" s="403"/>
      <c r="F148" s="198"/>
      <c r="G148" s="403"/>
      <c r="H148" s="198"/>
      <c r="I148" s="410"/>
      <c r="J148" s="142"/>
      <c r="K148" s="410"/>
      <c r="L148" s="142"/>
      <c r="M148" s="403"/>
      <c r="N148" s="198"/>
      <c r="O148" s="403"/>
      <c r="P148" s="198"/>
      <c r="Q148" s="403"/>
      <c r="R148" s="198"/>
      <c r="S148" s="403"/>
      <c r="T148" s="198"/>
      <c r="U148" s="403"/>
      <c r="V148" s="19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03"/>
      <c r="B149" s="198"/>
      <c r="C149" s="403"/>
      <c r="D149" s="198"/>
      <c r="E149" s="403"/>
      <c r="F149" s="198"/>
      <c r="G149" s="403"/>
      <c r="H149" s="198"/>
      <c r="I149" s="410"/>
      <c r="J149" s="142"/>
      <c r="K149" s="410"/>
      <c r="L149" s="142"/>
      <c r="M149" s="403"/>
      <c r="N149" s="198"/>
      <c r="O149" s="403"/>
      <c r="P149" s="198"/>
      <c r="Q149" s="403"/>
      <c r="R149" s="198"/>
      <c r="S149" s="403"/>
      <c r="T149" s="198"/>
      <c r="U149" s="403"/>
      <c r="V149" s="19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03"/>
      <c r="B150" s="198"/>
      <c r="C150" s="403"/>
      <c r="D150" s="198"/>
      <c r="E150" s="403"/>
      <c r="F150" s="198"/>
      <c r="G150" s="403"/>
      <c r="H150" s="198"/>
      <c r="I150" s="410"/>
      <c r="J150" s="142"/>
      <c r="K150" s="410"/>
      <c r="L150" s="142"/>
      <c r="M150" s="403"/>
      <c r="N150" s="198"/>
      <c r="O150" s="403"/>
      <c r="P150" s="198"/>
      <c r="Q150" s="403"/>
      <c r="R150" s="198"/>
      <c r="S150" s="403"/>
      <c r="T150" s="198"/>
      <c r="U150" s="403"/>
      <c r="V150" s="19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03"/>
      <c r="B151" s="198"/>
      <c r="C151" s="403"/>
      <c r="D151" s="198"/>
      <c r="E151" s="403"/>
      <c r="F151" s="198"/>
      <c r="G151" s="403"/>
      <c r="H151" s="198"/>
      <c r="I151" s="410"/>
      <c r="J151" s="142"/>
      <c r="K151" s="410"/>
      <c r="L151" s="142"/>
      <c r="M151" s="403"/>
      <c r="N151" s="198"/>
      <c r="O151" s="403"/>
      <c r="P151" s="198"/>
      <c r="Q151" s="403"/>
      <c r="R151" s="198"/>
      <c r="S151" s="403"/>
      <c r="T151" s="198"/>
      <c r="U151" s="403"/>
      <c r="V151" s="19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03"/>
      <c r="B152" s="198"/>
      <c r="C152" s="403"/>
      <c r="D152" s="198"/>
      <c r="E152" s="403"/>
      <c r="F152" s="198"/>
      <c r="G152" s="403"/>
      <c r="H152" s="198"/>
      <c r="I152" s="410"/>
      <c r="J152" s="142"/>
      <c r="K152" s="410"/>
      <c r="L152" s="142"/>
      <c r="M152" s="403"/>
      <c r="N152" s="198"/>
      <c r="O152" s="403"/>
      <c r="P152" s="198"/>
      <c r="Q152" s="403"/>
      <c r="R152" s="198"/>
      <c r="S152" s="403"/>
      <c r="T152" s="198"/>
      <c r="U152" s="403"/>
      <c r="V152" s="19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03"/>
      <c r="B153" s="198"/>
      <c r="C153" s="403"/>
      <c r="D153" s="198"/>
      <c r="E153" s="403"/>
      <c r="F153" s="198"/>
      <c r="G153" s="403"/>
      <c r="H153" s="198"/>
      <c r="I153" s="410"/>
      <c r="J153" s="142"/>
      <c r="K153" s="410"/>
      <c r="L153" s="142"/>
      <c r="M153" s="403"/>
      <c r="N153" s="198"/>
      <c r="O153" s="403"/>
      <c r="P153" s="198"/>
      <c r="Q153" s="403"/>
      <c r="R153" s="198"/>
      <c r="S153" s="403"/>
      <c r="T153" s="198"/>
      <c r="U153" s="403"/>
      <c r="V153" s="19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03"/>
      <c r="B154" s="198"/>
      <c r="C154" s="403"/>
      <c r="D154" s="198"/>
      <c r="E154" s="403"/>
      <c r="F154" s="198"/>
      <c r="G154" s="403"/>
      <c r="H154" s="198"/>
      <c r="I154" s="410"/>
      <c r="J154" s="142"/>
      <c r="K154" s="410"/>
      <c r="L154" s="142"/>
      <c r="M154" s="403"/>
      <c r="N154" s="198"/>
      <c r="O154" s="403"/>
      <c r="P154" s="198"/>
      <c r="Q154" s="403"/>
      <c r="R154" s="198"/>
      <c r="S154" s="403"/>
      <c r="T154" s="198"/>
      <c r="U154" s="403"/>
      <c r="V154" s="19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03"/>
      <c r="B155" s="198"/>
      <c r="C155" s="403"/>
      <c r="D155" s="198"/>
      <c r="E155" s="403"/>
      <c r="F155" s="198"/>
      <c r="G155" s="403"/>
      <c r="H155" s="198"/>
      <c r="I155" s="410"/>
      <c r="J155" s="142"/>
      <c r="K155" s="410"/>
      <c r="L155" s="142"/>
      <c r="M155" s="403"/>
      <c r="N155" s="198"/>
      <c r="O155" s="403"/>
      <c r="P155" s="198"/>
      <c r="Q155" s="403"/>
      <c r="R155" s="198"/>
      <c r="S155" s="403"/>
      <c r="T155" s="198"/>
      <c r="U155" s="403"/>
      <c r="V155" s="19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03"/>
      <c r="B156" s="198"/>
      <c r="C156" s="403"/>
      <c r="D156" s="198"/>
      <c r="E156" s="403"/>
      <c r="F156" s="198"/>
      <c r="G156" s="403"/>
      <c r="H156" s="198"/>
      <c r="I156" s="410"/>
      <c r="J156" s="142"/>
      <c r="K156" s="410"/>
      <c r="L156" s="142"/>
      <c r="M156" s="403"/>
      <c r="N156" s="198"/>
      <c r="O156" s="403"/>
      <c r="P156" s="198"/>
      <c r="Q156" s="403"/>
      <c r="R156" s="198"/>
      <c r="S156" s="403"/>
      <c r="T156" s="198"/>
      <c r="U156" s="403"/>
      <c r="V156" s="19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03"/>
      <c r="B157" s="198"/>
      <c r="C157" s="403"/>
      <c r="D157" s="198"/>
      <c r="E157" s="403"/>
      <c r="F157" s="198"/>
      <c r="G157" s="403"/>
      <c r="H157" s="198"/>
      <c r="I157" s="410"/>
      <c r="J157" s="142"/>
      <c r="K157" s="410"/>
      <c r="L157" s="142"/>
      <c r="M157" s="403"/>
      <c r="N157" s="198"/>
      <c r="O157" s="403"/>
      <c r="P157" s="198"/>
      <c r="Q157" s="403"/>
      <c r="R157" s="198"/>
      <c r="S157" s="403"/>
      <c r="T157" s="198"/>
      <c r="U157" s="403"/>
      <c r="V157" s="19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03"/>
      <c r="B158" s="198"/>
      <c r="C158" s="403"/>
      <c r="D158" s="198"/>
      <c r="E158" s="403"/>
      <c r="F158" s="198"/>
      <c r="G158" s="403"/>
      <c r="H158" s="198"/>
      <c r="I158" s="410"/>
      <c r="J158" s="142"/>
      <c r="K158" s="410"/>
      <c r="L158" s="142"/>
      <c r="M158" s="403"/>
      <c r="N158" s="198"/>
      <c r="O158" s="403"/>
      <c r="P158" s="198"/>
      <c r="Q158" s="403"/>
      <c r="R158" s="198"/>
      <c r="S158" s="403"/>
      <c r="T158" s="198"/>
      <c r="U158" s="403"/>
      <c r="V158" s="19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03"/>
      <c r="B159" s="198"/>
      <c r="C159" s="403"/>
      <c r="D159" s="198"/>
      <c r="E159" s="403"/>
      <c r="F159" s="198"/>
      <c r="G159" s="403"/>
      <c r="H159" s="198"/>
      <c r="I159" s="410"/>
      <c r="J159" s="142"/>
      <c r="K159" s="410"/>
      <c r="L159" s="142"/>
      <c r="M159" s="403"/>
      <c r="N159" s="198"/>
      <c r="O159" s="403"/>
      <c r="P159" s="198"/>
      <c r="Q159" s="403"/>
      <c r="R159" s="198"/>
      <c r="S159" s="403"/>
      <c r="T159" s="198"/>
      <c r="U159" s="403"/>
      <c r="V159" s="19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03"/>
      <c r="B160" s="198"/>
      <c r="C160" s="403"/>
      <c r="D160" s="198"/>
      <c r="E160" s="403"/>
      <c r="F160" s="198"/>
      <c r="G160" s="403"/>
      <c r="H160" s="198"/>
      <c r="I160" s="410"/>
      <c r="J160" s="142"/>
      <c r="K160" s="410"/>
      <c r="L160" s="142"/>
      <c r="M160" s="403"/>
      <c r="N160" s="198"/>
      <c r="O160" s="403"/>
      <c r="P160" s="198"/>
      <c r="Q160" s="403"/>
      <c r="R160" s="198"/>
      <c r="S160" s="403"/>
      <c r="T160" s="198"/>
      <c r="U160" s="403"/>
      <c r="V160" s="19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03"/>
      <c r="B161" s="198"/>
      <c r="C161" s="403"/>
      <c r="D161" s="198"/>
      <c r="E161" s="403"/>
      <c r="F161" s="198"/>
      <c r="G161" s="403"/>
      <c r="H161" s="198"/>
      <c r="I161" s="410"/>
      <c r="J161" s="142"/>
      <c r="K161" s="410"/>
      <c r="L161" s="142"/>
      <c r="M161" s="403"/>
      <c r="N161" s="198"/>
      <c r="O161" s="403"/>
      <c r="P161" s="198"/>
      <c r="Q161" s="403"/>
      <c r="R161" s="198"/>
      <c r="S161" s="403"/>
      <c r="T161" s="198"/>
      <c r="U161" s="403"/>
      <c r="V161" s="19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03"/>
      <c r="B162" s="198"/>
      <c r="C162" s="403"/>
      <c r="D162" s="198"/>
      <c r="E162" s="403"/>
      <c r="F162" s="198"/>
      <c r="G162" s="403"/>
      <c r="H162" s="198"/>
      <c r="I162" s="410"/>
      <c r="J162" s="142"/>
      <c r="K162" s="410"/>
      <c r="L162" s="142"/>
      <c r="M162" s="403"/>
      <c r="N162" s="198"/>
      <c r="O162" s="403"/>
      <c r="P162" s="198"/>
      <c r="Q162" s="403"/>
      <c r="R162" s="198"/>
      <c r="S162" s="403"/>
      <c r="T162" s="198"/>
      <c r="U162" s="403"/>
      <c r="V162" s="19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03"/>
      <c r="B163" s="198"/>
      <c r="C163" s="403"/>
      <c r="D163" s="198"/>
      <c r="E163" s="403"/>
      <c r="F163" s="198"/>
      <c r="G163" s="403"/>
      <c r="H163" s="198"/>
      <c r="I163" s="410"/>
      <c r="J163" s="142"/>
      <c r="K163" s="410"/>
      <c r="L163" s="142"/>
      <c r="M163" s="403"/>
      <c r="N163" s="198"/>
      <c r="O163" s="403"/>
      <c r="P163" s="198"/>
      <c r="Q163" s="403"/>
      <c r="R163" s="198"/>
      <c r="S163" s="403"/>
      <c r="T163" s="198"/>
      <c r="U163" s="403"/>
      <c r="V163" s="19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03"/>
      <c r="B164" s="198"/>
      <c r="C164" s="403"/>
      <c r="D164" s="198"/>
      <c r="E164" s="403"/>
      <c r="F164" s="198"/>
      <c r="G164" s="403"/>
      <c r="H164" s="198"/>
      <c r="I164" s="410"/>
      <c r="J164" s="142"/>
      <c r="K164" s="410"/>
      <c r="L164" s="142"/>
      <c r="M164" s="403"/>
      <c r="N164" s="198"/>
      <c r="O164" s="403"/>
      <c r="P164" s="198"/>
      <c r="Q164" s="403"/>
      <c r="R164" s="198"/>
      <c r="S164" s="403"/>
      <c r="T164" s="198"/>
      <c r="U164" s="403"/>
      <c r="V164" s="19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03"/>
      <c r="B165" s="198"/>
      <c r="C165" s="403"/>
      <c r="D165" s="198"/>
      <c r="E165" s="403"/>
      <c r="F165" s="198"/>
      <c r="G165" s="403"/>
      <c r="H165" s="198"/>
      <c r="I165" s="410"/>
      <c r="J165" s="142"/>
      <c r="K165" s="410"/>
      <c r="L165" s="142"/>
      <c r="M165" s="403"/>
      <c r="N165" s="198"/>
      <c r="O165" s="403"/>
      <c r="P165" s="198"/>
      <c r="Q165" s="403"/>
      <c r="R165" s="198"/>
      <c r="S165" s="403"/>
      <c r="T165" s="198"/>
      <c r="U165" s="403"/>
      <c r="V165" s="19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03"/>
      <c r="B166" s="198"/>
      <c r="C166" s="403"/>
      <c r="D166" s="198"/>
      <c r="E166" s="403"/>
      <c r="F166" s="198"/>
      <c r="G166" s="403"/>
      <c r="H166" s="198"/>
      <c r="I166" s="410"/>
      <c r="J166" s="142"/>
      <c r="K166" s="410"/>
      <c r="L166" s="142"/>
      <c r="M166" s="403"/>
      <c r="N166" s="198"/>
      <c r="O166" s="403"/>
      <c r="P166" s="198"/>
      <c r="Q166" s="403"/>
      <c r="R166" s="198"/>
      <c r="S166" s="403"/>
      <c r="T166" s="198"/>
      <c r="U166" s="403"/>
      <c r="V166" s="19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03"/>
      <c r="B167" s="198"/>
      <c r="C167" s="403"/>
      <c r="D167" s="198"/>
      <c r="E167" s="403"/>
      <c r="F167" s="198"/>
      <c r="G167" s="403"/>
      <c r="H167" s="198"/>
      <c r="I167" s="410"/>
      <c r="J167" s="142"/>
      <c r="K167" s="410"/>
      <c r="L167" s="142"/>
      <c r="M167" s="403"/>
      <c r="N167" s="198"/>
      <c r="O167" s="403"/>
      <c r="P167" s="198"/>
      <c r="Q167" s="403"/>
      <c r="R167" s="198"/>
      <c r="S167" s="403"/>
      <c r="T167" s="198"/>
      <c r="U167" s="403"/>
      <c r="V167" s="19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03"/>
      <c r="B168" s="198"/>
      <c r="C168" s="403"/>
      <c r="D168" s="198"/>
      <c r="E168" s="403"/>
      <c r="F168" s="198"/>
      <c r="G168" s="403"/>
      <c r="H168" s="198"/>
      <c r="I168" s="410"/>
      <c r="J168" s="142"/>
      <c r="K168" s="410"/>
      <c r="L168" s="142"/>
      <c r="M168" s="403"/>
      <c r="N168" s="198"/>
      <c r="O168" s="403"/>
      <c r="P168" s="198"/>
      <c r="Q168" s="403"/>
      <c r="R168" s="198"/>
      <c r="S168" s="403"/>
      <c r="T168" s="198"/>
      <c r="U168" s="403"/>
      <c r="V168" s="19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03"/>
      <c r="B169" s="198"/>
      <c r="C169" s="403"/>
      <c r="D169" s="198"/>
      <c r="E169" s="403"/>
      <c r="F169" s="198"/>
      <c r="G169" s="403"/>
      <c r="H169" s="198"/>
      <c r="I169" s="410"/>
      <c r="J169" s="142"/>
      <c r="K169" s="410"/>
      <c r="L169" s="142"/>
      <c r="M169" s="403"/>
      <c r="N169" s="198"/>
      <c r="O169" s="403"/>
      <c r="P169" s="198"/>
      <c r="Q169" s="403"/>
      <c r="R169" s="198"/>
      <c r="S169" s="403"/>
      <c r="T169" s="198"/>
      <c r="U169" s="403"/>
      <c r="V169" s="19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03"/>
      <c r="B170" s="198"/>
      <c r="C170" s="403"/>
      <c r="D170" s="198"/>
      <c r="E170" s="403"/>
      <c r="F170" s="198"/>
      <c r="G170" s="403"/>
      <c r="H170" s="198"/>
      <c r="I170" s="410"/>
      <c r="J170" s="142"/>
      <c r="K170" s="410"/>
      <c r="L170" s="142"/>
      <c r="M170" s="403"/>
      <c r="N170" s="198"/>
      <c r="O170" s="403"/>
      <c r="P170" s="198"/>
      <c r="Q170" s="403"/>
      <c r="R170" s="198"/>
      <c r="S170" s="403"/>
      <c r="T170" s="198"/>
      <c r="U170" s="403"/>
      <c r="V170" s="19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03"/>
      <c r="B171" s="198"/>
      <c r="C171" s="403"/>
      <c r="D171" s="198"/>
      <c r="E171" s="403"/>
      <c r="F171" s="198"/>
      <c r="G171" s="403"/>
      <c r="H171" s="198"/>
      <c r="I171" s="410"/>
      <c r="J171" s="142"/>
      <c r="K171" s="410"/>
      <c r="L171" s="142"/>
      <c r="M171" s="403"/>
      <c r="N171" s="198"/>
      <c r="O171" s="403"/>
      <c r="P171" s="198"/>
      <c r="Q171" s="403"/>
      <c r="R171" s="198"/>
      <c r="S171" s="403"/>
      <c r="T171" s="198"/>
      <c r="U171" s="403"/>
      <c r="V171" s="19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03"/>
      <c r="B172" s="198"/>
      <c r="C172" s="403"/>
      <c r="D172" s="198"/>
      <c r="E172" s="403"/>
      <c r="F172" s="198"/>
      <c r="G172" s="403"/>
      <c r="H172" s="198"/>
      <c r="I172" s="410"/>
      <c r="J172" s="142"/>
      <c r="K172" s="410"/>
      <c r="L172" s="142"/>
      <c r="M172" s="403"/>
      <c r="N172" s="198"/>
      <c r="O172" s="403"/>
      <c r="P172" s="198"/>
      <c r="Q172" s="403"/>
      <c r="R172" s="198"/>
      <c r="S172" s="403"/>
      <c r="T172" s="198"/>
      <c r="U172" s="403"/>
      <c r="V172" s="19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03"/>
      <c r="B173" s="198"/>
      <c r="C173" s="403"/>
      <c r="D173" s="198"/>
      <c r="E173" s="403"/>
      <c r="F173" s="198"/>
      <c r="G173" s="403"/>
      <c r="H173" s="198"/>
      <c r="I173" s="410"/>
      <c r="J173" s="142"/>
      <c r="K173" s="410"/>
      <c r="L173" s="142"/>
      <c r="M173" s="403"/>
      <c r="N173" s="198"/>
      <c r="O173" s="403"/>
      <c r="P173" s="198"/>
      <c r="Q173" s="403"/>
      <c r="R173" s="198"/>
      <c r="S173" s="403"/>
      <c r="T173" s="198"/>
      <c r="U173" s="403"/>
      <c r="V173" s="19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03"/>
      <c r="B174" s="198"/>
      <c r="C174" s="403"/>
      <c r="D174" s="198"/>
      <c r="E174" s="403"/>
      <c r="F174" s="198"/>
      <c r="G174" s="403"/>
      <c r="H174" s="198"/>
      <c r="I174" s="410"/>
      <c r="J174" s="142"/>
      <c r="K174" s="410"/>
      <c r="L174" s="142"/>
      <c r="M174" s="403"/>
      <c r="N174" s="198"/>
      <c r="O174" s="403"/>
      <c r="P174" s="198"/>
      <c r="Q174" s="403"/>
      <c r="R174" s="198"/>
      <c r="S174" s="403"/>
      <c r="T174" s="198"/>
      <c r="U174" s="403"/>
      <c r="V174" s="19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03"/>
      <c r="B175" s="198"/>
      <c r="C175" s="403"/>
      <c r="D175" s="198"/>
      <c r="E175" s="403"/>
      <c r="F175" s="198"/>
      <c r="G175" s="403"/>
      <c r="H175" s="198"/>
      <c r="I175" s="410"/>
      <c r="J175" s="142"/>
      <c r="K175" s="410"/>
      <c r="L175" s="142"/>
      <c r="M175" s="403"/>
      <c r="N175" s="198"/>
      <c r="O175" s="403"/>
      <c r="P175" s="198"/>
      <c r="Q175" s="403"/>
      <c r="R175" s="198"/>
      <c r="S175" s="403"/>
      <c r="T175" s="198"/>
      <c r="U175" s="403"/>
      <c r="V175" s="19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03"/>
      <c r="B176" s="198"/>
      <c r="C176" s="403"/>
      <c r="D176" s="198"/>
      <c r="E176" s="403"/>
      <c r="F176" s="198"/>
      <c r="G176" s="403"/>
      <c r="H176" s="198"/>
      <c r="I176" s="410"/>
      <c r="J176" s="142"/>
      <c r="K176" s="410"/>
      <c r="L176" s="142"/>
      <c r="M176" s="403"/>
      <c r="N176" s="198"/>
      <c r="O176" s="403"/>
      <c r="P176" s="198"/>
      <c r="Q176" s="403"/>
      <c r="R176" s="198"/>
      <c r="S176" s="403"/>
      <c r="T176" s="198"/>
      <c r="U176" s="403"/>
      <c r="V176" s="19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03"/>
      <c r="B177" s="198"/>
      <c r="C177" s="403"/>
      <c r="D177" s="198"/>
      <c r="E177" s="403"/>
      <c r="F177" s="198"/>
      <c r="G177" s="403"/>
      <c r="H177" s="198"/>
      <c r="I177" s="410"/>
      <c r="J177" s="142"/>
      <c r="K177" s="410"/>
      <c r="L177" s="142"/>
      <c r="M177" s="403"/>
      <c r="N177" s="198"/>
      <c r="O177" s="403"/>
      <c r="P177" s="198"/>
      <c r="Q177" s="403"/>
      <c r="R177" s="198"/>
      <c r="S177" s="403"/>
      <c r="T177" s="198"/>
      <c r="U177" s="403"/>
      <c r="V177" s="19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03"/>
      <c r="B178" s="198"/>
      <c r="C178" s="403"/>
      <c r="D178" s="198"/>
      <c r="E178" s="403"/>
      <c r="F178" s="198"/>
      <c r="G178" s="403"/>
      <c r="H178" s="198"/>
      <c r="I178" s="410"/>
      <c r="J178" s="142"/>
      <c r="K178" s="410"/>
      <c r="L178" s="142"/>
      <c r="M178" s="403"/>
      <c r="N178" s="198"/>
      <c r="O178" s="403"/>
      <c r="P178" s="198"/>
      <c r="Q178" s="403"/>
      <c r="R178" s="198"/>
      <c r="S178" s="403"/>
      <c r="T178" s="198"/>
      <c r="U178" s="403"/>
      <c r="V178" s="19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03"/>
      <c r="B179" s="198"/>
      <c r="C179" s="403"/>
      <c r="D179" s="198"/>
      <c r="E179" s="403"/>
      <c r="F179" s="198"/>
      <c r="G179" s="403"/>
      <c r="H179" s="198"/>
      <c r="I179" s="410"/>
      <c r="J179" s="142"/>
      <c r="K179" s="410"/>
      <c r="L179" s="142"/>
      <c r="M179" s="403"/>
      <c r="N179" s="198"/>
      <c r="O179" s="403"/>
      <c r="P179" s="198"/>
      <c r="Q179" s="403"/>
      <c r="R179" s="198"/>
      <c r="S179" s="403"/>
      <c r="T179" s="198"/>
      <c r="U179" s="403"/>
      <c r="V179" s="19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03"/>
      <c r="B180" s="198"/>
      <c r="C180" s="403"/>
      <c r="D180" s="198"/>
      <c r="E180" s="403"/>
      <c r="F180" s="198"/>
      <c r="G180" s="403"/>
      <c r="H180" s="198"/>
      <c r="I180" s="410"/>
      <c r="J180" s="142"/>
      <c r="K180" s="410"/>
      <c r="L180" s="142"/>
      <c r="M180" s="403"/>
      <c r="N180" s="198"/>
      <c r="O180" s="403"/>
      <c r="P180" s="198"/>
      <c r="Q180" s="403"/>
      <c r="R180" s="198"/>
      <c r="S180" s="403"/>
      <c r="T180" s="198"/>
      <c r="U180" s="403"/>
      <c r="V180" s="19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03"/>
      <c r="B181" s="198"/>
      <c r="C181" s="403"/>
      <c r="D181" s="198"/>
      <c r="E181" s="403"/>
      <c r="F181" s="198"/>
      <c r="G181" s="403"/>
      <c r="H181" s="198"/>
      <c r="I181" s="410"/>
      <c r="J181" s="142"/>
      <c r="K181" s="410"/>
      <c r="L181" s="142"/>
      <c r="M181" s="403"/>
      <c r="N181" s="198"/>
      <c r="O181" s="403"/>
      <c r="P181" s="198"/>
      <c r="Q181" s="403"/>
      <c r="R181" s="198"/>
      <c r="S181" s="403"/>
      <c r="T181" s="198"/>
      <c r="U181" s="403"/>
      <c r="V181" s="19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03"/>
      <c r="B182" s="198"/>
      <c r="C182" s="403"/>
      <c r="D182" s="198"/>
      <c r="E182" s="403"/>
      <c r="F182" s="198"/>
      <c r="G182" s="403"/>
      <c r="H182" s="198"/>
      <c r="I182" s="410"/>
      <c r="J182" s="142"/>
      <c r="K182" s="410"/>
      <c r="L182" s="142"/>
      <c r="M182" s="403"/>
      <c r="N182" s="198"/>
      <c r="O182" s="403"/>
      <c r="P182" s="198"/>
      <c r="Q182" s="403"/>
      <c r="R182" s="198"/>
      <c r="S182" s="403"/>
      <c r="T182" s="198"/>
      <c r="U182" s="403"/>
      <c r="V182" s="19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03"/>
      <c r="B183" s="198"/>
      <c r="C183" s="403"/>
      <c r="D183" s="198"/>
      <c r="E183" s="403"/>
      <c r="F183" s="198"/>
      <c r="G183" s="403"/>
      <c r="H183" s="198"/>
      <c r="I183" s="410"/>
      <c r="J183" s="142"/>
      <c r="K183" s="410"/>
      <c r="L183" s="142"/>
      <c r="M183" s="403"/>
      <c r="N183" s="198"/>
      <c r="O183" s="403"/>
      <c r="P183" s="198"/>
      <c r="Q183" s="403"/>
      <c r="R183" s="198"/>
      <c r="S183" s="403"/>
      <c r="T183" s="198"/>
      <c r="U183" s="403"/>
      <c r="V183" s="19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03"/>
      <c r="B184" s="198"/>
      <c r="C184" s="403"/>
      <c r="D184" s="198"/>
      <c r="E184" s="403"/>
      <c r="F184" s="198"/>
      <c r="G184" s="403"/>
      <c r="H184" s="198"/>
      <c r="I184" s="410"/>
      <c r="J184" s="142"/>
      <c r="K184" s="410"/>
      <c r="L184" s="142"/>
      <c r="M184" s="403"/>
      <c r="N184" s="198"/>
      <c r="O184" s="403"/>
      <c r="P184" s="198"/>
      <c r="Q184" s="403"/>
      <c r="R184" s="198"/>
      <c r="S184" s="403"/>
      <c r="T184" s="198"/>
      <c r="U184" s="403"/>
      <c r="V184" s="19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03"/>
      <c r="B185" s="198"/>
      <c r="C185" s="403"/>
      <c r="D185" s="198"/>
      <c r="E185" s="403"/>
      <c r="F185" s="198"/>
      <c r="G185" s="403"/>
      <c r="H185" s="198"/>
      <c r="I185" s="410"/>
      <c r="J185" s="142"/>
      <c r="K185" s="410"/>
      <c r="L185" s="142"/>
      <c r="M185" s="403"/>
      <c r="N185" s="198"/>
      <c r="O185" s="403"/>
      <c r="P185" s="198"/>
      <c r="Q185" s="403"/>
      <c r="R185" s="198"/>
      <c r="S185" s="403"/>
      <c r="T185" s="198"/>
      <c r="U185" s="403"/>
      <c r="V185" s="19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03"/>
      <c r="B186" s="198"/>
      <c r="C186" s="403"/>
      <c r="D186" s="198"/>
      <c r="E186" s="403"/>
      <c r="F186" s="198"/>
      <c r="G186" s="403"/>
      <c r="H186" s="198"/>
      <c r="I186" s="410"/>
      <c r="J186" s="142"/>
      <c r="K186" s="410"/>
      <c r="L186" s="142"/>
      <c r="M186" s="403"/>
      <c r="N186" s="198"/>
      <c r="O186" s="403"/>
      <c r="P186" s="198"/>
      <c r="Q186" s="403"/>
      <c r="R186" s="198"/>
      <c r="S186" s="403"/>
      <c r="T186" s="198"/>
      <c r="U186" s="403"/>
      <c r="V186" s="19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03"/>
      <c r="B187" s="198"/>
      <c r="C187" s="403"/>
      <c r="D187" s="198"/>
      <c r="E187" s="403"/>
      <c r="F187" s="198"/>
      <c r="G187" s="403"/>
      <c r="H187" s="198"/>
      <c r="I187" s="410"/>
      <c r="J187" s="142"/>
      <c r="K187" s="410"/>
      <c r="L187" s="142"/>
      <c r="M187" s="403"/>
      <c r="N187" s="198"/>
      <c r="O187" s="403"/>
      <c r="P187" s="198"/>
      <c r="Q187" s="403"/>
      <c r="R187" s="198"/>
      <c r="S187" s="403"/>
      <c r="T187" s="198"/>
      <c r="U187" s="403"/>
      <c r="V187" s="19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03"/>
      <c r="B188" s="198"/>
      <c r="C188" s="403"/>
      <c r="D188" s="198"/>
      <c r="E188" s="403"/>
      <c r="F188" s="198"/>
      <c r="G188" s="403"/>
      <c r="H188" s="198"/>
      <c r="I188" s="410"/>
      <c r="J188" s="142"/>
      <c r="K188" s="410"/>
      <c r="L188" s="142"/>
      <c r="M188" s="403"/>
      <c r="N188" s="198"/>
      <c r="O188" s="403"/>
      <c r="P188" s="198"/>
      <c r="Q188" s="403"/>
      <c r="R188" s="198"/>
      <c r="S188" s="403"/>
      <c r="T188" s="198"/>
      <c r="U188" s="403"/>
      <c r="V188" s="19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03"/>
      <c r="B189" s="198"/>
      <c r="C189" s="403"/>
      <c r="D189" s="198"/>
      <c r="E189" s="403"/>
      <c r="F189" s="198"/>
      <c r="G189" s="403"/>
      <c r="H189" s="198"/>
      <c r="I189" s="410"/>
      <c r="J189" s="142"/>
      <c r="K189" s="410"/>
      <c r="L189" s="142"/>
      <c r="M189" s="403"/>
      <c r="N189" s="198"/>
      <c r="O189" s="403"/>
      <c r="P189" s="198"/>
      <c r="Q189" s="403"/>
      <c r="R189" s="198"/>
      <c r="S189" s="403"/>
      <c r="T189" s="198"/>
      <c r="U189" s="403"/>
      <c r="V189" s="19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03"/>
      <c r="B190" s="198"/>
      <c r="C190" s="403"/>
      <c r="D190" s="198"/>
      <c r="E190" s="403"/>
      <c r="F190" s="198"/>
      <c r="G190" s="403"/>
      <c r="H190" s="198"/>
      <c r="I190" s="410"/>
      <c r="J190" s="142"/>
      <c r="K190" s="410"/>
      <c r="L190" s="142"/>
      <c r="M190" s="403"/>
      <c r="N190" s="198"/>
      <c r="O190" s="403"/>
      <c r="P190" s="198"/>
      <c r="Q190" s="403"/>
      <c r="R190" s="198"/>
      <c r="S190" s="403"/>
      <c r="T190" s="198"/>
      <c r="U190" s="403"/>
      <c r="V190" s="19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03"/>
      <c r="B191" s="198"/>
      <c r="C191" s="403"/>
      <c r="D191" s="198"/>
      <c r="E191" s="403"/>
      <c r="F191" s="198"/>
      <c r="G191" s="403"/>
      <c r="H191" s="198"/>
      <c r="I191" s="410"/>
      <c r="J191" s="142"/>
      <c r="K191" s="410"/>
      <c r="L191" s="142"/>
      <c r="M191" s="403"/>
      <c r="N191" s="198"/>
      <c r="O191" s="403"/>
      <c r="P191" s="198"/>
      <c r="Q191" s="403"/>
      <c r="R191" s="198"/>
      <c r="S191" s="403"/>
      <c r="T191" s="198"/>
      <c r="U191" s="403"/>
      <c r="V191" s="19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03"/>
      <c r="B192" s="198"/>
      <c r="C192" s="403"/>
      <c r="D192" s="198"/>
      <c r="E192" s="403"/>
      <c r="F192" s="198"/>
      <c r="G192" s="403"/>
      <c r="H192" s="198"/>
      <c r="I192" s="410"/>
      <c r="J192" s="142"/>
      <c r="K192" s="410"/>
      <c r="L192" s="142"/>
      <c r="M192" s="403"/>
      <c r="N192" s="198"/>
      <c r="O192" s="403"/>
      <c r="P192" s="198"/>
      <c r="Q192" s="403"/>
      <c r="R192" s="198"/>
      <c r="S192" s="403"/>
      <c r="T192" s="198"/>
      <c r="U192" s="403"/>
      <c r="V192" s="19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03"/>
      <c r="B193" s="198"/>
      <c r="C193" s="403"/>
      <c r="D193" s="198"/>
      <c r="E193" s="403"/>
      <c r="F193" s="198"/>
      <c r="G193" s="403"/>
      <c r="H193" s="198"/>
      <c r="I193" s="410"/>
      <c r="J193" s="142"/>
      <c r="K193" s="410"/>
      <c r="L193" s="142"/>
      <c r="M193" s="403"/>
      <c r="N193" s="198"/>
      <c r="O193" s="403"/>
      <c r="P193" s="198"/>
      <c r="Q193" s="403"/>
      <c r="R193" s="198"/>
      <c r="S193" s="403"/>
      <c r="T193" s="198"/>
      <c r="U193" s="403"/>
      <c r="V193" s="19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03"/>
      <c r="B194" s="198"/>
      <c r="C194" s="403"/>
      <c r="D194" s="198"/>
      <c r="E194" s="403"/>
      <c r="F194" s="198"/>
      <c r="G194" s="403"/>
      <c r="H194" s="198"/>
      <c r="I194" s="410"/>
      <c r="J194" s="142"/>
      <c r="K194" s="410"/>
      <c r="L194" s="142"/>
      <c r="M194" s="403"/>
      <c r="N194" s="198"/>
      <c r="O194" s="403"/>
      <c r="P194" s="198"/>
      <c r="Q194" s="403"/>
      <c r="R194" s="198"/>
      <c r="S194" s="403"/>
      <c r="T194" s="198"/>
      <c r="U194" s="403"/>
      <c r="V194" s="19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03"/>
      <c r="B195" s="198"/>
      <c r="C195" s="403"/>
      <c r="D195" s="198"/>
      <c r="E195" s="403"/>
      <c r="F195" s="198"/>
      <c r="G195" s="403"/>
      <c r="H195" s="198"/>
      <c r="I195" s="410"/>
      <c r="J195" s="142"/>
      <c r="K195" s="410"/>
      <c r="L195" s="142"/>
      <c r="M195" s="403"/>
      <c r="N195" s="198"/>
      <c r="O195" s="403"/>
      <c r="P195" s="198"/>
      <c r="Q195" s="403"/>
      <c r="R195" s="198"/>
      <c r="S195" s="403"/>
      <c r="T195" s="198"/>
      <c r="U195" s="403"/>
      <c r="V195" s="19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03"/>
      <c r="B196" s="198"/>
      <c r="C196" s="403"/>
      <c r="D196" s="198"/>
      <c r="E196" s="403"/>
      <c r="F196" s="198"/>
      <c r="G196" s="403"/>
      <c r="H196" s="198"/>
      <c r="I196" s="410"/>
      <c r="J196" s="142"/>
      <c r="K196" s="410"/>
      <c r="L196" s="142"/>
      <c r="M196" s="403"/>
      <c r="N196" s="198"/>
      <c r="O196" s="403"/>
      <c r="P196" s="198"/>
      <c r="Q196" s="403"/>
      <c r="R196" s="198"/>
      <c r="S196" s="403"/>
      <c r="T196" s="198"/>
      <c r="U196" s="403"/>
      <c r="V196" s="19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03"/>
      <c r="B197" s="198"/>
      <c r="C197" s="403"/>
      <c r="D197" s="198"/>
      <c r="E197" s="403"/>
      <c r="F197" s="198"/>
      <c r="G197" s="403"/>
      <c r="H197" s="198"/>
      <c r="I197" s="410"/>
      <c r="J197" s="142"/>
      <c r="K197" s="410"/>
      <c r="L197" s="142"/>
      <c r="M197" s="403"/>
      <c r="N197" s="198"/>
      <c r="O197" s="403"/>
      <c r="P197" s="198"/>
      <c r="Q197" s="403"/>
      <c r="R197" s="198"/>
      <c r="S197" s="403"/>
      <c r="T197" s="198"/>
      <c r="U197" s="403"/>
      <c r="V197" s="19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03"/>
      <c r="B198" s="198"/>
      <c r="C198" s="403"/>
      <c r="D198" s="198"/>
      <c r="E198" s="403"/>
      <c r="F198" s="198"/>
      <c r="G198" s="403"/>
      <c r="H198" s="198"/>
      <c r="I198" s="410"/>
      <c r="J198" s="142"/>
      <c r="K198" s="410"/>
      <c r="L198" s="142"/>
      <c r="M198" s="403"/>
      <c r="N198" s="198"/>
      <c r="O198" s="403"/>
      <c r="P198" s="198"/>
      <c r="Q198" s="403"/>
      <c r="R198" s="198"/>
      <c r="S198" s="403"/>
      <c r="T198" s="198"/>
      <c r="U198" s="403"/>
      <c r="V198" s="19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03"/>
      <c r="B199" s="198"/>
      <c r="C199" s="403"/>
      <c r="D199" s="198"/>
      <c r="E199" s="403"/>
      <c r="F199" s="198"/>
      <c r="G199" s="403"/>
      <c r="H199" s="198"/>
      <c r="I199" s="410"/>
      <c r="J199" s="142"/>
      <c r="K199" s="410"/>
      <c r="L199" s="142"/>
      <c r="M199" s="403"/>
      <c r="N199" s="198"/>
      <c r="O199" s="403"/>
      <c r="P199" s="198"/>
      <c r="Q199" s="403"/>
      <c r="R199" s="198"/>
      <c r="S199" s="403"/>
      <c r="T199" s="198"/>
      <c r="U199" s="403"/>
      <c r="V199" s="19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03"/>
      <c r="B200" s="198"/>
      <c r="C200" s="403"/>
      <c r="D200" s="198"/>
      <c r="E200" s="403"/>
      <c r="F200" s="198"/>
      <c r="G200" s="403"/>
      <c r="H200" s="198"/>
      <c r="I200" s="410"/>
      <c r="J200" s="142"/>
      <c r="K200" s="410"/>
      <c r="L200" s="142"/>
      <c r="M200" s="403"/>
      <c r="N200" s="198"/>
      <c r="O200" s="403"/>
      <c r="P200" s="198"/>
      <c r="Q200" s="403"/>
      <c r="R200" s="198"/>
      <c r="S200" s="403"/>
      <c r="T200" s="198"/>
      <c r="U200" s="403"/>
      <c r="V200" s="19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03"/>
      <c r="B201" s="198"/>
      <c r="C201" s="403"/>
      <c r="D201" s="198"/>
      <c r="E201" s="403"/>
      <c r="F201" s="198"/>
      <c r="G201" s="403"/>
      <c r="H201" s="198"/>
      <c r="I201" s="410"/>
      <c r="J201" s="142"/>
      <c r="K201" s="410"/>
      <c r="L201" s="142"/>
      <c r="M201" s="403"/>
      <c r="N201" s="198"/>
      <c r="O201" s="403"/>
      <c r="P201" s="198"/>
      <c r="Q201" s="403"/>
      <c r="R201" s="198"/>
      <c r="S201" s="403"/>
      <c r="T201" s="198"/>
      <c r="U201" s="403"/>
      <c r="V201" s="19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03"/>
      <c r="B202" s="198"/>
      <c r="C202" s="403"/>
      <c r="D202" s="198"/>
      <c r="E202" s="403"/>
      <c r="F202" s="198"/>
      <c r="G202" s="403"/>
      <c r="H202" s="198"/>
      <c r="I202" s="410"/>
      <c r="J202" s="142"/>
      <c r="K202" s="410"/>
      <c r="L202" s="142"/>
      <c r="M202" s="403"/>
      <c r="N202" s="198"/>
      <c r="O202" s="403"/>
      <c r="P202" s="198"/>
      <c r="Q202" s="403"/>
      <c r="R202" s="198"/>
      <c r="S202" s="403"/>
      <c r="T202" s="198"/>
      <c r="U202" s="403"/>
      <c r="V202" s="19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03"/>
      <c r="B203" s="198"/>
      <c r="C203" s="403"/>
      <c r="D203" s="198"/>
      <c r="E203" s="403"/>
      <c r="F203" s="198"/>
      <c r="G203" s="403"/>
      <c r="H203" s="198"/>
      <c r="I203" s="410"/>
      <c r="J203" s="142"/>
      <c r="K203" s="410"/>
      <c r="L203" s="142"/>
      <c r="M203" s="403"/>
      <c r="N203" s="198"/>
      <c r="O203" s="403"/>
      <c r="P203" s="198"/>
      <c r="Q203" s="403"/>
      <c r="R203" s="198"/>
      <c r="S203" s="403"/>
      <c r="T203" s="198"/>
      <c r="U203" s="403"/>
      <c r="V203" s="19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03"/>
      <c r="B204" s="198"/>
      <c r="C204" s="403"/>
      <c r="D204" s="198"/>
      <c r="E204" s="403"/>
      <c r="F204" s="198"/>
      <c r="G204" s="403"/>
      <c r="H204" s="198"/>
      <c r="I204" s="410"/>
      <c r="J204" s="142"/>
      <c r="K204" s="410"/>
      <c r="L204" s="142"/>
      <c r="M204" s="403"/>
      <c r="N204" s="198"/>
      <c r="O204" s="403"/>
      <c r="P204" s="198"/>
      <c r="Q204" s="403"/>
      <c r="R204" s="198"/>
      <c r="S204" s="403"/>
      <c r="T204" s="198"/>
      <c r="U204" s="403"/>
      <c r="V204" s="19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03"/>
      <c r="B205" s="198"/>
      <c r="C205" s="403"/>
      <c r="D205" s="198"/>
      <c r="E205" s="403"/>
      <c r="F205" s="198"/>
      <c r="G205" s="403"/>
      <c r="H205" s="198"/>
      <c r="I205" s="410"/>
      <c r="J205" s="142"/>
      <c r="K205" s="410"/>
      <c r="L205" s="142"/>
      <c r="M205" s="403"/>
      <c r="N205" s="198"/>
      <c r="O205" s="403"/>
      <c r="P205" s="198"/>
      <c r="Q205" s="403"/>
      <c r="R205" s="198"/>
      <c r="S205" s="403"/>
      <c r="T205" s="198"/>
      <c r="U205" s="403"/>
      <c r="V205" s="19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03"/>
      <c r="B206" s="198"/>
      <c r="C206" s="403"/>
      <c r="D206" s="198"/>
      <c r="E206" s="403"/>
      <c r="F206" s="198"/>
      <c r="G206" s="403"/>
      <c r="H206" s="198"/>
      <c r="I206" s="410"/>
      <c r="J206" s="142"/>
      <c r="K206" s="410"/>
      <c r="L206" s="142"/>
      <c r="M206" s="403"/>
      <c r="N206" s="198"/>
      <c r="O206" s="403"/>
      <c r="P206" s="198"/>
      <c r="Q206" s="403"/>
      <c r="R206" s="198"/>
      <c r="S206" s="403"/>
      <c r="T206" s="198"/>
      <c r="U206" s="403"/>
      <c r="V206" s="19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03"/>
      <c r="B207" s="198"/>
      <c r="C207" s="403"/>
      <c r="D207" s="198"/>
      <c r="E207" s="403"/>
      <c r="F207" s="198"/>
      <c r="G207" s="403"/>
      <c r="H207" s="198"/>
      <c r="I207" s="410"/>
      <c r="J207" s="142"/>
      <c r="K207" s="410"/>
      <c r="L207" s="142"/>
      <c r="M207" s="403"/>
      <c r="N207" s="198"/>
      <c r="O207" s="403"/>
      <c r="P207" s="198"/>
      <c r="Q207" s="403"/>
      <c r="R207" s="198"/>
      <c r="S207" s="403"/>
      <c r="T207" s="198"/>
      <c r="U207" s="403"/>
      <c r="V207" s="19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03"/>
      <c r="B208" s="198"/>
      <c r="C208" s="403"/>
      <c r="D208" s="198"/>
      <c r="E208" s="403"/>
      <c r="F208" s="198"/>
      <c r="G208" s="403"/>
      <c r="H208" s="198"/>
      <c r="I208" s="410"/>
      <c r="J208" s="142"/>
      <c r="K208" s="410"/>
      <c r="L208" s="142"/>
      <c r="M208" s="403"/>
      <c r="N208" s="198"/>
      <c r="O208" s="403"/>
      <c r="P208" s="198"/>
      <c r="Q208" s="403"/>
      <c r="R208" s="198"/>
      <c r="S208" s="403"/>
      <c r="T208" s="198"/>
      <c r="U208" s="403"/>
      <c r="V208" s="19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03"/>
      <c r="B209" s="198"/>
      <c r="C209" s="403"/>
      <c r="D209" s="198"/>
      <c r="E209" s="403"/>
      <c r="F209" s="198"/>
      <c r="G209" s="403"/>
      <c r="H209" s="198"/>
      <c r="I209" s="410"/>
      <c r="J209" s="142"/>
      <c r="K209" s="410"/>
      <c r="L209" s="142"/>
      <c r="M209" s="403"/>
      <c r="N209" s="198"/>
      <c r="O209" s="403"/>
      <c r="P209" s="198"/>
      <c r="Q209" s="403"/>
      <c r="R209" s="198"/>
      <c r="S209" s="403"/>
      <c r="T209" s="198"/>
      <c r="U209" s="403"/>
      <c r="V209" s="19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03"/>
      <c r="B210" s="198"/>
      <c r="C210" s="403"/>
      <c r="D210" s="198"/>
      <c r="E210" s="403"/>
      <c r="F210" s="198"/>
      <c r="G210" s="403"/>
      <c r="H210" s="198"/>
      <c r="I210" s="410"/>
      <c r="J210" s="142"/>
      <c r="K210" s="410"/>
      <c r="L210" s="142"/>
      <c r="M210" s="403"/>
      <c r="N210" s="198"/>
      <c r="O210" s="403"/>
      <c r="P210" s="198"/>
      <c r="Q210" s="403"/>
      <c r="R210" s="198"/>
      <c r="S210" s="403"/>
      <c r="T210" s="198"/>
      <c r="U210" s="403"/>
      <c r="V210" s="19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03"/>
      <c r="B211" s="198"/>
      <c r="C211" s="403"/>
      <c r="D211" s="198"/>
      <c r="E211" s="403"/>
      <c r="F211" s="198"/>
      <c r="G211" s="403"/>
      <c r="H211" s="198"/>
      <c r="I211" s="410"/>
      <c r="J211" s="142"/>
      <c r="K211" s="410"/>
      <c r="L211" s="142"/>
      <c r="M211" s="403"/>
      <c r="N211" s="198"/>
      <c r="O211" s="403"/>
      <c r="P211" s="198"/>
      <c r="Q211" s="403"/>
      <c r="R211" s="198"/>
      <c r="S211" s="403"/>
      <c r="T211" s="198"/>
      <c r="U211" s="403"/>
      <c r="V211" s="19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03"/>
      <c r="B212" s="198"/>
      <c r="C212" s="403"/>
      <c r="D212" s="198"/>
      <c r="E212" s="403"/>
      <c r="F212" s="198"/>
      <c r="G212" s="403"/>
      <c r="H212" s="198"/>
      <c r="I212" s="410"/>
      <c r="J212" s="142"/>
      <c r="K212" s="410"/>
      <c r="L212" s="142"/>
      <c r="M212" s="403"/>
      <c r="N212" s="198"/>
      <c r="O212" s="403"/>
      <c r="P212" s="198"/>
      <c r="Q212" s="403"/>
      <c r="R212" s="198"/>
      <c r="S212" s="403"/>
      <c r="T212" s="198"/>
      <c r="U212" s="403"/>
      <c r="V212" s="19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03"/>
      <c r="B213" s="198"/>
      <c r="C213" s="403"/>
      <c r="D213" s="198"/>
      <c r="E213" s="403"/>
      <c r="F213" s="198"/>
      <c r="G213" s="403"/>
      <c r="H213" s="198"/>
      <c r="I213" s="410"/>
      <c r="J213" s="142"/>
      <c r="K213" s="410"/>
      <c r="L213" s="142"/>
      <c r="M213" s="403"/>
      <c r="N213" s="198"/>
      <c r="O213" s="403"/>
      <c r="P213" s="198"/>
      <c r="Q213" s="403"/>
      <c r="R213" s="198"/>
      <c r="S213" s="403"/>
      <c r="T213" s="198"/>
      <c r="U213" s="403"/>
      <c r="V213" s="19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03"/>
      <c r="B214" s="198"/>
      <c r="C214" s="403"/>
      <c r="D214" s="198"/>
      <c r="E214" s="403"/>
      <c r="F214" s="198"/>
      <c r="G214" s="403"/>
      <c r="H214" s="198"/>
      <c r="I214" s="410"/>
      <c r="J214" s="142"/>
      <c r="K214" s="410"/>
      <c r="L214" s="142"/>
      <c r="M214" s="403"/>
      <c r="N214" s="198"/>
      <c r="O214" s="403"/>
      <c r="P214" s="198"/>
      <c r="Q214" s="403"/>
      <c r="R214" s="198"/>
      <c r="S214" s="403"/>
      <c r="T214" s="198"/>
      <c r="U214" s="403"/>
      <c r="V214" s="19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03"/>
      <c r="B215" s="198"/>
      <c r="C215" s="403"/>
      <c r="D215" s="198"/>
      <c r="E215" s="403"/>
      <c r="F215" s="198"/>
      <c r="G215" s="403"/>
      <c r="H215" s="198"/>
      <c r="I215" s="410"/>
      <c r="J215" s="142"/>
      <c r="K215" s="410"/>
      <c r="L215" s="142"/>
      <c r="M215" s="403"/>
      <c r="N215" s="198"/>
      <c r="O215" s="403"/>
      <c r="P215" s="198"/>
      <c r="Q215" s="403"/>
      <c r="R215" s="198"/>
      <c r="S215" s="403"/>
      <c r="T215" s="198"/>
      <c r="U215" s="403"/>
      <c r="V215" s="19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03"/>
      <c r="B216" s="198"/>
      <c r="C216" s="403"/>
      <c r="D216" s="198"/>
      <c r="E216" s="403"/>
      <c r="F216" s="198"/>
      <c r="G216" s="403"/>
      <c r="H216" s="198"/>
      <c r="I216" s="410"/>
      <c r="J216" s="142"/>
      <c r="K216" s="410"/>
      <c r="L216" s="142"/>
      <c r="M216" s="403"/>
      <c r="N216" s="198"/>
      <c r="O216" s="403"/>
      <c r="P216" s="198"/>
      <c r="Q216" s="403"/>
      <c r="R216" s="198"/>
      <c r="S216" s="403"/>
      <c r="T216" s="198"/>
      <c r="U216" s="403"/>
      <c r="V216" s="19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03"/>
      <c r="B217" s="198"/>
      <c r="C217" s="403"/>
      <c r="D217" s="198"/>
      <c r="E217" s="403"/>
      <c r="F217" s="198"/>
      <c r="G217" s="403"/>
      <c r="H217" s="198"/>
      <c r="I217" s="410"/>
      <c r="J217" s="142"/>
      <c r="K217" s="410"/>
      <c r="L217" s="142"/>
      <c r="M217" s="403"/>
      <c r="N217" s="198"/>
      <c r="O217" s="403"/>
      <c r="P217" s="198"/>
      <c r="Q217" s="403"/>
      <c r="R217" s="198"/>
      <c r="S217" s="403"/>
      <c r="T217" s="198"/>
      <c r="U217" s="403"/>
      <c r="V217" s="19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03"/>
      <c r="B218" s="198"/>
      <c r="C218" s="403"/>
      <c r="D218" s="198"/>
      <c r="E218" s="403"/>
      <c r="F218" s="198"/>
      <c r="G218" s="403"/>
      <c r="H218" s="198"/>
      <c r="I218" s="410"/>
      <c r="J218" s="142"/>
      <c r="K218" s="410"/>
      <c r="L218" s="142"/>
      <c r="M218" s="403"/>
      <c r="N218" s="198"/>
      <c r="O218" s="403"/>
      <c r="P218" s="198"/>
      <c r="Q218" s="403"/>
      <c r="R218" s="198"/>
      <c r="S218" s="403"/>
      <c r="T218" s="198"/>
      <c r="U218" s="403"/>
      <c r="V218" s="19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03"/>
      <c r="B219" s="198"/>
      <c r="C219" s="403"/>
      <c r="D219" s="198"/>
      <c r="E219" s="403"/>
      <c r="F219" s="198"/>
      <c r="G219" s="403"/>
      <c r="H219" s="198"/>
      <c r="I219" s="410"/>
      <c r="J219" s="142"/>
      <c r="K219" s="410"/>
      <c r="L219" s="142"/>
      <c r="M219" s="403"/>
      <c r="N219" s="198"/>
      <c r="O219" s="403"/>
      <c r="P219" s="198"/>
      <c r="Q219" s="403"/>
      <c r="R219" s="198"/>
      <c r="S219" s="403"/>
      <c r="T219" s="198"/>
      <c r="U219" s="403"/>
      <c r="V219" s="19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03"/>
      <c r="B220" s="198"/>
      <c r="C220" s="403"/>
      <c r="D220" s="198"/>
      <c r="E220" s="403"/>
      <c r="F220" s="198"/>
      <c r="G220" s="403"/>
      <c r="H220" s="198"/>
      <c r="I220" s="410"/>
      <c r="J220" s="142"/>
      <c r="K220" s="410"/>
      <c r="L220" s="142"/>
      <c r="M220" s="403"/>
      <c r="N220" s="198"/>
      <c r="O220" s="403"/>
      <c r="P220" s="198"/>
      <c r="Q220" s="403"/>
      <c r="R220" s="198"/>
      <c r="S220" s="403"/>
      <c r="T220" s="198"/>
      <c r="U220" s="403"/>
      <c r="V220" s="19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03"/>
      <c r="B221" s="198"/>
      <c r="C221" s="403"/>
      <c r="D221" s="198"/>
      <c r="E221" s="403"/>
      <c r="F221" s="198"/>
      <c r="G221" s="403"/>
      <c r="H221" s="198"/>
      <c r="I221" s="410"/>
      <c r="J221" s="142"/>
      <c r="K221" s="410"/>
      <c r="L221" s="142"/>
      <c r="M221" s="403"/>
      <c r="N221" s="198"/>
      <c r="O221" s="403"/>
      <c r="P221" s="198"/>
      <c r="Q221" s="403"/>
      <c r="R221" s="198"/>
      <c r="S221" s="403"/>
      <c r="T221" s="198"/>
      <c r="U221" s="403"/>
      <c r="V221" s="19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03"/>
      <c r="B222" s="198"/>
      <c r="C222" s="403"/>
      <c r="D222" s="198"/>
      <c r="E222" s="403"/>
      <c r="F222" s="198"/>
      <c r="G222" s="403"/>
      <c r="H222" s="198"/>
      <c r="I222" s="410"/>
      <c r="J222" s="142"/>
      <c r="K222" s="410"/>
      <c r="L222" s="142"/>
      <c r="M222" s="403"/>
      <c r="N222" s="198"/>
      <c r="O222" s="403"/>
      <c r="P222" s="198"/>
      <c r="Q222" s="403"/>
      <c r="R222" s="198"/>
      <c r="S222" s="403"/>
      <c r="T222" s="198"/>
      <c r="U222" s="403"/>
      <c r="V222" s="19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03"/>
      <c r="B223" s="198"/>
      <c r="C223" s="403"/>
      <c r="D223" s="198"/>
      <c r="E223" s="403"/>
      <c r="F223" s="198"/>
      <c r="G223" s="403"/>
      <c r="H223" s="198"/>
      <c r="I223" s="410"/>
      <c r="J223" s="142"/>
      <c r="K223" s="410"/>
      <c r="L223" s="142"/>
      <c r="M223" s="403"/>
      <c r="N223" s="198"/>
      <c r="O223" s="403"/>
      <c r="P223" s="198"/>
      <c r="Q223" s="403"/>
      <c r="R223" s="198"/>
      <c r="S223" s="403"/>
      <c r="T223" s="198"/>
      <c r="U223" s="403"/>
      <c r="V223" s="19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03"/>
      <c r="B224" s="198"/>
      <c r="C224" s="403"/>
      <c r="D224" s="198"/>
      <c r="E224" s="403"/>
      <c r="F224" s="198"/>
      <c r="G224" s="403"/>
      <c r="H224" s="198"/>
      <c r="I224" s="410"/>
      <c r="J224" s="142"/>
      <c r="K224" s="410"/>
      <c r="L224" s="142"/>
      <c r="M224" s="403"/>
      <c r="N224" s="198"/>
      <c r="O224" s="403"/>
      <c r="P224" s="198"/>
      <c r="Q224" s="403"/>
      <c r="R224" s="198"/>
      <c r="S224" s="403"/>
      <c r="T224" s="198"/>
      <c r="U224" s="403"/>
      <c r="V224" s="19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03"/>
      <c r="B225" s="198"/>
      <c r="C225" s="403"/>
      <c r="D225" s="198"/>
      <c r="E225" s="403"/>
      <c r="F225" s="198"/>
      <c r="G225" s="403"/>
      <c r="H225" s="198"/>
      <c r="I225" s="410"/>
      <c r="J225" s="142"/>
      <c r="K225" s="410"/>
      <c r="L225" s="142"/>
      <c r="M225" s="403"/>
      <c r="N225" s="198"/>
      <c r="O225" s="403"/>
      <c r="P225" s="198"/>
      <c r="Q225" s="403"/>
      <c r="R225" s="198"/>
      <c r="S225" s="403"/>
      <c r="T225" s="198"/>
      <c r="U225" s="403"/>
      <c r="V225" s="19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03"/>
      <c r="B226" s="198"/>
      <c r="C226" s="403"/>
      <c r="D226" s="198"/>
      <c r="E226" s="403"/>
      <c r="F226" s="198"/>
      <c r="G226" s="403"/>
      <c r="H226" s="198"/>
      <c r="I226" s="410"/>
      <c r="J226" s="142"/>
      <c r="K226" s="410"/>
      <c r="L226" s="142"/>
      <c r="M226" s="403"/>
      <c r="N226" s="198"/>
      <c r="O226" s="403"/>
      <c r="P226" s="198"/>
      <c r="Q226" s="403"/>
      <c r="R226" s="198"/>
      <c r="S226" s="403"/>
      <c r="T226" s="198"/>
      <c r="U226" s="403"/>
      <c r="V226" s="19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03"/>
      <c r="B227" s="198"/>
      <c r="C227" s="403"/>
      <c r="D227" s="198"/>
      <c r="E227" s="403"/>
      <c r="F227" s="198"/>
      <c r="G227" s="403"/>
      <c r="H227" s="198"/>
      <c r="I227" s="410"/>
      <c r="J227" s="142"/>
      <c r="K227" s="410"/>
      <c r="L227" s="142"/>
      <c r="M227" s="403"/>
      <c r="N227" s="198"/>
      <c r="O227" s="403"/>
      <c r="P227" s="198"/>
      <c r="Q227" s="403"/>
      <c r="R227" s="198"/>
      <c r="S227" s="403"/>
      <c r="T227" s="198"/>
      <c r="U227" s="403"/>
      <c r="V227" s="19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03"/>
      <c r="B228" s="198"/>
      <c r="C228" s="403"/>
      <c r="D228" s="198"/>
      <c r="E228" s="403"/>
      <c r="F228" s="198"/>
      <c r="G228" s="403"/>
      <c r="H228" s="198"/>
      <c r="I228" s="410"/>
      <c r="J228" s="142"/>
      <c r="K228" s="410"/>
      <c r="L228" s="142"/>
      <c r="M228" s="403"/>
      <c r="N228" s="198"/>
      <c r="O228" s="403"/>
      <c r="P228" s="198"/>
      <c r="Q228" s="403"/>
      <c r="R228" s="198"/>
      <c r="S228" s="403"/>
      <c r="T228" s="198"/>
      <c r="U228" s="403"/>
      <c r="V228" s="19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03"/>
      <c r="B229" s="198"/>
      <c r="C229" s="403"/>
      <c r="D229" s="198"/>
      <c r="E229" s="403"/>
      <c r="F229" s="198"/>
      <c r="G229" s="403"/>
      <c r="H229" s="198"/>
      <c r="I229" s="410"/>
      <c r="J229" s="142"/>
      <c r="K229" s="410"/>
      <c r="L229" s="142"/>
      <c r="M229" s="403"/>
      <c r="N229" s="198"/>
      <c r="O229" s="403"/>
      <c r="P229" s="198"/>
      <c r="Q229" s="403"/>
      <c r="R229" s="198"/>
      <c r="S229" s="403"/>
      <c r="T229" s="198"/>
      <c r="U229" s="403"/>
      <c r="V229" s="19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03"/>
      <c r="B230" s="198"/>
      <c r="C230" s="403"/>
      <c r="D230" s="198"/>
      <c r="E230" s="403"/>
      <c r="F230" s="198"/>
      <c r="G230" s="403"/>
      <c r="H230" s="198"/>
      <c r="I230" s="410"/>
      <c r="J230" s="142"/>
      <c r="K230" s="410"/>
      <c r="L230" s="142"/>
      <c r="M230" s="403"/>
      <c r="N230" s="198"/>
      <c r="O230" s="403"/>
      <c r="P230" s="198"/>
      <c r="Q230" s="403"/>
      <c r="R230" s="198"/>
      <c r="S230" s="403"/>
      <c r="T230" s="198"/>
      <c r="U230" s="403"/>
      <c r="V230" s="19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03"/>
      <c r="B231" s="198"/>
      <c r="C231" s="403"/>
      <c r="D231" s="198"/>
      <c r="E231" s="403"/>
      <c r="F231" s="198"/>
      <c r="G231" s="403"/>
      <c r="H231" s="198"/>
      <c r="I231" s="410"/>
      <c r="J231" s="142"/>
      <c r="K231" s="410"/>
      <c r="L231" s="142"/>
      <c r="M231" s="403"/>
      <c r="N231" s="198"/>
      <c r="O231" s="403"/>
      <c r="P231" s="198"/>
      <c r="Q231" s="403"/>
      <c r="R231" s="198"/>
      <c r="S231" s="403"/>
      <c r="T231" s="198"/>
      <c r="U231" s="403"/>
      <c r="V231" s="19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03"/>
      <c r="B232" s="198"/>
      <c r="C232" s="403"/>
      <c r="D232" s="198"/>
      <c r="E232" s="403"/>
      <c r="F232" s="198"/>
      <c r="G232" s="403"/>
      <c r="H232" s="198"/>
      <c r="I232" s="410"/>
      <c r="J232" s="142"/>
      <c r="K232" s="410"/>
      <c r="L232" s="142"/>
      <c r="M232" s="403"/>
      <c r="N232" s="198"/>
      <c r="O232" s="403"/>
      <c r="P232" s="198"/>
      <c r="Q232" s="403"/>
      <c r="R232" s="198"/>
      <c r="S232" s="403"/>
      <c r="T232" s="198"/>
      <c r="U232" s="403"/>
      <c r="V232" s="19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03"/>
      <c r="B233" s="198"/>
      <c r="C233" s="403"/>
      <c r="D233" s="198"/>
      <c r="E233" s="403"/>
      <c r="F233" s="198"/>
      <c r="G233" s="403"/>
      <c r="H233" s="198"/>
      <c r="I233" s="410"/>
      <c r="J233" s="142"/>
      <c r="K233" s="410"/>
      <c r="L233" s="142"/>
      <c r="M233" s="403"/>
      <c r="N233" s="198"/>
      <c r="O233" s="403"/>
      <c r="P233" s="198"/>
      <c r="Q233" s="403"/>
      <c r="R233" s="198"/>
      <c r="S233" s="403"/>
      <c r="T233" s="198"/>
      <c r="U233" s="403"/>
      <c r="V233" s="19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03"/>
      <c r="B234" s="198"/>
      <c r="C234" s="403"/>
      <c r="D234" s="198"/>
      <c r="E234" s="403"/>
      <c r="F234" s="198"/>
      <c r="G234" s="403"/>
      <c r="H234" s="198"/>
      <c r="I234" s="410"/>
      <c r="J234" s="142"/>
      <c r="K234" s="410"/>
      <c r="L234" s="142"/>
      <c r="M234" s="403"/>
      <c r="N234" s="198"/>
      <c r="O234" s="403"/>
      <c r="P234" s="198"/>
      <c r="Q234" s="403"/>
      <c r="R234" s="198"/>
      <c r="S234" s="403"/>
      <c r="T234" s="198"/>
      <c r="U234" s="403"/>
      <c r="V234" s="19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03"/>
      <c r="B235" s="198"/>
      <c r="C235" s="403"/>
      <c r="D235" s="198"/>
      <c r="E235" s="403"/>
      <c r="F235" s="198"/>
      <c r="G235" s="403"/>
      <c r="H235" s="198"/>
      <c r="I235" s="410"/>
      <c r="J235" s="142"/>
      <c r="K235" s="410"/>
      <c r="L235" s="142"/>
      <c r="M235" s="403"/>
      <c r="N235" s="198"/>
      <c r="O235" s="403"/>
      <c r="P235" s="198"/>
      <c r="Q235" s="403"/>
      <c r="R235" s="198"/>
      <c r="S235" s="403"/>
      <c r="T235" s="198"/>
      <c r="U235" s="403"/>
      <c r="V235" s="19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03"/>
      <c r="B236" s="198"/>
      <c r="C236" s="403"/>
      <c r="D236" s="198"/>
      <c r="E236" s="403"/>
      <c r="F236" s="198"/>
      <c r="G236" s="403"/>
      <c r="H236" s="198"/>
      <c r="I236" s="410"/>
      <c r="J236" s="142"/>
      <c r="K236" s="410"/>
      <c r="L236" s="142"/>
      <c r="M236" s="403"/>
      <c r="N236" s="198"/>
      <c r="O236" s="403"/>
      <c r="P236" s="198"/>
      <c r="Q236" s="403"/>
      <c r="R236" s="198"/>
      <c r="S236" s="403"/>
      <c r="T236" s="198"/>
      <c r="U236" s="403"/>
      <c r="V236" s="19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03"/>
      <c r="B237" s="198"/>
      <c r="C237" s="403"/>
      <c r="D237" s="198"/>
      <c r="E237" s="403"/>
      <c r="F237" s="198"/>
      <c r="G237" s="403"/>
      <c r="H237" s="198"/>
      <c r="I237" s="410"/>
      <c r="J237" s="142"/>
      <c r="K237" s="410"/>
      <c r="L237" s="142"/>
      <c r="M237" s="403"/>
      <c r="N237" s="198"/>
      <c r="O237" s="403"/>
      <c r="P237" s="198"/>
      <c r="Q237" s="403"/>
      <c r="R237" s="198"/>
      <c r="S237" s="403"/>
      <c r="T237" s="198"/>
      <c r="U237" s="403"/>
      <c r="V237" s="19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03"/>
      <c r="B238" s="198"/>
      <c r="C238" s="403"/>
      <c r="D238" s="198"/>
      <c r="E238" s="403"/>
      <c r="F238" s="198"/>
      <c r="G238" s="403"/>
      <c r="H238" s="198"/>
      <c r="I238" s="410"/>
      <c r="J238" s="142"/>
      <c r="K238" s="410"/>
      <c r="L238" s="142"/>
      <c r="M238" s="403"/>
      <c r="N238" s="198"/>
      <c r="O238" s="403"/>
      <c r="P238" s="198"/>
      <c r="Q238" s="403"/>
      <c r="R238" s="198"/>
      <c r="S238" s="403"/>
      <c r="T238" s="198"/>
      <c r="U238" s="403"/>
      <c r="V238" s="19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03"/>
      <c r="B239" s="198"/>
      <c r="C239" s="403"/>
      <c r="D239" s="198"/>
      <c r="E239" s="403"/>
      <c r="F239" s="198"/>
      <c r="G239" s="403"/>
      <c r="H239" s="198"/>
      <c r="I239" s="410"/>
      <c r="J239" s="142"/>
      <c r="K239" s="410"/>
      <c r="L239" s="142"/>
      <c r="M239" s="403"/>
      <c r="N239" s="198"/>
      <c r="O239" s="403"/>
      <c r="P239" s="198"/>
      <c r="Q239" s="403"/>
      <c r="R239" s="198"/>
      <c r="S239" s="403"/>
      <c r="T239" s="198"/>
      <c r="U239" s="403"/>
      <c r="V239" s="19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03"/>
      <c r="B240" s="198"/>
      <c r="C240" s="403"/>
      <c r="D240" s="198"/>
      <c r="E240" s="403"/>
      <c r="F240" s="198"/>
      <c r="G240" s="403"/>
      <c r="H240" s="198"/>
      <c r="I240" s="410"/>
      <c r="J240" s="142"/>
      <c r="K240" s="410"/>
      <c r="L240" s="142"/>
      <c r="M240" s="403"/>
      <c r="N240" s="198"/>
      <c r="O240" s="403"/>
      <c r="P240" s="198"/>
      <c r="Q240" s="403"/>
      <c r="R240" s="198"/>
      <c r="S240" s="403"/>
      <c r="T240" s="198"/>
      <c r="U240" s="403"/>
      <c r="V240" s="19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03"/>
      <c r="B241" s="198"/>
      <c r="C241" s="403"/>
      <c r="D241" s="198"/>
      <c r="E241" s="403"/>
      <c r="F241" s="198"/>
      <c r="G241" s="403"/>
      <c r="H241" s="198"/>
      <c r="I241" s="410"/>
      <c r="J241" s="142"/>
      <c r="K241" s="410"/>
      <c r="L241" s="142"/>
      <c r="M241" s="403"/>
      <c r="N241" s="198"/>
      <c r="O241" s="403"/>
      <c r="P241" s="198"/>
      <c r="Q241" s="403"/>
      <c r="R241" s="198"/>
      <c r="S241" s="403"/>
      <c r="T241" s="198"/>
      <c r="U241" s="403"/>
      <c r="V241" s="19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03"/>
      <c r="B242" s="198"/>
      <c r="C242" s="403"/>
      <c r="D242" s="198"/>
      <c r="E242" s="403"/>
      <c r="F242" s="198"/>
      <c r="G242" s="403"/>
      <c r="H242" s="198"/>
      <c r="I242" s="410"/>
      <c r="J242" s="142"/>
      <c r="K242" s="410"/>
      <c r="L242" s="142"/>
      <c r="M242" s="403"/>
      <c r="N242" s="198"/>
      <c r="O242" s="403"/>
      <c r="P242" s="198"/>
      <c r="Q242" s="403"/>
      <c r="R242" s="198"/>
      <c r="S242" s="403"/>
      <c r="T242" s="198"/>
      <c r="U242" s="403"/>
      <c r="V242" s="19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03"/>
      <c r="B243" s="198"/>
      <c r="C243" s="403"/>
      <c r="D243" s="198"/>
      <c r="E243" s="403"/>
      <c r="F243" s="198"/>
      <c r="G243" s="403"/>
      <c r="H243" s="198"/>
      <c r="I243" s="410"/>
      <c r="J243" s="142"/>
      <c r="K243" s="410"/>
      <c r="L243" s="142"/>
      <c r="M243" s="403"/>
      <c r="N243" s="198"/>
      <c r="O243" s="403"/>
      <c r="P243" s="198"/>
      <c r="Q243" s="403"/>
      <c r="R243" s="198"/>
      <c r="S243" s="403"/>
      <c r="T243" s="198"/>
      <c r="U243" s="403"/>
      <c r="V243" s="19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03"/>
      <c r="B244" s="198"/>
      <c r="C244" s="403"/>
      <c r="D244" s="198"/>
      <c r="E244" s="403"/>
      <c r="F244" s="198"/>
      <c r="G244" s="403"/>
      <c r="H244" s="198"/>
      <c r="I244" s="410"/>
      <c r="J244" s="142"/>
      <c r="K244" s="410"/>
      <c r="L244" s="142"/>
      <c r="M244" s="403"/>
      <c r="N244" s="198"/>
      <c r="O244" s="403"/>
      <c r="P244" s="198"/>
      <c r="Q244" s="403"/>
      <c r="R244" s="198"/>
      <c r="S244" s="403"/>
      <c r="T244" s="198"/>
      <c r="U244" s="403"/>
      <c r="V244" s="19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03"/>
      <c r="B245" s="198"/>
      <c r="C245" s="403"/>
      <c r="D245" s="198"/>
      <c r="E245" s="403"/>
      <c r="F245" s="198"/>
      <c r="G245" s="403"/>
      <c r="H245" s="198"/>
      <c r="I245" s="410"/>
      <c r="J245" s="142"/>
      <c r="K245" s="410"/>
      <c r="L245" s="142"/>
      <c r="M245" s="403"/>
      <c r="N245" s="198"/>
      <c r="O245" s="403"/>
      <c r="P245" s="198"/>
      <c r="Q245" s="403"/>
      <c r="R245" s="198"/>
      <c r="S245" s="403"/>
      <c r="T245" s="198"/>
      <c r="U245" s="403"/>
      <c r="V245" s="19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03"/>
      <c r="B246" s="198"/>
      <c r="C246" s="403"/>
      <c r="D246" s="198"/>
      <c r="E246" s="403"/>
      <c r="F246" s="198"/>
      <c r="G246" s="403"/>
      <c r="H246" s="198"/>
      <c r="I246" s="410"/>
      <c r="J246" s="142"/>
      <c r="K246" s="410"/>
      <c r="L246" s="142"/>
      <c r="M246" s="403"/>
      <c r="N246" s="198"/>
      <c r="O246" s="403"/>
      <c r="P246" s="198"/>
      <c r="Q246" s="403"/>
      <c r="R246" s="198"/>
      <c r="S246" s="403"/>
      <c r="T246" s="198"/>
      <c r="U246" s="403"/>
      <c r="V246" s="19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03"/>
      <c r="B247" s="198"/>
      <c r="C247" s="403"/>
      <c r="D247" s="198"/>
      <c r="E247" s="403"/>
      <c r="F247" s="198"/>
      <c r="G247" s="403"/>
      <c r="H247" s="198"/>
      <c r="I247" s="410"/>
      <c r="J247" s="142"/>
      <c r="K247" s="410"/>
      <c r="L247" s="142"/>
      <c r="M247" s="403"/>
      <c r="N247" s="198"/>
      <c r="O247" s="403"/>
      <c r="P247" s="198"/>
      <c r="Q247" s="403"/>
      <c r="R247" s="198"/>
      <c r="S247" s="403"/>
      <c r="T247" s="198"/>
      <c r="U247" s="403"/>
      <c r="V247" s="19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03"/>
      <c r="B248" s="198"/>
      <c r="C248" s="403"/>
      <c r="D248" s="198"/>
      <c r="E248" s="403"/>
      <c r="F248" s="198"/>
      <c r="G248" s="403"/>
      <c r="H248" s="198"/>
      <c r="I248" s="410"/>
      <c r="J248" s="142"/>
      <c r="K248" s="410"/>
      <c r="L248" s="142"/>
      <c r="M248" s="403"/>
      <c r="N248" s="198"/>
      <c r="O248" s="403"/>
      <c r="P248" s="198"/>
      <c r="Q248" s="403"/>
      <c r="R248" s="198"/>
      <c r="S248" s="403"/>
      <c r="T248" s="198"/>
      <c r="U248" s="403"/>
      <c r="V248" s="19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03"/>
      <c r="B249" s="198"/>
      <c r="C249" s="403"/>
      <c r="D249" s="198"/>
      <c r="E249" s="403"/>
      <c r="F249" s="198"/>
      <c r="G249" s="403"/>
      <c r="H249" s="198"/>
      <c r="I249" s="410"/>
      <c r="J249" s="142"/>
      <c r="K249" s="410"/>
      <c r="L249" s="142"/>
      <c r="M249" s="403"/>
      <c r="N249" s="198"/>
      <c r="O249" s="403"/>
      <c r="P249" s="198"/>
      <c r="Q249" s="403"/>
      <c r="R249" s="198"/>
      <c r="S249" s="403"/>
      <c r="T249" s="198"/>
      <c r="U249" s="403"/>
      <c r="V249" s="19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03"/>
      <c r="B250" s="198"/>
      <c r="C250" s="403"/>
      <c r="D250" s="198"/>
      <c r="E250" s="403"/>
      <c r="F250" s="198"/>
      <c r="G250" s="403"/>
      <c r="H250" s="198"/>
      <c r="I250" s="410"/>
      <c r="J250" s="142"/>
      <c r="K250" s="410"/>
      <c r="L250" s="142"/>
      <c r="M250" s="403"/>
      <c r="N250" s="198"/>
      <c r="O250" s="403"/>
      <c r="P250" s="198"/>
      <c r="Q250" s="403"/>
      <c r="R250" s="198"/>
      <c r="S250" s="403"/>
      <c r="T250" s="198"/>
      <c r="U250" s="403"/>
      <c r="V250" s="19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03"/>
      <c r="B251" s="198"/>
      <c r="C251" s="403"/>
      <c r="D251" s="198"/>
      <c r="E251" s="403"/>
      <c r="F251" s="198"/>
      <c r="G251" s="403"/>
      <c r="H251" s="198"/>
      <c r="I251" s="410"/>
      <c r="J251" s="142"/>
      <c r="K251" s="410"/>
      <c r="L251" s="142"/>
      <c r="M251" s="403"/>
      <c r="N251" s="198"/>
      <c r="O251" s="403"/>
      <c r="P251" s="198"/>
      <c r="Q251" s="403"/>
      <c r="R251" s="198"/>
      <c r="S251" s="403"/>
      <c r="T251" s="198"/>
      <c r="U251" s="403"/>
      <c r="V251" s="19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03"/>
      <c r="B252" s="198"/>
      <c r="C252" s="403"/>
      <c r="D252" s="198"/>
      <c r="E252" s="403"/>
      <c r="F252" s="198"/>
      <c r="G252" s="403"/>
      <c r="H252" s="198"/>
      <c r="I252" s="410"/>
      <c r="J252" s="142"/>
      <c r="K252" s="410"/>
      <c r="L252" s="142"/>
      <c r="M252" s="403"/>
      <c r="N252" s="198"/>
      <c r="O252" s="403"/>
      <c r="P252" s="198"/>
      <c r="Q252" s="403"/>
      <c r="R252" s="198"/>
      <c r="S252" s="403"/>
      <c r="T252" s="198"/>
      <c r="U252" s="403"/>
      <c r="V252" s="19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03"/>
      <c r="B253" s="198"/>
      <c r="C253" s="403"/>
      <c r="D253" s="198"/>
      <c r="E253" s="403"/>
      <c r="F253" s="198"/>
      <c r="G253" s="403"/>
      <c r="H253" s="198"/>
      <c r="I253" s="410"/>
      <c r="J253" s="142"/>
      <c r="K253" s="410"/>
      <c r="L253" s="142"/>
      <c r="M253" s="403"/>
      <c r="N253" s="198"/>
      <c r="O253" s="403"/>
      <c r="P253" s="198"/>
      <c r="Q253" s="403"/>
      <c r="R253" s="198"/>
      <c r="S253" s="403"/>
      <c r="T253" s="198"/>
      <c r="U253" s="403"/>
      <c r="V253" s="19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03"/>
      <c r="B254" s="198"/>
      <c r="C254" s="403"/>
      <c r="D254" s="198"/>
      <c r="E254" s="403"/>
      <c r="F254" s="198"/>
      <c r="G254" s="403"/>
      <c r="H254" s="198"/>
      <c r="I254" s="410"/>
      <c r="J254" s="142"/>
      <c r="K254" s="410"/>
      <c r="L254" s="142"/>
      <c r="M254" s="403"/>
      <c r="N254" s="198"/>
      <c r="O254" s="403"/>
      <c r="P254" s="198"/>
      <c r="Q254" s="403"/>
      <c r="R254" s="198"/>
      <c r="S254" s="403"/>
      <c r="T254" s="198"/>
      <c r="U254" s="403"/>
      <c r="V254" s="19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03"/>
      <c r="B255" s="198"/>
      <c r="C255" s="403"/>
      <c r="D255" s="198"/>
      <c r="E255" s="403"/>
      <c r="F255" s="198"/>
      <c r="G255" s="403"/>
      <c r="H255" s="198"/>
      <c r="I255" s="410"/>
      <c r="J255" s="142"/>
      <c r="K255" s="410"/>
      <c r="L255" s="142"/>
      <c r="M255" s="403"/>
      <c r="N255" s="198"/>
      <c r="O255" s="403"/>
      <c r="P255" s="198"/>
      <c r="Q255" s="403"/>
      <c r="R255" s="198"/>
      <c r="S255" s="403"/>
      <c r="T255" s="198"/>
      <c r="U255" s="403"/>
      <c r="V255" s="19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03"/>
      <c r="B256" s="198"/>
      <c r="C256" s="403"/>
      <c r="D256" s="198"/>
      <c r="E256" s="403"/>
      <c r="F256" s="198"/>
      <c r="G256" s="403"/>
      <c r="H256" s="198"/>
      <c r="I256" s="410"/>
      <c r="J256" s="142"/>
      <c r="K256" s="410"/>
      <c r="L256" s="142"/>
      <c r="M256" s="403"/>
      <c r="N256" s="198"/>
      <c r="O256" s="403"/>
      <c r="P256" s="198"/>
      <c r="Q256" s="403"/>
      <c r="R256" s="198"/>
      <c r="S256" s="403"/>
      <c r="T256" s="198"/>
      <c r="U256" s="403"/>
      <c r="V256" s="19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03"/>
      <c r="B257" s="198"/>
      <c r="C257" s="403"/>
      <c r="D257" s="198"/>
      <c r="E257" s="403"/>
      <c r="F257" s="198"/>
      <c r="G257" s="403"/>
      <c r="H257" s="198"/>
      <c r="I257" s="410"/>
      <c r="J257" s="142"/>
      <c r="K257" s="410"/>
      <c r="L257" s="142"/>
      <c r="M257" s="403"/>
      <c r="N257" s="198"/>
      <c r="O257" s="403"/>
      <c r="P257" s="198"/>
      <c r="Q257" s="403"/>
      <c r="R257" s="198"/>
      <c r="S257" s="403"/>
      <c r="T257" s="198"/>
      <c r="U257" s="403"/>
      <c r="V257" s="19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03"/>
      <c r="B258" s="198"/>
      <c r="C258" s="403"/>
      <c r="D258" s="198"/>
      <c r="E258" s="403"/>
      <c r="F258" s="198"/>
      <c r="G258" s="403"/>
      <c r="H258" s="198"/>
      <c r="I258" s="410"/>
      <c r="J258" s="142"/>
      <c r="K258" s="410"/>
      <c r="L258" s="142"/>
      <c r="M258" s="403"/>
      <c r="N258" s="198"/>
      <c r="O258" s="403"/>
      <c r="P258" s="198"/>
      <c r="Q258" s="403"/>
      <c r="R258" s="198"/>
      <c r="S258" s="403"/>
      <c r="T258" s="198"/>
      <c r="U258" s="403"/>
      <c r="V258" s="19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03"/>
      <c r="B259" s="198"/>
      <c r="C259" s="403"/>
      <c r="D259" s="198"/>
      <c r="E259" s="403"/>
      <c r="F259" s="198"/>
      <c r="G259" s="403"/>
      <c r="H259" s="198"/>
      <c r="I259" s="410"/>
      <c r="J259" s="142"/>
      <c r="K259" s="410"/>
      <c r="L259" s="142"/>
      <c r="M259" s="403"/>
      <c r="N259" s="198"/>
      <c r="O259" s="403"/>
      <c r="P259" s="198"/>
      <c r="Q259" s="403"/>
      <c r="R259" s="198"/>
      <c r="S259" s="403"/>
      <c r="T259" s="198"/>
      <c r="U259" s="403"/>
      <c r="V259" s="19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03"/>
      <c r="B260" s="198"/>
      <c r="C260" s="403"/>
      <c r="D260" s="198"/>
      <c r="E260" s="403"/>
      <c r="F260" s="198"/>
      <c r="G260" s="403"/>
      <c r="H260" s="198"/>
      <c r="I260" s="410"/>
      <c r="J260" s="142"/>
      <c r="K260" s="410"/>
      <c r="L260" s="142"/>
      <c r="M260" s="403"/>
      <c r="N260" s="198"/>
      <c r="O260" s="403"/>
      <c r="P260" s="198"/>
      <c r="Q260" s="403"/>
      <c r="R260" s="198"/>
      <c r="S260" s="403"/>
      <c r="T260" s="198"/>
      <c r="U260" s="403"/>
      <c r="V260" s="19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03"/>
      <c r="B261" s="198"/>
      <c r="C261" s="403"/>
      <c r="D261" s="198"/>
      <c r="E261" s="403"/>
      <c r="F261" s="198"/>
      <c r="G261" s="403"/>
      <c r="H261" s="198"/>
      <c r="I261" s="410"/>
      <c r="J261" s="142"/>
      <c r="K261" s="410"/>
      <c r="L261" s="142"/>
      <c r="M261" s="403"/>
      <c r="N261" s="198"/>
      <c r="O261" s="403"/>
      <c r="P261" s="198"/>
      <c r="Q261" s="403"/>
      <c r="R261" s="198"/>
      <c r="S261" s="403"/>
      <c r="T261" s="198"/>
      <c r="U261" s="403"/>
      <c r="V261" s="19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03"/>
      <c r="B262" s="198"/>
      <c r="C262" s="403"/>
      <c r="D262" s="198"/>
      <c r="E262" s="403"/>
      <c r="F262" s="198"/>
      <c r="G262" s="403"/>
      <c r="H262" s="198"/>
      <c r="I262" s="410"/>
      <c r="J262" s="142"/>
      <c r="K262" s="410"/>
      <c r="L262" s="142"/>
      <c r="M262" s="403"/>
      <c r="N262" s="198"/>
      <c r="O262" s="403"/>
      <c r="P262" s="198"/>
      <c r="Q262" s="403"/>
      <c r="R262" s="198"/>
      <c r="S262" s="403"/>
      <c r="T262" s="198"/>
      <c r="U262" s="403"/>
      <c r="V262" s="19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03"/>
      <c r="B263" s="198"/>
      <c r="C263" s="403"/>
      <c r="D263" s="198"/>
      <c r="E263" s="403"/>
      <c r="F263" s="198"/>
      <c r="G263" s="403"/>
      <c r="H263" s="198"/>
      <c r="I263" s="410"/>
      <c r="J263" s="142"/>
      <c r="K263" s="410"/>
      <c r="L263" s="142"/>
      <c r="M263" s="403"/>
      <c r="N263" s="198"/>
      <c r="O263" s="403"/>
      <c r="P263" s="198"/>
      <c r="Q263" s="403"/>
      <c r="R263" s="198"/>
      <c r="S263" s="403"/>
      <c r="T263" s="198"/>
      <c r="U263" s="403"/>
      <c r="V263" s="19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03"/>
      <c r="B264" s="198"/>
      <c r="C264" s="403"/>
      <c r="D264" s="198"/>
      <c r="E264" s="403"/>
      <c r="F264" s="198"/>
      <c r="G264" s="403"/>
      <c r="H264" s="198"/>
      <c r="I264" s="410"/>
      <c r="J264" s="142"/>
      <c r="K264" s="410"/>
      <c r="L264" s="142"/>
      <c r="M264" s="403"/>
      <c r="N264" s="198"/>
      <c r="O264" s="403"/>
      <c r="P264" s="198"/>
      <c r="Q264" s="403"/>
      <c r="R264" s="198"/>
      <c r="S264" s="403"/>
      <c r="T264" s="198"/>
      <c r="U264" s="403"/>
      <c r="V264" s="19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03"/>
      <c r="B265" s="198"/>
      <c r="C265" s="403"/>
      <c r="D265" s="198"/>
      <c r="E265" s="403"/>
      <c r="F265" s="198"/>
      <c r="G265" s="403"/>
      <c r="H265" s="198"/>
      <c r="I265" s="410"/>
      <c r="J265" s="142"/>
      <c r="K265" s="410"/>
      <c r="L265" s="142"/>
      <c r="M265" s="403"/>
      <c r="N265" s="198"/>
      <c r="O265" s="403"/>
      <c r="P265" s="198"/>
      <c r="Q265" s="403"/>
      <c r="R265" s="198"/>
      <c r="S265" s="403"/>
      <c r="T265" s="198"/>
      <c r="U265" s="403"/>
      <c r="V265" s="19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03"/>
      <c r="B266" s="198"/>
      <c r="C266" s="403"/>
      <c r="D266" s="198"/>
      <c r="E266" s="403"/>
      <c r="F266" s="198"/>
      <c r="G266" s="403"/>
      <c r="H266" s="198"/>
      <c r="I266" s="410"/>
      <c r="J266" s="142"/>
      <c r="K266" s="410"/>
      <c r="L266" s="142"/>
      <c r="M266" s="403"/>
      <c r="N266" s="198"/>
      <c r="O266" s="403"/>
      <c r="P266" s="198"/>
      <c r="Q266" s="403"/>
      <c r="R266" s="198"/>
      <c r="S266" s="403"/>
      <c r="T266" s="198"/>
      <c r="U266" s="403"/>
      <c r="V266" s="19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03"/>
      <c r="B267" s="198"/>
      <c r="C267" s="403"/>
      <c r="D267" s="198"/>
      <c r="E267" s="403"/>
      <c r="F267" s="198"/>
      <c r="G267" s="403"/>
      <c r="H267" s="198"/>
      <c r="I267" s="410"/>
      <c r="J267" s="142"/>
      <c r="K267" s="410"/>
      <c r="L267" s="142"/>
      <c r="M267" s="403"/>
      <c r="N267" s="198"/>
      <c r="O267" s="403"/>
      <c r="P267" s="198"/>
      <c r="Q267" s="403"/>
      <c r="R267" s="198"/>
      <c r="S267" s="403"/>
      <c r="T267" s="198"/>
      <c r="U267" s="403"/>
      <c r="V267" s="19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03"/>
      <c r="B268" s="198"/>
      <c r="C268" s="403"/>
      <c r="D268" s="198"/>
      <c r="E268" s="403"/>
      <c r="F268" s="198"/>
      <c r="G268" s="403"/>
      <c r="H268" s="198"/>
      <c r="I268" s="410"/>
      <c r="J268" s="142"/>
      <c r="K268" s="410"/>
      <c r="L268" s="142"/>
      <c r="M268" s="403"/>
      <c r="N268" s="198"/>
      <c r="O268" s="403"/>
      <c r="P268" s="198"/>
      <c r="Q268" s="403"/>
      <c r="R268" s="198"/>
      <c r="S268" s="403"/>
      <c r="T268" s="198"/>
      <c r="U268" s="403"/>
      <c r="V268" s="19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03"/>
      <c r="B269" s="198"/>
      <c r="C269" s="403"/>
      <c r="D269" s="198"/>
      <c r="E269" s="403"/>
      <c r="F269" s="198"/>
      <c r="G269" s="403"/>
      <c r="H269" s="198"/>
      <c r="I269" s="410"/>
      <c r="J269" s="142"/>
      <c r="K269" s="410"/>
      <c r="L269" s="142"/>
      <c r="M269" s="403"/>
      <c r="N269" s="198"/>
      <c r="O269" s="403"/>
      <c r="P269" s="198"/>
      <c r="Q269" s="403"/>
      <c r="R269" s="198"/>
      <c r="S269" s="403"/>
      <c r="T269" s="198"/>
      <c r="U269" s="403"/>
      <c r="V269" s="19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03"/>
      <c r="B270" s="198"/>
      <c r="C270" s="403"/>
      <c r="D270" s="198"/>
      <c r="E270" s="403"/>
      <c r="F270" s="198"/>
      <c r="G270" s="403"/>
      <c r="H270" s="198"/>
      <c r="I270" s="410"/>
      <c r="J270" s="142"/>
      <c r="K270" s="410"/>
      <c r="L270" s="142"/>
      <c r="M270" s="403"/>
      <c r="N270" s="198"/>
      <c r="O270" s="403"/>
      <c r="P270" s="198"/>
      <c r="Q270" s="403"/>
      <c r="R270" s="198"/>
      <c r="S270" s="403"/>
      <c r="T270" s="198"/>
      <c r="U270" s="403"/>
      <c r="V270" s="19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03"/>
      <c r="B271" s="198"/>
      <c r="C271" s="403"/>
      <c r="D271" s="198"/>
      <c r="E271" s="403"/>
      <c r="F271" s="198"/>
      <c r="G271" s="403"/>
      <c r="H271" s="198"/>
      <c r="I271" s="410"/>
      <c r="J271" s="142"/>
      <c r="K271" s="410"/>
      <c r="L271" s="142"/>
      <c r="M271" s="403"/>
      <c r="N271" s="198"/>
      <c r="O271" s="403"/>
      <c r="P271" s="198"/>
      <c r="Q271" s="403"/>
      <c r="R271" s="198"/>
      <c r="S271" s="403"/>
      <c r="T271" s="198"/>
      <c r="U271" s="403"/>
      <c r="V271" s="19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03"/>
      <c r="B272" s="198"/>
      <c r="C272" s="403"/>
      <c r="D272" s="198"/>
      <c r="E272" s="403"/>
      <c r="F272" s="198"/>
      <c r="G272" s="403"/>
      <c r="H272" s="198"/>
      <c r="I272" s="410"/>
      <c r="J272" s="142"/>
      <c r="K272" s="410"/>
      <c r="L272" s="142"/>
      <c r="M272" s="403"/>
      <c r="N272" s="198"/>
      <c r="O272" s="403"/>
      <c r="P272" s="198"/>
      <c r="Q272" s="403"/>
      <c r="R272" s="198"/>
      <c r="S272" s="403"/>
      <c r="T272" s="198"/>
      <c r="U272" s="403"/>
      <c r="V272" s="19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03"/>
      <c r="B273" s="198"/>
      <c r="C273" s="403"/>
      <c r="D273" s="198"/>
      <c r="E273" s="403"/>
      <c r="F273" s="198"/>
      <c r="G273" s="403"/>
      <c r="H273" s="198"/>
      <c r="I273" s="410"/>
      <c r="J273" s="142"/>
      <c r="K273" s="410"/>
      <c r="L273" s="142"/>
      <c r="M273" s="403"/>
      <c r="N273" s="198"/>
      <c r="O273" s="403"/>
      <c r="P273" s="198"/>
      <c r="Q273" s="403"/>
      <c r="R273" s="198"/>
      <c r="S273" s="403"/>
      <c r="T273" s="198"/>
      <c r="U273" s="403"/>
      <c r="V273" s="19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03"/>
      <c r="B274" s="198"/>
      <c r="C274" s="403"/>
      <c r="D274" s="198"/>
      <c r="E274" s="403"/>
      <c r="F274" s="198"/>
      <c r="G274" s="403"/>
      <c r="H274" s="198"/>
      <c r="I274" s="410"/>
      <c r="J274" s="142"/>
      <c r="K274" s="410"/>
      <c r="L274" s="142"/>
      <c r="M274" s="403"/>
      <c r="N274" s="198"/>
      <c r="O274" s="403"/>
      <c r="P274" s="198"/>
      <c r="Q274" s="403"/>
      <c r="R274" s="198"/>
      <c r="S274" s="403"/>
      <c r="T274" s="198"/>
      <c r="U274" s="403"/>
      <c r="V274" s="19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03"/>
      <c r="B275" s="198"/>
      <c r="C275" s="403"/>
      <c r="D275" s="198"/>
      <c r="E275" s="403"/>
      <c r="F275" s="198"/>
      <c r="G275" s="403"/>
      <c r="H275" s="198"/>
      <c r="I275" s="410"/>
      <c r="J275" s="142"/>
      <c r="K275" s="410"/>
      <c r="L275" s="142"/>
      <c r="M275" s="403"/>
      <c r="N275" s="198"/>
      <c r="O275" s="403"/>
      <c r="P275" s="198"/>
      <c r="Q275" s="403"/>
      <c r="R275" s="198"/>
      <c r="S275" s="403"/>
      <c r="T275" s="198"/>
      <c r="U275" s="403"/>
      <c r="V275" s="19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03"/>
      <c r="B276" s="198"/>
      <c r="C276" s="403"/>
      <c r="D276" s="198"/>
      <c r="E276" s="403"/>
      <c r="F276" s="198"/>
      <c r="G276" s="403"/>
      <c r="H276" s="198"/>
      <c r="I276" s="410"/>
      <c r="J276" s="142"/>
      <c r="K276" s="410"/>
      <c r="L276" s="142"/>
      <c r="M276" s="403"/>
      <c r="N276" s="198"/>
      <c r="O276" s="403"/>
      <c r="P276" s="198"/>
      <c r="Q276" s="403"/>
      <c r="R276" s="198"/>
      <c r="S276" s="403"/>
      <c r="T276" s="198"/>
      <c r="U276" s="403"/>
      <c r="V276" s="19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03"/>
      <c r="B277" s="198"/>
      <c r="C277" s="403"/>
      <c r="D277" s="198"/>
      <c r="E277" s="403"/>
      <c r="F277" s="198"/>
      <c r="G277" s="403"/>
      <c r="H277" s="198"/>
      <c r="I277" s="410"/>
      <c r="J277" s="142"/>
      <c r="K277" s="410"/>
      <c r="L277" s="142"/>
      <c r="M277" s="403"/>
      <c r="N277" s="198"/>
      <c r="O277" s="403"/>
      <c r="P277" s="198"/>
      <c r="Q277" s="403"/>
      <c r="R277" s="198"/>
      <c r="S277" s="403"/>
      <c r="T277" s="198"/>
      <c r="U277" s="403"/>
      <c r="V277" s="19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03"/>
      <c r="B278" s="198"/>
      <c r="C278" s="403"/>
      <c r="D278" s="198"/>
      <c r="E278" s="403"/>
      <c r="F278" s="198"/>
      <c r="G278" s="403"/>
      <c r="H278" s="198"/>
      <c r="I278" s="410"/>
      <c r="J278" s="142"/>
      <c r="K278" s="410"/>
      <c r="L278" s="142"/>
      <c r="M278" s="403"/>
      <c r="N278" s="198"/>
      <c r="O278" s="403"/>
      <c r="P278" s="198"/>
      <c r="Q278" s="403"/>
      <c r="R278" s="198"/>
      <c r="S278" s="403"/>
      <c r="T278" s="198"/>
      <c r="U278" s="403"/>
      <c r="V278" s="19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03"/>
      <c r="B279" s="198"/>
      <c r="C279" s="403"/>
      <c r="D279" s="198"/>
      <c r="E279" s="403"/>
      <c r="F279" s="198"/>
      <c r="G279" s="403"/>
      <c r="H279" s="198"/>
      <c r="I279" s="410"/>
      <c r="J279" s="142"/>
      <c r="K279" s="410"/>
      <c r="L279" s="142"/>
      <c r="M279" s="403"/>
      <c r="N279" s="198"/>
      <c r="O279" s="403"/>
      <c r="P279" s="198"/>
      <c r="Q279" s="403"/>
      <c r="R279" s="198"/>
      <c r="S279" s="403"/>
      <c r="T279" s="198"/>
      <c r="U279" s="403"/>
      <c r="V279" s="19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03"/>
      <c r="B280" s="198"/>
      <c r="C280" s="403"/>
      <c r="D280" s="198"/>
      <c r="E280" s="403"/>
      <c r="F280" s="198"/>
      <c r="G280" s="403"/>
      <c r="H280" s="198"/>
      <c r="I280" s="410"/>
      <c r="J280" s="142"/>
      <c r="K280" s="410"/>
      <c r="L280" s="142"/>
      <c r="M280" s="403"/>
      <c r="N280" s="198"/>
      <c r="O280" s="403"/>
      <c r="P280" s="198"/>
      <c r="Q280" s="403"/>
      <c r="R280" s="198"/>
      <c r="S280" s="403"/>
      <c r="T280" s="198"/>
      <c r="U280" s="403"/>
      <c r="V280" s="19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03"/>
      <c r="B281" s="198"/>
      <c r="C281" s="403"/>
      <c r="D281" s="198"/>
      <c r="E281" s="403"/>
      <c r="F281" s="198"/>
      <c r="G281" s="403"/>
      <c r="H281" s="198"/>
      <c r="I281" s="410"/>
      <c r="J281" s="142"/>
      <c r="K281" s="410"/>
      <c r="L281" s="142"/>
      <c r="M281" s="403"/>
      <c r="N281" s="198"/>
      <c r="O281" s="403"/>
      <c r="P281" s="198"/>
      <c r="Q281" s="403"/>
      <c r="R281" s="198"/>
      <c r="S281" s="403"/>
      <c r="T281" s="198"/>
      <c r="U281" s="403"/>
      <c r="V281" s="19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03"/>
      <c r="B282" s="198"/>
      <c r="C282" s="403"/>
      <c r="D282" s="198"/>
      <c r="E282" s="403"/>
      <c r="F282" s="198"/>
      <c r="G282" s="403"/>
      <c r="H282" s="198"/>
      <c r="I282" s="410"/>
      <c r="J282" s="142"/>
      <c r="K282" s="410"/>
      <c r="L282" s="142"/>
      <c r="M282" s="403"/>
      <c r="N282" s="198"/>
      <c r="O282" s="403"/>
      <c r="P282" s="198"/>
      <c r="Q282" s="403"/>
      <c r="R282" s="198"/>
      <c r="S282" s="403"/>
      <c r="T282" s="198"/>
      <c r="U282" s="403"/>
      <c r="V282" s="19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03"/>
      <c r="B283" s="198"/>
      <c r="C283" s="403"/>
      <c r="D283" s="198"/>
      <c r="E283" s="403"/>
      <c r="F283" s="198"/>
      <c r="G283" s="403"/>
      <c r="H283" s="198"/>
      <c r="I283" s="410"/>
      <c r="J283" s="142"/>
      <c r="K283" s="410"/>
      <c r="L283" s="142"/>
      <c r="M283" s="403"/>
      <c r="N283" s="198"/>
      <c r="O283" s="403"/>
      <c r="P283" s="198"/>
      <c r="Q283" s="403"/>
      <c r="R283" s="198"/>
      <c r="S283" s="403"/>
      <c r="T283" s="198"/>
      <c r="U283" s="403"/>
      <c r="V283" s="19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03"/>
      <c r="B284" s="198"/>
      <c r="C284" s="403"/>
      <c r="D284" s="198"/>
      <c r="E284" s="403"/>
      <c r="F284" s="198"/>
      <c r="G284" s="403"/>
      <c r="H284" s="198"/>
      <c r="I284" s="410"/>
      <c r="J284" s="142"/>
      <c r="K284" s="410"/>
      <c r="L284" s="142"/>
      <c r="M284" s="403"/>
      <c r="N284" s="198"/>
      <c r="O284" s="403"/>
      <c r="P284" s="198"/>
      <c r="Q284" s="403"/>
      <c r="R284" s="198"/>
      <c r="S284" s="403"/>
      <c r="T284" s="198"/>
      <c r="U284" s="403"/>
      <c r="V284" s="19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03"/>
      <c r="B285" s="198"/>
      <c r="C285" s="403"/>
      <c r="D285" s="198"/>
      <c r="E285" s="403"/>
      <c r="F285" s="198"/>
      <c r="G285" s="403"/>
      <c r="H285" s="198"/>
      <c r="I285" s="410"/>
      <c r="J285" s="142"/>
      <c r="K285" s="410"/>
      <c r="L285" s="142"/>
      <c r="M285" s="403"/>
      <c r="N285" s="198"/>
      <c r="O285" s="403"/>
      <c r="P285" s="198"/>
      <c r="Q285" s="403"/>
      <c r="R285" s="198"/>
      <c r="S285" s="403"/>
      <c r="T285" s="198"/>
      <c r="U285" s="403"/>
      <c r="V285" s="19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03"/>
      <c r="B286" s="198"/>
      <c r="C286" s="403"/>
      <c r="D286" s="198"/>
      <c r="E286" s="403"/>
      <c r="F286" s="198"/>
      <c r="G286" s="403"/>
      <c r="H286" s="198"/>
      <c r="I286" s="410"/>
      <c r="J286" s="142"/>
      <c r="K286" s="410"/>
      <c r="L286" s="142"/>
      <c r="M286" s="403"/>
      <c r="N286" s="198"/>
      <c r="O286" s="403"/>
      <c r="P286" s="198"/>
      <c r="Q286" s="403"/>
      <c r="R286" s="198"/>
      <c r="S286" s="403"/>
      <c r="T286" s="198"/>
      <c r="U286" s="403"/>
      <c r="V286" s="19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03"/>
      <c r="B287" s="198"/>
      <c r="C287" s="403"/>
      <c r="D287" s="198"/>
      <c r="E287" s="403"/>
      <c r="F287" s="198"/>
      <c r="G287" s="403"/>
      <c r="H287" s="198"/>
      <c r="I287" s="410"/>
      <c r="J287" s="142"/>
      <c r="K287" s="410"/>
      <c r="L287" s="142"/>
      <c r="M287" s="403"/>
      <c r="N287" s="198"/>
      <c r="O287" s="403"/>
      <c r="P287" s="198"/>
      <c r="Q287" s="403"/>
      <c r="R287" s="198"/>
      <c r="S287" s="403"/>
      <c r="T287" s="198"/>
      <c r="U287" s="403"/>
      <c r="V287" s="19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03"/>
      <c r="B288" s="198"/>
      <c r="C288" s="403"/>
      <c r="D288" s="198"/>
      <c r="E288" s="403"/>
      <c r="F288" s="198"/>
      <c r="G288" s="403"/>
      <c r="H288" s="198"/>
      <c r="I288" s="410"/>
      <c r="J288" s="142"/>
      <c r="K288" s="410"/>
      <c r="L288" s="142"/>
      <c r="M288" s="403"/>
      <c r="N288" s="198"/>
      <c r="O288" s="403"/>
      <c r="P288" s="198"/>
      <c r="Q288" s="403"/>
      <c r="R288" s="198"/>
      <c r="S288" s="403"/>
      <c r="T288" s="198"/>
      <c r="U288" s="403"/>
      <c r="V288" s="19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03"/>
      <c r="B289" s="198"/>
      <c r="C289" s="403"/>
      <c r="D289" s="198"/>
      <c r="E289" s="403"/>
      <c r="F289" s="198"/>
      <c r="G289" s="403"/>
      <c r="H289" s="198"/>
      <c r="I289" s="410"/>
      <c r="J289" s="142"/>
      <c r="K289" s="410"/>
      <c r="L289" s="142"/>
      <c r="M289" s="403"/>
      <c r="N289" s="198"/>
      <c r="O289" s="403"/>
      <c r="P289" s="198"/>
      <c r="Q289" s="403"/>
      <c r="R289" s="198"/>
      <c r="S289" s="403"/>
      <c r="T289" s="198"/>
      <c r="U289" s="403"/>
      <c r="V289" s="19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03"/>
      <c r="B290" s="198"/>
      <c r="C290" s="403"/>
      <c r="D290" s="198"/>
      <c r="E290" s="403"/>
      <c r="F290" s="198"/>
      <c r="G290" s="403"/>
      <c r="H290" s="198"/>
      <c r="I290" s="410"/>
      <c r="J290" s="142"/>
      <c r="K290" s="410"/>
      <c r="L290" s="142"/>
      <c r="M290" s="403"/>
      <c r="N290" s="198"/>
      <c r="O290" s="403"/>
      <c r="P290" s="198"/>
      <c r="Q290" s="403"/>
      <c r="R290" s="198"/>
      <c r="S290" s="403"/>
      <c r="T290" s="198"/>
      <c r="U290" s="403"/>
      <c r="V290" s="19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03"/>
      <c r="B291" s="198"/>
      <c r="C291" s="403"/>
      <c r="D291" s="198"/>
      <c r="E291" s="403"/>
      <c r="F291" s="198"/>
      <c r="G291" s="403"/>
      <c r="H291" s="198"/>
      <c r="I291" s="410"/>
      <c r="J291" s="142"/>
      <c r="K291" s="410"/>
      <c r="L291" s="142"/>
      <c r="M291" s="403"/>
      <c r="N291" s="198"/>
      <c r="O291" s="403"/>
      <c r="P291" s="198"/>
      <c r="Q291" s="403"/>
      <c r="R291" s="198"/>
      <c r="S291" s="403"/>
      <c r="T291" s="198"/>
      <c r="U291" s="403"/>
      <c r="V291" s="19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03"/>
      <c r="B292" s="198"/>
      <c r="C292" s="403"/>
      <c r="D292" s="198"/>
      <c r="E292" s="403"/>
      <c r="F292" s="198"/>
      <c r="G292" s="403"/>
      <c r="H292" s="198"/>
      <c r="I292" s="410"/>
      <c r="J292" s="142"/>
      <c r="K292" s="410"/>
      <c r="L292" s="142"/>
      <c r="M292" s="403"/>
      <c r="N292" s="198"/>
      <c r="O292" s="403"/>
      <c r="P292" s="198"/>
      <c r="Q292" s="403"/>
      <c r="R292" s="198"/>
      <c r="S292" s="403"/>
      <c r="T292" s="198"/>
      <c r="U292" s="403"/>
      <c r="V292" s="19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03"/>
      <c r="B293" s="198"/>
      <c r="C293" s="403"/>
      <c r="D293" s="198"/>
      <c r="E293" s="403"/>
      <c r="F293" s="198"/>
      <c r="G293" s="403"/>
      <c r="H293" s="198"/>
      <c r="I293" s="410"/>
      <c r="J293" s="142"/>
      <c r="K293" s="410"/>
      <c r="L293" s="142"/>
      <c r="M293" s="403"/>
      <c r="N293" s="198"/>
      <c r="O293" s="403"/>
      <c r="P293" s="198"/>
      <c r="Q293" s="403"/>
      <c r="R293" s="198"/>
      <c r="S293" s="403"/>
      <c r="T293" s="198"/>
      <c r="U293" s="403"/>
      <c r="V293" s="19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03"/>
      <c r="B294" s="198"/>
      <c r="C294" s="403"/>
      <c r="D294" s="198"/>
      <c r="E294" s="403"/>
      <c r="F294" s="198"/>
      <c r="G294" s="403"/>
      <c r="H294" s="198"/>
      <c r="I294" s="410"/>
      <c r="J294" s="142"/>
      <c r="K294" s="410"/>
      <c r="L294" s="142"/>
      <c r="M294" s="403"/>
      <c r="N294" s="198"/>
      <c r="O294" s="403"/>
      <c r="P294" s="198"/>
      <c r="Q294" s="403"/>
      <c r="R294" s="198"/>
      <c r="S294" s="403"/>
      <c r="T294" s="198"/>
      <c r="U294" s="403"/>
      <c r="V294" s="19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03"/>
      <c r="B295" s="198"/>
      <c r="C295" s="403"/>
      <c r="D295" s="198"/>
      <c r="E295" s="403"/>
      <c r="F295" s="198"/>
      <c r="G295" s="403"/>
      <c r="H295" s="198"/>
      <c r="I295" s="410"/>
      <c r="J295" s="142"/>
      <c r="K295" s="410"/>
      <c r="L295" s="142"/>
      <c r="M295" s="403"/>
      <c r="N295" s="198"/>
      <c r="O295" s="403"/>
      <c r="P295" s="198"/>
      <c r="Q295" s="403"/>
      <c r="R295" s="198"/>
      <c r="S295" s="403"/>
      <c r="T295" s="198"/>
      <c r="U295" s="403"/>
      <c r="V295" s="19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03"/>
      <c r="B296" s="198"/>
      <c r="C296" s="403"/>
      <c r="D296" s="198"/>
      <c r="E296" s="403"/>
      <c r="F296" s="198"/>
      <c r="G296" s="403"/>
      <c r="H296" s="198"/>
      <c r="I296" s="410"/>
      <c r="J296" s="142"/>
      <c r="K296" s="410"/>
      <c r="L296" s="142"/>
      <c r="M296" s="403"/>
      <c r="N296" s="198"/>
      <c r="O296" s="403"/>
      <c r="P296" s="198"/>
      <c r="Q296" s="403"/>
      <c r="R296" s="198"/>
      <c r="S296" s="403"/>
      <c r="T296" s="198"/>
      <c r="U296" s="403"/>
      <c r="V296" s="19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03"/>
      <c r="B297" s="198"/>
      <c r="C297" s="403"/>
      <c r="D297" s="198"/>
      <c r="E297" s="403"/>
      <c r="F297" s="198"/>
      <c r="G297" s="403"/>
      <c r="H297" s="198"/>
      <c r="I297" s="410"/>
      <c r="J297" s="142"/>
      <c r="K297" s="410"/>
      <c r="L297" s="142"/>
      <c r="M297" s="403"/>
      <c r="N297" s="198"/>
      <c r="O297" s="403"/>
      <c r="P297" s="198"/>
      <c r="Q297" s="403"/>
      <c r="R297" s="198"/>
      <c r="S297" s="403"/>
      <c r="T297" s="198"/>
      <c r="U297" s="403"/>
      <c r="V297" s="19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03"/>
      <c r="B298" s="198"/>
      <c r="C298" s="403"/>
      <c r="D298" s="198"/>
      <c r="E298" s="403"/>
      <c r="F298" s="198"/>
      <c r="G298" s="403"/>
      <c r="H298" s="198"/>
      <c r="I298" s="410"/>
      <c r="J298" s="142"/>
      <c r="K298" s="410"/>
      <c r="L298" s="142"/>
      <c r="M298" s="403"/>
      <c r="N298" s="198"/>
      <c r="O298" s="403"/>
      <c r="P298" s="198"/>
      <c r="Q298" s="403"/>
      <c r="R298" s="198"/>
      <c r="S298" s="403"/>
      <c r="T298" s="198"/>
      <c r="U298" s="403"/>
      <c r="V298" s="19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03"/>
      <c r="B299" s="198"/>
      <c r="C299" s="403"/>
      <c r="D299" s="198"/>
      <c r="E299" s="403"/>
      <c r="F299" s="198"/>
      <c r="G299" s="403"/>
      <c r="H299" s="198"/>
      <c r="I299" s="410"/>
      <c r="J299" s="142"/>
      <c r="K299" s="410"/>
      <c r="L299" s="142"/>
      <c r="M299" s="403"/>
      <c r="N299" s="198"/>
      <c r="O299" s="403"/>
      <c r="P299" s="198"/>
      <c r="Q299" s="403"/>
      <c r="R299" s="198"/>
      <c r="S299" s="403"/>
      <c r="T299" s="198"/>
      <c r="U299" s="403"/>
      <c r="V299" s="19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03"/>
      <c r="B300" s="198"/>
      <c r="C300" s="403"/>
      <c r="D300" s="198"/>
      <c r="E300" s="403"/>
      <c r="F300" s="198"/>
      <c r="G300" s="403"/>
      <c r="H300" s="198"/>
      <c r="I300" s="410"/>
      <c r="J300" s="142"/>
      <c r="K300" s="410"/>
      <c r="L300" s="142"/>
      <c r="M300" s="403"/>
      <c r="N300" s="198"/>
      <c r="O300" s="403"/>
      <c r="P300" s="198"/>
      <c r="Q300" s="410"/>
      <c r="R300" s="142"/>
      <c r="S300" s="403"/>
      <c r="T300" s="198"/>
      <c r="U300" s="403"/>
      <c r="V300" s="19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03"/>
      <c r="B301" s="198"/>
      <c r="C301" s="403"/>
      <c r="D301" s="198"/>
      <c r="E301" s="403"/>
      <c r="F301" s="198"/>
      <c r="G301" s="403"/>
      <c r="H301" s="198"/>
      <c r="I301" s="410"/>
      <c r="J301" s="142"/>
      <c r="K301" s="410"/>
      <c r="L301" s="142"/>
      <c r="M301" s="403"/>
      <c r="N301" s="198"/>
      <c r="O301" s="403"/>
      <c r="P301" s="198"/>
      <c r="Q301" s="410"/>
      <c r="R301" s="142"/>
      <c r="S301" s="403"/>
      <c r="T301" s="198"/>
      <c r="U301" s="403"/>
      <c r="V301" s="19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03"/>
      <c r="B302" s="198"/>
      <c r="C302" s="403"/>
      <c r="D302" s="198"/>
      <c r="E302" s="403"/>
      <c r="F302" s="198"/>
      <c r="G302" s="403"/>
      <c r="H302" s="198"/>
      <c r="I302" s="410"/>
      <c r="J302" s="142"/>
      <c r="K302" s="410"/>
      <c r="L302" s="142"/>
      <c r="M302" s="403"/>
      <c r="N302" s="198"/>
      <c r="O302" s="403"/>
      <c r="P302" s="198"/>
      <c r="Q302" s="410"/>
      <c r="R302" s="142"/>
      <c r="S302" s="403"/>
      <c r="T302" s="198"/>
      <c r="U302" s="403"/>
      <c r="V302" s="19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03"/>
      <c r="B303" s="198"/>
      <c r="C303" s="403"/>
      <c r="D303" s="198"/>
      <c r="E303" s="403"/>
      <c r="F303" s="198"/>
      <c r="G303" s="403"/>
      <c r="H303" s="198"/>
      <c r="I303" s="410"/>
      <c r="J303" s="142"/>
      <c r="K303" s="410"/>
      <c r="L303" s="142"/>
      <c r="M303" s="403"/>
      <c r="N303" s="198"/>
      <c r="O303" s="403"/>
      <c r="P303" s="198"/>
      <c r="Q303" s="410"/>
      <c r="R303" s="142"/>
      <c r="S303" s="403"/>
      <c r="T303" s="198"/>
      <c r="U303" s="403"/>
      <c r="V303" s="19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03"/>
      <c r="B304" s="198"/>
      <c r="C304" s="403"/>
      <c r="D304" s="198"/>
      <c r="E304" s="403"/>
      <c r="F304" s="198"/>
      <c r="G304" s="403"/>
      <c r="H304" s="198"/>
      <c r="I304" s="410"/>
      <c r="J304" s="142"/>
      <c r="K304" s="410"/>
      <c r="L304" s="142"/>
      <c r="M304" s="403"/>
      <c r="N304" s="198"/>
      <c r="O304" s="403"/>
      <c r="P304" s="198"/>
      <c r="Q304" s="410"/>
      <c r="R304" s="142"/>
      <c r="S304" s="403"/>
      <c r="T304" s="198"/>
      <c r="U304" s="403"/>
      <c r="V304" s="19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03"/>
      <c r="B305" s="198"/>
      <c r="C305" s="403"/>
      <c r="D305" s="198"/>
      <c r="E305" s="403"/>
      <c r="F305" s="198"/>
      <c r="G305" s="403"/>
      <c r="H305" s="198"/>
      <c r="I305" s="410"/>
      <c r="J305" s="142"/>
      <c r="K305" s="410"/>
      <c r="L305" s="142"/>
      <c r="M305" s="403"/>
      <c r="N305" s="198"/>
      <c r="O305" s="403"/>
      <c r="P305" s="198"/>
      <c r="Q305" s="410"/>
      <c r="R305" s="142"/>
      <c r="S305" s="403"/>
      <c r="T305" s="198"/>
      <c r="U305" s="403"/>
      <c r="V305" s="19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03"/>
      <c r="B306" s="198"/>
      <c r="C306" s="403"/>
      <c r="D306" s="198"/>
      <c r="E306" s="403"/>
      <c r="F306" s="198"/>
      <c r="G306" s="403"/>
      <c r="H306" s="198"/>
      <c r="I306" s="410"/>
      <c r="J306" s="142"/>
      <c r="K306" s="410"/>
      <c r="L306" s="142"/>
      <c r="M306" s="403"/>
      <c r="N306" s="198"/>
      <c r="O306" s="403"/>
      <c r="P306" s="198"/>
      <c r="Q306" s="410"/>
      <c r="R306" s="142"/>
      <c r="S306" s="403"/>
      <c r="T306" s="198"/>
      <c r="U306" s="403"/>
      <c r="V306" s="19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03"/>
      <c r="B307" s="198"/>
      <c r="C307" s="403"/>
      <c r="D307" s="198"/>
      <c r="E307" s="403"/>
      <c r="F307" s="198"/>
      <c r="G307" s="403"/>
      <c r="H307" s="198"/>
      <c r="I307" s="410"/>
      <c r="J307" s="142"/>
      <c r="K307" s="410"/>
      <c r="L307" s="142"/>
      <c r="M307" s="403"/>
      <c r="N307" s="198"/>
      <c r="O307" s="403"/>
      <c r="P307" s="198"/>
      <c r="Q307" s="410"/>
      <c r="R307" s="142"/>
      <c r="S307" s="403"/>
      <c r="T307" s="198"/>
      <c r="U307" s="403"/>
      <c r="V307" s="19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03"/>
      <c r="B308" s="198"/>
      <c r="C308" s="403"/>
      <c r="D308" s="198"/>
      <c r="E308" s="403"/>
      <c r="F308" s="198"/>
      <c r="G308" s="403"/>
      <c r="H308" s="198"/>
      <c r="I308" s="410"/>
      <c r="J308" s="142"/>
      <c r="K308" s="410"/>
      <c r="L308" s="142"/>
      <c r="M308" s="403"/>
      <c r="N308" s="198"/>
      <c r="O308" s="403"/>
      <c r="P308" s="198"/>
      <c r="Q308" s="410"/>
      <c r="R308" s="142"/>
      <c r="S308" s="403"/>
      <c r="T308" s="198"/>
      <c r="U308" s="403"/>
      <c r="V308" s="19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03"/>
      <c r="B309" s="198"/>
      <c r="C309" s="403"/>
      <c r="D309" s="198"/>
      <c r="E309" s="403"/>
      <c r="F309" s="198"/>
      <c r="G309" s="403"/>
      <c r="H309" s="198"/>
      <c r="I309" s="410"/>
      <c r="J309" s="142"/>
      <c r="K309" s="410"/>
      <c r="L309" s="142"/>
      <c r="M309" s="403"/>
      <c r="N309" s="198"/>
      <c r="O309" s="403"/>
      <c r="P309" s="198"/>
      <c r="Q309" s="410"/>
      <c r="R309" s="142"/>
      <c r="S309" s="403"/>
      <c r="T309" s="198"/>
      <c r="U309" s="403"/>
      <c r="V309" s="19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03"/>
      <c r="B310" s="198"/>
      <c r="C310" s="403"/>
      <c r="D310" s="198"/>
      <c r="E310" s="403"/>
      <c r="F310" s="198"/>
      <c r="G310" s="403"/>
      <c r="H310" s="198"/>
      <c r="I310" s="410"/>
      <c r="J310" s="142"/>
      <c r="K310" s="410"/>
      <c r="L310" s="142"/>
      <c r="M310" s="403"/>
      <c r="N310" s="198"/>
      <c r="O310" s="403"/>
      <c r="P310" s="198"/>
      <c r="Q310" s="410"/>
      <c r="R310" s="142"/>
      <c r="S310" s="403"/>
      <c r="T310" s="198"/>
      <c r="U310" s="403"/>
      <c r="V310" s="19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03"/>
      <c r="B311" s="198"/>
      <c r="C311" s="403"/>
      <c r="D311" s="198"/>
      <c r="E311" s="403"/>
      <c r="F311" s="198"/>
      <c r="G311" s="403"/>
      <c r="H311" s="198"/>
      <c r="I311" s="410"/>
      <c r="J311" s="142"/>
      <c r="K311" s="410"/>
      <c r="L311" s="142"/>
      <c r="M311" s="403"/>
      <c r="N311" s="198"/>
      <c r="O311" s="403"/>
      <c r="P311" s="198"/>
      <c r="Q311" s="410"/>
      <c r="R311" s="142"/>
      <c r="S311" s="403"/>
      <c r="T311" s="198"/>
      <c r="U311" s="403"/>
      <c r="V311" s="19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03"/>
      <c r="B312" s="198"/>
      <c r="C312" s="403"/>
      <c r="D312" s="198"/>
      <c r="E312" s="403"/>
      <c r="F312" s="198"/>
      <c r="G312" s="403"/>
      <c r="H312" s="198"/>
      <c r="I312" s="410"/>
      <c r="J312" s="142"/>
      <c r="K312" s="410"/>
      <c r="L312" s="142"/>
      <c r="M312" s="403"/>
      <c r="N312" s="198"/>
      <c r="O312" s="403"/>
      <c r="P312" s="198"/>
      <c r="Q312" s="410"/>
      <c r="R312" s="142"/>
      <c r="S312" s="403"/>
      <c r="T312" s="198"/>
      <c r="U312" s="403"/>
      <c r="V312" s="19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03"/>
      <c r="B313" s="198"/>
      <c r="C313" s="403"/>
      <c r="D313" s="198"/>
      <c r="E313" s="403"/>
      <c r="F313" s="198"/>
      <c r="G313" s="403"/>
      <c r="H313" s="198"/>
      <c r="I313" s="410"/>
      <c r="J313" s="142"/>
      <c r="K313" s="410"/>
      <c r="L313" s="142"/>
      <c r="M313" s="403"/>
      <c r="N313" s="198"/>
      <c r="O313" s="403"/>
      <c r="P313" s="198"/>
      <c r="Q313" s="410"/>
      <c r="R313" s="142"/>
      <c r="S313" s="403"/>
      <c r="T313" s="198"/>
      <c r="U313" s="403"/>
      <c r="V313" s="19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03"/>
      <c r="B314" s="198"/>
      <c r="C314" s="403"/>
      <c r="D314" s="198"/>
      <c r="E314" s="403"/>
      <c r="F314" s="198"/>
      <c r="G314" s="403"/>
      <c r="H314" s="198"/>
      <c r="I314" s="410"/>
      <c r="J314" s="142"/>
      <c r="K314" s="410"/>
      <c r="L314" s="142"/>
      <c r="M314" s="403"/>
      <c r="N314" s="198"/>
      <c r="O314" s="403"/>
      <c r="P314" s="198"/>
      <c r="Q314" s="410"/>
      <c r="R314" s="142"/>
      <c r="S314" s="403"/>
      <c r="T314" s="198"/>
      <c r="U314" s="403"/>
      <c r="V314" s="19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03"/>
      <c r="B315" s="198"/>
      <c r="C315" s="403"/>
      <c r="D315" s="198"/>
      <c r="E315" s="403"/>
      <c r="F315" s="198"/>
      <c r="G315" s="403"/>
      <c r="H315" s="198"/>
      <c r="I315" s="410"/>
      <c r="J315" s="142"/>
      <c r="K315" s="410"/>
      <c r="L315" s="142"/>
      <c r="M315" s="403"/>
      <c r="N315" s="198"/>
      <c r="O315" s="403"/>
      <c r="P315" s="198"/>
      <c r="Q315" s="410"/>
      <c r="R315" s="142"/>
      <c r="S315" s="403"/>
      <c r="T315" s="198"/>
      <c r="U315" s="403"/>
      <c r="V315" s="19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03"/>
      <c r="B316" s="198"/>
      <c r="C316" s="403"/>
      <c r="D316" s="198"/>
      <c r="E316" s="403"/>
      <c r="F316" s="198"/>
      <c r="G316" s="403"/>
      <c r="H316" s="198"/>
      <c r="I316" s="410"/>
      <c r="J316" s="142"/>
      <c r="K316" s="410"/>
      <c r="L316" s="142"/>
      <c r="M316" s="403"/>
      <c r="N316" s="198"/>
      <c r="O316" s="403"/>
      <c r="P316" s="198"/>
      <c r="Q316" s="410"/>
      <c r="R316" s="142"/>
      <c r="S316" s="403"/>
      <c r="T316" s="198"/>
      <c r="U316" s="403"/>
      <c r="V316" s="19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03"/>
      <c r="B317" s="198"/>
      <c r="C317" s="403"/>
      <c r="D317" s="198"/>
      <c r="E317" s="403"/>
      <c r="F317" s="198"/>
      <c r="G317" s="403"/>
      <c r="H317" s="198"/>
      <c r="I317" s="410"/>
      <c r="J317" s="142"/>
      <c r="K317" s="410"/>
      <c r="L317" s="142"/>
      <c r="M317" s="403"/>
      <c r="N317" s="198"/>
      <c r="O317" s="403"/>
      <c r="P317" s="198"/>
      <c r="Q317" s="410"/>
      <c r="R317" s="142"/>
      <c r="S317" s="403"/>
      <c r="T317" s="198"/>
      <c r="U317" s="403"/>
      <c r="V317" s="19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03"/>
      <c r="B318" s="198"/>
      <c r="C318" s="403"/>
      <c r="D318" s="198"/>
      <c r="E318" s="403"/>
      <c r="F318" s="198"/>
      <c r="G318" s="403"/>
      <c r="H318" s="198"/>
      <c r="I318" s="410"/>
      <c r="J318" s="142"/>
      <c r="K318" s="410"/>
      <c r="L318" s="142"/>
      <c r="M318" s="403"/>
      <c r="N318" s="198"/>
      <c r="O318" s="403"/>
      <c r="P318" s="198"/>
      <c r="Q318" s="410"/>
      <c r="R318" s="142"/>
      <c r="S318" s="403"/>
      <c r="T318" s="198"/>
      <c r="U318" s="403"/>
      <c r="V318" s="19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03"/>
      <c r="B319" s="198"/>
      <c r="C319" s="403"/>
      <c r="D319" s="198"/>
      <c r="E319" s="403"/>
      <c r="F319" s="198"/>
      <c r="G319" s="403"/>
      <c r="H319" s="198"/>
      <c r="I319" s="410"/>
      <c r="J319" s="142"/>
      <c r="K319" s="410"/>
      <c r="L319" s="142"/>
      <c r="M319" s="403"/>
      <c r="N319" s="198"/>
      <c r="O319" s="403"/>
      <c r="P319" s="198"/>
      <c r="Q319" s="410"/>
      <c r="R319" s="142"/>
      <c r="S319" s="403"/>
      <c r="T319" s="198"/>
      <c r="U319" s="403"/>
      <c r="V319" s="19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03"/>
      <c r="B320" s="198"/>
      <c r="C320" s="403"/>
      <c r="D320" s="198"/>
      <c r="E320" s="403"/>
      <c r="F320" s="198"/>
      <c r="G320" s="403"/>
      <c r="H320" s="198"/>
      <c r="I320" s="410"/>
      <c r="J320" s="142"/>
      <c r="K320" s="410"/>
      <c r="L320" s="142"/>
      <c r="M320" s="403"/>
      <c r="N320" s="198"/>
      <c r="O320" s="403"/>
      <c r="P320" s="198"/>
      <c r="Q320" s="410"/>
      <c r="R320" s="142"/>
      <c r="S320" s="403"/>
      <c r="T320" s="198"/>
      <c r="U320" s="403"/>
      <c r="V320" s="19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03"/>
      <c r="B321" s="198"/>
      <c r="C321" s="403"/>
      <c r="D321" s="198"/>
      <c r="E321" s="403"/>
      <c r="F321" s="198"/>
      <c r="G321" s="403"/>
      <c r="H321" s="198"/>
      <c r="I321" s="410"/>
      <c r="J321" s="142"/>
      <c r="K321" s="410"/>
      <c r="L321" s="142"/>
      <c r="M321" s="403"/>
      <c r="N321" s="198"/>
      <c r="O321" s="403"/>
      <c r="P321" s="198"/>
      <c r="Q321" s="410"/>
      <c r="R321" s="142"/>
      <c r="S321" s="403"/>
      <c r="T321" s="198"/>
      <c r="U321" s="403"/>
      <c r="V321" s="19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03"/>
      <c r="B322" s="198"/>
      <c r="C322" s="403"/>
      <c r="D322" s="198"/>
      <c r="E322" s="403"/>
      <c r="F322" s="198"/>
      <c r="G322" s="403"/>
      <c r="H322" s="198"/>
      <c r="I322" s="410"/>
      <c r="J322" s="142"/>
      <c r="K322" s="410"/>
      <c r="L322" s="142"/>
      <c r="M322" s="403"/>
      <c r="N322" s="198"/>
      <c r="O322" s="403"/>
      <c r="P322" s="198"/>
      <c r="Q322" s="410"/>
      <c r="R322" s="142"/>
      <c r="S322" s="403"/>
      <c r="T322" s="198"/>
      <c r="U322" s="403"/>
      <c r="V322" s="19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03"/>
      <c r="B323" s="198"/>
      <c r="C323" s="403"/>
      <c r="D323" s="198"/>
      <c r="E323" s="403"/>
      <c r="F323" s="198"/>
      <c r="G323" s="403"/>
      <c r="H323" s="198"/>
      <c r="I323" s="410"/>
      <c r="J323" s="142"/>
      <c r="K323" s="410"/>
      <c r="L323" s="142"/>
      <c r="M323" s="403"/>
      <c r="N323" s="198"/>
      <c r="O323" s="403"/>
      <c r="P323" s="198"/>
      <c r="Q323" s="410"/>
      <c r="R323" s="142"/>
      <c r="S323" s="403"/>
      <c r="T323" s="198"/>
      <c r="U323" s="403"/>
      <c r="V323" s="19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03"/>
      <c r="B324" s="198"/>
      <c r="C324" s="403"/>
      <c r="D324" s="198"/>
      <c r="E324" s="403"/>
      <c r="F324" s="198"/>
      <c r="G324" s="403"/>
      <c r="H324" s="198"/>
      <c r="I324" s="410"/>
      <c r="J324" s="142"/>
      <c r="K324" s="410"/>
      <c r="L324" s="142"/>
      <c r="M324" s="403"/>
      <c r="N324" s="198"/>
      <c r="O324" s="403"/>
      <c r="P324" s="198"/>
      <c r="Q324" s="410"/>
      <c r="R324" s="142"/>
      <c r="S324" s="403"/>
      <c r="T324" s="198"/>
      <c r="U324" s="403"/>
      <c r="V324" s="19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03"/>
      <c r="B325" s="198"/>
      <c r="C325" s="403"/>
      <c r="D325" s="198"/>
      <c r="E325" s="403"/>
      <c r="F325" s="198"/>
      <c r="G325" s="403"/>
      <c r="H325" s="198"/>
      <c r="I325" s="410"/>
      <c r="J325" s="142"/>
      <c r="K325" s="410"/>
      <c r="L325" s="142"/>
      <c r="M325" s="403"/>
      <c r="N325" s="198"/>
      <c r="O325" s="403"/>
      <c r="P325" s="198"/>
      <c r="Q325" s="410"/>
      <c r="R325" s="142"/>
      <c r="S325" s="403"/>
      <c r="T325" s="198"/>
      <c r="U325" s="403"/>
      <c r="V325" s="19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03"/>
      <c r="B326" s="198"/>
      <c r="C326" s="403"/>
      <c r="D326" s="198"/>
      <c r="E326" s="403"/>
      <c r="F326" s="198"/>
      <c r="G326" s="403"/>
      <c r="H326" s="198"/>
      <c r="I326" s="410"/>
      <c r="J326" s="142"/>
      <c r="K326" s="410"/>
      <c r="L326" s="142"/>
      <c r="M326" s="403"/>
      <c r="N326" s="198"/>
      <c r="O326" s="403"/>
      <c r="P326" s="198"/>
      <c r="Q326" s="410"/>
      <c r="R326" s="142"/>
      <c r="S326" s="403"/>
      <c r="T326" s="198"/>
      <c r="U326" s="403"/>
      <c r="V326" s="19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03"/>
      <c r="B327" s="198"/>
      <c r="C327" s="403"/>
      <c r="D327" s="198"/>
      <c r="E327" s="403"/>
      <c r="F327" s="198"/>
      <c r="G327" s="403"/>
      <c r="H327" s="198"/>
      <c r="I327" s="410"/>
      <c r="J327" s="142"/>
      <c r="K327" s="410"/>
      <c r="L327" s="142"/>
      <c r="M327" s="403"/>
      <c r="N327" s="198"/>
      <c r="O327" s="403"/>
      <c r="P327" s="198"/>
      <c r="Q327" s="410"/>
      <c r="R327" s="142"/>
      <c r="S327" s="403"/>
      <c r="T327" s="198"/>
      <c r="U327" s="403"/>
      <c r="V327" s="19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03"/>
      <c r="B328" s="198"/>
      <c r="C328" s="403"/>
      <c r="D328" s="198"/>
      <c r="E328" s="403"/>
      <c r="F328" s="198"/>
      <c r="G328" s="403"/>
      <c r="H328" s="198"/>
      <c r="I328" s="410"/>
      <c r="J328" s="142"/>
      <c r="K328" s="410"/>
      <c r="L328" s="142"/>
      <c r="M328" s="403"/>
      <c r="N328" s="198"/>
      <c r="O328" s="403"/>
      <c r="P328" s="198"/>
      <c r="Q328" s="410"/>
      <c r="R328" s="142"/>
      <c r="S328" s="403"/>
      <c r="T328" s="198"/>
      <c r="U328" s="403"/>
      <c r="V328" s="19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03"/>
      <c r="B329" s="198"/>
      <c r="C329" s="403"/>
      <c r="D329" s="198"/>
      <c r="E329" s="403"/>
      <c r="F329" s="198"/>
      <c r="G329" s="403"/>
      <c r="H329" s="198"/>
      <c r="I329" s="410"/>
      <c r="J329" s="142"/>
      <c r="K329" s="410"/>
      <c r="L329" s="142"/>
      <c r="M329" s="403"/>
      <c r="N329" s="198"/>
      <c r="O329" s="403"/>
      <c r="P329" s="198"/>
      <c r="Q329" s="410"/>
      <c r="R329" s="142"/>
      <c r="S329" s="403"/>
      <c r="T329" s="198"/>
      <c r="U329" s="403"/>
      <c r="V329" s="19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03"/>
      <c r="B330" s="198"/>
      <c r="C330" s="403"/>
      <c r="D330" s="198"/>
      <c r="E330" s="403"/>
      <c r="F330" s="198"/>
      <c r="G330" s="403"/>
      <c r="H330" s="198"/>
      <c r="I330" s="410"/>
      <c r="J330" s="142"/>
      <c r="K330" s="410"/>
      <c r="L330" s="142"/>
      <c r="M330" s="403"/>
      <c r="N330" s="198"/>
      <c r="O330" s="403"/>
      <c r="P330" s="198"/>
      <c r="Q330" s="410"/>
      <c r="R330" s="142"/>
      <c r="S330" s="403"/>
      <c r="T330" s="198"/>
      <c r="U330" s="403"/>
      <c r="V330" s="19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03"/>
      <c r="B331" s="198"/>
      <c r="C331" s="403"/>
      <c r="D331" s="198"/>
      <c r="E331" s="403"/>
      <c r="F331" s="198"/>
      <c r="G331" s="403"/>
      <c r="H331" s="198"/>
      <c r="I331" s="410"/>
      <c r="J331" s="142"/>
      <c r="K331" s="410"/>
      <c r="L331" s="142"/>
      <c r="M331" s="403"/>
      <c r="N331" s="198"/>
      <c r="O331" s="403"/>
      <c r="P331" s="198"/>
      <c r="Q331" s="410"/>
      <c r="R331" s="142"/>
      <c r="S331" s="403"/>
      <c r="T331" s="198"/>
      <c r="U331" s="403"/>
      <c r="V331" s="19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03"/>
      <c r="B332" s="198"/>
      <c r="C332" s="403"/>
      <c r="D332" s="198"/>
      <c r="E332" s="403"/>
      <c r="F332" s="198"/>
      <c r="G332" s="403"/>
      <c r="H332" s="198"/>
      <c r="I332" s="410"/>
      <c r="J332" s="142"/>
      <c r="K332" s="410"/>
      <c r="L332" s="142"/>
      <c r="M332" s="403"/>
      <c r="N332" s="198"/>
      <c r="O332" s="403"/>
      <c r="P332" s="198"/>
      <c r="Q332" s="410"/>
      <c r="R332" s="142"/>
      <c r="S332" s="403"/>
      <c r="T332" s="198"/>
      <c r="U332" s="403"/>
      <c r="V332" s="19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03"/>
      <c r="B333" s="198"/>
      <c r="C333" s="403"/>
      <c r="D333" s="198"/>
      <c r="E333" s="403"/>
      <c r="F333" s="198"/>
      <c r="G333" s="403"/>
      <c r="H333" s="198"/>
      <c r="I333" s="410"/>
      <c r="J333" s="142"/>
      <c r="K333" s="410"/>
      <c r="L333" s="142"/>
      <c r="M333" s="403"/>
      <c r="N333" s="198"/>
      <c r="O333" s="403"/>
      <c r="P333" s="198"/>
      <c r="Q333" s="410"/>
      <c r="R333" s="142"/>
      <c r="S333" s="403"/>
      <c r="T333" s="198"/>
      <c r="U333" s="403"/>
      <c r="V333" s="19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03"/>
      <c r="B334" s="198"/>
      <c r="C334" s="403"/>
      <c r="D334" s="198"/>
      <c r="E334" s="403"/>
      <c r="F334" s="198"/>
      <c r="G334" s="403"/>
      <c r="H334" s="198"/>
      <c r="I334" s="410"/>
      <c r="J334" s="142"/>
      <c r="K334" s="410"/>
      <c r="L334" s="142"/>
      <c r="M334" s="403"/>
      <c r="N334" s="198"/>
      <c r="O334" s="403"/>
      <c r="P334" s="198"/>
      <c r="Q334" s="410"/>
      <c r="R334" s="142"/>
      <c r="S334" s="403"/>
      <c r="T334" s="198"/>
      <c r="U334" s="403"/>
      <c r="V334" s="19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03"/>
      <c r="B335" s="198"/>
      <c r="C335" s="403"/>
      <c r="D335" s="198"/>
      <c r="E335" s="403"/>
      <c r="F335" s="198"/>
      <c r="G335" s="403"/>
      <c r="H335" s="198"/>
      <c r="I335" s="410"/>
      <c r="J335" s="142"/>
      <c r="K335" s="410"/>
      <c r="L335" s="142"/>
      <c r="M335" s="403"/>
      <c r="N335" s="198"/>
      <c r="O335" s="403"/>
      <c r="P335" s="198"/>
      <c r="Q335" s="410"/>
      <c r="R335" s="142"/>
      <c r="S335" s="403"/>
      <c r="T335" s="198"/>
      <c r="U335" s="403"/>
      <c r="V335" s="19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03"/>
      <c r="B336" s="198"/>
      <c r="C336" s="403"/>
      <c r="D336" s="198"/>
      <c r="E336" s="403"/>
      <c r="F336" s="198"/>
      <c r="G336" s="403"/>
      <c r="H336" s="198"/>
      <c r="I336" s="410"/>
      <c r="J336" s="142"/>
      <c r="K336" s="410"/>
      <c r="L336" s="142"/>
      <c r="M336" s="403"/>
      <c r="N336" s="198"/>
      <c r="O336" s="403"/>
      <c r="P336" s="198"/>
      <c r="Q336" s="410"/>
      <c r="R336" s="142"/>
      <c r="S336" s="403"/>
      <c r="T336" s="198"/>
      <c r="U336" s="403"/>
      <c r="V336" s="19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03"/>
      <c r="B337" s="198"/>
      <c r="C337" s="403"/>
      <c r="D337" s="198"/>
      <c r="E337" s="403"/>
      <c r="F337" s="198"/>
      <c r="G337" s="403"/>
      <c r="H337" s="198"/>
      <c r="I337" s="410"/>
      <c r="J337" s="142"/>
      <c r="K337" s="410"/>
      <c r="L337" s="142"/>
      <c r="M337" s="403"/>
      <c r="N337" s="198"/>
      <c r="O337" s="403"/>
      <c r="P337" s="198"/>
      <c r="Q337" s="410"/>
      <c r="R337" s="142"/>
      <c r="S337" s="403"/>
      <c r="T337" s="198"/>
      <c r="U337" s="403"/>
      <c r="V337" s="19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03"/>
      <c r="B338" s="198"/>
      <c r="C338" s="403"/>
      <c r="D338" s="198"/>
      <c r="E338" s="403"/>
      <c r="F338" s="198"/>
      <c r="G338" s="403"/>
      <c r="H338" s="198"/>
      <c r="I338" s="410"/>
      <c r="J338" s="142"/>
      <c r="K338" s="410"/>
      <c r="L338" s="142"/>
      <c r="M338" s="403"/>
      <c r="N338" s="198"/>
      <c r="O338" s="403"/>
      <c r="P338" s="198"/>
      <c r="Q338" s="410"/>
      <c r="R338" s="142"/>
      <c r="S338" s="403"/>
      <c r="T338" s="198"/>
      <c r="U338" s="403"/>
      <c r="V338" s="19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03"/>
      <c r="B339" s="198"/>
      <c r="C339" s="403"/>
      <c r="D339" s="198"/>
      <c r="E339" s="403"/>
      <c r="F339" s="198"/>
      <c r="G339" s="403"/>
      <c r="H339" s="198"/>
      <c r="I339" s="410"/>
      <c r="J339" s="142"/>
      <c r="K339" s="410"/>
      <c r="L339" s="142"/>
      <c r="M339" s="403"/>
      <c r="N339" s="198"/>
      <c r="O339" s="403"/>
      <c r="P339" s="198"/>
      <c r="Q339" s="410"/>
      <c r="R339" s="142"/>
      <c r="S339" s="403"/>
      <c r="T339" s="198"/>
      <c r="U339" s="403"/>
      <c r="V339" s="19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03"/>
      <c r="B340" s="198"/>
      <c r="C340" s="403"/>
      <c r="D340" s="198"/>
      <c r="E340" s="403"/>
      <c r="F340" s="198"/>
      <c r="G340" s="403"/>
      <c r="H340" s="198"/>
      <c r="I340" s="410"/>
      <c r="J340" s="142"/>
      <c r="K340" s="410"/>
      <c r="L340" s="142"/>
      <c r="M340" s="403"/>
      <c r="N340" s="198"/>
      <c r="O340" s="403"/>
      <c r="P340" s="198"/>
      <c r="Q340" s="410"/>
      <c r="R340" s="142"/>
      <c r="S340" s="403"/>
      <c r="T340" s="198"/>
      <c r="U340" s="403"/>
      <c r="V340" s="19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03"/>
      <c r="B341" s="198"/>
      <c r="C341" s="403"/>
      <c r="D341" s="198"/>
      <c r="E341" s="403"/>
      <c r="F341" s="198"/>
      <c r="G341" s="403"/>
      <c r="H341" s="198"/>
      <c r="I341" s="410"/>
      <c r="J341" s="142"/>
      <c r="K341" s="410"/>
      <c r="L341" s="142"/>
      <c r="M341" s="403"/>
      <c r="N341" s="198"/>
      <c r="O341" s="403"/>
      <c r="P341" s="198"/>
      <c r="Q341" s="410"/>
      <c r="R341" s="142"/>
      <c r="S341" s="403"/>
      <c r="T341" s="198"/>
      <c r="U341" s="403"/>
      <c r="V341" s="19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03"/>
      <c r="B342" s="198"/>
      <c r="C342" s="403"/>
      <c r="D342" s="198"/>
      <c r="E342" s="403"/>
      <c r="F342" s="198"/>
      <c r="G342" s="403"/>
      <c r="H342" s="198"/>
      <c r="I342" s="410"/>
      <c r="J342" s="142"/>
      <c r="K342" s="410"/>
      <c r="L342" s="142"/>
      <c r="M342" s="403"/>
      <c r="N342" s="198"/>
      <c r="O342" s="403"/>
      <c r="P342" s="198"/>
      <c r="Q342" s="410"/>
      <c r="R342" s="142"/>
      <c r="S342" s="403"/>
      <c r="T342" s="198"/>
      <c r="U342" s="403"/>
      <c r="V342" s="19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03"/>
      <c r="B343" s="198"/>
      <c r="C343" s="403"/>
      <c r="D343" s="198"/>
      <c r="E343" s="403"/>
      <c r="F343" s="198"/>
      <c r="G343" s="403"/>
      <c r="H343" s="198"/>
      <c r="I343" s="410"/>
      <c r="J343" s="142"/>
      <c r="K343" s="410"/>
      <c r="L343" s="142"/>
      <c r="M343" s="403"/>
      <c r="N343" s="198"/>
      <c r="O343" s="403"/>
      <c r="P343" s="198"/>
      <c r="Q343" s="410"/>
      <c r="R343" s="142"/>
      <c r="S343" s="403"/>
      <c r="T343" s="198"/>
      <c r="U343" s="403"/>
      <c r="V343" s="19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03"/>
      <c r="B344" s="198"/>
      <c r="C344" s="403"/>
      <c r="D344" s="198"/>
      <c r="E344" s="403"/>
      <c r="F344" s="198"/>
      <c r="G344" s="403"/>
      <c r="H344" s="198"/>
      <c r="I344" s="410"/>
      <c r="J344" s="142"/>
      <c r="K344" s="410"/>
      <c r="L344" s="142"/>
      <c r="M344" s="403"/>
      <c r="N344" s="198"/>
      <c r="O344" s="403"/>
      <c r="P344" s="198"/>
      <c r="Q344" s="410"/>
      <c r="R344" s="142"/>
      <c r="S344" s="403"/>
      <c r="T344" s="198"/>
      <c r="U344" s="403"/>
      <c r="V344" s="19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03"/>
      <c r="B345" s="198"/>
      <c r="C345" s="403"/>
      <c r="D345" s="198"/>
      <c r="E345" s="403"/>
      <c r="F345" s="198"/>
      <c r="G345" s="403"/>
      <c r="H345" s="198"/>
      <c r="I345" s="410"/>
      <c r="J345" s="142"/>
      <c r="K345" s="410"/>
      <c r="L345" s="142"/>
      <c r="M345" s="403"/>
      <c r="N345" s="198"/>
      <c r="O345" s="403"/>
      <c r="P345" s="198"/>
      <c r="Q345" s="410"/>
      <c r="R345" s="142"/>
      <c r="S345" s="403"/>
      <c r="T345" s="198"/>
      <c r="U345" s="403"/>
      <c r="V345" s="19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03"/>
      <c r="B346" s="198"/>
      <c r="C346" s="403"/>
      <c r="D346" s="198"/>
      <c r="E346" s="403"/>
      <c r="F346" s="198"/>
      <c r="G346" s="403"/>
      <c r="H346" s="198"/>
      <c r="I346" s="410"/>
      <c r="J346" s="142"/>
      <c r="K346" s="410"/>
      <c r="L346" s="142"/>
      <c r="M346" s="403"/>
      <c r="N346" s="198"/>
      <c r="O346" s="403"/>
      <c r="P346" s="198"/>
      <c r="Q346" s="410"/>
      <c r="R346" s="142"/>
      <c r="S346" s="403"/>
      <c r="T346" s="198"/>
      <c r="U346" s="403"/>
      <c r="V346" s="19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03"/>
      <c r="B347" s="198"/>
      <c r="C347" s="403"/>
      <c r="D347" s="198"/>
      <c r="E347" s="403"/>
      <c r="F347" s="198"/>
      <c r="G347" s="403"/>
      <c r="H347" s="198"/>
      <c r="I347" s="410"/>
      <c r="J347" s="142"/>
      <c r="K347" s="410"/>
      <c r="L347" s="142"/>
      <c r="M347" s="403"/>
      <c r="N347" s="198"/>
      <c r="O347" s="403"/>
      <c r="P347" s="198"/>
      <c r="Q347" s="410"/>
      <c r="R347" s="142"/>
      <c r="S347" s="403"/>
      <c r="T347" s="198"/>
      <c r="U347" s="403"/>
      <c r="V347" s="19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03"/>
      <c r="B348" s="198"/>
      <c r="C348" s="403"/>
      <c r="D348" s="198"/>
      <c r="E348" s="403"/>
      <c r="F348" s="198"/>
      <c r="G348" s="403"/>
      <c r="H348" s="198"/>
      <c r="I348" s="410"/>
      <c r="J348" s="142"/>
      <c r="K348" s="410"/>
      <c r="L348" s="142"/>
      <c r="M348" s="403"/>
      <c r="N348" s="198"/>
      <c r="O348" s="403"/>
      <c r="P348" s="198"/>
      <c r="Q348" s="410"/>
      <c r="R348" s="142"/>
      <c r="S348" s="403"/>
      <c r="T348" s="198"/>
      <c r="U348" s="403"/>
      <c r="V348" s="19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03"/>
      <c r="B349" s="198"/>
      <c r="C349" s="403"/>
      <c r="D349" s="198"/>
      <c r="E349" s="403"/>
      <c r="F349" s="198"/>
      <c r="G349" s="403"/>
      <c r="H349" s="198"/>
      <c r="I349" s="410"/>
      <c r="J349" s="142"/>
      <c r="K349" s="410"/>
      <c r="L349" s="142"/>
      <c r="M349" s="403"/>
      <c r="N349" s="198"/>
      <c r="O349" s="403"/>
      <c r="P349" s="198"/>
      <c r="Q349" s="410"/>
      <c r="R349" s="142"/>
      <c r="S349" s="403"/>
      <c r="T349" s="198"/>
      <c r="U349" s="403"/>
      <c r="V349" s="19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03"/>
      <c r="B350" s="198"/>
      <c r="C350" s="403"/>
      <c r="D350" s="198"/>
      <c r="E350" s="403"/>
      <c r="F350" s="198"/>
      <c r="G350" s="403"/>
      <c r="H350" s="198"/>
      <c r="I350" s="410"/>
      <c r="J350" s="142"/>
      <c r="K350" s="410"/>
      <c r="L350" s="142"/>
      <c r="M350" s="403"/>
      <c r="N350" s="198"/>
      <c r="O350" s="403"/>
      <c r="P350" s="198"/>
      <c r="Q350" s="410"/>
      <c r="R350" s="142"/>
      <c r="S350" s="403"/>
      <c r="T350" s="198"/>
      <c r="U350" s="403"/>
      <c r="V350" s="19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03"/>
      <c r="B351" s="198"/>
      <c r="C351" s="403"/>
      <c r="D351" s="198"/>
      <c r="E351" s="403"/>
      <c r="F351" s="198"/>
      <c r="G351" s="403"/>
      <c r="H351" s="198"/>
      <c r="I351" s="410"/>
      <c r="J351" s="142"/>
      <c r="K351" s="410"/>
      <c r="L351" s="142"/>
      <c r="M351" s="403"/>
      <c r="N351" s="198"/>
      <c r="O351" s="403"/>
      <c r="P351" s="198"/>
      <c r="Q351" s="410"/>
      <c r="R351" s="142"/>
      <c r="S351" s="403"/>
      <c r="T351" s="198"/>
      <c r="U351" s="403"/>
      <c r="V351" s="19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03"/>
      <c r="B352" s="198"/>
      <c r="C352" s="403"/>
      <c r="D352" s="198"/>
      <c r="E352" s="403"/>
      <c r="F352" s="198"/>
      <c r="G352" s="403"/>
      <c r="H352" s="198"/>
      <c r="I352" s="410"/>
      <c r="J352" s="142"/>
      <c r="K352" s="410"/>
      <c r="L352" s="142"/>
      <c r="M352" s="403"/>
      <c r="N352" s="198"/>
      <c r="O352" s="403"/>
      <c r="P352" s="198"/>
      <c r="Q352" s="410"/>
      <c r="R352" s="142"/>
      <c r="S352" s="403"/>
      <c r="T352" s="198"/>
      <c r="U352" s="403"/>
      <c r="V352" s="19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03"/>
      <c r="B353" s="198"/>
      <c r="C353" s="403"/>
      <c r="D353" s="198"/>
      <c r="E353" s="403"/>
      <c r="F353" s="198"/>
      <c r="G353" s="403"/>
      <c r="H353" s="198"/>
      <c r="I353" s="410"/>
      <c r="J353" s="142"/>
      <c r="K353" s="410"/>
      <c r="L353" s="142"/>
      <c r="M353" s="403"/>
      <c r="N353" s="198"/>
      <c r="O353" s="403"/>
      <c r="P353" s="198"/>
      <c r="Q353" s="410"/>
      <c r="R353" s="142"/>
      <c r="S353" s="403"/>
      <c r="T353" s="198"/>
      <c r="U353" s="403"/>
      <c r="V353" s="19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03"/>
      <c r="B354" s="198"/>
      <c r="C354" s="403"/>
      <c r="D354" s="198"/>
      <c r="E354" s="403"/>
      <c r="F354" s="198"/>
      <c r="G354" s="403"/>
      <c r="H354" s="198"/>
      <c r="I354" s="410"/>
      <c r="J354" s="142"/>
      <c r="K354" s="410"/>
      <c r="L354" s="142"/>
      <c r="M354" s="403"/>
      <c r="N354" s="198"/>
      <c r="O354" s="403"/>
      <c r="P354" s="198"/>
      <c r="Q354" s="410"/>
      <c r="R354" s="142"/>
      <c r="S354" s="403"/>
      <c r="T354" s="198"/>
      <c r="U354" s="403"/>
      <c r="V354" s="19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03"/>
      <c r="B355" s="198"/>
      <c r="C355" s="403"/>
      <c r="D355" s="198"/>
      <c r="E355" s="403"/>
      <c r="F355" s="198"/>
      <c r="G355" s="403"/>
      <c r="H355" s="198"/>
      <c r="I355" s="410"/>
      <c r="J355" s="142"/>
      <c r="K355" s="410"/>
      <c r="L355" s="142"/>
      <c r="M355" s="403"/>
      <c r="N355" s="198"/>
      <c r="O355" s="403"/>
      <c r="P355" s="198"/>
      <c r="Q355" s="410"/>
      <c r="R355" s="142"/>
      <c r="S355" s="403"/>
      <c r="T355" s="198"/>
      <c r="U355" s="403"/>
      <c r="V355" s="19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03"/>
      <c r="B356" s="198"/>
      <c r="C356" s="403"/>
      <c r="D356" s="198"/>
      <c r="E356" s="403"/>
      <c r="F356" s="198"/>
      <c r="G356" s="403"/>
      <c r="H356" s="198"/>
      <c r="I356" s="410"/>
      <c r="J356" s="142"/>
      <c r="K356" s="410"/>
      <c r="L356" s="142"/>
      <c r="M356" s="403"/>
      <c r="N356" s="198"/>
      <c r="O356" s="403"/>
      <c r="P356" s="198"/>
      <c r="Q356" s="410"/>
      <c r="R356" s="142"/>
      <c r="S356" s="403"/>
      <c r="T356" s="198"/>
      <c r="U356" s="403"/>
      <c r="V356" s="19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03"/>
      <c r="B357" s="198"/>
      <c r="C357" s="403"/>
      <c r="D357" s="198"/>
      <c r="E357" s="403"/>
      <c r="F357" s="198"/>
      <c r="G357" s="403"/>
      <c r="H357" s="198"/>
      <c r="I357" s="410"/>
      <c r="J357" s="142"/>
      <c r="K357" s="410"/>
      <c r="L357" s="142"/>
      <c r="M357" s="403"/>
      <c r="N357" s="198"/>
      <c r="O357" s="403"/>
      <c r="P357" s="198"/>
      <c r="Q357" s="410"/>
      <c r="R357" s="142"/>
      <c r="S357" s="403"/>
      <c r="T357" s="198"/>
      <c r="U357" s="403"/>
      <c r="V357" s="19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03"/>
      <c r="B358" s="198"/>
      <c r="C358" s="403"/>
      <c r="D358" s="198"/>
      <c r="E358" s="403"/>
      <c r="F358" s="198"/>
      <c r="G358" s="403"/>
      <c r="H358" s="198"/>
      <c r="I358" s="410"/>
      <c r="J358" s="142"/>
      <c r="K358" s="410"/>
      <c r="L358" s="142"/>
      <c r="M358" s="403"/>
      <c r="N358" s="198"/>
      <c r="O358" s="403"/>
      <c r="P358" s="198"/>
      <c r="Q358" s="410"/>
      <c r="R358" s="142"/>
      <c r="S358" s="403"/>
      <c r="T358" s="198"/>
      <c r="U358" s="403"/>
      <c r="V358" s="19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03"/>
      <c r="B359" s="198"/>
      <c r="C359" s="403"/>
      <c r="D359" s="198"/>
      <c r="E359" s="403"/>
      <c r="F359" s="198"/>
      <c r="G359" s="403"/>
      <c r="H359" s="198"/>
      <c r="I359" s="410"/>
      <c r="J359" s="142"/>
      <c r="K359" s="410"/>
      <c r="L359" s="142"/>
      <c r="M359" s="403"/>
      <c r="N359" s="198"/>
      <c r="O359" s="403"/>
      <c r="P359" s="198"/>
      <c r="Q359" s="410"/>
      <c r="R359" s="142"/>
      <c r="S359" s="403"/>
      <c r="T359" s="198"/>
      <c r="U359" s="403"/>
      <c r="V359" s="19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03"/>
      <c r="B360" s="198"/>
      <c r="C360" s="403"/>
      <c r="D360" s="198"/>
      <c r="E360" s="403"/>
      <c r="F360" s="198"/>
      <c r="G360" s="403"/>
      <c r="H360" s="198"/>
      <c r="I360" s="410"/>
      <c r="J360" s="142"/>
      <c r="K360" s="410"/>
      <c r="L360" s="142"/>
      <c r="M360" s="403"/>
      <c r="N360" s="198"/>
      <c r="O360" s="403"/>
      <c r="P360" s="198"/>
      <c r="Q360" s="410"/>
      <c r="R360" s="142"/>
      <c r="S360" s="403"/>
      <c r="T360" s="198"/>
      <c r="U360" s="403"/>
      <c r="V360" s="19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03"/>
      <c r="B361" s="198"/>
      <c r="C361" s="403"/>
      <c r="D361" s="198"/>
      <c r="E361" s="403"/>
      <c r="F361" s="198"/>
      <c r="G361" s="403"/>
      <c r="H361" s="198"/>
      <c r="I361" s="410"/>
      <c r="J361" s="142"/>
      <c r="K361" s="410"/>
      <c r="L361" s="142"/>
      <c r="M361" s="403"/>
      <c r="N361" s="198"/>
      <c r="O361" s="403"/>
      <c r="P361" s="198"/>
      <c r="Q361" s="410"/>
      <c r="R361" s="142"/>
      <c r="S361" s="403"/>
      <c r="T361" s="198"/>
      <c r="U361" s="403"/>
      <c r="V361" s="19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03"/>
      <c r="B362" s="198"/>
      <c r="C362" s="403"/>
      <c r="D362" s="198"/>
      <c r="E362" s="403"/>
      <c r="F362" s="198"/>
      <c r="G362" s="403"/>
      <c r="H362" s="198"/>
      <c r="I362" s="410"/>
      <c r="J362" s="142"/>
      <c r="K362" s="410"/>
      <c r="L362" s="142"/>
      <c r="M362" s="403"/>
      <c r="N362" s="198"/>
      <c r="O362" s="403"/>
      <c r="P362" s="198"/>
      <c r="Q362" s="410"/>
      <c r="R362" s="142"/>
      <c r="S362" s="403"/>
      <c r="T362" s="198"/>
      <c r="U362" s="403"/>
      <c r="V362" s="19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03"/>
      <c r="B363" s="198"/>
      <c r="C363" s="403"/>
      <c r="D363" s="198"/>
      <c r="E363" s="403"/>
      <c r="F363" s="198"/>
      <c r="G363" s="403"/>
      <c r="H363" s="198"/>
      <c r="I363" s="410"/>
      <c r="J363" s="142"/>
      <c r="K363" s="410"/>
      <c r="L363" s="142"/>
      <c r="M363" s="403"/>
      <c r="N363" s="198"/>
      <c r="O363" s="403"/>
      <c r="P363" s="198"/>
      <c r="Q363" s="410"/>
      <c r="R363" s="142"/>
      <c r="S363" s="403"/>
      <c r="T363" s="198"/>
      <c r="U363" s="403"/>
      <c r="V363" s="19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03"/>
      <c r="B364" s="198"/>
      <c r="C364" s="403"/>
      <c r="D364" s="198"/>
      <c r="E364" s="403"/>
      <c r="F364" s="198"/>
      <c r="G364" s="403"/>
      <c r="H364" s="198"/>
      <c r="I364" s="410"/>
      <c r="J364" s="142"/>
      <c r="K364" s="410"/>
      <c r="L364" s="142"/>
      <c r="M364" s="403"/>
      <c r="N364" s="198"/>
      <c r="O364" s="403"/>
      <c r="P364" s="198"/>
      <c r="Q364" s="410"/>
      <c r="R364" s="142"/>
      <c r="S364" s="403"/>
      <c r="T364" s="198"/>
      <c r="U364" s="403"/>
      <c r="V364" s="19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03"/>
      <c r="B365" s="198"/>
      <c r="C365" s="403"/>
      <c r="D365" s="198"/>
      <c r="E365" s="403"/>
      <c r="F365" s="198"/>
      <c r="G365" s="403"/>
      <c r="H365" s="198"/>
      <c r="I365" s="410"/>
      <c r="J365" s="142"/>
      <c r="K365" s="410"/>
      <c r="L365" s="142"/>
      <c r="M365" s="403"/>
      <c r="N365" s="198"/>
      <c r="O365" s="403"/>
      <c r="P365" s="198"/>
      <c r="Q365" s="410"/>
      <c r="R365" s="142"/>
      <c r="S365" s="403"/>
      <c r="T365" s="198"/>
      <c r="U365" s="403"/>
      <c r="V365" s="19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03"/>
      <c r="B366" s="198"/>
      <c r="C366" s="403"/>
      <c r="D366" s="198"/>
      <c r="E366" s="403"/>
      <c r="F366" s="198"/>
      <c r="G366" s="403"/>
      <c r="H366" s="198"/>
      <c r="I366" s="410"/>
      <c r="J366" s="142"/>
      <c r="K366" s="410"/>
      <c r="L366" s="142"/>
      <c r="M366" s="403"/>
      <c r="N366" s="198"/>
      <c r="O366" s="403"/>
      <c r="P366" s="198"/>
      <c r="Q366" s="410"/>
      <c r="R366" s="142"/>
      <c r="S366" s="403"/>
      <c r="T366" s="198"/>
      <c r="U366" s="403"/>
      <c r="V366" s="19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03"/>
      <c r="B367" s="198"/>
      <c r="C367" s="403"/>
      <c r="D367" s="198"/>
      <c r="E367" s="403"/>
      <c r="F367" s="198"/>
      <c r="G367" s="403"/>
      <c r="H367" s="198"/>
      <c r="I367" s="410"/>
      <c r="J367" s="142"/>
      <c r="K367" s="410"/>
      <c r="L367" s="142"/>
      <c r="M367" s="403"/>
      <c r="N367" s="198"/>
      <c r="O367" s="403"/>
      <c r="P367" s="198"/>
      <c r="Q367" s="410"/>
      <c r="R367" s="142"/>
      <c r="S367" s="403"/>
      <c r="T367" s="198"/>
      <c r="U367" s="403"/>
      <c r="V367" s="19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03"/>
      <c r="B368" s="198"/>
      <c r="C368" s="403"/>
      <c r="D368" s="198"/>
      <c r="E368" s="403"/>
      <c r="F368" s="198"/>
      <c r="G368" s="403"/>
      <c r="H368" s="198"/>
      <c r="I368" s="410"/>
      <c r="J368" s="142"/>
      <c r="K368" s="410"/>
      <c r="L368" s="142"/>
      <c r="M368" s="403"/>
      <c r="N368" s="198"/>
      <c r="O368" s="403"/>
      <c r="P368" s="198"/>
      <c r="Q368" s="410"/>
      <c r="R368" s="142"/>
      <c r="S368" s="403"/>
      <c r="T368" s="198"/>
      <c r="U368" s="403"/>
      <c r="V368" s="19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03"/>
      <c r="B369" s="198"/>
      <c r="C369" s="403"/>
      <c r="D369" s="198"/>
      <c r="E369" s="403"/>
      <c r="F369" s="198"/>
      <c r="G369" s="403"/>
      <c r="H369" s="198"/>
      <c r="I369" s="410"/>
      <c r="J369" s="142"/>
      <c r="K369" s="410"/>
      <c r="L369" s="142"/>
      <c r="M369" s="403"/>
      <c r="N369" s="198"/>
      <c r="O369" s="403"/>
      <c r="P369" s="198"/>
      <c r="Q369" s="410"/>
      <c r="R369" s="142"/>
      <c r="S369" s="403"/>
      <c r="T369" s="198"/>
      <c r="U369" s="403"/>
      <c r="V369" s="19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03"/>
      <c r="B370" s="198"/>
      <c r="C370" s="403"/>
      <c r="D370" s="198"/>
      <c r="E370" s="403"/>
      <c r="F370" s="198"/>
      <c r="G370" s="403"/>
      <c r="H370" s="198"/>
      <c r="I370" s="410"/>
      <c r="J370" s="142"/>
      <c r="K370" s="410"/>
      <c r="L370" s="142"/>
      <c r="M370" s="403"/>
      <c r="N370" s="198"/>
      <c r="O370" s="403"/>
      <c r="P370" s="198"/>
      <c r="Q370" s="410"/>
      <c r="R370" s="142"/>
      <c r="S370" s="403"/>
      <c r="T370" s="198"/>
      <c r="U370" s="403"/>
      <c r="V370" s="19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03"/>
      <c r="B371" s="198"/>
      <c r="C371" s="403"/>
      <c r="D371" s="198"/>
      <c r="E371" s="403"/>
      <c r="F371" s="198"/>
      <c r="G371" s="403"/>
      <c r="H371" s="198"/>
      <c r="I371" s="410"/>
      <c r="J371" s="142"/>
      <c r="K371" s="410"/>
      <c r="L371" s="142"/>
      <c r="M371" s="403"/>
      <c r="N371" s="198"/>
      <c r="O371" s="403"/>
      <c r="P371" s="198"/>
      <c r="Q371" s="410"/>
      <c r="R371" s="142"/>
      <c r="S371" s="403"/>
      <c r="T371" s="198"/>
      <c r="U371" s="403"/>
      <c r="V371" s="19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03"/>
      <c r="B372" s="198"/>
      <c r="C372" s="403"/>
      <c r="D372" s="198"/>
      <c r="E372" s="403"/>
      <c r="F372" s="198"/>
      <c r="G372" s="403"/>
      <c r="H372" s="198"/>
      <c r="I372" s="410"/>
      <c r="J372" s="142"/>
      <c r="K372" s="410"/>
      <c r="L372" s="142"/>
      <c r="M372" s="403"/>
      <c r="N372" s="198"/>
      <c r="O372" s="403"/>
      <c r="P372" s="198"/>
      <c r="Q372" s="410"/>
      <c r="R372" s="142"/>
      <c r="S372" s="403"/>
      <c r="T372" s="198"/>
      <c r="U372" s="403"/>
      <c r="V372" s="19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03"/>
      <c r="B373" s="198"/>
      <c r="C373" s="403"/>
      <c r="D373" s="198"/>
      <c r="E373" s="403"/>
      <c r="F373" s="198"/>
      <c r="G373" s="403"/>
      <c r="H373" s="198"/>
      <c r="I373" s="410"/>
      <c r="J373" s="142"/>
      <c r="K373" s="410"/>
      <c r="L373" s="142"/>
      <c r="M373" s="403"/>
      <c r="N373" s="198"/>
      <c r="O373" s="403"/>
      <c r="P373" s="198"/>
      <c r="Q373" s="410"/>
      <c r="R373" s="142"/>
      <c r="S373" s="403"/>
      <c r="T373" s="198"/>
      <c r="U373" s="403"/>
      <c r="V373" s="19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03"/>
      <c r="B374" s="198"/>
      <c r="C374" s="403"/>
      <c r="D374" s="198"/>
      <c r="E374" s="403"/>
      <c r="F374" s="198"/>
      <c r="G374" s="403"/>
      <c r="H374" s="198"/>
      <c r="I374" s="410"/>
      <c r="J374" s="142"/>
      <c r="K374" s="410"/>
      <c r="L374" s="142"/>
      <c r="M374" s="403"/>
      <c r="N374" s="198"/>
      <c r="O374" s="403"/>
      <c r="P374" s="198"/>
      <c r="Q374" s="410"/>
      <c r="R374" s="142"/>
      <c r="S374" s="403"/>
      <c r="T374" s="198"/>
      <c r="U374" s="403"/>
      <c r="V374" s="19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03"/>
      <c r="B375" s="198"/>
      <c r="C375" s="403"/>
      <c r="D375" s="198"/>
      <c r="E375" s="403"/>
      <c r="F375" s="198"/>
      <c r="G375" s="403"/>
      <c r="H375" s="198"/>
      <c r="I375" s="410"/>
      <c r="J375" s="142"/>
      <c r="K375" s="410"/>
      <c r="L375" s="142"/>
      <c r="M375" s="403"/>
      <c r="N375" s="198"/>
      <c r="O375" s="403"/>
      <c r="P375" s="198"/>
      <c r="Q375" s="410"/>
      <c r="R375" s="142"/>
      <c r="S375" s="403"/>
      <c r="T375" s="198"/>
      <c r="U375" s="403"/>
      <c r="V375" s="19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03"/>
      <c r="B376" s="198"/>
      <c r="C376" s="403"/>
      <c r="D376" s="198"/>
      <c r="E376" s="403"/>
      <c r="F376" s="198"/>
      <c r="G376" s="403"/>
      <c r="H376" s="198"/>
      <c r="I376" s="410"/>
      <c r="J376" s="142"/>
      <c r="K376" s="410"/>
      <c r="L376" s="142"/>
      <c r="M376" s="403"/>
      <c r="N376" s="198"/>
      <c r="O376" s="403"/>
      <c r="P376" s="198"/>
      <c r="Q376" s="410"/>
      <c r="R376" s="142"/>
      <c r="S376" s="403"/>
      <c r="T376" s="198"/>
      <c r="U376" s="403"/>
      <c r="V376" s="19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03"/>
      <c r="B377" s="198"/>
      <c r="C377" s="403"/>
      <c r="D377" s="198"/>
      <c r="E377" s="403"/>
      <c r="F377" s="198"/>
      <c r="G377" s="403"/>
      <c r="H377" s="198"/>
      <c r="I377" s="410"/>
      <c r="J377" s="142"/>
      <c r="K377" s="410"/>
      <c r="L377" s="142"/>
      <c r="M377" s="403"/>
      <c r="N377" s="198"/>
      <c r="O377" s="403"/>
      <c r="P377" s="198"/>
      <c r="Q377" s="410"/>
      <c r="R377" s="142"/>
      <c r="S377" s="403"/>
      <c r="T377" s="198"/>
      <c r="U377" s="403"/>
      <c r="V377" s="19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03"/>
      <c r="B378" s="198"/>
      <c r="C378" s="403"/>
      <c r="D378" s="198"/>
      <c r="E378" s="403"/>
      <c r="F378" s="198"/>
      <c r="G378" s="403"/>
      <c r="H378" s="198"/>
      <c r="I378" s="410"/>
      <c r="J378" s="142"/>
      <c r="K378" s="410"/>
      <c r="L378" s="142"/>
      <c r="M378" s="403"/>
      <c r="N378" s="198"/>
      <c r="O378" s="403"/>
      <c r="P378" s="198"/>
      <c r="Q378" s="410"/>
      <c r="R378" s="142"/>
      <c r="S378" s="403"/>
      <c r="T378" s="198"/>
      <c r="U378" s="403"/>
      <c r="V378" s="19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03"/>
      <c r="B379" s="198"/>
      <c r="C379" s="403"/>
      <c r="D379" s="198"/>
      <c r="E379" s="403"/>
      <c r="F379" s="198"/>
      <c r="G379" s="403"/>
      <c r="H379" s="198"/>
      <c r="I379" s="410"/>
      <c r="J379" s="142"/>
      <c r="K379" s="410"/>
      <c r="L379" s="142"/>
      <c r="M379" s="403"/>
      <c r="N379" s="198"/>
      <c r="O379" s="403"/>
      <c r="P379" s="198"/>
      <c r="Q379" s="410"/>
      <c r="R379" s="142"/>
      <c r="S379" s="403"/>
      <c r="T379" s="198"/>
      <c r="U379" s="403"/>
      <c r="V379" s="19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03"/>
      <c r="B380" s="198"/>
      <c r="C380" s="403"/>
      <c r="D380" s="198"/>
      <c r="E380" s="403"/>
      <c r="F380" s="198"/>
      <c r="G380" s="403"/>
      <c r="H380" s="198"/>
      <c r="I380" s="410"/>
      <c r="J380" s="142"/>
      <c r="K380" s="410"/>
      <c r="L380" s="142"/>
      <c r="M380" s="403"/>
      <c r="N380" s="198"/>
      <c r="O380" s="403"/>
      <c r="P380" s="198"/>
      <c r="Q380" s="410"/>
      <c r="R380" s="142"/>
      <c r="S380" s="403"/>
      <c r="T380" s="198"/>
      <c r="U380" s="403"/>
      <c r="V380" s="19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03"/>
      <c r="B381" s="198"/>
      <c r="C381" s="403"/>
      <c r="D381" s="198"/>
      <c r="E381" s="403"/>
      <c r="F381" s="198"/>
      <c r="G381" s="403"/>
      <c r="H381" s="198"/>
      <c r="I381" s="410"/>
      <c r="J381" s="142"/>
      <c r="K381" s="410"/>
      <c r="L381" s="142"/>
      <c r="M381" s="403"/>
      <c r="N381" s="198"/>
      <c r="O381" s="403"/>
      <c r="P381" s="198"/>
      <c r="Q381" s="410"/>
      <c r="R381" s="142"/>
      <c r="S381" s="403"/>
      <c r="T381" s="198"/>
      <c r="U381" s="403"/>
      <c r="V381" s="19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03"/>
      <c r="B382" s="198"/>
      <c r="C382" s="403"/>
      <c r="D382" s="198"/>
      <c r="E382" s="403"/>
      <c r="F382" s="198"/>
      <c r="G382" s="403"/>
      <c r="H382" s="198"/>
      <c r="I382" s="410"/>
      <c r="J382" s="142"/>
      <c r="K382" s="410"/>
      <c r="L382" s="142"/>
      <c r="M382" s="403"/>
      <c r="N382" s="198"/>
      <c r="O382" s="403"/>
      <c r="P382" s="198"/>
      <c r="Q382" s="410"/>
      <c r="R382" s="142"/>
      <c r="S382" s="403"/>
      <c r="T382" s="198"/>
      <c r="U382" s="403"/>
      <c r="V382" s="19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03"/>
      <c r="B383" s="198"/>
      <c r="C383" s="403"/>
      <c r="D383" s="198"/>
      <c r="E383" s="403"/>
      <c r="F383" s="198"/>
      <c r="G383" s="403"/>
      <c r="H383" s="198"/>
      <c r="I383" s="410"/>
      <c r="J383" s="142"/>
      <c r="K383" s="410"/>
      <c r="L383" s="142"/>
      <c r="M383" s="403"/>
      <c r="N383" s="198"/>
      <c r="O383" s="403"/>
      <c r="P383" s="198"/>
      <c r="Q383" s="410"/>
      <c r="R383" s="142"/>
      <c r="S383" s="403"/>
      <c r="T383" s="198"/>
      <c r="U383" s="403"/>
      <c r="V383" s="19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03"/>
      <c r="B384" s="198"/>
      <c r="C384" s="403"/>
      <c r="D384" s="198"/>
      <c r="E384" s="403"/>
      <c r="F384" s="198"/>
      <c r="G384" s="403"/>
      <c r="H384" s="198"/>
      <c r="I384" s="410"/>
      <c r="J384" s="142"/>
      <c r="K384" s="410"/>
      <c r="L384" s="142"/>
      <c r="M384" s="403"/>
      <c r="N384" s="198"/>
      <c r="O384" s="403"/>
      <c r="P384" s="198"/>
      <c r="Q384" s="410"/>
      <c r="R384" s="142"/>
      <c r="S384" s="403"/>
      <c r="T384" s="198"/>
      <c r="U384" s="403"/>
      <c r="V384" s="19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03"/>
      <c r="B385" s="198"/>
      <c r="C385" s="403"/>
      <c r="D385" s="198"/>
      <c r="E385" s="403"/>
      <c r="F385" s="198"/>
      <c r="G385" s="403"/>
      <c r="H385" s="198"/>
      <c r="I385" s="410"/>
      <c r="J385" s="142"/>
      <c r="K385" s="410"/>
      <c r="L385" s="142"/>
      <c r="M385" s="403"/>
      <c r="N385" s="198"/>
      <c r="O385" s="403"/>
      <c r="P385" s="198"/>
      <c r="Q385" s="410"/>
      <c r="R385" s="142"/>
      <c r="S385" s="403"/>
      <c r="T385" s="198"/>
      <c r="U385" s="403"/>
      <c r="V385" s="19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03"/>
      <c r="B386" s="198"/>
      <c r="C386" s="403"/>
      <c r="D386" s="198"/>
      <c r="E386" s="403"/>
      <c r="F386" s="198"/>
      <c r="G386" s="403"/>
      <c r="H386" s="198"/>
      <c r="I386" s="410"/>
      <c r="J386" s="142"/>
      <c r="K386" s="410"/>
      <c r="L386" s="142"/>
      <c r="M386" s="403"/>
      <c r="N386" s="198"/>
      <c r="O386" s="403"/>
      <c r="P386" s="198"/>
      <c r="Q386" s="410"/>
      <c r="R386" s="142"/>
      <c r="S386" s="403"/>
      <c r="T386" s="198"/>
      <c r="U386" s="403"/>
      <c r="V386" s="19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03"/>
      <c r="B387" s="198"/>
      <c r="C387" s="403"/>
      <c r="D387" s="198"/>
      <c r="E387" s="403"/>
      <c r="F387" s="198"/>
      <c r="G387" s="403"/>
      <c r="H387" s="198"/>
      <c r="I387" s="410"/>
      <c r="J387" s="142"/>
      <c r="K387" s="410"/>
      <c r="L387" s="142"/>
      <c r="M387" s="403"/>
      <c r="N387" s="198"/>
      <c r="O387" s="403"/>
      <c r="P387" s="198"/>
      <c r="Q387" s="410"/>
      <c r="R387" s="142"/>
      <c r="S387" s="403"/>
      <c r="T387" s="198"/>
      <c r="U387" s="403"/>
      <c r="V387" s="19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03"/>
      <c r="B388" s="198"/>
      <c r="C388" s="403"/>
      <c r="D388" s="198"/>
      <c r="E388" s="403"/>
      <c r="F388" s="198"/>
      <c r="G388" s="403"/>
      <c r="H388" s="198"/>
      <c r="I388" s="410"/>
      <c r="J388" s="142"/>
      <c r="K388" s="410"/>
      <c r="L388" s="142"/>
      <c r="M388" s="403"/>
      <c r="N388" s="198"/>
      <c r="O388" s="403"/>
      <c r="P388" s="198"/>
      <c r="Q388" s="410"/>
      <c r="R388" s="142"/>
      <c r="S388" s="403"/>
      <c r="T388" s="198"/>
      <c r="U388" s="403"/>
      <c r="V388" s="19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03"/>
      <c r="B389" s="198"/>
      <c r="C389" s="403"/>
      <c r="D389" s="198"/>
      <c r="E389" s="403"/>
      <c r="F389" s="198"/>
      <c r="G389" s="403"/>
      <c r="H389" s="198"/>
      <c r="I389" s="410"/>
      <c r="J389" s="142"/>
      <c r="K389" s="410"/>
      <c r="L389" s="142"/>
      <c r="M389" s="403"/>
      <c r="N389" s="198"/>
      <c r="O389" s="403"/>
      <c r="P389" s="198"/>
      <c r="Q389" s="410"/>
      <c r="R389" s="142"/>
      <c r="S389" s="403"/>
      <c r="T389" s="198"/>
      <c r="U389" s="403"/>
      <c r="V389" s="19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03"/>
      <c r="B390" s="198"/>
      <c r="C390" s="403"/>
      <c r="D390" s="198"/>
      <c r="E390" s="403"/>
      <c r="F390" s="198"/>
      <c r="G390" s="403"/>
      <c r="H390" s="198"/>
      <c r="I390" s="410"/>
      <c r="J390" s="142"/>
      <c r="K390" s="410"/>
      <c r="L390" s="142"/>
      <c r="M390" s="403"/>
      <c r="N390" s="198"/>
      <c r="O390" s="403"/>
      <c r="P390" s="198"/>
      <c r="Q390" s="410"/>
      <c r="R390" s="142"/>
      <c r="S390" s="403"/>
      <c r="T390" s="198"/>
      <c r="U390" s="403"/>
      <c r="V390" s="19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03"/>
      <c r="B391" s="198"/>
      <c r="C391" s="403"/>
      <c r="D391" s="198"/>
      <c r="E391" s="403"/>
      <c r="F391" s="198"/>
      <c r="G391" s="403"/>
      <c r="H391" s="198"/>
      <c r="I391" s="410"/>
      <c r="J391" s="142"/>
      <c r="K391" s="410"/>
      <c r="L391" s="142"/>
      <c r="M391" s="403"/>
      <c r="N391" s="198"/>
      <c r="O391" s="403"/>
      <c r="P391" s="198"/>
      <c r="Q391" s="410"/>
      <c r="R391" s="142"/>
      <c r="S391" s="403"/>
      <c r="T391" s="198"/>
      <c r="U391" s="403"/>
      <c r="V391" s="19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03"/>
      <c r="B392" s="198"/>
      <c r="C392" s="403"/>
      <c r="D392" s="198"/>
      <c r="E392" s="403"/>
      <c r="F392" s="198"/>
      <c r="G392" s="403"/>
      <c r="H392" s="198"/>
      <c r="I392" s="410"/>
      <c r="J392" s="142"/>
      <c r="K392" s="410"/>
      <c r="L392" s="142"/>
      <c r="M392" s="403"/>
      <c r="N392" s="198"/>
      <c r="O392" s="403"/>
      <c r="P392" s="198"/>
      <c r="Q392" s="410"/>
      <c r="R392" s="142"/>
      <c r="S392" s="403"/>
      <c r="T392" s="198"/>
      <c r="U392" s="403"/>
      <c r="V392" s="19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03"/>
      <c r="B393" s="198"/>
      <c r="C393" s="403"/>
      <c r="D393" s="198"/>
      <c r="E393" s="403"/>
      <c r="F393" s="198"/>
      <c r="G393" s="403"/>
      <c r="H393" s="198"/>
      <c r="I393" s="410"/>
      <c r="J393" s="142"/>
      <c r="K393" s="410"/>
      <c r="L393" s="142"/>
      <c r="M393" s="403"/>
      <c r="N393" s="198"/>
      <c r="O393" s="403"/>
      <c r="P393" s="198"/>
      <c r="Q393" s="410"/>
      <c r="R393" s="142"/>
      <c r="S393" s="403"/>
      <c r="T393" s="198"/>
      <c r="U393" s="403"/>
      <c r="V393" s="19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03"/>
      <c r="B394" s="198"/>
      <c r="C394" s="403"/>
      <c r="D394" s="198"/>
      <c r="E394" s="403"/>
      <c r="F394" s="198"/>
      <c r="G394" s="403"/>
      <c r="H394" s="198"/>
      <c r="I394" s="410"/>
      <c r="J394" s="142"/>
      <c r="K394" s="410"/>
      <c r="L394" s="142"/>
      <c r="M394" s="403"/>
      <c r="N394" s="198"/>
      <c r="O394" s="403"/>
      <c r="P394" s="198"/>
      <c r="Q394" s="410"/>
      <c r="R394" s="142"/>
      <c r="S394" s="403"/>
      <c r="T394" s="198"/>
      <c r="U394" s="403"/>
      <c r="V394" s="19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03"/>
      <c r="B395" s="198"/>
      <c r="C395" s="403"/>
      <c r="D395" s="198"/>
      <c r="E395" s="403"/>
      <c r="F395" s="198"/>
      <c r="G395" s="403"/>
      <c r="H395" s="198"/>
      <c r="I395" s="410"/>
      <c r="J395" s="142"/>
      <c r="K395" s="410"/>
      <c r="L395" s="142"/>
      <c r="M395" s="403"/>
      <c r="N395" s="198"/>
      <c r="O395" s="403"/>
      <c r="P395" s="198"/>
      <c r="Q395" s="410"/>
      <c r="R395" s="142"/>
      <c r="S395" s="403"/>
      <c r="T395" s="198"/>
      <c r="U395" s="403"/>
      <c r="V395" s="19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03"/>
      <c r="B396" s="198"/>
      <c r="C396" s="403"/>
      <c r="D396" s="198"/>
      <c r="E396" s="403"/>
      <c r="F396" s="198"/>
      <c r="G396" s="403"/>
      <c r="H396" s="198"/>
      <c r="I396" s="410"/>
      <c r="J396" s="142"/>
      <c r="K396" s="410"/>
      <c r="L396" s="142"/>
      <c r="M396" s="403"/>
      <c r="N396" s="198"/>
      <c r="O396" s="403"/>
      <c r="P396" s="198"/>
      <c r="Q396" s="410"/>
      <c r="R396" s="142"/>
      <c r="S396" s="403"/>
      <c r="T396" s="198"/>
      <c r="U396" s="403"/>
      <c r="V396" s="19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03"/>
      <c r="B397" s="198"/>
      <c r="C397" s="403"/>
      <c r="D397" s="198"/>
      <c r="E397" s="403"/>
      <c r="F397" s="198"/>
      <c r="G397" s="403"/>
      <c r="H397" s="198"/>
      <c r="I397" s="410"/>
      <c r="J397" s="142"/>
      <c r="K397" s="410"/>
      <c r="L397" s="142"/>
      <c r="M397" s="403"/>
      <c r="N397" s="198"/>
      <c r="O397" s="403"/>
      <c r="P397" s="198"/>
      <c r="Q397" s="410"/>
      <c r="R397" s="142"/>
      <c r="S397" s="403"/>
      <c r="T397" s="198"/>
      <c r="U397" s="403"/>
      <c r="V397" s="19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03"/>
      <c r="B398" s="198"/>
      <c r="C398" s="403"/>
      <c r="D398" s="198"/>
      <c r="E398" s="403"/>
      <c r="F398" s="198"/>
      <c r="G398" s="403"/>
      <c r="H398" s="198"/>
      <c r="I398" s="410"/>
      <c r="J398" s="142"/>
      <c r="K398" s="410"/>
      <c r="L398" s="142"/>
      <c r="M398" s="403"/>
      <c r="N398" s="198"/>
      <c r="O398" s="403"/>
      <c r="P398" s="198"/>
      <c r="Q398" s="410"/>
      <c r="R398" s="142"/>
      <c r="S398" s="403"/>
      <c r="T398" s="198"/>
      <c r="U398" s="403"/>
      <c r="V398" s="19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03"/>
      <c r="B399" s="198"/>
      <c r="C399" s="403"/>
      <c r="D399" s="198"/>
      <c r="E399" s="403"/>
      <c r="F399" s="198"/>
      <c r="G399" s="403"/>
      <c r="H399" s="198"/>
      <c r="I399" s="410"/>
      <c r="J399" s="142"/>
      <c r="K399" s="410"/>
      <c r="L399" s="142"/>
      <c r="M399" s="403"/>
      <c r="N399" s="198"/>
      <c r="O399" s="403"/>
      <c r="P399" s="198"/>
      <c r="Q399" s="410"/>
      <c r="R399" s="142"/>
      <c r="S399" s="403"/>
      <c r="T399" s="198"/>
      <c r="U399" s="403"/>
      <c r="V399" s="19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03"/>
      <c r="B400" s="198"/>
      <c r="C400" s="403"/>
      <c r="D400" s="198"/>
      <c r="E400" s="403"/>
      <c r="F400" s="198"/>
      <c r="G400" s="403"/>
      <c r="H400" s="198"/>
      <c r="I400" s="410"/>
      <c r="J400" s="142"/>
      <c r="K400" s="410"/>
      <c r="L400" s="142"/>
      <c r="M400" s="403"/>
      <c r="N400" s="198"/>
      <c r="O400" s="403"/>
      <c r="P400" s="198"/>
      <c r="Q400" s="410"/>
      <c r="R400" s="142"/>
      <c r="S400" s="403"/>
      <c r="T400" s="198"/>
      <c r="U400" s="403"/>
      <c r="V400" s="19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03"/>
      <c r="B401" s="198"/>
      <c r="C401" s="403"/>
      <c r="D401" s="198"/>
      <c r="E401" s="403"/>
      <c r="F401" s="198"/>
      <c r="G401" s="403"/>
      <c r="H401" s="198"/>
      <c r="I401" s="410"/>
      <c r="J401" s="142"/>
      <c r="K401" s="410"/>
      <c r="L401" s="142"/>
      <c r="M401" s="403"/>
      <c r="N401" s="198"/>
      <c r="O401" s="403"/>
      <c r="P401" s="198"/>
      <c r="Q401" s="410"/>
      <c r="R401" s="142"/>
      <c r="S401" s="403"/>
      <c r="T401" s="198"/>
      <c r="U401" s="403"/>
      <c r="V401" s="19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03"/>
      <c r="B402" s="198"/>
      <c r="C402" s="403"/>
      <c r="D402" s="198"/>
      <c r="E402" s="403"/>
      <c r="F402" s="198"/>
      <c r="G402" s="403"/>
      <c r="H402" s="198"/>
      <c r="I402" s="410"/>
      <c r="J402" s="142"/>
      <c r="K402" s="410"/>
      <c r="L402" s="142"/>
      <c r="M402" s="403"/>
      <c r="N402" s="198"/>
      <c r="O402" s="403"/>
      <c r="P402" s="198"/>
      <c r="Q402" s="410"/>
      <c r="R402" s="142"/>
      <c r="S402" s="403"/>
      <c r="T402" s="198"/>
      <c r="U402" s="403"/>
      <c r="V402" s="19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03"/>
      <c r="B403" s="198"/>
      <c r="C403" s="403"/>
      <c r="D403" s="198"/>
      <c r="E403" s="403"/>
      <c r="F403" s="198"/>
      <c r="G403" s="403"/>
      <c r="H403" s="198"/>
      <c r="I403" s="410"/>
      <c r="J403" s="142"/>
      <c r="K403" s="410"/>
      <c r="L403" s="142"/>
      <c r="M403" s="403"/>
      <c r="N403" s="198"/>
      <c r="O403" s="403"/>
      <c r="P403" s="198"/>
      <c r="Q403" s="410"/>
      <c r="R403" s="142"/>
      <c r="S403" s="403"/>
      <c r="T403" s="198"/>
      <c r="U403" s="403"/>
      <c r="V403" s="19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03"/>
      <c r="B404" s="198"/>
      <c r="C404" s="403"/>
      <c r="D404" s="198"/>
      <c r="E404" s="403"/>
      <c r="F404" s="198"/>
      <c r="G404" s="403"/>
      <c r="H404" s="198"/>
      <c r="I404" s="410"/>
      <c r="J404" s="142"/>
      <c r="K404" s="410"/>
      <c r="L404" s="142"/>
      <c r="M404" s="403"/>
      <c r="N404" s="198"/>
      <c r="O404" s="403"/>
      <c r="P404" s="198"/>
      <c r="Q404" s="410"/>
      <c r="R404" s="142"/>
      <c r="S404" s="403"/>
      <c r="T404" s="198"/>
      <c r="U404" s="403"/>
      <c r="V404" s="19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03"/>
      <c r="B405" s="198"/>
      <c r="C405" s="403"/>
      <c r="D405" s="198"/>
      <c r="E405" s="403"/>
      <c r="F405" s="198"/>
      <c r="G405" s="403"/>
      <c r="H405" s="198"/>
      <c r="I405" s="410"/>
      <c r="J405" s="142"/>
      <c r="K405" s="410"/>
      <c r="L405" s="142"/>
      <c r="M405" s="403"/>
      <c r="N405" s="198"/>
      <c r="O405" s="403"/>
      <c r="P405" s="198"/>
      <c r="Q405" s="410"/>
      <c r="R405" s="438"/>
      <c r="S405" s="403"/>
      <c r="T405" s="198"/>
      <c r="U405" s="403"/>
      <c r="V405" s="19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03"/>
      <c r="B406" s="198"/>
      <c r="C406" s="403"/>
      <c r="D406" s="198"/>
      <c r="E406" s="403"/>
      <c r="F406" s="198"/>
      <c r="G406" s="403"/>
      <c r="H406" s="198"/>
      <c r="I406" s="410"/>
      <c r="J406" s="142"/>
      <c r="K406" s="410"/>
      <c r="L406" s="142"/>
      <c r="M406" s="403"/>
      <c r="N406" s="198"/>
      <c r="O406" s="403"/>
      <c r="P406" s="198"/>
      <c r="Q406" s="410"/>
      <c r="R406" s="438"/>
      <c r="S406" s="403"/>
      <c r="T406" s="198"/>
      <c r="U406" s="403"/>
      <c r="V406" s="19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03"/>
      <c r="B407" s="198"/>
      <c r="C407" s="403"/>
      <c r="D407" s="198"/>
      <c r="E407" s="403"/>
      <c r="F407" s="198"/>
      <c r="G407" s="403"/>
      <c r="H407" s="198"/>
      <c r="I407" s="410"/>
      <c r="J407" s="142"/>
      <c r="K407" s="410"/>
      <c r="L407" s="142"/>
      <c r="M407" s="403"/>
      <c r="N407" s="198"/>
      <c r="O407" s="403"/>
      <c r="P407" s="198"/>
      <c r="Q407" s="410"/>
      <c r="R407" s="438"/>
      <c r="S407" s="403"/>
      <c r="T407" s="198"/>
      <c r="U407" s="403"/>
      <c r="V407" s="19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03"/>
      <c r="B408" s="198"/>
      <c r="C408" s="403"/>
      <c r="D408" s="198"/>
      <c r="E408" s="403"/>
      <c r="F408" s="198"/>
      <c r="G408" s="403"/>
      <c r="H408" s="198"/>
      <c r="I408" s="410"/>
      <c r="J408" s="142"/>
      <c r="K408" s="410"/>
      <c r="L408" s="142"/>
      <c r="M408" s="403"/>
      <c r="N408" s="198"/>
      <c r="O408" s="403"/>
      <c r="P408" s="198"/>
      <c r="Q408" s="410"/>
      <c r="R408" s="438"/>
      <c r="S408" s="403"/>
      <c r="T408" s="198"/>
      <c r="U408" s="403"/>
      <c r="V408" s="19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03"/>
      <c r="B409" s="198"/>
      <c r="C409" s="403"/>
      <c r="D409" s="198"/>
      <c r="E409" s="403"/>
      <c r="F409" s="198"/>
      <c r="G409" s="403"/>
      <c r="H409" s="198"/>
      <c r="I409" s="410"/>
      <c r="J409" s="142"/>
      <c r="K409" s="410"/>
      <c r="L409" s="142"/>
      <c r="M409" s="403"/>
      <c r="N409" s="198"/>
      <c r="O409" s="403"/>
      <c r="P409" s="198"/>
      <c r="Q409" s="410"/>
      <c r="R409" s="438"/>
      <c r="S409" s="403"/>
      <c r="T409" s="198"/>
      <c r="U409" s="403"/>
      <c r="V409" s="19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03"/>
      <c r="B410" s="198"/>
      <c r="C410" s="403"/>
      <c r="D410" s="198"/>
      <c r="E410" s="403"/>
      <c r="F410" s="198"/>
      <c r="G410" s="403"/>
      <c r="H410" s="198"/>
      <c r="I410" s="410"/>
      <c r="J410" s="142"/>
      <c r="K410" s="410"/>
      <c r="L410" s="142"/>
      <c r="M410" s="403"/>
      <c r="N410" s="198"/>
      <c r="O410" s="403"/>
      <c r="P410" s="198"/>
      <c r="Q410" s="410"/>
      <c r="R410" s="438"/>
      <c r="S410" s="403"/>
      <c r="T410" s="198"/>
      <c r="U410" s="403"/>
      <c r="V410" s="19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03"/>
      <c r="B411" s="198"/>
      <c r="C411" s="403"/>
      <c r="D411" s="198"/>
      <c r="E411" s="403"/>
      <c r="F411" s="198"/>
      <c r="G411" s="403"/>
      <c r="H411" s="198"/>
      <c r="I411" s="410"/>
      <c r="J411" s="142"/>
      <c r="K411" s="410"/>
      <c r="L411" s="142"/>
      <c r="M411" s="403"/>
      <c r="N411" s="198"/>
      <c r="O411" s="403"/>
      <c r="P411" s="198"/>
      <c r="Q411" s="410"/>
      <c r="R411" s="438"/>
      <c r="S411" s="403"/>
      <c r="T411" s="198"/>
      <c r="U411" s="403"/>
      <c r="V411" s="19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03"/>
      <c r="B412" s="198"/>
      <c r="C412" s="403"/>
      <c r="D412" s="198"/>
      <c r="E412" s="403"/>
      <c r="F412" s="198"/>
      <c r="G412" s="403"/>
      <c r="H412" s="198"/>
      <c r="I412" s="410"/>
      <c r="J412" s="142"/>
      <c r="K412" s="410"/>
      <c r="L412" s="142"/>
      <c r="M412" s="403"/>
      <c r="N412" s="198"/>
      <c r="O412" s="403"/>
      <c r="P412" s="198"/>
      <c r="Q412" s="410"/>
      <c r="R412" s="438"/>
      <c r="S412" s="403"/>
      <c r="T412" s="198"/>
      <c r="U412" s="403"/>
      <c r="V412" s="19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03"/>
      <c r="B413" s="198"/>
      <c r="C413" s="403"/>
      <c r="D413" s="198"/>
      <c r="E413" s="403"/>
      <c r="F413" s="198"/>
      <c r="G413" s="403"/>
      <c r="H413" s="198"/>
      <c r="I413" s="410"/>
      <c r="J413" s="142"/>
      <c r="K413" s="410"/>
      <c r="L413" s="142"/>
      <c r="M413" s="403"/>
      <c r="N413" s="198"/>
      <c r="O413" s="403"/>
      <c r="P413" s="198"/>
      <c r="Q413" s="410"/>
      <c r="R413" s="438"/>
      <c r="S413" s="403"/>
      <c r="T413" s="198"/>
      <c r="U413" s="403"/>
      <c r="V413" s="19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03"/>
      <c r="B414" s="198"/>
      <c r="C414" s="403"/>
      <c r="D414" s="198"/>
      <c r="E414" s="403"/>
      <c r="F414" s="198"/>
      <c r="G414" s="403"/>
      <c r="H414" s="198"/>
      <c r="I414" s="410"/>
      <c r="J414" s="142"/>
      <c r="K414" s="410"/>
      <c r="L414" s="142"/>
      <c r="M414" s="403"/>
      <c r="N414" s="198"/>
      <c r="O414" s="403"/>
      <c r="P414" s="198"/>
      <c r="Q414" s="410"/>
      <c r="R414" s="438"/>
      <c r="S414" s="403"/>
      <c r="T414" s="198"/>
      <c r="U414" s="403"/>
      <c r="V414" s="19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03"/>
      <c r="B415" s="198"/>
      <c r="C415" s="403"/>
      <c r="D415" s="198"/>
      <c r="E415" s="403"/>
      <c r="F415" s="198"/>
      <c r="G415" s="403"/>
      <c r="H415" s="198"/>
      <c r="I415" s="410"/>
      <c r="J415" s="142"/>
      <c r="K415" s="410"/>
      <c r="L415" s="142"/>
      <c r="M415" s="403"/>
      <c r="N415" s="198"/>
      <c r="O415" s="403"/>
      <c r="P415" s="198"/>
      <c r="Q415" s="410"/>
      <c r="R415" s="438"/>
      <c r="S415" s="403"/>
      <c r="T415" s="198"/>
      <c r="U415" s="403"/>
      <c r="V415" s="19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03"/>
      <c r="B416" s="198"/>
      <c r="C416" s="403"/>
      <c r="D416" s="198"/>
      <c r="E416" s="403"/>
      <c r="F416" s="198"/>
      <c r="G416" s="403"/>
      <c r="H416" s="198"/>
      <c r="I416" s="410"/>
      <c r="J416" s="142"/>
      <c r="K416" s="410"/>
      <c r="L416" s="142"/>
      <c r="M416" s="403"/>
      <c r="N416" s="198"/>
      <c r="O416" s="403"/>
      <c r="P416" s="198"/>
      <c r="Q416" s="410"/>
      <c r="R416" s="438"/>
      <c r="S416" s="403"/>
      <c r="T416" s="198"/>
      <c r="U416" s="403"/>
      <c r="V416" s="19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03"/>
      <c r="B417" s="198"/>
      <c r="C417" s="403"/>
      <c r="D417" s="198"/>
      <c r="E417" s="403"/>
      <c r="F417" s="198"/>
      <c r="G417" s="403"/>
      <c r="H417" s="198"/>
      <c r="I417" s="410"/>
      <c r="J417" s="142"/>
      <c r="K417" s="410"/>
      <c r="L417" s="142"/>
      <c r="M417" s="403"/>
      <c r="N417" s="198"/>
      <c r="O417" s="403"/>
      <c r="P417" s="198"/>
      <c r="Q417" s="410"/>
      <c r="R417" s="438"/>
      <c r="S417" s="403"/>
      <c r="T417" s="198"/>
      <c r="U417" s="403"/>
      <c r="V417" s="19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03"/>
      <c r="B418" s="198"/>
      <c r="C418" s="403"/>
      <c r="D418" s="198"/>
      <c r="E418" s="403"/>
      <c r="F418" s="198"/>
      <c r="G418" s="403"/>
      <c r="H418" s="198"/>
      <c r="I418" s="410"/>
      <c r="J418" s="142"/>
      <c r="K418" s="410"/>
      <c r="L418" s="142"/>
      <c r="M418" s="403"/>
      <c r="N418" s="198"/>
      <c r="O418" s="403"/>
      <c r="P418" s="198"/>
      <c r="Q418" s="410"/>
      <c r="R418" s="438"/>
      <c r="S418" s="403"/>
      <c r="T418" s="198"/>
      <c r="U418" s="403"/>
      <c r="V418" s="19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03"/>
      <c r="B419" s="198"/>
      <c r="C419" s="403"/>
      <c r="D419" s="198"/>
      <c r="E419" s="403"/>
      <c r="F419" s="198"/>
      <c r="G419" s="403"/>
      <c r="H419" s="198"/>
      <c r="I419" s="410"/>
      <c r="J419" s="142"/>
      <c r="K419" s="410"/>
      <c r="L419" s="142"/>
      <c r="M419" s="403"/>
      <c r="N419" s="198"/>
      <c r="O419" s="403"/>
      <c r="P419" s="198"/>
      <c r="Q419" s="410"/>
      <c r="R419" s="438"/>
      <c r="S419" s="403"/>
      <c r="T419" s="198"/>
      <c r="U419" s="403"/>
      <c r="V419" s="19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03"/>
      <c r="B420" s="198"/>
      <c r="C420" s="403"/>
      <c r="D420" s="198"/>
      <c r="E420" s="403"/>
      <c r="F420" s="198"/>
      <c r="G420" s="403"/>
      <c r="H420" s="198"/>
      <c r="I420" s="410"/>
      <c r="J420" s="142"/>
      <c r="K420" s="410"/>
      <c r="L420" s="142"/>
      <c r="M420" s="403"/>
      <c r="N420" s="198"/>
      <c r="O420" s="403"/>
      <c r="P420" s="198"/>
      <c r="Q420" s="410"/>
      <c r="R420" s="438"/>
      <c r="S420" s="403"/>
      <c r="T420" s="198"/>
      <c r="U420" s="403"/>
      <c r="V420" s="19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03"/>
      <c r="B421" s="198"/>
      <c r="C421" s="403"/>
      <c r="D421" s="198"/>
      <c r="E421" s="403"/>
      <c r="F421" s="198"/>
      <c r="G421" s="403"/>
      <c r="H421" s="198"/>
      <c r="I421" s="410"/>
      <c r="J421" s="142"/>
      <c r="K421" s="410"/>
      <c r="L421" s="142"/>
      <c r="M421" s="403"/>
      <c r="N421" s="198"/>
      <c r="O421" s="403"/>
      <c r="P421" s="198"/>
      <c r="Q421" s="410"/>
      <c r="R421" s="438"/>
      <c r="S421" s="403"/>
      <c r="T421" s="198"/>
      <c r="U421" s="403"/>
      <c r="V421" s="19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03"/>
      <c r="B422" s="198"/>
      <c r="C422" s="403"/>
      <c r="D422" s="198"/>
      <c r="E422" s="403"/>
      <c r="F422" s="198"/>
      <c r="G422" s="403"/>
      <c r="H422" s="198"/>
      <c r="I422" s="410"/>
      <c r="J422" s="142"/>
      <c r="K422" s="410"/>
      <c r="L422" s="142"/>
      <c r="M422" s="403"/>
      <c r="N422" s="198"/>
      <c r="O422" s="403"/>
      <c r="P422" s="198"/>
      <c r="Q422" s="410"/>
      <c r="R422" s="438"/>
      <c r="S422" s="403"/>
      <c r="T422" s="198"/>
      <c r="U422" s="403"/>
      <c r="V422" s="19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03"/>
      <c r="B423" s="198"/>
      <c r="C423" s="403"/>
      <c r="D423" s="198"/>
      <c r="E423" s="403"/>
      <c r="F423" s="198"/>
      <c r="G423" s="403"/>
      <c r="H423" s="198"/>
      <c r="I423" s="410"/>
      <c r="J423" s="142"/>
      <c r="K423" s="410"/>
      <c r="L423" s="142"/>
      <c r="M423" s="403"/>
      <c r="N423" s="198"/>
      <c r="O423" s="403"/>
      <c r="P423" s="198"/>
      <c r="Q423" s="410"/>
      <c r="R423" s="438"/>
      <c r="S423" s="403"/>
      <c r="T423" s="198"/>
      <c r="U423" s="403"/>
      <c r="V423" s="19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03"/>
      <c r="B424" s="198"/>
      <c r="C424" s="403"/>
      <c r="D424" s="198"/>
      <c r="E424" s="403"/>
      <c r="F424" s="198"/>
      <c r="G424" s="403"/>
      <c r="H424" s="198"/>
      <c r="I424" s="410"/>
      <c r="J424" s="142"/>
      <c r="K424" s="410"/>
      <c r="L424" s="142"/>
      <c r="M424" s="403"/>
      <c r="N424" s="198"/>
      <c r="O424" s="403"/>
      <c r="P424" s="198"/>
      <c r="Q424" s="410"/>
      <c r="R424" s="438"/>
      <c r="S424" s="403"/>
      <c r="T424" s="198"/>
      <c r="U424" s="403"/>
      <c r="V424" s="19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03"/>
      <c r="B425" s="198"/>
      <c r="C425" s="403"/>
      <c r="D425" s="198"/>
      <c r="E425" s="403"/>
      <c r="F425" s="198"/>
      <c r="G425" s="403"/>
      <c r="H425" s="198"/>
      <c r="I425" s="410"/>
      <c r="J425" s="142"/>
      <c r="K425" s="410"/>
      <c r="L425" s="142"/>
      <c r="M425" s="403"/>
      <c r="N425" s="198"/>
      <c r="O425" s="403"/>
      <c r="P425" s="198"/>
      <c r="Q425" s="410"/>
      <c r="R425" s="438"/>
      <c r="S425" s="403"/>
      <c r="T425" s="198"/>
      <c r="U425" s="403"/>
      <c r="V425" s="19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03"/>
      <c r="B426" s="198"/>
      <c r="C426" s="403"/>
      <c r="D426" s="198"/>
      <c r="E426" s="403"/>
      <c r="F426" s="198"/>
      <c r="G426" s="403"/>
      <c r="H426" s="198"/>
      <c r="I426" s="410"/>
      <c r="J426" s="142"/>
      <c r="K426" s="410"/>
      <c r="L426" s="142"/>
      <c r="M426" s="403"/>
      <c r="N426" s="198"/>
      <c r="O426" s="403"/>
      <c r="P426" s="198"/>
      <c r="Q426" s="410"/>
      <c r="R426" s="438"/>
      <c r="S426" s="403"/>
      <c r="T426" s="198"/>
      <c r="U426" s="403"/>
      <c r="V426" s="19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03"/>
      <c r="B427" s="198"/>
      <c r="C427" s="403"/>
      <c r="D427" s="198"/>
      <c r="E427" s="403"/>
      <c r="F427" s="198"/>
      <c r="G427" s="403"/>
      <c r="H427" s="198"/>
      <c r="I427" s="410"/>
      <c r="J427" s="142"/>
      <c r="K427" s="410"/>
      <c r="L427" s="142"/>
      <c r="M427" s="403"/>
      <c r="N427" s="198"/>
      <c r="O427" s="403"/>
      <c r="P427" s="198"/>
      <c r="Q427" s="410"/>
      <c r="R427" s="438"/>
      <c r="S427" s="403"/>
      <c r="T427" s="198"/>
      <c r="U427" s="403"/>
      <c r="V427" s="19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03"/>
      <c r="B428" s="198"/>
      <c r="C428" s="403"/>
      <c r="D428" s="198"/>
      <c r="E428" s="403"/>
      <c r="F428" s="198"/>
      <c r="G428" s="403"/>
      <c r="H428" s="198"/>
      <c r="I428" s="410"/>
      <c r="J428" s="142"/>
      <c r="K428" s="410"/>
      <c r="L428" s="142"/>
      <c r="M428" s="403"/>
      <c r="N428" s="198"/>
      <c r="O428" s="403"/>
      <c r="P428" s="198"/>
      <c r="Q428" s="410"/>
      <c r="R428" s="438"/>
      <c r="S428" s="403"/>
      <c r="T428" s="198"/>
      <c r="U428" s="403"/>
      <c r="V428" s="19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03"/>
      <c r="B429" s="198"/>
      <c r="C429" s="403"/>
      <c r="D429" s="198"/>
      <c r="E429" s="403"/>
      <c r="F429" s="198"/>
      <c r="G429" s="403"/>
      <c r="H429" s="198"/>
      <c r="I429" s="410"/>
      <c r="J429" s="142"/>
      <c r="K429" s="410"/>
      <c r="L429" s="142"/>
      <c r="M429" s="403"/>
      <c r="N429" s="198"/>
      <c r="O429" s="403"/>
      <c r="P429" s="198"/>
      <c r="Q429" s="410"/>
      <c r="R429" s="438"/>
      <c r="S429" s="403"/>
      <c r="T429" s="198"/>
      <c r="U429" s="403"/>
      <c r="V429" s="19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03"/>
      <c r="B430" s="198"/>
      <c r="C430" s="403"/>
      <c r="D430" s="198"/>
      <c r="E430" s="403"/>
      <c r="F430" s="198"/>
      <c r="G430" s="403"/>
      <c r="H430" s="198"/>
      <c r="I430" s="410"/>
      <c r="J430" s="142"/>
      <c r="K430" s="410"/>
      <c r="L430" s="142"/>
      <c r="M430" s="403"/>
      <c r="N430" s="198"/>
      <c r="O430" s="403"/>
      <c r="P430" s="198"/>
      <c r="Q430" s="410"/>
      <c r="R430" s="438"/>
      <c r="S430" s="403"/>
      <c r="T430" s="198"/>
      <c r="U430" s="403"/>
      <c r="V430" s="19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03"/>
      <c r="B431" s="198"/>
      <c r="C431" s="403"/>
      <c r="D431" s="198"/>
      <c r="E431" s="403"/>
      <c r="F431" s="198"/>
      <c r="G431" s="403"/>
      <c r="H431" s="198"/>
      <c r="I431" s="410"/>
      <c r="J431" s="142"/>
      <c r="K431" s="410"/>
      <c r="L431" s="142"/>
      <c r="M431" s="403"/>
      <c r="N431" s="198"/>
      <c r="O431" s="403"/>
      <c r="P431" s="198"/>
      <c r="Q431" s="410"/>
      <c r="R431" s="438"/>
      <c r="S431" s="403"/>
      <c r="T431" s="198"/>
      <c r="U431" s="403"/>
      <c r="V431" s="19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03"/>
      <c r="B432" s="198"/>
      <c r="C432" s="403"/>
      <c r="D432" s="198"/>
      <c r="E432" s="403"/>
      <c r="F432" s="198"/>
      <c r="G432" s="403"/>
      <c r="H432" s="198"/>
      <c r="I432" s="410"/>
      <c r="J432" s="142"/>
      <c r="K432" s="410"/>
      <c r="L432" s="142"/>
      <c r="M432" s="403"/>
      <c r="N432" s="198"/>
      <c r="O432" s="403"/>
      <c r="P432" s="198"/>
      <c r="Q432" s="410"/>
      <c r="R432" s="438"/>
      <c r="S432" s="403"/>
      <c r="T432" s="198"/>
      <c r="U432" s="403"/>
      <c r="V432" s="19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03"/>
      <c r="B433" s="198"/>
      <c r="C433" s="403"/>
      <c r="D433" s="198"/>
      <c r="E433" s="403"/>
      <c r="F433" s="198"/>
      <c r="G433" s="403"/>
      <c r="H433" s="198"/>
      <c r="I433" s="410"/>
      <c r="J433" s="142"/>
      <c r="K433" s="410"/>
      <c r="L433" s="142"/>
      <c r="M433" s="403"/>
      <c r="N433" s="198"/>
      <c r="O433" s="403"/>
      <c r="P433" s="198"/>
      <c r="Q433" s="410"/>
      <c r="R433" s="438"/>
      <c r="S433" s="403"/>
      <c r="T433" s="198"/>
      <c r="U433" s="403"/>
      <c r="V433" s="19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03"/>
      <c r="B434" s="198"/>
      <c r="C434" s="403"/>
      <c r="D434" s="198"/>
      <c r="E434" s="403"/>
      <c r="F434" s="198"/>
      <c r="G434" s="403"/>
      <c r="H434" s="198"/>
      <c r="I434" s="410"/>
      <c r="J434" s="142"/>
      <c r="K434" s="410"/>
      <c r="L434" s="142"/>
      <c r="M434" s="403"/>
      <c r="N434" s="198"/>
      <c r="O434" s="403"/>
      <c r="P434" s="198"/>
      <c r="Q434" s="410"/>
      <c r="R434" s="438"/>
      <c r="S434" s="403"/>
      <c r="T434" s="198"/>
      <c r="U434" s="403"/>
      <c r="V434" s="19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03"/>
      <c r="B435" s="198"/>
      <c r="C435" s="403"/>
      <c r="D435" s="198"/>
      <c r="E435" s="403"/>
      <c r="F435" s="198"/>
      <c r="G435" s="403"/>
      <c r="H435" s="198"/>
      <c r="I435" s="410"/>
      <c r="J435" s="142"/>
      <c r="K435" s="410"/>
      <c r="L435" s="142"/>
      <c r="M435" s="403"/>
      <c r="N435" s="198"/>
      <c r="O435" s="403"/>
      <c r="P435" s="198"/>
      <c r="Q435" s="410"/>
      <c r="R435" s="438"/>
      <c r="S435" s="403"/>
      <c r="T435" s="198"/>
      <c r="U435" s="403"/>
      <c r="V435" s="19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03"/>
      <c r="B436" s="198"/>
      <c r="C436" s="403"/>
      <c r="D436" s="198"/>
      <c r="E436" s="403"/>
      <c r="F436" s="198"/>
      <c r="G436" s="403"/>
      <c r="H436" s="198"/>
      <c r="I436" s="410"/>
      <c r="J436" s="142"/>
      <c r="K436" s="410"/>
      <c r="L436" s="142"/>
      <c r="M436" s="403"/>
      <c r="N436" s="198"/>
      <c r="O436" s="403"/>
      <c r="P436" s="198"/>
      <c r="Q436" s="410"/>
      <c r="R436" s="438"/>
      <c r="S436" s="403"/>
      <c r="T436" s="198"/>
      <c r="U436" s="403"/>
      <c r="V436" s="19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03"/>
      <c r="B437" s="198"/>
      <c r="C437" s="403"/>
      <c r="D437" s="198"/>
      <c r="E437" s="403"/>
      <c r="F437" s="198"/>
      <c r="G437" s="403"/>
      <c r="H437" s="198"/>
      <c r="I437" s="410"/>
      <c r="J437" s="142"/>
      <c r="K437" s="410"/>
      <c r="L437" s="142"/>
      <c r="M437" s="403"/>
      <c r="N437" s="198"/>
      <c r="O437" s="403"/>
      <c r="P437" s="198"/>
      <c r="Q437" s="410"/>
      <c r="R437" s="438"/>
      <c r="S437" s="403"/>
      <c r="T437" s="198"/>
      <c r="U437" s="403"/>
      <c r="V437" s="19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03"/>
      <c r="B438" s="198"/>
      <c r="C438" s="403"/>
      <c r="D438" s="198"/>
      <c r="E438" s="403"/>
      <c r="F438" s="198"/>
      <c r="G438" s="403"/>
      <c r="H438" s="198"/>
      <c r="I438" s="410"/>
      <c r="J438" s="142"/>
      <c r="K438" s="410"/>
      <c r="L438" s="142"/>
      <c r="M438" s="403"/>
      <c r="N438" s="198"/>
      <c r="O438" s="403"/>
      <c r="P438" s="198"/>
      <c r="Q438" s="410"/>
      <c r="R438" s="438"/>
      <c r="S438" s="403"/>
      <c r="T438" s="198"/>
      <c r="U438" s="403"/>
      <c r="V438" s="19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03"/>
      <c r="B439" s="198"/>
      <c r="C439" s="403"/>
      <c r="D439" s="198"/>
      <c r="E439" s="403"/>
      <c r="F439" s="198"/>
      <c r="G439" s="403"/>
      <c r="H439" s="198"/>
      <c r="I439" s="410"/>
      <c r="J439" s="142"/>
      <c r="K439" s="410"/>
      <c r="L439" s="142"/>
      <c r="M439" s="403"/>
      <c r="N439" s="198"/>
      <c r="O439" s="403"/>
      <c r="P439" s="198"/>
      <c r="Q439" s="410"/>
      <c r="R439" s="438"/>
      <c r="S439" s="403"/>
      <c r="T439" s="198"/>
      <c r="U439" s="403"/>
      <c r="V439" s="19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03"/>
      <c r="B440" s="198"/>
      <c r="C440" s="403"/>
      <c r="D440" s="198"/>
      <c r="E440" s="403"/>
      <c r="F440" s="198"/>
      <c r="G440" s="403"/>
      <c r="H440" s="198"/>
      <c r="I440" s="410"/>
      <c r="J440" s="142"/>
      <c r="K440" s="410"/>
      <c r="L440" s="142"/>
      <c r="M440" s="403"/>
      <c r="N440" s="198"/>
      <c r="O440" s="403"/>
      <c r="P440" s="198"/>
      <c r="Q440" s="410"/>
      <c r="R440" s="438"/>
      <c r="S440" s="403"/>
      <c r="T440" s="198"/>
      <c r="U440" s="403"/>
      <c r="V440" s="19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03"/>
      <c r="B441" s="198"/>
      <c r="C441" s="403"/>
      <c r="D441" s="198"/>
      <c r="E441" s="403"/>
      <c r="F441" s="198"/>
      <c r="G441" s="403"/>
      <c r="H441" s="198"/>
      <c r="I441" s="410"/>
      <c r="J441" s="142"/>
      <c r="K441" s="410"/>
      <c r="L441" s="142"/>
      <c r="M441" s="403"/>
      <c r="N441" s="198"/>
      <c r="O441" s="403"/>
      <c r="P441" s="198"/>
      <c r="Q441" s="410"/>
      <c r="R441" s="438"/>
      <c r="S441" s="403"/>
      <c r="T441" s="198"/>
      <c r="U441" s="403"/>
      <c r="V441" s="19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03"/>
      <c r="B442" s="198"/>
      <c r="C442" s="403"/>
      <c r="D442" s="198"/>
      <c r="E442" s="403"/>
      <c r="F442" s="198"/>
      <c r="G442" s="403"/>
      <c r="H442" s="198"/>
      <c r="I442" s="410"/>
      <c r="J442" s="142"/>
      <c r="K442" s="410"/>
      <c r="L442" s="142"/>
      <c r="M442" s="403"/>
      <c r="N442" s="198"/>
      <c r="O442" s="403"/>
      <c r="P442" s="198"/>
      <c r="Q442" s="410"/>
      <c r="R442" s="438"/>
      <c r="S442" s="403"/>
      <c r="T442" s="198"/>
      <c r="U442" s="403"/>
      <c r="V442" s="19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03"/>
      <c r="B443" s="198"/>
      <c r="C443" s="403"/>
      <c r="D443" s="198"/>
      <c r="E443" s="403"/>
      <c r="F443" s="198"/>
      <c r="G443" s="403"/>
      <c r="H443" s="198"/>
      <c r="I443" s="410"/>
      <c r="J443" s="142"/>
      <c r="K443" s="410"/>
      <c r="L443" s="142"/>
      <c r="M443" s="403"/>
      <c r="N443" s="198"/>
      <c r="O443" s="403"/>
      <c r="P443" s="198"/>
      <c r="Q443" s="410"/>
      <c r="R443" s="438"/>
      <c r="S443" s="403"/>
      <c r="T443" s="198"/>
      <c r="U443" s="403"/>
      <c r="V443" s="19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03"/>
      <c r="B444" s="198"/>
      <c r="C444" s="403"/>
      <c r="D444" s="198"/>
      <c r="E444" s="403"/>
      <c r="F444" s="198"/>
      <c r="G444" s="403"/>
      <c r="H444" s="198"/>
      <c r="I444" s="410"/>
      <c r="J444" s="142"/>
      <c r="K444" s="410"/>
      <c r="L444" s="142"/>
      <c r="M444" s="403"/>
      <c r="N444" s="198"/>
      <c r="O444" s="403"/>
      <c r="P444" s="198"/>
      <c r="Q444" s="410"/>
      <c r="R444" s="438"/>
      <c r="S444" s="403"/>
      <c r="T444" s="198"/>
      <c r="U444" s="403"/>
      <c r="V444" s="19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03"/>
      <c r="B445" s="198"/>
      <c r="C445" s="403"/>
      <c r="D445" s="198"/>
      <c r="E445" s="403"/>
      <c r="F445" s="198"/>
      <c r="G445" s="403"/>
      <c r="H445" s="198"/>
      <c r="I445" s="410"/>
      <c r="J445" s="142"/>
      <c r="K445" s="410"/>
      <c r="L445" s="142"/>
      <c r="M445" s="403"/>
      <c r="N445" s="198"/>
      <c r="O445" s="403"/>
      <c r="P445" s="198"/>
      <c r="Q445" s="410"/>
      <c r="R445" s="438"/>
      <c r="S445" s="403"/>
      <c r="T445" s="198"/>
      <c r="U445" s="403"/>
      <c r="V445" s="19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03"/>
      <c r="B446" s="198"/>
      <c r="C446" s="403"/>
      <c r="D446" s="198"/>
      <c r="E446" s="403"/>
      <c r="F446" s="198"/>
      <c r="G446" s="403"/>
      <c r="H446" s="198"/>
      <c r="I446" s="410"/>
      <c r="J446" s="142"/>
      <c r="K446" s="410"/>
      <c r="L446" s="142"/>
      <c r="M446" s="403"/>
      <c r="N446" s="198"/>
      <c r="O446" s="403"/>
      <c r="P446" s="198"/>
      <c r="Q446" s="410"/>
      <c r="R446" s="438"/>
      <c r="S446" s="403"/>
      <c r="T446" s="198"/>
      <c r="U446" s="403"/>
      <c r="V446" s="19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03"/>
      <c r="B447" s="198"/>
      <c r="C447" s="403"/>
      <c r="D447" s="198"/>
      <c r="E447" s="403"/>
      <c r="F447" s="198"/>
      <c r="G447" s="403"/>
      <c r="H447" s="198"/>
      <c r="I447" s="410"/>
      <c r="J447" s="142"/>
      <c r="K447" s="410"/>
      <c r="L447" s="142"/>
      <c r="M447" s="403"/>
      <c r="N447" s="198"/>
      <c r="O447" s="403"/>
      <c r="P447" s="198"/>
      <c r="Q447" s="410"/>
      <c r="R447" s="438"/>
      <c r="S447" s="403"/>
      <c r="T447" s="198"/>
      <c r="U447" s="403"/>
      <c r="V447" s="19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03"/>
      <c r="B448" s="198"/>
      <c r="C448" s="403"/>
      <c r="D448" s="198"/>
      <c r="E448" s="403"/>
      <c r="F448" s="198"/>
      <c r="G448" s="403"/>
      <c r="H448" s="198"/>
      <c r="I448" s="410"/>
      <c r="J448" s="142"/>
      <c r="K448" s="410"/>
      <c r="L448" s="142"/>
      <c r="M448" s="403"/>
      <c r="N448" s="198"/>
      <c r="O448" s="403"/>
      <c r="P448" s="198"/>
      <c r="Q448" s="410"/>
      <c r="R448" s="438"/>
      <c r="S448" s="403"/>
      <c r="T448" s="198"/>
      <c r="U448" s="403"/>
      <c r="V448" s="19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03"/>
      <c r="B449" s="198"/>
      <c r="C449" s="403"/>
      <c r="D449" s="198"/>
      <c r="E449" s="403"/>
      <c r="F449" s="198"/>
      <c r="G449" s="403"/>
      <c r="H449" s="198"/>
      <c r="I449" s="410"/>
      <c r="J449" s="142"/>
      <c r="K449" s="410"/>
      <c r="L449" s="142"/>
      <c r="M449" s="403"/>
      <c r="N449" s="198"/>
      <c r="O449" s="403"/>
      <c r="P449" s="198"/>
      <c r="Q449" s="410"/>
      <c r="R449" s="438"/>
      <c r="S449" s="403"/>
      <c r="T449" s="198"/>
      <c r="U449" s="403"/>
      <c r="V449" s="19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03"/>
      <c r="B450" s="198"/>
      <c r="C450" s="403"/>
      <c r="D450" s="198"/>
      <c r="E450" s="403"/>
      <c r="F450" s="198"/>
      <c r="G450" s="403"/>
      <c r="H450" s="198"/>
      <c r="I450" s="410"/>
      <c r="J450" s="142"/>
      <c r="K450" s="410"/>
      <c r="L450" s="142"/>
      <c r="M450" s="403"/>
      <c r="N450" s="198"/>
      <c r="O450" s="403"/>
      <c r="P450" s="198"/>
      <c r="Q450" s="410"/>
      <c r="R450" s="438"/>
      <c r="S450" s="403"/>
      <c r="T450" s="198"/>
      <c r="U450" s="403"/>
      <c r="V450" s="19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03"/>
      <c r="B451" s="198"/>
      <c r="C451" s="403"/>
      <c r="D451" s="198"/>
      <c r="E451" s="403"/>
      <c r="F451" s="198"/>
      <c r="G451" s="403"/>
      <c r="H451" s="198"/>
      <c r="I451" s="410"/>
      <c r="J451" s="142"/>
      <c r="K451" s="410"/>
      <c r="L451" s="142"/>
      <c r="M451" s="403"/>
      <c r="N451" s="198"/>
      <c r="O451" s="403"/>
      <c r="P451" s="198"/>
      <c r="Q451" s="410"/>
      <c r="R451" s="438"/>
      <c r="S451" s="403"/>
      <c r="T451" s="198"/>
      <c r="U451" s="403"/>
      <c r="V451" s="19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03"/>
      <c r="B452" s="198"/>
      <c r="C452" s="403"/>
      <c r="D452" s="198"/>
      <c r="E452" s="403"/>
      <c r="F452" s="198"/>
      <c r="G452" s="403"/>
      <c r="H452" s="198"/>
      <c r="I452" s="410"/>
      <c r="J452" s="142"/>
      <c r="K452" s="410"/>
      <c r="L452" s="142"/>
      <c r="M452" s="403"/>
      <c r="N452" s="198"/>
      <c r="O452" s="403"/>
      <c r="P452" s="198"/>
      <c r="Q452" s="410"/>
      <c r="R452" s="438"/>
      <c r="S452" s="403"/>
      <c r="T452" s="198"/>
      <c r="U452" s="403"/>
      <c r="V452" s="19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03"/>
      <c r="B453" s="198"/>
      <c r="C453" s="403"/>
      <c r="D453" s="198"/>
      <c r="E453" s="403"/>
      <c r="F453" s="198"/>
      <c r="G453" s="403"/>
      <c r="H453" s="198"/>
      <c r="I453" s="410"/>
      <c r="J453" s="142"/>
      <c r="K453" s="410"/>
      <c r="L453" s="142"/>
      <c r="M453" s="403"/>
      <c r="N453" s="198"/>
      <c r="O453" s="403"/>
      <c r="P453" s="198"/>
      <c r="Q453" s="410"/>
      <c r="R453" s="438"/>
      <c r="S453" s="403"/>
      <c r="T453" s="198"/>
      <c r="U453" s="403"/>
      <c r="V453" s="19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03"/>
      <c r="B454" s="198"/>
      <c r="C454" s="403"/>
      <c r="D454" s="198"/>
      <c r="E454" s="403"/>
      <c r="F454" s="198"/>
      <c r="G454" s="403"/>
      <c r="H454" s="198"/>
      <c r="I454" s="410"/>
      <c r="J454" s="142"/>
      <c r="K454" s="410"/>
      <c r="L454" s="142"/>
      <c r="M454" s="403"/>
      <c r="N454" s="198"/>
      <c r="O454" s="403"/>
      <c r="P454" s="198"/>
      <c r="Q454" s="410"/>
      <c r="R454" s="438"/>
      <c r="S454" s="403"/>
      <c r="T454" s="198"/>
      <c r="U454" s="403"/>
      <c r="V454" s="19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03"/>
      <c r="B455" s="198"/>
      <c r="C455" s="403"/>
      <c r="D455" s="198"/>
      <c r="E455" s="403"/>
      <c r="F455" s="198"/>
      <c r="G455" s="403"/>
      <c r="H455" s="198"/>
      <c r="I455" s="410"/>
      <c r="J455" s="142"/>
      <c r="K455" s="410"/>
      <c r="L455" s="142"/>
      <c r="M455" s="403"/>
      <c r="N455" s="198"/>
      <c r="O455" s="403"/>
      <c r="P455" s="198"/>
      <c r="Q455" s="410"/>
      <c r="R455" s="438"/>
      <c r="S455" s="403"/>
      <c r="T455" s="198"/>
      <c r="U455" s="403"/>
      <c r="V455" s="19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03"/>
      <c r="B456" s="198"/>
      <c r="C456" s="403"/>
      <c r="D456" s="198"/>
      <c r="E456" s="403"/>
      <c r="F456" s="198"/>
      <c r="G456" s="403"/>
      <c r="H456" s="198"/>
      <c r="I456" s="410"/>
      <c r="J456" s="142"/>
      <c r="K456" s="410"/>
      <c r="L456" s="142"/>
      <c r="M456" s="403"/>
      <c r="N456" s="198"/>
      <c r="O456" s="403"/>
      <c r="P456" s="198"/>
      <c r="Q456" s="410"/>
      <c r="R456" s="438"/>
      <c r="S456" s="403"/>
      <c r="T456" s="198"/>
      <c r="U456" s="403"/>
      <c r="V456" s="19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03"/>
      <c r="B457" s="198"/>
      <c r="C457" s="403"/>
      <c r="D457" s="198"/>
      <c r="E457" s="403"/>
      <c r="F457" s="198"/>
      <c r="G457" s="403"/>
      <c r="H457" s="198"/>
      <c r="I457" s="410"/>
      <c r="J457" s="142"/>
      <c r="K457" s="410"/>
      <c r="L457" s="142"/>
      <c r="M457" s="403"/>
      <c r="N457" s="198"/>
      <c r="O457" s="403"/>
      <c r="P457" s="198"/>
      <c r="Q457" s="410"/>
      <c r="R457" s="438"/>
      <c r="S457" s="403"/>
      <c r="T457" s="198"/>
      <c r="U457" s="403"/>
      <c r="V457" s="19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03"/>
      <c r="B458" s="198"/>
      <c r="C458" s="403"/>
      <c r="D458" s="198"/>
      <c r="E458" s="403"/>
      <c r="F458" s="198"/>
      <c r="G458" s="403"/>
      <c r="H458" s="198"/>
      <c r="I458" s="410"/>
      <c r="J458" s="142"/>
      <c r="K458" s="410"/>
      <c r="L458" s="142"/>
      <c r="M458" s="403"/>
      <c r="N458" s="198"/>
      <c r="O458" s="403"/>
      <c r="P458" s="198"/>
      <c r="Q458" s="410"/>
      <c r="R458" s="438"/>
      <c r="S458" s="403"/>
      <c r="T458" s="198"/>
      <c r="U458" s="403"/>
      <c r="V458" s="19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03"/>
      <c r="B459" s="198"/>
      <c r="C459" s="403"/>
      <c r="D459" s="198"/>
      <c r="E459" s="403"/>
      <c r="F459" s="198"/>
      <c r="G459" s="403"/>
      <c r="H459" s="198"/>
      <c r="I459" s="410"/>
      <c r="J459" s="142"/>
      <c r="K459" s="410"/>
      <c r="L459" s="142"/>
      <c r="M459" s="403"/>
      <c r="N459" s="198"/>
      <c r="O459" s="403"/>
      <c r="P459" s="198"/>
      <c r="Q459" s="410"/>
      <c r="R459" s="438"/>
      <c r="S459" s="403"/>
      <c r="T459" s="198"/>
      <c r="U459" s="403"/>
      <c r="V459" s="19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03"/>
      <c r="B460" s="198"/>
      <c r="C460" s="403"/>
      <c r="D460" s="198"/>
      <c r="E460" s="403"/>
      <c r="F460" s="198"/>
      <c r="G460" s="403"/>
      <c r="H460" s="198"/>
      <c r="I460" s="410"/>
      <c r="J460" s="142"/>
      <c r="K460" s="410"/>
      <c r="L460" s="142"/>
      <c r="M460" s="403"/>
      <c r="N460" s="198"/>
      <c r="O460" s="403"/>
      <c r="P460" s="198"/>
      <c r="Q460" s="438"/>
      <c r="R460" s="438"/>
      <c r="S460" s="403"/>
      <c r="T460" s="198"/>
      <c r="U460" s="403"/>
      <c r="V460" s="19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03"/>
      <c r="B461" s="198"/>
      <c r="C461" s="403"/>
      <c r="D461" s="198"/>
      <c r="E461" s="403"/>
      <c r="F461" s="198"/>
      <c r="G461" s="403"/>
      <c r="H461" s="198"/>
      <c r="I461" s="410"/>
      <c r="J461" s="142"/>
      <c r="K461" s="410"/>
      <c r="L461" s="142"/>
      <c r="M461" s="403"/>
      <c r="N461" s="198"/>
      <c r="O461" s="403"/>
      <c r="P461" s="198"/>
      <c r="Q461" s="438"/>
      <c r="R461" s="438"/>
      <c r="S461" s="403"/>
      <c r="T461" s="198"/>
      <c r="U461" s="403"/>
      <c r="V461" s="19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03"/>
      <c r="B462" s="198"/>
      <c r="C462" s="403"/>
      <c r="D462" s="198"/>
      <c r="E462" s="403"/>
      <c r="F462" s="198"/>
      <c r="G462" s="403"/>
      <c r="H462" s="198"/>
      <c r="I462" s="410"/>
      <c r="J462" s="142"/>
      <c r="K462" s="410"/>
      <c r="L462" s="142"/>
      <c r="M462" s="403"/>
      <c r="N462" s="198"/>
      <c r="O462" s="403"/>
      <c r="P462" s="198"/>
      <c r="Q462" s="438"/>
      <c r="R462" s="438"/>
      <c r="S462" s="403"/>
      <c r="T462" s="198"/>
      <c r="U462" s="403"/>
      <c r="V462" s="19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03"/>
      <c r="B463" s="198"/>
      <c r="C463" s="403"/>
      <c r="D463" s="198"/>
      <c r="E463" s="403"/>
      <c r="F463" s="198"/>
      <c r="G463" s="403"/>
      <c r="H463" s="198"/>
      <c r="I463" s="410"/>
      <c r="J463" s="142"/>
      <c r="K463" s="410"/>
      <c r="L463" s="142"/>
      <c r="M463" s="403"/>
      <c r="N463" s="198"/>
      <c r="O463" s="403"/>
      <c r="P463" s="198"/>
      <c r="Q463" s="438"/>
      <c r="R463" s="438"/>
      <c r="S463" s="403"/>
      <c r="T463" s="198"/>
      <c r="U463" s="403"/>
      <c r="V463" s="19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03"/>
      <c r="B464" s="198"/>
      <c r="C464" s="403"/>
      <c r="D464" s="198"/>
      <c r="E464" s="403"/>
      <c r="F464" s="198"/>
      <c r="G464" s="403"/>
      <c r="H464" s="198"/>
      <c r="I464" s="410"/>
      <c r="J464" s="142"/>
      <c r="K464" s="410"/>
      <c r="L464" s="142"/>
      <c r="M464" s="403"/>
      <c r="N464" s="198"/>
      <c r="O464" s="403"/>
      <c r="P464" s="198"/>
      <c r="Q464" s="438"/>
      <c r="R464" s="438"/>
      <c r="S464" s="403"/>
      <c r="T464" s="198"/>
      <c r="U464" s="403"/>
      <c r="V464" s="19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03"/>
      <c r="B465" s="198"/>
      <c r="C465" s="403"/>
      <c r="D465" s="198"/>
      <c r="E465" s="403"/>
      <c r="F465" s="198"/>
      <c r="G465" s="403"/>
      <c r="H465" s="198"/>
      <c r="I465" s="410"/>
      <c r="J465" s="142"/>
      <c r="K465" s="410"/>
      <c r="L465" s="142"/>
      <c r="M465" s="403"/>
      <c r="N465" s="198"/>
      <c r="O465" s="403"/>
      <c r="P465" s="198"/>
      <c r="Q465" s="438"/>
      <c r="R465" s="438"/>
      <c r="S465" s="403"/>
      <c r="T465" s="198"/>
      <c r="U465" s="403"/>
      <c r="V465" s="19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03"/>
      <c r="B466" s="198"/>
      <c r="C466" s="403"/>
      <c r="D466" s="198"/>
      <c r="E466" s="403"/>
      <c r="F466" s="198"/>
      <c r="G466" s="403"/>
      <c r="H466" s="198"/>
      <c r="I466" s="410"/>
      <c r="J466" s="142"/>
      <c r="K466" s="410"/>
      <c r="L466" s="142"/>
      <c r="M466" s="403"/>
      <c r="N466" s="198"/>
      <c r="O466" s="403"/>
      <c r="P466" s="198"/>
      <c r="Q466" s="438"/>
      <c r="R466" s="438"/>
      <c r="S466" s="403"/>
      <c r="T466" s="198"/>
      <c r="U466" s="403"/>
      <c r="V466" s="19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03"/>
      <c r="B467" s="198"/>
      <c r="C467" s="403"/>
      <c r="D467" s="198"/>
      <c r="E467" s="403"/>
      <c r="F467" s="198"/>
      <c r="G467" s="403"/>
      <c r="H467" s="198"/>
      <c r="I467" s="410"/>
      <c r="J467" s="142"/>
      <c r="K467" s="410"/>
      <c r="L467" s="142"/>
      <c r="M467" s="403"/>
      <c r="N467" s="198"/>
      <c r="O467" s="403"/>
      <c r="P467" s="198"/>
      <c r="Q467" s="438"/>
      <c r="R467" s="438"/>
      <c r="S467" s="403"/>
      <c r="T467" s="198"/>
      <c r="U467" s="403"/>
      <c r="V467" s="19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03"/>
      <c r="B468" s="198"/>
      <c r="C468" s="403"/>
      <c r="D468" s="198"/>
      <c r="E468" s="403"/>
      <c r="F468" s="198"/>
      <c r="G468" s="403"/>
      <c r="H468" s="198"/>
      <c r="I468" s="410"/>
      <c r="J468" s="142"/>
      <c r="K468" s="410"/>
      <c r="L468" s="142"/>
      <c r="M468" s="403"/>
      <c r="N468" s="198"/>
      <c r="O468" s="403"/>
      <c r="P468" s="198"/>
      <c r="Q468" s="438"/>
      <c r="R468" s="438"/>
      <c r="S468" s="403"/>
      <c r="T468" s="198"/>
      <c r="U468" s="403"/>
      <c r="V468" s="19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03"/>
      <c r="B469" s="198"/>
      <c r="C469" s="403"/>
      <c r="D469" s="198"/>
      <c r="E469" s="403"/>
      <c r="F469" s="198"/>
      <c r="G469" s="403"/>
      <c r="H469" s="198"/>
      <c r="I469" s="410"/>
      <c r="J469" s="142"/>
      <c r="K469" s="410"/>
      <c r="L469" s="142"/>
      <c r="M469" s="403"/>
      <c r="N469" s="198"/>
      <c r="O469" s="403"/>
      <c r="P469" s="198"/>
      <c r="Q469" s="438"/>
      <c r="R469" s="438"/>
      <c r="S469" s="403"/>
      <c r="T469" s="198"/>
      <c r="U469" s="403"/>
      <c r="V469" s="19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03"/>
      <c r="B470" s="198"/>
      <c r="C470" s="403"/>
      <c r="D470" s="198"/>
      <c r="E470" s="403"/>
      <c r="F470" s="198"/>
      <c r="G470" s="403"/>
      <c r="H470" s="198"/>
      <c r="I470" s="410"/>
      <c r="J470" s="142"/>
      <c r="K470" s="410"/>
      <c r="L470" s="142"/>
      <c r="M470" s="403"/>
      <c r="N470" s="198"/>
      <c r="O470" s="403"/>
      <c r="P470" s="198"/>
      <c r="Q470" s="438"/>
      <c r="R470" s="438"/>
      <c r="S470" s="403"/>
      <c r="T470" s="198"/>
      <c r="U470" s="403"/>
      <c r="V470" s="19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03"/>
      <c r="B471" s="198"/>
      <c r="C471" s="403"/>
      <c r="D471" s="198"/>
      <c r="E471" s="403"/>
      <c r="F471" s="198"/>
      <c r="G471" s="403"/>
      <c r="H471" s="198"/>
      <c r="I471" s="410"/>
      <c r="J471" s="142"/>
      <c r="K471" s="410"/>
      <c r="L471" s="142"/>
      <c r="M471" s="403"/>
      <c r="N471" s="198"/>
      <c r="O471" s="403"/>
      <c r="P471" s="198"/>
      <c r="Q471" s="438"/>
      <c r="R471" s="438"/>
      <c r="S471" s="403"/>
      <c r="T471" s="198"/>
      <c r="U471" s="403"/>
      <c r="V471" s="19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03"/>
      <c r="B472" s="198"/>
      <c r="C472" s="403"/>
      <c r="D472" s="198"/>
      <c r="E472" s="403"/>
      <c r="F472" s="198"/>
      <c r="G472" s="403"/>
      <c r="H472" s="198"/>
      <c r="I472" s="410"/>
      <c r="J472" s="142"/>
      <c r="K472" s="410"/>
      <c r="L472" s="142"/>
      <c r="M472" s="403"/>
      <c r="N472" s="198"/>
      <c r="O472" s="403"/>
      <c r="P472" s="198"/>
      <c r="Q472" s="438"/>
      <c r="R472" s="438"/>
      <c r="S472" s="403"/>
      <c r="T472" s="198"/>
      <c r="U472" s="403"/>
      <c r="V472" s="19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03"/>
      <c r="B473" s="198"/>
      <c r="C473" s="403"/>
      <c r="D473" s="198"/>
      <c r="E473" s="403"/>
      <c r="F473" s="198"/>
      <c r="G473" s="403"/>
      <c r="H473" s="198"/>
      <c r="I473" s="410"/>
      <c r="J473" s="142"/>
      <c r="K473" s="410"/>
      <c r="L473" s="142"/>
      <c r="M473" s="403"/>
      <c r="N473" s="198"/>
      <c r="O473" s="403"/>
      <c r="P473" s="198"/>
      <c r="Q473" s="438"/>
      <c r="R473" s="438"/>
      <c r="S473" s="403"/>
      <c r="T473" s="198"/>
      <c r="U473" s="403"/>
      <c r="V473" s="19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03"/>
      <c r="B474" s="198"/>
      <c r="C474" s="403"/>
      <c r="D474" s="198"/>
      <c r="E474" s="403"/>
      <c r="F474" s="198"/>
      <c r="G474" s="403"/>
      <c r="H474" s="198"/>
      <c r="I474" s="410"/>
      <c r="J474" s="142"/>
      <c r="K474" s="410"/>
      <c r="L474" s="142"/>
      <c r="M474" s="403"/>
      <c r="N474" s="198"/>
      <c r="O474" s="403"/>
      <c r="P474" s="198"/>
      <c r="Q474" s="438"/>
      <c r="R474" s="438"/>
      <c r="S474" s="403"/>
      <c r="T474" s="198"/>
      <c r="U474" s="403"/>
      <c r="V474" s="19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03"/>
      <c r="B475" s="198"/>
      <c r="C475" s="403"/>
      <c r="D475" s="198"/>
      <c r="E475" s="403"/>
      <c r="F475" s="198"/>
      <c r="G475" s="403"/>
      <c r="H475" s="198"/>
      <c r="I475" s="410"/>
      <c r="J475" s="142"/>
      <c r="K475" s="410"/>
      <c r="L475" s="142"/>
      <c r="M475" s="403"/>
      <c r="N475" s="198"/>
      <c r="O475" s="403"/>
      <c r="P475" s="198"/>
      <c r="Q475" s="438"/>
      <c r="R475" s="438"/>
      <c r="S475" s="403"/>
      <c r="T475" s="198"/>
      <c r="U475" s="403"/>
      <c r="V475" s="19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03"/>
      <c r="B476" s="198"/>
      <c r="C476" s="403"/>
      <c r="D476" s="198"/>
      <c r="E476" s="403"/>
      <c r="F476" s="198"/>
      <c r="G476" s="403"/>
      <c r="H476" s="198"/>
      <c r="I476" s="410"/>
      <c r="J476" s="142"/>
      <c r="K476" s="410"/>
      <c r="L476" s="142"/>
      <c r="M476" s="403"/>
      <c r="N476" s="198"/>
      <c r="O476" s="403"/>
      <c r="P476" s="198"/>
      <c r="Q476" s="438"/>
      <c r="R476" s="438"/>
      <c r="S476" s="403"/>
      <c r="T476" s="198"/>
      <c r="U476" s="403"/>
      <c r="V476" s="19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03"/>
      <c r="B477" s="198"/>
      <c r="C477" s="403"/>
      <c r="D477" s="198"/>
      <c r="E477" s="403"/>
      <c r="F477" s="198"/>
      <c r="G477" s="403"/>
      <c r="H477" s="198"/>
      <c r="I477" s="410"/>
      <c r="J477" s="142"/>
      <c r="K477" s="410"/>
      <c r="L477" s="142"/>
      <c r="M477" s="403"/>
      <c r="N477" s="198"/>
      <c r="O477" s="403"/>
      <c r="P477" s="198"/>
      <c r="Q477" s="438"/>
      <c r="R477" s="438"/>
      <c r="S477" s="403"/>
      <c r="T477" s="198"/>
      <c r="U477" s="403"/>
      <c r="V477" s="19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03"/>
      <c r="B478" s="198"/>
      <c r="C478" s="403"/>
      <c r="D478" s="198"/>
      <c r="E478" s="403"/>
      <c r="F478" s="198"/>
      <c r="G478" s="403"/>
      <c r="H478" s="198"/>
      <c r="I478" s="410"/>
      <c r="J478" s="142"/>
      <c r="K478" s="410"/>
      <c r="L478" s="142"/>
      <c r="M478" s="403"/>
      <c r="N478" s="198"/>
      <c r="O478" s="403"/>
      <c r="P478" s="198"/>
      <c r="Q478" s="438"/>
      <c r="R478" s="438"/>
      <c r="S478" s="403"/>
      <c r="T478" s="198"/>
      <c r="U478" s="403"/>
      <c r="V478" s="19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03"/>
      <c r="B479" s="198"/>
      <c r="C479" s="403"/>
      <c r="D479" s="198"/>
      <c r="E479" s="403"/>
      <c r="F479" s="198"/>
      <c r="G479" s="403"/>
      <c r="H479" s="198"/>
      <c r="I479" s="410"/>
      <c r="J479" s="142"/>
      <c r="K479" s="410"/>
      <c r="L479" s="142"/>
      <c r="M479" s="403"/>
      <c r="N479" s="198"/>
      <c r="O479" s="403"/>
      <c r="P479" s="198"/>
      <c r="Q479" s="438"/>
      <c r="R479" s="438"/>
      <c r="S479" s="403"/>
      <c r="T479" s="198"/>
      <c r="U479" s="403"/>
      <c r="V479" s="19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03"/>
      <c r="B480" s="198"/>
      <c r="C480" s="403"/>
      <c r="D480" s="198"/>
      <c r="E480" s="403"/>
      <c r="F480" s="198"/>
      <c r="G480" s="403"/>
      <c r="H480" s="198"/>
      <c r="I480" s="410"/>
      <c r="J480" s="142"/>
      <c r="K480" s="410"/>
      <c r="L480" s="142"/>
      <c r="M480" s="403"/>
      <c r="N480" s="198"/>
      <c r="O480" s="403"/>
      <c r="P480" s="198"/>
      <c r="Q480" s="438"/>
      <c r="R480" s="438"/>
      <c r="S480" s="403"/>
      <c r="T480" s="198"/>
      <c r="U480" s="403"/>
      <c r="V480" s="19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03"/>
      <c r="B481" s="198"/>
      <c r="C481" s="403"/>
      <c r="D481" s="198"/>
      <c r="E481" s="403"/>
      <c r="F481" s="198"/>
      <c r="G481" s="403"/>
      <c r="H481" s="198"/>
      <c r="I481" s="410"/>
      <c r="J481" s="142"/>
      <c r="K481" s="410"/>
      <c r="L481" s="142"/>
      <c r="M481" s="403"/>
      <c r="N481" s="198"/>
      <c r="O481" s="403"/>
      <c r="P481" s="198"/>
      <c r="Q481" s="438"/>
      <c r="R481" s="438"/>
      <c r="S481" s="403"/>
      <c r="T481" s="198"/>
      <c r="U481" s="403"/>
      <c r="V481" s="19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03"/>
      <c r="B482" s="198"/>
      <c r="C482" s="403"/>
      <c r="D482" s="198"/>
      <c r="E482" s="403"/>
      <c r="F482" s="198"/>
      <c r="G482" s="403"/>
      <c r="H482" s="198"/>
      <c r="I482" s="410"/>
      <c r="J482" s="142"/>
      <c r="K482" s="410"/>
      <c r="L482" s="142"/>
      <c r="M482" s="403"/>
      <c r="N482" s="198"/>
      <c r="O482" s="403"/>
      <c r="P482" s="198"/>
      <c r="Q482" s="438"/>
      <c r="R482" s="438"/>
      <c r="S482" s="403"/>
      <c r="T482" s="198"/>
      <c r="U482" s="403"/>
      <c r="V482" s="19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03"/>
      <c r="B483" s="198"/>
      <c r="C483" s="403"/>
      <c r="D483" s="198"/>
      <c r="E483" s="403"/>
      <c r="F483" s="198"/>
      <c r="G483" s="403"/>
      <c r="H483" s="198"/>
      <c r="I483" s="410"/>
      <c r="J483" s="142"/>
      <c r="K483" s="410"/>
      <c r="L483" s="142"/>
      <c r="M483" s="403"/>
      <c r="N483" s="198"/>
      <c r="O483" s="403"/>
      <c r="P483" s="198"/>
      <c r="Q483" s="438"/>
      <c r="R483" s="438"/>
      <c r="S483" s="403"/>
      <c r="T483" s="198"/>
      <c r="U483" s="403"/>
      <c r="V483" s="19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03"/>
      <c r="B484" s="198"/>
      <c r="C484" s="403"/>
      <c r="D484" s="198"/>
      <c r="E484" s="403"/>
      <c r="F484" s="198"/>
      <c r="G484" s="403"/>
      <c r="H484" s="198"/>
      <c r="I484" s="410"/>
      <c r="J484" s="142"/>
      <c r="K484" s="410"/>
      <c r="L484" s="142"/>
      <c r="M484" s="403"/>
      <c r="N484" s="198"/>
      <c r="O484" s="403"/>
      <c r="P484" s="198"/>
      <c r="Q484" s="438"/>
      <c r="R484" s="438"/>
      <c r="S484" s="403"/>
      <c r="T484" s="198"/>
      <c r="U484" s="403"/>
      <c r="V484" s="19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03"/>
      <c r="B485" s="198"/>
      <c r="C485" s="403"/>
      <c r="D485" s="198"/>
      <c r="E485" s="403"/>
      <c r="F485" s="198"/>
      <c r="G485" s="403"/>
      <c r="H485" s="198"/>
      <c r="I485" s="410"/>
      <c r="J485" s="142"/>
      <c r="K485" s="410"/>
      <c r="L485" s="142"/>
      <c r="M485" s="403"/>
      <c r="N485" s="198"/>
      <c r="O485" s="403"/>
      <c r="P485" s="198"/>
      <c r="Q485" s="438"/>
      <c r="R485" s="438"/>
      <c r="S485" s="403"/>
      <c r="T485" s="198"/>
      <c r="U485" s="403"/>
      <c r="V485" s="19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03"/>
      <c r="B486" s="198"/>
      <c r="C486" s="403"/>
      <c r="D486" s="198"/>
      <c r="E486" s="403"/>
      <c r="F486" s="198"/>
      <c r="G486" s="403"/>
      <c r="H486" s="198"/>
      <c r="I486" s="410"/>
      <c r="J486" s="142"/>
      <c r="K486" s="410"/>
      <c r="L486" s="142"/>
      <c r="M486" s="403"/>
      <c r="N486" s="198"/>
      <c r="O486" s="403"/>
      <c r="P486" s="198"/>
      <c r="Q486" s="438"/>
      <c r="R486" s="438"/>
      <c r="S486" s="403"/>
      <c r="T486" s="198"/>
      <c r="U486" s="403"/>
      <c r="V486" s="19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03"/>
      <c r="B487" s="198"/>
      <c r="C487" s="403"/>
      <c r="D487" s="198"/>
      <c r="E487" s="403"/>
      <c r="F487" s="198"/>
      <c r="G487" s="403"/>
      <c r="H487" s="198"/>
      <c r="I487" s="410"/>
      <c r="J487" s="142"/>
      <c r="K487" s="410"/>
      <c r="L487" s="142"/>
      <c r="M487" s="403"/>
      <c r="N487" s="198"/>
      <c r="O487" s="403"/>
      <c r="P487" s="198"/>
      <c r="Q487" s="438"/>
      <c r="R487" s="438"/>
      <c r="S487" s="403"/>
      <c r="T487" s="198"/>
      <c r="U487" s="403"/>
      <c r="V487" s="19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03"/>
      <c r="B488" s="198"/>
      <c r="C488" s="403"/>
      <c r="D488" s="198"/>
      <c r="E488" s="403"/>
      <c r="F488" s="198"/>
      <c r="G488" s="403"/>
      <c r="H488" s="198"/>
      <c r="I488" s="410"/>
      <c r="J488" s="142"/>
      <c r="K488" s="410"/>
      <c r="L488" s="142"/>
      <c r="M488" s="403"/>
      <c r="N488" s="198"/>
      <c r="O488" s="403"/>
      <c r="P488" s="198"/>
      <c r="Q488" s="438"/>
      <c r="R488" s="438"/>
      <c r="S488" s="403"/>
      <c r="T488" s="198"/>
      <c r="U488" s="403"/>
      <c r="V488" s="19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03"/>
      <c r="B489" s="198"/>
      <c r="C489" s="403"/>
      <c r="D489" s="198"/>
      <c r="E489" s="403"/>
      <c r="F489" s="198"/>
      <c r="G489" s="403"/>
      <c r="H489" s="198"/>
      <c r="I489" s="410"/>
      <c r="J489" s="142"/>
      <c r="K489" s="410"/>
      <c r="L489" s="142"/>
      <c r="M489" s="403"/>
      <c r="N489" s="198"/>
      <c r="O489" s="403"/>
      <c r="P489" s="198"/>
      <c r="Q489" s="438"/>
      <c r="R489" s="438"/>
      <c r="S489" s="403"/>
      <c r="T489" s="198"/>
      <c r="U489" s="403"/>
      <c r="V489" s="19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03"/>
      <c r="B490" s="198"/>
      <c r="C490" s="403"/>
      <c r="D490" s="198"/>
      <c r="E490" s="403"/>
      <c r="F490" s="198"/>
      <c r="G490" s="403"/>
      <c r="H490" s="198"/>
      <c r="I490" s="410"/>
      <c r="J490" s="142"/>
      <c r="K490" s="410"/>
      <c r="L490" s="142"/>
      <c r="M490" s="403"/>
      <c r="N490" s="198"/>
      <c r="O490" s="403"/>
      <c r="P490" s="198"/>
      <c r="Q490" s="438"/>
      <c r="R490" s="438"/>
      <c r="S490" s="403"/>
      <c r="T490" s="198"/>
      <c r="U490" s="403"/>
      <c r="V490" s="19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03"/>
      <c r="B491" s="198"/>
      <c r="C491" s="403"/>
      <c r="D491" s="198"/>
      <c r="E491" s="403"/>
      <c r="F491" s="198"/>
      <c r="G491" s="403"/>
      <c r="H491" s="198"/>
      <c r="I491" s="410"/>
      <c r="J491" s="142"/>
      <c r="K491" s="410"/>
      <c r="L491" s="142"/>
      <c r="M491" s="403"/>
      <c r="N491" s="198"/>
      <c r="O491" s="403"/>
      <c r="P491" s="198"/>
      <c r="Q491" s="438"/>
      <c r="R491" s="438"/>
      <c r="S491" s="403"/>
      <c r="T491" s="198"/>
      <c r="U491" s="403"/>
      <c r="V491" s="19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03"/>
      <c r="B492" s="198"/>
      <c r="C492" s="403"/>
      <c r="D492" s="198"/>
      <c r="E492" s="403"/>
      <c r="F492" s="198"/>
      <c r="G492" s="403"/>
      <c r="H492" s="198"/>
      <c r="I492" s="410"/>
      <c r="J492" s="142"/>
      <c r="K492" s="410"/>
      <c r="L492" s="142"/>
      <c r="M492" s="403"/>
      <c r="N492" s="198"/>
      <c r="O492" s="403"/>
      <c r="P492" s="198"/>
      <c r="Q492" s="438"/>
      <c r="R492" s="438"/>
      <c r="S492" s="403"/>
      <c r="T492" s="198"/>
      <c r="U492" s="403"/>
      <c r="V492" s="19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03"/>
      <c r="B493" s="198"/>
      <c r="C493" s="403"/>
      <c r="D493" s="198"/>
      <c r="E493" s="403"/>
      <c r="F493" s="198"/>
      <c r="G493" s="403"/>
      <c r="H493" s="198"/>
      <c r="I493" s="410"/>
      <c r="J493" s="142"/>
      <c r="K493" s="410"/>
      <c r="L493" s="142"/>
      <c r="M493" s="403"/>
      <c r="N493" s="198"/>
      <c r="O493" s="403"/>
      <c r="P493" s="198"/>
      <c r="Q493" s="438"/>
      <c r="R493" s="438"/>
      <c r="S493" s="403"/>
      <c r="T493" s="198"/>
      <c r="U493" s="403"/>
      <c r="V493" s="19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03"/>
      <c r="B494" s="198"/>
      <c r="C494" s="403"/>
      <c r="D494" s="198"/>
      <c r="E494" s="403"/>
      <c r="F494" s="198"/>
      <c r="G494" s="403"/>
      <c r="H494" s="198"/>
      <c r="I494" s="410"/>
      <c r="J494" s="142"/>
      <c r="K494" s="410"/>
      <c r="L494" s="142"/>
      <c r="M494" s="403"/>
      <c r="N494" s="198"/>
      <c r="O494" s="403"/>
      <c r="P494" s="198"/>
      <c r="Q494" s="438"/>
      <c r="R494" s="438"/>
      <c r="S494" s="403"/>
      <c r="T494" s="198"/>
      <c r="U494" s="403"/>
      <c r="V494" s="19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03"/>
      <c r="B495" s="198"/>
      <c r="C495" s="403"/>
      <c r="D495" s="198"/>
      <c r="E495" s="403"/>
      <c r="F495" s="198"/>
      <c r="G495" s="403"/>
      <c r="H495" s="198"/>
      <c r="I495" s="410"/>
      <c r="J495" s="142"/>
      <c r="K495" s="410"/>
      <c r="L495" s="142"/>
      <c r="M495" s="403"/>
      <c r="N495" s="198"/>
      <c r="O495" s="403"/>
      <c r="P495" s="198"/>
      <c r="Q495" s="438"/>
      <c r="R495" s="438"/>
      <c r="S495" s="403"/>
      <c r="T495" s="198"/>
      <c r="U495" s="403"/>
      <c r="V495" s="19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03"/>
      <c r="B496" s="198"/>
      <c r="C496" s="403"/>
      <c r="D496" s="198"/>
      <c r="E496" s="403"/>
      <c r="F496" s="198"/>
      <c r="G496" s="403"/>
      <c r="H496" s="198"/>
      <c r="I496" s="410"/>
      <c r="J496" s="142"/>
      <c r="K496" s="410"/>
      <c r="L496" s="142"/>
      <c r="M496" s="403"/>
      <c r="N496" s="198"/>
      <c r="O496" s="403"/>
      <c r="P496" s="198"/>
      <c r="Q496" s="438"/>
      <c r="R496" s="438"/>
      <c r="S496" s="403"/>
      <c r="T496" s="198"/>
      <c r="U496" s="403"/>
      <c r="V496" s="19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03"/>
      <c r="B497" s="198"/>
      <c r="C497" s="403"/>
      <c r="D497" s="198"/>
      <c r="E497" s="403"/>
      <c r="F497" s="198"/>
      <c r="G497" s="403"/>
      <c r="H497" s="198"/>
      <c r="I497" s="410"/>
      <c r="J497" s="142"/>
      <c r="K497" s="410"/>
      <c r="L497" s="142"/>
      <c r="M497" s="403"/>
      <c r="N497" s="198"/>
      <c r="O497" s="403"/>
      <c r="P497" s="198"/>
      <c r="Q497" s="438"/>
      <c r="R497" s="438"/>
      <c r="S497" s="403"/>
      <c r="T497" s="198"/>
      <c r="U497" s="403"/>
      <c r="V497" s="19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03"/>
      <c r="B498" s="198"/>
      <c r="C498" s="403"/>
      <c r="D498" s="198"/>
      <c r="E498" s="403"/>
      <c r="F498" s="198"/>
      <c r="G498" s="403"/>
      <c r="H498" s="198"/>
      <c r="I498" s="410"/>
      <c r="J498" s="142"/>
      <c r="K498" s="410"/>
      <c r="L498" s="142"/>
      <c r="M498" s="403"/>
      <c r="N498" s="198"/>
      <c r="O498" s="403"/>
      <c r="P498" s="198"/>
      <c r="Q498" s="438"/>
      <c r="R498" s="438"/>
      <c r="S498" s="403"/>
      <c r="T498" s="198"/>
      <c r="U498" s="403"/>
      <c r="V498" s="19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03"/>
      <c r="B499" s="198"/>
      <c r="C499" s="403"/>
      <c r="D499" s="198"/>
      <c r="E499" s="403"/>
      <c r="F499" s="198"/>
      <c r="G499" s="403"/>
      <c r="H499" s="198"/>
      <c r="I499" s="410"/>
      <c r="J499" s="142"/>
      <c r="K499" s="410"/>
      <c r="L499" s="142"/>
      <c r="M499" s="403"/>
      <c r="N499" s="198"/>
      <c r="O499" s="403"/>
      <c r="P499" s="198"/>
      <c r="Q499" s="438"/>
      <c r="R499" s="438"/>
      <c r="S499" s="403"/>
      <c r="T499" s="198"/>
      <c r="U499" s="403"/>
      <c r="V499" s="19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03"/>
      <c r="B500" s="198"/>
      <c r="C500" s="403"/>
      <c r="D500" s="198"/>
      <c r="E500" s="403"/>
      <c r="F500" s="198"/>
      <c r="G500" s="403"/>
      <c r="H500" s="198"/>
      <c r="I500" s="410"/>
      <c r="J500" s="142"/>
      <c r="K500" s="410"/>
      <c r="L500" s="142"/>
      <c r="M500" s="403"/>
      <c r="N500" s="198"/>
      <c r="O500" s="403"/>
      <c r="P500" s="198"/>
      <c r="Q500" s="438"/>
      <c r="R500" s="438"/>
      <c r="S500" s="403"/>
      <c r="T500" s="198"/>
      <c r="U500" s="403"/>
      <c r="V500" s="19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03"/>
      <c r="B501" s="198"/>
      <c r="C501" s="403"/>
      <c r="D501" s="198"/>
      <c r="E501" s="403"/>
      <c r="F501" s="198"/>
      <c r="G501" s="403"/>
      <c r="H501" s="198"/>
      <c r="I501" s="410"/>
      <c r="J501" s="142"/>
      <c r="K501" s="410"/>
      <c r="L501" s="142"/>
      <c r="M501" s="403"/>
      <c r="N501" s="198"/>
      <c r="O501" s="403"/>
      <c r="P501" s="198"/>
      <c r="Q501" s="438"/>
      <c r="R501" s="438"/>
      <c r="S501" s="403"/>
      <c r="T501" s="198"/>
      <c r="U501" s="403"/>
      <c r="V501" s="19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03"/>
      <c r="B502" s="198"/>
      <c r="C502" s="403"/>
      <c r="D502" s="198"/>
      <c r="E502" s="403"/>
      <c r="F502" s="198"/>
      <c r="G502" s="403"/>
      <c r="H502" s="198"/>
      <c r="I502" s="410"/>
      <c r="J502" s="142"/>
      <c r="K502" s="410"/>
      <c r="L502" s="142"/>
      <c r="M502" s="403"/>
      <c r="N502" s="198"/>
      <c r="O502" s="403"/>
      <c r="P502" s="198"/>
      <c r="Q502" s="438"/>
      <c r="R502" s="438"/>
      <c r="S502" s="403"/>
      <c r="T502" s="198"/>
      <c r="U502" s="403"/>
      <c r="V502" s="19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03"/>
      <c r="B503" s="198"/>
      <c r="C503" s="403"/>
      <c r="D503" s="198"/>
      <c r="E503" s="403"/>
      <c r="F503" s="198"/>
      <c r="G503" s="403"/>
      <c r="H503" s="198"/>
      <c r="I503" s="410"/>
      <c r="J503" s="142"/>
      <c r="K503" s="410"/>
      <c r="L503" s="142"/>
      <c r="M503" s="403"/>
      <c r="N503" s="198"/>
      <c r="O503" s="403"/>
      <c r="P503" s="198"/>
      <c r="Q503" s="438"/>
      <c r="R503" s="438"/>
      <c r="S503" s="403"/>
      <c r="T503" s="198"/>
      <c r="U503" s="403"/>
      <c r="V503" s="19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03"/>
      <c r="B504" s="198"/>
      <c r="C504" s="403"/>
      <c r="D504" s="198"/>
      <c r="E504" s="403"/>
      <c r="F504" s="198"/>
      <c r="G504" s="403"/>
      <c r="H504" s="198"/>
      <c r="I504" s="410"/>
      <c r="J504" s="142"/>
      <c r="K504" s="410"/>
      <c r="L504" s="142"/>
      <c r="M504" s="403"/>
      <c r="N504" s="198"/>
      <c r="O504" s="403"/>
      <c r="P504" s="198"/>
      <c r="Q504" s="438"/>
      <c r="R504" s="438"/>
      <c r="S504" s="403"/>
      <c r="T504" s="198"/>
      <c r="U504" s="403"/>
      <c r="V504" s="19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03"/>
      <c r="B505" s="198"/>
      <c r="C505" s="403"/>
      <c r="D505" s="198"/>
      <c r="E505" s="403"/>
      <c r="F505" s="198"/>
      <c r="G505" s="403"/>
      <c r="H505" s="198"/>
      <c r="I505" s="410"/>
      <c r="J505" s="142"/>
      <c r="K505" s="410"/>
      <c r="L505" s="142"/>
      <c r="M505" s="403"/>
      <c r="N505" s="198"/>
      <c r="O505" s="403"/>
      <c r="P505" s="198"/>
      <c r="Q505" s="438"/>
      <c r="R505" s="438"/>
      <c r="S505" s="403"/>
      <c r="T505" s="198"/>
      <c r="U505" s="403"/>
      <c r="V505" s="19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03"/>
      <c r="B506" s="198"/>
      <c r="C506" s="403"/>
      <c r="D506" s="198"/>
      <c r="E506" s="403"/>
      <c r="F506" s="198"/>
      <c r="G506" s="403"/>
      <c r="H506" s="198"/>
      <c r="I506" s="410"/>
      <c r="J506" s="142"/>
      <c r="K506" s="410"/>
      <c r="L506" s="142"/>
      <c r="M506" s="403"/>
      <c r="N506" s="198"/>
      <c r="O506" s="403"/>
      <c r="P506" s="198"/>
      <c r="Q506" s="438"/>
      <c r="R506" s="438"/>
      <c r="S506" s="403"/>
      <c r="T506" s="198"/>
      <c r="U506" s="403"/>
      <c r="V506" s="19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03"/>
      <c r="B507" s="198"/>
      <c r="C507" s="403"/>
      <c r="D507" s="198"/>
      <c r="E507" s="403"/>
      <c r="F507" s="198"/>
      <c r="G507" s="403"/>
      <c r="H507" s="198"/>
      <c r="I507" s="410"/>
      <c r="J507" s="142"/>
      <c r="K507" s="410"/>
      <c r="L507" s="142"/>
      <c r="M507" s="403"/>
      <c r="N507" s="198"/>
      <c r="O507" s="403"/>
      <c r="P507" s="198"/>
      <c r="Q507" s="438"/>
      <c r="R507" s="438"/>
      <c r="S507" s="403"/>
      <c r="T507" s="198"/>
      <c r="U507" s="403"/>
      <c r="V507" s="19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03"/>
      <c r="B508" s="198"/>
      <c r="C508" s="403"/>
      <c r="D508" s="198"/>
      <c r="E508" s="403"/>
      <c r="F508" s="198"/>
      <c r="G508" s="403"/>
      <c r="H508" s="198"/>
      <c r="I508" s="410"/>
      <c r="J508" s="142"/>
      <c r="K508" s="410"/>
      <c r="L508" s="142"/>
      <c r="M508" s="403"/>
      <c r="N508" s="198"/>
      <c r="O508" s="403"/>
      <c r="P508" s="198"/>
      <c r="Q508" s="438"/>
      <c r="R508" s="438"/>
      <c r="S508" s="403"/>
      <c r="T508" s="198"/>
      <c r="U508" s="403"/>
      <c r="V508" s="19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03"/>
      <c r="B509" s="198"/>
      <c r="C509" s="403"/>
      <c r="D509" s="198"/>
      <c r="E509" s="403"/>
      <c r="F509" s="198"/>
      <c r="G509" s="403"/>
      <c r="H509" s="198"/>
      <c r="I509" s="410"/>
      <c r="J509" s="142"/>
      <c r="K509" s="410"/>
      <c r="L509" s="142"/>
      <c r="M509" s="403"/>
      <c r="N509" s="198"/>
      <c r="O509" s="403"/>
      <c r="P509" s="198"/>
      <c r="Q509" s="438"/>
      <c r="R509" s="438"/>
      <c r="S509" s="403"/>
      <c r="T509" s="198"/>
      <c r="U509" s="403"/>
      <c r="V509" s="19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03"/>
      <c r="B510" s="198"/>
      <c r="C510" s="403"/>
      <c r="D510" s="198"/>
      <c r="E510" s="403"/>
      <c r="F510" s="198"/>
      <c r="G510" s="403"/>
      <c r="H510" s="198"/>
      <c r="I510" s="410"/>
      <c r="J510" s="142"/>
      <c r="K510" s="410"/>
      <c r="L510" s="142"/>
      <c r="M510" s="403"/>
      <c r="N510" s="198"/>
      <c r="O510" s="403"/>
      <c r="P510" s="198"/>
      <c r="Q510" s="438"/>
      <c r="R510" s="438"/>
      <c r="S510" s="403"/>
      <c r="T510" s="198"/>
      <c r="U510" s="403"/>
      <c r="V510" s="19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03"/>
      <c r="B511" s="198"/>
      <c r="C511" s="403"/>
      <c r="D511" s="198"/>
      <c r="E511" s="403"/>
      <c r="F511" s="198"/>
      <c r="G511" s="403"/>
      <c r="H511" s="198"/>
      <c r="I511" s="410"/>
      <c r="J511" s="142"/>
      <c r="K511" s="410"/>
      <c r="L511" s="142"/>
      <c r="M511" s="403"/>
      <c r="N511" s="198"/>
      <c r="O511" s="403"/>
      <c r="P511" s="198"/>
      <c r="Q511" s="438"/>
      <c r="R511" s="438"/>
      <c r="S511" s="403"/>
      <c r="T511" s="198"/>
      <c r="U511" s="403"/>
      <c r="V511" s="19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03"/>
      <c r="B512" s="198"/>
      <c r="C512" s="403"/>
      <c r="D512" s="198"/>
      <c r="E512" s="403"/>
      <c r="F512" s="198"/>
      <c r="G512" s="403"/>
      <c r="H512" s="198"/>
      <c r="I512" s="410"/>
      <c r="J512" s="142"/>
      <c r="K512" s="410"/>
      <c r="L512" s="142"/>
      <c r="M512" s="403"/>
      <c r="N512" s="198"/>
      <c r="O512" s="403"/>
      <c r="P512" s="198"/>
      <c r="Q512" s="438"/>
      <c r="R512" s="438"/>
      <c r="S512" s="403"/>
      <c r="T512" s="198"/>
      <c r="U512" s="403"/>
      <c r="V512" s="19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03"/>
      <c r="B513" s="198"/>
      <c r="C513" s="403"/>
      <c r="D513" s="198"/>
      <c r="E513" s="403"/>
      <c r="F513" s="198"/>
      <c r="G513" s="403"/>
      <c r="H513" s="198"/>
      <c r="I513" s="410"/>
      <c r="J513" s="142"/>
      <c r="K513" s="410"/>
      <c r="L513" s="142"/>
      <c r="M513" s="403"/>
      <c r="N513" s="198"/>
      <c r="O513" s="403"/>
      <c r="P513" s="198"/>
      <c r="Q513" s="438"/>
      <c r="R513" s="438"/>
      <c r="S513" s="403"/>
      <c r="T513" s="198"/>
      <c r="U513" s="403"/>
      <c r="V513" s="19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03"/>
      <c r="B514" s="198"/>
      <c r="C514" s="403"/>
      <c r="D514" s="198"/>
      <c r="E514" s="403"/>
      <c r="F514" s="198"/>
      <c r="G514" s="403"/>
      <c r="H514" s="198"/>
      <c r="I514" s="410"/>
      <c r="J514" s="142"/>
      <c r="K514" s="410"/>
      <c r="L514" s="142"/>
      <c r="M514" s="403"/>
      <c r="N514" s="198"/>
      <c r="O514" s="403"/>
      <c r="P514" s="198"/>
      <c r="Q514" s="438"/>
      <c r="R514" s="438"/>
      <c r="S514" s="403"/>
      <c r="T514" s="198"/>
      <c r="U514" s="403"/>
      <c r="V514" s="19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03"/>
      <c r="B515" s="198"/>
      <c r="C515" s="403"/>
      <c r="D515" s="198"/>
      <c r="E515" s="403"/>
      <c r="F515" s="198"/>
      <c r="G515" s="403"/>
      <c r="H515" s="198"/>
      <c r="I515" s="410"/>
      <c r="J515" s="142"/>
      <c r="K515" s="410"/>
      <c r="L515" s="142"/>
      <c r="M515" s="403"/>
      <c r="N515" s="198"/>
      <c r="O515" s="403"/>
      <c r="P515" s="198"/>
      <c r="Q515" s="438"/>
      <c r="R515" s="438"/>
      <c r="S515" s="403"/>
      <c r="T515" s="198"/>
      <c r="U515" s="403"/>
      <c r="V515" s="19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03"/>
      <c r="B516" s="198"/>
      <c r="C516" s="403"/>
      <c r="D516" s="198"/>
      <c r="E516" s="403"/>
      <c r="F516" s="198"/>
      <c r="G516" s="403"/>
      <c r="H516" s="198"/>
      <c r="I516" s="410"/>
      <c r="J516" s="142"/>
      <c r="K516" s="410"/>
      <c r="L516" s="142"/>
      <c r="M516" s="403"/>
      <c r="N516" s="198"/>
      <c r="O516" s="403"/>
      <c r="P516" s="198"/>
      <c r="Q516" s="438"/>
      <c r="R516" s="438"/>
      <c r="S516" s="403"/>
      <c r="T516" s="198"/>
      <c r="U516" s="403"/>
      <c r="V516" s="19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03"/>
      <c r="B517" s="198"/>
      <c r="C517" s="403"/>
      <c r="D517" s="198"/>
      <c r="E517" s="403"/>
      <c r="F517" s="198"/>
      <c r="G517" s="403"/>
      <c r="H517" s="198"/>
      <c r="I517" s="410"/>
      <c r="J517" s="142"/>
      <c r="K517" s="410"/>
      <c r="L517" s="142"/>
      <c r="M517" s="403"/>
      <c r="N517" s="198"/>
      <c r="O517" s="403"/>
      <c r="P517" s="198"/>
      <c r="Q517" s="438"/>
      <c r="R517" s="438"/>
      <c r="S517" s="403"/>
      <c r="T517" s="198"/>
      <c r="U517" s="403"/>
      <c r="V517" s="19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03"/>
      <c r="B518" s="198"/>
      <c r="C518" s="403"/>
      <c r="D518" s="198"/>
      <c r="E518" s="403"/>
      <c r="F518" s="198"/>
      <c r="G518" s="403"/>
      <c r="H518" s="198"/>
      <c r="I518" s="410"/>
      <c r="J518" s="142"/>
      <c r="K518" s="410"/>
      <c r="L518" s="142"/>
      <c r="M518" s="403"/>
      <c r="N518" s="198"/>
      <c r="O518" s="403"/>
      <c r="P518" s="198"/>
      <c r="Q518" s="438"/>
      <c r="R518" s="438"/>
      <c r="S518" s="403"/>
      <c r="T518" s="198"/>
      <c r="U518" s="403"/>
      <c r="V518" s="19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03"/>
      <c r="B519" s="198"/>
      <c r="C519" s="403"/>
      <c r="D519" s="198"/>
      <c r="E519" s="403"/>
      <c r="F519" s="198"/>
      <c r="G519" s="403"/>
      <c r="H519" s="198"/>
      <c r="I519" s="410"/>
      <c r="J519" s="142"/>
      <c r="K519" s="410"/>
      <c r="L519" s="142"/>
      <c r="M519" s="403"/>
      <c r="N519" s="198"/>
      <c r="O519" s="403"/>
      <c r="P519" s="198"/>
      <c r="Q519" s="438"/>
      <c r="R519" s="438"/>
      <c r="S519" s="403"/>
      <c r="T519" s="198"/>
      <c r="U519" s="403"/>
      <c r="V519" s="19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03"/>
      <c r="B520" s="198"/>
      <c r="C520" s="403"/>
      <c r="D520" s="198"/>
      <c r="E520" s="403"/>
      <c r="F520" s="198"/>
      <c r="G520" s="403"/>
      <c r="H520" s="198"/>
      <c r="I520" s="410"/>
      <c r="J520" s="142"/>
      <c r="K520" s="410"/>
      <c r="L520" s="142"/>
      <c r="M520" s="403"/>
      <c r="N520" s="198"/>
      <c r="O520" s="403"/>
      <c r="P520" s="198"/>
      <c r="Q520" s="438"/>
      <c r="R520" s="438"/>
      <c r="S520" s="403"/>
      <c r="T520" s="198"/>
      <c r="U520" s="403"/>
      <c r="V520" s="19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03"/>
      <c r="B521" s="198"/>
      <c r="C521" s="403"/>
      <c r="D521" s="198"/>
      <c r="E521" s="403"/>
      <c r="F521" s="198"/>
      <c r="G521" s="403"/>
      <c r="H521" s="198"/>
      <c r="I521" s="410"/>
      <c r="J521" s="142"/>
      <c r="K521" s="410"/>
      <c r="L521" s="142"/>
      <c r="M521" s="403"/>
      <c r="N521" s="198"/>
      <c r="O521" s="403"/>
      <c r="P521" s="198"/>
      <c r="Q521" s="438"/>
      <c r="R521" s="438"/>
      <c r="S521" s="403"/>
      <c r="T521" s="198"/>
      <c r="U521" s="403"/>
      <c r="V521" s="19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03"/>
      <c r="B522" s="198"/>
      <c r="C522" s="403"/>
      <c r="D522" s="198"/>
      <c r="E522" s="403"/>
      <c r="F522" s="198"/>
      <c r="G522" s="403"/>
      <c r="H522" s="198"/>
      <c r="I522" s="410"/>
      <c r="J522" s="142"/>
      <c r="K522" s="410"/>
      <c r="L522" s="142"/>
      <c r="M522" s="403"/>
      <c r="N522" s="198"/>
      <c r="O522" s="403"/>
      <c r="P522" s="198"/>
      <c r="Q522" s="438"/>
      <c r="R522" s="438"/>
      <c r="S522" s="403"/>
      <c r="T522" s="198"/>
      <c r="U522" s="403"/>
      <c r="V522" s="19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03"/>
      <c r="B523" s="198"/>
      <c r="C523" s="403"/>
      <c r="D523" s="198"/>
      <c r="E523" s="403"/>
      <c r="F523" s="198"/>
      <c r="G523" s="403"/>
      <c r="H523" s="198"/>
      <c r="I523" s="410"/>
      <c r="J523" s="142"/>
      <c r="K523" s="410"/>
      <c r="L523" s="142"/>
      <c r="M523" s="403"/>
      <c r="N523" s="198"/>
      <c r="O523" s="403"/>
      <c r="P523" s="198"/>
      <c r="Q523" s="438"/>
      <c r="R523" s="438"/>
      <c r="S523" s="403"/>
      <c r="T523" s="198"/>
      <c r="U523" s="403"/>
      <c r="V523" s="19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03"/>
      <c r="B524" s="198"/>
      <c r="C524" s="403"/>
      <c r="D524" s="198"/>
      <c r="E524" s="403"/>
      <c r="F524" s="198"/>
      <c r="G524" s="403"/>
      <c r="H524" s="198"/>
      <c r="I524" s="410"/>
      <c r="J524" s="142"/>
      <c r="K524" s="410"/>
      <c r="L524" s="142"/>
      <c r="M524" s="403"/>
      <c r="N524" s="198"/>
      <c r="O524" s="403"/>
      <c r="P524" s="198"/>
      <c r="Q524" s="438"/>
      <c r="R524" s="438"/>
      <c r="S524" s="403"/>
      <c r="T524" s="198"/>
      <c r="U524" s="403"/>
      <c r="V524" s="19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03"/>
      <c r="B525" s="198"/>
      <c r="C525" s="403"/>
      <c r="D525" s="198"/>
      <c r="E525" s="403"/>
      <c r="F525" s="198"/>
      <c r="G525" s="403"/>
      <c r="H525" s="198"/>
      <c r="I525" s="410"/>
      <c r="J525" s="142"/>
      <c r="K525" s="410"/>
      <c r="L525" s="142"/>
      <c r="M525" s="403"/>
      <c r="N525" s="198"/>
      <c r="O525" s="403"/>
      <c r="P525" s="198"/>
      <c r="Q525" s="438"/>
      <c r="R525" s="438"/>
      <c r="S525" s="403"/>
      <c r="T525" s="198"/>
      <c r="U525" s="403"/>
      <c r="V525" s="19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03"/>
      <c r="B526" s="198"/>
      <c r="C526" s="403"/>
      <c r="D526" s="198"/>
      <c r="E526" s="403"/>
      <c r="F526" s="198"/>
      <c r="G526" s="403"/>
      <c r="H526" s="198"/>
      <c r="I526" s="410"/>
      <c r="J526" s="142"/>
      <c r="K526" s="410"/>
      <c r="L526" s="142"/>
      <c r="M526" s="403"/>
      <c r="N526" s="198"/>
      <c r="O526" s="403"/>
      <c r="P526" s="198"/>
      <c r="Q526" s="438"/>
      <c r="R526" s="438"/>
      <c r="S526" s="403"/>
      <c r="T526" s="198"/>
      <c r="U526" s="403"/>
      <c r="V526" s="19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03"/>
      <c r="B527" s="198"/>
      <c r="C527" s="403"/>
      <c r="D527" s="198"/>
      <c r="E527" s="403"/>
      <c r="F527" s="198"/>
      <c r="G527" s="403"/>
      <c r="H527" s="198"/>
      <c r="I527" s="410"/>
      <c r="J527" s="142"/>
      <c r="K527" s="410"/>
      <c r="L527" s="142"/>
      <c r="M527" s="403"/>
      <c r="N527" s="198"/>
      <c r="O527" s="403"/>
      <c r="P527" s="198"/>
      <c r="Q527" s="438"/>
      <c r="R527" s="438"/>
      <c r="S527" s="403"/>
      <c r="T527" s="198"/>
      <c r="U527" s="403"/>
      <c r="V527" s="19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03"/>
      <c r="B528" s="198"/>
      <c r="C528" s="403"/>
      <c r="D528" s="198"/>
      <c r="E528" s="403"/>
      <c r="F528" s="198"/>
      <c r="G528" s="403"/>
      <c r="H528" s="198"/>
      <c r="I528" s="410"/>
      <c r="J528" s="142"/>
      <c r="K528" s="410"/>
      <c r="L528" s="142"/>
      <c r="M528" s="403"/>
      <c r="N528" s="198"/>
      <c r="O528" s="403"/>
      <c r="P528" s="198"/>
      <c r="Q528" s="438"/>
      <c r="R528" s="438"/>
      <c r="S528" s="403"/>
      <c r="T528" s="198"/>
      <c r="U528" s="403"/>
      <c r="V528" s="19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03"/>
      <c r="B529" s="198"/>
      <c r="C529" s="403"/>
      <c r="D529" s="198"/>
      <c r="E529" s="403"/>
      <c r="F529" s="198"/>
      <c r="G529" s="403"/>
      <c r="H529" s="198"/>
      <c r="I529" s="410"/>
      <c r="J529" s="142"/>
      <c r="K529" s="410"/>
      <c r="L529" s="142"/>
      <c r="M529" s="403"/>
      <c r="N529" s="198"/>
      <c r="O529" s="403"/>
      <c r="P529" s="198"/>
      <c r="Q529" s="438"/>
      <c r="R529" s="438"/>
      <c r="S529" s="403"/>
      <c r="T529" s="198"/>
      <c r="U529" s="403"/>
      <c r="V529" s="19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03"/>
      <c r="B530" s="198"/>
      <c r="C530" s="403"/>
      <c r="D530" s="198"/>
      <c r="E530" s="403"/>
      <c r="F530" s="198"/>
      <c r="G530" s="403"/>
      <c r="H530" s="198"/>
      <c r="I530" s="410"/>
      <c r="J530" s="142"/>
      <c r="K530" s="410"/>
      <c r="L530" s="142"/>
      <c r="M530" s="403"/>
      <c r="N530" s="198"/>
      <c r="O530" s="403"/>
      <c r="P530" s="198"/>
      <c r="Q530" s="438"/>
      <c r="R530" s="438"/>
      <c r="S530" s="403"/>
      <c r="T530" s="198"/>
      <c r="U530" s="403"/>
      <c r="V530" s="19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03"/>
      <c r="B531" s="198"/>
      <c r="C531" s="403"/>
      <c r="D531" s="198"/>
      <c r="E531" s="403"/>
      <c r="F531" s="198"/>
      <c r="G531" s="403"/>
      <c r="H531" s="198"/>
      <c r="I531" s="410"/>
      <c r="J531" s="142"/>
      <c r="K531" s="410"/>
      <c r="L531" s="142"/>
      <c r="M531" s="403"/>
      <c r="N531" s="198"/>
      <c r="O531" s="403"/>
      <c r="P531" s="198"/>
      <c r="Q531" s="438"/>
      <c r="R531" s="438"/>
      <c r="S531" s="403"/>
      <c r="T531" s="198"/>
      <c r="U531" s="403"/>
      <c r="V531" s="19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03"/>
      <c r="B532" s="198"/>
      <c r="C532" s="403"/>
      <c r="D532" s="198"/>
      <c r="E532" s="403"/>
      <c r="F532" s="198"/>
      <c r="G532" s="403"/>
      <c r="H532" s="198"/>
      <c r="I532" s="410"/>
      <c r="J532" s="142"/>
      <c r="K532" s="410"/>
      <c r="L532" s="142"/>
      <c r="M532" s="403"/>
      <c r="N532" s="198"/>
      <c r="O532" s="403"/>
      <c r="P532" s="198"/>
      <c r="Q532" s="438"/>
      <c r="R532" s="438"/>
      <c r="S532" s="403"/>
      <c r="T532" s="198"/>
      <c r="U532" s="403"/>
      <c r="V532" s="19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03"/>
      <c r="B533" s="198"/>
      <c r="C533" s="403"/>
      <c r="D533" s="198"/>
      <c r="E533" s="403"/>
      <c r="F533" s="198"/>
      <c r="G533" s="403"/>
      <c r="H533" s="198"/>
      <c r="I533" s="410"/>
      <c r="J533" s="142"/>
      <c r="K533" s="410"/>
      <c r="L533" s="142"/>
      <c r="M533" s="403"/>
      <c r="N533" s="198"/>
      <c r="O533" s="403"/>
      <c r="P533" s="198"/>
      <c r="Q533" s="438"/>
      <c r="R533" s="438"/>
      <c r="S533" s="403"/>
      <c r="T533" s="198"/>
      <c r="U533" s="403"/>
      <c r="V533" s="19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03"/>
      <c r="B534" s="198"/>
      <c r="C534" s="403"/>
      <c r="D534" s="198"/>
      <c r="E534" s="403"/>
      <c r="F534" s="198"/>
      <c r="G534" s="403"/>
      <c r="H534" s="198"/>
      <c r="I534" s="410"/>
      <c r="J534" s="142"/>
      <c r="K534" s="410"/>
      <c r="L534" s="142"/>
      <c r="M534" s="403"/>
      <c r="N534" s="198"/>
      <c r="O534" s="403"/>
      <c r="P534" s="198"/>
      <c r="Q534" s="438"/>
      <c r="R534" s="438"/>
      <c r="S534" s="403"/>
      <c r="T534" s="198"/>
      <c r="U534" s="403"/>
      <c r="V534" s="19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03"/>
      <c r="B535" s="198"/>
      <c r="C535" s="403"/>
      <c r="D535" s="198"/>
      <c r="E535" s="403"/>
      <c r="F535" s="198"/>
      <c r="G535" s="403"/>
      <c r="H535" s="198"/>
      <c r="I535" s="410"/>
      <c r="J535" s="142"/>
      <c r="K535" s="410"/>
      <c r="L535" s="142"/>
      <c r="M535" s="403"/>
      <c r="N535" s="198"/>
      <c r="O535" s="403"/>
      <c r="P535" s="198"/>
      <c r="Q535" s="438"/>
      <c r="R535" s="438"/>
      <c r="S535" s="403"/>
      <c r="T535" s="198"/>
      <c r="U535" s="403"/>
      <c r="V535" s="19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03"/>
      <c r="B536" s="198"/>
      <c r="C536" s="403"/>
      <c r="D536" s="198"/>
      <c r="E536" s="403"/>
      <c r="F536" s="198"/>
      <c r="G536" s="403"/>
      <c r="H536" s="198"/>
      <c r="I536" s="410"/>
      <c r="J536" s="142"/>
      <c r="K536" s="410"/>
      <c r="L536" s="142"/>
      <c r="M536" s="403"/>
      <c r="N536" s="198"/>
      <c r="O536" s="403"/>
      <c r="P536" s="198"/>
      <c r="Q536" s="438"/>
      <c r="R536" s="438"/>
      <c r="S536" s="403"/>
      <c r="T536" s="198"/>
      <c r="U536" s="403"/>
      <c r="V536" s="19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03"/>
      <c r="B537" s="198"/>
      <c r="C537" s="403"/>
      <c r="D537" s="198"/>
      <c r="E537" s="403"/>
      <c r="F537" s="198"/>
      <c r="G537" s="403"/>
      <c r="H537" s="198"/>
      <c r="I537" s="410"/>
      <c r="J537" s="142"/>
      <c r="K537" s="410"/>
      <c r="L537" s="142"/>
      <c r="M537" s="403"/>
      <c r="N537" s="198"/>
      <c r="O537" s="403"/>
      <c r="P537" s="198"/>
      <c r="Q537" s="438"/>
      <c r="R537" s="438"/>
      <c r="S537" s="403"/>
      <c r="T537" s="198"/>
      <c r="U537" s="403"/>
      <c r="V537" s="19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03"/>
      <c r="B538" s="198"/>
      <c r="C538" s="403"/>
      <c r="D538" s="198"/>
      <c r="E538" s="403"/>
      <c r="F538" s="198"/>
      <c r="G538" s="403"/>
      <c r="H538" s="198"/>
      <c r="I538" s="410"/>
      <c r="J538" s="142"/>
      <c r="K538" s="410"/>
      <c r="L538" s="142"/>
      <c r="M538" s="403"/>
      <c r="N538" s="198"/>
      <c r="O538" s="403"/>
      <c r="P538" s="198"/>
      <c r="Q538" s="438"/>
      <c r="R538" s="438"/>
      <c r="S538" s="403"/>
      <c r="T538" s="198"/>
      <c r="U538" s="403"/>
      <c r="V538" s="19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03"/>
      <c r="B539" s="198"/>
      <c r="C539" s="403"/>
      <c r="D539" s="198"/>
      <c r="E539" s="403"/>
      <c r="F539" s="198"/>
      <c r="G539" s="403"/>
      <c r="H539" s="198"/>
      <c r="I539" s="410"/>
      <c r="J539" s="142"/>
      <c r="K539" s="410"/>
      <c r="L539" s="142"/>
      <c r="M539" s="403"/>
      <c r="N539" s="198"/>
      <c r="O539" s="403"/>
      <c r="P539" s="198"/>
      <c r="Q539" s="438"/>
      <c r="R539" s="438"/>
      <c r="S539" s="403"/>
      <c r="T539" s="198"/>
      <c r="U539" s="403"/>
      <c r="V539" s="19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03"/>
      <c r="B540" s="198"/>
      <c r="C540" s="403"/>
      <c r="D540" s="198"/>
      <c r="E540" s="403"/>
      <c r="F540" s="198"/>
      <c r="G540" s="403"/>
      <c r="H540" s="198"/>
      <c r="I540" s="410"/>
      <c r="J540" s="142"/>
      <c r="K540" s="410"/>
      <c r="L540" s="142"/>
      <c r="M540" s="403"/>
      <c r="N540" s="198"/>
      <c r="O540" s="403"/>
      <c r="P540" s="198"/>
      <c r="Q540" s="438"/>
      <c r="R540" s="438"/>
      <c r="S540" s="403"/>
      <c r="T540" s="198"/>
      <c r="U540" s="403"/>
      <c r="V540" s="19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03"/>
      <c r="B541" s="198"/>
      <c r="C541" s="403"/>
      <c r="D541" s="198"/>
      <c r="E541" s="403"/>
      <c r="F541" s="198"/>
      <c r="G541" s="403"/>
      <c r="H541" s="198"/>
      <c r="I541" s="410"/>
      <c r="J541" s="142"/>
      <c r="K541" s="410"/>
      <c r="L541" s="142"/>
      <c r="M541" s="403"/>
      <c r="N541" s="198"/>
      <c r="O541" s="403"/>
      <c r="P541" s="198"/>
      <c r="Q541" s="438"/>
      <c r="R541" s="438"/>
      <c r="S541" s="403"/>
      <c r="T541" s="198"/>
      <c r="U541" s="403"/>
      <c r="V541" s="19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03"/>
      <c r="B542" s="198"/>
      <c r="C542" s="403"/>
      <c r="D542" s="198"/>
      <c r="E542" s="403"/>
      <c r="F542" s="198"/>
      <c r="G542" s="403"/>
      <c r="H542" s="198"/>
      <c r="I542" s="410"/>
      <c r="J542" s="142"/>
      <c r="K542" s="410"/>
      <c r="L542" s="142"/>
      <c r="M542" s="403"/>
      <c r="N542" s="198"/>
      <c r="O542" s="403"/>
      <c r="P542" s="198"/>
      <c r="Q542" s="438"/>
      <c r="R542" s="438"/>
      <c r="S542" s="403"/>
      <c r="T542" s="198"/>
      <c r="U542" s="403"/>
      <c r="V542" s="19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03"/>
      <c r="B543" s="198"/>
      <c r="C543" s="403"/>
      <c r="D543" s="198"/>
      <c r="E543" s="403"/>
      <c r="F543" s="198"/>
      <c r="G543" s="403"/>
      <c r="H543" s="198"/>
      <c r="I543" s="410"/>
      <c r="J543" s="142"/>
      <c r="K543" s="410"/>
      <c r="L543" s="142"/>
      <c r="M543" s="403"/>
      <c r="N543" s="198"/>
      <c r="O543" s="403"/>
      <c r="P543" s="198"/>
      <c r="Q543" s="438"/>
      <c r="R543" s="438"/>
      <c r="S543" s="403"/>
      <c r="T543" s="198"/>
      <c r="U543" s="403"/>
      <c r="V543" s="19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03"/>
      <c r="B544" s="198"/>
      <c r="C544" s="403"/>
      <c r="D544" s="198"/>
      <c r="E544" s="403"/>
      <c r="F544" s="198"/>
      <c r="G544" s="403"/>
      <c r="H544" s="198"/>
      <c r="I544" s="410"/>
      <c r="J544" s="142"/>
      <c r="K544" s="410"/>
      <c r="L544" s="142"/>
      <c r="M544" s="403"/>
      <c r="N544" s="198"/>
      <c r="O544" s="403"/>
      <c r="P544" s="198"/>
      <c r="Q544" s="438"/>
      <c r="R544" s="438"/>
      <c r="S544" s="403"/>
      <c r="T544" s="198"/>
      <c r="U544" s="403"/>
      <c r="V544" s="19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03"/>
      <c r="B545" s="198"/>
      <c r="C545" s="403"/>
      <c r="D545" s="198"/>
      <c r="E545" s="403"/>
      <c r="F545" s="198"/>
      <c r="G545" s="403"/>
      <c r="H545" s="198"/>
      <c r="I545" s="410"/>
      <c r="J545" s="142"/>
      <c r="K545" s="410"/>
      <c r="L545" s="142"/>
      <c r="M545" s="403"/>
      <c r="N545" s="198"/>
      <c r="O545" s="403"/>
      <c r="P545" s="198"/>
      <c r="Q545" s="438"/>
      <c r="R545" s="438"/>
      <c r="S545" s="403"/>
      <c r="T545" s="198"/>
      <c r="U545" s="403"/>
      <c r="V545" s="19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03"/>
      <c r="B546" s="198"/>
      <c r="C546" s="403"/>
      <c r="D546" s="198"/>
      <c r="E546" s="403"/>
      <c r="F546" s="198"/>
      <c r="G546" s="403"/>
      <c r="H546" s="198"/>
      <c r="I546" s="410"/>
      <c r="J546" s="142"/>
      <c r="K546" s="410"/>
      <c r="L546" s="142"/>
      <c r="M546" s="403"/>
      <c r="N546" s="198"/>
      <c r="O546" s="403"/>
      <c r="P546" s="198"/>
      <c r="Q546" s="438"/>
      <c r="R546" s="438"/>
      <c r="S546" s="403"/>
      <c r="T546" s="198"/>
      <c r="U546" s="403"/>
      <c r="V546" s="19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03"/>
      <c r="B547" s="198"/>
      <c r="C547" s="403"/>
      <c r="D547" s="198"/>
      <c r="E547" s="403"/>
      <c r="F547" s="198"/>
      <c r="G547" s="403"/>
      <c r="H547" s="198"/>
      <c r="I547" s="410"/>
      <c r="J547" s="142"/>
      <c r="K547" s="410"/>
      <c r="L547" s="142"/>
      <c r="M547" s="403"/>
      <c r="N547" s="198"/>
      <c r="O547" s="403"/>
      <c r="P547" s="198"/>
      <c r="Q547" s="438"/>
      <c r="R547" s="438"/>
      <c r="S547" s="403"/>
      <c r="T547" s="198"/>
      <c r="U547" s="403"/>
      <c r="V547" s="19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03"/>
      <c r="B548" s="198"/>
      <c r="C548" s="403"/>
      <c r="D548" s="198"/>
      <c r="E548" s="403"/>
      <c r="F548" s="198"/>
      <c r="G548" s="403"/>
      <c r="H548" s="198"/>
      <c r="I548" s="410"/>
      <c r="J548" s="142"/>
      <c r="K548" s="410"/>
      <c r="L548" s="142"/>
      <c r="M548" s="403"/>
      <c r="N548" s="198"/>
      <c r="O548" s="403"/>
      <c r="P548" s="198"/>
      <c r="Q548" s="438"/>
      <c r="R548" s="438"/>
      <c r="S548" s="403"/>
      <c r="T548" s="198"/>
      <c r="U548" s="403"/>
      <c r="V548" s="19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03"/>
      <c r="B549" s="198"/>
      <c r="C549" s="403"/>
      <c r="D549" s="198"/>
      <c r="E549" s="403"/>
      <c r="F549" s="198"/>
      <c r="G549" s="403"/>
      <c r="H549" s="198"/>
      <c r="I549" s="410"/>
      <c r="J549" s="142"/>
      <c r="K549" s="410"/>
      <c r="L549" s="142"/>
      <c r="M549" s="403"/>
      <c r="N549" s="198"/>
      <c r="O549" s="403"/>
      <c r="P549" s="198"/>
      <c r="Q549" s="438"/>
      <c r="R549" s="438"/>
      <c r="S549" s="403"/>
      <c r="T549" s="198"/>
      <c r="U549" s="403"/>
      <c r="V549" s="19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03"/>
      <c r="B550" s="198"/>
      <c r="C550" s="403"/>
      <c r="D550" s="198"/>
      <c r="E550" s="403"/>
      <c r="F550" s="198"/>
      <c r="G550" s="403"/>
      <c r="H550" s="198"/>
      <c r="I550" s="410"/>
      <c r="J550" s="142"/>
      <c r="K550" s="410"/>
      <c r="L550" s="142"/>
      <c r="M550" s="403"/>
      <c r="N550" s="198"/>
      <c r="O550" s="403"/>
      <c r="P550" s="198"/>
      <c r="Q550" s="438"/>
      <c r="R550" s="438"/>
      <c r="S550" s="403"/>
      <c r="T550" s="198"/>
      <c r="U550" s="403"/>
      <c r="V550" s="19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03"/>
      <c r="B551" s="198"/>
      <c r="C551" s="403"/>
      <c r="D551" s="198"/>
      <c r="E551" s="403"/>
      <c r="F551" s="198"/>
      <c r="G551" s="403"/>
      <c r="H551" s="198"/>
      <c r="I551" s="410"/>
      <c r="J551" s="142"/>
      <c r="K551" s="410"/>
      <c r="L551" s="142"/>
      <c r="M551" s="403"/>
      <c r="N551" s="198"/>
      <c r="O551" s="403"/>
      <c r="P551" s="198"/>
      <c r="Q551" s="438"/>
      <c r="R551" s="438"/>
      <c r="S551" s="403"/>
      <c r="T551" s="198"/>
      <c r="U551" s="403"/>
      <c r="V551" s="19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03"/>
      <c r="B552" s="198"/>
      <c r="C552" s="403"/>
      <c r="D552" s="198"/>
      <c r="E552" s="403"/>
      <c r="F552" s="198"/>
      <c r="G552" s="403"/>
      <c r="H552" s="198"/>
      <c r="I552" s="410"/>
      <c r="J552" s="142"/>
      <c r="K552" s="410"/>
      <c r="L552" s="142"/>
      <c r="M552" s="403"/>
      <c r="N552" s="198"/>
      <c r="O552" s="403"/>
      <c r="P552" s="198"/>
      <c r="Q552" s="438"/>
      <c r="R552" s="438"/>
      <c r="S552" s="403"/>
      <c r="T552" s="198"/>
      <c r="U552" s="403"/>
      <c r="V552" s="19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03"/>
      <c r="B553" s="198"/>
      <c r="C553" s="403"/>
      <c r="D553" s="198"/>
      <c r="E553" s="403"/>
      <c r="F553" s="198"/>
      <c r="G553" s="403"/>
      <c r="H553" s="198"/>
      <c r="I553" s="410"/>
      <c r="J553" s="142"/>
      <c r="K553" s="410"/>
      <c r="L553" s="142"/>
      <c r="M553" s="403"/>
      <c r="N553" s="198"/>
      <c r="O553" s="403"/>
      <c r="P553" s="198"/>
      <c r="Q553" s="438"/>
      <c r="R553" s="438"/>
      <c r="S553" s="403"/>
      <c r="T553" s="198"/>
      <c r="U553" s="403"/>
      <c r="V553" s="19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03"/>
      <c r="B554" s="198"/>
      <c r="C554" s="403"/>
      <c r="D554" s="198"/>
      <c r="E554" s="403"/>
      <c r="F554" s="198"/>
      <c r="G554" s="403"/>
      <c r="H554" s="198"/>
      <c r="I554" s="410"/>
      <c r="J554" s="142"/>
      <c r="K554" s="410"/>
      <c r="L554" s="142"/>
      <c r="M554" s="403"/>
      <c r="N554" s="198"/>
      <c r="O554" s="403"/>
      <c r="P554" s="198"/>
      <c r="Q554" s="438"/>
      <c r="R554" s="438"/>
      <c r="S554" s="403"/>
      <c r="T554" s="198"/>
      <c r="U554" s="403"/>
      <c r="V554" s="19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03"/>
      <c r="B555" s="198"/>
      <c r="C555" s="403"/>
      <c r="D555" s="198"/>
      <c r="E555" s="403"/>
      <c r="F555" s="198"/>
      <c r="G555" s="403"/>
      <c r="H555" s="198"/>
      <c r="I555" s="410"/>
      <c r="J555" s="142"/>
      <c r="K555" s="410"/>
      <c r="L555" s="142"/>
      <c r="M555" s="403"/>
      <c r="N555" s="198"/>
      <c r="O555" s="403"/>
      <c r="P555" s="198"/>
      <c r="Q555" s="438"/>
      <c r="R555" s="438"/>
      <c r="S555" s="403"/>
      <c r="T555" s="198"/>
      <c r="U555" s="403"/>
      <c r="V555" s="19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03"/>
      <c r="B556" s="198"/>
      <c r="C556" s="403"/>
      <c r="D556" s="198"/>
      <c r="E556" s="403"/>
      <c r="F556" s="198"/>
      <c r="G556" s="403"/>
      <c r="H556" s="198"/>
      <c r="I556" s="410"/>
      <c r="J556" s="142"/>
      <c r="K556" s="410"/>
      <c r="L556" s="142"/>
      <c r="M556" s="403"/>
      <c r="N556" s="198"/>
      <c r="O556" s="403"/>
      <c r="P556" s="198"/>
      <c r="Q556" s="438"/>
      <c r="R556" s="438"/>
      <c r="S556" s="403"/>
      <c r="T556" s="198"/>
      <c r="U556" s="403"/>
      <c r="V556" s="19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03"/>
      <c r="B557" s="198"/>
      <c r="C557" s="403"/>
      <c r="D557" s="198"/>
      <c r="E557" s="403"/>
      <c r="F557" s="198"/>
      <c r="G557" s="403"/>
      <c r="H557" s="198"/>
      <c r="I557" s="410"/>
      <c r="J557" s="142"/>
      <c r="K557" s="410"/>
      <c r="L557" s="142"/>
      <c r="M557" s="403"/>
      <c r="N557" s="198"/>
      <c r="O557" s="403"/>
      <c r="P557" s="198"/>
      <c r="Q557" s="438"/>
      <c r="R557" s="438"/>
      <c r="S557" s="403"/>
      <c r="T557" s="198"/>
      <c r="U557" s="403"/>
      <c r="V557" s="19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03"/>
      <c r="B558" s="198"/>
      <c r="C558" s="403"/>
      <c r="D558" s="198"/>
      <c r="E558" s="403"/>
      <c r="F558" s="198"/>
      <c r="G558" s="403"/>
      <c r="H558" s="198"/>
      <c r="I558" s="410"/>
      <c r="J558" s="142"/>
      <c r="K558" s="410"/>
      <c r="L558" s="142"/>
      <c r="M558" s="403"/>
      <c r="N558" s="198"/>
      <c r="O558" s="403"/>
      <c r="P558" s="198"/>
      <c r="Q558" s="438"/>
      <c r="R558" s="438"/>
      <c r="S558" s="403"/>
      <c r="T558" s="198"/>
      <c r="U558" s="403"/>
      <c r="V558" s="19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03"/>
      <c r="B559" s="198"/>
      <c r="C559" s="403"/>
      <c r="D559" s="198"/>
      <c r="E559" s="403"/>
      <c r="F559" s="198"/>
      <c r="G559" s="403"/>
      <c r="H559" s="198"/>
      <c r="I559" s="410"/>
      <c r="J559" s="142"/>
      <c r="K559" s="410"/>
      <c r="L559" s="142"/>
      <c r="M559" s="403"/>
      <c r="N559" s="198"/>
      <c r="O559" s="403"/>
      <c r="P559" s="198"/>
      <c r="Q559" s="438"/>
      <c r="R559" s="438"/>
      <c r="S559" s="403"/>
      <c r="T559" s="198"/>
      <c r="U559" s="403"/>
      <c r="V559" s="19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03"/>
      <c r="B560" s="198"/>
      <c r="C560" s="403"/>
      <c r="D560" s="198"/>
      <c r="E560" s="403"/>
      <c r="F560" s="198"/>
      <c r="G560" s="403"/>
      <c r="H560" s="198"/>
      <c r="I560" s="410"/>
      <c r="J560" s="142"/>
      <c r="K560" s="410"/>
      <c r="L560" s="142"/>
      <c r="M560" s="403"/>
      <c r="N560" s="198"/>
      <c r="O560" s="403"/>
      <c r="P560" s="198"/>
      <c r="Q560" s="438"/>
      <c r="R560" s="438"/>
      <c r="S560" s="403"/>
      <c r="T560" s="198"/>
      <c r="U560" s="403"/>
      <c r="V560" s="19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03"/>
      <c r="B561" s="198"/>
      <c r="C561" s="403"/>
      <c r="D561" s="198"/>
      <c r="E561" s="403"/>
      <c r="F561" s="198"/>
      <c r="G561" s="403"/>
      <c r="H561" s="198"/>
      <c r="I561" s="410"/>
      <c r="J561" s="142"/>
      <c r="K561" s="410"/>
      <c r="L561" s="142"/>
      <c r="M561" s="403"/>
      <c r="N561" s="198"/>
      <c r="O561" s="403"/>
      <c r="P561" s="198"/>
      <c r="Q561" s="438"/>
      <c r="R561" s="438"/>
      <c r="S561" s="403"/>
      <c r="T561" s="198"/>
      <c r="U561" s="403"/>
      <c r="V561" s="19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03"/>
      <c r="B562" s="198"/>
      <c r="C562" s="403"/>
      <c r="D562" s="198"/>
      <c r="E562" s="403"/>
      <c r="F562" s="198"/>
      <c r="G562" s="403"/>
      <c r="H562" s="198"/>
      <c r="I562" s="410"/>
      <c r="J562" s="142"/>
      <c r="K562" s="410"/>
      <c r="L562" s="142"/>
      <c r="M562" s="403"/>
      <c r="N562" s="198"/>
      <c r="O562" s="403"/>
      <c r="P562" s="198"/>
      <c r="Q562" s="438"/>
      <c r="R562" s="438"/>
      <c r="S562" s="403"/>
      <c r="T562" s="198"/>
      <c r="U562" s="403"/>
      <c r="V562" s="19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03"/>
      <c r="B563" s="198"/>
      <c r="C563" s="403"/>
      <c r="D563" s="198"/>
      <c r="E563" s="403"/>
      <c r="F563" s="198"/>
      <c r="G563" s="403"/>
      <c r="H563" s="198"/>
      <c r="I563" s="410"/>
      <c r="J563" s="142"/>
      <c r="K563" s="410"/>
      <c r="L563" s="142"/>
      <c r="M563" s="403"/>
      <c r="N563" s="198"/>
      <c r="O563" s="403"/>
      <c r="P563" s="198"/>
      <c r="Q563" s="438"/>
      <c r="R563" s="438"/>
      <c r="S563" s="403"/>
      <c r="T563" s="198"/>
      <c r="U563" s="403"/>
      <c r="V563" s="19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03"/>
      <c r="B564" s="198"/>
      <c r="C564" s="403"/>
      <c r="D564" s="198"/>
      <c r="E564" s="403"/>
      <c r="F564" s="198"/>
      <c r="G564" s="403"/>
      <c r="H564" s="198"/>
      <c r="I564" s="410"/>
      <c r="J564" s="142"/>
      <c r="K564" s="410"/>
      <c r="L564" s="142"/>
      <c r="M564" s="403"/>
      <c r="N564" s="198"/>
      <c r="O564" s="403"/>
      <c r="P564" s="198"/>
      <c r="Q564" s="438"/>
      <c r="R564" s="438"/>
      <c r="S564" s="403"/>
      <c r="T564" s="198"/>
      <c r="U564" s="403"/>
      <c r="V564" s="19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03"/>
      <c r="B565" s="198"/>
      <c r="C565" s="403"/>
      <c r="D565" s="198"/>
      <c r="E565" s="403"/>
      <c r="F565" s="198"/>
      <c r="G565" s="403"/>
      <c r="H565" s="198"/>
      <c r="I565" s="410"/>
      <c r="J565" s="142"/>
      <c r="K565" s="410"/>
      <c r="L565" s="142"/>
      <c r="M565" s="403"/>
      <c r="N565" s="198"/>
      <c r="O565" s="403"/>
      <c r="P565" s="198"/>
      <c r="Q565" s="438"/>
      <c r="R565" s="438"/>
      <c r="S565" s="403"/>
      <c r="T565" s="198"/>
      <c r="U565" s="403"/>
      <c r="V565" s="19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03"/>
      <c r="B566" s="198"/>
      <c r="C566" s="403"/>
      <c r="D566" s="198"/>
      <c r="E566" s="403"/>
      <c r="F566" s="198"/>
      <c r="G566" s="403"/>
      <c r="H566" s="198"/>
      <c r="I566" s="410"/>
      <c r="J566" s="142"/>
      <c r="K566" s="410"/>
      <c r="L566" s="142"/>
      <c r="M566" s="403"/>
      <c r="N566" s="198"/>
      <c r="O566" s="403"/>
      <c r="P566" s="198"/>
      <c r="Q566" s="438"/>
      <c r="R566" s="438"/>
      <c r="S566" s="403"/>
      <c r="T566" s="198"/>
      <c r="U566" s="403"/>
      <c r="V566" s="19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03"/>
      <c r="B567" s="198"/>
      <c r="C567" s="403"/>
      <c r="D567" s="198"/>
      <c r="E567" s="403"/>
      <c r="F567" s="198"/>
      <c r="G567" s="403"/>
      <c r="H567" s="198"/>
      <c r="I567" s="410"/>
      <c r="J567" s="142"/>
      <c r="K567" s="410"/>
      <c r="L567" s="142"/>
      <c r="M567" s="403"/>
      <c r="N567" s="198"/>
      <c r="O567" s="403"/>
      <c r="P567" s="198"/>
      <c r="Q567" s="438"/>
      <c r="R567" s="438"/>
      <c r="S567" s="403"/>
      <c r="T567" s="198"/>
      <c r="U567" s="403"/>
      <c r="V567" s="19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03"/>
      <c r="B568" s="198"/>
      <c r="C568" s="403"/>
      <c r="D568" s="198"/>
      <c r="E568" s="403"/>
      <c r="F568" s="198"/>
      <c r="G568" s="403"/>
      <c r="H568" s="198"/>
      <c r="I568" s="410"/>
      <c r="J568" s="142"/>
      <c r="K568" s="410"/>
      <c r="L568" s="142"/>
      <c r="M568" s="403"/>
      <c r="N568" s="198"/>
      <c r="O568" s="403"/>
      <c r="P568" s="198"/>
      <c r="Q568" s="438"/>
      <c r="R568" s="438"/>
      <c r="S568" s="403"/>
      <c r="T568" s="198"/>
      <c r="U568" s="403"/>
      <c r="V568" s="19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03"/>
      <c r="B569" s="198"/>
      <c r="C569" s="403"/>
      <c r="D569" s="198"/>
      <c r="E569" s="403"/>
      <c r="F569" s="198"/>
      <c r="G569" s="403"/>
      <c r="H569" s="198"/>
      <c r="I569" s="410"/>
      <c r="J569" s="142"/>
      <c r="K569" s="410"/>
      <c r="L569" s="142"/>
      <c r="M569" s="403"/>
      <c r="N569" s="198"/>
      <c r="O569" s="403"/>
      <c r="P569" s="198"/>
      <c r="Q569" s="438"/>
      <c r="R569" s="438"/>
      <c r="S569" s="403"/>
      <c r="T569" s="198"/>
      <c r="U569" s="403"/>
      <c r="V569" s="19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03"/>
      <c r="B570" s="198"/>
      <c r="C570" s="403"/>
      <c r="D570" s="198"/>
      <c r="E570" s="403"/>
      <c r="F570" s="198"/>
      <c r="G570" s="403"/>
      <c r="H570" s="198"/>
      <c r="I570" s="410"/>
      <c r="J570" s="142"/>
      <c r="K570" s="410"/>
      <c r="L570" s="142"/>
      <c r="M570" s="403"/>
      <c r="N570" s="198"/>
      <c r="O570" s="403"/>
      <c r="P570" s="198"/>
      <c r="Q570" s="438"/>
      <c r="R570" s="438"/>
      <c r="S570" s="403"/>
      <c r="T570" s="198"/>
      <c r="U570" s="403"/>
      <c r="V570" s="19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03"/>
      <c r="B571" s="198"/>
      <c r="C571" s="403"/>
      <c r="D571" s="198"/>
      <c r="E571" s="403"/>
      <c r="F571" s="198"/>
      <c r="G571" s="403"/>
      <c r="H571" s="198"/>
      <c r="I571" s="410"/>
      <c r="J571" s="142"/>
      <c r="K571" s="410"/>
      <c r="L571" s="142"/>
      <c r="M571" s="403"/>
      <c r="N571" s="198"/>
      <c r="O571" s="403"/>
      <c r="P571" s="198"/>
      <c r="Q571" s="438"/>
      <c r="R571" s="438"/>
      <c r="S571" s="403"/>
      <c r="T571" s="198"/>
      <c r="U571" s="403"/>
      <c r="V571" s="19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03"/>
      <c r="B572" s="198"/>
      <c r="C572" s="403"/>
      <c r="D572" s="198"/>
      <c r="E572" s="403"/>
      <c r="F572" s="198"/>
      <c r="G572" s="403"/>
      <c r="H572" s="198"/>
      <c r="I572" s="410"/>
      <c r="J572" s="142"/>
      <c r="K572" s="410"/>
      <c r="L572" s="142"/>
      <c r="M572" s="403"/>
      <c r="N572" s="198"/>
      <c r="O572" s="403"/>
      <c r="P572" s="198"/>
      <c r="Q572" s="438"/>
      <c r="R572" s="438"/>
      <c r="S572" s="403"/>
      <c r="T572" s="198"/>
      <c r="U572" s="403"/>
      <c r="V572" s="19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03"/>
      <c r="B573" s="198"/>
      <c r="C573" s="403"/>
      <c r="D573" s="198"/>
      <c r="E573" s="403"/>
      <c r="F573" s="198"/>
      <c r="G573" s="403"/>
      <c r="H573" s="198"/>
      <c r="I573" s="410"/>
      <c r="J573" s="142"/>
      <c r="K573" s="410"/>
      <c r="L573" s="142"/>
      <c r="M573" s="403"/>
      <c r="N573" s="198"/>
      <c r="O573" s="403"/>
      <c r="P573" s="198"/>
      <c r="Q573" s="438"/>
      <c r="R573" s="438"/>
      <c r="S573" s="403"/>
      <c r="T573" s="198"/>
      <c r="U573" s="403"/>
      <c r="V573" s="19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03"/>
      <c r="B574" s="198"/>
      <c r="C574" s="403"/>
      <c r="D574" s="198"/>
      <c r="E574" s="403"/>
      <c r="F574" s="198"/>
      <c r="G574" s="403"/>
      <c r="H574" s="198"/>
      <c r="I574" s="410"/>
      <c r="J574" s="142"/>
      <c r="K574" s="410"/>
      <c r="L574" s="142"/>
      <c r="M574" s="403"/>
      <c r="N574" s="198"/>
      <c r="O574" s="403"/>
      <c r="P574" s="198"/>
      <c r="Q574" s="438"/>
      <c r="R574" s="438"/>
      <c r="S574" s="403"/>
      <c r="T574" s="198"/>
      <c r="U574" s="403"/>
      <c r="V574" s="19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03"/>
      <c r="B575" s="198"/>
      <c r="C575" s="403"/>
      <c r="D575" s="198"/>
      <c r="E575" s="403"/>
      <c r="F575" s="198"/>
      <c r="G575" s="403"/>
      <c r="H575" s="198"/>
      <c r="I575" s="410"/>
      <c r="J575" s="142"/>
      <c r="K575" s="410"/>
      <c r="L575" s="142"/>
      <c r="M575" s="403"/>
      <c r="N575" s="198"/>
      <c r="O575" s="403"/>
      <c r="P575" s="198"/>
      <c r="Q575" s="438"/>
      <c r="R575" s="438"/>
      <c r="S575" s="403"/>
      <c r="T575" s="198"/>
      <c r="U575" s="403"/>
      <c r="V575" s="19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03"/>
      <c r="B576" s="198"/>
      <c r="C576" s="403"/>
      <c r="D576" s="198"/>
      <c r="E576" s="403"/>
      <c r="F576" s="198"/>
      <c r="G576" s="403"/>
      <c r="H576" s="198"/>
      <c r="I576" s="410"/>
      <c r="J576" s="142"/>
      <c r="K576" s="410"/>
      <c r="L576" s="142"/>
      <c r="M576" s="403"/>
      <c r="N576" s="198"/>
      <c r="O576" s="403"/>
      <c r="P576" s="198"/>
      <c r="Q576" s="438"/>
      <c r="R576" s="438"/>
      <c r="S576" s="403"/>
      <c r="T576" s="198"/>
      <c r="U576" s="403"/>
      <c r="V576" s="19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03"/>
      <c r="B577" s="198"/>
      <c r="C577" s="403"/>
      <c r="D577" s="198"/>
      <c r="E577" s="403"/>
      <c r="F577" s="198"/>
      <c r="G577" s="403"/>
      <c r="H577" s="198"/>
      <c r="I577" s="410"/>
      <c r="J577" s="142"/>
      <c r="K577" s="410"/>
      <c r="L577" s="142"/>
      <c r="M577" s="403"/>
      <c r="N577" s="198"/>
      <c r="O577" s="403"/>
      <c r="P577" s="198"/>
      <c r="Q577" s="438"/>
      <c r="R577" s="438"/>
      <c r="S577" s="403"/>
      <c r="T577" s="198"/>
      <c r="U577" s="403"/>
      <c r="V577" s="19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03"/>
      <c r="B578" s="198"/>
      <c r="C578" s="403"/>
      <c r="D578" s="198"/>
      <c r="E578" s="403"/>
      <c r="F578" s="198"/>
      <c r="G578" s="403"/>
      <c r="H578" s="198"/>
      <c r="I578" s="410"/>
      <c r="J578" s="142"/>
      <c r="K578" s="410"/>
      <c r="L578" s="142"/>
      <c r="M578" s="403"/>
      <c r="N578" s="198"/>
      <c r="O578" s="403"/>
      <c r="P578" s="198"/>
      <c r="Q578" s="438"/>
      <c r="R578" s="438"/>
      <c r="S578" s="403"/>
      <c r="T578" s="198"/>
      <c r="U578" s="403"/>
      <c r="V578" s="19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03"/>
      <c r="B579" s="198"/>
      <c r="C579" s="403"/>
      <c r="D579" s="198"/>
      <c r="E579" s="403"/>
      <c r="F579" s="198"/>
      <c r="G579" s="403"/>
      <c r="H579" s="198"/>
      <c r="I579" s="410"/>
      <c r="J579" s="142"/>
      <c r="K579" s="410"/>
      <c r="L579" s="142"/>
      <c r="M579" s="403"/>
      <c r="N579" s="198"/>
      <c r="O579" s="403"/>
      <c r="P579" s="198"/>
      <c r="Q579" s="438"/>
      <c r="R579" s="438"/>
      <c r="S579" s="403"/>
      <c r="T579" s="198"/>
      <c r="U579" s="403"/>
      <c r="V579" s="19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03"/>
      <c r="B580" s="198"/>
      <c r="C580" s="403"/>
      <c r="D580" s="198"/>
      <c r="E580" s="403"/>
      <c r="F580" s="198"/>
      <c r="G580" s="403"/>
      <c r="H580" s="198"/>
      <c r="I580" s="410"/>
      <c r="J580" s="142"/>
      <c r="K580" s="410"/>
      <c r="L580" s="142"/>
      <c r="M580" s="403"/>
      <c r="N580" s="198"/>
      <c r="O580" s="403"/>
      <c r="P580" s="198"/>
      <c r="Q580" s="438"/>
      <c r="R580" s="438"/>
      <c r="S580" s="403"/>
      <c r="T580" s="198"/>
      <c r="U580" s="403"/>
      <c r="V580" s="19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03"/>
      <c r="B581" s="198"/>
      <c r="C581" s="403"/>
      <c r="D581" s="198"/>
      <c r="E581" s="403"/>
      <c r="F581" s="198"/>
      <c r="G581" s="403"/>
      <c r="H581" s="198"/>
      <c r="I581" s="410"/>
      <c r="J581" s="142"/>
      <c r="K581" s="410"/>
      <c r="L581" s="142"/>
      <c r="M581" s="403"/>
      <c r="N581" s="198"/>
      <c r="O581" s="403"/>
      <c r="P581" s="198"/>
      <c r="Q581" s="438"/>
      <c r="R581" s="438"/>
      <c r="S581" s="403"/>
      <c r="T581" s="198"/>
      <c r="U581" s="403"/>
      <c r="V581" s="19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03"/>
      <c r="B582" s="198"/>
      <c r="C582" s="403"/>
      <c r="D582" s="198"/>
      <c r="E582" s="403"/>
      <c r="F582" s="198"/>
      <c r="G582" s="403"/>
      <c r="H582" s="198"/>
      <c r="I582" s="410"/>
      <c r="J582" s="142"/>
      <c r="K582" s="410"/>
      <c r="L582" s="142"/>
      <c r="M582" s="403"/>
      <c r="N582" s="198"/>
      <c r="O582" s="403"/>
      <c r="P582" s="198"/>
      <c r="Q582" s="438"/>
      <c r="R582" s="438"/>
      <c r="S582" s="403"/>
      <c r="T582" s="198"/>
      <c r="U582" s="403"/>
      <c r="V582" s="19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03"/>
      <c r="B583" s="198"/>
      <c r="C583" s="403"/>
      <c r="D583" s="198"/>
      <c r="E583" s="403"/>
      <c r="F583" s="198"/>
      <c r="G583" s="403"/>
      <c r="H583" s="198"/>
      <c r="I583" s="410"/>
      <c r="J583" s="142"/>
      <c r="K583" s="410"/>
      <c r="L583" s="142"/>
      <c r="M583" s="403"/>
      <c r="N583" s="198"/>
      <c r="O583" s="403"/>
      <c r="P583" s="198"/>
      <c r="Q583" s="438"/>
      <c r="R583" s="438"/>
      <c r="S583" s="403"/>
      <c r="T583" s="198"/>
      <c r="U583" s="403"/>
      <c r="V583" s="19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03"/>
      <c r="B584" s="198"/>
      <c r="C584" s="403"/>
      <c r="D584" s="198"/>
      <c r="E584" s="403"/>
      <c r="F584" s="198"/>
      <c r="G584" s="403"/>
      <c r="H584" s="198"/>
      <c r="I584" s="410"/>
      <c r="J584" s="142"/>
      <c r="K584" s="410"/>
      <c r="L584" s="142"/>
      <c r="M584" s="403"/>
      <c r="N584" s="198"/>
      <c r="O584" s="403"/>
      <c r="P584" s="198"/>
      <c r="Q584" s="438"/>
      <c r="R584" s="438"/>
      <c r="S584" s="403"/>
      <c r="T584" s="198"/>
      <c r="U584" s="403"/>
      <c r="V584" s="19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03"/>
      <c r="B585" s="198"/>
      <c r="C585" s="403"/>
      <c r="D585" s="198"/>
      <c r="E585" s="403"/>
      <c r="F585" s="198"/>
      <c r="G585" s="403"/>
      <c r="H585" s="198"/>
      <c r="I585" s="410"/>
      <c r="J585" s="142"/>
      <c r="K585" s="410"/>
      <c r="L585" s="142"/>
      <c r="M585" s="403"/>
      <c r="N585" s="198"/>
      <c r="O585" s="403"/>
      <c r="P585" s="198"/>
      <c r="Q585" s="438"/>
      <c r="R585" s="438"/>
      <c r="S585" s="403"/>
      <c r="T585" s="198"/>
      <c r="U585" s="403"/>
      <c r="V585" s="19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03"/>
      <c r="B586" s="198"/>
      <c r="C586" s="403"/>
      <c r="D586" s="198"/>
      <c r="E586" s="403"/>
      <c r="F586" s="198"/>
      <c r="G586" s="403"/>
      <c r="H586" s="198"/>
      <c r="I586" s="410"/>
      <c r="J586" s="142"/>
      <c r="K586" s="410"/>
      <c r="L586" s="142"/>
      <c r="M586" s="403"/>
      <c r="N586" s="198"/>
      <c r="O586" s="403"/>
      <c r="P586" s="198"/>
      <c r="Q586" s="438"/>
      <c r="R586" s="438"/>
      <c r="S586" s="403"/>
      <c r="T586" s="198"/>
      <c r="U586" s="403"/>
      <c r="V586" s="19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03"/>
      <c r="B587" s="198"/>
      <c r="C587" s="403"/>
      <c r="D587" s="198"/>
      <c r="E587" s="403"/>
      <c r="F587" s="198"/>
      <c r="G587" s="403"/>
      <c r="H587" s="198"/>
      <c r="I587" s="410"/>
      <c r="J587" s="142"/>
      <c r="K587" s="410"/>
      <c r="L587" s="142"/>
      <c r="M587" s="403"/>
      <c r="N587" s="198"/>
      <c r="O587" s="403"/>
      <c r="P587" s="198"/>
      <c r="Q587" s="438"/>
      <c r="R587" s="438"/>
      <c r="S587" s="403"/>
      <c r="T587" s="198"/>
      <c r="U587" s="403"/>
      <c r="V587" s="19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03"/>
      <c r="B588" s="198"/>
      <c r="C588" s="403"/>
      <c r="D588" s="198"/>
      <c r="E588" s="403"/>
      <c r="F588" s="198"/>
      <c r="G588" s="403"/>
      <c r="H588" s="198"/>
      <c r="I588" s="410"/>
      <c r="J588" s="142"/>
      <c r="K588" s="410"/>
      <c r="L588" s="142"/>
      <c r="M588" s="403"/>
      <c r="N588" s="198"/>
      <c r="O588" s="403"/>
      <c r="P588" s="198"/>
      <c r="Q588" s="438"/>
      <c r="R588" s="438"/>
      <c r="S588" s="403"/>
      <c r="T588" s="198"/>
      <c r="U588" s="403"/>
      <c r="V588" s="19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03"/>
      <c r="B589" s="198"/>
      <c r="C589" s="403"/>
      <c r="D589" s="198"/>
      <c r="E589" s="403"/>
      <c r="F589" s="198"/>
      <c r="G589" s="403"/>
      <c r="H589" s="198"/>
      <c r="I589" s="410"/>
      <c r="J589" s="142"/>
      <c r="K589" s="410"/>
      <c r="L589" s="142"/>
      <c r="M589" s="403"/>
      <c r="N589" s="198"/>
      <c r="O589" s="403"/>
      <c r="P589" s="198"/>
      <c r="Q589" s="438"/>
      <c r="R589" s="438"/>
      <c r="S589" s="403"/>
      <c r="T589" s="198"/>
      <c r="U589" s="403"/>
      <c r="V589" s="19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03"/>
      <c r="B590" s="198"/>
      <c r="C590" s="403"/>
      <c r="D590" s="198"/>
      <c r="E590" s="403"/>
      <c r="F590" s="198"/>
      <c r="G590" s="403"/>
      <c r="H590" s="198"/>
      <c r="I590" s="410"/>
      <c r="J590" s="142"/>
      <c r="K590" s="410"/>
      <c r="L590" s="142"/>
      <c r="M590" s="403"/>
      <c r="N590" s="198"/>
      <c r="O590" s="403"/>
      <c r="P590" s="198"/>
      <c r="Q590" s="438"/>
      <c r="R590" s="438"/>
      <c r="S590" s="403"/>
      <c r="T590" s="198"/>
      <c r="U590" s="403"/>
      <c r="V590" s="19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03"/>
      <c r="B591" s="198"/>
      <c r="C591" s="403"/>
      <c r="D591" s="198"/>
      <c r="E591" s="403"/>
      <c r="F591" s="198"/>
      <c r="G591" s="403"/>
      <c r="H591" s="198"/>
      <c r="I591" s="410"/>
      <c r="J591" s="142"/>
      <c r="K591" s="410"/>
      <c r="L591" s="142"/>
      <c r="M591" s="403"/>
      <c r="N591" s="198"/>
      <c r="O591" s="403"/>
      <c r="P591" s="198"/>
      <c r="Q591" s="438"/>
      <c r="R591" s="438"/>
      <c r="S591" s="403"/>
      <c r="T591" s="198"/>
      <c r="U591" s="403"/>
      <c r="V591" s="19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03"/>
      <c r="B592" s="198"/>
      <c r="C592" s="403"/>
      <c r="D592" s="198"/>
      <c r="E592" s="403"/>
      <c r="F592" s="198"/>
      <c r="G592" s="403"/>
      <c r="H592" s="198"/>
      <c r="I592" s="410"/>
      <c r="J592" s="142"/>
      <c r="K592" s="410"/>
      <c r="L592" s="142"/>
      <c r="M592" s="403"/>
      <c r="N592" s="198"/>
      <c r="O592" s="403"/>
      <c r="P592" s="198"/>
      <c r="Q592" s="438"/>
      <c r="R592" s="438"/>
      <c r="S592" s="403"/>
      <c r="T592" s="198"/>
      <c r="U592" s="403"/>
      <c r="V592" s="19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03"/>
      <c r="B593" s="198"/>
      <c r="C593" s="403"/>
      <c r="D593" s="198"/>
      <c r="E593" s="403"/>
      <c r="F593" s="198"/>
      <c r="G593" s="403"/>
      <c r="H593" s="198"/>
      <c r="I593" s="410"/>
      <c r="J593" s="142"/>
      <c r="K593" s="410"/>
      <c r="L593" s="142"/>
      <c r="M593" s="403"/>
      <c r="N593" s="198"/>
      <c r="O593" s="403"/>
      <c r="P593" s="198"/>
      <c r="Q593" s="438"/>
      <c r="R593" s="438"/>
      <c r="S593" s="403"/>
      <c r="T593" s="198"/>
      <c r="U593" s="403"/>
      <c r="V593" s="19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03"/>
      <c r="B594" s="198"/>
      <c r="C594" s="403"/>
      <c r="D594" s="198"/>
      <c r="E594" s="403"/>
      <c r="F594" s="198"/>
      <c r="G594" s="403"/>
      <c r="H594" s="198"/>
      <c r="I594" s="410"/>
      <c r="J594" s="142"/>
      <c r="K594" s="410"/>
      <c r="L594" s="142"/>
      <c r="M594" s="403"/>
      <c r="N594" s="198"/>
      <c r="O594" s="403"/>
      <c r="P594" s="198"/>
      <c r="Q594" s="438"/>
      <c r="R594" s="438"/>
      <c r="S594" s="403"/>
      <c r="T594" s="198"/>
      <c r="U594" s="403"/>
      <c r="V594" s="19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03"/>
      <c r="B595" s="198"/>
      <c r="C595" s="403"/>
      <c r="D595" s="198"/>
      <c r="E595" s="403"/>
      <c r="F595" s="198"/>
      <c r="G595" s="403"/>
      <c r="H595" s="198"/>
      <c r="I595" s="410"/>
      <c r="J595" s="142"/>
      <c r="K595" s="410"/>
      <c r="L595" s="142"/>
      <c r="M595" s="403"/>
      <c r="N595" s="198"/>
      <c r="O595" s="403"/>
      <c r="P595" s="198"/>
      <c r="Q595" s="438"/>
      <c r="R595" s="438"/>
      <c r="S595" s="403"/>
      <c r="T595" s="198"/>
      <c r="U595" s="403"/>
      <c r="V595" s="19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03"/>
      <c r="B596" s="198"/>
      <c r="C596" s="403"/>
      <c r="D596" s="198"/>
      <c r="E596" s="403"/>
      <c r="F596" s="198"/>
      <c r="G596" s="403"/>
      <c r="H596" s="198"/>
      <c r="I596" s="410"/>
      <c r="J596" s="142"/>
      <c r="K596" s="410"/>
      <c r="L596" s="142"/>
      <c r="M596" s="403"/>
      <c r="N596" s="198"/>
      <c r="O596" s="403"/>
      <c r="P596" s="198"/>
      <c r="Q596" s="438"/>
      <c r="R596" s="438"/>
      <c r="S596" s="403"/>
      <c r="T596" s="198"/>
      <c r="U596" s="403"/>
      <c r="V596" s="19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03"/>
      <c r="B597" s="198"/>
      <c r="C597" s="403"/>
      <c r="D597" s="198"/>
      <c r="E597" s="403"/>
      <c r="F597" s="198"/>
      <c r="G597" s="403"/>
      <c r="H597" s="198"/>
      <c r="I597" s="410"/>
      <c r="J597" s="142"/>
      <c r="K597" s="410"/>
      <c r="L597" s="142"/>
      <c r="M597" s="403"/>
      <c r="N597" s="198"/>
      <c r="O597" s="403"/>
      <c r="P597" s="198"/>
      <c r="Q597" s="438"/>
      <c r="R597" s="438"/>
      <c r="S597" s="403"/>
      <c r="T597" s="198"/>
      <c r="U597" s="403"/>
      <c r="V597" s="19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03"/>
      <c r="B598" s="198"/>
      <c r="C598" s="403"/>
      <c r="D598" s="198"/>
      <c r="E598" s="403"/>
      <c r="F598" s="198"/>
      <c r="G598" s="403"/>
      <c r="H598" s="198"/>
      <c r="I598" s="410"/>
      <c r="J598" s="142"/>
      <c r="K598" s="410"/>
      <c r="L598" s="142"/>
      <c r="M598" s="403"/>
      <c r="N598" s="198"/>
      <c r="O598" s="403"/>
      <c r="P598" s="198"/>
      <c r="Q598" s="438"/>
      <c r="R598" s="438"/>
      <c r="S598" s="403"/>
      <c r="T598" s="198"/>
      <c r="U598" s="403"/>
      <c r="V598" s="19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03"/>
      <c r="B599" s="198"/>
      <c r="C599" s="403"/>
      <c r="D599" s="198"/>
      <c r="E599" s="403"/>
      <c r="F599" s="198"/>
      <c r="G599" s="403"/>
      <c r="H599" s="198"/>
      <c r="I599" s="410"/>
      <c r="J599" s="142"/>
      <c r="K599" s="410"/>
      <c r="L599" s="142"/>
      <c r="M599" s="403"/>
      <c r="N599" s="198"/>
      <c r="O599" s="403"/>
      <c r="P599" s="198"/>
      <c r="Q599" s="438"/>
      <c r="R599" s="438"/>
      <c r="S599" s="403"/>
      <c r="T599" s="198"/>
      <c r="U599" s="403"/>
      <c r="V599" s="19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03"/>
      <c r="B600" s="198"/>
      <c r="C600" s="403"/>
      <c r="D600" s="198"/>
      <c r="E600" s="403"/>
      <c r="F600" s="198"/>
      <c r="G600" s="403"/>
      <c r="H600" s="198"/>
      <c r="I600" s="410"/>
      <c r="J600" s="142"/>
      <c r="K600" s="410"/>
      <c r="L600" s="142"/>
      <c r="M600" s="403"/>
      <c r="N600" s="198"/>
      <c r="O600" s="403"/>
      <c r="P600" s="198"/>
      <c r="Q600" s="438"/>
      <c r="R600" s="438"/>
      <c r="S600" s="403"/>
      <c r="T600" s="198"/>
      <c r="U600" s="403"/>
      <c r="V600" s="19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03"/>
      <c r="B601" s="198"/>
      <c r="C601" s="403"/>
      <c r="D601" s="198"/>
      <c r="E601" s="403"/>
      <c r="F601" s="198"/>
      <c r="G601" s="403"/>
      <c r="H601" s="198"/>
      <c r="I601" s="410"/>
      <c r="J601" s="142"/>
      <c r="K601" s="410"/>
      <c r="L601" s="142"/>
      <c r="M601" s="403"/>
      <c r="N601" s="198"/>
      <c r="O601" s="403"/>
      <c r="P601" s="198"/>
      <c r="Q601" s="438"/>
      <c r="R601" s="438"/>
      <c r="S601" s="403"/>
      <c r="T601" s="198"/>
      <c r="U601" s="403"/>
      <c r="V601" s="19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03"/>
      <c r="B602" s="198"/>
      <c r="C602" s="403"/>
      <c r="D602" s="198"/>
      <c r="E602" s="403"/>
      <c r="F602" s="198"/>
      <c r="G602" s="403"/>
      <c r="H602" s="198"/>
      <c r="I602" s="410"/>
      <c r="J602" s="142"/>
      <c r="K602" s="410"/>
      <c r="L602" s="142"/>
      <c r="M602" s="403"/>
      <c r="N602" s="198"/>
      <c r="O602" s="403"/>
      <c r="P602" s="198"/>
      <c r="Q602" s="438"/>
      <c r="R602" s="438"/>
      <c r="S602" s="403"/>
      <c r="T602" s="198"/>
      <c r="U602" s="403"/>
      <c r="V602" s="19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03"/>
      <c r="B603" s="198"/>
      <c r="C603" s="403"/>
      <c r="D603" s="198"/>
      <c r="E603" s="403"/>
      <c r="F603" s="198"/>
      <c r="G603" s="403"/>
      <c r="H603" s="198"/>
      <c r="I603" s="410"/>
      <c r="J603" s="142"/>
      <c r="K603" s="410"/>
      <c r="L603" s="142"/>
      <c r="M603" s="403"/>
      <c r="N603" s="198"/>
      <c r="O603" s="403"/>
      <c r="P603" s="198"/>
      <c r="Q603" s="438"/>
      <c r="R603" s="438"/>
      <c r="S603" s="403"/>
      <c r="T603" s="198"/>
      <c r="U603" s="403"/>
      <c r="V603" s="19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03"/>
      <c r="B604" s="198"/>
      <c r="C604" s="403"/>
      <c r="D604" s="198"/>
      <c r="E604" s="403"/>
      <c r="F604" s="198"/>
      <c r="G604" s="403"/>
      <c r="H604" s="198"/>
      <c r="I604" s="410"/>
      <c r="J604" s="142"/>
      <c r="K604" s="410"/>
      <c r="L604" s="142"/>
      <c r="M604" s="403"/>
      <c r="N604" s="198"/>
      <c r="O604" s="403"/>
      <c r="P604" s="198"/>
      <c r="Q604" s="438"/>
      <c r="R604" s="438"/>
      <c r="S604" s="403"/>
      <c r="T604" s="198"/>
      <c r="U604" s="403"/>
      <c r="V604" s="19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03"/>
      <c r="B605" s="198"/>
      <c r="C605" s="403"/>
      <c r="D605" s="198"/>
      <c r="E605" s="403"/>
      <c r="F605" s="198"/>
      <c r="G605" s="403"/>
      <c r="H605" s="198"/>
      <c r="I605" s="410"/>
      <c r="J605" s="142"/>
      <c r="K605" s="410"/>
      <c r="L605" s="142"/>
      <c r="M605" s="403"/>
      <c r="N605" s="198"/>
      <c r="O605" s="403"/>
      <c r="P605" s="198"/>
      <c r="Q605" s="438"/>
      <c r="R605" s="438"/>
      <c r="S605" s="403"/>
      <c r="T605" s="198"/>
      <c r="U605" s="403"/>
      <c r="V605" s="19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03"/>
      <c r="B606" s="198"/>
      <c r="C606" s="403"/>
      <c r="D606" s="198"/>
      <c r="E606" s="403"/>
      <c r="F606" s="198"/>
      <c r="G606" s="403"/>
      <c r="H606" s="198"/>
      <c r="I606" s="410"/>
      <c r="J606" s="142"/>
      <c r="K606" s="410"/>
      <c r="L606" s="142"/>
      <c r="M606" s="403"/>
      <c r="N606" s="198"/>
      <c r="O606" s="403"/>
      <c r="P606" s="198"/>
      <c r="Q606" s="438"/>
      <c r="R606" s="438"/>
      <c r="S606" s="403"/>
      <c r="T606" s="198"/>
      <c r="U606" s="403"/>
      <c r="V606" s="19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03"/>
      <c r="B607" s="198"/>
      <c r="C607" s="403"/>
      <c r="D607" s="198"/>
      <c r="E607" s="403"/>
      <c r="F607" s="198"/>
      <c r="G607" s="403"/>
      <c r="H607" s="198"/>
      <c r="I607" s="410"/>
      <c r="J607" s="142"/>
      <c r="K607" s="410"/>
      <c r="L607" s="142"/>
      <c r="M607" s="403"/>
      <c r="N607" s="198"/>
      <c r="O607" s="403"/>
      <c r="P607" s="198"/>
      <c r="Q607" s="438"/>
      <c r="R607" s="438"/>
      <c r="S607" s="403"/>
      <c r="T607" s="198"/>
      <c r="U607" s="403"/>
      <c r="V607" s="19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03"/>
      <c r="B608" s="198"/>
      <c r="C608" s="403"/>
      <c r="D608" s="198"/>
      <c r="E608" s="403"/>
      <c r="F608" s="198"/>
      <c r="G608" s="403"/>
      <c r="H608" s="198"/>
      <c r="I608" s="410"/>
      <c r="J608" s="142"/>
      <c r="K608" s="410"/>
      <c r="L608" s="142"/>
      <c r="M608" s="403"/>
      <c r="N608" s="198"/>
      <c r="O608" s="403"/>
      <c r="P608" s="198"/>
      <c r="Q608" s="438"/>
      <c r="R608" s="438"/>
      <c r="S608" s="403"/>
      <c r="T608" s="198"/>
      <c r="U608" s="403"/>
      <c r="V608" s="19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03"/>
      <c r="B609" s="198"/>
      <c r="C609" s="403"/>
      <c r="D609" s="198"/>
      <c r="E609" s="403"/>
      <c r="F609" s="198"/>
      <c r="G609" s="403"/>
      <c r="H609" s="198"/>
      <c r="I609" s="410"/>
      <c r="J609" s="142"/>
      <c r="K609" s="410"/>
      <c r="L609" s="142"/>
      <c r="M609" s="403"/>
      <c r="N609" s="198"/>
      <c r="O609" s="403"/>
      <c r="P609" s="198"/>
      <c r="Q609" s="438"/>
      <c r="R609" s="438"/>
      <c r="S609" s="403"/>
      <c r="T609" s="198"/>
      <c r="U609" s="403"/>
      <c r="V609" s="19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03"/>
      <c r="B610" s="198"/>
      <c r="C610" s="403"/>
      <c r="D610" s="198"/>
      <c r="E610" s="403"/>
      <c r="F610" s="198"/>
      <c r="G610" s="403"/>
      <c r="H610" s="198"/>
      <c r="I610" s="410"/>
      <c r="J610" s="142"/>
      <c r="K610" s="410"/>
      <c r="L610" s="142"/>
      <c r="M610" s="403"/>
      <c r="N610" s="198"/>
      <c r="O610" s="403"/>
      <c r="P610" s="198"/>
      <c r="Q610" s="438"/>
      <c r="R610" s="438"/>
      <c r="S610" s="403"/>
      <c r="T610" s="198"/>
      <c r="U610" s="403"/>
      <c r="V610" s="19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03"/>
      <c r="B611" s="198"/>
      <c r="C611" s="403"/>
      <c r="D611" s="198"/>
      <c r="E611" s="403"/>
      <c r="F611" s="198"/>
      <c r="G611" s="403"/>
      <c r="H611" s="198"/>
      <c r="I611" s="410"/>
      <c r="J611" s="142"/>
      <c r="K611" s="410"/>
      <c r="L611" s="142"/>
      <c r="M611" s="403"/>
      <c r="N611" s="198"/>
      <c r="O611" s="403"/>
      <c r="P611" s="198"/>
      <c r="Q611" s="438"/>
      <c r="R611" s="438"/>
      <c r="S611" s="403"/>
      <c r="T611" s="198"/>
      <c r="U611" s="403"/>
      <c r="V611" s="19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03"/>
      <c r="B612" s="198"/>
      <c r="C612" s="403"/>
      <c r="D612" s="198"/>
      <c r="E612" s="403"/>
      <c r="F612" s="198"/>
      <c r="G612" s="403"/>
      <c r="H612" s="198"/>
      <c r="I612" s="410"/>
      <c r="J612" s="142"/>
      <c r="K612" s="410"/>
      <c r="L612" s="142"/>
      <c r="M612" s="403"/>
      <c r="N612" s="198"/>
      <c r="O612" s="403"/>
      <c r="P612" s="198"/>
      <c r="Q612" s="438"/>
      <c r="R612" s="438"/>
      <c r="S612" s="403"/>
      <c r="T612" s="198"/>
      <c r="U612" s="403"/>
      <c r="V612" s="19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03"/>
      <c r="B613" s="198"/>
      <c r="C613" s="403"/>
      <c r="D613" s="198"/>
      <c r="E613" s="403"/>
      <c r="F613" s="198"/>
      <c r="G613" s="403"/>
      <c r="H613" s="198"/>
      <c r="I613" s="410"/>
      <c r="J613" s="142"/>
      <c r="K613" s="410"/>
      <c r="L613" s="142"/>
      <c r="M613" s="403"/>
      <c r="N613" s="198"/>
      <c r="O613" s="403"/>
      <c r="P613" s="198"/>
      <c r="Q613" s="438"/>
      <c r="R613" s="438"/>
      <c r="S613" s="403"/>
      <c r="T613" s="198"/>
      <c r="U613" s="403"/>
      <c r="V613" s="19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03"/>
      <c r="B614" s="198"/>
      <c r="C614" s="403"/>
      <c r="D614" s="198"/>
      <c r="E614" s="403"/>
      <c r="F614" s="198"/>
      <c r="G614" s="403"/>
      <c r="H614" s="198"/>
      <c r="I614" s="410"/>
      <c r="J614" s="142"/>
      <c r="K614" s="410"/>
      <c r="L614" s="142"/>
      <c r="M614" s="403"/>
      <c r="N614" s="198"/>
      <c r="O614" s="403"/>
      <c r="P614" s="198"/>
      <c r="Q614" s="438"/>
      <c r="R614" s="438"/>
      <c r="S614" s="403"/>
      <c r="T614" s="198"/>
      <c r="U614" s="403"/>
      <c r="V614" s="19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03"/>
      <c r="B615" s="198"/>
      <c r="C615" s="403"/>
      <c r="D615" s="198"/>
      <c r="E615" s="403"/>
      <c r="F615" s="198"/>
      <c r="G615" s="403"/>
      <c r="H615" s="198"/>
      <c r="I615" s="410"/>
      <c r="J615" s="142"/>
      <c r="K615" s="410"/>
      <c r="L615" s="142"/>
      <c r="M615" s="403"/>
      <c r="N615" s="198"/>
      <c r="O615" s="403"/>
      <c r="P615" s="198"/>
      <c r="Q615" s="438"/>
      <c r="R615" s="438"/>
      <c r="S615" s="403"/>
      <c r="T615" s="198"/>
      <c r="U615" s="403"/>
      <c r="V615" s="19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03"/>
      <c r="B616" s="198"/>
      <c r="C616" s="403"/>
      <c r="D616" s="198"/>
      <c r="E616" s="403"/>
      <c r="F616" s="198"/>
      <c r="G616" s="403"/>
      <c r="H616" s="198"/>
      <c r="I616" s="410"/>
      <c r="J616" s="142"/>
      <c r="K616" s="410"/>
      <c r="L616" s="142"/>
      <c r="M616" s="403"/>
      <c r="N616" s="198"/>
      <c r="O616" s="403"/>
      <c r="P616" s="198"/>
      <c r="Q616" s="438"/>
      <c r="R616" s="438"/>
      <c r="S616" s="403"/>
      <c r="T616" s="198"/>
      <c r="U616" s="403"/>
      <c r="V616" s="19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03"/>
      <c r="B617" s="198"/>
      <c r="C617" s="403"/>
      <c r="D617" s="198"/>
      <c r="E617" s="403"/>
      <c r="F617" s="198"/>
      <c r="G617" s="403"/>
      <c r="H617" s="198"/>
      <c r="I617" s="410"/>
      <c r="J617" s="142"/>
      <c r="K617" s="410"/>
      <c r="L617" s="142"/>
      <c r="M617" s="403"/>
      <c r="N617" s="198"/>
      <c r="O617" s="403"/>
      <c r="P617" s="198"/>
      <c r="Q617" s="438"/>
      <c r="R617" s="438"/>
      <c r="S617" s="403"/>
      <c r="T617" s="198"/>
      <c r="U617" s="403"/>
      <c r="V617" s="19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03"/>
      <c r="B618" s="198"/>
      <c r="C618" s="403"/>
      <c r="D618" s="198"/>
      <c r="E618" s="403"/>
      <c r="F618" s="198"/>
      <c r="G618" s="403"/>
      <c r="H618" s="198"/>
      <c r="I618" s="410"/>
      <c r="J618" s="142"/>
      <c r="K618" s="410"/>
      <c r="L618" s="142"/>
      <c r="M618" s="403"/>
      <c r="N618" s="198"/>
      <c r="O618" s="403"/>
      <c r="P618" s="198"/>
      <c r="Q618" s="438"/>
      <c r="R618" s="438"/>
      <c r="S618" s="403"/>
      <c r="T618" s="198"/>
      <c r="U618" s="403"/>
      <c r="V618" s="19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03"/>
      <c r="B619" s="198"/>
      <c r="C619" s="403"/>
      <c r="D619" s="198"/>
      <c r="E619" s="403"/>
      <c r="F619" s="198"/>
      <c r="G619" s="403"/>
      <c r="H619" s="198"/>
      <c r="I619" s="410"/>
      <c r="J619" s="142"/>
      <c r="K619" s="410"/>
      <c r="L619" s="142"/>
      <c r="M619" s="403"/>
      <c r="N619" s="198"/>
      <c r="O619" s="403"/>
      <c r="P619" s="198"/>
      <c r="Q619" s="438"/>
      <c r="R619" s="438"/>
      <c r="S619" s="403"/>
      <c r="T619" s="198"/>
      <c r="U619" s="403"/>
      <c r="V619" s="19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03"/>
      <c r="B620" s="198"/>
      <c r="C620" s="403"/>
      <c r="D620" s="198"/>
      <c r="E620" s="403"/>
      <c r="F620" s="198"/>
      <c r="G620" s="403"/>
      <c r="H620" s="198"/>
      <c r="I620" s="410"/>
      <c r="J620" s="142"/>
      <c r="K620" s="410"/>
      <c r="L620" s="142"/>
      <c r="M620" s="403"/>
      <c r="N620" s="198"/>
      <c r="O620" s="403"/>
      <c r="P620" s="198"/>
      <c r="Q620" s="438"/>
      <c r="R620" s="438"/>
      <c r="S620" s="403"/>
      <c r="T620" s="198"/>
      <c r="U620" s="403"/>
      <c r="V620" s="19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03"/>
      <c r="B621" s="198"/>
      <c r="C621" s="403"/>
      <c r="D621" s="198"/>
      <c r="E621" s="403"/>
      <c r="F621" s="198"/>
      <c r="G621" s="403"/>
      <c r="H621" s="198"/>
      <c r="I621" s="410"/>
      <c r="J621" s="142"/>
      <c r="K621" s="410"/>
      <c r="L621" s="142"/>
      <c r="M621" s="403"/>
      <c r="N621" s="198"/>
      <c r="O621" s="403"/>
      <c r="P621" s="198"/>
      <c r="Q621" s="438"/>
      <c r="R621" s="438"/>
      <c r="S621" s="403"/>
      <c r="T621" s="198"/>
      <c r="U621" s="403"/>
      <c r="V621" s="19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03"/>
      <c r="B622" s="198"/>
      <c r="C622" s="403"/>
      <c r="D622" s="198"/>
      <c r="E622" s="403"/>
      <c r="F622" s="198"/>
      <c r="G622" s="403"/>
      <c r="H622" s="198"/>
      <c r="I622" s="410"/>
      <c r="J622" s="142"/>
      <c r="K622" s="410"/>
      <c r="L622" s="142"/>
      <c r="M622" s="403"/>
      <c r="N622" s="198"/>
      <c r="O622" s="403"/>
      <c r="P622" s="198"/>
      <c r="Q622" s="438"/>
      <c r="R622" s="438"/>
      <c r="S622" s="403"/>
      <c r="T622" s="198"/>
      <c r="U622" s="403"/>
      <c r="V622" s="19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03"/>
      <c r="B623" s="198"/>
      <c r="C623" s="403"/>
      <c r="D623" s="198"/>
      <c r="E623" s="403"/>
      <c r="F623" s="198"/>
      <c r="G623" s="403"/>
      <c r="H623" s="198"/>
      <c r="I623" s="410"/>
      <c r="J623" s="142"/>
      <c r="K623" s="410"/>
      <c r="L623" s="142"/>
      <c r="M623" s="403"/>
      <c r="N623" s="198"/>
      <c r="O623" s="403"/>
      <c r="P623" s="198"/>
      <c r="Q623" s="438"/>
      <c r="R623" s="438"/>
      <c r="S623" s="403"/>
      <c r="T623" s="198"/>
      <c r="U623" s="403"/>
      <c r="V623" s="19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03"/>
      <c r="B624" s="198"/>
      <c r="C624" s="403"/>
      <c r="D624" s="198"/>
      <c r="E624" s="403"/>
      <c r="F624" s="198"/>
      <c r="G624" s="403"/>
      <c r="H624" s="198"/>
      <c r="I624" s="410"/>
      <c r="J624" s="142"/>
      <c r="K624" s="410"/>
      <c r="L624" s="142"/>
      <c r="M624" s="403"/>
      <c r="N624" s="198"/>
      <c r="O624" s="403"/>
      <c r="P624" s="198"/>
      <c r="Q624" s="438"/>
      <c r="R624" s="438"/>
      <c r="S624" s="403"/>
      <c r="T624" s="198"/>
      <c r="U624" s="403"/>
      <c r="V624" s="19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03"/>
      <c r="B625" s="198"/>
      <c r="C625" s="403"/>
      <c r="D625" s="198"/>
      <c r="E625" s="403"/>
      <c r="F625" s="198"/>
      <c r="G625" s="403"/>
      <c r="H625" s="198"/>
      <c r="I625" s="410"/>
      <c r="J625" s="142"/>
      <c r="K625" s="410"/>
      <c r="L625" s="142"/>
      <c r="M625" s="403"/>
      <c r="N625" s="198"/>
      <c r="O625" s="403"/>
      <c r="P625" s="198"/>
      <c r="Q625" s="438"/>
      <c r="R625" s="438"/>
      <c r="S625" s="403"/>
      <c r="T625" s="198"/>
      <c r="U625" s="403"/>
      <c r="V625" s="19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03"/>
      <c r="B626" s="198"/>
      <c r="C626" s="403"/>
      <c r="D626" s="198"/>
      <c r="E626" s="403"/>
      <c r="F626" s="198"/>
      <c r="G626" s="403"/>
      <c r="H626" s="198"/>
      <c r="I626" s="410"/>
      <c r="J626" s="142"/>
      <c r="K626" s="410"/>
      <c r="L626" s="142"/>
      <c r="M626" s="403"/>
      <c r="N626" s="198"/>
      <c r="O626" s="403"/>
      <c r="P626" s="198"/>
      <c r="Q626" s="438"/>
      <c r="R626" s="438"/>
      <c r="S626" s="403"/>
      <c r="T626" s="198"/>
      <c r="U626" s="403"/>
      <c r="V626" s="19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03"/>
      <c r="B627" s="198"/>
      <c r="C627" s="403"/>
      <c r="D627" s="198"/>
      <c r="E627" s="403"/>
      <c r="F627" s="198"/>
      <c r="G627" s="403"/>
      <c r="H627" s="198"/>
      <c r="I627" s="410"/>
      <c r="J627" s="142"/>
      <c r="K627" s="410"/>
      <c r="L627" s="142"/>
      <c r="M627" s="403"/>
      <c r="N627" s="198"/>
      <c r="O627" s="403"/>
      <c r="P627" s="198"/>
      <c r="Q627" s="438"/>
      <c r="R627" s="438"/>
      <c r="S627" s="403"/>
      <c r="T627" s="198"/>
      <c r="U627" s="403"/>
      <c r="V627" s="19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03"/>
      <c r="B628" s="198"/>
      <c r="C628" s="403"/>
      <c r="D628" s="198"/>
      <c r="E628" s="403"/>
      <c r="F628" s="198"/>
      <c r="G628" s="403"/>
      <c r="H628" s="198"/>
      <c r="I628" s="410"/>
      <c r="J628" s="142"/>
      <c r="K628" s="410"/>
      <c r="L628" s="142"/>
      <c r="M628" s="403"/>
      <c r="N628" s="198"/>
      <c r="O628" s="403"/>
      <c r="P628" s="198"/>
      <c r="Q628" s="438"/>
      <c r="R628" s="438"/>
      <c r="S628" s="403"/>
      <c r="T628" s="198"/>
      <c r="U628" s="403"/>
      <c r="V628" s="19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03"/>
      <c r="B629" s="198"/>
      <c r="C629" s="403"/>
      <c r="D629" s="198"/>
      <c r="E629" s="403"/>
      <c r="F629" s="198"/>
      <c r="G629" s="403"/>
      <c r="H629" s="198"/>
      <c r="I629" s="410"/>
      <c r="J629" s="142"/>
      <c r="K629" s="410"/>
      <c r="L629" s="142"/>
      <c r="M629" s="403"/>
      <c r="N629" s="198"/>
      <c r="O629" s="403"/>
      <c r="P629" s="198"/>
      <c r="Q629" s="438"/>
      <c r="R629" s="438"/>
      <c r="S629" s="403"/>
      <c r="T629" s="198"/>
      <c r="U629" s="403"/>
      <c r="V629" s="19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03"/>
      <c r="B630" s="198"/>
      <c r="C630" s="403"/>
      <c r="D630" s="198"/>
      <c r="E630" s="403"/>
      <c r="F630" s="198"/>
      <c r="G630" s="403"/>
      <c r="H630" s="198"/>
      <c r="I630" s="410"/>
      <c r="J630" s="142"/>
      <c r="K630" s="410"/>
      <c r="L630" s="142"/>
      <c r="M630" s="403"/>
      <c r="N630" s="198"/>
      <c r="O630" s="403"/>
      <c r="P630" s="198"/>
      <c r="Q630" s="438"/>
      <c r="R630" s="438"/>
      <c r="S630" s="403"/>
      <c r="T630" s="198"/>
      <c r="U630" s="403"/>
      <c r="V630" s="19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03"/>
      <c r="B631" s="198"/>
      <c r="C631" s="403"/>
      <c r="D631" s="198"/>
      <c r="E631" s="403"/>
      <c r="F631" s="198"/>
      <c r="G631" s="403"/>
      <c r="H631" s="198"/>
      <c r="I631" s="410"/>
      <c r="J631" s="142"/>
      <c r="K631" s="410"/>
      <c r="L631" s="142"/>
      <c r="M631" s="403"/>
      <c r="N631" s="198"/>
      <c r="O631" s="403"/>
      <c r="P631" s="198"/>
      <c r="Q631" s="438"/>
      <c r="R631" s="438"/>
      <c r="S631" s="403"/>
      <c r="T631" s="198"/>
      <c r="U631" s="403"/>
      <c r="V631" s="19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03"/>
      <c r="B632" s="198"/>
      <c r="C632" s="403"/>
      <c r="D632" s="198"/>
      <c r="E632" s="403"/>
      <c r="F632" s="198"/>
      <c r="G632" s="403"/>
      <c r="H632" s="198"/>
      <c r="I632" s="410"/>
      <c r="J632" s="142"/>
      <c r="K632" s="410"/>
      <c r="L632" s="142"/>
      <c r="M632" s="403"/>
      <c r="N632" s="198"/>
      <c r="O632" s="403"/>
      <c r="P632" s="198"/>
      <c r="Q632" s="438"/>
      <c r="R632" s="438"/>
      <c r="S632" s="403"/>
      <c r="T632" s="198"/>
      <c r="U632" s="403"/>
      <c r="V632" s="19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03"/>
      <c r="B633" s="198"/>
      <c r="C633" s="403"/>
      <c r="D633" s="198"/>
      <c r="E633" s="403"/>
      <c r="F633" s="198"/>
      <c r="G633" s="403"/>
      <c r="H633" s="198"/>
      <c r="I633" s="410"/>
      <c r="J633" s="142"/>
      <c r="K633" s="410"/>
      <c r="L633" s="142"/>
      <c r="M633" s="403"/>
      <c r="N633" s="198"/>
      <c r="O633" s="403"/>
      <c r="P633" s="198"/>
      <c r="Q633" s="438"/>
      <c r="R633" s="438"/>
      <c r="S633" s="403"/>
      <c r="T633" s="198"/>
      <c r="U633" s="403"/>
      <c r="V633" s="19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03"/>
      <c r="B634" s="198"/>
      <c r="C634" s="403"/>
      <c r="D634" s="198"/>
      <c r="E634" s="403"/>
      <c r="F634" s="198"/>
      <c r="G634" s="403"/>
      <c r="H634" s="198"/>
      <c r="I634" s="410"/>
      <c r="J634" s="142"/>
      <c r="K634" s="410"/>
      <c r="L634" s="142"/>
      <c r="M634" s="403"/>
      <c r="N634" s="198"/>
      <c r="O634" s="403"/>
      <c r="P634" s="198"/>
      <c r="Q634" s="438"/>
      <c r="R634" s="438"/>
      <c r="S634" s="403"/>
      <c r="T634" s="198"/>
      <c r="U634" s="403"/>
      <c r="V634" s="19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03"/>
      <c r="B635" s="198"/>
      <c r="C635" s="403"/>
      <c r="D635" s="198"/>
      <c r="E635" s="403"/>
      <c r="F635" s="198"/>
      <c r="G635" s="403"/>
      <c r="H635" s="198"/>
      <c r="I635" s="410"/>
      <c r="J635" s="142"/>
      <c r="K635" s="410"/>
      <c r="L635" s="142"/>
      <c r="M635" s="403"/>
      <c r="N635" s="198"/>
      <c r="O635" s="403"/>
      <c r="P635" s="198"/>
      <c r="Q635" s="438"/>
      <c r="R635" s="438"/>
      <c r="S635" s="403"/>
      <c r="T635" s="198"/>
      <c r="U635" s="403"/>
      <c r="V635" s="19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03"/>
      <c r="B636" s="198"/>
      <c r="C636" s="403"/>
      <c r="D636" s="198"/>
      <c r="E636" s="403"/>
      <c r="F636" s="198"/>
      <c r="G636" s="403"/>
      <c r="H636" s="198"/>
      <c r="I636" s="410"/>
      <c r="J636" s="142"/>
      <c r="K636" s="410"/>
      <c r="L636" s="142"/>
      <c r="M636" s="403"/>
      <c r="N636" s="198"/>
      <c r="O636" s="403"/>
      <c r="P636" s="198"/>
      <c r="Q636" s="438"/>
      <c r="R636" s="438"/>
      <c r="S636" s="403"/>
      <c r="T636" s="198"/>
      <c r="U636" s="403"/>
      <c r="V636" s="19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03"/>
      <c r="B637" s="198"/>
      <c r="C637" s="403"/>
      <c r="D637" s="198"/>
      <c r="E637" s="403"/>
      <c r="F637" s="198"/>
      <c r="G637" s="403"/>
      <c r="H637" s="198"/>
      <c r="I637" s="410"/>
      <c r="J637" s="142"/>
      <c r="K637" s="410"/>
      <c r="L637" s="142"/>
      <c r="M637" s="403"/>
      <c r="N637" s="198"/>
      <c r="O637" s="403"/>
      <c r="P637" s="198"/>
      <c r="Q637" s="438"/>
      <c r="R637" s="438"/>
      <c r="S637" s="403"/>
      <c r="T637" s="198"/>
      <c r="U637" s="403"/>
      <c r="V637" s="19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03"/>
      <c r="B638" s="198"/>
      <c r="C638" s="403"/>
      <c r="D638" s="198"/>
      <c r="E638" s="403"/>
      <c r="F638" s="198"/>
      <c r="G638" s="403"/>
      <c r="H638" s="198"/>
      <c r="I638" s="410"/>
      <c r="J638" s="142"/>
      <c r="K638" s="410"/>
      <c r="L638" s="142"/>
      <c r="M638" s="403"/>
      <c r="N638" s="198"/>
      <c r="O638" s="403"/>
      <c r="P638" s="198"/>
      <c r="Q638" s="438"/>
      <c r="R638" s="438"/>
      <c r="S638" s="403"/>
      <c r="T638" s="198"/>
      <c r="U638" s="403"/>
      <c r="V638" s="19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03"/>
      <c r="B639" s="198"/>
      <c r="C639" s="403"/>
      <c r="D639" s="198"/>
      <c r="E639" s="403"/>
      <c r="F639" s="198"/>
      <c r="G639" s="403"/>
      <c r="H639" s="198"/>
      <c r="I639" s="410"/>
      <c r="J639" s="142"/>
      <c r="K639" s="410"/>
      <c r="L639" s="142"/>
      <c r="M639" s="403"/>
      <c r="N639" s="198"/>
      <c r="O639" s="403"/>
      <c r="P639" s="198"/>
      <c r="Q639" s="438"/>
      <c r="R639" s="438"/>
      <c r="S639" s="403"/>
      <c r="T639" s="198"/>
      <c r="U639" s="403"/>
      <c r="V639" s="19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03"/>
      <c r="B640" s="198"/>
      <c r="C640" s="403"/>
      <c r="D640" s="198"/>
      <c r="E640" s="403"/>
      <c r="F640" s="198"/>
      <c r="G640" s="403"/>
      <c r="H640" s="198"/>
      <c r="I640" s="410"/>
      <c r="J640" s="142"/>
      <c r="K640" s="410"/>
      <c r="L640" s="142"/>
      <c r="M640" s="403"/>
      <c r="N640" s="198"/>
      <c r="O640" s="403"/>
      <c r="P640" s="198"/>
      <c r="Q640" s="438"/>
      <c r="R640" s="438"/>
      <c r="S640" s="403"/>
      <c r="T640" s="198"/>
      <c r="U640" s="403"/>
      <c r="V640" s="19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03"/>
      <c r="B641" s="198"/>
      <c r="C641" s="403"/>
      <c r="D641" s="198"/>
      <c r="E641" s="403"/>
      <c r="F641" s="198"/>
      <c r="G641" s="403"/>
      <c r="H641" s="198"/>
      <c r="I641" s="410"/>
      <c r="J641" s="142"/>
      <c r="K641" s="410"/>
      <c r="L641" s="142"/>
      <c r="M641" s="403"/>
      <c r="N641" s="198"/>
      <c r="O641" s="403"/>
      <c r="P641" s="198"/>
      <c r="Q641" s="438"/>
      <c r="R641" s="438"/>
      <c r="S641" s="403"/>
      <c r="T641" s="198"/>
      <c r="U641" s="403"/>
      <c r="V641" s="19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03"/>
      <c r="B642" s="198"/>
      <c r="C642" s="403"/>
      <c r="D642" s="198"/>
      <c r="E642" s="403"/>
      <c r="F642" s="198"/>
      <c r="G642" s="403"/>
      <c r="H642" s="198"/>
      <c r="I642" s="410"/>
      <c r="J642" s="142"/>
      <c r="K642" s="410"/>
      <c r="L642" s="142"/>
      <c r="M642" s="403"/>
      <c r="N642" s="198"/>
      <c r="O642" s="403"/>
      <c r="P642" s="198"/>
      <c r="Q642" s="438"/>
      <c r="R642" s="438"/>
      <c r="S642" s="403"/>
      <c r="T642" s="198"/>
      <c r="U642" s="403"/>
      <c r="V642" s="19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03"/>
      <c r="B643" s="198"/>
      <c r="C643" s="403"/>
      <c r="D643" s="198"/>
      <c r="E643" s="403"/>
      <c r="F643" s="198"/>
      <c r="G643" s="403"/>
      <c r="H643" s="198"/>
      <c r="I643" s="410"/>
      <c r="J643" s="142"/>
      <c r="K643" s="410"/>
      <c r="L643" s="142"/>
      <c r="M643" s="403"/>
      <c r="N643" s="198"/>
      <c r="O643" s="403"/>
      <c r="P643" s="198"/>
      <c r="Q643" s="438"/>
      <c r="R643" s="438"/>
      <c r="S643" s="403"/>
      <c r="T643" s="198"/>
      <c r="U643" s="403"/>
      <c r="V643" s="19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03"/>
      <c r="B644" s="198"/>
      <c r="C644" s="403"/>
      <c r="D644" s="198"/>
      <c r="E644" s="403"/>
      <c r="F644" s="198"/>
      <c r="G644" s="403"/>
      <c r="H644" s="198"/>
      <c r="I644" s="410"/>
      <c r="J644" s="142"/>
      <c r="K644" s="410"/>
      <c r="L644" s="142"/>
      <c r="M644" s="403"/>
      <c r="N644" s="198"/>
      <c r="O644" s="403"/>
      <c r="P644" s="198"/>
      <c r="Q644" s="438"/>
      <c r="R644" s="438"/>
      <c r="S644" s="403"/>
      <c r="T644" s="198"/>
      <c r="U644" s="403"/>
      <c r="V644" s="19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03"/>
      <c r="B645" s="198"/>
      <c r="C645" s="403"/>
      <c r="D645" s="198"/>
      <c r="E645" s="403"/>
      <c r="F645" s="198"/>
      <c r="G645" s="403"/>
      <c r="H645" s="198"/>
      <c r="I645" s="410"/>
      <c r="J645" s="142"/>
      <c r="K645" s="410"/>
      <c r="L645" s="142"/>
      <c r="M645" s="403"/>
      <c r="N645" s="198"/>
      <c r="O645" s="403"/>
      <c r="P645" s="198"/>
      <c r="Q645" s="438"/>
      <c r="R645" s="438"/>
      <c r="S645" s="403"/>
      <c r="T645" s="198"/>
      <c r="U645" s="403"/>
      <c r="V645" s="19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03"/>
      <c r="B646" s="198"/>
      <c r="C646" s="403"/>
      <c r="D646" s="198"/>
      <c r="E646" s="403"/>
      <c r="F646" s="198"/>
      <c r="G646" s="403"/>
      <c r="H646" s="198"/>
      <c r="I646" s="410"/>
      <c r="J646" s="142"/>
      <c r="K646" s="410"/>
      <c r="L646" s="142"/>
      <c r="M646" s="403"/>
      <c r="N646" s="198"/>
      <c r="O646" s="403"/>
      <c r="P646" s="198"/>
      <c r="Q646" s="438"/>
      <c r="R646" s="438"/>
      <c r="S646" s="403"/>
      <c r="T646" s="198"/>
      <c r="U646" s="403"/>
      <c r="V646" s="19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03"/>
      <c r="B647" s="198"/>
      <c r="C647" s="403"/>
      <c r="D647" s="198"/>
      <c r="E647" s="403"/>
      <c r="F647" s="198"/>
      <c r="G647" s="403"/>
      <c r="H647" s="198"/>
      <c r="I647" s="410"/>
      <c r="J647" s="142"/>
      <c r="K647" s="410"/>
      <c r="L647" s="142"/>
      <c r="M647" s="403"/>
      <c r="N647" s="198"/>
      <c r="O647" s="403"/>
      <c r="P647" s="198"/>
      <c r="Q647" s="438"/>
      <c r="R647" s="438"/>
      <c r="S647" s="403"/>
      <c r="T647" s="198"/>
      <c r="U647" s="403"/>
      <c r="V647" s="19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03"/>
      <c r="B648" s="198"/>
      <c r="C648" s="403"/>
      <c r="D648" s="198"/>
      <c r="E648" s="403"/>
      <c r="F648" s="198"/>
      <c r="G648" s="403"/>
      <c r="H648" s="198"/>
      <c r="I648" s="410"/>
      <c r="J648" s="142"/>
      <c r="K648" s="410"/>
      <c r="L648" s="142"/>
      <c r="M648" s="403"/>
      <c r="N648" s="198"/>
      <c r="O648" s="403"/>
      <c r="P648" s="198"/>
      <c r="Q648" s="438"/>
      <c r="R648" s="438"/>
      <c r="S648" s="403"/>
      <c r="T648" s="198"/>
      <c r="U648" s="403"/>
      <c r="V648" s="19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03"/>
      <c r="B649" s="198"/>
      <c r="C649" s="403"/>
      <c r="D649" s="198"/>
      <c r="E649" s="403"/>
      <c r="F649" s="198"/>
      <c r="G649" s="403"/>
      <c r="H649" s="198"/>
      <c r="I649" s="410"/>
      <c r="J649" s="142"/>
      <c r="K649" s="410"/>
      <c r="L649" s="142"/>
      <c r="M649" s="403"/>
      <c r="N649" s="198"/>
      <c r="O649" s="403"/>
      <c r="P649" s="198"/>
      <c r="Q649" s="438"/>
      <c r="R649" s="438"/>
      <c r="S649" s="403"/>
      <c r="T649" s="198"/>
      <c r="U649" s="403"/>
      <c r="V649" s="19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03"/>
      <c r="B650" s="198"/>
      <c r="C650" s="403"/>
      <c r="D650" s="198"/>
      <c r="E650" s="403"/>
      <c r="F650" s="198"/>
      <c r="G650" s="403"/>
      <c r="H650" s="198"/>
      <c r="I650" s="410"/>
      <c r="J650" s="142"/>
      <c r="K650" s="410"/>
      <c r="L650" s="142"/>
      <c r="M650" s="403"/>
      <c r="N650" s="198"/>
      <c r="O650" s="403"/>
      <c r="P650" s="198"/>
      <c r="Q650" s="438"/>
      <c r="R650" s="438"/>
      <c r="S650" s="403"/>
      <c r="T650" s="198"/>
      <c r="U650" s="403"/>
      <c r="V650" s="19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03"/>
      <c r="B651" s="198"/>
      <c r="C651" s="403"/>
      <c r="D651" s="198"/>
      <c r="E651" s="403"/>
      <c r="F651" s="198"/>
      <c r="G651" s="403"/>
      <c r="H651" s="198"/>
      <c r="I651" s="410"/>
      <c r="J651" s="142"/>
      <c r="K651" s="410"/>
      <c r="L651" s="142"/>
      <c r="M651" s="403"/>
      <c r="N651" s="198"/>
      <c r="O651" s="403"/>
      <c r="P651" s="198"/>
      <c r="Q651" s="438"/>
      <c r="R651" s="438"/>
      <c r="S651" s="403"/>
      <c r="T651" s="198"/>
      <c r="U651" s="403"/>
      <c r="V651" s="19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03"/>
      <c r="B652" s="198"/>
      <c r="C652" s="403"/>
      <c r="D652" s="198"/>
      <c r="E652" s="403"/>
      <c r="F652" s="198"/>
      <c r="G652" s="403"/>
      <c r="H652" s="198"/>
      <c r="I652" s="410"/>
      <c r="J652" s="142"/>
      <c r="K652" s="410"/>
      <c r="L652" s="142"/>
      <c r="M652" s="403"/>
      <c r="N652" s="198"/>
      <c r="O652" s="403"/>
      <c r="P652" s="198"/>
      <c r="Q652" s="438"/>
      <c r="R652" s="438"/>
      <c r="S652" s="403"/>
      <c r="T652" s="198"/>
      <c r="U652" s="403"/>
      <c r="V652" s="19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03"/>
      <c r="B653" s="198"/>
      <c r="C653" s="403"/>
      <c r="D653" s="198"/>
      <c r="E653" s="403"/>
      <c r="F653" s="198"/>
      <c r="G653" s="403"/>
      <c r="H653" s="198"/>
      <c r="I653" s="410"/>
      <c r="J653" s="142"/>
      <c r="K653" s="410"/>
      <c r="L653" s="142"/>
      <c r="M653" s="403"/>
      <c r="N653" s="198"/>
      <c r="O653" s="403"/>
      <c r="P653" s="198"/>
      <c r="Q653" s="438"/>
      <c r="R653" s="438"/>
      <c r="S653" s="403"/>
      <c r="T653" s="198"/>
      <c r="U653" s="403"/>
      <c r="V653" s="19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03"/>
      <c r="B654" s="198"/>
      <c r="C654" s="403"/>
      <c r="D654" s="198"/>
      <c r="E654" s="403"/>
      <c r="F654" s="198"/>
      <c r="G654" s="403"/>
      <c r="H654" s="198"/>
      <c r="I654" s="410"/>
      <c r="J654" s="142"/>
      <c r="K654" s="410"/>
      <c r="L654" s="142"/>
      <c r="M654" s="403"/>
      <c r="N654" s="198"/>
      <c r="O654" s="403"/>
      <c r="P654" s="198"/>
      <c r="Q654" s="438"/>
      <c r="R654" s="438"/>
      <c r="S654" s="403"/>
      <c r="T654" s="198"/>
      <c r="U654" s="403"/>
      <c r="V654" s="19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03"/>
      <c r="B655" s="198"/>
      <c r="C655" s="403"/>
      <c r="D655" s="198"/>
      <c r="E655" s="403"/>
      <c r="F655" s="198"/>
      <c r="G655" s="403"/>
      <c r="H655" s="198"/>
      <c r="I655" s="410"/>
      <c r="J655" s="142"/>
      <c r="K655" s="410"/>
      <c r="L655" s="142"/>
      <c r="M655" s="403"/>
      <c r="N655" s="198"/>
      <c r="O655" s="403"/>
      <c r="P655" s="198"/>
      <c r="Q655" s="438"/>
      <c r="R655" s="438"/>
      <c r="S655" s="403"/>
      <c r="T655" s="198"/>
      <c r="U655" s="403"/>
      <c r="V655" s="19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03"/>
      <c r="B656" s="198"/>
      <c r="C656" s="403"/>
      <c r="D656" s="198"/>
      <c r="E656" s="403"/>
      <c r="F656" s="198"/>
      <c r="G656" s="403"/>
      <c r="H656" s="198"/>
      <c r="I656" s="410"/>
      <c r="J656" s="142"/>
      <c r="K656" s="410"/>
      <c r="L656" s="142"/>
      <c r="M656" s="403"/>
      <c r="N656" s="198"/>
      <c r="O656" s="403"/>
      <c r="P656" s="198"/>
      <c r="Q656" s="438"/>
      <c r="R656" s="438"/>
      <c r="S656" s="403"/>
      <c r="T656" s="198"/>
      <c r="U656" s="403"/>
      <c r="V656" s="19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03"/>
      <c r="B657" s="198"/>
      <c r="C657" s="403"/>
      <c r="D657" s="198"/>
      <c r="E657" s="403"/>
      <c r="F657" s="198"/>
      <c r="G657" s="403"/>
      <c r="H657" s="198"/>
      <c r="I657" s="410"/>
      <c r="J657" s="142"/>
      <c r="K657" s="410"/>
      <c r="L657" s="142"/>
      <c r="M657" s="403"/>
      <c r="N657" s="198"/>
      <c r="O657" s="403"/>
      <c r="P657" s="198"/>
      <c r="Q657" s="438"/>
      <c r="R657" s="438"/>
      <c r="S657" s="403"/>
      <c r="T657" s="198"/>
      <c r="U657" s="403"/>
      <c r="V657" s="19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03"/>
      <c r="B658" s="198"/>
      <c r="C658" s="403"/>
      <c r="D658" s="198"/>
      <c r="E658" s="403"/>
      <c r="F658" s="198"/>
      <c r="G658" s="403"/>
      <c r="H658" s="198"/>
      <c r="I658" s="410"/>
      <c r="J658" s="142"/>
      <c r="K658" s="410"/>
      <c r="L658" s="142"/>
      <c r="M658" s="403"/>
      <c r="N658" s="198"/>
      <c r="O658" s="403"/>
      <c r="P658" s="198"/>
      <c r="Q658" s="438"/>
      <c r="R658" s="438"/>
      <c r="S658" s="403"/>
      <c r="T658" s="198"/>
      <c r="U658" s="403"/>
      <c r="V658" s="19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03"/>
      <c r="B659" s="198"/>
      <c r="C659" s="403"/>
      <c r="D659" s="198"/>
      <c r="E659" s="403"/>
      <c r="F659" s="198"/>
      <c r="G659" s="403"/>
      <c r="H659" s="198"/>
      <c r="I659" s="410"/>
      <c r="J659" s="142"/>
      <c r="K659" s="410"/>
      <c r="L659" s="142"/>
      <c r="M659" s="403"/>
      <c r="N659" s="198"/>
      <c r="O659" s="403"/>
      <c r="P659" s="198"/>
      <c r="Q659" s="438"/>
      <c r="R659" s="438"/>
      <c r="S659" s="403"/>
      <c r="T659" s="198"/>
      <c r="U659" s="403"/>
      <c r="V659" s="19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03"/>
      <c r="B660" s="198"/>
      <c r="C660" s="403"/>
      <c r="D660" s="198"/>
      <c r="E660" s="403"/>
      <c r="F660" s="198"/>
      <c r="G660" s="403"/>
      <c r="H660" s="198"/>
      <c r="I660" s="410"/>
      <c r="J660" s="142"/>
      <c r="K660" s="410"/>
      <c r="L660" s="142"/>
      <c r="M660" s="403"/>
      <c r="N660" s="198"/>
      <c r="O660" s="403"/>
      <c r="P660" s="198"/>
      <c r="Q660" s="438"/>
      <c r="R660" s="438"/>
      <c r="S660" s="403"/>
      <c r="T660" s="198"/>
      <c r="U660" s="403"/>
      <c r="V660" s="19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03"/>
      <c r="B661" s="198"/>
      <c r="C661" s="403"/>
      <c r="D661" s="198"/>
      <c r="E661" s="403"/>
      <c r="F661" s="198"/>
      <c r="G661" s="403"/>
      <c r="H661" s="198"/>
      <c r="I661" s="410"/>
      <c r="J661" s="142"/>
      <c r="K661" s="410"/>
      <c r="L661" s="142"/>
      <c r="M661" s="403"/>
      <c r="N661" s="198"/>
      <c r="O661" s="403"/>
      <c r="P661" s="198"/>
      <c r="Q661" s="438"/>
      <c r="R661" s="438"/>
      <c r="S661" s="403"/>
      <c r="T661" s="198"/>
      <c r="U661" s="403"/>
      <c r="V661" s="19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03"/>
      <c r="B662" s="198"/>
      <c r="C662" s="403"/>
      <c r="D662" s="198"/>
      <c r="E662" s="403"/>
      <c r="F662" s="198"/>
      <c r="G662" s="403"/>
      <c r="H662" s="198"/>
      <c r="I662" s="410"/>
      <c r="J662" s="142"/>
      <c r="K662" s="410"/>
      <c r="L662" s="142"/>
      <c r="M662" s="403"/>
      <c r="N662" s="198"/>
      <c r="O662" s="403"/>
      <c r="P662" s="198"/>
      <c r="Q662" s="438"/>
      <c r="R662" s="438"/>
      <c r="S662" s="403"/>
      <c r="T662" s="198"/>
      <c r="U662" s="403"/>
      <c r="V662" s="19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03"/>
      <c r="B663" s="198"/>
      <c r="C663" s="403"/>
      <c r="D663" s="198"/>
      <c r="E663" s="403"/>
      <c r="F663" s="198"/>
      <c r="G663" s="403"/>
      <c r="H663" s="198"/>
      <c r="I663" s="410"/>
      <c r="J663" s="142"/>
      <c r="K663" s="410"/>
      <c r="L663" s="142"/>
      <c r="M663" s="403"/>
      <c r="N663" s="198"/>
      <c r="O663" s="403"/>
      <c r="P663" s="198"/>
      <c r="Q663" s="438"/>
      <c r="R663" s="438"/>
      <c r="S663" s="403"/>
      <c r="T663" s="198"/>
      <c r="U663" s="403"/>
      <c r="V663" s="19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03"/>
      <c r="B664" s="198"/>
      <c r="C664" s="403"/>
      <c r="D664" s="198"/>
      <c r="E664" s="403"/>
      <c r="F664" s="198"/>
      <c r="G664" s="403"/>
      <c r="H664" s="198"/>
      <c r="I664" s="410"/>
      <c r="J664" s="142"/>
      <c r="K664" s="410"/>
      <c r="L664" s="142"/>
      <c r="M664" s="403"/>
      <c r="N664" s="198"/>
      <c r="O664" s="403"/>
      <c r="P664" s="198"/>
      <c r="Q664" s="438"/>
      <c r="R664" s="438"/>
      <c r="S664" s="403"/>
      <c r="T664" s="198"/>
      <c r="U664" s="403"/>
      <c r="V664" s="19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03"/>
      <c r="B665" s="198"/>
      <c r="C665" s="403"/>
      <c r="D665" s="198"/>
      <c r="E665" s="403"/>
      <c r="F665" s="198"/>
      <c r="G665" s="403"/>
      <c r="H665" s="198"/>
      <c r="I665" s="410"/>
      <c r="J665" s="142"/>
      <c r="K665" s="410"/>
      <c r="L665" s="142"/>
      <c r="M665" s="403"/>
      <c r="N665" s="198"/>
      <c r="O665" s="403"/>
      <c r="P665" s="198"/>
      <c r="Q665" s="438"/>
      <c r="R665" s="438"/>
      <c r="S665" s="403"/>
      <c r="T665" s="198"/>
      <c r="U665" s="403"/>
      <c r="V665" s="19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03"/>
      <c r="B666" s="198"/>
      <c r="C666" s="403"/>
      <c r="D666" s="198"/>
      <c r="E666" s="403"/>
      <c r="F666" s="198"/>
      <c r="G666" s="403"/>
      <c r="H666" s="198"/>
      <c r="I666" s="410"/>
      <c r="J666" s="142"/>
      <c r="K666" s="410"/>
      <c r="L666" s="142"/>
      <c r="M666" s="403"/>
      <c r="N666" s="198"/>
      <c r="O666" s="403"/>
      <c r="P666" s="198"/>
      <c r="Q666" s="438"/>
      <c r="R666" s="438"/>
      <c r="S666" s="403"/>
      <c r="T666" s="198"/>
      <c r="U666" s="403"/>
      <c r="V666" s="19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03"/>
      <c r="B667" s="198"/>
      <c r="C667" s="403"/>
      <c r="D667" s="198"/>
      <c r="E667" s="403"/>
      <c r="F667" s="198"/>
      <c r="G667" s="403"/>
      <c r="H667" s="198"/>
      <c r="I667" s="410"/>
      <c r="J667" s="142"/>
      <c r="K667" s="410"/>
      <c r="L667" s="142"/>
      <c r="M667" s="403"/>
      <c r="N667" s="198"/>
      <c r="O667" s="403"/>
      <c r="P667" s="198"/>
      <c r="Q667" s="438"/>
      <c r="R667" s="438"/>
      <c r="S667" s="403"/>
      <c r="T667" s="198"/>
      <c r="U667" s="403"/>
      <c r="V667" s="19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03"/>
      <c r="B668" s="198"/>
      <c r="C668" s="403"/>
      <c r="D668" s="198"/>
      <c r="E668" s="403"/>
      <c r="F668" s="198"/>
      <c r="G668" s="403"/>
      <c r="H668" s="198"/>
      <c r="I668" s="410"/>
      <c r="J668" s="142"/>
      <c r="K668" s="410"/>
      <c r="L668" s="142"/>
      <c r="M668" s="403"/>
      <c r="N668" s="198"/>
      <c r="O668" s="403"/>
      <c r="P668" s="198"/>
      <c r="Q668" s="438"/>
      <c r="R668" s="438"/>
      <c r="S668" s="403"/>
      <c r="T668" s="198"/>
      <c r="U668" s="403"/>
      <c r="V668" s="19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03"/>
      <c r="B669" s="198"/>
      <c r="C669" s="403"/>
      <c r="D669" s="198"/>
      <c r="E669" s="403"/>
      <c r="F669" s="198"/>
      <c r="G669" s="403"/>
      <c r="H669" s="198"/>
      <c r="I669" s="410"/>
      <c r="J669" s="142"/>
      <c r="K669" s="410"/>
      <c r="L669" s="142"/>
      <c r="M669" s="403"/>
      <c r="N669" s="198"/>
      <c r="O669" s="403"/>
      <c r="P669" s="198"/>
      <c r="Q669" s="438"/>
      <c r="R669" s="438"/>
      <c r="S669" s="403"/>
      <c r="T669" s="198"/>
      <c r="U669" s="403"/>
      <c r="V669" s="19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03"/>
      <c r="B670" s="198"/>
      <c r="C670" s="403"/>
      <c r="D670" s="198"/>
      <c r="E670" s="403"/>
      <c r="F670" s="198"/>
      <c r="G670" s="403"/>
      <c r="H670" s="198"/>
      <c r="I670" s="410"/>
      <c r="J670" s="142"/>
      <c r="K670" s="410"/>
      <c r="L670" s="142"/>
      <c r="M670" s="403"/>
      <c r="N670" s="198"/>
      <c r="O670" s="403"/>
      <c r="P670" s="198"/>
      <c r="Q670" s="438"/>
      <c r="R670" s="438"/>
      <c r="S670" s="403"/>
      <c r="T670" s="198"/>
      <c r="U670" s="403"/>
      <c r="V670" s="19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03"/>
      <c r="B671" s="198"/>
      <c r="C671" s="403"/>
      <c r="D671" s="198"/>
      <c r="E671" s="403"/>
      <c r="F671" s="198"/>
      <c r="G671" s="403"/>
      <c r="H671" s="198"/>
      <c r="I671" s="410"/>
      <c r="J671" s="142"/>
      <c r="K671" s="410"/>
      <c r="L671" s="142"/>
      <c r="M671" s="403"/>
      <c r="N671" s="198"/>
      <c r="O671" s="403"/>
      <c r="P671" s="198"/>
      <c r="Q671" s="438"/>
      <c r="R671" s="438"/>
      <c r="S671" s="403"/>
      <c r="T671" s="198"/>
      <c r="U671" s="403"/>
      <c r="V671" s="19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03"/>
      <c r="B672" s="198"/>
      <c r="C672" s="403"/>
      <c r="D672" s="198"/>
      <c r="E672" s="403"/>
      <c r="F672" s="198"/>
      <c r="G672" s="403"/>
      <c r="H672" s="198"/>
      <c r="I672" s="410"/>
      <c r="J672" s="142"/>
      <c r="K672" s="410"/>
      <c r="L672" s="142"/>
      <c r="M672" s="403"/>
      <c r="N672" s="198"/>
      <c r="O672" s="403"/>
      <c r="P672" s="198"/>
      <c r="Q672" s="438"/>
      <c r="R672" s="438"/>
      <c r="S672" s="403"/>
      <c r="T672" s="198"/>
      <c r="U672" s="403"/>
      <c r="V672" s="19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03"/>
      <c r="B673" s="198"/>
      <c r="C673" s="403"/>
      <c r="D673" s="198"/>
      <c r="E673" s="403"/>
      <c r="F673" s="198"/>
      <c r="G673" s="403"/>
      <c r="H673" s="198"/>
      <c r="I673" s="410"/>
      <c r="J673" s="142"/>
      <c r="K673" s="410"/>
      <c r="L673" s="142"/>
      <c r="M673" s="403"/>
      <c r="N673" s="198"/>
      <c r="O673" s="403"/>
      <c r="P673" s="198"/>
      <c r="Q673" s="438"/>
      <c r="R673" s="438"/>
      <c r="S673" s="403"/>
      <c r="T673" s="198"/>
      <c r="U673" s="403"/>
      <c r="V673" s="19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03"/>
      <c r="B674" s="198"/>
      <c r="C674" s="403"/>
      <c r="D674" s="198"/>
      <c r="E674" s="403"/>
      <c r="F674" s="198"/>
      <c r="G674" s="403"/>
      <c r="H674" s="198"/>
      <c r="I674" s="410"/>
      <c r="J674" s="142"/>
      <c r="K674" s="410"/>
      <c r="L674" s="142"/>
      <c r="M674" s="403"/>
      <c r="N674" s="198"/>
      <c r="O674" s="403"/>
      <c r="P674" s="198"/>
      <c r="Q674" s="438"/>
      <c r="R674" s="438"/>
      <c r="S674" s="403"/>
      <c r="T674" s="198"/>
      <c r="U674" s="403"/>
      <c r="V674" s="19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03"/>
      <c r="B675" s="198"/>
      <c r="C675" s="403"/>
      <c r="D675" s="198"/>
      <c r="E675" s="403"/>
      <c r="F675" s="198"/>
      <c r="G675" s="403"/>
      <c r="H675" s="198"/>
      <c r="I675" s="410"/>
      <c r="J675" s="142"/>
      <c r="K675" s="410"/>
      <c r="L675" s="142"/>
      <c r="M675" s="403"/>
      <c r="N675" s="198"/>
      <c r="O675" s="403"/>
      <c r="P675" s="198"/>
      <c r="Q675" s="438"/>
      <c r="R675" s="438"/>
      <c r="S675" s="403"/>
      <c r="T675" s="198"/>
      <c r="U675" s="403"/>
      <c r="V675" s="19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03"/>
      <c r="B676" s="198"/>
      <c r="C676" s="403"/>
      <c r="D676" s="198"/>
      <c r="E676" s="403"/>
      <c r="F676" s="198"/>
      <c r="G676" s="403"/>
      <c r="H676" s="198"/>
      <c r="I676" s="410"/>
      <c r="J676" s="142"/>
      <c r="K676" s="410"/>
      <c r="L676" s="142"/>
      <c r="M676" s="403"/>
      <c r="N676" s="198"/>
      <c r="O676" s="403"/>
      <c r="P676" s="198"/>
      <c r="Q676" s="438"/>
      <c r="R676" s="438"/>
      <c r="S676" s="403"/>
      <c r="T676" s="198"/>
      <c r="U676" s="403"/>
      <c r="V676" s="19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03"/>
      <c r="B677" s="198"/>
      <c r="C677" s="403"/>
      <c r="D677" s="198"/>
      <c r="E677" s="403"/>
      <c r="F677" s="198"/>
      <c r="G677" s="403"/>
      <c r="H677" s="198"/>
      <c r="I677" s="410"/>
      <c r="J677" s="142"/>
      <c r="K677" s="410"/>
      <c r="L677" s="142"/>
      <c r="M677" s="403"/>
      <c r="N677" s="198"/>
      <c r="O677" s="403"/>
      <c r="P677" s="198"/>
      <c r="Q677" s="438"/>
      <c r="R677" s="438"/>
      <c r="S677" s="403"/>
      <c r="T677" s="198"/>
      <c r="U677" s="403"/>
      <c r="V677" s="19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03"/>
      <c r="B678" s="198"/>
      <c r="C678" s="403"/>
      <c r="D678" s="198"/>
      <c r="E678" s="403"/>
      <c r="F678" s="198"/>
      <c r="G678" s="403"/>
      <c r="H678" s="198"/>
      <c r="I678" s="410"/>
      <c r="J678" s="142"/>
      <c r="K678" s="410"/>
      <c r="L678" s="142"/>
      <c r="M678" s="403"/>
      <c r="N678" s="198"/>
      <c r="O678" s="403"/>
      <c r="P678" s="198"/>
      <c r="Q678" s="438"/>
      <c r="R678" s="438"/>
      <c r="S678" s="403"/>
      <c r="T678" s="198"/>
      <c r="U678" s="403"/>
      <c r="V678" s="19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03"/>
      <c r="B679" s="198"/>
      <c r="C679" s="403"/>
      <c r="D679" s="198"/>
      <c r="E679" s="403"/>
      <c r="F679" s="198"/>
      <c r="G679" s="403"/>
      <c r="H679" s="198"/>
      <c r="I679" s="410"/>
      <c r="J679" s="142"/>
      <c r="K679" s="410"/>
      <c r="L679" s="142"/>
      <c r="M679" s="403"/>
      <c r="N679" s="198"/>
      <c r="O679" s="403"/>
      <c r="P679" s="198"/>
      <c r="Q679" s="438"/>
      <c r="R679" s="438"/>
      <c r="S679" s="403"/>
      <c r="T679" s="198"/>
      <c r="U679" s="403"/>
      <c r="V679" s="19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03"/>
      <c r="B680" s="198"/>
      <c r="C680" s="403"/>
      <c r="D680" s="198"/>
      <c r="E680" s="403"/>
      <c r="F680" s="198"/>
      <c r="G680" s="403"/>
      <c r="H680" s="198"/>
      <c r="I680" s="410"/>
      <c r="J680" s="142"/>
      <c r="K680" s="410"/>
      <c r="L680" s="142"/>
      <c r="M680" s="403"/>
      <c r="N680" s="198"/>
      <c r="O680" s="403"/>
      <c r="P680" s="198"/>
      <c r="Q680" s="438"/>
      <c r="R680" s="438"/>
      <c r="S680" s="403"/>
      <c r="T680" s="198"/>
      <c r="U680" s="403"/>
      <c r="V680" s="19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03"/>
      <c r="B681" s="198"/>
      <c r="C681" s="403"/>
      <c r="D681" s="198"/>
      <c r="E681" s="403"/>
      <c r="F681" s="198"/>
      <c r="G681" s="403"/>
      <c r="H681" s="198"/>
      <c r="I681" s="410"/>
      <c r="J681" s="142"/>
      <c r="K681" s="410"/>
      <c r="L681" s="142"/>
      <c r="M681" s="403"/>
      <c r="N681" s="198"/>
      <c r="O681" s="403"/>
      <c r="P681" s="198"/>
      <c r="Q681" s="438"/>
      <c r="R681" s="438"/>
      <c r="S681" s="403"/>
      <c r="T681" s="198"/>
      <c r="U681" s="403"/>
      <c r="V681" s="19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03"/>
      <c r="B682" s="198"/>
      <c r="C682" s="403"/>
      <c r="D682" s="198"/>
      <c r="E682" s="403"/>
      <c r="F682" s="198"/>
      <c r="G682" s="403"/>
      <c r="H682" s="198"/>
      <c r="I682" s="410"/>
      <c r="J682" s="142"/>
      <c r="K682" s="410"/>
      <c r="L682" s="142"/>
      <c r="M682" s="403"/>
      <c r="N682" s="198"/>
      <c r="O682" s="403"/>
      <c r="P682" s="198"/>
      <c r="Q682" s="438"/>
      <c r="R682" s="438"/>
      <c r="S682" s="403"/>
      <c r="T682" s="198"/>
      <c r="U682" s="403"/>
      <c r="V682" s="19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03"/>
      <c r="B683" s="198"/>
      <c r="C683" s="403"/>
      <c r="D683" s="198"/>
      <c r="E683" s="403"/>
      <c r="F683" s="198"/>
      <c r="G683" s="403"/>
      <c r="H683" s="198"/>
      <c r="I683" s="410"/>
      <c r="J683" s="142"/>
      <c r="K683" s="410"/>
      <c r="L683" s="142"/>
      <c r="M683" s="403"/>
      <c r="N683" s="198"/>
      <c r="O683" s="403"/>
      <c r="P683" s="198"/>
      <c r="Q683" s="438"/>
      <c r="R683" s="438"/>
      <c r="S683" s="403"/>
      <c r="T683" s="198"/>
      <c r="U683" s="403"/>
      <c r="V683" s="19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03"/>
      <c r="B684" s="198"/>
      <c r="C684" s="403"/>
      <c r="D684" s="198"/>
      <c r="E684" s="403"/>
      <c r="F684" s="198"/>
      <c r="G684" s="403"/>
      <c r="H684" s="198"/>
      <c r="I684" s="410"/>
      <c r="J684" s="142"/>
      <c r="K684" s="410"/>
      <c r="L684" s="142"/>
      <c r="M684" s="403"/>
      <c r="N684" s="198"/>
      <c r="O684" s="403"/>
      <c r="P684" s="198"/>
      <c r="Q684" s="438"/>
      <c r="R684" s="438"/>
      <c r="S684" s="403"/>
      <c r="T684" s="198"/>
      <c r="U684" s="403"/>
      <c r="V684" s="19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03"/>
      <c r="B685" s="198"/>
      <c r="C685" s="403"/>
      <c r="D685" s="198"/>
      <c r="E685" s="403"/>
      <c r="F685" s="198"/>
      <c r="G685" s="403"/>
      <c r="H685" s="198"/>
      <c r="I685" s="410"/>
      <c r="J685" s="142"/>
      <c r="K685" s="410"/>
      <c r="L685" s="142"/>
      <c r="M685" s="403"/>
      <c r="N685" s="198"/>
      <c r="O685" s="403"/>
      <c r="P685" s="198"/>
      <c r="Q685" s="438"/>
      <c r="R685" s="438"/>
      <c r="S685" s="403"/>
      <c r="T685" s="198"/>
      <c r="U685" s="403"/>
      <c r="V685" s="19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03"/>
      <c r="B686" s="198"/>
      <c r="C686" s="403"/>
      <c r="D686" s="198"/>
      <c r="E686" s="403"/>
      <c r="F686" s="198"/>
      <c r="G686" s="403"/>
      <c r="H686" s="198"/>
      <c r="I686" s="410"/>
      <c r="J686" s="142"/>
      <c r="K686" s="410"/>
      <c r="L686" s="142"/>
      <c r="M686" s="403"/>
      <c r="N686" s="198"/>
      <c r="O686" s="403"/>
      <c r="P686" s="198"/>
      <c r="Q686" s="438"/>
      <c r="R686" s="438"/>
      <c r="S686" s="403"/>
      <c r="T686" s="198"/>
      <c r="U686" s="403"/>
      <c r="V686" s="19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03"/>
      <c r="B687" s="198"/>
      <c r="C687" s="403"/>
      <c r="D687" s="198"/>
      <c r="E687" s="403"/>
      <c r="F687" s="198"/>
      <c r="G687" s="403"/>
      <c r="H687" s="198"/>
      <c r="I687" s="410"/>
      <c r="J687" s="142"/>
      <c r="K687" s="410"/>
      <c r="L687" s="142"/>
      <c r="M687" s="403"/>
      <c r="N687" s="198"/>
      <c r="O687" s="403"/>
      <c r="P687" s="198"/>
      <c r="Q687" s="438"/>
      <c r="R687" s="438"/>
      <c r="S687" s="403"/>
      <c r="T687" s="198"/>
      <c r="U687" s="403"/>
      <c r="V687" s="19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03"/>
      <c r="B688" s="198"/>
      <c r="C688" s="403"/>
      <c r="D688" s="198"/>
      <c r="E688" s="403"/>
      <c r="F688" s="198"/>
      <c r="G688" s="403"/>
      <c r="H688" s="198"/>
      <c r="I688" s="410"/>
      <c r="J688" s="142"/>
      <c r="K688" s="410"/>
      <c r="L688" s="142"/>
      <c r="M688" s="403"/>
      <c r="N688" s="198"/>
      <c r="O688" s="403"/>
      <c r="P688" s="198"/>
      <c r="Q688" s="438"/>
      <c r="R688" s="438"/>
      <c r="S688" s="403"/>
      <c r="T688" s="198"/>
      <c r="U688" s="403"/>
      <c r="V688" s="19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03"/>
      <c r="B689" s="198"/>
      <c r="C689" s="403"/>
      <c r="D689" s="198"/>
      <c r="E689" s="403"/>
      <c r="F689" s="198"/>
      <c r="G689" s="403"/>
      <c r="H689" s="198"/>
      <c r="I689" s="410"/>
      <c r="J689" s="142"/>
      <c r="K689" s="410"/>
      <c r="L689" s="142"/>
      <c r="M689" s="403"/>
      <c r="N689" s="198"/>
      <c r="O689" s="403"/>
      <c r="P689" s="198"/>
      <c r="Q689" s="438"/>
      <c r="R689" s="438"/>
      <c r="S689" s="403"/>
      <c r="T689" s="198"/>
      <c r="U689" s="403"/>
      <c r="V689" s="19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03"/>
      <c r="B690" s="198"/>
      <c r="C690" s="403"/>
      <c r="D690" s="198"/>
      <c r="E690" s="403"/>
      <c r="F690" s="198"/>
      <c r="G690" s="403"/>
      <c r="H690" s="198"/>
      <c r="I690" s="410"/>
      <c r="J690" s="142"/>
      <c r="K690" s="410"/>
      <c r="L690" s="142"/>
      <c r="M690" s="403"/>
      <c r="N690" s="198"/>
      <c r="O690" s="403"/>
      <c r="P690" s="198"/>
      <c r="Q690" s="438"/>
      <c r="R690" s="438"/>
      <c r="S690" s="403"/>
      <c r="T690" s="198"/>
      <c r="U690" s="403"/>
      <c r="V690" s="19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03"/>
      <c r="B691" s="198"/>
      <c r="C691" s="403"/>
      <c r="D691" s="198"/>
      <c r="E691" s="403"/>
      <c r="F691" s="198"/>
      <c r="G691" s="403"/>
      <c r="H691" s="198"/>
      <c r="I691" s="410"/>
      <c r="J691" s="142"/>
      <c r="K691" s="410"/>
      <c r="L691" s="142"/>
      <c r="M691" s="403"/>
      <c r="N691" s="198"/>
      <c r="O691" s="403"/>
      <c r="P691" s="198"/>
      <c r="Q691" s="438"/>
      <c r="R691" s="438"/>
      <c r="S691" s="403"/>
      <c r="T691" s="198"/>
      <c r="U691" s="403"/>
      <c r="V691" s="19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03"/>
      <c r="B692" s="198"/>
      <c r="C692" s="403"/>
      <c r="D692" s="198"/>
      <c r="E692" s="403"/>
      <c r="F692" s="198"/>
      <c r="G692" s="403"/>
      <c r="H692" s="198"/>
      <c r="I692" s="410"/>
      <c r="J692" s="142"/>
      <c r="K692" s="410"/>
      <c r="L692" s="142"/>
      <c r="M692" s="403"/>
      <c r="N692" s="198"/>
      <c r="O692" s="403"/>
      <c r="P692" s="198"/>
      <c r="Q692" s="438"/>
      <c r="R692" s="438"/>
      <c r="S692" s="403"/>
      <c r="T692" s="198"/>
      <c r="U692" s="403"/>
      <c r="V692" s="19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03"/>
      <c r="B693" s="198"/>
      <c r="C693" s="403"/>
      <c r="D693" s="198"/>
      <c r="E693" s="403"/>
      <c r="F693" s="198"/>
      <c r="G693" s="403"/>
      <c r="H693" s="198"/>
      <c r="I693" s="410"/>
      <c r="J693" s="142"/>
      <c r="K693" s="410"/>
      <c r="L693" s="142"/>
      <c r="M693" s="403"/>
      <c r="N693" s="198"/>
      <c r="O693" s="403"/>
      <c r="P693" s="198"/>
      <c r="Q693" s="438"/>
      <c r="R693" s="438"/>
      <c r="S693" s="403"/>
      <c r="T693" s="198"/>
      <c r="U693" s="403"/>
      <c r="V693" s="19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03"/>
      <c r="B694" s="198"/>
      <c r="C694" s="403"/>
      <c r="D694" s="198"/>
      <c r="E694" s="403"/>
      <c r="F694" s="198"/>
      <c r="G694" s="403"/>
      <c r="H694" s="198"/>
      <c r="I694" s="410"/>
      <c r="J694" s="142"/>
      <c r="K694" s="410"/>
      <c r="L694" s="142"/>
      <c r="M694" s="403"/>
      <c r="N694" s="198"/>
      <c r="O694" s="403"/>
      <c r="P694" s="198"/>
      <c r="Q694" s="438"/>
      <c r="R694" s="438"/>
      <c r="S694" s="403"/>
      <c r="T694" s="198"/>
      <c r="U694" s="403"/>
      <c r="V694" s="19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03"/>
      <c r="B695" s="198"/>
      <c r="C695" s="403"/>
      <c r="D695" s="198"/>
      <c r="E695" s="403"/>
      <c r="F695" s="198"/>
      <c r="G695" s="403"/>
      <c r="H695" s="198"/>
      <c r="I695" s="410"/>
      <c r="J695" s="142"/>
      <c r="K695" s="410"/>
      <c r="L695" s="142"/>
      <c r="M695" s="403"/>
      <c r="N695" s="198"/>
      <c r="O695" s="403"/>
      <c r="P695" s="198"/>
      <c r="Q695" s="438"/>
      <c r="R695" s="438"/>
      <c r="S695" s="403"/>
      <c r="T695" s="198"/>
      <c r="U695" s="403"/>
      <c r="V695" s="19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03"/>
      <c r="B696" s="198"/>
      <c r="C696" s="403"/>
      <c r="D696" s="198"/>
      <c r="E696" s="403"/>
      <c r="F696" s="198"/>
      <c r="G696" s="403"/>
      <c r="H696" s="198"/>
      <c r="I696" s="410"/>
      <c r="J696" s="142"/>
      <c r="K696" s="410"/>
      <c r="L696" s="142"/>
      <c r="M696" s="403"/>
      <c r="N696" s="198"/>
      <c r="O696" s="403"/>
      <c r="P696" s="198"/>
      <c r="Q696" s="438"/>
      <c r="R696" s="438"/>
      <c r="S696" s="403"/>
      <c r="T696" s="198"/>
      <c r="U696" s="403"/>
      <c r="V696" s="19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03"/>
      <c r="B697" s="198"/>
      <c r="C697" s="403"/>
      <c r="D697" s="198"/>
      <c r="E697" s="403"/>
      <c r="F697" s="198"/>
      <c r="G697" s="403"/>
      <c r="H697" s="198"/>
      <c r="I697" s="410"/>
      <c r="J697" s="142"/>
      <c r="K697" s="410"/>
      <c r="L697" s="142"/>
      <c r="M697" s="403"/>
      <c r="N697" s="198"/>
      <c r="O697" s="403"/>
      <c r="P697" s="198"/>
      <c r="Q697" s="438"/>
      <c r="R697" s="438"/>
      <c r="S697" s="403"/>
      <c r="T697" s="198"/>
      <c r="U697" s="403"/>
      <c r="V697" s="19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03"/>
      <c r="B698" s="198"/>
      <c r="C698" s="403"/>
      <c r="D698" s="198"/>
      <c r="E698" s="403"/>
      <c r="F698" s="198"/>
      <c r="G698" s="403"/>
      <c r="H698" s="198"/>
      <c r="I698" s="410"/>
      <c r="J698" s="142"/>
      <c r="K698" s="410"/>
      <c r="L698" s="142"/>
      <c r="M698" s="403"/>
      <c r="N698" s="198"/>
      <c r="O698" s="403"/>
      <c r="P698" s="198"/>
      <c r="Q698" s="438"/>
      <c r="R698" s="438"/>
      <c r="S698" s="403"/>
      <c r="T698" s="198"/>
      <c r="U698" s="403"/>
      <c r="V698" s="19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03"/>
      <c r="B699" s="198"/>
      <c r="C699" s="403"/>
      <c r="D699" s="198"/>
      <c r="E699" s="403"/>
      <c r="F699" s="198"/>
      <c r="G699" s="403"/>
      <c r="H699" s="198"/>
      <c r="I699" s="410"/>
      <c r="J699" s="142"/>
      <c r="K699" s="410"/>
      <c r="L699" s="142"/>
      <c r="M699" s="403"/>
      <c r="N699" s="198"/>
      <c r="O699" s="403"/>
      <c r="P699" s="198"/>
      <c r="Q699" s="438"/>
      <c r="R699" s="438"/>
      <c r="S699" s="403"/>
      <c r="T699" s="198"/>
      <c r="U699" s="403"/>
      <c r="V699" s="19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03"/>
      <c r="B700" s="198"/>
      <c r="C700" s="403"/>
      <c r="D700" s="198"/>
      <c r="E700" s="403"/>
      <c r="F700" s="198"/>
      <c r="G700" s="403"/>
      <c r="H700" s="198"/>
      <c r="I700" s="410"/>
      <c r="J700" s="142"/>
      <c r="K700" s="410"/>
      <c r="L700" s="142"/>
      <c r="M700" s="403"/>
      <c r="N700" s="198"/>
      <c r="O700" s="403"/>
      <c r="P700" s="198"/>
      <c r="Q700" s="438"/>
      <c r="R700" s="438"/>
      <c r="S700" s="403"/>
      <c r="T700" s="198"/>
      <c r="U700" s="403"/>
      <c r="V700" s="19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03"/>
      <c r="B701" s="198"/>
      <c r="C701" s="403"/>
      <c r="D701" s="198"/>
      <c r="E701" s="403"/>
      <c r="F701" s="198"/>
      <c r="G701" s="403"/>
      <c r="H701" s="198"/>
      <c r="I701" s="410"/>
      <c r="J701" s="142"/>
      <c r="K701" s="410"/>
      <c r="L701" s="142"/>
      <c r="M701" s="403"/>
      <c r="N701" s="198"/>
      <c r="O701" s="403"/>
      <c r="P701" s="198"/>
      <c r="Q701" s="438"/>
      <c r="R701" s="438"/>
      <c r="S701" s="403"/>
      <c r="T701" s="198"/>
      <c r="U701" s="403"/>
      <c r="V701" s="19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03"/>
      <c r="B702" s="198"/>
      <c r="C702" s="403"/>
      <c r="D702" s="198"/>
      <c r="E702" s="403"/>
      <c r="F702" s="198"/>
      <c r="G702" s="403"/>
      <c r="H702" s="198"/>
      <c r="I702" s="410"/>
      <c r="J702" s="142"/>
      <c r="K702" s="410"/>
      <c r="L702" s="142"/>
      <c r="M702" s="403"/>
      <c r="N702" s="198"/>
      <c r="O702" s="403"/>
      <c r="P702" s="198"/>
      <c r="Q702" s="438"/>
      <c r="R702" s="438"/>
      <c r="S702" s="403"/>
      <c r="T702" s="198"/>
      <c r="U702" s="403"/>
      <c r="V702" s="19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03"/>
      <c r="B703" s="198"/>
      <c r="C703" s="403"/>
      <c r="D703" s="198"/>
      <c r="E703" s="403"/>
      <c r="F703" s="198"/>
      <c r="G703" s="403"/>
      <c r="H703" s="198"/>
      <c r="I703" s="410"/>
      <c r="J703" s="142"/>
      <c r="K703" s="410"/>
      <c r="L703" s="142"/>
      <c r="M703" s="403"/>
      <c r="N703" s="198"/>
      <c r="O703" s="403"/>
      <c r="P703" s="198"/>
      <c r="Q703" s="438"/>
      <c r="R703" s="438"/>
      <c r="S703" s="403"/>
      <c r="T703" s="198"/>
      <c r="U703" s="403"/>
      <c r="V703" s="19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03"/>
      <c r="B704" s="198"/>
      <c r="C704" s="403"/>
      <c r="D704" s="198"/>
      <c r="E704" s="403"/>
      <c r="F704" s="198"/>
      <c r="G704" s="403"/>
      <c r="H704" s="198"/>
      <c r="I704" s="410"/>
      <c r="J704" s="142"/>
      <c r="K704" s="410"/>
      <c r="L704" s="142"/>
      <c r="M704" s="403"/>
      <c r="N704" s="198"/>
      <c r="O704" s="403"/>
      <c r="P704" s="198"/>
      <c r="Q704" s="438"/>
      <c r="R704" s="438"/>
      <c r="S704" s="403"/>
      <c r="T704" s="198"/>
      <c r="U704" s="403"/>
      <c r="V704" s="19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03"/>
      <c r="B705" s="198"/>
      <c r="C705" s="403"/>
      <c r="D705" s="198"/>
      <c r="E705" s="403"/>
      <c r="F705" s="198"/>
      <c r="G705" s="403"/>
      <c r="H705" s="198"/>
      <c r="I705" s="410"/>
      <c r="J705" s="142"/>
      <c r="K705" s="410"/>
      <c r="L705" s="142"/>
      <c r="M705" s="403"/>
      <c r="N705" s="198"/>
      <c r="O705" s="403"/>
      <c r="P705" s="198"/>
      <c r="Q705" s="438"/>
      <c r="R705" s="438"/>
      <c r="S705" s="403"/>
      <c r="T705" s="198"/>
      <c r="U705" s="403"/>
      <c r="V705" s="19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03"/>
      <c r="B706" s="198"/>
      <c r="C706" s="403"/>
      <c r="D706" s="198"/>
      <c r="E706" s="403"/>
      <c r="F706" s="198"/>
      <c r="G706" s="403"/>
      <c r="H706" s="198"/>
      <c r="I706" s="410"/>
      <c r="J706" s="142"/>
      <c r="K706" s="410"/>
      <c r="L706" s="142"/>
      <c r="M706" s="403"/>
      <c r="N706" s="198"/>
      <c r="O706" s="403"/>
      <c r="P706" s="198"/>
      <c r="Q706" s="438"/>
      <c r="R706" s="438"/>
      <c r="S706" s="403"/>
      <c r="T706" s="198"/>
      <c r="U706" s="403"/>
      <c r="V706" s="19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03"/>
      <c r="B707" s="198"/>
      <c r="C707" s="403"/>
      <c r="D707" s="198"/>
      <c r="E707" s="403"/>
      <c r="F707" s="198"/>
      <c r="G707" s="403"/>
      <c r="H707" s="198"/>
      <c r="I707" s="410"/>
      <c r="J707" s="142"/>
      <c r="K707" s="410"/>
      <c r="L707" s="142"/>
      <c r="M707" s="403"/>
      <c r="N707" s="198"/>
      <c r="O707" s="403"/>
      <c r="P707" s="198"/>
      <c r="Q707" s="438"/>
      <c r="R707" s="438"/>
      <c r="S707" s="403"/>
      <c r="T707" s="198"/>
      <c r="U707" s="403"/>
      <c r="V707" s="19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03"/>
      <c r="B708" s="198"/>
      <c r="C708" s="403"/>
      <c r="D708" s="198"/>
      <c r="E708" s="403"/>
      <c r="F708" s="198"/>
      <c r="G708" s="403"/>
      <c r="H708" s="198"/>
      <c r="I708" s="410"/>
      <c r="J708" s="142"/>
      <c r="K708" s="410"/>
      <c r="L708" s="142"/>
      <c r="M708" s="403"/>
      <c r="N708" s="198"/>
      <c r="O708" s="403"/>
      <c r="P708" s="198"/>
      <c r="Q708" s="438"/>
      <c r="R708" s="438"/>
      <c r="S708" s="403"/>
      <c r="T708" s="198"/>
      <c r="U708" s="403"/>
      <c r="V708" s="19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03"/>
      <c r="B709" s="198"/>
      <c r="C709" s="403"/>
      <c r="D709" s="198"/>
      <c r="E709" s="403"/>
      <c r="F709" s="198"/>
      <c r="G709" s="403"/>
      <c r="H709" s="198"/>
      <c r="I709" s="410"/>
      <c r="J709" s="142"/>
      <c r="K709" s="410"/>
      <c r="L709" s="142"/>
      <c r="M709" s="403"/>
      <c r="N709" s="198"/>
      <c r="O709" s="403"/>
      <c r="P709" s="198"/>
      <c r="Q709" s="438"/>
      <c r="R709" s="438"/>
      <c r="S709" s="403"/>
      <c r="T709" s="198"/>
      <c r="U709" s="403"/>
      <c r="V709" s="19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03"/>
      <c r="B710" s="198"/>
      <c r="C710" s="403"/>
      <c r="D710" s="198"/>
      <c r="E710" s="403"/>
      <c r="F710" s="198"/>
      <c r="G710" s="403"/>
      <c r="H710" s="198"/>
      <c r="I710" s="410"/>
      <c r="J710" s="142"/>
      <c r="K710" s="410"/>
      <c r="L710" s="142"/>
      <c r="M710" s="403"/>
      <c r="N710" s="198"/>
      <c r="O710" s="403"/>
      <c r="P710" s="198"/>
      <c r="Q710" s="438"/>
      <c r="R710" s="438"/>
      <c r="S710" s="403"/>
      <c r="T710" s="198"/>
      <c r="U710" s="403"/>
      <c r="V710" s="19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03"/>
      <c r="B711" s="198"/>
      <c r="C711" s="403"/>
      <c r="D711" s="198"/>
      <c r="E711" s="403"/>
      <c r="F711" s="198"/>
      <c r="G711" s="403"/>
      <c r="H711" s="198"/>
      <c r="I711" s="410"/>
      <c r="J711" s="142"/>
      <c r="K711" s="410"/>
      <c r="L711" s="142"/>
      <c r="M711" s="403"/>
      <c r="N711" s="198"/>
      <c r="O711" s="403"/>
      <c r="P711" s="198"/>
      <c r="Q711" s="438"/>
      <c r="R711" s="438"/>
      <c r="S711" s="403"/>
      <c r="T711" s="198"/>
      <c r="U711" s="403"/>
      <c r="V711" s="19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03"/>
      <c r="B712" s="198"/>
      <c r="C712" s="403"/>
      <c r="D712" s="198"/>
      <c r="E712" s="403"/>
      <c r="F712" s="198"/>
      <c r="G712" s="403"/>
      <c r="H712" s="198"/>
      <c r="I712" s="410"/>
      <c r="J712" s="142"/>
      <c r="K712" s="410"/>
      <c r="L712" s="142"/>
      <c r="M712" s="403"/>
      <c r="N712" s="198"/>
      <c r="O712" s="403"/>
      <c r="P712" s="198"/>
      <c r="Q712" s="438"/>
      <c r="R712" s="438"/>
      <c r="S712" s="403"/>
      <c r="T712" s="198"/>
      <c r="U712" s="403"/>
      <c r="V712" s="19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03"/>
      <c r="B713" s="198"/>
      <c r="C713" s="403"/>
      <c r="D713" s="198"/>
      <c r="E713" s="403"/>
      <c r="F713" s="198"/>
      <c r="G713" s="403"/>
      <c r="H713" s="198"/>
      <c r="I713" s="410"/>
      <c r="J713" s="142"/>
      <c r="K713" s="410"/>
      <c r="L713" s="142"/>
      <c r="M713" s="403"/>
      <c r="N713" s="198"/>
      <c r="O713" s="403"/>
      <c r="P713" s="198"/>
      <c r="Q713" s="438"/>
      <c r="R713" s="438"/>
      <c r="S713" s="403"/>
      <c r="T713" s="198"/>
      <c r="U713" s="403"/>
      <c r="V713" s="19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03"/>
      <c r="B714" s="198"/>
      <c r="C714" s="403"/>
      <c r="D714" s="198"/>
      <c r="E714" s="403"/>
      <c r="F714" s="198"/>
      <c r="G714" s="403"/>
      <c r="H714" s="198"/>
      <c r="I714" s="410"/>
      <c r="J714" s="142"/>
      <c r="K714" s="410"/>
      <c r="L714" s="142"/>
      <c r="M714" s="403"/>
      <c r="N714" s="198"/>
      <c r="O714" s="403"/>
      <c r="P714" s="198"/>
      <c r="Q714" s="438"/>
      <c r="R714" s="438"/>
      <c r="S714" s="403"/>
      <c r="T714" s="198"/>
      <c r="U714" s="403"/>
      <c r="V714" s="19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03"/>
      <c r="B715" s="198"/>
      <c r="C715" s="403"/>
      <c r="D715" s="198"/>
      <c r="E715" s="403"/>
      <c r="F715" s="198"/>
      <c r="G715" s="403"/>
      <c r="H715" s="198"/>
      <c r="I715" s="410"/>
      <c r="J715" s="142"/>
      <c r="K715" s="410"/>
      <c r="L715" s="142"/>
      <c r="M715" s="403"/>
      <c r="N715" s="198"/>
      <c r="O715" s="403"/>
      <c r="P715" s="198"/>
      <c r="Q715" s="438"/>
      <c r="R715" s="438"/>
      <c r="S715" s="403"/>
      <c r="T715" s="198"/>
      <c r="U715" s="403"/>
      <c r="V715" s="19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03"/>
      <c r="B716" s="198"/>
      <c r="C716" s="403"/>
      <c r="D716" s="198"/>
      <c r="E716" s="403"/>
      <c r="F716" s="198"/>
      <c r="G716" s="403"/>
      <c r="H716" s="198"/>
      <c r="I716" s="410"/>
      <c r="J716" s="142"/>
      <c r="K716" s="410"/>
      <c r="L716" s="142"/>
      <c r="M716" s="403"/>
      <c r="N716" s="198"/>
      <c r="O716" s="403"/>
      <c r="P716" s="198"/>
      <c r="Q716" s="438"/>
      <c r="R716" s="438"/>
      <c r="S716" s="403"/>
      <c r="T716" s="198"/>
      <c r="U716" s="403"/>
      <c r="V716" s="19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03"/>
      <c r="B717" s="198"/>
      <c r="C717" s="403"/>
      <c r="D717" s="198"/>
      <c r="E717" s="403"/>
      <c r="F717" s="198"/>
      <c r="G717" s="403"/>
      <c r="H717" s="198"/>
      <c r="I717" s="410"/>
      <c r="J717" s="142"/>
      <c r="K717" s="410"/>
      <c r="L717" s="142"/>
      <c r="M717" s="403"/>
      <c r="N717" s="198"/>
      <c r="O717" s="403"/>
      <c r="P717" s="198"/>
      <c r="Q717" s="438"/>
      <c r="R717" s="438"/>
      <c r="S717" s="403"/>
      <c r="T717" s="198"/>
      <c r="U717" s="403"/>
      <c r="V717" s="19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03"/>
      <c r="B718" s="198"/>
      <c r="C718" s="403"/>
      <c r="D718" s="198"/>
      <c r="E718" s="403"/>
      <c r="F718" s="198"/>
      <c r="G718" s="403"/>
      <c r="H718" s="198"/>
      <c r="I718" s="410"/>
      <c r="J718" s="142"/>
      <c r="K718" s="410"/>
      <c r="L718" s="142"/>
      <c r="M718" s="403"/>
      <c r="N718" s="198"/>
      <c r="O718" s="403"/>
      <c r="P718" s="198"/>
      <c r="Q718" s="438"/>
      <c r="R718" s="438"/>
      <c r="S718" s="403"/>
      <c r="T718" s="198"/>
      <c r="U718" s="403"/>
      <c r="V718" s="19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03"/>
      <c r="B719" s="198"/>
      <c r="C719" s="403"/>
      <c r="D719" s="198"/>
      <c r="E719" s="403"/>
      <c r="F719" s="198"/>
      <c r="G719" s="403"/>
      <c r="H719" s="198"/>
      <c r="I719" s="410"/>
      <c r="J719" s="142"/>
      <c r="K719" s="410"/>
      <c r="L719" s="142"/>
      <c r="M719" s="403"/>
      <c r="N719" s="198"/>
      <c r="O719" s="403"/>
      <c r="P719" s="198"/>
      <c r="Q719" s="438"/>
      <c r="R719" s="438"/>
      <c r="S719" s="403"/>
      <c r="T719" s="198"/>
      <c r="U719" s="403"/>
      <c r="V719" s="19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03"/>
      <c r="B720" s="198"/>
      <c r="C720" s="403"/>
      <c r="D720" s="198"/>
      <c r="E720" s="403"/>
      <c r="F720" s="198"/>
      <c r="G720" s="403"/>
      <c r="H720" s="198"/>
      <c r="I720" s="410"/>
      <c r="J720" s="142"/>
      <c r="K720" s="410"/>
      <c r="L720" s="142"/>
      <c r="M720" s="403"/>
      <c r="N720" s="198"/>
      <c r="O720" s="403"/>
      <c r="P720" s="198"/>
      <c r="Q720" s="438"/>
      <c r="R720" s="438"/>
      <c r="S720" s="403"/>
      <c r="T720" s="198"/>
      <c r="U720" s="403"/>
      <c r="V720" s="19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03"/>
      <c r="B721" s="198"/>
      <c r="C721" s="403"/>
      <c r="D721" s="198"/>
      <c r="E721" s="403"/>
      <c r="F721" s="198"/>
      <c r="G721" s="403"/>
      <c r="H721" s="198"/>
      <c r="I721" s="410"/>
      <c r="J721" s="142"/>
      <c r="K721" s="410"/>
      <c r="L721" s="142"/>
      <c r="M721" s="403"/>
      <c r="N721" s="198"/>
      <c r="O721" s="403"/>
      <c r="P721" s="198"/>
      <c r="Q721" s="438"/>
      <c r="R721" s="438"/>
      <c r="S721" s="403"/>
      <c r="T721" s="198"/>
      <c r="U721" s="403"/>
      <c r="V721" s="19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03"/>
      <c r="B722" s="198"/>
      <c r="C722" s="403"/>
      <c r="D722" s="198"/>
      <c r="E722" s="403"/>
      <c r="F722" s="198"/>
      <c r="G722" s="403"/>
      <c r="H722" s="198"/>
      <c r="I722" s="410"/>
      <c r="J722" s="142"/>
      <c r="K722" s="410"/>
      <c r="L722" s="142"/>
      <c r="M722" s="403"/>
      <c r="N722" s="198"/>
      <c r="O722" s="403"/>
      <c r="P722" s="198"/>
      <c r="Q722" s="438"/>
      <c r="R722" s="438"/>
      <c r="S722" s="403"/>
      <c r="T722" s="198"/>
      <c r="U722" s="403"/>
      <c r="V722" s="19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03"/>
      <c r="B723" s="198"/>
      <c r="C723" s="403"/>
      <c r="D723" s="198"/>
      <c r="E723" s="403"/>
      <c r="F723" s="198"/>
      <c r="G723" s="403"/>
      <c r="H723" s="198"/>
      <c r="I723" s="410"/>
      <c r="J723" s="142"/>
      <c r="K723" s="410"/>
      <c r="L723" s="142"/>
      <c r="M723" s="403"/>
      <c r="N723" s="198"/>
      <c r="O723" s="403"/>
      <c r="P723" s="198"/>
      <c r="Q723" s="438"/>
      <c r="R723" s="438"/>
      <c r="S723" s="403"/>
      <c r="T723" s="198"/>
      <c r="U723" s="403"/>
      <c r="V723" s="19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03"/>
      <c r="B724" s="198"/>
      <c r="C724" s="403"/>
      <c r="D724" s="198"/>
      <c r="E724" s="403"/>
      <c r="F724" s="198"/>
      <c r="G724" s="403"/>
      <c r="H724" s="198"/>
      <c r="I724" s="410"/>
      <c r="J724" s="142"/>
      <c r="K724" s="410"/>
      <c r="L724" s="142"/>
      <c r="M724" s="403"/>
      <c r="N724" s="198"/>
      <c r="O724" s="403"/>
      <c r="P724" s="198"/>
      <c r="Q724" s="438"/>
      <c r="R724" s="438"/>
      <c r="S724" s="403"/>
      <c r="T724" s="198"/>
      <c r="U724" s="403"/>
      <c r="V724" s="19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03"/>
      <c r="B725" s="198"/>
      <c r="C725" s="403"/>
      <c r="D725" s="198"/>
      <c r="E725" s="403"/>
      <c r="F725" s="198"/>
      <c r="G725" s="403"/>
      <c r="H725" s="198"/>
      <c r="I725" s="410"/>
      <c r="J725" s="142"/>
      <c r="K725" s="410"/>
      <c r="L725" s="142"/>
      <c r="M725" s="403"/>
      <c r="N725" s="198"/>
      <c r="O725" s="403"/>
      <c r="P725" s="198"/>
      <c r="Q725" s="438"/>
      <c r="R725" s="438"/>
      <c r="S725" s="403"/>
      <c r="T725" s="198"/>
      <c r="U725" s="403"/>
      <c r="V725" s="19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03"/>
      <c r="B726" s="198"/>
      <c r="C726" s="403"/>
      <c r="D726" s="198"/>
      <c r="E726" s="403"/>
      <c r="F726" s="198"/>
      <c r="G726" s="403"/>
      <c r="H726" s="198"/>
      <c r="I726" s="410"/>
      <c r="J726" s="142"/>
      <c r="K726" s="410"/>
      <c r="L726" s="142"/>
      <c r="M726" s="403"/>
      <c r="N726" s="198"/>
      <c r="O726" s="403"/>
      <c r="P726" s="198"/>
      <c r="Q726" s="438"/>
      <c r="R726" s="438"/>
      <c r="S726" s="403"/>
      <c r="T726" s="198"/>
      <c r="U726" s="403"/>
      <c r="V726" s="19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03"/>
      <c r="B727" s="198"/>
      <c r="C727" s="403"/>
      <c r="D727" s="198"/>
      <c r="E727" s="403"/>
      <c r="F727" s="198"/>
      <c r="G727" s="403"/>
      <c r="H727" s="198"/>
      <c r="I727" s="410"/>
      <c r="J727" s="142"/>
      <c r="K727" s="410"/>
      <c r="L727" s="142"/>
      <c r="M727" s="403"/>
      <c r="N727" s="198"/>
      <c r="O727" s="403"/>
      <c r="P727" s="198"/>
      <c r="Q727" s="438"/>
      <c r="R727" s="438"/>
      <c r="S727" s="403"/>
      <c r="T727" s="198"/>
      <c r="U727" s="403"/>
      <c r="V727" s="19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03"/>
      <c r="B728" s="198"/>
      <c r="C728" s="403"/>
      <c r="D728" s="198"/>
      <c r="E728" s="403"/>
      <c r="F728" s="198"/>
      <c r="G728" s="403"/>
      <c r="H728" s="198"/>
      <c r="I728" s="410"/>
      <c r="J728" s="142"/>
      <c r="K728" s="410"/>
      <c r="L728" s="142"/>
      <c r="M728" s="403"/>
      <c r="N728" s="198"/>
      <c r="O728" s="403"/>
      <c r="P728" s="198"/>
      <c r="Q728" s="438"/>
      <c r="R728" s="438"/>
      <c r="S728" s="403"/>
      <c r="T728" s="198"/>
      <c r="U728" s="403"/>
      <c r="V728" s="19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03"/>
      <c r="B729" s="198"/>
      <c r="C729" s="403"/>
      <c r="D729" s="198"/>
      <c r="E729" s="403"/>
      <c r="F729" s="198"/>
      <c r="G729" s="403"/>
      <c r="H729" s="198"/>
      <c r="I729" s="410"/>
      <c r="J729" s="142"/>
      <c r="K729" s="410"/>
      <c r="L729" s="142"/>
      <c r="M729" s="403"/>
      <c r="N729" s="198"/>
      <c r="O729" s="403"/>
      <c r="P729" s="198"/>
      <c r="Q729" s="438"/>
      <c r="R729" s="438"/>
      <c r="S729" s="403"/>
      <c r="T729" s="198"/>
      <c r="U729" s="403"/>
      <c r="V729" s="19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03"/>
      <c r="B730" s="198"/>
      <c r="C730" s="403"/>
      <c r="D730" s="198"/>
      <c r="E730" s="403"/>
      <c r="F730" s="198"/>
      <c r="G730" s="403"/>
      <c r="H730" s="198"/>
      <c r="I730" s="410"/>
      <c r="J730" s="142"/>
      <c r="K730" s="410"/>
      <c r="L730" s="142"/>
      <c r="M730" s="403"/>
      <c r="N730" s="198"/>
      <c r="O730" s="403"/>
      <c r="P730" s="198"/>
      <c r="Q730" s="438"/>
      <c r="R730" s="438"/>
      <c r="S730" s="403"/>
      <c r="T730" s="198"/>
      <c r="U730" s="403"/>
      <c r="V730" s="19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03"/>
      <c r="B731" s="198"/>
      <c r="C731" s="403"/>
      <c r="D731" s="198"/>
      <c r="E731" s="403"/>
      <c r="F731" s="198"/>
      <c r="G731" s="403"/>
      <c r="H731" s="198"/>
      <c r="I731" s="410"/>
      <c r="J731" s="142"/>
      <c r="K731" s="410"/>
      <c r="L731" s="142"/>
      <c r="M731" s="403"/>
      <c r="N731" s="198"/>
      <c r="O731" s="403"/>
      <c r="P731" s="198"/>
      <c r="Q731" s="438"/>
      <c r="R731" s="438"/>
      <c r="S731" s="403"/>
      <c r="T731" s="198"/>
      <c r="U731" s="403"/>
      <c r="V731" s="19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03"/>
      <c r="B732" s="198"/>
      <c r="C732" s="403"/>
      <c r="D732" s="198"/>
      <c r="E732" s="403"/>
      <c r="F732" s="198"/>
      <c r="G732" s="403"/>
      <c r="H732" s="198"/>
      <c r="I732" s="410"/>
      <c r="J732" s="142"/>
      <c r="K732" s="410"/>
      <c r="L732" s="142"/>
      <c r="M732" s="403"/>
      <c r="N732" s="198"/>
      <c r="O732" s="403"/>
      <c r="P732" s="198"/>
      <c r="Q732" s="438"/>
      <c r="R732" s="438"/>
      <c r="S732" s="403"/>
      <c r="T732" s="198"/>
      <c r="U732" s="403"/>
      <c r="V732" s="19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03"/>
      <c r="B733" s="198"/>
      <c r="C733" s="403"/>
      <c r="D733" s="198"/>
      <c r="E733" s="403"/>
      <c r="F733" s="198"/>
      <c r="G733" s="403"/>
      <c r="H733" s="198"/>
      <c r="I733" s="410"/>
      <c r="J733" s="142"/>
      <c r="K733" s="410"/>
      <c r="L733" s="142"/>
      <c r="M733" s="403"/>
      <c r="N733" s="198"/>
      <c r="O733" s="403"/>
      <c r="P733" s="198"/>
      <c r="Q733" s="438"/>
      <c r="R733" s="438"/>
      <c r="S733" s="403"/>
      <c r="T733" s="198"/>
      <c r="U733" s="403"/>
      <c r="V733" s="19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03"/>
      <c r="B734" s="198"/>
      <c r="C734" s="403"/>
      <c r="D734" s="198"/>
      <c r="E734" s="403"/>
      <c r="F734" s="198"/>
      <c r="G734" s="403"/>
      <c r="H734" s="198"/>
      <c r="I734" s="410"/>
      <c r="J734" s="142"/>
      <c r="K734" s="410"/>
      <c r="L734" s="142"/>
      <c r="M734" s="403"/>
      <c r="N734" s="198"/>
      <c r="O734" s="403"/>
      <c r="P734" s="198"/>
      <c r="Q734" s="438"/>
      <c r="R734" s="438"/>
      <c r="S734" s="403"/>
      <c r="T734" s="198"/>
      <c r="U734" s="403"/>
      <c r="V734" s="19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03"/>
      <c r="B735" s="198"/>
      <c r="C735" s="403"/>
      <c r="D735" s="198"/>
      <c r="E735" s="403"/>
      <c r="F735" s="198"/>
      <c r="G735" s="403"/>
      <c r="H735" s="198"/>
      <c r="I735" s="410"/>
      <c r="J735" s="142"/>
      <c r="K735" s="410"/>
      <c r="L735" s="142"/>
      <c r="M735" s="403"/>
      <c r="N735" s="198"/>
      <c r="O735" s="403"/>
      <c r="P735" s="198"/>
      <c r="Q735" s="438"/>
      <c r="R735" s="438"/>
      <c r="S735" s="403"/>
      <c r="T735" s="198"/>
      <c r="U735" s="403"/>
      <c r="V735" s="19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03"/>
      <c r="B736" s="198"/>
      <c r="C736" s="403"/>
      <c r="D736" s="198"/>
      <c r="E736" s="403"/>
      <c r="F736" s="198"/>
      <c r="G736" s="403"/>
      <c r="H736" s="198"/>
      <c r="I736" s="410"/>
      <c r="J736" s="142"/>
      <c r="K736" s="410"/>
      <c r="L736" s="142"/>
      <c r="M736" s="403"/>
      <c r="N736" s="198"/>
      <c r="O736" s="403"/>
      <c r="P736" s="198"/>
      <c r="Q736" s="438"/>
      <c r="R736" s="438"/>
      <c r="S736" s="403"/>
      <c r="T736" s="198"/>
      <c r="U736" s="403"/>
      <c r="V736" s="19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03"/>
      <c r="B737" s="198"/>
      <c r="C737" s="403"/>
      <c r="D737" s="198"/>
      <c r="E737" s="403"/>
      <c r="F737" s="198"/>
      <c r="G737" s="403"/>
      <c r="H737" s="198"/>
      <c r="I737" s="410"/>
      <c r="J737" s="142"/>
      <c r="K737" s="410"/>
      <c r="L737" s="142"/>
      <c r="M737" s="403"/>
      <c r="N737" s="198"/>
      <c r="O737" s="403"/>
      <c r="P737" s="198"/>
      <c r="Q737" s="438"/>
      <c r="R737" s="438"/>
      <c r="S737" s="403"/>
      <c r="T737" s="198"/>
      <c r="U737" s="403"/>
      <c r="V737" s="19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03"/>
      <c r="B738" s="198"/>
      <c r="C738" s="403"/>
      <c r="D738" s="198"/>
      <c r="E738" s="403"/>
      <c r="F738" s="198"/>
      <c r="G738" s="403"/>
      <c r="H738" s="198"/>
      <c r="I738" s="410"/>
      <c r="J738" s="142"/>
      <c r="K738" s="410"/>
      <c r="L738" s="142"/>
      <c r="M738" s="403"/>
      <c r="N738" s="198"/>
      <c r="O738" s="403"/>
      <c r="P738" s="198"/>
      <c r="Q738" s="438"/>
      <c r="R738" s="438"/>
      <c r="S738" s="403"/>
      <c r="T738" s="198"/>
      <c r="U738" s="403"/>
      <c r="V738" s="19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03"/>
      <c r="B739" s="198"/>
      <c r="C739" s="403"/>
      <c r="D739" s="198"/>
      <c r="E739" s="403"/>
      <c r="F739" s="198"/>
      <c r="G739" s="403"/>
      <c r="H739" s="198"/>
      <c r="I739" s="410"/>
      <c r="J739" s="142"/>
      <c r="K739" s="410"/>
      <c r="L739" s="142"/>
      <c r="M739" s="403"/>
      <c r="N739" s="198"/>
      <c r="O739" s="403"/>
      <c r="P739" s="198"/>
      <c r="Q739" s="438"/>
      <c r="R739" s="438"/>
      <c r="S739" s="403"/>
      <c r="T739" s="198"/>
      <c r="U739" s="403"/>
      <c r="V739" s="19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03"/>
      <c r="B740" s="198"/>
      <c r="C740" s="403"/>
      <c r="D740" s="198"/>
      <c r="E740" s="403"/>
      <c r="F740" s="198"/>
      <c r="G740" s="403"/>
      <c r="H740" s="198"/>
      <c r="I740" s="410"/>
      <c r="J740" s="142"/>
      <c r="K740" s="410"/>
      <c r="L740" s="142"/>
      <c r="M740" s="403"/>
      <c r="N740" s="198"/>
      <c r="O740" s="403"/>
      <c r="P740" s="198"/>
      <c r="Q740" s="438"/>
      <c r="R740" s="438"/>
      <c r="S740" s="403"/>
      <c r="T740" s="198"/>
      <c r="U740" s="403"/>
      <c r="V740" s="19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03"/>
      <c r="B741" s="198"/>
      <c r="C741" s="403"/>
      <c r="D741" s="198"/>
      <c r="E741" s="403"/>
      <c r="F741" s="198"/>
      <c r="G741" s="403"/>
      <c r="H741" s="198"/>
      <c r="I741" s="410"/>
      <c r="J741" s="142"/>
      <c r="K741" s="410"/>
      <c r="L741" s="142"/>
      <c r="M741" s="403"/>
      <c r="N741" s="198"/>
      <c r="O741" s="403"/>
      <c r="P741" s="198"/>
      <c r="Q741" s="438"/>
      <c r="R741" s="438"/>
      <c r="S741" s="403"/>
      <c r="T741" s="198"/>
      <c r="U741" s="403"/>
      <c r="V741" s="19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03"/>
      <c r="B742" s="198"/>
      <c r="C742" s="403"/>
      <c r="D742" s="198"/>
      <c r="E742" s="403"/>
      <c r="F742" s="198"/>
      <c r="G742" s="403"/>
      <c r="H742" s="198"/>
      <c r="I742" s="410"/>
      <c r="J742" s="142"/>
      <c r="K742" s="410"/>
      <c r="L742" s="142"/>
      <c r="M742" s="403"/>
      <c r="N742" s="198"/>
      <c r="O742" s="403"/>
      <c r="P742" s="198"/>
      <c r="Q742" s="438"/>
      <c r="R742" s="438"/>
      <c r="S742" s="403"/>
      <c r="T742" s="198"/>
      <c r="U742" s="403"/>
      <c r="V742" s="19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03"/>
      <c r="B743" s="198"/>
      <c r="C743" s="403"/>
      <c r="D743" s="198"/>
      <c r="E743" s="403"/>
      <c r="F743" s="198"/>
      <c r="G743" s="403"/>
      <c r="H743" s="198"/>
      <c r="I743" s="410"/>
      <c r="J743" s="142"/>
      <c r="K743" s="410"/>
      <c r="L743" s="142"/>
      <c r="M743" s="403"/>
      <c r="N743" s="198"/>
      <c r="O743" s="403"/>
      <c r="P743" s="198"/>
      <c r="Q743" s="438"/>
      <c r="R743" s="438"/>
      <c r="S743" s="403"/>
      <c r="T743" s="198"/>
      <c r="U743" s="403"/>
      <c r="V743" s="19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03"/>
      <c r="B744" s="198"/>
      <c r="C744" s="403"/>
      <c r="D744" s="198"/>
      <c r="E744" s="403"/>
      <c r="F744" s="198"/>
      <c r="G744" s="403"/>
      <c r="H744" s="198"/>
      <c r="I744" s="410"/>
      <c r="J744" s="142"/>
      <c r="K744" s="410"/>
      <c r="L744" s="142"/>
      <c r="M744" s="403"/>
      <c r="N744" s="198"/>
      <c r="O744" s="403"/>
      <c r="P744" s="198"/>
      <c r="Q744" s="438"/>
      <c r="R744" s="438"/>
      <c r="S744" s="403"/>
      <c r="T744" s="198"/>
      <c r="U744" s="403"/>
      <c r="V744" s="19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03"/>
      <c r="B745" s="198"/>
      <c r="C745" s="403"/>
      <c r="D745" s="198"/>
      <c r="E745" s="403"/>
      <c r="F745" s="198"/>
      <c r="G745" s="403"/>
      <c r="H745" s="198"/>
      <c r="I745" s="410"/>
      <c r="J745" s="142"/>
      <c r="K745" s="410"/>
      <c r="L745" s="142"/>
      <c r="M745" s="403"/>
      <c r="N745" s="198"/>
      <c r="O745" s="403"/>
      <c r="P745" s="198"/>
      <c r="Q745" s="438"/>
      <c r="R745" s="438"/>
      <c r="S745" s="403"/>
      <c r="T745" s="198"/>
      <c r="U745" s="403"/>
      <c r="V745" s="19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03"/>
      <c r="B746" s="198"/>
      <c r="C746" s="403"/>
      <c r="D746" s="198"/>
      <c r="E746" s="403"/>
      <c r="F746" s="198"/>
      <c r="G746" s="403"/>
      <c r="H746" s="198"/>
      <c r="I746" s="410"/>
      <c r="J746" s="142"/>
      <c r="K746" s="410"/>
      <c r="L746" s="142"/>
      <c r="M746" s="403"/>
      <c r="N746" s="198"/>
      <c r="O746" s="403"/>
      <c r="P746" s="198"/>
      <c r="Q746" s="438"/>
      <c r="R746" s="438"/>
      <c r="S746" s="403"/>
      <c r="T746" s="198"/>
      <c r="U746" s="403"/>
      <c r="V746" s="19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03"/>
      <c r="B747" s="198"/>
      <c r="C747" s="403"/>
      <c r="D747" s="198"/>
      <c r="E747" s="403"/>
      <c r="F747" s="198"/>
      <c r="G747" s="403"/>
      <c r="H747" s="198"/>
      <c r="I747" s="410"/>
      <c r="J747" s="142"/>
      <c r="K747" s="410"/>
      <c r="L747" s="142"/>
      <c r="M747" s="403"/>
      <c r="N747" s="198"/>
      <c r="O747" s="403"/>
      <c r="P747" s="198"/>
      <c r="Q747" s="438"/>
      <c r="R747" s="438"/>
      <c r="S747" s="403"/>
      <c r="T747" s="198"/>
      <c r="U747" s="403"/>
      <c r="V747" s="19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03"/>
      <c r="B748" s="198"/>
      <c r="C748" s="403"/>
      <c r="D748" s="198"/>
      <c r="E748" s="403"/>
      <c r="F748" s="198"/>
      <c r="G748" s="403"/>
      <c r="H748" s="198"/>
      <c r="I748" s="410"/>
      <c r="J748" s="142"/>
      <c r="K748" s="410"/>
      <c r="L748" s="142"/>
      <c r="M748" s="403"/>
      <c r="N748" s="198"/>
      <c r="O748" s="403"/>
      <c r="P748" s="198"/>
      <c r="Q748" s="438"/>
      <c r="R748" s="438"/>
      <c r="S748" s="403"/>
      <c r="T748" s="198"/>
      <c r="U748" s="403"/>
      <c r="V748" s="19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03"/>
      <c r="B749" s="198"/>
      <c r="C749" s="403"/>
      <c r="D749" s="198"/>
      <c r="E749" s="403"/>
      <c r="F749" s="198"/>
      <c r="G749" s="403"/>
      <c r="H749" s="198"/>
      <c r="I749" s="410"/>
      <c r="J749" s="142"/>
      <c r="K749" s="410"/>
      <c r="L749" s="142"/>
      <c r="M749" s="403"/>
      <c r="N749" s="198"/>
      <c r="O749" s="403"/>
      <c r="P749" s="198"/>
      <c r="Q749" s="438"/>
      <c r="R749" s="438"/>
      <c r="S749" s="403"/>
      <c r="T749" s="198"/>
      <c r="U749" s="403"/>
      <c r="V749" s="19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03"/>
      <c r="B750" s="198"/>
      <c r="C750" s="403"/>
      <c r="D750" s="198"/>
      <c r="E750" s="403"/>
      <c r="F750" s="198"/>
      <c r="G750" s="403"/>
      <c r="H750" s="198"/>
      <c r="I750" s="410"/>
      <c r="J750" s="142"/>
      <c r="K750" s="410"/>
      <c r="L750" s="142"/>
      <c r="M750" s="403"/>
      <c r="N750" s="198"/>
      <c r="O750" s="403"/>
      <c r="P750" s="198"/>
      <c r="Q750" s="438"/>
      <c r="R750" s="438"/>
      <c r="S750" s="403"/>
      <c r="T750" s="198"/>
      <c r="U750" s="403"/>
      <c r="V750" s="19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03"/>
      <c r="B751" s="198"/>
      <c r="C751" s="403"/>
      <c r="D751" s="198"/>
      <c r="E751" s="403"/>
      <c r="F751" s="198"/>
      <c r="G751" s="403"/>
      <c r="H751" s="198"/>
      <c r="I751" s="410"/>
      <c r="J751" s="142"/>
      <c r="K751" s="410"/>
      <c r="L751" s="142"/>
      <c r="M751" s="403"/>
      <c r="N751" s="198"/>
      <c r="O751" s="403"/>
      <c r="P751" s="198"/>
      <c r="Q751" s="438"/>
      <c r="R751" s="438"/>
      <c r="S751" s="403"/>
      <c r="T751" s="198"/>
      <c r="U751" s="403"/>
      <c r="V751" s="19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03"/>
      <c r="B752" s="198"/>
      <c r="C752" s="403"/>
      <c r="D752" s="198"/>
      <c r="E752" s="403"/>
      <c r="F752" s="198"/>
      <c r="G752" s="403"/>
      <c r="H752" s="198"/>
      <c r="I752" s="410"/>
      <c r="J752" s="142"/>
      <c r="K752" s="410"/>
      <c r="L752" s="142"/>
      <c r="M752" s="403"/>
      <c r="N752" s="198"/>
      <c r="O752" s="403"/>
      <c r="P752" s="198"/>
      <c r="Q752" s="438"/>
      <c r="R752" s="438"/>
      <c r="S752" s="403"/>
      <c r="T752" s="198"/>
      <c r="U752" s="403"/>
      <c r="V752" s="19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03"/>
      <c r="B753" s="198"/>
      <c r="C753" s="403"/>
      <c r="D753" s="198"/>
      <c r="E753" s="403"/>
      <c r="F753" s="198"/>
      <c r="G753" s="403"/>
      <c r="H753" s="198"/>
      <c r="I753" s="410"/>
      <c r="J753" s="142"/>
      <c r="K753" s="410"/>
      <c r="L753" s="142"/>
      <c r="M753" s="403"/>
      <c r="N753" s="198"/>
      <c r="O753" s="403"/>
      <c r="P753" s="198"/>
      <c r="Q753" s="438"/>
      <c r="R753" s="438"/>
      <c r="S753" s="403"/>
      <c r="T753" s="198"/>
      <c r="U753" s="403"/>
      <c r="V753" s="19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03"/>
      <c r="B754" s="198"/>
      <c r="C754" s="403"/>
      <c r="D754" s="198"/>
      <c r="E754" s="403"/>
      <c r="F754" s="198"/>
      <c r="G754" s="403"/>
      <c r="H754" s="198"/>
      <c r="I754" s="410"/>
      <c r="J754" s="142"/>
      <c r="K754" s="410"/>
      <c r="L754" s="142"/>
      <c r="M754" s="403"/>
      <c r="N754" s="198"/>
      <c r="O754" s="403"/>
      <c r="P754" s="198"/>
      <c r="Q754" s="438"/>
      <c r="R754" s="438"/>
      <c r="S754" s="403"/>
      <c r="T754" s="198"/>
      <c r="U754" s="403"/>
      <c r="V754" s="19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03"/>
      <c r="B755" s="198"/>
      <c r="C755" s="403"/>
      <c r="D755" s="198"/>
      <c r="E755" s="403"/>
      <c r="F755" s="198"/>
      <c r="G755" s="403"/>
      <c r="H755" s="198"/>
      <c r="I755" s="410"/>
      <c r="J755" s="142"/>
      <c r="K755" s="410"/>
      <c r="L755" s="142"/>
      <c r="M755" s="403"/>
      <c r="N755" s="198"/>
      <c r="O755" s="403"/>
      <c r="P755" s="198"/>
      <c r="Q755" s="438"/>
      <c r="R755" s="438"/>
      <c r="S755" s="403"/>
      <c r="T755" s="198"/>
      <c r="U755" s="403"/>
      <c r="V755" s="19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03"/>
      <c r="B756" s="198"/>
      <c r="C756" s="403"/>
      <c r="D756" s="198"/>
      <c r="E756" s="403"/>
      <c r="F756" s="198"/>
      <c r="G756" s="403"/>
      <c r="H756" s="198"/>
      <c r="I756" s="410"/>
      <c r="J756" s="142"/>
      <c r="K756" s="410"/>
      <c r="L756" s="142"/>
      <c r="M756" s="403"/>
      <c r="N756" s="198"/>
      <c r="O756" s="403"/>
      <c r="P756" s="198"/>
      <c r="Q756" s="438"/>
      <c r="R756" s="438"/>
      <c r="S756" s="403"/>
      <c r="T756" s="198"/>
      <c r="U756" s="403"/>
      <c r="V756" s="19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03"/>
      <c r="B757" s="198"/>
      <c r="C757" s="403"/>
      <c r="D757" s="198"/>
      <c r="E757" s="403"/>
      <c r="F757" s="198"/>
      <c r="G757" s="403"/>
      <c r="H757" s="198"/>
      <c r="I757" s="410"/>
      <c r="J757" s="142"/>
      <c r="K757" s="410"/>
      <c r="L757" s="142"/>
      <c r="M757" s="403"/>
      <c r="N757" s="198"/>
      <c r="O757" s="403"/>
      <c r="P757" s="198"/>
      <c r="Q757" s="438"/>
      <c r="R757" s="438"/>
      <c r="S757" s="403"/>
      <c r="T757" s="198"/>
      <c r="U757" s="403"/>
      <c r="V757" s="19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03"/>
      <c r="B758" s="198"/>
      <c r="C758" s="403"/>
      <c r="D758" s="198"/>
      <c r="E758" s="403"/>
      <c r="F758" s="198"/>
      <c r="G758" s="403"/>
      <c r="H758" s="198"/>
      <c r="I758" s="410"/>
      <c r="J758" s="142"/>
      <c r="K758" s="410"/>
      <c r="L758" s="142"/>
      <c r="M758" s="403"/>
      <c r="N758" s="198"/>
      <c r="O758" s="403"/>
      <c r="P758" s="198"/>
      <c r="Q758" s="438"/>
      <c r="R758" s="438"/>
      <c r="S758" s="403"/>
      <c r="T758" s="198"/>
      <c r="U758" s="403"/>
      <c r="V758" s="19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03"/>
      <c r="B759" s="198"/>
      <c r="C759" s="403"/>
      <c r="D759" s="198"/>
      <c r="E759" s="403"/>
      <c r="F759" s="198"/>
      <c r="G759" s="403"/>
      <c r="H759" s="198"/>
      <c r="I759" s="410"/>
      <c r="J759" s="142"/>
      <c r="K759" s="410"/>
      <c r="L759" s="142"/>
      <c r="M759" s="403"/>
      <c r="N759" s="198"/>
      <c r="O759" s="403"/>
      <c r="P759" s="198"/>
      <c r="Q759" s="438"/>
      <c r="R759" s="438"/>
      <c r="S759" s="403"/>
      <c r="T759" s="198"/>
      <c r="U759" s="403"/>
      <c r="V759" s="19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03"/>
      <c r="B760" s="198"/>
      <c r="C760" s="403"/>
      <c r="D760" s="198"/>
      <c r="E760" s="403"/>
      <c r="F760" s="198"/>
      <c r="G760" s="403"/>
      <c r="H760" s="198"/>
      <c r="I760" s="410"/>
      <c r="J760" s="142"/>
      <c r="K760" s="410"/>
      <c r="L760" s="142"/>
      <c r="M760" s="403"/>
      <c r="N760" s="198"/>
      <c r="O760" s="403"/>
      <c r="P760" s="198"/>
      <c r="Q760" s="438"/>
      <c r="R760" s="438"/>
      <c r="S760" s="403"/>
      <c r="T760" s="198"/>
      <c r="U760" s="403"/>
      <c r="V760" s="19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03"/>
      <c r="B761" s="198"/>
      <c r="C761" s="403"/>
      <c r="D761" s="198"/>
      <c r="E761" s="403"/>
      <c r="F761" s="198"/>
      <c r="G761" s="403"/>
      <c r="H761" s="198"/>
      <c r="I761" s="410"/>
      <c r="J761" s="142"/>
      <c r="K761" s="410"/>
      <c r="L761" s="142"/>
      <c r="M761" s="403"/>
      <c r="N761" s="198"/>
      <c r="O761" s="403"/>
      <c r="P761" s="198"/>
      <c r="Q761" s="438"/>
      <c r="R761" s="438"/>
      <c r="S761" s="403"/>
      <c r="T761" s="198"/>
      <c r="U761" s="403"/>
      <c r="V761" s="19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03"/>
      <c r="B762" s="198"/>
      <c r="C762" s="403"/>
      <c r="D762" s="198"/>
      <c r="E762" s="403"/>
      <c r="F762" s="198"/>
      <c r="G762" s="403"/>
      <c r="H762" s="198"/>
      <c r="I762" s="410"/>
      <c r="J762" s="142"/>
      <c r="K762" s="410"/>
      <c r="L762" s="142"/>
      <c r="M762" s="403"/>
      <c r="N762" s="198"/>
      <c r="O762" s="403"/>
      <c r="P762" s="198"/>
      <c r="Q762" s="438"/>
      <c r="R762" s="438"/>
      <c r="S762" s="403"/>
      <c r="T762" s="198"/>
      <c r="U762" s="403"/>
      <c r="V762" s="19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03"/>
      <c r="B763" s="198"/>
      <c r="C763" s="403"/>
      <c r="D763" s="198"/>
      <c r="E763" s="403"/>
      <c r="F763" s="198"/>
      <c r="G763" s="403"/>
      <c r="H763" s="198"/>
      <c r="I763" s="410"/>
      <c r="J763" s="142"/>
      <c r="K763" s="410"/>
      <c r="L763" s="142"/>
      <c r="M763" s="403"/>
      <c r="N763" s="198"/>
      <c r="O763" s="403"/>
      <c r="P763" s="198"/>
      <c r="Q763" s="438"/>
      <c r="R763" s="438"/>
      <c r="S763" s="403"/>
      <c r="T763" s="198"/>
      <c r="U763" s="403"/>
      <c r="V763" s="19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03"/>
      <c r="B764" s="198"/>
      <c r="C764" s="403"/>
      <c r="D764" s="198"/>
      <c r="E764" s="403"/>
      <c r="F764" s="198"/>
      <c r="G764" s="403"/>
      <c r="H764" s="198"/>
      <c r="I764" s="410"/>
      <c r="J764" s="142"/>
      <c r="K764" s="410"/>
      <c r="L764" s="142"/>
      <c r="M764" s="403"/>
      <c r="N764" s="198"/>
      <c r="O764" s="403"/>
      <c r="P764" s="198"/>
      <c r="Q764" s="438"/>
      <c r="R764" s="438"/>
      <c r="S764" s="403"/>
      <c r="T764" s="198"/>
      <c r="U764" s="403"/>
      <c r="V764" s="19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03"/>
      <c r="B765" s="198"/>
      <c r="C765" s="403"/>
      <c r="D765" s="198"/>
      <c r="E765" s="403"/>
      <c r="F765" s="198"/>
      <c r="G765" s="403"/>
      <c r="H765" s="198"/>
      <c r="I765" s="410"/>
      <c r="J765" s="142"/>
      <c r="K765" s="410"/>
      <c r="L765" s="142"/>
      <c r="M765" s="403"/>
      <c r="N765" s="198"/>
      <c r="O765" s="403"/>
      <c r="P765" s="198"/>
      <c r="Q765" s="438"/>
      <c r="R765" s="438"/>
      <c r="S765" s="403"/>
      <c r="T765" s="198"/>
      <c r="U765" s="403"/>
      <c r="V765" s="19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03"/>
      <c r="B766" s="198"/>
      <c r="C766" s="403"/>
      <c r="D766" s="198"/>
      <c r="E766" s="403"/>
      <c r="F766" s="198"/>
      <c r="G766" s="403"/>
      <c r="H766" s="198"/>
      <c r="I766" s="410"/>
      <c r="J766" s="142"/>
      <c r="K766" s="410"/>
      <c r="L766" s="142"/>
      <c r="M766" s="403"/>
      <c r="N766" s="198"/>
      <c r="O766" s="403"/>
      <c r="P766" s="198"/>
      <c r="Q766" s="438"/>
      <c r="R766" s="438"/>
      <c r="S766" s="403"/>
      <c r="T766" s="198"/>
      <c r="U766" s="403"/>
      <c r="V766" s="19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03"/>
      <c r="B767" s="198"/>
      <c r="C767" s="403"/>
      <c r="D767" s="198"/>
      <c r="E767" s="403"/>
      <c r="F767" s="198"/>
      <c r="G767" s="403"/>
      <c r="H767" s="198"/>
      <c r="I767" s="410"/>
      <c r="J767" s="142"/>
      <c r="K767" s="410"/>
      <c r="L767" s="142"/>
      <c r="M767" s="403"/>
      <c r="N767" s="198"/>
      <c r="O767" s="403"/>
      <c r="P767" s="198"/>
      <c r="Q767" s="438"/>
      <c r="R767" s="438"/>
      <c r="S767" s="403"/>
      <c r="T767" s="198"/>
      <c r="U767" s="403"/>
      <c r="V767" s="19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03"/>
      <c r="B768" s="198"/>
      <c r="C768" s="403"/>
      <c r="D768" s="198"/>
      <c r="E768" s="403"/>
      <c r="F768" s="198"/>
      <c r="G768" s="403"/>
      <c r="H768" s="198"/>
      <c r="I768" s="410"/>
      <c r="J768" s="142"/>
      <c r="K768" s="410"/>
      <c r="L768" s="142"/>
      <c r="M768" s="403"/>
      <c r="N768" s="198"/>
      <c r="O768" s="403"/>
      <c r="P768" s="198"/>
      <c r="Q768" s="438"/>
      <c r="R768" s="438"/>
      <c r="S768" s="403"/>
      <c r="T768" s="198"/>
      <c r="U768" s="403"/>
      <c r="V768" s="19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03"/>
      <c r="B769" s="198"/>
      <c r="C769" s="403"/>
      <c r="D769" s="198"/>
      <c r="E769" s="403"/>
      <c r="F769" s="198"/>
      <c r="G769" s="403"/>
      <c r="H769" s="198"/>
      <c r="I769" s="410"/>
      <c r="J769" s="142"/>
      <c r="K769" s="410"/>
      <c r="L769" s="142"/>
      <c r="M769" s="403"/>
      <c r="N769" s="198"/>
      <c r="O769" s="403"/>
      <c r="P769" s="198"/>
      <c r="Q769" s="438"/>
      <c r="R769" s="438"/>
      <c r="S769" s="403"/>
      <c r="T769" s="198"/>
      <c r="U769" s="403"/>
      <c r="V769" s="19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03"/>
      <c r="B770" s="198"/>
      <c r="C770" s="403"/>
      <c r="D770" s="198"/>
      <c r="E770" s="403"/>
      <c r="F770" s="198"/>
      <c r="G770" s="403"/>
      <c r="H770" s="198"/>
      <c r="I770" s="410"/>
      <c r="J770" s="142"/>
      <c r="K770" s="410"/>
      <c r="L770" s="142"/>
      <c r="M770" s="403"/>
      <c r="N770" s="198"/>
      <c r="O770" s="403"/>
      <c r="P770" s="198"/>
      <c r="Q770" s="438"/>
      <c r="R770" s="438"/>
      <c r="S770" s="403"/>
      <c r="T770" s="198"/>
      <c r="U770" s="403"/>
      <c r="V770" s="19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03"/>
      <c r="B771" s="198"/>
      <c r="C771" s="403"/>
      <c r="D771" s="198"/>
      <c r="E771" s="403"/>
      <c r="F771" s="198"/>
      <c r="G771" s="403"/>
      <c r="H771" s="198"/>
      <c r="I771" s="410"/>
      <c r="J771" s="142"/>
      <c r="K771" s="410"/>
      <c r="L771" s="142"/>
      <c r="M771" s="403"/>
      <c r="N771" s="198"/>
      <c r="O771" s="403"/>
      <c r="P771" s="198"/>
      <c r="Q771" s="438"/>
      <c r="R771" s="438"/>
      <c r="S771" s="403"/>
      <c r="T771" s="198"/>
      <c r="U771" s="403"/>
      <c r="V771" s="19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03"/>
      <c r="B772" s="198"/>
      <c r="C772" s="403"/>
      <c r="D772" s="198"/>
      <c r="E772" s="403"/>
      <c r="F772" s="198"/>
      <c r="G772" s="403"/>
      <c r="H772" s="198"/>
      <c r="I772" s="410"/>
      <c r="J772" s="142"/>
      <c r="K772" s="410"/>
      <c r="L772" s="142"/>
      <c r="M772" s="403"/>
      <c r="N772" s="198"/>
      <c r="O772" s="403"/>
      <c r="P772" s="198"/>
      <c r="Q772" s="438"/>
      <c r="R772" s="438"/>
      <c r="S772" s="403"/>
      <c r="T772" s="198"/>
      <c r="U772" s="403"/>
      <c r="V772" s="19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03"/>
      <c r="B773" s="198"/>
      <c r="C773" s="403"/>
      <c r="D773" s="198"/>
      <c r="E773" s="403"/>
      <c r="F773" s="198"/>
      <c r="G773" s="403"/>
      <c r="H773" s="198"/>
      <c r="I773" s="410"/>
      <c r="J773" s="142"/>
      <c r="K773" s="410"/>
      <c r="L773" s="142"/>
      <c r="M773" s="403"/>
      <c r="N773" s="198"/>
      <c r="O773" s="403"/>
      <c r="P773" s="198"/>
      <c r="Q773" s="438"/>
      <c r="R773" s="438"/>
      <c r="S773" s="403"/>
      <c r="T773" s="198"/>
      <c r="U773" s="403"/>
      <c r="V773" s="19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03"/>
      <c r="B774" s="198"/>
      <c r="C774" s="403"/>
      <c r="D774" s="198"/>
      <c r="E774" s="403"/>
      <c r="F774" s="198"/>
      <c r="G774" s="403"/>
      <c r="H774" s="198"/>
      <c r="I774" s="410"/>
      <c r="J774" s="142"/>
      <c r="K774" s="410"/>
      <c r="L774" s="142"/>
      <c r="M774" s="403"/>
      <c r="N774" s="198"/>
      <c r="O774" s="403"/>
      <c r="P774" s="198"/>
      <c r="Q774" s="438"/>
      <c r="R774" s="438"/>
      <c r="S774" s="403"/>
      <c r="T774" s="198"/>
      <c r="U774" s="403"/>
      <c r="V774" s="19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03"/>
      <c r="B775" s="198"/>
      <c r="C775" s="403"/>
      <c r="D775" s="198"/>
      <c r="E775" s="403"/>
      <c r="F775" s="198"/>
      <c r="G775" s="403"/>
      <c r="H775" s="198"/>
      <c r="I775" s="410"/>
      <c r="J775" s="142"/>
      <c r="K775" s="410"/>
      <c r="L775" s="142"/>
      <c r="M775" s="403"/>
      <c r="N775" s="198"/>
      <c r="O775" s="403"/>
      <c r="P775" s="198"/>
      <c r="Q775" s="438"/>
      <c r="R775" s="438"/>
      <c r="S775" s="403"/>
      <c r="T775" s="198"/>
      <c r="U775" s="403"/>
      <c r="V775" s="19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03"/>
      <c r="B776" s="198"/>
      <c r="C776" s="403"/>
      <c r="D776" s="198"/>
      <c r="E776" s="403"/>
      <c r="F776" s="198"/>
      <c r="G776" s="403"/>
      <c r="H776" s="198"/>
      <c r="I776" s="410"/>
      <c r="J776" s="142"/>
      <c r="K776" s="410"/>
      <c r="L776" s="142"/>
      <c r="M776" s="403"/>
      <c r="N776" s="198"/>
      <c r="O776" s="403"/>
      <c r="P776" s="198"/>
      <c r="Q776" s="438"/>
      <c r="R776" s="438"/>
      <c r="S776" s="403"/>
      <c r="T776" s="198"/>
      <c r="U776" s="403"/>
      <c r="V776" s="19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03"/>
      <c r="B777" s="198"/>
      <c r="C777" s="403"/>
      <c r="D777" s="198"/>
      <c r="E777" s="403"/>
      <c r="F777" s="198"/>
      <c r="G777" s="403"/>
      <c r="H777" s="198"/>
      <c r="I777" s="410"/>
      <c r="J777" s="142"/>
      <c r="K777" s="410"/>
      <c r="L777" s="142"/>
      <c r="M777" s="403"/>
      <c r="N777" s="198"/>
      <c r="O777" s="403"/>
      <c r="P777" s="198"/>
      <c r="Q777" s="438"/>
      <c r="R777" s="438"/>
      <c r="S777" s="403"/>
      <c r="T777" s="198"/>
      <c r="U777" s="403"/>
      <c r="V777" s="19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03"/>
      <c r="B778" s="198"/>
      <c r="C778" s="403"/>
      <c r="D778" s="198"/>
      <c r="E778" s="403"/>
      <c r="F778" s="198"/>
      <c r="G778" s="403"/>
      <c r="H778" s="198"/>
      <c r="I778" s="410"/>
      <c r="J778" s="142"/>
      <c r="K778" s="410"/>
      <c r="L778" s="142"/>
      <c r="M778" s="403"/>
      <c r="N778" s="198"/>
      <c r="O778" s="403"/>
      <c r="P778" s="198"/>
      <c r="Q778" s="438"/>
      <c r="R778" s="438"/>
      <c r="S778" s="403"/>
      <c r="T778" s="198"/>
      <c r="U778" s="403"/>
      <c r="V778" s="19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03"/>
      <c r="B779" s="198"/>
      <c r="C779" s="403"/>
      <c r="D779" s="198"/>
      <c r="E779" s="403"/>
      <c r="F779" s="198"/>
      <c r="G779" s="403"/>
      <c r="H779" s="198"/>
      <c r="I779" s="410"/>
      <c r="J779" s="142"/>
      <c r="K779" s="410"/>
      <c r="L779" s="142"/>
      <c r="M779" s="403"/>
      <c r="N779" s="198"/>
      <c r="O779" s="403"/>
      <c r="P779" s="198"/>
      <c r="Q779" s="438"/>
      <c r="R779" s="438"/>
      <c r="S779" s="403"/>
      <c r="T779" s="198"/>
      <c r="U779" s="403"/>
      <c r="V779" s="19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03"/>
      <c r="B780" s="198"/>
      <c r="C780" s="403"/>
      <c r="D780" s="198"/>
      <c r="E780" s="403"/>
      <c r="F780" s="198"/>
      <c r="G780" s="403"/>
      <c r="H780" s="198"/>
      <c r="I780" s="410"/>
      <c r="J780" s="142"/>
      <c r="K780" s="410"/>
      <c r="L780" s="142"/>
      <c r="M780" s="403"/>
      <c r="N780" s="198"/>
      <c r="O780" s="403"/>
      <c r="P780" s="198"/>
      <c r="Q780" s="438"/>
      <c r="R780" s="438"/>
      <c r="S780" s="403"/>
      <c r="T780" s="198"/>
      <c r="U780" s="403"/>
      <c r="V780" s="19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03"/>
      <c r="B781" s="198"/>
      <c r="C781" s="403"/>
      <c r="D781" s="198"/>
      <c r="E781" s="403"/>
      <c r="F781" s="198"/>
      <c r="G781" s="403"/>
      <c r="H781" s="198"/>
      <c r="I781" s="410"/>
      <c r="J781" s="142"/>
      <c r="K781" s="410"/>
      <c r="L781" s="142"/>
      <c r="M781" s="403"/>
      <c r="N781" s="198"/>
      <c r="O781" s="403"/>
      <c r="P781" s="198"/>
      <c r="Q781" s="438"/>
      <c r="R781" s="438"/>
      <c r="S781" s="403"/>
      <c r="T781" s="198"/>
      <c r="U781" s="403"/>
      <c r="V781" s="19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03"/>
      <c r="B782" s="198"/>
      <c r="C782" s="403"/>
      <c r="D782" s="198"/>
      <c r="E782" s="403"/>
      <c r="F782" s="198"/>
      <c r="G782" s="403"/>
      <c r="H782" s="198"/>
      <c r="I782" s="410"/>
      <c r="J782" s="142"/>
      <c r="K782" s="410"/>
      <c r="L782" s="142"/>
      <c r="M782" s="403"/>
      <c r="N782" s="198"/>
      <c r="O782" s="403"/>
      <c r="P782" s="198"/>
      <c r="Q782" s="438"/>
      <c r="R782" s="438"/>
      <c r="S782" s="403"/>
      <c r="T782" s="198"/>
      <c r="U782" s="403"/>
      <c r="V782" s="19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03"/>
      <c r="B783" s="198"/>
      <c r="C783" s="403"/>
      <c r="D783" s="198"/>
      <c r="E783" s="403"/>
      <c r="F783" s="198"/>
      <c r="G783" s="403"/>
      <c r="H783" s="198"/>
      <c r="I783" s="410"/>
      <c r="J783" s="142"/>
      <c r="K783" s="410"/>
      <c r="L783" s="142"/>
      <c r="M783" s="403"/>
      <c r="N783" s="198"/>
      <c r="O783" s="403"/>
      <c r="P783" s="198"/>
      <c r="Q783" s="438"/>
      <c r="R783" s="438"/>
      <c r="S783" s="403"/>
      <c r="T783" s="198"/>
      <c r="U783" s="403"/>
      <c r="V783" s="19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03"/>
      <c r="B784" s="198"/>
      <c r="C784" s="403"/>
      <c r="D784" s="198"/>
      <c r="E784" s="403"/>
      <c r="F784" s="198"/>
      <c r="G784" s="403"/>
      <c r="H784" s="198"/>
      <c r="I784" s="410"/>
      <c r="J784" s="142"/>
      <c r="K784" s="410"/>
      <c r="L784" s="142"/>
      <c r="M784" s="403"/>
      <c r="N784" s="198"/>
      <c r="O784" s="403"/>
      <c r="P784" s="198"/>
      <c r="Q784" s="438"/>
      <c r="R784" s="438"/>
      <c r="S784" s="403"/>
      <c r="T784" s="198"/>
      <c r="U784" s="403"/>
      <c r="V784" s="19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03"/>
      <c r="B785" s="198"/>
      <c r="C785" s="403"/>
      <c r="D785" s="198"/>
      <c r="E785" s="403"/>
      <c r="F785" s="198"/>
      <c r="G785" s="403"/>
      <c r="H785" s="198"/>
      <c r="I785" s="410"/>
      <c r="J785" s="142"/>
      <c r="K785" s="410"/>
      <c r="L785" s="142"/>
      <c r="M785" s="403"/>
      <c r="N785" s="198"/>
      <c r="O785" s="403"/>
      <c r="P785" s="198"/>
      <c r="Q785" s="438"/>
      <c r="R785" s="438"/>
      <c r="S785" s="403"/>
      <c r="T785" s="198"/>
      <c r="U785" s="403"/>
      <c r="V785" s="19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03"/>
      <c r="B786" s="198"/>
      <c r="C786" s="403"/>
      <c r="D786" s="198"/>
      <c r="E786" s="403"/>
      <c r="F786" s="198"/>
      <c r="G786" s="403"/>
      <c r="H786" s="198"/>
      <c r="I786" s="410"/>
      <c r="J786" s="142"/>
      <c r="K786" s="410"/>
      <c r="L786" s="142"/>
      <c r="M786" s="403"/>
      <c r="N786" s="198"/>
      <c r="O786" s="403"/>
      <c r="P786" s="198"/>
      <c r="Q786" s="438"/>
      <c r="R786" s="438"/>
      <c r="S786" s="403"/>
      <c r="T786" s="198"/>
      <c r="U786" s="403"/>
      <c r="V786" s="19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03"/>
      <c r="B787" s="198"/>
      <c r="C787" s="403"/>
      <c r="D787" s="198"/>
      <c r="E787" s="403"/>
      <c r="F787" s="198"/>
      <c r="G787" s="403"/>
      <c r="H787" s="198"/>
      <c r="I787" s="410"/>
      <c r="J787" s="142"/>
      <c r="K787" s="410"/>
      <c r="L787" s="142"/>
      <c r="M787" s="403"/>
      <c r="N787" s="198"/>
      <c r="O787" s="403"/>
      <c r="P787" s="198"/>
      <c r="Q787" s="438"/>
      <c r="R787" s="438"/>
      <c r="S787" s="403"/>
      <c r="T787" s="198"/>
      <c r="U787" s="403"/>
      <c r="V787" s="19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03"/>
      <c r="B788" s="198"/>
      <c r="C788" s="403"/>
      <c r="D788" s="198"/>
      <c r="E788" s="403"/>
      <c r="F788" s="198"/>
      <c r="G788" s="403"/>
      <c r="H788" s="198"/>
      <c r="I788" s="410"/>
      <c r="J788" s="142"/>
      <c r="K788" s="410"/>
      <c r="L788" s="142"/>
      <c r="M788" s="403"/>
      <c r="N788" s="198"/>
      <c r="O788" s="403"/>
      <c r="P788" s="198"/>
      <c r="Q788" s="438"/>
      <c r="R788" s="438"/>
      <c r="S788" s="403"/>
      <c r="T788" s="198"/>
      <c r="U788" s="403"/>
      <c r="V788" s="19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03"/>
      <c r="B789" s="198"/>
      <c r="C789" s="403"/>
      <c r="D789" s="198"/>
      <c r="E789" s="403"/>
      <c r="F789" s="198"/>
      <c r="G789" s="403"/>
      <c r="H789" s="198"/>
      <c r="I789" s="410"/>
      <c r="J789" s="142"/>
      <c r="K789" s="410"/>
      <c r="L789" s="142"/>
      <c r="M789" s="403"/>
      <c r="N789" s="198"/>
      <c r="O789" s="403"/>
      <c r="P789" s="198"/>
      <c r="Q789" s="438"/>
      <c r="R789" s="438"/>
      <c r="S789" s="403"/>
      <c r="T789" s="198"/>
      <c r="U789" s="403"/>
      <c r="V789" s="19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03"/>
      <c r="B790" s="198"/>
      <c r="C790" s="403"/>
      <c r="D790" s="198"/>
      <c r="E790" s="403"/>
      <c r="F790" s="198"/>
      <c r="G790" s="403"/>
      <c r="H790" s="198"/>
      <c r="I790" s="410"/>
      <c r="J790" s="142"/>
      <c r="K790" s="410"/>
      <c r="L790" s="142"/>
      <c r="M790" s="403"/>
      <c r="N790" s="198"/>
      <c r="O790" s="403"/>
      <c r="P790" s="198"/>
      <c r="Q790" s="438"/>
      <c r="R790" s="438"/>
      <c r="S790" s="403"/>
      <c r="T790" s="198"/>
      <c r="U790" s="403"/>
      <c r="V790" s="19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03"/>
      <c r="B791" s="198"/>
      <c r="C791" s="403"/>
      <c r="D791" s="198"/>
      <c r="E791" s="403"/>
      <c r="F791" s="198"/>
      <c r="G791" s="403"/>
      <c r="H791" s="198"/>
      <c r="I791" s="410"/>
      <c r="J791" s="142"/>
      <c r="K791" s="410"/>
      <c r="L791" s="142"/>
      <c r="M791" s="403"/>
      <c r="N791" s="198"/>
      <c r="O791" s="403"/>
      <c r="P791" s="198"/>
      <c r="Q791" s="438"/>
      <c r="R791" s="438"/>
      <c r="S791" s="403"/>
      <c r="T791" s="198"/>
      <c r="U791" s="403"/>
      <c r="V791" s="19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03"/>
      <c r="B792" s="198"/>
      <c r="C792" s="403"/>
      <c r="D792" s="198"/>
      <c r="E792" s="403"/>
      <c r="F792" s="198"/>
      <c r="G792" s="403"/>
      <c r="H792" s="198"/>
      <c r="I792" s="410"/>
      <c r="J792" s="142"/>
      <c r="K792" s="410"/>
      <c r="L792" s="142"/>
      <c r="M792" s="403"/>
      <c r="N792" s="198"/>
      <c r="O792" s="403"/>
      <c r="P792" s="198"/>
      <c r="Q792" s="438"/>
      <c r="R792" s="438"/>
      <c r="S792" s="403"/>
      <c r="T792" s="198"/>
      <c r="U792" s="403"/>
      <c r="V792" s="19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03"/>
      <c r="B793" s="198"/>
      <c r="C793" s="403"/>
      <c r="D793" s="198"/>
      <c r="E793" s="403"/>
      <c r="F793" s="198"/>
      <c r="G793" s="403"/>
      <c r="H793" s="198"/>
      <c r="I793" s="410"/>
      <c r="J793" s="142"/>
      <c r="K793" s="410"/>
      <c r="L793" s="142"/>
      <c r="M793" s="403"/>
      <c r="N793" s="198"/>
      <c r="O793" s="403"/>
      <c r="P793" s="198"/>
      <c r="Q793" s="438"/>
      <c r="R793" s="438"/>
      <c r="S793" s="403"/>
      <c r="T793" s="198"/>
      <c r="U793" s="403"/>
      <c r="V793" s="19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03"/>
      <c r="B794" s="198"/>
      <c r="C794" s="403"/>
      <c r="D794" s="198"/>
      <c r="E794" s="403"/>
      <c r="F794" s="198"/>
      <c r="G794" s="403"/>
      <c r="H794" s="198"/>
      <c r="I794" s="410"/>
      <c r="J794" s="142"/>
      <c r="K794" s="410"/>
      <c r="L794" s="142"/>
      <c r="M794" s="403"/>
      <c r="N794" s="198"/>
      <c r="O794" s="403"/>
      <c r="P794" s="198"/>
      <c r="Q794" s="438"/>
      <c r="R794" s="438"/>
      <c r="S794" s="403"/>
      <c r="T794" s="198"/>
      <c r="U794" s="403"/>
      <c r="V794" s="19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03"/>
      <c r="B795" s="198"/>
      <c r="C795" s="403"/>
      <c r="D795" s="198"/>
      <c r="E795" s="403"/>
      <c r="F795" s="198"/>
      <c r="G795" s="403"/>
      <c r="H795" s="198"/>
      <c r="I795" s="410"/>
      <c r="J795" s="142"/>
      <c r="K795" s="410"/>
      <c r="L795" s="142"/>
      <c r="M795" s="403"/>
      <c r="N795" s="198"/>
      <c r="O795" s="403"/>
      <c r="P795" s="198"/>
      <c r="Q795" s="438"/>
      <c r="R795" s="438"/>
      <c r="S795" s="403"/>
      <c r="T795" s="198"/>
      <c r="U795" s="403"/>
      <c r="V795" s="19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03"/>
      <c r="B796" s="198"/>
      <c r="C796" s="403"/>
      <c r="D796" s="198"/>
      <c r="E796" s="403"/>
      <c r="F796" s="198"/>
      <c r="G796" s="403"/>
      <c r="H796" s="198"/>
      <c r="I796" s="410"/>
      <c r="J796" s="142"/>
      <c r="K796" s="410"/>
      <c r="L796" s="142"/>
      <c r="M796" s="403"/>
      <c r="N796" s="198"/>
      <c r="O796" s="403"/>
      <c r="P796" s="198"/>
      <c r="Q796" s="438"/>
      <c r="R796" s="438"/>
      <c r="S796" s="403"/>
      <c r="T796" s="198"/>
      <c r="U796" s="403"/>
      <c r="V796" s="19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03"/>
      <c r="B797" s="198"/>
      <c r="C797" s="403"/>
      <c r="D797" s="198"/>
      <c r="E797" s="403"/>
      <c r="F797" s="198"/>
      <c r="G797" s="403"/>
      <c r="H797" s="198"/>
      <c r="I797" s="410"/>
      <c r="J797" s="142"/>
      <c r="K797" s="410"/>
      <c r="L797" s="142"/>
      <c r="M797" s="403"/>
      <c r="N797" s="198"/>
      <c r="O797" s="403"/>
      <c r="P797" s="198"/>
      <c r="Q797" s="438"/>
      <c r="R797" s="438"/>
      <c r="S797" s="403"/>
      <c r="T797" s="198"/>
      <c r="U797" s="403"/>
      <c r="V797" s="19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03"/>
      <c r="B798" s="198"/>
      <c r="C798" s="403"/>
      <c r="D798" s="198"/>
      <c r="E798" s="403"/>
      <c r="F798" s="198"/>
      <c r="G798" s="403"/>
      <c r="H798" s="198"/>
      <c r="I798" s="410"/>
      <c r="J798" s="142"/>
      <c r="K798" s="410"/>
      <c r="L798" s="142"/>
      <c r="M798" s="403"/>
      <c r="N798" s="198"/>
      <c r="O798" s="403"/>
      <c r="P798" s="198"/>
      <c r="Q798" s="438"/>
      <c r="R798" s="438"/>
      <c r="S798" s="403"/>
      <c r="T798" s="198"/>
      <c r="U798" s="403"/>
      <c r="V798" s="19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03"/>
      <c r="B799" s="198"/>
      <c r="C799" s="403"/>
      <c r="D799" s="198"/>
      <c r="E799" s="403"/>
      <c r="F799" s="198"/>
      <c r="G799" s="403"/>
      <c r="H799" s="198"/>
      <c r="I799" s="410"/>
      <c r="J799" s="142"/>
      <c r="K799" s="410"/>
      <c r="L799" s="142"/>
      <c r="M799" s="403"/>
      <c r="N799" s="198"/>
      <c r="O799" s="403"/>
      <c r="P799" s="198"/>
      <c r="Q799" s="438"/>
      <c r="R799" s="438"/>
      <c r="S799" s="403"/>
      <c r="T799" s="198"/>
      <c r="U799" s="403"/>
      <c r="V799" s="19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03"/>
      <c r="B800" s="198"/>
      <c r="C800" s="403"/>
      <c r="D800" s="198"/>
      <c r="E800" s="403"/>
      <c r="F800" s="198"/>
      <c r="G800" s="403"/>
      <c r="H800" s="198"/>
      <c r="I800" s="410"/>
      <c r="J800" s="142"/>
      <c r="K800" s="410"/>
      <c r="L800" s="142"/>
      <c r="M800" s="403"/>
      <c r="N800" s="198"/>
      <c r="O800" s="403"/>
      <c r="P800" s="198"/>
      <c r="Q800" s="438"/>
      <c r="R800" s="438"/>
      <c r="S800" s="403"/>
      <c r="T800" s="198"/>
      <c r="U800" s="403"/>
      <c r="V800" s="19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03"/>
      <c r="B801" s="198"/>
      <c r="C801" s="403"/>
      <c r="D801" s="198"/>
      <c r="E801" s="403"/>
      <c r="F801" s="198"/>
      <c r="G801" s="403"/>
      <c r="H801" s="198"/>
      <c r="I801" s="410"/>
      <c r="J801" s="142"/>
      <c r="K801" s="410"/>
      <c r="L801" s="142"/>
      <c r="M801" s="403"/>
      <c r="N801" s="198"/>
      <c r="O801" s="403"/>
      <c r="P801" s="198"/>
      <c r="Q801" s="438"/>
      <c r="R801" s="438"/>
      <c r="S801" s="403"/>
      <c r="T801" s="198"/>
      <c r="U801" s="403"/>
      <c r="V801" s="19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03"/>
      <c r="B802" s="198"/>
      <c r="C802" s="403"/>
      <c r="D802" s="198"/>
      <c r="E802" s="403"/>
      <c r="F802" s="198"/>
      <c r="G802" s="403"/>
      <c r="H802" s="198"/>
      <c r="I802" s="410"/>
      <c r="J802" s="142"/>
      <c r="K802" s="410"/>
      <c r="L802" s="142"/>
      <c r="M802" s="403"/>
      <c r="N802" s="198"/>
      <c r="O802" s="403"/>
      <c r="P802" s="198"/>
      <c r="Q802" s="438"/>
      <c r="R802" s="438"/>
      <c r="S802" s="403"/>
      <c r="T802" s="198"/>
      <c r="U802" s="403"/>
      <c r="V802" s="19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03"/>
      <c r="B803" s="198"/>
      <c r="C803" s="403"/>
      <c r="D803" s="198"/>
      <c r="E803" s="403"/>
      <c r="F803" s="198"/>
      <c r="G803" s="403"/>
      <c r="H803" s="198"/>
      <c r="I803" s="410"/>
      <c r="J803" s="142"/>
      <c r="K803" s="410"/>
      <c r="L803" s="142"/>
      <c r="M803" s="403"/>
      <c r="N803" s="198"/>
      <c r="O803" s="403"/>
      <c r="P803" s="198"/>
      <c r="Q803" s="438"/>
      <c r="R803" s="438"/>
      <c r="S803" s="403"/>
      <c r="T803" s="198"/>
      <c r="U803" s="403"/>
      <c r="V803" s="19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03"/>
      <c r="B804" s="198"/>
      <c r="C804" s="403"/>
      <c r="D804" s="198"/>
      <c r="E804" s="403"/>
      <c r="F804" s="198"/>
      <c r="G804" s="403"/>
      <c r="H804" s="198"/>
      <c r="I804" s="410"/>
      <c r="J804" s="142"/>
      <c r="K804" s="410"/>
      <c r="L804" s="142"/>
      <c r="M804" s="403"/>
      <c r="N804" s="198"/>
      <c r="O804" s="403"/>
      <c r="P804" s="198"/>
      <c r="Q804" s="438"/>
      <c r="R804" s="438"/>
      <c r="S804" s="403"/>
      <c r="T804" s="198"/>
      <c r="U804" s="403"/>
      <c r="V804" s="19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03"/>
      <c r="B805" s="198"/>
      <c r="C805" s="403"/>
      <c r="D805" s="198"/>
      <c r="E805" s="403"/>
      <c r="F805" s="198"/>
      <c r="G805" s="403"/>
      <c r="H805" s="198"/>
      <c r="I805" s="410"/>
      <c r="J805" s="142"/>
      <c r="K805" s="410"/>
      <c r="L805" s="142"/>
      <c r="M805" s="403"/>
      <c r="N805" s="198"/>
      <c r="O805" s="403"/>
      <c r="P805" s="198"/>
      <c r="Q805" s="438"/>
      <c r="R805" s="438"/>
      <c r="S805" s="403"/>
      <c r="T805" s="198"/>
      <c r="U805" s="403"/>
      <c r="V805" s="19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03"/>
      <c r="B806" s="198"/>
      <c r="C806" s="403"/>
      <c r="D806" s="198"/>
      <c r="E806" s="403"/>
      <c r="F806" s="198"/>
      <c r="G806" s="403"/>
      <c r="H806" s="198"/>
      <c r="I806" s="410"/>
      <c r="J806" s="142"/>
      <c r="K806" s="410"/>
      <c r="L806" s="142"/>
      <c r="M806" s="403"/>
      <c r="N806" s="198"/>
      <c r="O806" s="403"/>
      <c r="P806" s="198"/>
      <c r="Q806" s="438"/>
      <c r="R806" s="438"/>
      <c r="S806" s="403"/>
      <c r="T806" s="198"/>
      <c r="U806" s="403"/>
      <c r="V806" s="19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03"/>
      <c r="B807" s="198"/>
      <c r="C807" s="403"/>
      <c r="D807" s="198"/>
      <c r="E807" s="403"/>
      <c r="F807" s="198"/>
      <c r="G807" s="403"/>
      <c r="H807" s="198"/>
      <c r="I807" s="410"/>
      <c r="J807" s="142"/>
      <c r="K807" s="410"/>
      <c r="L807" s="142"/>
      <c r="M807" s="403"/>
      <c r="N807" s="198"/>
      <c r="O807" s="403"/>
      <c r="P807" s="198"/>
      <c r="Q807" s="438"/>
      <c r="R807" s="438"/>
      <c r="S807" s="403"/>
      <c r="T807" s="198"/>
      <c r="U807" s="403"/>
      <c r="V807" s="19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03"/>
      <c r="B808" s="198"/>
      <c r="C808" s="403"/>
      <c r="D808" s="198"/>
      <c r="E808" s="403"/>
      <c r="F808" s="198"/>
      <c r="G808" s="403"/>
      <c r="H808" s="198"/>
      <c r="I808" s="410"/>
      <c r="J808" s="142"/>
      <c r="K808" s="410"/>
      <c r="L808" s="142"/>
      <c r="M808" s="403"/>
      <c r="N808" s="198"/>
      <c r="O808" s="403"/>
      <c r="P808" s="198"/>
      <c r="Q808" s="438"/>
      <c r="R808" s="438"/>
      <c r="S808" s="403"/>
      <c r="T808" s="198"/>
      <c r="U808" s="403"/>
      <c r="V808" s="19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03"/>
      <c r="B809" s="198"/>
      <c r="C809" s="403"/>
      <c r="D809" s="198"/>
      <c r="E809" s="403"/>
      <c r="F809" s="198"/>
      <c r="G809" s="403"/>
      <c r="H809" s="198"/>
      <c r="I809" s="410"/>
      <c r="J809" s="142"/>
      <c r="K809" s="410"/>
      <c r="L809" s="142"/>
      <c r="M809" s="403"/>
      <c r="N809" s="198"/>
      <c r="O809" s="403"/>
      <c r="P809" s="198"/>
      <c r="Q809" s="438"/>
      <c r="R809" s="438"/>
      <c r="S809" s="403"/>
      <c r="T809" s="198"/>
      <c r="U809" s="403"/>
      <c r="V809" s="19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03"/>
      <c r="B810" s="198"/>
      <c r="C810" s="403"/>
      <c r="D810" s="198"/>
      <c r="E810" s="403"/>
      <c r="F810" s="198"/>
      <c r="G810" s="403"/>
      <c r="H810" s="198"/>
      <c r="I810" s="410"/>
      <c r="J810" s="142"/>
      <c r="K810" s="410"/>
      <c r="L810" s="142"/>
      <c r="M810" s="403"/>
      <c r="N810" s="198"/>
      <c r="O810" s="403"/>
      <c r="P810" s="198"/>
      <c r="Q810" s="438"/>
      <c r="R810" s="438"/>
      <c r="S810" s="403"/>
      <c r="T810" s="198"/>
      <c r="U810" s="403"/>
      <c r="V810" s="19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03"/>
      <c r="B811" s="198"/>
      <c r="C811" s="403"/>
      <c r="D811" s="198"/>
      <c r="E811" s="403"/>
      <c r="F811" s="198"/>
      <c r="G811" s="403"/>
      <c r="H811" s="198"/>
      <c r="I811" s="410"/>
      <c r="J811" s="142"/>
      <c r="K811" s="410"/>
      <c r="L811" s="142"/>
      <c r="M811" s="403"/>
      <c r="N811" s="198"/>
      <c r="O811" s="403"/>
      <c r="P811" s="198"/>
      <c r="Q811" s="438"/>
      <c r="R811" s="438"/>
      <c r="S811" s="403"/>
      <c r="T811" s="198"/>
      <c r="U811" s="403"/>
      <c r="V811" s="19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03"/>
      <c r="B812" s="198"/>
      <c r="C812" s="403"/>
      <c r="D812" s="198"/>
      <c r="E812" s="403"/>
      <c r="F812" s="198"/>
      <c r="G812" s="403"/>
      <c r="H812" s="198"/>
      <c r="I812" s="410"/>
      <c r="J812" s="142"/>
      <c r="K812" s="410"/>
      <c r="L812" s="142"/>
      <c r="M812" s="403"/>
      <c r="N812" s="198"/>
      <c r="O812" s="403"/>
      <c r="P812" s="198"/>
      <c r="Q812" s="438"/>
      <c r="R812" s="438"/>
      <c r="S812" s="403"/>
      <c r="T812" s="198"/>
      <c r="U812" s="403"/>
      <c r="V812" s="19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03"/>
      <c r="B813" s="198"/>
      <c r="C813" s="403"/>
      <c r="D813" s="198"/>
      <c r="E813" s="403"/>
      <c r="F813" s="198"/>
      <c r="G813" s="403"/>
      <c r="H813" s="198"/>
      <c r="I813" s="410"/>
      <c r="J813" s="142"/>
      <c r="K813" s="410"/>
      <c r="L813" s="142"/>
      <c r="M813" s="403"/>
      <c r="N813" s="198"/>
      <c r="O813" s="403"/>
      <c r="P813" s="198"/>
      <c r="Q813" s="438"/>
      <c r="R813" s="438"/>
      <c r="S813" s="403"/>
      <c r="T813" s="198"/>
      <c r="U813" s="403"/>
      <c r="V813" s="19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03"/>
      <c r="B814" s="198"/>
      <c r="C814" s="403"/>
      <c r="D814" s="198"/>
      <c r="E814" s="403"/>
      <c r="F814" s="198"/>
      <c r="G814" s="403"/>
      <c r="H814" s="198"/>
      <c r="I814" s="410"/>
      <c r="J814" s="142"/>
      <c r="K814" s="410"/>
      <c r="L814" s="142"/>
      <c r="M814" s="403"/>
      <c r="N814" s="198"/>
      <c r="O814" s="403"/>
      <c r="P814" s="198"/>
      <c r="Q814" s="438"/>
      <c r="R814" s="438"/>
      <c r="S814" s="403"/>
      <c r="T814" s="198"/>
      <c r="U814" s="403"/>
      <c r="V814" s="19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03"/>
      <c r="B815" s="198"/>
      <c r="C815" s="403"/>
      <c r="D815" s="198"/>
      <c r="E815" s="403"/>
      <c r="F815" s="198"/>
      <c r="G815" s="403"/>
      <c r="H815" s="198"/>
      <c r="I815" s="410"/>
      <c r="J815" s="142"/>
      <c r="K815" s="410"/>
      <c r="L815" s="142"/>
      <c r="M815" s="403"/>
      <c r="N815" s="198"/>
      <c r="O815" s="403"/>
      <c r="P815" s="198"/>
      <c r="Q815" s="438"/>
      <c r="R815" s="438"/>
      <c r="S815" s="403"/>
      <c r="T815" s="198"/>
      <c r="U815" s="403"/>
      <c r="V815" s="19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03"/>
      <c r="B816" s="198"/>
      <c r="C816" s="403"/>
      <c r="D816" s="198"/>
      <c r="E816" s="403"/>
      <c r="F816" s="198"/>
      <c r="G816" s="403"/>
      <c r="H816" s="198"/>
      <c r="I816" s="410"/>
      <c r="J816" s="142"/>
      <c r="K816" s="410"/>
      <c r="L816" s="142"/>
      <c r="M816" s="403"/>
      <c r="N816" s="198"/>
      <c r="O816" s="403"/>
      <c r="P816" s="198"/>
      <c r="Q816" s="438"/>
      <c r="R816" s="438"/>
      <c r="S816" s="403"/>
      <c r="T816" s="198"/>
      <c r="U816" s="403"/>
      <c r="V816" s="19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03"/>
      <c r="B817" s="198"/>
      <c r="C817" s="403"/>
      <c r="D817" s="198"/>
      <c r="E817" s="403"/>
      <c r="F817" s="198"/>
      <c r="G817" s="403"/>
      <c r="H817" s="198"/>
      <c r="I817" s="410"/>
      <c r="J817" s="142"/>
      <c r="K817" s="410"/>
      <c r="L817" s="142"/>
      <c r="M817" s="403"/>
      <c r="N817" s="198"/>
      <c r="O817" s="403"/>
      <c r="P817" s="198"/>
      <c r="Q817" s="438"/>
      <c r="R817" s="438"/>
      <c r="S817" s="403"/>
      <c r="T817" s="198"/>
      <c r="U817" s="403"/>
      <c r="V817" s="19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03"/>
      <c r="B818" s="198"/>
      <c r="C818" s="403"/>
      <c r="D818" s="198"/>
      <c r="E818" s="403"/>
      <c r="F818" s="198"/>
      <c r="G818" s="403"/>
      <c r="H818" s="198"/>
      <c r="I818" s="410"/>
      <c r="J818" s="142"/>
      <c r="K818" s="410"/>
      <c r="L818" s="142"/>
      <c r="M818" s="403"/>
      <c r="N818" s="198"/>
      <c r="O818" s="403"/>
      <c r="P818" s="198"/>
      <c r="Q818" s="438"/>
      <c r="R818" s="438"/>
      <c r="S818" s="403"/>
      <c r="T818" s="198"/>
      <c r="U818" s="403"/>
      <c r="V818" s="19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03"/>
      <c r="B819" s="198"/>
      <c r="C819" s="403"/>
      <c r="D819" s="198"/>
      <c r="E819" s="403"/>
      <c r="F819" s="198"/>
      <c r="G819" s="403"/>
      <c r="H819" s="198"/>
      <c r="I819" s="410"/>
      <c r="J819" s="142"/>
      <c r="K819" s="410"/>
      <c r="L819" s="142"/>
      <c r="M819" s="403"/>
      <c r="N819" s="198"/>
      <c r="O819" s="403"/>
      <c r="P819" s="198"/>
      <c r="Q819" s="438"/>
      <c r="R819" s="438"/>
      <c r="S819" s="403"/>
      <c r="T819" s="198"/>
      <c r="U819" s="403"/>
      <c r="V819" s="19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03"/>
      <c r="B820" s="198"/>
      <c r="C820" s="403"/>
      <c r="D820" s="198"/>
      <c r="E820" s="403"/>
      <c r="F820" s="198"/>
      <c r="G820" s="403"/>
      <c r="H820" s="198"/>
      <c r="I820" s="410"/>
      <c r="J820" s="142"/>
      <c r="K820" s="410"/>
      <c r="L820" s="142"/>
      <c r="M820" s="403"/>
      <c r="N820" s="198"/>
      <c r="O820" s="403"/>
      <c r="P820" s="198"/>
      <c r="Q820" s="438"/>
      <c r="R820" s="438"/>
      <c r="S820" s="403"/>
      <c r="T820" s="198"/>
      <c r="U820" s="403"/>
      <c r="V820" s="19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03"/>
      <c r="B821" s="198"/>
      <c r="C821" s="403"/>
      <c r="D821" s="198"/>
      <c r="E821" s="403"/>
      <c r="F821" s="198"/>
      <c r="G821" s="403"/>
      <c r="H821" s="198"/>
      <c r="I821" s="410"/>
      <c r="J821" s="142"/>
      <c r="K821" s="410"/>
      <c r="L821" s="142"/>
      <c r="M821" s="403"/>
      <c r="N821" s="198"/>
      <c r="O821" s="403"/>
      <c r="P821" s="198"/>
      <c r="Q821" s="438"/>
      <c r="R821" s="438"/>
      <c r="S821" s="403"/>
      <c r="T821" s="198"/>
      <c r="U821" s="403"/>
      <c r="V821" s="19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03"/>
      <c r="B822" s="198"/>
      <c r="C822" s="403"/>
      <c r="D822" s="198"/>
      <c r="E822" s="403"/>
      <c r="F822" s="198"/>
      <c r="G822" s="403"/>
      <c r="H822" s="198"/>
      <c r="I822" s="410"/>
      <c r="J822" s="142"/>
      <c r="K822" s="410"/>
      <c r="L822" s="142"/>
      <c r="M822" s="403"/>
      <c r="N822" s="198"/>
      <c r="O822" s="403"/>
      <c r="P822" s="198"/>
      <c r="Q822" s="438"/>
      <c r="R822" s="438"/>
      <c r="S822" s="403"/>
      <c r="T822" s="198"/>
      <c r="U822" s="403"/>
      <c r="V822" s="19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03"/>
      <c r="B823" s="198"/>
      <c r="C823" s="403"/>
      <c r="D823" s="198"/>
      <c r="E823" s="403"/>
      <c r="F823" s="198"/>
      <c r="G823" s="403"/>
      <c r="H823" s="198"/>
      <c r="I823" s="410"/>
      <c r="J823" s="142"/>
      <c r="K823" s="410"/>
      <c r="L823" s="142"/>
      <c r="M823" s="403"/>
      <c r="N823" s="198"/>
      <c r="O823" s="403"/>
      <c r="P823" s="198"/>
      <c r="Q823" s="438"/>
      <c r="R823" s="438"/>
      <c r="S823" s="403"/>
      <c r="T823" s="198"/>
      <c r="U823" s="403"/>
      <c r="V823" s="19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03"/>
      <c r="B824" s="198"/>
      <c r="C824" s="403"/>
      <c r="D824" s="198"/>
      <c r="E824" s="403"/>
      <c r="F824" s="198"/>
      <c r="G824" s="403"/>
      <c r="H824" s="198"/>
      <c r="I824" s="410"/>
      <c r="J824" s="142"/>
      <c r="K824" s="410"/>
      <c r="L824" s="142"/>
      <c r="M824" s="403"/>
      <c r="N824" s="198"/>
      <c r="O824" s="403"/>
      <c r="P824" s="198"/>
      <c r="Q824" s="438"/>
      <c r="R824" s="438"/>
      <c r="S824" s="403"/>
      <c r="T824" s="198"/>
      <c r="U824" s="403"/>
      <c r="V824" s="19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03"/>
      <c r="B825" s="198"/>
      <c r="C825" s="403"/>
      <c r="D825" s="198"/>
      <c r="E825" s="403"/>
      <c r="F825" s="198"/>
      <c r="G825" s="403"/>
      <c r="H825" s="198"/>
      <c r="I825" s="410"/>
      <c r="J825" s="142"/>
      <c r="K825" s="410"/>
      <c r="L825" s="142"/>
      <c r="M825" s="403"/>
      <c r="N825" s="198"/>
      <c r="O825" s="403"/>
      <c r="P825" s="198"/>
      <c r="Q825" s="438"/>
      <c r="R825" s="438"/>
      <c r="S825" s="403"/>
      <c r="T825" s="198"/>
      <c r="U825" s="403"/>
      <c r="V825" s="19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03"/>
      <c r="B826" s="198"/>
      <c r="C826" s="403"/>
      <c r="D826" s="198"/>
      <c r="E826" s="403"/>
      <c r="F826" s="198"/>
      <c r="G826" s="403"/>
      <c r="H826" s="198"/>
      <c r="I826" s="410"/>
      <c r="J826" s="142"/>
      <c r="K826" s="410"/>
      <c r="L826" s="142"/>
      <c r="M826" s="403"/>
      <c r="N826" s="198"/>
      <c r="O826" s="403"/>
      <c r="P826" s="198"/>
      <c r="Q826" s="438"/>
      <c r="R826" s="438"/>
      <c r="S826" s="403"/>
      <c r="T826" s="198"/>
      <c r="U826" s="403"/>
      <c r="V826" s="19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03"/>
      <c r="B827" s="198"/>
      <c r="C827" s="403"/>
      <c r="D827" s="198"/>
      <c r="E827" s="403"/>
      <c r="F827" s="198"/>
      <c r="G827" s="403"/>
      <c r="H827" s="198"/>
      <c r="I827" s="410"/>
      <c r="J827" s="142"/>
      <c r="K827" s="410"/>
      <c r="L827" s="142"/>
      <c r="M827" s="403"/>
      <c r="N827" s="198"/>
      <c r="O827" s="403"/>
      <c r="P827" s="198"/>
      <c r="Q827" s="438"/>
      <c r="R827" s="438"/>
      <c r="S827" s="403"/>
      <c r="T827" s="198"/>
      <c r="U827" s="403"/>
      <c r="V827" s="19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03"/>
      <c r="B828" s="198"/>
      <c r="C828" s="403"/>
      <c r="D828" s="198"/>
      <c r="E828" s="403"/>
      <c r="F828" s="198"/>
      <c r="G828" s="403"/>
      <c r="H828" s="198"/>
      <c r="I828" s="410"/>
      <c r="J828" s="142"/>
      <c r="K828" s="410"/>
      <c r="L828" s="142"/>
      <c r="M828" s="403"/>
      <c r="N828" s="198"/>
      <c r="O828" s="403"/>
      <c r="P828" s="198"/>
      <c r="Q828" s="438"/>
      <c r="R828" s="438"/>
      <c r="S828" s="403"/>
      <c r="T828" s="198"/>
      <c r="U828" s="403"/>
      <c r="V828" s="19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03"/>
      <c r="B829" s="198"/>
      <c r="C829" s="403"/>
      <c r="D829" s="198"/>
      <c r="E829" s="403"/>
      <c r="F829" s="198"/>
      <c r="G829" s="403"/>
      <c r="H829" s="198"/>
      <c r="I829" s="410"/>
      <c r="J829" s="142"/>
      <c r="K829" s="410"/>
      <c r="L829" s="142"/>
      <c r="M829" s="403"/>
      <c r="N829" s="198"/>
      <c r="O829" s="403"/>
      <c r="P829" s="198"/>
      <c r="Q829" s="438"/>
      <c r="R829" s="438"/>
      <c r="S829" s="403"/>
      <c r="T829" s="198"/>
      <c r="U829" s="403"/>
      <c r="V829" s="19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03"/>
      <c r="B830" s="198"/>
      <c r="C830" s="403"/>
      <c r="D830" s="198"/>
      <c r="E830" s="403"/>
      <c r="F830" s="198"/>
      <c r="G830" s="403"/>
      <c r="H830" s="198"/>
      <c r="I830" s="410"/>
      <c r="J830" s="142"/>
      <c r="K830" s="410"/>
      <c r="L830" s="142"/>
      <c r="M830" s="403"/>
      <c r="N830" s="198"/>
      <c r="O830" s="403"/>
      <c r="P830" s="198"/>
      <c r="Q830" s="438"/>
      <c r="R830" s="438"/>
      <c r="S830" s="403"/>
      <c r="T830" s="198"/>
      <c r="U830" s="403"/>
      <c r="V830" s="19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03"/>
      <c r="B831" s="198"/>
      <c r="C831" s="403"/>
      <c r="D831" s="198"/>
      <c r="E831" s="403"/>
      <c r="F831" s="198"/>
      <c r="G831" s="403"/>
      <c r="H831" s="198"/>
      <c r="I831" s="410"/>
      <c r="J831" s="142"/>
      <c r="K831" s="410"/>
      <c r="L831" s="142"/>
      <c r="M831" s="403"/>
      <c r="N831" s="198"/>
      <c r="O831" s="403"/>
      <c r="P831" s="198"/>
      <c r="Q831" s="438"/>
      <c r="R831" s="438"/>
      <c r="S831" s="403"/>
      <c r="T831" s="198"/>
      <c r="U831" s="403"/>
      <c r="V831" s="19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03"/>
      <c r="B832" s="198"/>
      <c r="C832" s="403"/>
      <c r="D832" s="198"/>
      <c r="E832" s="403"/>
      <c r="F832" s="198"/>
      <c r="G832" s="403"/>
      <c r="H832" s="198"/>
      <c r="I832" s="410"/>
      <c r="J832" s="142"/>
      <c r="K832" s="410"/>
      <c r="L832" s="142"/>
      <c r="M832" s="403"/>
      <c r="N832" s="198"/>
      <c r="O832" s="403"/>
      <c r="P832" s="198"/>
      <c r="Q832" s="438"/>
      <c r="R832" s="438"/>
      <c r="S832" s="403"/>
      <c r="T832" s="198"/>
      <c r="U832" s="403"/>
      <c r="V832" s="19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03"/>
      <c r="B833" s="198"/>
      <c r="C833" s="403"/>
      <c r="D833" s="198"/>
      <c r="E833" s="403"/>
      <c r="F833" s="198"/>
      <c r="G833" s="403"/>
      <c r="H833" s="198"/>
      <c r="I833" s="410"/>
      <c r="J833" s="142"/>
      <c r="K833" s="410"/>
      <c r="L833" s="142"/>
      <c r="M833" s="403"/>
      <c r="N833" s="198"/>
      <c r="O833" s="403"/>
      <c r="P833" s="198"/>
      <c r="Q833" s="438"/>
      <c r="R833" s="438"/>
      <c r="S833" s="403"/>
      <c r="T833" s="198"/>
      <c r="U833" s="403"/>
      <c r="V833" s="19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03"/>
      <c r="B834" s="198"/>
      <c r="C834" s="403"/>
      <c r="D834" s="198"/>
      <c r="E834" s="403"/>
      <c r="F834" s="198"/>
      <c r="G834" s="403"/>
      <c r="H834" s="198"/>
      <c r="I834" s="410"/>
      <c r="J834" s="142"/>
      <c r="K834" s="410"/>
      <c r="L834" s="142"/>
      <c r="M834" s="403"/>
      <c r="N834" s="198"/>
      <c r="O834" s="403"/>
      <c r="P834" s="198"/>
      <c r="Q834" s="438"/>
      <c r="R834" s="438"/>
      <c r="S834" s="403"/>
      <c r="T834" s="198"/>
      <c r="U834" s="403"/>
      <c r="V834" s="19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03"/>
      <c r="B835" s="198"/>
      <c r="C835" s="403"/>
      <c r="D835" s="198"/>
      <c r="E835" s="403"/>
      <c r="F835" s="198"/>
      <c r="G835" s="403"/>
      <c r="H835" s="198"/>
      <c r="I835" s="410"/>
      <c r="J835" s="142"/>
      <c r="K835" s="410"/>
      <c r="L835" s="142"/>
      <c r="M835" s="403"/>
      <c r="N835" s="198"/>
      <c r="O835" s="403"/>
      <c r="P835" s="198"/>
      <c r="Q835" s="438"/>
      <c r="R835" s="438"/>
      <c r="S835" s="403"/>
      <c r="T835" s="198"/>
      <c r="U835" s="403"/>
      <c r="V835" s="19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03"/>
      <c r="B836" s="198"/>
      <c r="C836" s="403"/>
      <c r="D836" s="198"/>
      <c r="E836" s="403"/>
      <c r="F836" s="198"/>
      <c r="G836" s="403"/>
      <c r="H836" s="198"/>
      <c r="I836" s="410"/>
      <c r="J836" s="142"/>
      <c r="K836" s="410"/>
      <c r="L836" s="142"/>
      <c r="M836" s="403"/>
      <c r="N836" s="198"/>
      <c r="O836" s="403"/>
      <c r="P836" s="198"/>
      <c r="Q836" s="438"/>
      <c r="R836" s="438"/>
      <c r="S836" s="403"/>
      <c r="T836" s="198"/>
      <c r="U836" s="403"/>
      <c r="V836" s="19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03"/>
      <c r="B837" s="198"/>
      <c r="C837" s="403"/>
      <c r="D837" s="198"/>
      <c r="E837" s="403"/>
      <c r="F837" s="198"/>
      <c r="G837" s="403"/>
      <c r="H837" s="198"/>
      <c r="I837" s="410"/>
      <c r="J837" s="142"/>
      <c r="K837" s="410"/>
      <c r="L837" s="142"/>
      <c r="M837" s="403"/>
      <c r="N837" s="198"/>
      <c r="O837" s="403"/>
      <c r="P837" s="198"/>
      <c r="Q837" s="438"/>
      <c r="R837" s="438"/>
      <c r="S837" s="403"/>
      <c r="T837" s="198"/>
      <c r="U837" s="403"/>
      <c r="V837" s="19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03"/>
      <c r="B838" s="198"/>
      <c r="C838" s="403"/>
      <c r="D838" s="198"/>
      <c r="E838" s="403"/>
      <c r="F838" s="198"/>
      <c r="G838" s="403"/>
      <c r="H838" s="198"/>
      <c r="I838" s="410"/>
      <c r="J838" s="142"/>
      <c r="K838" s="410"/>
      <c r="L838" s="142"/>
      <c r="M838" s="403"/>
      <c r="N838" s="198"/>
      <c r="O838" s="403"/>
      <c r="P838" s="198"/>
      <c r="Q838" s="438"/>
      <c r="R838" s="438"/>
      <c r="S838" s="403"/>
      <c r="T838" s="198"/>
      <c r="U838" s="403"/>
      <c r="V838" s="19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03"/>
      <c r="B839" s="198"/>
      <c r="C839" s="403"/>
      <c r="D839" s="198"/>
      <c r="E839" s="403"/>
      <c r="F839" s="198"/>
      <c r="G839" s="403"/>
      <c r="H839" s="198"/>
      <c r="I839" s="410"/>
      <c r="J839" s="142"/>
      <c r="K839" s="410"/>
      <c r="L839" s="142"/>
      <c r="M839" s="403"/>
      <c r="N839" s="198"/>
      <c r="O839" s="403"/>
      <c r="P839" s="198"/>
      <c r="Q839" s="438"/>
      <c r="R839" s="438"/>
      <c r="S839" s="403"/>
      <c r="T839" s="198"/>
      <c r="U839" s="403"/>
      <c r="V839" s="19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03"/>
      <c r="B840" s="198"/>
      <c r="C840" s="403"/>
      <c r="D840" s="198"/>
      <c r="E840" s="403"/>
      <c r="F840" s="198"/>
      <c r="G840" s="403"/>
      <c r="H840" s="198"/>
      <c r="I840" s="410"/>
      <c r="J840" s="142"/>
      <c r="K840" s="410"/>
      <c r="L840" s="142"/>
      <c r="M840" s="403"/>
      <c r="N840" s="198"/>
      <c r="O840" s="403"/>
      <c r="P840" s="198"/>
      <c r="Q840" s="438"/>
      <c r="R840" s="438"/>
      <c r="S840" s="403"/>
      <c r="T840" s="198"/>
      <c r="U840" s="403"/>
      <c r="V840" s="19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03"/>
      <c r="B841" s="198"/>
      <c r="C841" s="403"/>
      <c r="D841" s="198"/>
      <c r="E841" s="403"/>
      <c r="F841" s="198"/>
      <c r="G841" s="403"/>
      <c r="H841" s="198"/>
      <c r="I841" s="410"/>
      <c r="J841" s="142"/>
      <c r="K841" s="410"/>
      <c r="L841" s="142"/>
      <c r="M841" s="403"/>
      <c r="N841" s="198"/>
      <c r="O841" s="403"/>
      <c r="P841" s="198"/>
      <c r="Q841" s="438"/>
      <c r="R841" s="438"/>
      <c r="S841" s="403"/>
      <c r="T841" s="198"/>
      <c r="U841" s="403"/>
      <c r="V841" s="19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03"/>
      <c r="B842" s="198"/>
      <c r="C842" s="403"/>
      <c r="D842" s="198"/>
      <c r="E842" s="403"/>
      <c r="F842" s="198"/>
      <c r="G842" s="403"/>
      <c r="H842" s="198"/>
      <c r="I842" s="410"/>
      <c r="J842" s="142"/>
      <c r="K842" s="410"/>
      <c r="L842" s="142"/>
      <c r="M842" s="403"/>
      <c r="N842" s="198"/>
      <c r="O842" s="403"/>
      <c r="P842" s="198"/>
      <c r="Q842" s="438"/>
      <c r="R842" s="438"/>
      <c r="S842" s="403"/>
      <c r="T842" s="198"/>
      <c r="U842" s="403"/>
      <c r="V842" s="19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03"/>
      <c r="B843" s="198"/>
      <c r="C843" s="403"/>
      <c r="D843" s="198"/>
      <c r="E843" s="403"/>
      <c r="F843" s="198"/>
      <c r="G843" s="403"/>
      <c r="H843" s="198"/>
      <c r="I843" s="410"/>
      <c r="J843" s="142"/>
      <c r="K843" s="410"/>
      <c r="L843" s="142"/>
      <c r="M843" s="403"/>
      <c r="N843" s="198"/>
      <c r="O843" s="403"/>
      <c r="P843" s="198"/>
      <c r="Q843" s="438"/>
      <c r="R843" s="438"/>
      <c r="S843" s="403"/>
      <c r="T843" s="198"/>
      <c r="U843" s="403"/>
      <c r="V843" s="19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03"/>
      <c r="B844" s="198"/>
      <c r="C844" s="403"/>
      <c r="D844" s="198"/>
      <c r="E844" s="403"/>
      <c r="F844" s="198"/>
      <c r="G844" s="403"/>
      <c r="H844" s="198"/>
      <c r="I844" s="410"/>
      <c r="J844" s="142"/>
      <c r="K844" s="410"/>
      <c r="L844" s="142"/>
      <c r="M844" s="403"/>
      <c r="N844" s="198"/>
      <c r="O844" s="403"/>
      <c r="P844" s="198"/>
      <c r="Q844" s="438"/>
      <c r="R844" s="438"/>
      <c r="S844" s="403"/>
      <c r="T844" s="198"/>
      <c r="U844" s="403"/>
      <c r="V844" s="19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03"/>
      <c r="B845" s="198"/>
      <c r="C845" s="403"/>
      <c r="D845" s="198"/>
      <c r="E845" s="403"/>
      <c r="F845" s="198"/>
      <c r="G845" s="403"/>
      <c r="H845" s="198"/>
      <c r="I845" s="410"/>
      <c r="J845" s="142"/>
      <c r="K845" s="410"/>
      <c r="L845" s="142"/>
      <c r="M845" s="403"/>
      <c r="N845" s="198"/>
      <c r="O845" s="403"/>
      <c r="P845" s="198"/>
      <c r="Q845" s="438"/>
      <c r="R845" s="438"/>
      <c r="S845" s="403"/>
      <c r="T845" s="198"/>
      <c r="U845" s="403"/>
      <c r="V845" s="19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03"/>
      <c r="B846" s="198"/>
      <c r="C846" s="403"/>
      <c r="D846" s="198"/>
      <c r="E846" s="403"/>
      <c r="F846" s="198"/>
      <c r="G846" s="403"/>
      <c r="H846" s="198"/>
      <c r="I846" s="410"/>
      <c r="J846" s="142"/>
      <c r="K846" s="410"/>
      <c r="L846" s="142"/>
      <c r="M846" s="403"/>
      <c r="N846" s="198"/>
      <c r="O846" s="403"/>
      <c r="P846" s="198"/>
      <c r="Q846" s="438"/>
      <c r="R846" s="438"/>
      <c r="S846" s="403"/>
      <c r="T846" s="198"/>
      <c r="U846" s="403"/>
      <c r="V846" s="19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03"/>
      <c r="B847" s="198"/>
      <c r="C847" s="403"/>
      <c r="D847" s="198"/>
      <c r="E847" s="403"/>
      <c r="F847" s="198"/>
      <c r="G847" s="403"/>
      <c r="H847" s="198"/>
      <c r="I847" s="410"/>
      <c r="J847" s="142"/>
      <c r="K847" s="410"/>
      <c r="L847" s="142"/>
      <c r="M847" s="403"/>
      <c r="N847" s="198"/>
      <c r="O847" s="403"/>
      <c r="P847" s="198"/>
      <c r="Q847" s="438"/>
      <c r="R847" s="438"/>
      <c r="S847" s="403"/>
      <c r="T847" s="198"/>
      <c r="U847" s="403"/>
      <c r="V847" s="19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03"/>
      <c r="B848" s="198"/>
      <c r="C848" s="403"/>
      <c r="D848" s="198"/>
      <c r="E848" s="403"/>
      <c r="F848" s="198"/>
      <c r="G848" s="403"/>
      <c r="H848" s="198"/>
      <c r="I848" s="410"/>
      <c r="J848" s="142"/>
      <c r="K848" s="410"/>
      <c r="L848" s="142"/>
      <c r="M848" s="403"/>
      <c r="N848" s="198"/>
      <c r="O848" s="403"/>
      <c r="P848" s="198"/>
      <c r="Q848" s="438"/>
      <c r="R848" s="438"/>
      <c r="S848" s="403"/>
      <c r="T848" s="198"/>
      <c r="U848" s="403"/>
      <c r="V848" s="19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03"/>
      <c r="B849" s="198"/>
      <c r="C849" s="403"/>
      <c r="D849" s="198"/>
      <c r="E849" s="403"/>
      <c r="F849" s="198"/>
      <c r="G849" s="403"/>
      <c r="H849" s="198"/>
      <c r="I849" s="410"/>
      <c r="J849" s="142"/>
      <c r="K849" s="410"/>
      <c r="L849" s="142"/>
      <c r="M849" s="403"/>
      <c r="N849" s="198"/>
      <c r="O849" s="403"/>
      <c r="P849" s="198"/>
      <c r="Q849" s="438"/>
      <c r="R849" s="438"/>
      <c r="S849" s="403"/>
      <c r="T849" s="198"/>
      <c r="U849" s="403"/>
      <c r="V849" s="19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03"/>
      <c r="B850" s="198"/>
      <c r="C850" s="403"/>
      <c r="D850" s="198"/>
      <c r="E850" s="403"/>
      <c r="F850" s="198"/>
      <c r="G850" s="403"/>
      <c r="H850" s="198"/>
      <c r="I850" s="410"/>
      <c r="J850" s="142"/>
      <c r="K850" s="410"/>
      <c r="L850" s="142"/>
      <c r="M850" s="403"/>
      <c r="N850" s="198"/>
      <c r="O850" s="403"/>
      <c r="P850" s="198"/>
      <c r="Q850" s="438"/>
      <c r="R850" s="438"/>
      <c r="S850" s="403"/>
      <c r="T850" s="198"/>
      <c r="U850" s="403"/>
      <c r="V850" s="19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03"/>
      <c r="B851" s="198"/>
      <c r="C851" s="403"/>
      <c r="D851" s="198"/>
      <c r="E851" s="403"/>
      <c r="F851" s="198"/>
      <c r="G851" s="403"/>
      <c r="H851" s="198"/>
      <c r="I851" s="410"/>
      <c r="J851" s="142"/>
      <c r="K851" s="410"/>
      <c r="L851" s="142"/>
      <c r="M851" s="403"/>
      <c r="N851" s="198"/>
      <c r="O851" s="403"/>
      <c r="P851" s="198"/>
      <c r="Q851" s="438"/>
      <c r="R851" s="438"/>
      <c r="S851" s="403"/>
      <c r="T851" s="198"/>
      <c r="U851" s="403"/>
      <c r="V851" s="19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03"/>
      <c r="B852" s="198"/>
      <c r="C852" s="403"/>
      <c r="D852" s="198"/>
      <c r="E852" s="403"/>
      <c r="F852" s="198"/>
      <c r="G852" s="403"/>
      <c r="H852" s="198"/>
      <c r="I852" s="410"/>
      <c r="J852" s="142"/>
      <c r="K852" s="410"/>
      <c r="L852" s="142"/>
      <c r="M852" s="403"/>
      <c r="N852" s="198"/>
      <c r="O852" s="403"/>
      <c r="P852" s="198"/>
      <c r="Q852" s="438"/>
      <c r="R852" s="438"/>
      <c r="S852" s="403"/>
      <c r="T852" s="198"/>
      <c r="U852" s="403"/>
      <c r="V852" s="19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03"/>
      <c r="B853" s="198"/>
      <c r="C853" s="403"/>
      <c r="D853" s="198"/>
      <c r="E853" s="403"/>
      <c r="F853" s="198"/>
      <c r="G853" s="403"/>
      <c r="H853" s="198"/>
      <c r="I853" s="410"/>
      <c r="J853" s="142"/>
      <c r="K853" s="410"/>
      <c r="L853" s="142"/>
      <c r="M853" s="403"/>
      <c r="N853" s="198"/>
      <c r="O853" s="403"/>
      <c r="P853" s="198"/>
      <c r="Q853" s="438"/>
      <c r="R853" s="438"/>
      <c r="S853" s="403"/>
      <c r="T853" s="198"/>
      <c r="U853" s="403"/>
      <c r="V853" s="19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03"/>
      <c r="B854" s="198"/>
      <c r="C854" s="403"/>
      <c r="D854" s="198"/>
      <c r="E854" s="403"/>
      <c r="F854" s="198"/>
      <c r="G854" s="403"/>
      <c r="H854" s="198"/>
      <c r="I854" s="410"/>
      <c r="J854" s="142"/>
      <c r="K854" s="410"/>
      <c r="L854" s="142"/>
      <c r="M854" s="403"/>
      <c r="N854" s="198"/>
      <c r="O854" s="403"/>
      <c r="P854" s="198"/>
      <c r="Q854" s="438"/>
      <c r="R854" s="438"/>
      <c r="S854" s="403"/>
      <c r="T854" s="198"/>
      <c r="U854" s="403"/>
      <c r="V854" s="19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03"/>
      <c r="B855" s="198"/>
      <c r="C855" s="403"/>
      <c r="D855" s="198"/>
      <c r="E855" s="403"/>
      <c r="F855" s="198"/>
      <c r="G855" s="403"/>
      <c r="H855" s="198"/>
      <c r="I855" s="410"/>
      <c r="J855" s="142"/>
      <c r="K855" s="410"/>
      <c r="L855" s="142"/>
      <c r="M855" s="403"/>
      <c r="N855" s="198"/>
      <c r="O855" s="403"/>
      <c r="P855" s="198"/>
      <c r="Q855" s="438"/>
      <c r="R855" s="438"/>
      <c r="S855" s="403"/>
      <c r="T855" s="198"/>
      <c r="U855" s="403"/>
      <c r="V855" s="19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03"/>
      <c r="B856" s="198"/>
      <c r="C856" s="403"/>
      <c r="D856" s="198"/>
      <c r="E856" s="403"/>
      <c r="F856" s="198"/>
      <c r="G856" s="403"/>
      <c r="H856" s="198"/>
      <c r="I856" s="410"/>
      <c r="J856" s="142"/>
      <c r="K856" s="410"/>
      <c r="L856" s="142"/>
      <c r="M856" s="403"/>
      <c r="N856" s="198"/>
      <c r="O856" s="403"/>
      <c r="P856" s="198"/>
      <c r="Q856" s="438"/>
      <c r="R856" s="438"/>
      <c r="S856" s="403"/>
      <c r="T856" s="198"/>
      <c r="U856" s="403"/>
      <c r="V856" s="19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03"/>
      <c r="B857" s="198"/>
      <c r="C857" s="403"/>
      <c r="D857" s="198"/>
      <c r="E857" s="403"/>
      <c r="F857" s="198"/>
      <c r="G857" s="403"/>
      <c r="H857" s="198"/>
      <c r="I857" s="410"/>
      <c r="J857" s="142"/>
      <c r="K857" s="410"/>
      <c r="L857" s="142"/>
      <c r="M857" s="403"/>
      <c r="N857" s="198"/>
      <c r="O857" s="403"/>
      <c r="P857" s="198"/>
      <c r="Q857" s="438"/>
      <c r="R857" s="438"/>
      <c r="S857" s="403"/>
      <c r="T857" s="198"/>
      <c r="U857" s="403"/>
      <c r="V857" s="19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03"/>
      <c r="B858" s="198"/>
      <c r="C858" s="403"/>
      <c r="D858" s="198"/>
      <c r="E858" s="403"/>
      <c r="F858" s="198"/>
      <c r="G858" s="403"/>
      <c r="H858" s="198"/>
      <c r="I858" s="410"/>
      <c r="J858" s="142"/>
      <c r="K858" s="410"/>
      <c r="L858" s="142"/>
      <c r="M858" s="403"/>
      <c r="N858" s="198"/>
      <c r="O858" s="403"/>
      <c r="P858" s="198"/>
      <c r="Q858" s="438"/>
      <c r="R858" s="438"/>
      <c r="S858" s="403"/>
      <c r="T858" s="198"/>
      <c r="U858" s="403"/>
      <c r="V858" s="19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03"/>
      <c r="B859" s="198"/>
      <c r="C859" s="403"/>
      <c r="D859" s="198"/>
      <c r="E859" s="403"/>
      <c r="F859" s="198"/>
      <c r="G859" s="403"/>
      <c r="H859" s="198"/>
      <c r="I859" s="410"/>
      <c r="J859" s="142"/>
      <c r="K859" s="410"/>
      <c r="L859" s="142"/>
      <c r="M859" s="403"/>
      <c r="N859" s="198"/>
      <c r="O859" s="403"/>
      <c r="P859" s="198"/>
      <c r="Q859" s="438"/>
      <c r="R859" s="438"/>
      <c r="S859" s="403"/>
      <c r="T859" s="198"/>
      <c r="U859" s="403"/>
      <c r="V859" s="19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03"/>
      <c r="B860" s="198"/>
      <c r="C860" s="403"/>
      <c r="D860" s="198"/>
      <c r="E860" s="403"/>
      <c r="F860" s="198"/>
      <c r="G860" s="403"/>
      <c r="H860" s="198"/>
      <c r="I860" s="410"/>
      <c r="J860" s="142"/>
      <c r="K860" s="410"/>
      <c r="L860" s="142"/>
      <c r="M860" s="403"/>
      <c r="N860" s="198"/>
      <c r="O860" s="403"/>
      <c r="P860" s="198"/>
      <c r="Q860" s="438"/>
      <c r="R860" s="438"/>
      <c r="S860" s="403"/>
      <c r="T860" s="198"/>
      <c r="U860" s="403"/>
      <c r="V860" s="19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03"/>
      <c r="B861" s="198"/>
      <c r="C861" s="403"/>
      <c r="D861" s="198"/>
      <c r="E861" s="403"/>
      <c r="F861" s="198"/>
      <c r="G861" s="403"/>
      <c r="H861" s="198"/>
      <c r="I861" s="410"/>
      <c r="J861" s="142"/>
      <c r="K861" s="410"/>
      <c r="L861" s="142"/>
      <c r="M861" s="403"/>
      <c r="N861" s="198"/>
      <c r="O861" s="403"/>
      <c r="P861" s="198"/>
      <c r="Q861" s="438"/>
      <c r="R861" s="438"/>
      <c r="S861" s="403"/>
      <c r="T861" s="198"/>
      <c r="U861" s="403"/>
      <c r="V861" s="19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03"/>
      <c r="B862" s="198"/>
      <c r="C862" s="403"/>
      <c r="D862" s="198"/>
      <c r="E862" s="403"/>
      <c r="F862" s="198"/>
      <c r="G862" s="403"/>
      <c r="H862" s="198"/>
      <c r="I862" s="410"/>
      <c r="J862" s="142"/>
      <c r="K862" s="410"/>
      <c r="L862" s="142"/>
      <c r="M862" s="403"/>
      <c r="N862" s="198"/>
      <c r="O862" s="403"/>
      <c r="P862" s="198"/>
      <c r="Q862" s="438"/>
      <c r="R862" s="438"/>
      <c r="S862" s="403"/>
      <c r="T862" s="198"/>
      <c r="U862" s="403"/>
      <c r="V862" s="19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03"/>
      <c r="B863" s="198"/>
      <c r="C863" s="403"/>
      <c r="D863" s="198"/>
      <c r="E863" s="403"/>
      <c r="F863" s="198"/>
      <c r="G863" s="403"/>
      <c r="H863" s="198"/>
      <c r="I863" s="410"/>
      <c r="J863" s="142"/>
      <c r="K863" s="410"/>
      <c r="L863" s="142"/>
      <c r="M863" s="403"/>
      <c r="N863" s="198"/>
      <c r="O863" s="403"/>
      <c r="P863" s="198"/>
      <c r="Q863" s="438"/>
      <c r="R863" s="438"/>
      <c r="S863" s="403"/>
      <c r="T863" s="198"/>
      <c r="U863" s="403"/>
      <c r="V863" s="19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03"/>
      <c r="B864" s="198"/>
      <c r="C864" s="403"/>
      <c r="D864" s="198"/>
      <c r="E864" s="403"/>
      <c r="F864" s="198"/>
      <c r="G864" s="403"/>
      <c r="H864" s="198"/>
      <c r="I864" s="410"/>
      <c r="J864" s="142"/>
      <c r="K864" s="410"/>
      <c r="L864" s="142"/>
      <c r="M864" s="403"/>
      <c r="N864" s="198"/>
      <c r="O864" s="403"/>
      <c r="P864" s="198"/>
      <c r="Q864" s="438"/>
      <c r="R864" s="438"/>
      <c r="S864" s="403"/>
      <c r="T864" s="198"/>
      <c r="U864" s="403"/>
      <c r="V864" s="19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03"/>
      <c r="B865" s="198"/>
      <c r="C865" s="403"/>
      <c r="D865" s="198"/>
      <c r="E865" s="403"/>
      <c r="F865" s="198"/>
      <c r="G865" s="403"/>
      <c r="H865" s="198"/>
      <c r="I865" s="410"/>
      <c r="J865" s="142"/>
      <c r="K865" s="410"/>
      <c r="L865" s="142"/>
      <c r="M865" s="403"/>
      <c r="N865" s="198"/>
      <c r="O865" s="403"/>
      <c r="P865" s="198"/>
      <c r="Q865" s="438"/>
      <c r="R865" s="438"/>
      <c r="S865" s="403"/>
      <c r="T865" s="198"/>
      <c r="U865" s="403"/>
      <c r="V865" s="19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03"/>
      <c r="B866" s="198"/>
      <c r="C866" s="403"/>
      <c r="D866" s="198"/>
      <c r="E866" s="403"/>
      <c r="F866" s="198"/>
      <c r="G866" s="403"/>
      <c r="H866" s="198"/>
      <c r="I866" s="410"/>
      <c r="J866" s="142"/>
      <c r="K866" s="410"/>
      <c r="L866" s="142"/>
      <c r="M866" s="403"/>
      <c r="N866" s="198"/>
      <c r="O866" s="403"/>
      <c r="P866" s="198"/>
      <c r="Q866" s="438"/>
      <c r="R866" s="438"/>
      <c r="S866" s="403"/>
      <c r="T866" s="198"/>
      <c r="U866" s="403"/>
      <c r="V866" s="19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03"/>
      <c r="B867" s="198"/>
      <c r="C867" s="403"/>
      <c r="D867" s="198"/>
      <c r="E867" s="403"/>
      <c r="F867" s="198"/>
      <c r="G867" s="403"/>
      <c r="H867" s="198"/>
      <c r="I867" s="410"/>
      <c r="J867" s="142"/>
      <c r="K867" s="410"/>
      <c r="L867" s="142"/>
      <c r="M867" s="403"/>
      <c r="N867" s="198"/>
      <c r="O867" s="403"/>
      <c r="P867" s="198"/>
      <c r="Q867" s="438"/>
      <c r="R867" s="438"/>
      <c r="S867" s="403"/>
      <c r="T867" s="198"/>
      <c r="U867" s="403"/>
      <c r="V867" s="19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03"/>
      <c r="B868" s="198"/>
      <c r="C868" s="403"/>
      <c r="D868" s="198"/>
      <c r="E868" s="403"/>
      <c r="F868" s="198"/>
      <c r="G868" s="403"/>
      <c r="H868" s="198"/>
      <c r="I868" s="410"/>
      <c r="J868" s="142"/>
      <c r="K868" s="410"/>
      <c r="L868" s="142"/>
      <c r="M868" s="403"/>
      <c r="N868" s="198"/>
      <c r="O868" s="403"/>
      <c r="P868" s="198"/>
      <c r="Q868" s="438"/>
      <c r="R868" s="438"/>
      <c r="S868" s="403"/>
      <c r="T868" s="198"/>
      <c r="U868" s="403"/>
      <c r="V868" s="19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03"/>
      <c r="B869" s="198"/>
      <c r="C869" s="403"/>
      <c r="D869" s="198"/>
      <c r="E869" s="403"/>
      <c r="F869" s="198"/>
      <c r="G869" s="403"/>
      <c r="H869" s="198"/>
      <c r="I869" s="410"/>
      <c r="J869" s="142"/>
      <c r="K869" s="410"/>
      <c r="L869" s="142"/>
      <c r="M869" s="403"/>
      <c r="N869" s="198"/>
      <c r="O869" s="403"/>
      <c r="P869" s="198"/>
      <c r="Q869" s="438"/>
      <c r="R869" s="438"/>
      <c r="S869" s="403"/>
      <c r="T869" s="198"/>
      <c r="U869" s="403"/>
      <c r="V869" s="19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03"/>
      <c r="B870" s="198"/>
      <c r="C870" s="403"/>
      <c r="D870" s="198"/>
      <c r="E870" s="403"/>
      <c r="F870" s="198"/>
      <c r="G870" s="403"/>
      <c r="H870" s="198"/>
      <c r="I870" s="410"/>
      <c r="J870" s="142"/>
      <c r="K870" s="410"/>
      <c r="L870" s="142"/>
      <c r="M870" s="403"/>
      <c r="N870" s="198"/>
      <c r="O870" s="403"/>
      <c r="P870" s="198"/>
      <c r="Q870" s="438"/>
      <c r="R870" s="438"/>
      <c r="S870" s="403"/>
      <c r="T870" s="198"/>
      <c r="U870" s="403"/>
      <c r="V870" s="19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03"/>
      <c r="B871" s="198"/>
      <c r="C871" s="403"/>
      <c r="D871" s="198"/>
      <c r="E871" s="403"/>
      <c r="F871" s="198"/>
      <c r="G871" s="403"/>
      <c r="H871" s="198"/>
      <c r="I871" s="410"/>
      <c r="J871" s="142"/>
      <c r="K871" s="410"/>
      <c r="L871" s="142"/>
      <c r="M871" s="403"/>
      <c r="N871" s="198"/>
      <c r="O871" s="403"/>
      <c r="P871" s="198"/>
      <c r="Q871" s="438"/>
      <c r="R871" s="438"/>
      <c r="S871" s="403"/>
      <c r="T871" s="198"/>
      <c r="U871" s="403"/>
      <c r="V871" s="19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03"/>
      <c r="B872" s="198"/>
      <c r="C872" s="403"/>
      <c r="D872" s="198"/>
      <c r="E872" s="403"/>
      <c r="F872" s="198"/>
      <c r="G872" s="403"/>
      <c r="H872" s="198"/>
      <c r="I872" s="410"/>
      <c r="J872" s="142"/>
      <c r="K872" s="410"/>
      <c r="L872" s="142"/>
      <c r="M872" s="403"/>
      <c r="N872" s="198"/>
      <c r="O872" s="403"/>
      <c r="P872" s="198"/>
      <c r="Q872" s="438"/>
      <c r="R872" s="438"/>
      <c r="S872" s="403"/>
      <c r="T872" s="198"/>
      <c r="U872" s="403"/>
      <c r="V872" s="19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03"/>
      <c r="B873" s="198"/>
      <c r="C873" s="403"/>
      <c r="D873" s="198"/>
      <c r="E873" s="403"/>
      <c r="F873" s="198"/>
      <c r="G873" s="403"/>
      <c r="H873" s="198"/>
      <c r="I873" s="410"/>
      <c r="J873" s="142"/>
      <c r="K873" s="410"/>
      <c r="L873" s="142"/>
      <c r="M873" s="403"/>
      <c r="N873" s="198"/>
      <c r="O873" s="403"/>
      <c r="P873" s="198"/>
      <c r="Q873" s="438"/>
      <c r="R873" s="438"/>
      <c r="S873" s="403"/>
      <c r="T873" s="198"/>
      <c r="U873" s="403"/>
      <c r="V873" s="19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03"/>
      <c r="B874" s="198"/>
      <c r="C874" s="403"/>
      <c r="D874" s="198"/>
      <c r="E874" s="403"/>
      <c r="F874" s="198"/>
      <c r="G874" s="403"/>
      <c r="H874" s="198"/>
      <c r="I874" s="410"/>
      <c r="J874" s="142"/>
      <c r="K874" s="410"/>
      <c r="L874" s="142"/>
      <c r="M874" s="403"/>
      <c r="N874" s="198"/>
      <c r="O874" s="403"/>
      <c r="P874" s="198"/>
      <c r="Q874" s="438"/>
      <c r="R874" s="438"/>
      <c r="S874" s="403"/>
      <c r="T874" s="198"/>
      <c r="U874" s="403"/>
      <c r="V874" s="19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03"/>
      <c r="B875" s="198"/>
      <c r="C875" s="403"/>
      <c r="D875" s="198"/>
      <c r="E875" s="403"/>
      <c r="F875" s="198"/>
      <c r="G875" s="403"/>
      <c r="H875" s="198"/>
      <c r="I875" s="410"/>
      <c r="J875" s="142"/>
      <c r="K875" s="410"/>
      <c r="L875" s="142"/>
      <c r="M875" s="403"/>
      <c r="N875" s="198"/>
      <c r="O875" s="403"/>
      <c r="P875" s="198"/>
      <c r="Q875" s="438"/>
      <c r="R875" s="438"/>
      <c r="S875" s="403"/>
      <c r="T875" s="198"/>
      <c r="U875" s="403"/>
      <c r="V875" s="19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03"/>
      <c r="B876" s="198"/>
      <c r="C876" s="403"/>
      <c r="D876" s="198"/>
      <c r="E876" s="403"/>
      <c r="F876" s="198"/>
      <c r="G876" s="403"/>
      <c r="H876" s="198"/>
      <c r="I876" s="410"/>
      <c r="J876" s="142"/>
      <c r="K876" s="410"/>
      <c r="L876" s="142"/>
      <c r="M876" s="403"/>
      <c r="N876" s="198"/>
      <c r="O876" s="403"/>
      <c r="P876" s="198"/>
      <c r="Q876" s="438"/>
      <c r="R876" s="438"/>
      <c r="S876" s="403"/>
      <c r="T876" s="198"/>
      <c r="U876" s="403"/>
      <c r="V876" s="19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03"/>
      <c r="B877" s="198"/>
      <c r="C877" s="403"/>
      <c r="D877" s="198"/>
      <c r="E877" s="403"/>
      <c r="F877" s="198"/>
      <c r="G877" s="403"/>
      <c r="H877" s="198"/>
      <c r="I877" s="410"/>
      <c r="J877" s="142"/>
      <c r="K877" s="410"/>
      <c r="L877" s="142"/>
      <c r="M877" s="403"/>
      <c r="N877" s="198"/>
      <c r="O877" s="403"/>
      <c r="P877" s="198"/>
      <c r="Q877" s="438"/>
      <c r="R877" s="438"/>
      <c r="S877" s="403"/>
      <c r="T877" s="198"/>
      <c r="U877" s="403"/>
      <c r="V877" s="19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03"/>
      <c r="B878" s="198"/>
      <c r="C878" s="403"/>
      <c r="D878" s="198"/>
      <c r="E878" s="403"/>
      <c r="F878" s="198"/>
      <c r="G878" s="403"/>
      <c r="H878" s="198"/>
      <c r="I878" s="410"/>
      <c r="J878" s="142"/>
      <c r="K878" s="410"/>
      <c r="L878" s="142"/>
      <c r="M878" s="403"/>
      <c r="N878" s="198"/>
      <c r="O878" s="403"/>
      <c r="P878" s="198"/>
      <c r="Q878" s="438"/>
      <c r="R878" s="438"/>
      <c r="S878" s="403"/>
      <c r="T878" s="198"/>
      <c r="U878" s="403"/>
      <c r="V878" s="19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03"/>
      <c r="B879" s="198"/>
      <c r="C879" s="403"/>
      <c r="D879" s="198"/>
      <c r="E879" s="403"/>
      <c r="F879" s="198"/>
      <c r="G879" s="403"/>
      <c r="H879" s="198"/>
      <c r="I879" s="410"/>
      <c r="J879" s="142"/>
      <c r="K879" s="410"/>
      <c r="L879" s="142"/>
      <c r="M879" s="403"/>
      <c r="N879" s="198"/>
      <c r="O879" s="403"/>
      <c r="P879" s="198"/>
      <c r="Q879" s="438"/>
      <c r="R879" s="438"/>
      <c r="S879" s="403"/>
      <c r="T879" s="198"/>
      <c r="U879" s="403"/>
      <c r="V879" s="19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03"/>
      <c r="B880" s="198"/>
      <c r="C880" s="403"/>
      <c r="D880" s="198"/>
      <c r="E880" s="403"/>
      <c r="F880" s="198"/>
      <c r="G880" s="403"/>
      <c r="H880" s="198"/>
      <c r="I880" s="410"/>
      <c r="J880" s="142"/>
      <c r="K880" s="410"/>
      <c r="L880" s="142"/>
      <c r="M880" s="403"/>
      <c r="N880" s="198"/>
      <c r="O880" s="403"/>
      <c r="P880" s="198"/>
      <c r="Q880" s="438"/>
      <c r="R880" s="438"/>
      <c r="S880" s="403"/>
      <c r="T880" s="198"/>
      <c r="U880" s="403"/>
      <c r="V880" s="19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03"/>
      <c r="B881" s="198"/>
      <c r="C881" s="403"/>
      <c r="D881" s="198"/>
      <c r="E881" s="403"/>
      <c r="F881" s="198"/>
      <c r="G881" s="403"/>
      <c r="H881" s="198"/>
      <c r="I881" s="410"/>
      <c r="J881" s="142"/>
      <c r="K881" s="410"/>
      <c r="L881" s="142"/>
      <c r="M881" s="403"/>
      <c r="N881" s="198"/>
      <c r="O881" s="403"/>
      <c r="P881" s="198"/>
      <c r="Q881" s="438"/>
      <c r="R881" s="438"/>
      <c r="S881" s="403"/>
      <c r="T881" s="198"/>
      <c r="U881" s="403"/>
      <c r="V881" s="19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03"/>
      <c r="B882" s="198"/>
      <c r="C882" s="403"/>
      <c r="D882" s="198"/>
      <c r="E882" s="403"/>
      <c r="F882" s="198"/>
      <c r="G882" s="403"/>
      <c r="H882" s="198"/>
      <c r="I882" s="410"/>
      <c r="J882" s="142"/>
      <c r="K882" s="410"/>
      <c r="L882" s="142"/>
      <c r="M882" s="403"/>
      <c r="N882" s="198"/>
      <c r="O882" s="403"/>
      <c r="P882" s="198"/>
      <c r="Q882" s="438"/>
      <c r="R882" s="438"/>
      <c r="S882" s="403"/>
      <c r="T882" s="198"/>
      <c r="U882" s="403"/>
      <c r="V882" s="19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03"/>
      <c r="B883" s="198"/>
      <c r="C883" s="403"/>
      <c r="D883" s="198"/>
      <c r="E883" s="403"/>
      <c r="F883" s="198"/>
      <c r="G883" s="403"/>
      <c r="H883" s="198"/>
      <c r="I883" s="410"/>
      <c r="J883" s="142"/>
      <c r="K883" s="410"/>
      <c r="L883" s="142"/>
      <c r="M883" s="403"/>
      <c r="N883" s="198"/>
      <c r="O883" s="403"/>
      <c r="P883" s="198"/>
      <c r="Q883" s="438"/>
      <c r="R883" s="438"/>
      <c r="S883" s="403"/>
      <c r="T883" s="198"/>
      <c r="U883" s="403"/>
      <c r="V883" s="19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03"/>
      <c r="B884" s="198"/>
      <c r="C884" s="403"/>
      <c r="D884" s="198"/>
      <c r="E884" s="403"/>
      <c r="F884" s="198"/>
      <c r="G884" s="403"/>
      <c r="H884" s="198"/>
      <c r="I884" s="410"/>
      <c r="J884" s="142"/>
      <c r="K884" s="410"/>
      <c r="L884" s="142"/>
      <c r="M884" s="403"/>
      <c r="N884" s="198"/>
      <c r="O884" s="403"/>
      <c r="P884" s="198"/>
      <c r="Q884" s="438"/>
      <c r="R884" s="438"/>
      <c r="S884" s="403"/>
      <c r="T884" s="198"/>
      <c r="U884" s="403"/>
      <c r="V884" s="19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03"/>
      <c r="B885" s="198"/>
      <c r="C885" s="403"/>
      <c r="D885" s="198"/>
      <c r="E885" s="403"/>
      <c r="F885" s="198"/>
      <c r="G885" s="403"/>
      <c r="H885" s="198"/>
      <c r="I885" s="410"/>
      <c r="J885" s="142"/>
      <c r="K885" s="410"/>
      <c r="L885" s="142"/>
      <c r="M885" s="403"/>
      <c r="N885" s="198"/>
      <c r="O885" s="403"/>
      <c r="P885" s="198"/>
      <c r="Q885" s="438"/>
      <c r="R885" s="438"/>
      <c r="S885" s="403"/>
      <c r="T885" s="198"/>
      <c r="U885" s="403"/>
      <c r="V885" s="19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03"/>
      <c r="B886" s="198"/>
      <c r="C886" s="403"/>
      <c r="D886" s="198"/>
      <c r="E886" s="403"/>
      <c r="F886" s="198"/>
      <c r="G886" s="403"/>
      <c r="H886" s="198"/>
      <c r="I886" s="410"/>
      <c r="J886" s="142"/>
      <c r="K886" s="410"/>
      <c r="L886" s="142"/>
      <c r="M886" s="403"/>
      <c r="N886" s="198"/>
      <c r="O886" s="403"/>
      <c r="P886" s="198"/>
      <c r="Q886" s="438"/>
      <c r="R886" s="438"/>
      <c r="S886" s="403"/>
      <c r="T886" s="198"/>
      <c r="U886" s="403"/>
      <c r="V886" s="19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03"/>
      <c r="B887" s="198"/>
      <c r="C887" s="403"/>
      <c r="D887" s="198"/>
      <c r="E887" s="403"/>
      <c r="F887" s="198"/>
      <c r="G887" s="403"/>
      <c r="H887" s="198"/>
      <c r="I887" s="410"/>
      <c r="J887" s="142"/>
      <c r="K887" s="410"/>
      <c r="L887" s="142"/>
      <c r="M887" s="403"/>
      <c r="N887" s="198"/>
      <c r="O887" s="403"/>
      <c r="P887" s="198"/>
      <c r="Q887" s="438"/>
      <c r="R887" s="438"/>
      <c r="S887" s="403"/>
      <c r="T887" s="198"/>
      <c r="U887" s="403"/>
      <c r="V887" s="19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03"/>
      <c r="B888" s="198"/>
      <c r="C888" s="403"/>
      <c r="D888" s="198"/>
      <c r="E888" s="403"/>
      <c r="F888" s="198"/>
      <c r="G888" s="403"/>
      <c r="H888" s="198"/>
      <c r="I888" s="410"/>
      <c r="J888" s="142"/>
      <c r="K888" s="410"/>
      <c r="L888" s="142"/>
      <c r="M888" s="403"/>
      <c r="N888" s="198"/>
      <c r="O888" s="403"/>
      <c r="P888" s="198"/>
      <c r="Q888" s="438"/>
      <c r="R888" s="438"/>
      <c r="S888" s="403"/>
      <c r="T888" s="198"/>
      <c r="U888" s="403"/>
      <c r="V888" s="19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03"/>
      <c r="B889" s="198"/>
      <c r="C889" s="403"/>
      <c r="D889" s="198"/>
      <c r="E889" s="403"/>
      <c r="F889" s="198"/>
      <c r="G889" s="403"/>
      <c r="H889" s="198"/>
      <c r="I889" s="410"/>
      <c r="J889" s="142"/>
      <c r="K889" s="410"/>
      <c r="L889" s="142"/>
      <c r="M889" s="403"/>
      <c r="N889" s="198"/>
      <c r="O889" s="403"/>
      <c r="P889" s="198"/>
      <c r="Q889" s="438"/>
      <c r="R889" s="438"/>
      <c r="S889" s="403"/>
      <c r="T889" s="198"/>
      <c r="U889" s="403"/>
      <c r="V889" s="19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03"/>
      <c r="B890" s="198"/>
      <c r="C890" s="403"/>
      <c r="D890" s="198"/>
      <c r="E890" s="403"/>
      <c r="F890" s="198"/>
      <c r="G890" s="403"/>
      <c r="H890" s="198"/>
      <c r="I890" s="410"/>
      <c r="J890" s="142"/>
      <c r="K890" s="410"/>
      <c r="L890" s="142"/>
      <c r="M890" s="403"/>
      <c r="N890" s="198"/>
      <c r="O890" s="403"/>
      <c r="P890" s="198"/>
      <c r="Q890" s="438"/>
      <c r="R890" s="438"/>
      <c r="S890" s="403"/>
      <c r="T890" s="198"/>
      <c r="U890" s="403"/>
      <c r="V890" s="19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03"/>
      <c r="B891" s="198"/>
      <c r="C891" s="403"/>
      <c r="D891" s="198"/>
      <c r="E891" s="403"/>
      <c r="F891" s="198"/>
      <c r="G891" s="403"/>
      <c r="H891" s="198"/>
      <c r="I891" s="410"/>
      <c r="J891" s="142"/>
      <c r="K891" s="410"/>
      <c r="L891" s="142"/>
      <c r="M891" s="403"/>
      <c r="N891" s="198"/>
      <c r="O891" s="403"/>
      <c r="P891" s="198"/>
      <c r="Q891" s="438"/>
      <c r="R891" s="438"/>
      <c r="S891" s="403"/>
      <c r="T891" s="198"/>
      <c r="U891" s="403"/>
      <c r="V891" s="19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03"/>
      <c r="B892" s="198"/>
      <c r="C892" s="403"/>
      <c r="D892" s="198"/>
      <c r="E892" s="403"/>
      <c r="F892" s="198"/>
      <c r="G892" s="403"/>
      <c r="H892" s="198"/>
      <c r="I892" s="410"/>
      <c r="J892" s="142"/>
      <c r="K892" s="410"/>
      <c r="L892" s="142"/>
      <c r="M892" s="403"/>
      <c r="N892" s="198"/>
      <c r="O892" s="403"/>
      <c r="P892" s="198"/>
      <c r="Q892" s="438"/>
      <c r="R892" s="438"/>
      <c r="S892" s="403"/>
      <c r="T892" s="198"/>
      <c r="U892" s="403"/>
      <c r="V892" s="19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03"/>
      <c r="B893" s="198"/>
      <c r="C893" s="403"/>
      <c r="D893" s="198"/>
      <c r="E893" s="403"/>
      <c r="F893" s="198"/>
      <c r="G893" s="403"/>
      <c r="H893" s="198"/>
      <c r="I893" s="410"/>
      <c r="J893" s="142"/>
      <c r="K893" s="410"/>
      <c r="L893" s="142"/>
      <c r="M893" s="403"/>
      <c r="N893" s="198"/>
      <c r="O893" s="403"/>
      <c r="P893" s="198"/>
      <c r="Q893" s="438"/>
      <c r="R893" s="438"/>
      <c r="S893" s="403"/>
      <c r="T893" s="198"/>
      <c r="U893" s="403"/>
      <c r="V893" s="19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03"/>
      <c r="B894" s="198"/>
      <c r="C894" s="403"/>
      <c r="D894" s="198"/>
      <c r="E894" s="403"/>
      <c r="F894" s="198"/>
      <c r="G894" s="403"/>
      <c r="H894" s="198"/>
      <c r="I894" s="410"/>
      <c r="J894" s="142"/>
      <c r="K894" s="410"/>
      <c r="L894" s="142"/>
      <c r="M894" s="403"/>
      <c r="N894" s="198"/>
      <c r="O894" s="403"/>
      <c r="P894" s="198"/>
      <c r="Q894" s="438"/>
      <c r="R894" s="438"/>
      <c r="S894" s="403"/>
      <c r="T894" s="198"/>
      <c r="U894" s="403"/>
      <c r="V894" s="19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03"/>
      <c r="B895" s="198"/>
      <c r="C895" s="403"/>
      <c r="D895" s="198"/>
      <c r="E895" s="403"/>
      <c r="F895" s="198"/>
      <c r="G895" s="403"/>
      <c r="H895" s="198"/>
      <c r="I895" s="410"/>
      <c r="J895" s="142"/>
      <c r="K895" s="410"/>
      <c r="L895" s="142"/>
      <c r="M895" s="403"/>
      <c r="N895" s="198"/>
      <c r="O895" s="403"/>
      <c r="P895" s="198"/>
      <c r="Q895" s="438"/>
      <c r="R895" s="438"/>
      <c r="S895" s="403"/>
      <c r="T895" s="198"/>
      <c r="U895" s="403"/>
      <c r="V895" s="19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03"/>
      <c r="B896" s="198"/>
      <c r="C896" s="403"/>
      <c r="D896" s="198"/>
      <c r="E896" s="403"/>
      <c r="F896" s="198"/>
      <c r="G896" s="403"/>
      <c r="H896" s="198"/>
      <c r="I896" s="410"/>
      <c r="J896" s="142"/>
      <c r="K896" s="410"/>
      <c r="L896" s="142"/>
      <c r="M896" s="403"/>
      <c r="N896" s="198"/>
      <c r="O896" s="403"/>
      <c r="P896" s="198"/>
      <c r="Q896" s="438"/>
      <c r="R896" s="438"/>
      <c r="S896" s="403"/>
      <c r="T896" s="198"/>
      <c r="U896" s="403"/>
      <c r="V896" s="19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03"/>
      <c r="B897" s="198"/>
      <c r="C897" s="403"/>
      <c r="D897" s="198"/>
      <c r="E897" s="403"/>
      <c r="F897" s="198"/>
      <c r="G897" s="403"/>
      <c r="H897" s="198"/>
      <c r="I897" s="410"/>
      <c r="J897" s="142"/>
      <c r="K897" s="410"/>
      <c r="L897" s="142"/>
      <c r="M897" s="403"/>
      <c r="N897" s="198"/>
      <c r="O897" s="403"/>
      <c r="P897" s="198"/>
      <c r="Q897" s="438"/>
      <c r="R897" s="438"/>
      <c r="S897" s="403"/>
      <c r="T897" s="198"/>
      <c r="U897" s="403"/>
      <c r="V897" s="19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03"/>
      <c r="B898" s="198"/>
      <c r="C898" s="403"/>
      <c r="D898" s="198"/>
      <c r="E898" s="403"/>
      <c r="F898" s="198"/>
      <c r="G898" s="403"/>
      <c r="H898" s="198"/>
      <c r="I898" s="410"/>
      <c r="J898" s="142"/>
      <c r="K898" s="410"/>
      <c r="L898" s="142"/>
      <c r="M898" s="403"/>
      <c r="N898" s="198"/>
      <c r="O898" s="403"/>
      <c r="P898" s="198"/>
      <c r="Q898" s="438"/>
      <c r="R898" s="438"/>
      <c r="S898" s="403"/>
      <c r="T898" s="198"/>
      <c r="U898" s="403"/>
      <c r="V898" s="19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03"/>
      <c r="B899" s="198"/>
      <c r="C899" s="403"/>
      <c r="D899" s="198"/>
      <c r="E899" s="403"/>
      <c r="F899" s="198"/>
      <c r="G899" s="403"/>
      <c r="H899" s="198"/>
      <c r="I899" s="410"/>
      <c r="J899" s="142"/>
      <c r="K899" s="410"/>
      <c r="L899" s="142"/>
      <c r="M899" s="403"/>
      <c r="N899" s="198"/>
      <c r="O899" s="403"/>
      <c r="P899" s="198"/>
      <c r="Q899" s="438"/>
      <c r="R899" s="438"/>
      <c r="S899" s="403"/>
      <c r="T899" s="198"/>
      <c r="U899" s="403"/>
      <c r="V899" s="19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03"/>
      <c r="B900" s="198"/>
      <c r="C900" s="403"/>
      <c r="D900" s="198"/>
      <c r="E900" s="403"/>
      <c r="F900" s="198"/>
      <c r="G900" s="403"/>
      <c r="H900" s="198"/>
      <c r="I900" s="410"/>
      <c r="J900" s="142"/>
      <c r="K900" s="410"/>
      <c r="L900" s="142"/>
      <c r="M900" s="403"/>
      <c r="N900" s="198"/>
      <c r="O900" s="403"/>
      <c r="P900" s="198"/>
      <c r="Q900" s="438"/>
      <c r="R900" s="438"/>
      <c r="S900" s="403"/>
      <c r="T900" s="198"/>
      <c r="U900" s="403"/>
      <c r="V900" s="19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03"/>
      <c r="B901" s="198"/>
      <c r="C901" s="403"/>
      <c r="D901" s="198"/>
      <c r="E901" s="403"/>
      <c r="F901" s="198"/>
      <c r="G901" s="403"/>
      <c r="H901" s="198"/>
      <c r="I901" s="410"/>
      <c r="J901" s="142"/>
      <c r="K901" s="410"/>
      <c r="L901" s="142"/>
      <c r="M901" s="403"/>
      <c r="N901" s="198"/>
      <c r="O901" s="403"/>
      <c r="P901" s="198"/>
      <c r="Q901" s="438"/>
      <c r="R901" s="438"/>
      <c r="S901" s="403"/>
      <c r="T901" s="198"/>
      <c r="U901" s="403"/>
      <c r="V901" s="19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03"/>
      <c r="B902" s="198"/>
      <c r="C902" s="403"/>
      <c r="D902" s="198"/>
      <c r="E902" s="403"/>
      <c r="F902" s="198"/>
      <c r="G902" s="403"/>
      <c r="H902" s="198"/>
      <c r="I902" s="410"/>
      <c r="J902" s="142"/>
      <c r="K902" s="410"/>
      <c r="L902" s="142"/>
      <c r="M902" s="403"/>
      <c r="N902" s="198"/>
      <c r="O902" s="403"/>
      <c r="P902" s="198"/>
      <c r="Q902" s="438"/>
      <c r="R902" s="438"/>
      <c r="S902" s="403"/>
      <c r="T902" s="198"/>
      <c r="U902" s="403"/>
      <c r="V902" s="19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03"/>
      <c r="B903" s="198"/>
      <c r="C903" s="403"/>
      <c r="D903" s="198"/>
      <c r="E903" s="403"/>
      <c r="F903" s="198"/>
      <c r="G903" s="403"/>
      <c r="H903" s="198"/>
      <c r="I903" s="410"/>
      <c r="J903" s="142"/>
      <c r="K903" s="410"/>
      <c r="L903" s="142"/>
      <c r="M903" s="403"/>
      <c r="N903" s="198"/>
      <c r="O903" s="403"/>
      <c r="P903" s="198"/>
      <c r="Q903" s="438"/>
      <c r="R903" s="438"/>
      <c r="S903" s="403"/>
      <c r="T903" s="198"/>
      <c r="U903" s="403"/>
      <c r="V903" s="19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03"/>
      <c r="B904" s="198"/>
      <c r="C904" s="403"/>
      <c r="D904" s="198"/>
      <c r="E904" s="403"/>
      <c r="F904" s="198"/>
      <c r="G904" s="403"/>
      <c r="H904" s="198"/>
      <c r="I904" s="410"/>
      <c r="J904" s="142"/>
      <c r="K904" s="410"/>
      <c r="L904" s="142"/>
      <c r="M904" s="403"/>
      <c r="N904" s="198"/>
      <c r="O904" s="403"/>
      <c r="P904" s="198"/>
      <c r="Q904" s="438"/>
      <c r="R904" s="438"/>
      <c r="S904" s="403"/>
      <c r="T904" s="198"/>
      <c r="U904" s="403"/>
      <c r="V904" s="19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03"/>
      <c r="B905" s="198"/>
      <c r="C905" s="403"/>
      <c r="D905" s="198"/>
      <c r="E905" s="403"/>
      <c r="F905" s="198"/>
      <c r="G905" s="403"/>
      <c r="H905" s="198"/>
      <c r="I905" s="410"/>
      <c r="J905" s="142"/>
      <c r="K905" s="410"/>
      <c r="L905" s="142"/>
      <c r="M905" s="403"/>
      <c r="N905" s="198"/>
      <c r="O905" s="403"/>
      <c r="P905" s="198"/>
      <c r="Q905" s="438"/>
      <c r="R905" s="438"/>
      <c r="S905" s="403"/>
      <c r="T905" s="198"/>
      <c r="U905" s="403"/>
      <c r="V905" s="19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03"/>
      <c r="B906" s="198"/>
      <c r="C906" s="403"/>
      <c r="D906" s="198"/>
      <c r="E906" s="403"/>
      <c r="F906" s="198"/>
      <c r="G906" s="403"/>
      <c r="H906" s="198"/>
      <c r="I906" s="410"/>
      <c r="J906" s="142"/>
      <c r="K906" s="410"/>
      <c r="L906" s="142"/>
      <c r="M906" s="403"/>
      <c r="N906" s="198"/>
      <c r="O906" s="403"/>
      <c r="P906" s="198"/>
      <c r="Q906" s="438"/>
      <c r="R906" s="438"/>
      <c r="S906" s="403"/>
      <c r="T906" s="198"/>
      <c r="U906" s="403"/>
      <c r="V906" s="19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03"/>
      <c r="B907" s="198"/>
      <c r="C907" s="403"/>
      <c r="D907" s="198"/>
      <c r="E907" s="403"/>
      <c r="F907" s="198"/>
      <c r="G907" s="403"/>
      <c r="H907" s="198"/>
      <c r="I907" s="410"/>
      <c r="J907" s="142"/>
      <c r="K907" s="410"/>
      <c r="L907" s="142"/>
      <c r="M907" s="403"/>
      <c r="N907" s="198"/>
      <c r="O907" s="403"/>
      <c r="P907" s="198"/>
      <c r="Q907" s="438"/>
      <c r="R907" s="438"/>
      <c r="S907" s="403"/>
      <c r="T907" s="198"/>
      <c r="U907" s="403"/>
      <c r="V907" s="19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03"/>
      <c r="B908" s="198"/>
      <c r="C908" s="403"/>
      <c r="D908" s="198"/>
      <c r="E908" s="403"/>
      <c r="F908" s="198"/>
      <c r="G908" s="403"/>
      <c r="H908" s="198"/>
      <c r="I908" s="410"/>
      <c r="J908" s="142"/>
      <c r="K908" s="410"/>
      <c r="L908" s="142"/>
      <c r="M908" s="403"/>
      <c r="N908" s="198"/>
      <c r="O908" s="403"/>
      <c r="P908" s="198"/>
      <c r="Q908" s="438"/>
      <c r="R908" s="438"/>
      <c r="S908" s="403"/>
      <c r="T908" s="198"/>
      <c r="U908" s="403"/>
      <c r="V908" s="19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03"/>
      <c r="B909" s="198"/>
      <c r="C909" s="403"/>
      <c r="D909" s="198"/>
      <c r="E909" s="403"/>
      <c r="F909" s="198"/>
      <c r="G909" s="403"/>
      <c r="H909" s="198"/>
      <c r="I909" s="410"/>
      <c r="J909" s="142"/>
      <c r="K909" s="410"/>
      <c r="L909" s="142"/>
      <c r="M909" s="403"/>
      <c r="N909" s="198"/>
      <c r="O909" s="403"/>
      <c r="P909" s="198"/>
      <c r="Q909" s="438"/>
      <c r="R909" s="438"/>
      <c r="S909" s="403"/>
      <c r="T909" s="198"/>
      <c r="U909" s="403"/>
      <c r="V909" s="19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03"/>
      <c r="B910" s="198"/>
      <c r="C910" s="403"/>
      <c r="D910" s="198"/>
      <c r="E910" s="403"/>
      <c r="F910" s="198"/>
      <c r="G910" s="403"/>
      <c r="H910" s="198"/>
      <c r="I910" s="410"/>
      <c r="J910" s="142"/>
      <c r="K910" s="410"/>
      <c r="L910" s="142"/>
      <c r="M910" s="403"/>
      <c r="N910" s="198"/>
      <c r="O910" s="403"/>
      <c r="P910" s="198"/>
      <c r="Q910" s="438"/>
      <c r="R910" s="438"/>
      <c r="S910" s="403"/>
      <c r="T910" s="198"/>
      <c r="U910" s="403"/>
      <c r="V910" s="19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03"/>
      <c r="B911" s="198"/>
      <c r="C911" s="403"/>
      <c r="D911" s="198"/>
      <c r="E911" s="403"/>
      <c r="F911" s="198"/>
      <c r="G911" s="403"/>
      <c r="H911" s="198"/>
      <c r="I911" s="410"/>
      <c r="J911" s="142"/>
      <c r="K911" s="410"/>
      <c r="L911" s="142"/>
      <c r="M911" s="403"/>
      <c r="N911" s="198"/>
      <c r="O911" s="403"/>
      <c r="P911" s="198"/>
      <c r="Q911" s="438"/>
      <c r="R911" s="438"/>
      <c r="S911" s="403"/>
      <c r="T911" s="198"/>
      <c r="U911" s="403"/>
      <c r="V911" s="19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03"/>
      <c r="B912" s="198"/>
      <c r="C912" s="403"/>
      <c r="D912" s="198"/>
      <c r="E912" s="403"/>
      <c r="F912" s="198"/>
      <c r="G912" s="403"/>
      <c r="H912" s="198"/>
      <c r="I912" s="410"/>
      <c r="J912" s="142"/>
      <c r="K912" s="410"/>
      <c r="L912" s="142"/>
      <c r="M912" s="403"/>
      <c r="N912" s="198"/>
      <c r="O912" s="403"/>
      <c r="P912" s="198"/>
      <c r="Q912" s="438"/>
      <c r="R912" s="438"/>
      <c r="S912" s="403"/>
      <c r="T912" s="198"/>
      <c r="U912" s="403"/>
      <c r="V912" s="19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03"/>
      <c r="B913" s="198"/>
      <c r="C913" s="403"/>
      <c r="D913" s="198"/>
      <c r="E913" s="403"/>
      <c r="F913" s="198"/>
      <c r="G913" s="403"/>
      <c r="H913" s="198"/>
      <c r="I913" s="410"/>
      <c r="J913" s="142"/>
      <c r="K913" s="410"/>
      <c r="L913" s="142"/>
      <c r="M913" s="403"/>
      <c r="N913" s="198"/>
      <c r="O913" s="403"/>
      <c r="P913" s="198"/>
      <c r="Q913" s="438"/>
      <c r="R913" s="438"/>
      <c r="S913" s="403"/>
      <c r="T913" s="198"/>
      <c r="U913" s="403"/>
      <c r="V913" s="19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03"/>
      <c r="B914" s="198"/>
      <c r="C914" s="403"/>
      <c r="D914" s="198"/>
      <c r="E914" s="403"/>
      <c r="F914" s="198"/>
      <c r="G914" s="403"/>
      <c r="H914" s="198"/>
      <c r="I914" s="410"/>
      <c r="J914" s="142"/>
      <c r="K914" s="410"/>
      <c r="L914" s="142"/>
      <c r="M914" s="403"/>
      <c r="N914" s="198"/>
      <c r="O914" s="403"/>
      <c r="P914" s="198"/>
      <c r="Q914" s="438"/>
      <c r="R914" s="438"/>
      <c r="S914" s="403"/>
      <c r="T914" s="198"/>
      <c r="U914" s="403"/>
      <c r="V914" s="19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03"/>
      <c r="B915" s="198"/>
      <c r="C915" s="403"/>
      <c r="D915" s="198"/>
      <c r="E915" s="403"/>
      <c r="F915" s="198"/>
      <c r="G915" s="403"/>
      <c r="H915" s="198"/>
      <c r="I915" s="410"/>
      <c r="J915" s="142"/>
      <c r="K915" s="410"/>
      <c r="L915" s="142"/>
      <c r="M915" s="403"/>
      <c r="N915" s="198"/>
      <c r="O915" s="403"/>
      <c r="P915" s="198"/>
      <c r="Q915" s="438"/>
      <c r="R915" s="438"/>
      <c r="S915" s="403"/>
      <c r="T915" s="198"/>
      <c r="U915" s="403"/>
      <c r="V915" s="19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03"/>
      <c r="B916" s="198"/>
      <c r="C916" s="403"/>
      <c r="D916" s="198"/>
      <c r="E916" s="403"/>
      <c r="F916" s="198"/>
      <c r="G916" s="403"/>
      <c r="H916" s="198"/>
      <c r="I916" s="410"/>
      <c r="J916" s="142"/>
      <c r="K916" s="410"/>
      <c r="L916" s="142"/>
      <c r="M916" s="403"/>
      <c r="N916" s="198"/>
      <c r="O916" s="403"/>
      <c r="P916" s="198"/>
      <c r="Q916" s="438"/>
      <c r="R916" s="438"/>
      <c r="S916" s="403"/>
      <c r="T916" s="198"/>
      <c r="U916" s="403"/>
      <c r="V916" s="19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03"/>
      <c r="B917" s="198"/>
      <c r="C917" s="403"/>
      <c r="D917" s="198"/>
      <c r="E917" s="403"/>
      <c r="F917" s="198"/>
      <c r="G917" s="403"/>
      <c r="H917" s="198"/>
      <c r="I917" s="410"/>
      <c r="J917" s="142"/>
      <c r="K917" s="410"/>
      <c r="L917" s="142"/>
      <c r="M917" s="403"/>
      <c r="N917" s="198"/>
      <c r="O917" s="403"/>
      <c r="P917" s="198"/>
      <c r="Q917" s="438"/>
      <c r="R917" s="438"/>
      <c r="S917" s="403"/>
      <c r="T917" s="198"/>
      <c r="U917" s="403"/>
      <c r="V917" s="19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03"/>
      <c r="B918" s="198"/>
      <c r="C918" s="403"/>
      <c r="D918" s="198"/>
      <c r="E918" s="403"/>
      <c r="F918" s="198"/>
      <c r="G918" s="403"/>
      <c r="H918" s="198"/>
      <c r="I918" s="410"/>
      <c r="J918" s="142"/>
      <c r="K918" s="410"/>
      <c r="L918" s="142"/>
      <c r="M918" s="403"/>
      <c r="N918" s="198"/>
      <c r="O918" s="403"/>
      <c r="P918" s="198"/>
      <c r="Q918" s="438"/>
      <c r="R918" s="438"/>
      <c r="S918" s="403"/>
      <c r="T918" s="198"/>
      <c r="U918" s="403"/>
      <c r="V918" s="19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03"/>
      <c r="B919" s="198"/>
      <c r="C919" s="403"/>
      <c r="D919" s="198"/>
      <c r="E919" s="403"/>
      <c r="F919" s="198"/>
      <c r="G919" s="403"/>
      <c r="H919" s="198"/>
      <c r="I919" s="410"/>
      <c r="J919" s="142"/>
      <c r="K919" s="410"/>
      <c r="L919" s="142"/>
      <c r="M919" s="403"/>
      <c r="N919" s="198"/>
      <c r="O919" s="403"/>
      <c r="P919" s="198"/>
      <c r="Q919" s="438"/>
      <c r="R919" s="438"/>
      <c r="S919" s="403"/>
      <c r="T919" s="198"/>
      <c r="U919" s="403"/>
      <c r="V919" s="19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03"/>
      <c r="B920" s="198"/>
      <c r="C920" s="403"/>
      <c r="D920" s="198"/>
      <c r="E920" s="403"/>
      <c r="F920" s="198"/>
      <c r="G920" s="403"/>
      <c r="H920" s="198"/>
      <c r="I920" s="410"/>
      <c r="J920" s="142"/>
      <c r="K920" s="410"/>
      <c r="L920" s="142"/>
      <c r="M920" s="403"/>
      <c r="N920" s="198"/>
      <c r="O920" s="403"/>
      <c r="P920" s="198"/>
      <c r="Q920" s="438"/>
      <c r="R920" s="438"/>
      <c r="S920" s="403"/>
      <c r="T920" s="198"/>
      <c r="U920" s="403"/>
      <c r="V920" s="19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03"/>
      <c r="B921" s="198"/>
      <c r="C921" s="403"/>
      <c r="D921" s="198"/>
      <c r="E921" s="403"/>
      <c r="F921" s="198"/>
      <c r="G921" s="403"/>
      <c r="H921" s="198"/>
      <c r="I921" s="410"/>
      <c r="J921" s="142"/>
      <c r="K921" s="410"/>
      <c r="L921" s="142"/>
      <c r="M921" s="403"/>
      <c r="N921" s="198"/>
      <c r="O921" s="403"/>
      <c r="P921" s="198"/>
      <c r="Q921" s="438"/>
      <c r="R921" s="438"/>
      <c r="S921" s="403"/>
      <c r="T921" s="198"/>
      <c r="U921" s="403"/>
      <c r="V921" s="19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03"/>
      <c r="B922" s="198"/>
      <c r="C922" s="403"/>
      <c r="D922" s="198"/>
      <c r="E922" s="403"/>
      <c r="F922" s="198"/>
      <c r="G922" s="403"/>
      <c r="H922" s="198"/>
      <c r="I922" s="410"/>
      <c r="J922" s="142"/>
      <c r="K922" s="410"/>
      <c r="L922" s="142"/>
      <c r="M922" s="403"/>
      <c r="N922" s="198"/>
      <c r="O922" s="403"/>
      <c r="P922" s="198"/>
      <c r="Q922" s="438"/>
      <c r="R922" s="438"/>
      <c r="S922" s="403"/>
      <c r="T922" s="198"/>
      <c r="U922" s="403"/>
      <c r="V922" s="19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03"/>
      <c r="B923" s="198"/>
      <c r="C923" s="403"/>
      <c r="D923" s="198"/>
      <c r="E923" s="403"/>
      <c r="F923" s="198"/>
      <c r="G923" s="403"/>
      <c r="H923" s="198"/>
      <c r="I923" s="410"/>
      <c r="J923" s="142"/>
      <c r="K923" s="410"/>
      <c r="L923" s="142"/>
      <c r="M923" s="403"/>
      <c r="N923" s="198"/>
      <c r="O923" s="403"/>
      <c r="P923" s="198"/>
      <c r="Q923" s="438"/>
      <c r="R923" s="438"/>
      <c r="S923" s="403"/>
      <c r="T923" s="198"/>
      <c r="U923" s="403"/>
      <c r="V923" s="19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03"/>
      <c r="B924" s="198"/>
      <c r="C924" s="403"/>
      <c r="D924" s="198"/>
      <c r="E924" s="403"/>
      <c r="F924" s="198"/>
      <c r="G924" s="403"/>
      <c r="H924" s="198"/>
      <c r="I924" s="410"/>
      <c r="J924" s="142"/>
      <c r="K924" s="410"/>
      <c r="L924" s="142"/>
      <c r="M924" s="403"/>
      <c r="N924" s="198"/>
      <c r="O924" s="403"/>
      <c r="P924" s="198"/>
      <c r="Q924" s="438"/>
      <c r="R924" s="438"/>
      <c r="S924" s="403"/>
      <c r="T924" s="198"/>
      <c r="U924" s="403"/>
      <c r="V924" s="19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03"/>
      <c r="B925" s="198"/>
      <c r="C925" s="403"/>
      <c r="D925" s="198"/>
      <c r="E925" s="403"/>
      <c r="F925" s="198"/>
      <c r="G925" s="403"/>
      <c r="H925" s="198"/>
      <c r="I925" s="410"/>
      <c r="J925" s="142"/>
      <c r="K925" s="410"/>
      <c r="L925" s="142"/>
      <c r="M925" s="403"/>
      <c r="N925" s="198"/>
      <c r="O925" s="403"/>
      <c r="P925" s="198"/>
      <c r="Q925" s="438"/>
      <c r="R925" s="438"/>
      <c r="S925" s="403"/>
      <c r="T925" s="198"/>
      <c r="U925" s="403"/>
      <c r="V925" s="19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03"/>
      <c r="B926" s="198"/>
      <c r="C926" s="403"/>
      <c r="D926" s="198"/>
      <c r="E926" s="403"/>
      <c r="F926" s="198"/>
      <c r="G926" s="403"/>
      <c r="H926" s="198"/>
      <c r="I926" s="410"/>
      <c r="J926" s="142"/>
      <c r="K926" s="410"/>
      <c r="L926" s="142"/>
      <c r="M926" s="403"/>
      <c r="N926" s="198"/>
      <c r="O926" s="403"/>
      <c r="P926" s="198"/>
      <c r="Q926" s="438"/>
      <c r="R926" s="438"/>
      <c r="S926" s="403"/>
      <c r="T926" s="198"/>
      <c r="U926" s="403"/>
      <c r="V926" s="19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03"/>
      <c r="B927" s="198"/>
      <c r="C927" s="403"/>
      <c r="D927" s="198"/>
      <c r="E927" s="403"/>
      <c r="F927" s="198"/>
      <c r="G927" s="403"/>
      <c r="H927" s="198"/>
      <c r="I927" s="410"/>
      <c r="J927" s="142"/>
      <c r="K927" s="410"/>
      <c r="L927" s="142"/>
      <c r="M927" s="403"/>
      <c r="N927" s="198"/>
      <c r="O927" s="403"/>
      <c r="P927" s="198"/>
      <c r="Q927" s="438"/>
      <c r="R927" s="438"/>
      <c r="S927" s="403"/>
      <c r="T927" s="198"/>
      <c r="U927" s="403"/>
      <c r="V927" s="19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03"/>
      <c r="B928" s="198"/>
      <c r="C928" s="403"/>
      <c r="D928" s="198"/>
      <c r="E928" s="403"/>
      <c r="F928" s="198"/>
      <c r="G928" s="403"/>
      <c r="H928" s="198"/>
      <c r="I928" s="410"/>
      <c r="J928" s="142"/>
      <c r="K928" s="410"/>
      <c r="L928" s="142"/>
      <c r="M928" s="403"/>
      <c r="N928" s="198"/>
      <c r="O928" s="403"/>
      <c r="P928" s="198"/>
      <c r="Q928" s="438"/>
      <c r="R928" s="438"/>
      <c r="S928" s="403"/>
      <c r="T928" s="198"/>
      <c r="U928" s="403"/>
      <c r="V928" s="19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03"/>
      <c r="B929" s="198"/>
      <c r="C929" s="403"/>
      <c r="D929" s="198"/>
      <c r="E929" s="403"/>
      <c r="F929" s="198"/>
      <c r="G929" s="403"/>
      <c r="H929" s="198"/>
      <c r="I929" s="410"/>
      <c r="J929" s="142"/>
      <c r="K929" s="410"/>
      <c r="L929" s="142"/>
      <c r="M929" s="403"/>
      <c r="N929" s="198"/>
      <c r="O929" s="403"/>
      <c r="P929" s="198"/>
      <c r="Q929" s="438"/>
      <c r="R929" s="438"/>
      <c r="S929" s="403"/>
      <c r="T929" s="198"/>
      <c r="U929" s="403"/>
      <c r="V929" s="19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03"/>
      <c r="B930" s="198"/>
      <c r="C930" s="403"/>
      <c r="D930" s="198"/>
      <c r="E930" s="403"/>
      <c r="F930" s="198"/>
      <c r="G930" s="403"/>
      <c r="H930" s="198"/>
      <c r="I930" s="410"/>
      <c r="J930" s="142"/>
      <c r="K930" s="410"/>
      <c r="L930" s="142"/>
      <c r="M930" s="403"/>
      <c r="N930" s="198"/>
      <c r="O930" s="403"/>
      <c r="P930" s="198"/>
      <c r="Q930" s="438"/>
      <c r="R930" s="438"/>
      <c r="S930" s="403"/>
      <c r="T930" s="198"/>
      <c r="U930" s="403"/>
      <c r="V930" s="19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03"/>
      <c r="B931" s="198"/>
      <c r="C931" s="403"/>
      <c r="D931" s="198"/>
      <c r="E931" s="403"/>
      <c r="F931" s="198"/>
      <c r="G931" s="403"/>
      <c r="H931" s="198"/>
      <c r="I931" s="410"/>
      <c r="J931" s="142"/>
      <c r="K931" s="410"/>
      <c r="L931" s="142"/>
      <c r="M931" s="403"/>
      <c r="N931" s="198"/>
      <c r="O931" s="403"/>
      <c r="P931" s="198"/>
      <c r="Q931" s="438"/>
      <c r="R931" s="438"/>
      <c r="S931" s="403"/>
      <c r="T931" s="198"/>
      <c r="U931" s="403"/>
      <c r="V931" s="19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03"/>
      <c r="B932" s="198"/>
      <c r="C932" s="403"/>
      <c r="D932" s="198"/>
      <c r="E932" s="403"/>
      <c r="F932" s="198"/>
      <c r="G932" s="403"/>
      <c r="H932" s="198"/>
      <c r="I932" s="410"/>
      <c r="J932" s="142"/>
      <c r="K932" s="410"/>
      <c r="L932" s="142"/>
      <c r="M932" s="403"/>
      <c r="N932" s="198"/>
      <c r="O932" s="403"/>
      <c r="P932" s="198"/>
      <c r="Q932" s="438"/>
      <c r="R932" s="438"/>
      <c r="S932" s="403"/>
      <c r="T932" s="198"/>
      <c r="U932" s="403"/>
      <c r="V932" s="19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03"/>
      <c r="B933" s="198"/>
      <c r="C933" s="403"/>
      <c r="D933" s="198"/>
      <c r="E933" s="403"/>
      <c r="F933" s="198"/>
      <c r="G933" s="403"/>
      <c r="H933" s="198"/>
      <c r="I933" s="410"/>
      <c r="J933" s="142"/>
      <c r="K933" s="410"/>
      <c r="L933" s="142"/>
      <c r="M933" s="403"/>
      <c r="N933" s="198"/>
      <c r="O933" s="403"/>
      <c r="P933" s="198"/>
      <c r="Q933" s="438"/>
      <c r="R933" s="438"/>
      <c r="S933" s="403"/>
      <c r="T933" s="198"/>
      <c r="U933" s="403"/>
      <c r="V933" s="19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03"/>
      <c r="B934" s="198"/>
      <c r="C934" s="403"/>
      <c r="D934" s="198"/>
      <c r="E934" s="403"/>
      <c r="F934" s="198"/>
      <c r="G934" s="403"/>
      <c r="H934" s="198"/>
      <c r="I934" s="410"/>
      <c r="J934" s="142"/>
      <c r="K934" s="410"/>
      <c r="L934" s="142"/>
      <c r="M934" s="403"/>
      <c r="N934" s="198"/>
      <c r="O934" s="403"/>
      <c r="P934" s="198"/>
      <c r="Q934" s="438"/>
      <c r="R934" s="438"/>
      <c r="S934" s="403"/>
      <c r="T934" s="198"/>
      <c r="U934" s="403"/>
      <c r="V934" s="19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03"/>
      <c r="B935" s="198"/>
      <c r="C935" s="403"/>
      <c r="D935" s="198"/>
      <c r="E935" s="403"/>
      <c r="F935" s="198"/>
      <c r="G935" s="403"/>
      <c r="H935" s="198"/>
      <c r="I935" s="410"/>
      <c r="J935" s="142"/>
      <c r="K935" s="410"/>
      <c r="L935" s="142"/>
      <c r="M935" s="403"/>
      <c r="N935" s="198"/>
      <c r="O935" s="403"/>
      <c r="P935" s="198"/>
      <c r="Q935" s="438"/>
      <c r="R935" s="438"/>
      <c r="S935" s="403"/>
      <c r="T935" s="198"/>
      <c r="U935" s="403"/>
      <c r="V935" s="19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03"/>
      <c r="B936" s="198"/>
      <c r="C936" s="403"/>
      <c r="D936" s="198"/>
      <c r="E936" s="403"/>
      <c r="F936" s="198"/>
      <c r="G936" s="403"/>
      <c r="H936" s="198"/>
      <c r="I936" s="410"/>
      <c r="J936" s="142"/>
      <c r="K936" s="410"/>
      <c r="L936" s="142"/>
      <c r="M936" s="403"/>
      <c r="N936" s="198"/>
      <c r="O936" s="403"/>
      <c r="P936" s="198"/>
      <c r="Q936" s="438"/>
      <c r="R936" s="438"/>
      <c r="S936" s="403"/>
      <c r="T936" s="198"/>
      <c r="U936" s="403"/>
      <c r="V936" s="19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03"/>
      <c r="B937" s="198"/>
      <c r="C937" s="403"/>
      <c r="D937" s="198"/>
      <c r="E937" s="403"/>
      <c r="F937" s="198"/>
      <c r="G937" s="403"/>
      <c r="H937" s="198"/>
      <c r="I937" s="410"/>
      <c r="J937" s="142"/>
      <c r="K937" s="410"/>
      <c r="L937" s="142"/>
      <c r="M937" s="403"/>
      <c r="N937" s="198"/>
      <c r="O937" s="403"/>
      <c r="P937" s="198"/>
      <c r="Q937" s="438"/>
      <c r="R937" s="438"/>
      <c r="S937" s="403"/>
      <c r="T937" s="198"/>
      <c r="U937" s="403"/>
      <c r="V937" s="19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03"/>
      <c r="B938" s="198"/>
      <c r="C938" s="403"/>
      <c r="D938" s="198"/>
      <c r="E938" s="403"/>
      <c r="F938" s="198"/>
      <c r="G938" s="403"/>
      <c r="H938" s="198"/>
      <c r="I938" s="410"/>
      <c r="J938" s="142"/>
      <c r="K938" s="410"/>
      <c r="L938" s="142"/>
      <c r="M938" s="403"/>
      <c r="N938" s="198"/>
      <c r="O938" s="403"/>
      <c r="P938" s="198"/>
      <c r="Q938" s="438"/>
      <c r="R938" s="438"/>
      <c r="S938" s="403"/>
      <c r="T938" s="198"/>
      <c r="U938" s="403"/>
      <c r="V938" s="19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03"/>
      <c r="B939" s="198"/>
      <c r="C939" s="403"/>
      <c r="D939" s="198"/>
      <c r="E939" s="403"/>
      <c r="F939" s="198"/>
      <c r="G939" s="403"/>
      <c r="H939" s="198"/>
      <c r="I939" s="410"/>
      <c r="J939" s="142"/>
      <c r="K939" s="410"/>
      <c r="L939" s="142"/>
      <c r="M939" s="403"/>
      <c r="N939" s="198"/>
      <c r="O939" s="403"/>
      <c r="P939" s="198"/>
      <c r="Q939" s="438"/>
      <c r="R939" s="438"/>
      <c r="S939" s="403"/>
      <c r="T939" s="198"/>
      <c r="U939" s="403"/>
      <c r="V939" s="19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03"/>
      <c r="B940" s="198"/>
      <c r="C940" s="403"/>
      <c r="D940" s="198"/>
      <c r="E940" s="403"/>
      <c r="F940" s="198"/>
      <c r="G940" s="403"/>
      <c r="H940" s="198"/>
      <c r="I940" s="410"/>
      <c r="J940" s="142"/>
      <c r="K940" s="410"/>
      <c r="L940" s="142"/>
      <c r="M940" s="403"/>
      <c r="N940" s="198"/>
      <c r="O940" s="403"/>
      <c r="P940" s="198"/>
      <c r="Q940" s="438"/>
      <c r="R940" s="438"/>
      <c r="S940" s="403"/>
      <c r="T940" s="198"/>
      <c r="U940" s="403"/>
      <c r="V940" s="19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03"/>
      <c r="B941" s="198"/>
      <c r="C941" s="403"/>
      <c r="D941" s="198"/>
      <c r="E941" s="403"/>
      <c r="F941" s="198"/>
      <c r="G941" s="403"/>
      <c r="H941" s="198"/>
      <c r="I941" s="410"/>
      <c r="J941" s="142"/>
      <c r="K941" s="410"/>
      <c r="L941" s="142"/>
      <c r="M941" s="403"/>
      <c r="N941" s="198"/>
      <c r="O941" s="403"/>
      <c r="P941" s="198"/>
      <c r="Q941" s="438"/>
      <c r="R941" s="438"/>
      <c r="S941" s="403"/>
      <c r="T941" s="198"/>
      <c r="U941" s="403"/>
      <c r="V941" s="19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03"/>
      <c r="B942" s="198"/>
      <c r="C942" s="403"/>
      <c r="D942" s="198"/>
      <c r="E942" s="403"/>
      <c r="F942" s="198"/>
      <c r="G942" s="403"/>
      <c r="H942" s="198"/>
      <c r="I942" s="410"/>
      <c r="J942" s="142"/>
      <c r="K942" s="410"/>
      <c r="L942" s="142"/>
      <c r="M942" s="403"/>
      <c r="N942" s="198"/>
      <c r="O942" s="403"/>
      <c r="P942" s="198"/>
      <c r="Q942" s="438"/>
      <c r="R942" s="438"/>
      <c r="S942" s="403"/>
      <c r="T942" s="198"/>
      <c r="U942" s="403"/>
      <c r="V942" s="19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03"/>
      <c r="B943" s="198"/>
      <c r="C943" s="403"/>
      <c r="D943" s="198"/>
      <c r="E943" s="403"/>
      <c r="F943" s="198"/>
      <c r="G943" s="403"/>
      <c r="H943" s="198"/>
      <c r="I943" s="410"/>
      <c r="J943" s="142"/>
      <c r="K943" s="410"/>
      <c r="L943" s="142"/>
      <c r="M943" s="403"/>
      <c r="N943" s="198"/>
      <c r="O943" s="403"/>
      <c r="P943" s="198"/>
      <c r="Q943" s="438"/>
      <c r="R943" s="438"/>
      <c r="S943" s="403"/>
      <c r="T943" s="198"/>
      <c r="U943" s="403"/>
      <c r="V943" s="19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03"/>
      <c r="B944" s="198"/>
      <c r="C944" s="403"/>
      <c r="D944" s="198"/>
      <c r="E944" s="403"/>
      <c r="F944" s="198"/>
      <c r="G944" s="403"/>
      <c r="H944" s="198"/>
      <c r="I944" s="410"/>
      <c r="J944" s="142"/>
      <c r="K944" s="410"/>
      <c r="L944" s="142"/>
      <c r="M944" s="403"/>
      <c r="N944" s="198"/>
      <c r="O944" s="403"/>
      <c r="P944" s="198"/>
      <c r="Q944" s="438"/>
      <c r="R944" s="438"/>
      <c r="S944" s="403"/>
      <c r="T944" s="198"/>
      <c r="U944" s="403"/>
      <c r="V944" s="19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03"/>
      <c r="B945" s="198"/>
      <c r="C945" s="403"/>
      <c r="D945" s="198"/>
      <c r="E945" s="403"/>
      <c r="F945" s="198"/>
      <c r="G945" s="403"/>
      <c r="H945" s="198"/>
      <c r="I945" s="410"/>
      <c r="J945" s="142"/>
      <c r="K945" s="410"/>
      <c r="L945" s="142"/>
      <c r="M945" s="403"/>
      <c r="N945" s="198"/>
      <c r="O945" s="403"/>
      <c r="P945" s="198"/>
      <c r="Q945" s="438"/>
      <c r="R945" s="438"/>
      <c r="S945" s="403"/>
      <c r="T945" s="198"/>
      <c r="U945" s="403"/>
      <c r="V945" s="19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03"/>
      <c r="B946" s="198"/>
      <c r="C946" s="403"/>
      <c r="D946" s="198"/>
      <c r="E946" s="403"/>
      <c r="F946" s="198"/>
      <c r="G946" s="403"/>
      <c r="H946" s="198"/>
      <c r="I946" s="410"/>
      <c r="J946" s="142"/>
      <c r="K946" s="410"/>
      <c r="L946" s="142"/>
      <c r="M946" s="403"/>
      <c r="N946" s="198"/>
      <c r="O946" s="403"/>
      <c r="P946" s="198"/>
      <c r="Q946" s="438"/>
      <c r="R946" s="438"/>
      <c r="S946" s="403"/>
      <c r="T946" s="198"/>
      <c r="U946" s="403"/>
      <c r="V946" s="19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03"/>
      <c r="B947" s="198"/>
      <c r="C947" s="403"/>
      <c r="D947" s="198"/>
      <c r="E947" s="403"/>
      <c r="F947" s="198"/>
      <c r="G947" s="403"/>
      <c r="H947" s="198"/>
      <c r="I947" s="410"/>
      <c r="J947" s="142"/>
      <c r="K947" s="410"/>
      <c r="L947" s="142"/>
      <c r="M947" s="403"/>
      <c r="N947" s="198"/>
      <c r="O947" s="403"/>
      <c r="P947" s="198"/>
      <c r="Q947" s="438"/>
      <c r="R947" s="438"/>
      <c r="S947" s="403"/>
      <c r="T947" s="198"/>
      <c r="U947" s="403"/>
      <c r="V947" s="19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03"/>
      <c r="B948" s="198"/>
      <c r="C948" s="403"/>
      <c r="D948" s="198"/>
      <c r="E948" s="403"/>
      <c r="F948" s="198"/>
      <c r="G948" s="403"/>
      <c r="H948" s="198"/>
      <c r="I948" s="410"/>
      <c r="J948" s="142"/>
      <c r="K948" s="410"/>
      <c r="L948" s="142"/>
      <c r="M948" s="403"/>
      <c r="N948" s="198"/>
      <c r="O948" s="403"/>
      <c r="P948" s="198"/>
      <c r="Q948" s="438"/>
      <c r="R948" s="438"/>
      <c r="S948" s="403"/>
      <c r="T948" s="198"/>
      <c r="U948" s="403"/>
      <c r="V948" s="19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03"/>
      <c r="B949" s="198"/>
      <c r="C949" s="403"/>
      <c r="D949" s="198"/>
      <c r="E949" s="403"/>
      <c r="F949" s="198"/>
      <c r="G949" s="403"/>
      <c r="H949" s="198"/>
      <c r="I949" s="410"/>
      <c r="J949" s="142"/>
      <c r="K949" s="410"/>
      <c r="L949" s="142"/>
      <c r="M949" s="403"/>
      <c r="N949" s="198"/>
      <c r="O949" s="403"/>
      <c r="P949" s="198"/>
      <c r="Q949" s="438"/>
      <c r="R949" s="438"/>
      <c r="S949" s="403"/>
      <c r="T949" s="198"/>
      <c r="U949" s="403"/>
      <c r="V949" s="19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03"/>
      <c r="B950" s="198"/>
      <c r="C950" s="403"/>
      <c r="D950" s="198"/>
      <c r="E950" s="403"/>
      <c r="F950" s="198"/>
      <c r="G950" s="403"/>
      <c r="H950" s="198"/>
      <c r="I950" s="410"/>
      <c r="J950" s="142"/>
      <c r="K950" s="410"/>
      <c r="L950" s="142"/>
      <c r="M950" s="403"/>
      <c r="N950" s="198"/>
      <c r="O950" s="403"/>
      <c r="P950" s="198"/>
      <c r="Q950" s="438"/>
      <c r="R950" s="438"/>
      <c r="S950" s="403"/>
      <c r="T950" s="198"/>
      <c r="U950" s="403"/>
      <c r="V950" s="19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03"/>
      <c r="B951" s="198"/>
      <c r="C951" s="403"/>
      <c r="D951" s="198"/>
      <c r="E951" s="403"/>
      <c r="F951" s="198"/>
      <c r="G951" s="403"/>
      <c r="H951" s="198"/>
      <c r="I951" s="410"/>
      <c r="J951" s="142"/>
      <c r="K951" s="410"/>
      <c r="L951" s="142"/>
      <c r="M951" s="403"/>
      <c r="N951" s="198"/>
      <c r="O951" s="403"/>
      <c r="P951" s="198"/>
      <c r="Q951" s="438"/>
      <c r="R951" s="438"/>
      <c r="S951" s="403"/>
      <c r="T951" s="198"/>
      <c r="U951" s="403"/>
      <c r="V951" s="19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03"/>
      <c r="B952" s="198"/>
      <c r="C952" s="403"/>
      <c r="D952" s="198"/>
      <c r="E952" s="403"/>
      <c r="F952" s="198"/>
      <c r="G952" s="403"/>
      <c r="H952" s="198"/>
      <c r="I952" s="410"/>
      <c r="J952" s="142"/>
      <c r="K952" s="410"/>
      <c r="L952" s="142"/>
      <c r="M952" s="403"/>
      <c r="N952" s="198"/>
      <c r="O952" s="403"/>
      <c r="P952" s="198"/>
      <c r="Q952" s="438"/>
      <c r="R952" s="438"/>
      <c r="S952" s="403"/>
      <c r="T952" s="198"/>
      <c r="U952" s="403"/>
      <c r="V952" s="19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03"/>
      <c r="B953" s="198"/>
      <c r="C953" s="403"/>
      <c r="D953" s="198"/>
      <c r="E953" s="403"/>
      <c r="F953" s="198"/>
      <c r="G953" s="403"/>
      <c r="H953" s="198"/>
      <c r="I953" s="410"/>
      <c r="J953" s="142"/>
      <c r="K953" s="410"/>
      <c r="L953" s="142"/>
      <c r="M953" s="403"/>
      <c r="N953" s="198"/>
      <c r="O953" s="403"/>
      <c r="P953" s="198"/>
      <c r="Q953" s="438"/>
      <c r="R953" s="438"/>
      <c r="S953" s="403"/>
      <c r="T953" s="198"/>
      <c r="U953" s="403"/>
      <c r="V953" s="19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03"/>
      <c r="B954" s="198"/>
      <c r="C954" s="403"/>
      <c r="D954" s="198"/>
      <c r="E954" s="403"/>
      <c r="F954" s="198"/>
      <c r="G954" s="403"/>
      <c r="H954" s="198"/>
      <c r="I954" s="410"/>
      <c r="J954" s="142"/>
      <c r="K954" s="410"/>
      <c r="L954" s="142"/>
      <c r="M954" s="403"/>
      <c r="N954" s="198"/>
      <c r="O954" s="403"/>
      <c r="P954" s="198"/>
      <c r="Q954" s="438"/>
      <c r="R954" s="438"/>
      <c r="S954" s="403"/>
      <c r="T954" s="198"/>
      <c r="U954" s="403"/>
      <c r="V954" s="19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03"/>
      <c r="B955" s="198"/>
      <c r="C955" s="403"/>
      <c r="D955" s="198"/>
      <c r="E955" s="403"/>
      <c r="F955" s="198"/>
      <c r="G955" s="403"/>
      <c r="H955" s="198"/>
      <c r="I955" s="410"/>
      <c r="J955" s="142"/>
      <c r="K955" s="410"/>
      <c r="L955" s="142"/>
      <c r="M955" s="403"/>
      <c r="N955" s="198"/>
      <c r="O955" s="403"/>
      <c r="P955" s="198"/>
      <c r="Q955" s="438"/>
      <c r="R955" s="438"/>
      <c r="S955" s="403"/>
      <c r="T955" s="198"/>
      <c r="U955" s="403"/>
      <c r="V955" s="19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03"/>
      <c r="B956" s="198"/>
      <c r="C956" s="403"/>
      <c r="D956" s="198"/>
      <c r="E956" s="403"/>
      <c r="F956" s="198"/>
      <c r="G956" s="403"/>
      <c r="H956" s="198"/>
      <c r="I956" s="410"/>
      <c r="J956" s="142"/>
      <c r="K956" s="410"/>
      <c r="L956" s="142"/>
      <c r="M956" s="403"/>
      <c r="N956" s="198"/>
      <c r="O956" s="403"/>
      <c r="P956" s="198"/>
      <c r="Q956" s="438"/>
      <c r="R956" s="438"/>
      <c r="S956" s="403"/>
      <c r="T956" s="198"/>
      <c r="U956" s="403"/>
      <c r="V956" s="19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03"/>
      <c r="B957" s="198"/>
      <c r="C957" s="403"/>
      <c r="D957" s="198"/>
      <c r="E957" s="403"/>
      <c r="F957" s="198"/>
      <c r="G957" s="403"/>
      <c r="H957" s="198"/>
      <c r="I957" s="410"/>
      <c r="J957" s="142"/>
      <c r="K957" s="410"/>
      <c r="L957" s="142"/>
      <c r="M957" s="403"/>
      <c r="N957" s="198"/>
      <c r="O957" s="403"/>
      <c r="P957" s="198"/>
      <c r="Q957" s="438"/>
      <c r="R957" s="438"/>
      <c r="S957" s="403"/>
      <c r="T957" s="198"/>
      <c r="U957" s="403"/>
      <c r="V957" s="19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03"/>
      <c r="B958" s="198"/>
      <c r="C958" s="403"/>
      <c r="D958" s="198"/>
      <c r="E958" s="403"/>
      <c r="F958" s="198"/>
      <c r="G958" s="403"/>
      <c r="H958" s="198"/>
      <c r="I958" s="410"/>
      <c r="J958" s="142"/>
      <c r="K958" s="410"/>
      <c r="L958" s="142"/>
      <c r="M958" s="403"/>
      <c r="N958" s="198"/>
      <c r="O958" s="403"/>
      <c r="P958" s="198"/>
      <c r="Q958" s="438"/>
      <c r="R958" s="438"/>
      <c r="S958" s="403"/>
      <c r="T958" s="198"/>
      <c r="U958" s="403"/>
      <c r="V958" s="19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03"/>
      <c r="B959" s="198"/>
      <c r="C959" s="403"/>
      <c r="D959" s="198"/>
      <c r="E959" s="403"/>
      <c r="F959" s="198"/>
      <c r="G959" s="403"/>
      <c r="H959" s="198"/>
      <c r="I959" s="410"/>
      <c r="J959" s="142"/>
      <c r="K959" s="410"/>
      <c r="L959" s="142"/>
      <c r="M959" s="403"/>
      <c r="N959" s="198"/>
      <c r="O959" s="403"/>
      <c r="P959" s="198"/>
      <c r="Q959" s="438"/>
      <c r="R959" s="438"/>
      <c r="S959" s="403"/>
      <c r="T959" s="198"/>
      <c r="U959" s="403"/>
      <c r="V959" s="19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03"/>
      <c r="B960" s="198"/>
      <c r="C960" s="403"/>
      <c r="D960" s="198"/>
      <c r="E960" s="403"/>
      <c r="F960" s="198"/>
      <c r="G960" s="403"/>
      <c r="H960" s="198"/>
      <c r="I960" s="410"/>
      <c r="J960" s="142"/>
      <c r="K960" s="410"/>
      <c r="L960" s="142"/>
      <c r="M960" s="403"/>
      <c r="N960" s="198"/>
      <c r="O960" s="403"/>
      <c r="P960" s="198"/>
      <c r="Q960" s="438"/>
      <c r="R960" s="438"/>
      <c r="S960" s="403"/>
      <c r="T960" s="198"/>
      <c r="U960" s="403"/>
      <c r="V960" s="19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03"/>
      <c r="B961" s="198"/>
      <c r="C961" s="403"/>
      <c r="D961" s="198"/>
      <c r="E961" s="403"/>
      <c r="F961" s="198"/>
      <c r="G961" s="403"/>
      <c r="H961" s="198"/>
      <c r="I961" s="410"/>
      <c r="J961" s="142"/>
      <c r="K961" s="410"/>
      <c r="L961" s="142"/>
      <c r="M961" s="403"/>
      <c r="N961" s="198"/>
      <c r="O961" s="403"/>
      <c r="P961" s="198"/>
      <c r="Q961" s="438"/>
      <c r="R961" s="438"/>
      <c r="S961" s="403"/>
      <c r="T961" s="198"/>
      <c r="U961" s="403"/>
      <c r="V961" s="19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03"/>
      <c r="B962" s="198"/>
      <c r="C962" s="403"/>
      <c r="D962" s="198"/>
      <c r="E962" s="403"/>
      <c r="F962" s="198"/>
      <c r="G962" s="403"/>
      <c r="H962" s="198"/>
      <c r="I962" s="410"/>
      <c r="J962" s="142"/>
      <c r="K962" s="410"/>
      <c r="L962" s="142"/>
      <c r="M962" s="403"/>
      <c r="N962" s="198"/>
      <c r="O962" s="403"/>
      <c r="P962" s="198"/>
      <c r="Q962" s="438"/>
      <c r="R962" s="438"/>
      <c r="S962" s="403"/>
      <c r="T962" s="198"/>
      <c r="U962" s="403"/>
      <c r="V962" s="19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03"/>
      <c r="B963" s="198"/>
      <c r="C963" s="403"/>
      <c r="D963" s="198"/>
      <c r="E963" s="403"/>
      <c r="F963" s="198"/>
      <c r="G963" s="403"/>
      <c r="H963" s="198"/>
      <c r="I963" s="410"/>
      <c r="J963" s="142"/>
      <c r="K963" s="410"/>
      <c r="L963" s="142"/>
      <c r="M963" s="403"/>
      <c r="N963" s="198"/>
      <c r="O963" s="403"/>
      <c r="P963" s="198"/>
      <c r="Q963" s="438"/>
      <c r="R963" s="438"/>
      <c r="S963" s="403"/>
      <c r="T963" s="198"/>
      <c r="U963" s="403"/>
      <c r="V963" s="19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03"/>
      <c r="B964" s="198"/>
      <c r="C964" s="403"/>
      <c r="D964" s="198"/>
      <c r="E964" s="403"/>
      <c r="F964" s="198"/>
      <c r="G964" s="403"/>
      <c r="H964" s="198"/>
      <c r="I964" s="410"/>
      <c r="J964" s="142"/>
      <c r="K964" s="410"/>
      <c r="L964" s="142"/>
      <c r="M964" s="403"/>
      <c r="N964" s="198"/>
      <c r="O964" s="403"/>
      <c r="P964" s="198"/>
      <c r="Q964" s="438"/>
      <c r="R964" s="438"/>
      <c r="S964" s="403"/>
      <c r="T964" s="198"/>
      <c r="U964" s="403"/>
      <c r="V964" s="19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03"/>
      <c r="B965" s="198"/>
      <c r="C965" s="403"/>
      <c r="D965" s="198"/>
      <c r="E965" s="403"/>
      <c r="F965" s="198"/>
      <c r="G965" s="403"/>
      <c r="H965" s="198"/>
      <c r="I965" s="410"/>
      <c r="J965" s="142"/>
      <c r="K965" s="410"/>
      <c r="L965" s="142"/>
      <c r="M965" s="403"/>
      <c r="N965" s="198"/>
      <c r="O965" s="403"/>
      <c r="P965" s="198"/>
      <c r="Q965" s="438"/>
      <c r="R965" s="438"/>
      <c r="S965" s="403"/>
      <c r="T965" s="198"/>
      <c r="U965" s="403"/>
      <c r="V965" s="19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03"/>
      <c r="B966" s="198"/>
      <c r="C966" s="403"/>
      <c r="D966" s="198"/>
      <c r="E966" s="403"/>
      <c r="F966" s="198"/>
      <c r="G966" s="403"/>
      <c r="H966" s="198"/>
      <c r="I966" s="410"/>
      <c r="J966" s="142"/>
      <c r="K966" s="410"/>
      <c r="L966" s="142"/>
      <c r="M966" s="403"/>
      <c r="N966" s="198"/>
      <c r="O966" s="403"/>
      <c r="P966" s="198"/>
      <c r="Q966" s="438"/>
      <c r="R966" s="438"/>
      <c r="S966" s="403"/>
      <c r="T966" s="198"/>
      <c r="U966" s="403"/>
      <c r="V966" s="19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03"/>
      <c r="B967" s="198"/>
      <c r="C967" s="403"/>
      <c r="D967" s="198"/>
      <c r="E967" s="403"/>
      <c r="F967" s="198"/>
      <c r="G967" s="403"/>
      <c r="H967" s="198"/>
      <c r="I967" s="410"/>
      <c r="J967" s="142"/>
      <c r="K967" s="410"/>
      <c r="L967" s="142"/>
      <c r="M967" s="403"/>
      <c r="N967" s="198"/>
      <c r="O967" s="403"/>
      <c r="P967" s="198"/>
      <c r="Q967" s="438"/>
      <c r="R967" s="438"/>
      <c r="S967" s="403"/>
      <c r="T967" s="198"/>
      <c r="U967" s="403"/>
      <c r="V967" s="19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03"/>
      <c r="B968" s="198"/>
      <c r="C968" s="403"/>
      <c r="D968" s="198"/>
      <c r="E968" s="403"/>
      <c r="F968" s="198"/>
      <c r="G968" s="403"/>
      <c r="H968" s="198"/>
      <c r="I968" s="410"/>
      <c r="J968" s="142"/>
      <c r="K968" s="410"/>
      <c r="L968" s="142"/>
      <c r="M968" s="403"/>
      <c r="N968" s="198"/>
      <c r="O968" s="403"/>
      <c r="P968" s="198"/>
      <c r="Q968" s="438"/>
      <c r="R968" s="438"/>
      <c r="S968" s="403"/>
      <c r="T968" s="198"/>
      <c r="U968" s="403"/>
      <c r="V968" s="19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03"/>
      <c r="B969" s="198"/>
      <c r="C969" s="403"/>
      <c r="D969" s="198"/>
      <c r="E969" s="403"/>
      <c r="F969" s="198"/>
      <c r="G969" s="403"/>
      <c r="H969" s="198"/>
      <c r="I969" s="410"/>
      <c r="J969" s="142"/>
      <c r="K969" s="410"/>
      <c r="L969" s="142"/>
      <c r="M969" s="403"/>
      <c r="N969" s="198"/>
      <c r="O969" s="403"/>
      <c r="P969" s="198"/>
      <c r="Q969" s="438"/>
      <c r="R969" s="438"/>
      <c r="S969" s="403"/>
      <c r="T969" s="198"/>
      <c r="U969" s="403"/>
      <c r="V969" s="19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03"/>
      <c r="B970" s="198"/>
      <c r="C970" s="403"/>
      <c r="D970" s="198"/>
      <c r="E970" s="403"/>
      <c r="F970" s="198"/>
      <c r="G970" s="403"/>
      <c r="H970" s="198"/>
      <c r="I970" s="410"/>
      <c r="J970" s="142"/>
      <c r="K970" s="410"/>
      <c r="L970" s="142"/>
      <c r="M970" s="403"/>
      <c r="N970" s="198"/>
      <c r="O970" s="403"/>
      <c r="P970" s="198"/>
      <c r="Q970" s="438"/>
      <c r="R970" s="438"/>
      <c r="S970" s="403"/>
      <c r="T970" s="198"/>
      <c r="U970" s="403"/>
      <c r="V970" s="19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03"/>
      <c r="B971" s="198"/>
      <c r="C971" s="403"/>
      <c r="D971" s="198"/>
      <c r="E971" s="403"/>
      <c r="F971" s="198"/>
      <c r="G971" s="403"/>
      <c r="H971" s="198"/>
      <c r="I971" s="410"/>
      <c r="J971" s="142"/>
      <c r="K971" s="410"/>
      <c r="L971" s="142"/>
      <c r="M971" s="403"/>
      <c r="N971" s="198"/>
      <c r="O971" s="403"/>
      <c r="P971" s="198"/>
      <c r="Q971" s="438"/>
      <c r="R971" s="438"/>
      <c r="S971" s="403"/>
      <c r="T971" s="198"/>
      <c r="U971" s="403"/>
      <c r="V971" s="19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03"/>
      <c r="B972" s="198"/>
      <c r="C972" s="403"/>
      <c r="D972" s="198"/>
      <c r="E972" s="403"/>
      <c r="F972" s="198"/>
      <c r="G972" s="403"/>
      <c r="H972" s="198"/>
      <c r="I972" s="410"/>
      <c r="J972" s="142"/>
      <c r="K972" s="410"/>
      <c r="L972" s="142"/>
      <c r="M972" s="403"/>
      <c r="N972" s="198"/>
      <c r="O972" s="403"/>
      <c r="P972" s="198"/>
      <c r="Q972" s="438"/>
      <c r="R972" s="438"/>
      <c r="S972" s="403"/>
      <c r="T972" s="198"/>
      <c r="U972" s="403"/>
      <c r="V972" s="19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03"/>
      <c r="B973" s="198"/>
      <c r="C973" s="403"/>
      <c r="D973" s="198"/>
      <c r="E973" s="403"/>
      <c r="F973" s="198"/>
      <c r="G973" s="403"/>
      <c r="H973" s="198"/>
      <c r="I973" s="410"/>
      <c r="J973" s="142"/>
      <c r="K973" s="410"/>
      <c r="L973" s="142"/>
      <c r="M973" s="403"/>
      <c r="N973" s="198"/>
      <c r="O973" s="403"/>
      <c r="P973" s="198"/>
      <c r="Q973" s="438"/>
      <c r="R973" s="438"/>
      <c r="S973" s="403"/>
      <c r="T973" s="198"/>
      <c r="U973" s="403"/>
      <c r="V973" s="19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03"/>
      <c r="B974" s="198"/>
      <c r="C974" s="403"/>
      <c r="D974" s="198"/>
      <c r="E974" s="403"/>
      <c r="F974" s="198"/>
      <c r="G974" s="403"/>
      <c r="H974" s="198"/>
      <c r="I974" s="410"/>
      <c r="J974" s="142"/>
      <c r="K974" s="410"/>
      <c r="L974" s="142"/>
      <c r="M974" s="403"/>
      <c r="N974" s="198"/>
      <c r="O974" s="403"/>
      <c r="P974" s="198"/>
      <c r="Q974" s="438"/>
      <c r="R974" s="438"/>
      <c r="S974" s="403"/>
      <c r="T974" s="198"/>
      <c r="U974" s="403"/>
      <c r="V974" s="19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03"/>
      <c r="B975" s="198"/>
      <c r="C975" s="403"/>
      <c r="D975" s="198"/>
      <c r="E975" s="403"/>
      <c r="F975" s="198"/>
      <c r="G975" s="403"/>
      <c r="H975" s="198"/>
      <c r="I975" s="410"/>
      <c r="J975" s="142"/>
      <c r="K975" s="410"/>
      <c r="L975" s="142"/>
      <c r="M975" s="403"/>
      <c r="N975" s="198"/>
      <c r="O975" s="403"/>
      <c r="P975" s="198"/>
      <c r="Q975" s="438"/>
      <c r="R975" s="438"/>
      <c r="S975" s="403"/>
      <c r="T975" s="198"/>
      <c r="U975" s="403"/>
      <c r="V975" s="19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03"/>
      <c r="B976" s="198"/>
      <c r="C976" s="403"/>
      <c r="D976" s="198"/>
      <c r="E976" s="403"/>
      <c r="F976" s="198"/>
      <c r="G976" s="403"/>
      <c r="H976" s="198"/>
      <c r="I976" s="410"/>
      <c r="J976" s="142"/>
      <c r="K976" s="410"/>
      <c r="L976" s="142"/>
      <c r="M976" s="403"/>
      <c r="N976" s="198"/>
      <c r="O976" s="403"/>
      <c r="P976" s="198"/>
      <c r="Q976" s="438"/>
      <c r="R976" s="438"/>
      <c r="S976" s="403"/>
      <c r="T976" s="198"/>
      <c r="U976" s="403"/>
      <c r="V976" s="19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03"/>
      <c r="B977" s="198"/>
      <c r="C977" s="403"/>
      <c r="D977" s="198"/>
      <c r="E977" s="403"/>
      <c r="F977" s="198"/>
      <c r="G977" s="403"/>
      <c r="H977" s="198"/>
      <c r="I977" s="410"/>
      <c r="J977" s="142"/>
      <c r="K977" s="410"/>
      <c r="L977" s="142"/>
      <c r="M977" s="403"/>
      <c r="N977" s="198"/>
      <c r="O977" s="403"/>
      <c r="P977" s="198"/>
      <c r="Q977" s="438"/>
      <c r="R977" s="438"/>
      <c r="S977" s="403"/>
      <c r="T977" s="198"/>
      <c r="U977" s="403"/>
      <c r="V977" s="19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03"/>
      <c r="B978" s="198"/>
      <c r="C978" s="403"/>
      <c r="D978" s="198"/>
      <c r="E978" s="403"/>
      <c r="F978" s="198"/>
      <c r="G978" s="403"/>
      <c r="H978" s="198"/>
      <c r="I978" s="410"/>
      <c r="J978" s="142"/>
      <c r="K978" s="410"/>
      <c r="L978" s="142"/>
      <c r="M978" s="403"/>
      <c r="N978" s="198"/>
      <c r="O978" s="403"/>
      <c r="P978" s="198"/>
      <c r="Q978" s="438"/>
      <c r="R978" s="438"/>
      <c r="S978" s="403"/>
      <c r="T978" s="198"/>
      <c r="U978" s="403"/>
      <c r="V978" s="19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03"/>
      <c r="B979" s="198"/>
      <c r="C979" s="403"/>
      <c r="D979" s="198"/>
      <c r="E979" s="403"/>
      <c r="F979" s="198"/>
      <c r="G979" s="403"/>
      <c r="H979" s="198"/>
      <c r="I979" s="410"/>
      <c r="J979" s="142"/>
      <c r="K979" s="410"/>
      <c r="L979" s="142"/>
      <c r="M979" s="403"/>
      <c r="N979" s="198"/>
      <c r="O979" s="403"/>
      <c r="P979" s="198"/>
      <c r="Q979" s="438"/>
      <c r="R979" s="438"/>
      <c r="S979" s="403"/>
      <c r="T979" s="198"/>
      <c r="U979" s="403"/>
      <c r="V979" s="19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03"/>
      <c r="B980" s="198"/>
      <c r="C980" s="403"/>
      <c r="D980" s="198"/>
      <c r="E980" s="403"/>
      <c r="F980" s="198"/>
      <c r="G980" s="403"/>
      <c r="H980" s="198"/>
      <c r="I980" s="410"/>
      <c r="J980" s="142"/>
      <c r="K980" s="410"/>
      <c r="L980" s="142"/>
      <c r="M980" s="403"/>
      <c r="N980" s="198"/>
      <c r="O980" s="403"/>
      <c r="P980" s="198"/>
      <c r="Q980" s="438"/>
      <c r="R980" s="438"/>
      <c r="S980" s="403"/>
      <c r="T980" s="198"/>
      <c r="U980" s="403"/>
      <c r="V980" s="19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03"/>
      <c r="B981" s="198"/>
      <c r="C981" s="403"/>
      <c r="D981" s="198"/>
      <c r="E981" s="403"/>
      <c r="F981" s="198"/>
      <c r="G981" s="403"/>
      <c r="H981" s="198"/>
      <c r="I981" s="410"/>
      <c r="J981" s="142"/>
      <c r="K981" s="410"/>
      <c r="L981" s="142"/>
      <c r="M981" s="403"/>
      <c r="N981" s="198"/>
      <c r="O981" s="403"/>
      <c r="P981" s="198"/>
      <c r="Q981" s="438"/>
      <c r="R981" s="438"/>
      <c r="S981" s="403"/>
      <c r="T981" s="198"/>
      <c r="U981" s="403"/>
      <c r="V981" s="19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03"/>
      <c r="B982" s="198"/>
      <c r="C982" s="403"/>
      <c r="D982" s="198"/>
      <c r="E982" s="403"/>
      <c r="F982" s="198"/>
      <c r="G982" s="403"/>
      <c r="H982" s="198"/>
      <c r="I982" s="410"/>
      <c r="J982" s="142"/>
      <c r="K982" s="410"/>
      <c r="L982" s="142"/>
      <c r="M982" s="403"/>
      <c r="N982" s="198"/>
      <c r="O982" s="403"/>
      <c r="P982" s="198"/>
      <c r="Q982" s="438"/>
      <c r="R982" s="438"/>
      <c r="S982" s="403"/>
      <c r="T982" s="198"/>
      <c r="U982" s="403"/>
      <c r="V982" s="19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03"/>
      <c r="B983" s="198"/>
      <c r="C983" s="403"/>
      <c r="D983" s="198"/>
      <c r="E983" s="403"/>
      <c r="F983" s="198"/>
      <c r="G983" s="403"/>
      <c r="H983" s="198"/>
      <c r="I983" s="410"/>
      <c r="J983" s="142"/>
      <c r="K983" s="410"/>
      <c r="L983" s="142"/>
      <c r="M983" s="403"/>
      <c r="N983" s="198"/>
      <c r="O983" s="403"/>
      <c r="P983" s="198"/>
      <c r="Q983" s="438"/>
      <c r="R983" s="438"/>
      <c r="S983" s="403"/>
      <c r="T983" s="198"/>
      <c r="U983" s="403"/>
      <c r="V983" s="19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03"/>
      <c r="B984" s="198"/>
      <c r="C984" s="403"/>
      <c r="D984" s="198"/>
      <c r="E984" s="403"/>
      <c r="F984" s="198"/>
      <c r="G984" s="403"/>
      <c r="H984" s="198"/>
      <c r="I984" s="410"/>
      <c r="J984" s="142"/>
      <c r="K984" s="410"/>
      <c r="L984" s="142"/>
      <c r="M984" s="403"/>
      <c r="N984" s="198"/>
      <c r="O984" s="403"/>
      <c r="P984" s="198"/>
      <c r="Q984" s="438"/>
      <c r="R984" s="438"/>
      <c r="S984" s="403"/>
      <c r="T984" s="198"/>
      <c r="U984" s="403"/>
      <c r="V984" s="19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03"/>
      <c r="B985" s="198"/>
      <c r="C985" s="403"/>
      <c r="D985" s="198"/>
      <c r="E985" s="403"/>
      <c r="F985" s="198"/>
      <c r="G985" s="403"/>
      <c r="H985" s="198"/>
      <c r="I985" s="410"/>
      <c r="J985" s="142"/>
      <c r="K985" s="410"/>
      <c r="L985" s="142"/>
      <c r="M985" s="403"/>
      <c r="N985" s="198"/>
      <c r="O985" s="403"/>
      <c r="P985" s="198"/>
      <c r="Q985" s="438"/>
      <c r="R985" s="438"/>
      <c r="S985" s="403"/>
      <c r="T985" s="198"/>
      <c r="U985" s="403"/>
      <c r="V985" s="19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03"/>
      <c r="B986" s="198"/>
      <c r="C986" s="403"/>
      <c r="D986" s="198"/>
      <c r="E986" s="403"/>
      <c r="F986" s="198"/>
      <c r="G986" s="403"/>
      <c r="H986" s="198"/>
      <c r="I986" s="410"/>
      <c r="J986" s="142"/>
      <c r="K986" s="410"/>
      <c r="L986" s="142"/>
      <c r="M986" s="403"/>
      <c r="N986" s="198"/>
      <c r="O986" s="403"/>
      <c r="P986" s="198"/>
      <c r="Q986" s="438"/>
      <c r="R986" s="438"/>
      <c r="S986" s="403"/>
      <c r="T986" s="198"/>
      <c r="U986" s="403"/>
      <c r="V986" s="19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03"/>
      <c r="B987" s="198"/>
      <c r="C987" s="403"/>
      <c r="D987" s="198"/>
      <c r="E987" s="403"/>
      <c r="F987" s="198"/>
      <c r="G987" s="403"/>
      <c r="H987" s="198"/>
      <c r="I987" s="410"/>
      <c r="J987" s="142"/>
      <c r="K987" s="410"/>
      <c r="L987" s="142"/>
      <c r="M987" s="403"/>
      <c r="N987" s="198"/>
      <c r="O987" s="403"/>
      <c r="P987" s="198"/>
      <c r="Q987" s="438"/>
      <c r="R987" s="438"/>
      <c r="S987" s="403"/>
      <c r="T987" s="198"/>
      <c r="U987" s="403"/>
      <c r="V987" s="19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03"/>
      <c r="B988" s="198"/>
      <c r="C988" s="403"/>
      <c r="D988" s="198"/>
      <c r="E988" s="403"/>
      <c r="F988" s="198"/>
      <c r="G988" s="403"/>
      <c r="H988" s="198"/>
      <c r="I988" s="410"/>
      <c r="J988" s="142"/>
      <c r="K988" s="410"/>
      <c r="L988" s="142"/>
      <c r="M988" s="403"/>
      <c r="N988" s="198"/>
      <c r="O988" s="403"/>
      <c r="P988" s="198"/>
      <c r="Q988" s="438"/>
      <c r="R988" s="438"/>
      <c r="S988" s="403"/>
      <c r="T988" s="198"/>
      <c r="U988" s="403"/>
      <c r="V988" s="19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03"/>
      <c r="B989" s="198"/>
      <c r="C989" s="403"/>
      <c r="D989" s="198"/>
      <c r="E989" s="403"/>
      <c r="F989" s="198"/>
      <c r="G989" s="403"/>
      <c r="H989" s="198"/>
      <c r="I989" s="410"/>
      <c r="J989" s="142"/>
      <c r="K989" s="410"/>
      <c r="L989" s="142"/>
      <c r="M989" s="403"/>
      <c r="N989" s="198"/>
      <c r="O989" s="403"/>
      <c r="P989" s="198"/>
      <c r="Q989" s="438"/>
      <c r="R989" s="438"/>
      <c r="S989" s="403"/>
      <c r="T989" s="198"/>
      <c r="U989" s="403"/>
      <c r="V989" s="19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03"/>
      <c r="B990" s="198"/>
      <c r="C990" s="403"/>
      <c r="D990" s="198"/>
      <c r="E990" s="403"/>
      <c r="F990" s="198"/>
      <c r="G990" s="403"/>
      <c r="H990" s="198"/>
      <c r="I990" s="410"/>
      <c r="J990" s="142"/>
      <c r="K990" s="410"/>
      <c r="L990" s="142"/>
      <c r="M990" s="403"/>
      <c r="N990" s="198"/>
      <c r="O990" s="403"/>
      <c r="P990" s="198"/>
      <c r="Q990" s="438"/>
      <c r="R990" s="438"/>
      <c r="S990" s="403"/>
      <c r="T990" s="198"/>
      <c r="U990" s="403"/>
      <c r="V990" s="19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03"/>
      <c r="B991" s="198"/>
      <c r="C991" s="403"/>
      <c r="D991" s="198"/>
      <c r="E991" s="403"/>
      <c r="F991" s="198"/>
      <c r="G991" s="403"/>
      <c r="H991" s="198"/>
      <c r="I991" s="410"/>
      <c r="J991" s="142"/>
      <c r="K991" s="410"/>
      <c r="L991" s="142"/>
      <c r="M991" s="403"/>
      <c r="N991" s="198"/>
      <c r="O991" s="403"/>
      <c r="P991" s="198"/>
      <c r="Q991" s="438"/>
      <c r="R991" s="438"/>
      <c r="S991" s="403"/>
      <c r="T991" s="198"/>
      <c r="U991" s="403"/>
      <c r="V991" s="19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03"/>
      <c r="B992" s="198"/>
      <c r="C992" s="403"/>
      <c r="D992" s="198"/>
      <c r="E992" s="403"/>
      <c r="F992" s="198"/>
      <c r="G992" s="403"/>
      <c r="H992" s="198"/>
      <c r="I992" s="410"/>
      <c r="J992" s="142"/>
      <c r="K992" s="410"/>
      <c r="L992" s="142"/>
      <c r="M992" s="403"/>
      <c r="N992" s="198"/>
      <c r="O992" s="403"/>
      <c r="P992" s="198"/>
      <c r="Q992" s="438"/>
      <c r="R992" s="438"/>
      <c r="S992" s="403"/>
      <c r="T992" s="198"/>
      <c r="U992" s="403"/>
      <c r="V992" s="19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03"/>
      <c r="B993" s="198"/>
      <c r="C993" s="403"/>
      <c r="D993" s="198"/>
      <c r="E993" s="403"/>
      <c r="F993" s="198"/>
      <c r="G993" s="403"/>
      <c r="H993" s="198"/>
      <c r="I993" s="410"/>
      <c r="J993" s="142"/>
      <c r="K993" s="410"/>
      <c r="L993" s="142"/>
      <c r="M993" s="403"/>
      <c r="N993" s="198"/>
      <c r="O993" s="403"/>
      <c r="P993" s="198"/>
      <c r="Q993" s="438"/>
      <c r="R993" s="438"/>
      <c r="S993" s="403"/>
      <c r="T993" s="198"/>
      <c r="U993" s="403"/>
      <c r="V993" s="19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03"/>
      <c r="B994" s="198"/>
      <c r="C994" s="403"/>
      <c r="D994" s="198"/>
      <c r="E994" s="403"/>
      <c r="F994" s="198"/>
      <c r="G994" s="403"/>
      <c r="H994" s="198"/>
      <c r="I994" s="410"/>
      <c r="J994" s="142"/>
      <c r="K994" s="410"/>
      <c r="L994" s="142"/>
      <c r="M994" s="403"/>
      <c r="N994" s="198"/>
      <c r="O994" s="403"/>
      <c r="P994" s="198"/>
      <c r="Q994" s="438"/>
      <c r="R994" s="438"/>
      <c r="S994" s="403"/>
      <c r="T994" s="198"/>
      <c r="U994" s="403"/>
      <c r="V994" s="19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03"/>
      <c r="B995" s="198"/>
      <c r="C995" s="403"/>
      <c r="D995" s="198"/>
      <c r="E995" s="403"/>
      <c r="F995" s="198"/>
      <c r="G995" s="403"/>
      <c r="H995" s="198"/>
      <c r="I995" s="410"/>
      <c r="J995" s="142"/>
      <c r="K995" s="410"/>
      <c r="L995" s="142"/>
      <c r="M995" s="403"/>
      <c r="N995" s="198"/>
      <c r="O995" s="403"/>
      <c r="P995" s="198"/>
      <c r="Q995" s="438"/>
      <c r="R995" s="438"/>
      <c r="S995" s="403"/>
      <c r="T995" s="198"/>
      <c r="U995" s="403"/>
      <c r="V995" s="19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03"/>
      <c r="B996" s="198"/>
      <c r="C996" s="403"/>
      <c r="D996" s="198"/>
      <c r="E996" s="403"/>
      <c r="F996" s="198"/>
      <c r="G996" s="403"/>
      <c r="H996" s="198"/>
      <c r="I996" s="410"/>
      <c r="J996" s="142"/>
      <c r="K996" s="410"/>
      <c r="L996" s="142"/>
      <c r="M996" s="403"/>
      <c r="N996" s="198"/>
      <c r="O996" s="403"/>
      <c r="P996" s="198"/>
      <c r="Q996" s="438"/>
      <c r="R996" s="438"/>
      <c r="S996" s="403"/>
      <c r="T996" s="198"/>
      <c r="U996" s="403"/>
      <c r="V996" s="19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03"/>
      <c r="B997" s="198"/>
      <c r="C997" s="403"/>
      <c r="D997" s="198"/>
      <c r="E997" s="403"/>
      <c r="F997" s="198"/>
      <c r="G997" s="403"/>
      <c r="H997" s="198"/>
      <c r="I997" s="410"/>
      <c r="J997" s="142"/>
      <c r="K997" s="410"/>
      <c r="L997" s="142"/>
      <c r="M997" s="403"/>
      <c r="N997" s="198"/>
      <c r="O997" s="403"/>
      <c r="P997" s="198"/>
      <c r="Q997" s="438"/>
      <c r="R997" s="438"/>
      <c r="S997" s="403"/>
      <c r="T997" s="198"/>
      <c r="U997" s="403"/>
      <c r="V997" s="19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03"/>
      <c r="B998" s="198"/>
      <c r="C998" s="403"/>
      <c r="D998" s="198"/>
      <c r="E998" s="403"/>
      <c r="F998" s="198"/>
      <c r="G998" s="403"/>
      <c r="H998" s="198"/>
      <c r="I998" s="410"/>
      <c r="J998" s="142"/>
      <c r="K998" s="410"/>
      <c r="L998" s="142"/>
      <c r="M998" s="403"/>
      <c r="N998" s="198"/>
      <c r="O998" s="403"/>
      <c r="P998" s="198"/>
      <c r="Q998" s="438"/>
      <c r="R998" s="438"/>
      <c r="S998" s="403"/>
      <c r="T998" s="198"/>
      <c r="U998" s="403"/>
      <c r="V998" s="19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03"/>
      <c r="B999" s="198"/>
      <c r="C999" s="403"/>
      <c r="D999" s="198"/>
      <c r="E999" s="403"/>
      <c r="F999" s="198"/>
      <c r="G999" s="403"/>
      <c r="H999" s="198"/>
      <c r="I999" s="410"/>
      <c r="J999" s="142"/>
      <c r="K999" s="410"/>
      <c r="L999" s="142"/>
      <c r="M999" s="403"/>
      <c r="N999" s="198"/>
      <c r="O999" s="403"/>
      <c r="P999" s="198"/>
      <c r="Q999" s="438"/>
      <c r="R999" s="438"/>
      <c r="S999" s="403"/>
      <c r="T999" s="198"/>
      <c r="U999" s="403"/>
      <c r="V999" s="19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03"/>
      <c r="B1000" s="198"/>
      <c r="C1000" s="403"/>
      <c r="D1000" s="198"/>
      <c r="E1000" s="403"/>
      <c r="F1000" s="198"/>
      <c r="G1000" s="403"/>
      <c r="H1000" s="198"/>
      <c r="I1000" s="410"/>
      <c r="J1000" s="142"/>
      <c r="K1000" s="410"/>
      <c r="L1000" s="142"/>
      <c r="M1000" s="403"/>
      <c r="N1000" s="198"/>
      <c r="O1000" s="403"/>
      <c r="P1000" s="198"/>
      <c r="Q1000" s="438"/>
      <c r="R1000" s="438"/>
      <c r="S1000" s="403"/>
      <c r="T1000" s="198"/>
      <c r="U1000" s="403"/>
      <c r="V1000" s="19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03"/>
      <c r="B1001" s="198"/>
      <c r="C1001" s="403"/>
      <c r="D1001" s="198"/>
      <c r="E1001" s="403"/>
      <c r="F1001" s="198"/>
      <c r="G1001" s="403"/>
      <c r="H1001" s="198"/>
      <c r="I1001" s="410"/>
      <c r="J1001" s="142"/>
      <c r="K1001" s="410"/>
      <c r="L1001" s="142"/>
      <c r="M1001" s="403"/>
      <c r="N1001" s="198"/>
      <c r="O1001" s="403"/>
      <c r="P1001" s="198"/>
      <c r="Q1001" s="438"/>
      <c r="R1001" s="438"/>
      <c r="S1001" s="403"/>
      <c r="T1001" s="198"/>
      <c r="U1001" s="403"/>
      <c r="V1001" s="19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03"/>
      <c r="B1002" s="198"/>
      <c r="C1002" s="403"/>
      <c r="D1002" s="198"/>
      <c r="E1002" s="403"/>
      <c r="F1002" s="198"/>
      <c r="G1002" s="403"/>
      <c r="H1002" s="198"/>
      <c r="I1002" s="410"/>
      <c r="J1002" s="142"/>
      <c r="K1002" s="410"/>
      <c r="L1002" s="142"/>
      <c r="M1002" s="403"/>
      <c r="N1002" s="198"/>
      <c r="O1002" s="403"/>
      <c r="P1002" s="198"/>
      <c r="Q1002" s="438"/>
      <c r="R1002" s="438"/>
      <c r="S1002" s="403"/>
      <c r="T1002" s="198"/>
      <c r="U1002" s="403"/>
      <c r="V1002" s="19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03"/>
      <c r="B1003" s="198"/>
      <c r="C1003" s="403"/>
      <c r="D1003" s="198"/>
      <c r="E1003" s="403"/>
      <c r="F1003" s="198"/>
      <c r="G1003" s="403"/>
      <c r="H1003" s="198"/>
      <c r="I1003" s="410"/>
      <c r="J1003" s="142"/>
      <c r="K1003" s="410"/>
      <c r="L1003" s="142"/>
      <c r="M1003" s="403"/>
      <c r="N1003" s="198"/>
      <c r="O1003" s="403"/>
      <c r="P1003" s="198"/>
      <c r="Q1003" s="438"/>
      <c r="R1003" s="438"/>
      <c r="S1003" s="403"/>
      <c r="T1003" s="198"/>
      <c r="U1003" s="403"/>
      <c r="V1003" s="19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03"/>
      <c r="B1004" s="198"/>
      <c r="C1004" s="403"/>
      <c r="D1004" s="198"/>
      <c r="E1004" s="403"/>
      <c r="F1004" s="198"/>
      <c r="G1004" s="403"/>
      <c r="H1004" s="198"/>
      <c r="I1004" s="410"/>
      <c r="J1004" s="142"/>
      <c r="K1004" s="410"/>
      <c r="L1004" s="142"/>
      <c r="M1004" s="403"/>
      <c r="N1004" s="198"/>
      <c r="O1004" s="403"/>
      <c r="P1004" s="198"/>
      <c r="Q1004" s="438"/>
      <c r="R1004" s="438"/>
      <c r="S1004" s="403"/>
      <c r="T1004" s="198"/>
      <c r="U1004" s="403"/>
      <c r="V1004" s="19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03"/>
      <c r="B1005" s="198"/>
      <c r="C1005" s="403"/>
      <c r="D1005" s="198"/>
      <c r="E1005" s="403"/>
      <c r="F1005" s="198"/>
      <c r="G1005" s="403"/>
      <c r="H1005" s="198"/>
      <c r="I1005" s="410"/>
      <c r="J1005" s="142"/>
      <c r="K1005" s="410"/>
      <c r="L1005" s="142"/>
      <c r="M1005" s="403"/>
      <c r="N1005" s="198"/>
      <c r="O1005" s="403"/>
      <c r="P1005" s="198"/>
      <c r="Q1005" s="438"/>
      <c r="R1005" s="438"/>
      <c r="S1005" s="403"/>
      <c r="T1005" s="198"/>
      <c r="U1005" s="403"/>
      <c r="V1005" s="19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03"/>
      <c r="B1006" s="198"/>
      <c r="C1006" s="403"/>
      <c r="D1006" s="198"/>
      <c r="E1006" s="403"/>
      <c r="F1006" s="198"/>
      <c r="G1006" s="403"/>
      <c r="H1006" s="198"/>
      <c r="I1006" s="410"/>
      <c r="J1006" s="142"/>
      <c r="K1006" s="410"/>
      <c r="L1006" s="142"/>
      <c r="M1006" s="403"/>
      <c r="N1006" s="198"/>
      <c r="O1006" s="403"/>
      <c r="P1006" s="198"/>
      <c r="Q1006" s="438"/>
      <c r="R1006" s="438"/>
      <c r="S1006" s="403"/>
      <c r="T1006" s="198"/>
      <c r="U1006" s="403"/>
      <c r="V1006" s="19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03"/>
      <c r="B1007" s="198"/>
      <c r="C1007" s="403"/>
      <c r="D1007" s="198"/>
      <c r="E1007" s="403"/>
      <c r="F1007" s="198"/>
      <c r="G1007" s="403"/>
      <c r="H1007" s="198"/>
      <c r="I1007" s="410"/>
      <c r="J1007" s="142"/>
      <c r="K1007" s="410"/>
      <c r="L1007" s="142"/>
      <c r="M1007" s="403"/>
      <c r="N1007" s="198"/>
      <c r="O1007" s="403"/>
      <c r="P1007" s="198"/>
      <c r="Q1007" s="438"/>
      <c r="R1007" s="438"/>
      <c r="S1007" s="403"/>
      <c r="T1007" s="198"/>
      <c r="U1007" s="403"/>
      <c r="V1007" s="19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03"/>
      <c r="B1008" s="198"/>
      <c r="C1008" s="403"/>
      <c r="D1008" s="198"/>
      <c r="E1008" s="403"/>
      <c r="F1008" s="198"/>
      <c r="G1008" s="403"/>
      <c r="H1008" s="198"/>
      <c r="I1008" s="410"/>
      <c r="J1008" s="142"/>
      <c r="K1008" s="410"/>
      <c r="L1008" s="142"/>
      <c r="M1008" s="403"/>
      <c r="N1008" s="198"/>
      <c r="O1008" s="403"/>
      <c r="P1008" s="198"/>
      <c r="Q1008" s="438"/>
      <c r="R1008" s="438"/>
      <c r="S1008" s="403"/>
      <c r="T1008" s="198"/>
      <c r="U1008" s="403"/>
      <c r="V1008" s="19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03"/>
      <c r="B1009" s="198"/>
      <c r="C1009" s="403"/>
      <c r="D1009" s="198"/>
      <c r="E1009" s="403"/>
      <c r="F1009" s="198"/>
      <c r="G1009" s="403"/>
      <c r="H1009" s="198"/>
      <c r="I1009" s="410"/>
      <c r="J1009" s="142"/>
      <c r="K1009" s="410"/>
      <c r="L1009" s="142"/>
      <c r="M1009" s="403"/>
      <c r="N1009" s="198"/>
      <c r="O1009" s="403"/>
      <c r="P1009" s="198"/>
      <c r="Q1009" s="438"/>
      <c r="R1009" s="438"/>
      <c r="S1009" s="403"/>
      <c r="T1009" s="198"/>
      <c r="U1009" s="403"/>
      <c r="V1009" s="198"/>
    </row>
    <row r="1010">
      <c r="A1010" s="403"/>
      <c r="B1010" s="198"/>
      <c r="C1010" s="403"/>
      <c r="D1010" s="198"/>
      <c r="E1010" s="403"/>
      <c r="F1010" s="198"/>
      <c r="G1010" s="403"/>
      <c r="H1010" s="198"/>
      <c r="I1010" s="410"/>
      <c r="J1010" s="142"/>
      <c r="K1010" s="410"/>
      <c r="L1010" s="142"/>
      <c r="M1010" s="403"/>
      <c r="N1010" s="198"/>
      <c r="O1010" s="403"/>
      <c r="P1010" s="198"/>
      <c r="Q1010" s="438"/>
      <c r="R1010" s="438"/>
      <c r="S1010" s="403"/>
      <c r="T1010" s="198"/>
      <c r="U1010" s="403"/>
      <c r="V1010" s="198"/>
    </row>
    <row r="1011">
      <c r="A1011" s="403"/>
      <c r="B1011" s="198"/>
      <c r="C1011" s="403"/>
      <c r="D1011" s="198"/>
      <c r="E1011" s="403"/>
      <c r="F1011" s="198"/>
      <c r="G1011" s="403"/>
      <c r="H1011" s="198"/>
      <c r="I1011" s="410"/>
      <c r="J1011" s="142"/>
      <c r="K1011" s="410"/>
      <c r="L1011" s="142"/>
      <c r="M1011" s="403"/>
      <c r="N1011" s="198"/>
      <c r="O1011" s="403"/>
      <c r="P1011" s="198"/>
      <c r="Q1011" s="438"/>
      <c r="R1011" s="438"/>
      <c r="S1011" s="403"/>
      <c r="T1011" s="198"/>
      <c r="U1011" s="403"/>
      <c r="V1011" s="198"/>
    </row>
    <row r="1012">
      <c r="A1012" s="403"/>
      <c r="B1012" s="198"/>
      <c r="C1012" s="403"/>
      <c r="D1012" s="198"/>
      <c r="E1012" s="403"/>
      <c r="F1012" s="198"/>
      <c r="G1012" s="403"/>
      <c r="H1012" s="198"/>
      <c r="I1012" s="410"/>
      <c r="J1012" s="142"/>
      <c r="K1012" s="410"/>
      <c r="L1012" s="142"/>
      <c r="M1012" s="403"/>
      <c r="N1012" s="198"/>
      <c r="O1012" s="403"/>
      <c r="P1012" s="198"/>
      <c r="Q1012" s="438"/>
      <c r="R1012" s="438"/>
      <c r="S1012" s="403"/>
      <c r="T1012" s="198"/>
      <c r="U1012" s="403"/>
      <c r="V1012" s="198"/>
    </row>
    <row r="1013">
      <c r="A1013" s="403"/>
      <c r="B1013" s="198"/>
      <c r="C1013" s="403"/>
      <c r="D1013" s="198"/>
      <c r="E1013" s="403"/>
      <c r="F1013" s="198"/>
      <c r="G1013" s="403"/>
      <c r="H1013" s="198"/>
      <c r="I1013" s="410"/>
      <c r="J1013" s="142"/>
      <c r="K1013" s="410"/>
      <c r="L1013" s="142"/>
      <c r="M1013" s="403"/>
      <c r="N1013" s="198"/>
      <c r="O1013" s="403"/>
      <c r="P1013" s="198"/>
      <c r="Q1013" s="438"/>
      <c r="R1013" s="438"/>
      <c r="S1013" s="403"/>
      <c r="T1013" s="198"/>
      <c r="U1013" s="403"/>
      <c r="V1013" s="198"/>
    </row>
    <row r="1014">
      <c r="A1014" s="403"/>
      <c r="B1014" s="198"/>
      <c r="C1014" s="403"/>
      <c r="D1014" s="198"/>
      <c r="E1014" s="403"/>
      <c r="F1014" s="198"/>
      <c r="G1014" s="403"/>
      <c r="H1014" s="198"/>
      <c r="I1014" s="410"/>
      <c r="J1014" s="142"/>
      <c r="K1014" s="410"/>
      <c r="L1014" s="142"/>
      <c r="M1014" s="403"/>
      <c r="N1014" s="198"/>
      <c r="O1014" s="403"/>
      <c r="P1014" s="198"/>
      <c r="Q1014" s="438"/>
      <c r="R1014" s="438"/>
      <c r="S1014" s="403"/>
      <c r="T1014" s="198"/>
      <c r="U1014" s="403"/>
      <c r="V1014" s="198"/>
    </row>
    <row r="1015">
      <c r="A1015" s="403"/>
      <c r="B1015" s="198"/>
      <c r="C1015" s="403"/>
      <c r="D1015" s="198"/>
      <c r="E1015" s="403"/>
      <c r="F1015" s="198"/>
      <c r="G1015" s="403"/>
      <c r="H1015" s="198"/>
      <c r="I1015" s="410"/>
      <c r="J1015" s="142"/>
      <c r="K1015" s="410"/>
      <c r="L1015" s="142"/>
      <c r="M1015" s="403"/>
      <c r="N1015" s="198"/>
      <c r="O1015" s="403"/>
      <c r="P1015" s="198"/>
      <c r="Q1015" s="438"/>
      <c r="R1015" s="438"/>
      <c r="S1015" s="403"/>
      <c r="T1015" s="198"/>
      <c r="U1015" s="403"/>
      <c r="V1015" s="198"/>
    </row>
    <row r="1016">
      <c r="A1016" s="403"/>
      <c r="B1016" s="198"/>
      <c r="C1016" s="403"/>
      <c r="D1016" s="198"/>
      <c r="E1016" s="403"/>
      <c r="F1016" s="198"/>
      <c r="G1016" s="403"/>
      <c r="H1016" s="198"/>
      <c r="I1016" s="410"/>
      <c r="J1016" s="142"/>
      <c r="K1016" s="410"/>
      <c r="L1016" s="142"/>
      <c r="M1016" s="403"/>
      <c r="N1016" s="198"/>
      <c r="O1016" s="403"/>
      <c r="P1016" s="198"/>
      <c r="Q1016" s="403"/>
      <c r="R1016" s="198"/>
      <c r="S1016" s="403"/>
      <c r="T1016" s="198"/>
      <c r="U1016" s="403"/>
      <c r="V1016" s="198"/>
    </row>
    <row r="1017">
      <c r="A1017" s="403"/>
      <c r="B1017" s="198"/>
      <c r="C1017" s="403"/>
      <c r="D1017" s="198"/>
      <c r="E1017" s="403"/>
      <c r="F1017" s="198"/>
      <c r="G1017" s="403"/>
      <c r="H1017" s="198"/>
      <c r="I1017" s="410"/>
      <c r="J1017" s="142"/>
      <c r="K1017" s="410"/>
      <c r="L1017" s="142"/>
      <c r="M1017" s="403"/>
      <c r="N1017" s="198"/>
      <c r="O1017" s="403"/>
      <c r="P1017" s="198"/>
      <c r="Q1017" s="403"/>
      <c r="R1017" s="198"/>
      <c r="U1017" s="439"/>
    </row>
  </sheetData>
  <mergeCells count="66">
    <mergeCell ref="O37:P37"/>
    <mergeCell ref="Q37:R37"/>
    <mergeCell ref="S37:T37"/>
    <mergeCell ref="U37:V37"/>
    <mergeCell ref="A37:B37"/>
    <mergeCell ref="C37:D37"/>
    <mergeCell ref="E37:F37"/>
    <mergeCell ref="G37:H37"/>
    <mergeCell ref="I37:J37"/>
    <mergeCell ref="K37:L37"/>
    <mergeCell ref="M37:N37"/>
    <mergeCell ref="O61:P61"/>
    <mergeCell ref="Q61:R61"/>
    <mergeCell ref="S61:T61"/>
    <mergeCell ref="U61:V61"/>
    <mergeCell ref="A61:B61"/>
    <mergeCell ref="C61:D61"/>
    <mergeCell ref="E61:F61"/>
    <mergeCell ref="G61:H61"/>
    <mergeCell ref="I61:J61"/>
    <mergeCell ref="K61:L61"/>
    <mergeCell ref="M61:N61"/>
    <mergeCell ref="O2:P2"/>
    <mergeCell ref="Q2:R2"/>
    <mergeCell ref="S2:T2"/>
    <mergeCell ref="U2:V2"/>
    <mergeCell ref="A2:B2"/>
    <mergeCell ref="C2:D2"/>
    <mergeCell ref="E2:F2"/>
    <mergeCell ref="G2:H2"/>
    <mergeCell ref="I2:J2"/>
    <mergeCell ref="K2:L2"/>
    <mergeCell ref="M2:N2"/>
    <mergeCell ref="O14:P14"/>
    <mergeCell ref="Q14:R14"/>
    <mergeCell ref="S14:T14"/>
    <mergeCell ref="U14:V14"/>
    <mergeCell ref="A14:B14"/>
    <mergeCell ref="C14:D14"/>
    <mergeCell ref="E14:F14"/>
    <mergeCell ref="G14:H14"/>
    <mergeCell ref="I14:J14"/>
    <mergeCell ref="K14:L14"/>
    <mergeCell ref="M14:N14"/>
    <mergeCell ref="O24:P24"/>
    <mergeCell ref="Q24:R24"/>
    <mergeCell ref="S24:T24"/>
    <mergeCell ref="U24:V24"/>
    <mergeCell ref="A24:B24"/>
    <mergeCell ref="C24:D24"/>
    <mergeCell ref="E24:F24"/>
    <mergeCell ref="G24:H24"/>
    <mergeCell ref="I24:J24"/>
    <mergeCell ref="K24:L24"/>
    <mergeCell ref="M24:N24"/>
    <mergeCell ref="O66:P66"/>
    <mergeCell ref="Q66:R66"/>
    <mergeCell ref="S66:T66"/>
    <mergeCell ref="U66:V66"/>
    <mergeCell ref="A66:B66"/>
    <mergeCell ref="C66:D66"/>
    <mergeCell ref="E66:F66"/>
    <mergeCell ref="G66:H66"/>
    <mergeCell ref="I66:J66"/>
    <mergeCell ref="K66:L66"/>
    <mergeCell ref="M66:N6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2.75"/>
    <col customWidth="1" min="52" max="60" width="13.0"/>
  </cols>
  <sheetData>
    <row r="1" ht="75.0" customHeight="1">
      <c r="A1" s="201" t="s">
        <v>9948</v>
      </c>
      <c r="B1" s="440" t="s">
        <v>592</v>
      </c>
      <c r="C1" s="441" t="s">
        <v>9949</v>
      </c>
      <c r="F1" s="201" t="s">
        <v>9950</v>
      </c>
      <c r="G1" s="440" t="s">
        <v>592</v>
      </c>
      <c r="H1" s="442" t="s">
        <v>9951</v>
      </c>
      <c r="K1" s="201" t="s">
        <v>9952</v>
      </c>
      <c r="L1" s="440" t="s">
        <v>592</v>
      </c>
      <c r="M1" s="443" t="s">
        <v>9953</v>
      </c>
      <c r="P1" s="201" t="str">
        <f>IFERROR(__xludf.DUMMYFUNCTION("GOOGLETRANSLATE(A1,""zh-tw"",""zh"")"),"吃饱效果(夜袭时间延长)")</f>
        <v>吃饱效果(夜袭时间延长)</v>
      </c>
      <c r="Q1" s="440" t="str">
        <f>IFERROR(__xludf.DUMMYFUNCTION("GOOGLETRANSLATE(B1,""zh-tw"",""zh"")"),"A")</f>
        <v>A</v>
      </c>
      <c r="R1" s="142"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01" t="str">
        <f>IFERROR(__xludf.DUMMYFUNCTION("GOOGLETRANSLATE(A1,""zh-tw"",""es-MX"")"),"El efecto de estar bien alimentado (prolonga la duración de las incursiones nocturnas)")</f>
        <v>El efecto de estar bien alimentado (prolonga la duración de las incursiones nocturnas)</v>
      </c>
      <c r="V1" s="440" t="s">
        <v>592</v>
      </c>
      <c r="W1" s="444"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201" t="str">
        <f>IFERROR(__xludf.DUMMYFUNCTION("GOOGLETRANSLATE(A1,""zh-tw"",""KO"")"),"영양 상태가 좋으면 야간 습격 지속 시간이 길어지는 효과가 있습니다.")</f>
        <v>영양 상태가 좋으면 야간 습격 지속 시간이 길어지는 효과가 있습니다.</v>
      </c>
      <c r="AA1" s="440" t="s">
        <v>592</v>
      </c>
      <c r="AB1" s="444"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01" t="s">
        <v>9954</v>
      </c>
      <c r="AF1" s="440" t="s">
        <v>9955</v>
      </c>
      <c r="AG1" s="445" t="s">
        <v>9956</v>
      </c>
      <c r="AJ1" s="446" t="s">
        <v>9957</v>
      </c>
      <c r="AK1" s="440" t="s">
        <v>592</v>
      </c>
      <c r="AL1" s="441" t="s">
        <v>9958</v>
      </c>
      <c r="AO1" s="447" t="s">
        <v>9959</v>
      </c>
      <c r="AP1" s="448" t="s">
        <v>592</v>
      </c>
      <c r="AQ1" s="142" t="s">
        <v>9960</v>
      </c>
      <c r="AT1" s="201" t="s">
        <v>9961</v>
      </c>
      <c r="AU1" s="440" t="s">
        <v>592</v>
      </c>
      <c r="AV1" s="444" t="s">
        <v>9962</v>
      </c>
      <c r="AY1" s="201"/>
      <c r="AZ1" s="440"/>
      <c r="BA1" s="444"/>
      <c r="BD1" s="444"/>
      <c r="BE1" s="444"/>
      <c r="BF1" s="444"/>
      <c r="BG1" s="444"/>
      <c r="BH1" s="444"/>
    </row>
    <row r="2" ht="75.0" customHeight="1">
      <c r="A2" s="201" t="s">
        <v>9963</v>
      </c>
      <c r="B2" s="440" t="s">
        <v>1448</v>
      </c>
      <c r="F2" s="201" t="s">
        <v>9964</v>
      </c>
      <c r="G2" s="440" t="s">
        <v>1448</v>
      </c>
      <c r="K2" s="201" t="s">
        <v>9965</v>
      </c>
      <c r="L2" s="440" t="s">
        <v>1448</v>
      </c>
      <c r="P2" s="201" t="str">
        <f>IFERROR(__xludf.DUMMYFUNCTION("GOOGLETRANSLATE(A2,""zh-tw"",""zh"")"),"妹妹辣到哭了(机率触发)")</f>
        <v>妹妹辣到哭了(机率触发)</v>
      </c>
      <c r="Q2" s="440" t="str">
        <f>IFERROR(__xludf.DUMMYFUNCTION("GOOGLETRANSLATE(B2,""zh-tw"",""zh"")"),"B")</f>
        <v>B</v>
      </c>
      <c r="U2" s="201" t="str">
        <f>IFERROR(__xludf.DUMMYFUNCTION("GOOGLETRANSLATE(A2,""zh-tw"",""es-MX"")"),"Mi hermana lloró porque la comida estaba muy picante (un desencadenante aleatorio).")</f>
        <v>Mi hermana lloró porque la comida estaba muy picante (un desencadenante aleatorio).</v>
      </c>
      <c r="V2" s="440" t="s">
        <v>1448</v>
      </c>
      <c r="Z2" s="201" t="str">
        <f>IFERROR(__xludf.DUMMYFUNCTION("GOOGLETRANSLATE(A2,""zh-tw"",""KO"")"),"내 여동생은 음식이 너무 매워서 울었어요 (우연에 의한 유발).")</f>
        <v>내 여동생은 음식이 너무 매워서 울었어요 (우연에 의한 유발).</v>
      </c>
      <c r="AA2" s="440" t="s">
        <v>1448</v>
      </c>
      <c r="AE2" s="201" t="s">
        <v>9966</v>
      </c>
      <c r="AF2" s="440" t="s">
        <v>9967</v>
      </c>
      <c r="AJ2" s="446" t="s">
        <v>9968</v>
      </c>
      <c r="AK2" s="440" t="s">
        <v>1448</v>
      </c>
      <c r="AO2" s="449" t="s">
        <v>9969</v>
      </c>
      <c r="AP2" s="450" t="s">
        <v>1448</v>
      </c>
      <c r="AT2" s="201" t="s">
        <v>9970</v>
      </c>
      <c r="AU2" s="440" t="s">
        <v>1448</v>
      </c>
      <c r="AY2" s="201"/>
      <c r="AZ2" s="440"/>
      <c r="BD2" s="444"/>
      <c r="BE2" s="444"/>
      <c r="BF2" s="444"/>
      <c r="BG2" s="444"/>
      <c r="BH2" s="444"/>
    </row>
    <row r="3">
      <c r="A3" s="451" t="s">
        <v>9971</v>
      </c>
      <c r="B3" s="452" t="s">
        <v>8988</v>
      </c>
      <c r="F3" s="451" t="str">
        <f>IFERROR(__xludf.DUMMYFUNCTION("GOOGLETRANSLATE(A3,""zh-tw"",""ja"")"),"料理名")</f>
        <v>料理名</v>
      </c>
      <c r="G3" s="452" t="str">
        <f>IFERROR(__xludf.DUMMYFUNCTION("GOOGLETRANSLATE(B3,""zh-tw"",""ja"")"),"効果")</f>
        <v>効果</v>
      </c>
      <c r="K3" s="451" t="s">
        <v>9972</v>
      </c>
      <c r="L3" s="452" t="s">
        <v>9973</v>
      </c>
      <c r="P3" s="451" t="str">
        <f>IFERROR(__xludf.DUMMYFUNCTION("GOOGLETRANSLATE(A3,""zh-tw"",""zh"")"),"料理名")</f>
        <v>料理名</v>
      </c>
      <c r="Q3" s="452" t="str">
        <f>IFERROR(__xludf.DUMMYFUNCTION("GOOGLETRANSLATE(B3,""zh-tw"",""zh"")"),"效果")</f>
        <v>效果</v>
      </c>
      <c r="U3" s="451" t="str">
        <f>IFERROR(__xludf.DUMMYFUNCTION("GOOGLETRANSLATE(A3,""zh-tw"",""es-MX"")"),"Nombre del plato")</f>
        <v>Nombre del plato</v>
      </c>
      <c r="V3" s="453" t="str">
        <f>IFERROR(__xludf.DUMMYFUNCTION("GOOGLETRANSLATE(B3,""zh-tw"",""es-MX"")"),"Efecto")</f>
        <v>Efecto</v>
      </c>
      <c r="Z3" s="451" t="str">
        <f>IFERROR(__xludf.DUMMYFUNCTION("GOOGLETRANSLATE(A3,""zh-tw"",""KO"")"),"요리 이름")</f>
        <v>요리 이름</v>
      </c>
      <c r="AA3" s="454" t="str">
        <f>IFERROR(__xludf.DUMMYFUNCTION("GOOGLETRANSLATE(B3,""zh-tw"",""KO"")"),"효과")</f>
        <v>효과</v>
      </c>
      <c r="AE3" s="451" t="s">
        <v>9974</v>
      </c>
      <c r="AF3" s="453" t="s">
        <v>8990</v>
      </c>
      <c r="AJ3" s="455" t="s">
        <v>9975</v>
      </c>
      <c r="AK3" s="454" t="s">
        <v>9976</v>
      </c>
      <c r="AO3" s="86" t="s">
        <v>9977</v>
      </c>
      <c r="AP3" s="85" t="s">
        <v>7043</v>
      </c>
      <c r="AT3" s="451" t="s">
        <v>9978</v>
      </c>
      <c r="AU3" s="452" t="s">
        <v>8996</v>
      </c>
      <c r="AY3" s="451"/>
      <c r="AZ3" s="452"/>
      <c r="BD3" s="444"/>
      <c r="BE3" s="444"/>
      <c r="BF3" s="444"/>
      <c r="BG3" s="444"/>
      <c r="BH3" s="444"/>
    </row>
    <row r="4">
      <c r="A4" s="149" t="s">
        <v>9979</v>
      </c>
      <c r="B4" s="456"/>
      <c r="C4" s="457" t="s">
        <v>9980</v>
      </c>
      <c r="D4" s="142"/>
      <c r="E4" s="142"/>
      <c r="F4" s="149" t="s">
        <v>9981</v>
      </c>
      <c r="G4" s="456"/>
      <c r="H4" s="457" t="s">
        <v>9982</v>
      </c>
      <c r="I4" s="142"/>
      <c r="J4" s="142"/>
      <c r="K4" s="243" t="s">
        <v>9983</v>
      </c>
      <c r="L4" s="456"/>
      <c r="M4" s="167" t="s">
        <v>9984</v>
      </c>
      <c r="N4" s="198"/>
      <c r="O4" s="198"/>
      <c r="P4" s="243" t="str">
        <f>IFERROR(__xludf.DUMMYFUNCTION("GOOGLETRANSLATE(A4,""zh-tw"",""zh"")"),"史莱姆果冻")</f>
        <v>史莱姆果冻</v>
      </c>
      <c r="Q4" s="440"/>
      <c r="R4" s="457" t="str">
        <f>IFERROR(__xludf.DUMMYFUNCTION("GOOGLETRANSLATE(C4,""zh-tw"",""zh"")"),"史莱姆黏液")</f>
        <v>史莱姆黏液</v>
      </c>
      <c r="S4" s="457"/>
      <c r="T4" s="457"/>
      <c r="U4" s="149" t="str">
        <f>IFERROR(__xludf.DUMMYFUNCTION("GOOGLETRANSLATE(A4,""zh-tw"",""es-MX"")"),"Gelatina viscosa")</f>
        <v>Gelatina viscosa</v>
      </c>
      <c r="V4" s="453"/>
      <c r="W4" s="457" t="str">
        <f>IFERROR(__xludf.DUMMYFUNCTION("GOOGLETRANSLATE(C4,""zh-tw"",""es-MX"")"),"limo")</f>
        <v>limo</v>
      </c>
      <c r="X4" s="457"/>
      <c r="Y4" s="457"/>
      <c r="Z4" s="458" t="str">
        <f>IFERROR(__xludf.DUMMYFUNCTION("GOOGLETRANSLATE(A4,""zh-tw"",""KO"")"),"슬라임 젤리")</f>
        <v>슬라임 젤리</v>
      </c>
      <c r="AA4" s="454"/>
      <c r="AB4" s="167" t="s">
        <v>9985</v>
      </c>
      <c r="AC4" s="142"/>
      <c r="AD4" s="142"/>
      <c r="AE4" s="458" t="s">
        <v>9986</v>
      </c>
      <c r="AF4" s="222"/>
      <c r="AG4" s="457" t="s">
        <v>9987</v>
      </c>
      <c r="AH4" s="459"/>
      <c r="AI4" s="459"/>
      <c r="AJ4" s="460" t="s">
        <v>9988</v>
      </c>
      <c r="AK4" s="454"/>
      <c r="AL4" s="167" t="s">
        <v>9989</v>
      </c>
      <c r="AM4" s="198"/>
      <c r="AN4" s="198"/>
      <c r="AO4" s="197" t="s">
        <v>9990</v>
      </c>
      <c r="AP4" s="456"/>
      <c r="AQ4" s="198" t="s">
        <v>9991</v>
      </c>
      <c r="AR4" s="142"/>
      <c r="AS4" s="142"/>
      <c r="AT4" s="149" t="s">
        <v>9983</v>
      </c>
      <c r="AU4" s="461"/>
      <c r="AV4" s="198" t="s">
        <v>9992</v>
      </c>
      <c r="AW4" s="76"/>
      <c r="AX4" s="76"/>
      <c r="AY4" s="149"/>
      <c r="AZ4" s="461"/>
      <c r="BA4" s="198"/>
      <c r="BB4" s="76"/>
      <c r="BC4" s="76"/>
      <c r="BD4" s="76"/>
      <c r="BE4" s="76"/>
      <c r="BF4" s="76"/>
      <c r="BG4" s="76"/>
      <c r="BH4" s="76"/>
    </row>
    <row r="5">
      <c r="A5" s="149" t="s">
        <v>9993</v>
      </c>
      <c r="B5" s="456"/>
      <c r="C5" s="457" t="s">
        <v>9994</v>
      </c>
      <c r="D5" s="457" t="s">
        <v>9995</v>
      </c>
      <c r="E5" s="142"/>
      <c r="F5" s="149" t="s">
        <v>9996</v>
      </c>
      <c r="G5" s="456"/>
      <c r="H5" s="457" t="s">
        <v>9997</v>
      </c>
      <c r="I5" s="457" t="s">
        <v>9998</v>
      </c>
      <c r="J5" s="142"/>
      <c r="K5" s="235" t="s">
        <v>9999</v>
      </c>
      <c r="L5" s="456"/>
      <c r="M5" s="167" t="s">
        <v>10000</v>
      </c>
      <c r="N5" s="167" t="s">
        <v>10001</v>
      </c>
      <c r="O5" s="198"/>
      <c r="P5" s="243" t="str">
        <f>IFERROR(__xludf.DUMMYFUNCTION("GOOGLETRANSLATE(A5,""zh-tw"",""zh"")"),"咖喱饭")</f>
        <v>咖喱饭</v>
      </c>
      <c r="Q5" s="440"/>
      <c r="R5" s="457" t="str">
        <f>IFERROR(__xludf.DUMMYFUNCTION("GOOGLETRANSLATE(C5,""zh-tw"",""zh"")"),"白米饭")</f>
        <v>白米饭</v>
      </c>
      <c r="S5" s="457" t="str">
        <f>IFERROR(__xludf.DUMMYFUNCTION("GOOGLETRANSLATE(D5,""zh-tw"",""zh"")"),"咖喱块")</f>
        <v>咖喱块</v>
      </c>
      <c r="T5" s="457"/>
      <c r="U5" s="149" t="str">
        <f>IFERROR(__xludf.DUMMYFUNCTION("GOOGLETRANSLATE(A5,""zh-tw"",""es-MX"")"),"Arroz al curry")</f>
        <v>Arroz al curry</v>
      </c>
      <c r="V5" s="453"/>
      <c r="W5" s="457" t="str">
        <f>IFERROR(__xludf.DUMMYFUNCTION("GOOGLETRANSLATE(C5,""zh-tw"",""es-MX"")"),"arroz blanco")</f>
        <v>arroz blanco</v>
      </c>
      <c r="X5" s="457" t="str">
        <f>IFERROR(__xludf.DUMMYFUNCTION("GOOGLETRANSLATE(D5,""zh-tw"",""es-MX"")"),"cubos de curry")</f>
        <v>cubos de curry</v>
      </c>
      <c r="Y5" s="457"/>
      <c r="Z5" s="458" t="str">
        <f>IFERROR(__xludf.DUMMYFUNCTION("GOOGLETRANSLATE(A5,""zh-tw"",""KO"")"),"카레라이스")</f>
        <v>카레라이스</v>
      </c>
      <c r="AA5" s="454"/>
      <c r="AB5" s="198" t="str">
        <f>IFERROR(__xludf.DUMMYFUNCTION("GOOGLETRANSLATE(C5,""zh-tw"",""KO"")"),"흰쌀")</f>
        <v>흰쌀</v>
      </c>
      <c r="AC5" s="167" t="s">
        <v>10002</v>
      </c>
      <c r="AD5" s="198"/>
      <c r="AE5" s="458" t="s">
        <v>10003</v>
      </c>
      <c r="AF5" s="222"/>
      <c r="AG5" s="457" t="s">
        <v>10004</v>
      </c>
      <c r="AH5" s="457" t="s">
        <v>10005</v>
      </c>
      <c r="AI5" s="459"/>
      <c r="AJ5" s="460" t="s">
        <v>10006</v>
      </c>
      <c r="AK5" s="454"/>
      <c r="AL5" s="167" t="s">
        <v>10007</v>
      </c>
      <c r="AM5" s="167" t="s">
        <v>10008</v>
      </c>
      <c r="AN5" s="198"/>
      <c r="AO5" s="197" t="s">
        <v>10009</v>
      </c>
      <c r="AP5" s="456"/>
      <c r="AQ5" s="198" t="s">
        <v>10010</v>
      </c>
      <c r="AR5" s="198" t="s">
        <v>10011</v>
      </c>
      <c r="AS5" s="142"/>
      <c r="AT5" s="149" t="s">
        <v>10012</v>
      </c>
      <c r="AU5" s="461"/>
      <c r="AV5" s="198" t="s">
        <v>10013</v>
      </c>
      <c r="AW5" s="167" t="s">
        <v>10014</v>
      </c>
      <c r="AX5" s="76"/>
      <c r="AY5" s="149"/>
      <c r="AZ5" s="461"/>
      <c r="BA5" s="198"/>
      <c r="BB5" s="167"/>
      <c r="BC5" s="76"/>
      <c r="BD5" s="76"/>
      <c r="BE5" s="76"/>
      <c r="BF5" s="76"/>
      <c r="BG5" s="76"/>
      <c r="BH5" s="76"/>
    </row>
    <row r="6">
      <c r="A6" s="149" t="s">
        <v>10015</v>
      </c>
      <c r="B6" s="456"/>
      <c r="C6" s="457" t="s">
        <v>6907</v>
      </c>
      <c r="D6" s="457" t="s">
        <v>10016</v>
      </c>
      <c r="E6" s="142"/>
      <c r="F6" s="149" t="s">
        <v>10017</v>
      </c>
      <c r="G6" s="456"/>
      <c r="H6" s="457" t="s">
        <v>6908</v>
      </c>
      <c r="I6" s="457" t="s">
        <v>10018</v>
      </c>
      <c r="J6" s="142"/>
      <c r="K6" s="243" t="s">
        <v>10019</v>
      </c>
      <c r="L6" s="456"/>
      <c r="M6" s="167" t="s">
        <v>6909</v>
      </c>
      <c r="N6" s="167" t="s">
        <v>10020</v>
      </c>
      <c r="O6" s="198"/>
      <c r="P6" s="243" t="str">
        <f>IFERROR(__xludf.DUMMYFUNCTION("GOOGLETRANSLATE(A6,""zh-tw"",""zh"")"),"苹果派")</f>
        <v>苹果派</v>
      </c>
      <c r="Q6" s="440"/>
      <c r="R6" s="457" t="str">
        <f>IFERROR(__xludf.DUMMYFUNCTION("GOOGLETRANSLATE(C6,""zh-tw"",""zh"")"),"苹果")</f>
        <v>苹果</v>
      </c>
      <c r="S6" s="457" t="str">
        <f>IFERROR(__xludf.DUMMYFUNCTION("GOOGLETRANSLATE(D6,""zh-tw"",""zh"")"),"小麦粉")</f>
        <v>小麦粉</v>
      </c>
      <c r="T6" s="457"/>
      <c r="U6" s="149" t="str">
        <f>IFERROR(__xludf.DUMMYFUNCTION("GOOGLETRANSLATE(A6,""zh-tw"",""es-MX"")"),"Tarta de manzana")</f>
        <v>Tarta de manzana</v>
      </c>
      <c r="V6" s="453"/>
      <c r="W6" s="457" t="str">
        <f>IFERROR(__xludf.DUMMYFUNCTION("GOOGLETRANSLATE(C6,""zh-tw"",""es-MX"")"),"manzana")</f>
        <v>manzana</v>
      </c>
      <c r="X6" s="457" t="str">
        <f>IFERROR(__xludf.DUMMYFUNCTION("GOOGLETRANSLATE(D6,""zh-tw"",""es-MX"")"),"harina de trigo")</f>
        <v>harina de trigo</v>
      </c>
      <c r="Y6" s="457"/>
      <c r="Z6" s="458" t="str">
        <f>IFERROR(__xludf.DUMMYFUNCTION("GOOGLETRANSLATE(A6,""zh-tw"",""KO"")"),"애플파이")</f>
        <v>애플파이</v>
      </c>
      <c r="AA6" s="454"/>
      <c r="AB6" s="198" t="str">
        <f>IFERROR(__xludf.DUMMYFUNCTION("GOOGLETRANSLATE(C6,""zh-tw"",""KO"")"),"사과")</f>
        <v>사과</v>
      </c>
      <c r="AC6" s="198" t="str">
        <f>IFERROR(__xludf.DUMMYFUNCTION("GOOGLETRANSLATE(D6,""zh-tw"",""KO"")"),"밀가루")</f>
        <v>밀가루</v>
      </c>
      <c r="AD6" s="198"/>
      <c r="AE6" s="458" t="s">
        <v>10021</v>
      </c>
      <c r="AF6" s="222"/>
      <c r="AG6" s="457" t="s">
        <v>6910</v>
      </c>
      <c r="AH6" s="457" t="s">
        <v>10022</v>
      </c>
      <c r="AI6" s="459"/>
      <c r="AJ6" s="460" t="s">
        <v>10023</v>
      </c>
      <c r="AK6" s="454"/>
      <c r="AL6" s="167" t="s">
        <v>6911</v>
      </c>
      <c r="AM6" s="167" t="s">
        <v>10024</v>
      </c>
      <c r="AN6" s="198"/>
      <c r="AO6" s="197" t="s">
        <v>10025</v>
      </c>
      <c r="AP6" s="456"/>
      <c r="AQ6" s="198" t="s">
        <v>6912</v>
      </c>
      <c r="AR6" s="198" t="s">
        <v>10026</v>
      </c>
      <c r="AS6" s="142"/>
      <c r="AT6" s="149" t="s">
        <v>10027</v>
      </c>
      <c r="AU6" s="461"/>
      <c r="AV6" s="198" t="s">
        <v>6913</v>
      </c>
      <c r="AW6" s="198" t="s">
        <v>10028</v>
      </c>
      <c r="AX6" s="76"/>
      <c r="AY6" s="149"/>
      <c r="AZ6" s="461"/>
      <c r="BA6" s="198"/>
      <c r="BB6" s="198"/>
      <c r="BC6" s="76"/>
      <c r="BD6" s="76"/>
      <c r="BE6" s="76"/>
      <c r="BF6" s="76"/>
      <c r="BG6" s="76"/>
      <c r="BH6" s="76"/>
    </row>
    <row r="7">
      <c r="A7" s="149" t="s">
        <v>10029</v>
      </c>
      <c r="B7" s="456"/>
      <c r="C7" s="457" t="s">
        <v>6907</v>
      </c>
      <c r="D7" s="142"/>
      <c r="E7" s="142"/>
      <c r="F7" s="149" t="s">
        <v>10030</v>
      </c>
      <c r="G7" s="456"/>
      <c r="H7" s="457" t="s">
        <v>6908</v>
      </c>
      <c r="I7" s="142"/>
      <c r="J7" s="142"/>
      <c r="K7" s="243" t="s">
        <v>10031</v>
      </c>
      <c r="L7" s="456"/>
      <c r="M7" s="167" t="s">
        <v>6909</v>
      </c>
      <c r="N7" s="198"/>
      <c r="O7" s="198"/>
      <c r="P7" s="243" t="str">
        <f>IFERROR(__xludf.DUMMYFUNCTION("GOOGLETRANSLATE(A7,""zh-tw"",""zh"")"),"烤苹果")</f>
        <v>烤苹果</v>
      </c>
      <c r="Q7" s="440"/>
      <c r="R7" s="457" t="str">
        <f>IFERROR(__xludf.DUMMYFUNCTION("GOOGLETRANSLATE(C7,""zh-tw"",""zh"")"),"苹果")</f>
        <v>苹果</v>
      </c>
      <c r="S7" s="457"/>
      <c r="T7" s="457"/>
      <c r="U7" s="149" t="str">
        <f>IFERROR(__xludf.DUMMYFUNCTION("GOOGLETRANSLATE(A7,""zh-tw"",""es-MX"")"),"Manzanas asadas")</f>
        <v>Manzanas asadas</v>
      </c>
      <c r="V7" s="453"/>
      <c r="W7" s="457" t="str">
        <f>IFERROR(__xludf.DUMMYFUNCTION("GOOGLETRANSLATE(C7,""zh-tw"",""es-MX"")"),"manzana")</f>
        <v>manzana</v>
      </c>
      <c r="X7" s="457"/>
      <c r="Y7" s="457"/>
      <c r="Z7" s="458" t="str">
        <f>IFERROR(__xludf.DUMMYFUNCTION("GOOGLETRANSLATE(A7,""zh-tw"",""KO"")"),"구운 사과")</f>
        <v>구운 사과</v>
      </c>
      <c r="AA7" s="454"/>
      <c r="AB7" s="198" t="str">
        <f>IFERROR(__xludf.DUMMYFUNCTION("GOOGLETRANSLATE(C7,""zh-tw"",""KO"")"),"사과")</f>
        <v>사과</v>
      </c>
      <c r="AC7" s="198"/>
      <c r="AD7" s="198"/>
      <c r="AE7" s="458" t="s">
        <v>10032</v>
      </c>
      <c r="AF7" s="222"/>
      <c r="AG7" s="457" t="s">
        <v>6910</v>
      </c>
      <c r="AH7" s="459"/>
      <c r="AI7" s="459"/>
      <c r="AJ7" s="460" t="s">
        <v>10033</v>
      </c>
      <c r="AK7" s="454"/>
      <c r="AL7" s="167" t="s">
        <v>6911</v>
      </c>
      <c r="AM7" s="198"/>
      <c r="AN7" s="198"/>
      <c r="AO7" s="197" t="s">
        <v>10034</v>
      </c>
      <c r="AP7" s="456"/>
      <c r="AQ7" s="198" t="s">
        <v>6912</v>
      </c>
      <c r="AR7" s="142"/>
      <c r="AS7" s="142"/>
      <c r="AT7" s="149" t="s">
        <v>10035</v>
      </c>
      <c r="AU7" s="461"/>
      <c r="AV7" s="198" t="s">
        <v>6913</v>
      </c>
      <c r="AW7" s="76"/>
      <c r="AX7" s="76"/>
      <c r="AY7" s="149"/>
      <c r="AZ7" s="461"/>
      <c r="BA7" s="198"/>
      <c r="BB7" s="76"/>
      <c r="BC7" s="76"/>
      <c r="BD7" s="76"/>
      <c r="BE7" s="76"/>
      <c r="BF7" s="76"/>
      <c r="BG7" s="76"/>
      <c r="BH7" s="76"/>
    </row>
    <row r="8">
      <c r="A8" s="149" t="s">
        <v>10036</v>
      </c>
      <c r="B8" s="456"/>
      <c r="C8" s="457" t="s">
        <v>10037</v>
      </c>
      <c r="F8" s="149" t="s">
        <v>10038</v>
      </c>
      <c r="G8" s="456"/>
      <c r="H8" s="457" t="s">
        <v>1070</v>
      </c>
      <c r="I8" s="142"/>
      <c r="J8" s="142"/>
      <c r="K8" s="243" t="s">
        <v>10039</v>
      </c>
      <c r="L8" s="456"/>
      <c r="M8" s="167" t="s">
        <v>10040</v>
      </c>
      <c r="N8" s="198"/>
      <c r="O8" s="198"/>
      <c r="P8" s="243" t="str">
        <f>IFERROR(__xludf.DUMMYFUNCTION("GOOGLETRANSLATE(A8,""zh-tw"",""zh"")"),"炒贝类")</f>
        <v>炒贝类</v>
      </c>
      <c r="Q8" s="440"/>
      <c r="R8" s="457" t="str">
        <f>IFERROR(__xludf.DUMMYFUNCTION("GOOGLETRANSLATE(C8,""zh-tw"",""zh"")"),"未实装(之后河边炸鱼可以炸出贝壳)")</f>
        <v>未实装(之后河边炸鱼可以炸出贝壳)</v>
      </c>
      <c r="U8" s="149" t="str">
        <f>IFERROR(__xludf.DUMMYFUNCTION("GOOGLETRANSLATE(A8,""zh-tw"",""es-MX"")"),"Mariscos salteados")</f>
        <v>Mariscos salteados</v>
      </c>
      <c r="V8" s="453"/>
      <c r="W8" s="457" t="str">
        <f>IFERROR(__xludf.DUMMYFUNCTION("GOOGLETRANSLATE(C8,""zh-tw"",""es-MX"")"),"Aún no implementado (más adelante, podrás disparar a los peces en el río y obtener conchas marinas).")</f>
        <v>Aún no implementado (más adelante, podrás disparar a los peces en el río y obtener conchas marinas).</v>
      </c>
      <c r="Z8" s="460" t="s">
        <v>10041</v>
      </c>
      <c r="AA8" s="454"/>
      <c r="AB8" s="167" t="s">
        <v>1079</v>
      </c>
      <c r="AE8" s="458" t="s">
        <v>10042</v>
      </c>
      <c r="AF8" s="222"/>
      <c r="AG8" s="457" t="s">
        <v>10043</v>
      </c>
      <c r="AJ8" s="460" t="s">
        <v>10044</v>
      </c>
      <c r="AK8" s="454"/>
      <c r="AL8" s="167" t="s">
        <v>10045</v>
      </c>
      <c r="AO8" s="197" t="s">
        <v>10046</v>
      </c>
      <c r="AP8" s="456"/>
      <c r="AQ8" s="198" t="s">
        <v>1401</v>
      </c>
      <c r="AR8" s="142"/>
      <c r="AS8" s="142"/>
      <c r="AT8" s="149" t="s">
        <v>10047</v>
      </c>
      <c r="AU8" s="461"/>
      <c r="AV8" s="198" t="s">
        <v>1404</v>
      </c>
      <c r="AW8" s="76"/>
      <c r="AX8" s="76"/>
      <c r="AY8" s="149"/>
      <c r="AZ8" s="461"/>
      <c r="BA8" s="198"/>
      <c r="BB8" s="76"/>
      <c r="BC8" s="76"/>
      <c r="BD8" s="76"/>
      <c r="BE8" s="76"/>
      <c r="BF8" s="76"/>
      <c r="BG8" s="76"/>
      <c r="BH8" s="76"/>
    </row>
    <row r="9">
      <c r="A9" s="149" t="s">
        <v>10048</v>
      </c>
      <c r="B9" s="456"/>
      <c r="C9" s="457" t="s">
        <v>10049</v>
      </c>
      <c r="D9" s="142"/>
      <c r="E9" s="142"/>
      <c r="F9" s="149" t="s">
        <v>10050</v>
      </c>
      <c r="G9" s="456"/>
      <c r="H9" s="457" t="s">
        <v>10049</v>
      </c>
      <c r="I9" s="142"/>
      <c r="J9" s="142"/>
      <c r="K9" s="243" t="s">
        <v>10051</v>
      </c>
      <c r="L9" s="456"/>
      <c r="M9" s="167" t="s">
        <v>10052</v>
      </c>
      <c r="N9" s="198"/>
      <c r="O9" s="198"/>
      <c r="P9" s="243" t="str">
        <f>IFERROR(__xludf.DUMMYFUNCTION("GOOGLETRANSLATE(A9,""zh-tw"",""zh"")"),"煎鱼")</f>
        <v>煎鱼</v>
      </c>
      <c r="Q9" s="440"/>
      <c r="R9" s="457" t="str">
        <f>IFERROR(__xludf.DUMMYFUNCTION("GOOGLETRANSLATE(C9,""zh-tw"",""zh"")"),"鱼类")</f>
        <v>鱼类</v>
      </c>
      <c r="S9" s="457"/>
      <c r="T9" s="457"/>
      <c r="U9" s="149" t="str">
        <f>IFERROR(__xludf.DUMMYFUNCTION("GOOGLETRANSLATE(A9,""zh-tw"",""es-MX"")"),"Pescado frito")</f>
        <v>Pescado frito</v>
      </c>
      <c r="V9" s="453"/>
      <c r="W9" s="457" t="str">
        <f>IFERROR(__xludf.DUMMYFUNCTION("GOOGLETRANSLATE(C9,""zh-tw"",""es-MX"")"),"pez")</f>
        <v>pez</v>
      </c>
      <c r="X9" s="457"/>
      <c r="Y9" s="457"/>
      <c r="Z9" s="460" t="s">
        <v>10053</v>
      </c>
      <c r="AA9" s="454"/>
      <c r="AB9" s="198" t="str">
        <f>IFERROR(__xludf.DUMMYFUNCTION("GOOGLETRANSLATE(C9,""zh-tw"",""KO"")"),"물고기")</f>
        <v>물고기</v>
      </c>
      <c r="AC9" s="198"/>
      <c r="AD9" s="198"/>
      <c r="AE9" s="458" t="s">
        <v>10054</v>
      </c>
      <c r="AF9" s="222"/>
      <c r="AG9" s="457" t="s">
        <v>10055</v>
      </c>
      <c r="AH9" s="459"/>
      <c r="AI9" s="459"/>
      <c r="AJ9" s="460" t="s">
        <v>10056</v>
      </c>
      <c r="AK9" s="454"/>
      <c r="AL9" s="167" t="s">
        <v>10057</v>
      </c>
      <c r="AM9" s="198"/>
      <c r="AN9" s="198"/>
      <c r="AO9" s="197" t="s">
        <v>10058</v>
      </c>
      <c r="AP9" s="456"/>
      <c r="AQ9" s="198" t="s">
        <v>10059</v>
      </c>
      <c r="AR9" s="142"/>
      <c r="AS9" s="142"/>
      <c r="AT9" s="149" t="s">
        <v>10060</v>
      </c>
      <c r="AU9" s="461"/>
      <c r="AV9" s="198" t="s">
        <v>10061</v>
      </c>
      <c r="AW9" s="76"/>
      <c r="AX9" s="76"/>
      <c r="AY9" s="149"/>
      <c r="AZ9" s="461"/>
      <c r="BA9" s="198"/>
      <c r="BB9" s="76"/>
      <c r="BC9" s="76"/>
      <c r="BD9" s="76"/>
      <c r="BE9" s="76"/>
      <c r="BF9" s="76"/>
      <c r="BG9" s="76"/>
      <c r="BH9" s="76"/>
    </row>
    <row r="10">
      <c r="A10" s="149" t="s">
        <v>10062</v>
      </c>
      <c r="B10" s="456"/>
      <c r="C10" s="457" t="s">
        <v>10063</v>
      </c>
      <c r="D10" s="457" t="s">
        <v>10063</v>
      </c>
      <c r="E10" s="457" t="s">
        <v>10063</v>
      </c>
      <c r="F10" s="149" t="s">
        <v>10064</v>
      </c>
      <c r="G10" s="456"/>
      <c r="H10" s="457" t="s">
        <v>10065</v>
      </c>
      <c r="I10" s="457" t="s">
        <v>10065</v>
      </c>
      <c r="J10" s="457" t="s">
        <v>10065</v>
      </c>
      <c r="K10" s="243" t="s">
        <v>10066</v>
      </c>
      <c r="L10" s="456"/>
      <c r="M10" s="167" t="s">
        <v>10067</v>
      </c>
      <c r="N10" s="167" t="s">
        <v>10067</v>
      </c>
      <c r="O10" s="167" t="s">
        <v>10067</v>
      </c>
      <c r="P10" s="243" t="str">
        <f>IFERROR(__xludf.DUMMYFUNCTION("GOOGLETRANSLATE(A10,""zh-tw"",""zh"")"),"炒蘑菇")</f>
        <v>炒蘑菇</v>
      </c>
      <c r="Q10" s="440"/>
      <c r="R10" s="457" t="str">
        <f>IFERROR(__xludf.DUMMYFUNCTION("GOOGLETRANSLATE(C10,""zh-tw"",""zh"")"),"香菇")</f>
        <v>香菇</v>
      </c>
      <c r="S10" s="457" t="str">
        <f>IFERROR(__xludf.DUMMYFUNCTION("GOOGLETRANSLATE(D10,""zh-tw"",""zh"")"),"香菇")</f>
        <v>香菇</v>
      </c>
      <c r="T10" s="457" t="str">
        <f>IFERROR(__xludf.DUMMYFUNCTION("GOOGLETRANSLATE(E10,""zh-tw"",""zh"")"),"香菇")</f>
        <v>香菇</v>
      </c>
      <c r="U10" s="149" t="str">
        <f>IFERROR(__xludf.DUMMYFUNCTION("GOOGLETRANSLATE(A10,""zh-tw"",""es-MX"")"),"Champiñones salteados")</f>
        <v>Champiñones salteados</v>
      </c>
      <c r="V10" s="453"/>
      <c r="W10" s="457" t="str">
        <f>IFERROR(__xludf.DUMMYFUNCTION("GOOGLETRANSLATE(C10,""zh-tw"",""es-MX"")"),"champiñón")</f>
        <v>champiñón</v>
      </c>
      <c r="X10" s="457" t="str">
        <f>IFERROR(__xludf.DUMMYFUNCTION("GOOGLETRANSLATE(D10,""zh-tw"",""es-MX"")"),"champiñón")</f>
        <v>champiñón</v>
      </c>
      <c r="Y10" s="457" t="str">
        <f>IFERROR(__xludf.DUMMYFUNCTION("GOOGLETRANSLATE(E10,""zh-tw"",""es-MX"")"),"champiñón")</f>
        <v>champiñón</v>
      </c>
      <c r="Z10" s="460" t="s">
        <v>10068</v>
      </c>
      <c r="AA10" s="454"/>
      <c r="AB10" s="198" t="str">
        <f>IFERROR(__xludf.DUMMYFUNCTION("GOOGLETRANSLATE(C10,""zh-tw"",""KO"")"),"버섯")</f>
        <v>버섯</v>
      </c>
      <c r="AC10" s="198" t="str">
        <f>IFERROR(__xludf.DUMMYFUNCTION("GOOGLETRANSLATE(D10,""zh-tw"",""KO"")"),"버섯")</f>
        <v>버섯</v>
      </c>
      <c r="AD10" s="198" t="str">
        <f>IFERROR(__xludf.DUMMYFUNCTION("GOOGLETRANSLATE(E10,""zh-tw"",""KO"")"),"버섯")</f>
        <v>버섯</v>
      </c>
      <c r="AE10" s="460" t="s">
        <v>10069</v>
      </c>
      <c r="AF10" s="222"/>
      <c r="AG10" s="457" t="s">
        <v>10070</v>
      </c>
      <c r="AH10" s="457" t="s">
        <v>10070</v>
      </c>
      <c r="AI10" s="457" t="s">
        <v>10070</v>
      </c>
      <c r="AJ10" s="460" t="s">
        <v>10071</v>
      </c>
      <c r="AK10" s="454"/>
      <c r="AL10" s="167" t="s">
        <v>10072</v>
      </c>
      <c r="AM10" s="167" t="s">
        <v>10072</v>
      </c>
      <c r="AN10" s="167" t="s">
        <v>10072</v>
      </c>
      <c r="AO10" s="197" t="s">
        <v>10073</v>
      </c>
      <c r="AP10" s="456"/>
      <c r="AQ10" s="198" t="s">
        <v>10074</v>
      </c>
      <c r="AR10" s="198" t="s">
        <v>10074</v>
      </c>
      <c r="AS10" s="198" t="s">
        <v>10074</v>
      </c>
      <c r="AT10" s="149" t="s">
        <v>10075</v>
      </c>
      <c r="AU10" s="461"/>
      <c r="AV10" s="198" t="s">
        <v>10076</v>
      </c>
      <c r="AW10" s="198" t="s">
        <v>10076</v>
      </c>
      <c r="AX10" s="198" t="s">
        <v>10076</v>
      </c>
      <c r="AY10" s="149"/>
      <c r="AZ10" s="461"/>
      <c r="BA10" s="198"/>
      <c r="BB10" s="198"/>
      <c r="BC10" s="198"/>
      <c r="BD10" s="198"/>
      <c r="BE10" s="198"/>
      <c r="BF10" s="198"/>
      <c r="BG10" s="198"/>
      <c r="BH10" s="198"/>
    </row>
    <row r="11">
      <c r="A11" s="179" t="s">
        <v>10077</v>
      </c>
      <c r="B11" s="456"/>
      <c r="C11" s="457" t="s">
        <v>10078</v>
      </c>
      <c r="D11" s="457" t="s">
        <v>6938</v>
      </c>
      <c r="E11" s="142"/>
      <c r="F11" s="149" t="s">
        <v>10079</v>
      </c>
      <c r="G11" s="456"/>
      <c r="H11" s="457" t="s">
        <v>10080</v>
      </c>
      <c r="I11" s="457" t="s">
        <v>10081</v>
      </c>
      <c r="J11" s="142"/>
      <c r="K11" s="243" t="s">
        <v>10082</v>
      </c>
      <c r="L11" s="456"/>
      <c r="M11" s="167" t="s">
        <v>10083</v>
      </c>
      <c r="N11" s="167" t="s">
        <v>6940</v>
      </c>
      <c r="O11" s="198"/>
      <c r="P11" s="243" t="str">
        <f>IFERROR(__xludf.DUMMYFUNCTION("GOOGLETRANSLATE(A11,""zh-tw"",""zh"")"),"烤串")</f>
        <v>烤串</v>
      </c>
      <c r="Q11" s="440"/>
      <c r="R11" s="457" t="str">
        <f>IFERROR(__xludf.DUMMYFUNCTION("GOOGLETRANSLATE(C11,""zh-tw"",""zh"")"),"大块兽肉")</f>
        <v>大块兽肉</v>
      </c>
      <c r="S11" s="457" t="str">
        <f>IFERROR(__xludf.DUMMYFUNCTION("GOOGLETRANSLATE(D11,""zh-tw"",""zh"")"),"土豆")</f>
        <v>土豆</v>
      </c>
      <c r="T11" s="457"/>
      <c r="U11" s="149" t="str">
        <f>IFERROR(__xludf.DUMMYFUNCTION("GOOGLETRANSLATE(A11,""zh-tw"",""es-MX"")"),"Brochetas a la parrilla")</f>
        <v>Brochetas a la parrilla</v>
      </c>
      <c r="V11" s="453"/>
      <c r="W11" s="457" t="str">
        <f>IFERROR(__xludf.DUMMYFUNCTION("GOOGLETRANSLATE(C11,""zh-tw"",""es-MX"")"),"Grandes trozos de carne")</f>
        <v>Grandes trozos de carne</v>
      </c>
      <c r="X11" s="457" t="str">
        <f>IFERROR(__xludf.DUMMYFUNCTION("GOOGLETRANSLATE(D11,""zh-tw"",""es-MX"")"),"Papa")</f>
        <v>Papa</v>
      </c>
      <c r="Y11" s="457"/>
      <c r="Z11" s="460" t="s">
        <v>10084</v>
      </c>
      <c r="AA11" s="454"/>
      <c r="AB11" s="167" t="s">
        <v>10085</v>
      </c>
      <c r="AC11" s="198" t="str">
        <f>IFERROR(__xludf.DUMMYFUNCTION("GOOGLETRANSLATE(D11,""zh-tw"",""KO"")"),"감자")</f>
        <v>감자</v>
      </c>
      <c r="AD11" s="198"/>
      <c r="AE11" s="458" t="s">
        <v>10086</v>
      </c>
      <c r="AF11" s="222"/>
      <c r="AG11" s="457" t="s">
        <v>10087</v>
      </c>
      <c r="AH11" s="457" t="s">
        <v>6943</v>
      </c>
      <c r="AI11" s="459"/>
      <c r="AJ11" s="460" t="s">
        <v>10088</v>
      </c>
      <c r="AK11" s="454"/>
      <c r="AL11" s="167" t="s">
        <v>10089</v>
      </c>
      <c r="AM11" s="167" t="s">
        <v>6945</v>
      </c>
      <c r="AN11" s="198"/>
      <c r="AO11" s="153" t="s">
        <v>10082</v>
      </c>
      <c r="AP11" s="456"/>
      <c r="AQ11" s="198" t="s">
        <v>10090</v>
      </c>
      <c r="AR11" s="198" t="s">
        <v>6947</v>
      </c>
      <c r="AS11" s="142"/>
      <c r="AT11" s="149" t="s">
        <v>10082</v>
      </c>
      <c r="AU11" s="461"/>
      <c r="AV11" s="198" t="s">
        <v>10091</v>
      </c>
      <c r="AW11" s="198" t="s">
        <v>6949</v>
      </c>
      <c r="AX11" s="76"/>
      <c r="AY11" s="149"/>
      <c r="AZ11" s="461"/>
      <c r="BA11" s="198"/>
      <c r="BB11" s="198"/>
      <c r="BC11" s="76"/>
      <c r="BD11" s="76"/>
      <c r="BE11" s="76"/>
      <c r="BF11" s="76"/>
      <c r="BG11" s="76"/>
      <c r="BH11" s="76"/>
    </row>
    <row r="12">
      <c r="A12" s="149" t="s">
        <v>10092</v>
      </c>
      <c r="B12" s="456"/>
      <c r="C12" s="457" t="s">
        <v>9994</v>
      </c>
      <c r="D12" s="142"/>
      <c r="E12" s="142"/>
      <c r="F12" s="149" t="s">
        <v>10093</v>
      </c>
      <c r="G12" s="456"/>
      <c r="H12" s="457" t="s">
        <v>9997</v>
      </c>
      <c r="I12" s="142"/>
      <c r="J12" s="142"/>
      <c r="K12" s="243" t="s">
        <v>10094</v>
      </c>
      <c r="L12" s="456"/>
      <c r="M12" s="167" t="s">
        <v>10000</v>
      </c>
      <c r="N12" s="198"/>
      <c r="O12" s="198"/>
      <c r="P12" s="243" t="str">
        <f>IFERROR(__xludf.DUMMYFUNCTION("GOOGLETRANSLATE(A12,""zh-tw"",""zh"")"),"饭团")</f>
        <v>饭团</v>
      </c>
      <c r="Q12" s="440"/>
      <c r="R12" s="457" t="str">
        <f>IFERROR(__xludf.DUMMYFUNCTION("GOOGLETRANSLATE(C12,""zh-tw"",""zh"")"),"白米饭")</f>
        <v>白米饭</v>
      </c>
      <c r="S12" s="457"/>
      <c r="T12" s="457"/>
      <c r="U12" s="149" t="str">
        <f>IFERROR(__xludf.DUMMYFUNCTION("GOOGLETRANSLATE(A12,""zh-tw"",""es-MX"")"),"Bola de arroz")</f>
        <v>Bola de arroz</v>
      </c>
      <c r="V12" s="453"/>
      <c r="W12" s="457" t="str">
        <f>IFERROR(__xludf.DUMMYFUNCTION("GOOGLETRANSLATE(C12,""zh-tw"",""es-MX"")"),"arroz blanco")</f>
        <v>arroz blanco</v>
      </c>
      <c r="X12" s="457"/>
      <c r="Y12" s="457"/>
      <c r="Z12" s="458" t="str">
        <f>IFERROR(__xludf.DUMMYFUNCTION("GOOGLETRANSLATE(A12,""zh-tw"",""KO"")"),"주먹밥")</f>
        <v>주먹밥</v>
      </c>
      <c r="AA12" s="454"/>
      <c r="AB12" s="198" t="str">
        <f>IFERROR(__xludf.DUMMYFUNCTION("GOOGLETRANSLATE(C12,""zh-tw"",""KO"")"),"흰쌀")</f>
        <v>흰쌀</v>
      </c>
      <c r="AC12" s="198"/>
      <c r="AD12" s="198"/>
      <c r="AE12" s="458" t="s">
        <v>10095</v>
      </c>
      <c r="AF12" s="222"/>
      <c r="AG12" s="457" t="s">
        <v>10004</v>
      </c>
      <c r="AH12" s="459"/>
      <c r="AI12" s="459"/>
      <c r="AJ12" s="460" t="s">
        <v>10096</v>
      </c>
      <c r="AK12" s="454"/>
      <c r="AL12" s="167" t="s">
        <v>10007</v>
      </c>
      <c r="AM12" s="198"/>
      <c r="AN12" s="198"/>
      <c r="AO12" s="197" t="s">
        <v>10097</v>
      </c>
      <c r="AP12" s="456"/>
      <c r="AQ12" s="198" t="s">
        <v>10010</v>
      </c>
      <c r="AR12" s="142"/>
      <c r="AS12" s="142"/>
      <c r="AT12" s="149" t="s">
        <v>10094</v>
      </c>
      <c r="AU12" s="461"/>
      <c r="AV12" s="198" t="s">
        <v>10013</v>
      </c>
      <c r="AW12" s="76"/>
      <c r="AX12" s="76"/>
      <c r="AY12" s="149"/>
      <c r="AZ12" s="461"/>
      <c r="BA12" s="198"/>
      <c r="BB12" s="76"/>
      <c r="BC12" s="76"/>
      <c r="BD12" s="76"/>
      <c r="BE12" s="76"/>
      <c r="BF12" s="76"/>
      <c r="BG12" s="76"/>
      <c r="BH12" s="76"/>
    </row>
    <row r="13">
      <c r="A13" s="149" t="s">
        <v>10098</v>
      </c>
      <c r="B13" s="456"/>
      <c r="C13" s="457" t="s">
        <v>9994</v>
      </c>
      <c r="D13" s="457" t="s">
        <v>9995</v>
      </c>
      <c r="E13" s="457" t="s">
        <v>10078</v>
      </c>
      <c r="F13" s="149" t="s">
        <v>10099</v>
      </c>
      <c r="G13" s="456"/>
      <c r="H13" s="457" t="s">
        <v>9997</v>
      </c>
      <c r="I13" s="457" t="s">
        <v>9998</v>
      </c>
      <c r="J13" s="457" t="s">
        <v>10080</v>
      </c>
      <c r="K13" s="235" t="s">
        <v>10100</v>
      </c>
      <c r="L13" s="456"/>
      <c r="M13" s="167" t="s">
        <v>10000</v>
      </c>
      <c r="N13" s="167" t="s">
        <v>10001</v>
      </c>
      <c r="O13" s="167" t="s">
        <v>10083</v>
      </c>
      <c r="P13" s="243" t="str">
        <f>IFERROR(__xludf.DUMMYFUNCTION("GOOGLETRANSLATE(A13,""zh-tw"",""zh"")"),"肉排咖喱饭")</f>
        <v>肉排咖喱饭</v>
      </c>
      <c r="Q13" s="440"/>
      <c r="R13" s="457" t="str">
        <f>IFERROR(__xludf.DUMMYFUNCTION("GOOGLETRANSLATE(C13,""zh-tw"",""zh"")"),"白米饭")</f>
        <v>白米饭</v>
      </c>
      <c r="S13" s="457" t="str">
        <f>IFERROR(__xludf.DUMMYFUNCTION("GOOGLETRANSLATE(D13,""zh-tw"",""zh"")"),"咖喱块")</f>
        <v>咖喱块</v>
      </c>
      <c r="T13" s="457" t="str">
        <f>IFERROR(__xludf.DUMMYFUNCTION("GOOGLETRANSLATE(E13,""zh-tw"",""zh"")"),"大块兽肉")</f>
        <v>大块兽肉</v>
      </c>
      <c r="U13" s="149" t="str">
        <f>IFERROR(__xludf.DUMMYFUNCTION("GOOGLETRANSLATE(A13,""zh-tw"",""es-MX"")"),"Arroz al curry con chuleta de cerdo")</f>
        <v>Arroz al curry con chuleta de cerdo</v>
      </c>
      <c r="V13" s="453"/>
      <c r="W13" s="457" t="str">
        <f>IFERROR(__xludf.DUMMYFUNCTION("GOOGLETRANSLATE(C13,""zh-tw"",""es-MX"")"),"arroz blanco")</f>
        <v>arroz blanco</v>
      </c>
      <c r="X13" s="457" t="str">
        <f>IFERROR(__xludf.DUMMYFUNCTION("GOOGLETRANSLATE(D13,""zh-tw"",""es-MX"")"),"cubos de curry")</f>
        <v>cubos de curry</v>
      </c>
      <c r="Y13" s="457" t="str">
        <f>IFERROR(__xludf.DUMMYFUNCTION("GOOGLETRANSLATE(E13,""zh-tw"",""es-MX"")"),"Grandes trozos de carne")</f>
        <v>Grandes trozos de carne</v>
      </c>
      <c r="Z13" s="460" t="s">
        <v>10101</v>
      </c>
      <c r="AA13" s="454"/>
      <c r="AB13" s="198" t="str">
        <f>IFERROR(__xludf.DUMMYFUNCTION("GOOGLETRANSLATE(C13,""zh-tw"",""KO"")"),"흰쌀")</f>
        <v>흰쌀</v>
      </c>
      <c r="AC13" s="167" t="s">
        <v>10002</v>
      </c>
      <c r="AD13" s="167" t="s">
        <v>10085</v>
      </c>
      <c r="AE13" s="458" t="s">
        <v>10102</v>
      </c>
      <c r="AF13" s="222"/>
      <c r="AG13" s="457" t="s">
        <v>10004</v>
      </c>
      <c r="AH13" s="457" t="s">
        <v>10005</v>
      </c>
      <c r="AI13" s="457" t="s">
        <v>10087</v>
      </c>
      <c r="AJ13" s="460" t="s">
        <v>10103</v>
      </c>
      <c r="AK13" s="454"/>
      <c r="AL13" s="167" t="s">
        <v>10007</v>
      </c>
      <c r="AM13" s="167" t="s">
        <v>10008</v>
      </c>
      <c r="AN13" s="167" t="s">
        <v>10089</v>
      </c>
      <c r="AO13" s="197" t="s">
        <v>10104</v>
      </c>
      <c r="AP13" s="456"/>
      <c r="AQ13" s="198" t="s">
        <v>10010</v>
      </c>
      <c r="AR13" s="198" t="s">
        <v>10011</v>
      </c>
      <c r="AS13" s="198" t="s">
        <v>10090</v>
      </c>
      <c r="AT13" s="149" t="s">
        <v>10105</v>
      </c>
      <c r="AU13" s="461"/>
      <c r="AV13" s="198" t="s">
        <v>10013</v>
      </c>
      <c r="AW13" s="167" t="s">
        <v>10014</v>
      </c>
      <c r="AX13" s="198" t="s">
        <v>10091</v>
      </c>
      <c r="AY13" s="149"/>
      <c r="AZ13" s="461"/>
      <c r="BA13" s="198"/>
      <c r="BB13" s="167"/>
      <c r="BC13" s="198"/>
      <c r="BD13" s="198"/>
      <c r="BE13" s="198"/>
      <c r="BF13" s="198"/>
      <c r="BG13" s="198"/>
      <c r="BH13" s="198"/>
    </row>
    <row r="14">
      <c r="A14" s="149" t="s">
        <v>10106</v>
      </c>
      <c r="B14" s="440" t="s">
        <v>592</v>
      </c>
      <c r="C14" s="457" t="s">
        <v>6087</v>
      </c>
      <c r="D14" s="142"/>
      <c r="E14" s="142"/>
      <c r="F14" s="149" t="s">
        <v>10107</v>
      </c>
      <c r="G14" s="440" t="s">
        <v>592</v>
      </c>
      <c r="H14" s="457" t="s">
        <v>10108</v>
      </c>
      <c r="I14" s="142"/>
      <c r="J14" s="142"/>
      <c r="K14" s="243" t="s">
        <v>10109</v>
      </c>
      <c r="L14" s="440" t="s">
        <v>592</v>
      </c>
      <c r="M14" s="167" t="s">
        <v>6092</v>
      </c>
      <c r="N14" s="198"/>
      <c r="O14" s="198"/>
      <c r="P14" s="243" t="str">
        <f>IFERROR(__xludf.DUMMYFUNCTION("GOOGLETRANSLATE(A14,""zh-tw"",""zh"")"),"肉汤")</f>
        <v>肉汤</v>
      </c>
      <c r="Q14" s="440" t="str">
        <f>IFERROR(__xludf.DUMMYFUNCTION("GOOGLETRANSLATE(B14,""zh-tw"",""zh"")"),"A")</f>
        <v>A</v>
      </c>
      <c r="R14" s="457" t="str">
        <f>IFERROR(__xludf.DUMMYFUNCTION("GOOGLETRANSLATE(C14,""zh-tw"",""zh"")"),"小块兽肉")</f>
        <v>小块兽肉</v>
      </c>
      <c r="S14" s="457"/>
      <c r="T14" s="457"/>
      <c r="U14" s="149" t="str">
        <f>IFERROR(__xludf.DUMMYFUNCTION("GOOGLETRANSLATE(A14,""zh-tw"",""es-MX"")"),"caldo")</f>
        <v>caldo</v>
      </c>
      <c r="V14" s="453" t="str">
        <f>IFERROR(__xludf.DUMMYFUNCTION("GOOGLETRANSLATE(B14,""zh-tw"",""es-MX"")"),"A")</f>
        <v>A</v>
      </c>
      <c r="W14" s="457" t="str">
        <f>IFERROR(__xludf.DUMMYFUNCTION("GOOGLETRANSLATE(C14,""zh-tw"",""es-MX"")"),"Pequeños trozos de carne")</f>
        <v>Pequeños trozos de carne</v>
      </c>
      <c r="X14" s="457"/>
      <c r="Y14" s="457"/>
      <c r="Z14" s="460" t="s">
        <v>10110</v>
      </c>
      <c r="AA14" s="454" t="s">
        <v>592</v>
      </c>
      <c r="AB14" s="167" t="s">
        <v>10111</v>
      </c>
      <c r="AC14" s="198"/>
      <c r="AD14" s="198"/>
      <c r="AE14" s="458" t="s">
        <v>10112</v>
      </c>
      <c r="AF14" s="453" t="s">
        <v>9955</v>
      </c>
      <c r="AG14" s="457" t="s">
        <v>10113</v>
      </c>
      <c r="AH14" s="459"/>
      <c r="AI14" s="459"/>
      <c r="AJ14" s="460" t="s">
        <v>10114</v>
      </c>
      <c r="AK14" s="454" t="s">
        <v>592</v>
      </c>
      <c r="AL14" s="167" t="s">
        <v>10115</v>
      </c>
      <c r="AM14" s="198"/>
      <c r="AN14" s="198"/>
      <c r="AO14" s="197" t="s">
        <v>10116</v>
      </c>
      <c r="AP14" s="440" t="s">
        <v>592</v>
      </c>
      <c r="AQ14" s="198" t="s">
        <v>6098</v>
      </c>
      <c r="AR14" s="142"/>
      <c r="AS14" s="142"/>
      <c r="AT14" s="149" t="s">
        <v>10117</v>
      </c>
      <c r="AU14" s="440" t="s">
        <v>592</v>
      </c>
      <c r="AV14" s="198" t="s">
        <v>6100</v>
      </c>
      <c r="AW14" s="76"/>
      <c r="AX14" s="76"/>
      <c r="AY14" s="149"/>
      <c r="AZ14" s="440"/>
      <c r="BA14" s="198"/>
      <c r="BB14" s="76"/>
      <c r="BC14" s="76"/>
      <c r="BD14" s="76"/>
      <c r="BE14" s="76"/>
      <c r="BF14" s="76"/>
      <c r="BG14" s="76"/>
      <c r="BH14" s="76"/>
    </row>
    <row r="15">
      <c r="A15" s="149" t="s">
        <v>10118</v>
      </c>
      <c r="B15" s="440" t="s">
        <v>592</v>
      </c>
      <c r="C15" s="457" t="s">
        <v>10078</v>
      </c>
      <c r="D15" s="142"/>
      <c r="E15" s="142"/>
      <c r="F15" s="149" t="s">
        <v>10119</v>
      </c>
      <c r="G15" s="440" t="s">
        <v>592</v>
      </c>
      <c r="H15" s="457" t="s">
        <v>10080</v>
      </c>
      <c r="I15" s="142"/>
      <c r="J15" s="142"/>
      <c r="K15" s="243" t="s">
        <v>10120</v>
      </c>
      <c r="L15" s="440" t="s">
        <v>592</v>
      </c>
      <c r="M15" s="167" t="s">
        <v>10083</v>
      </c>
      <c r="N15" s="198"/>
      <c r="O15" s="198"/>
      <c r="P15" s="243" t="str">
        <f>IFERROR(__xludf.DUMMYFUNCTION("GOOGLETRANSLATE(A15,""zh-tw"",""zh"")"),"烤肉块")</f>
        <v>烤肉块</v>
      </c>
      <c r="Q15" s="440" t="str">
        <f>IFERROR(__xludf.DUMMYFUNCTION("GOOGLETRANSLATE(B15,""zh-tw"",""zh"")"),"A")</f>
        <v>A</v>
      </c>
      <c r="R15" s="457" t="str">
        <f>IFERROR(__xludf.DUMMYFUNCTION("GOOGLETRANSLATE(C15,""zh-tw"",""zh"")"),"大块兽肉")</f>
        <v>大块兽肉</v>
      </c>
      <c r="S15" s="457"/>
      <c r="T15" s="457"/>
      <c r="U15" s="149" t="str">
        <f>IFERROR(__xludf.DUMMYFUNCTION("GOOGLETRANSLATE(A15,""zh-tw"",""es-MX"")"),"Trozos de carne asada")</f>
        <v>Trozos de carne asada</v>
      </c>
      <c r="V15" s="453" t="str">
        <f>IFERROR(__xludf.DUMMYFUNCTION("GOOGLETRANSLATE(B15,""zh-tw"",""es-MX"")"),"A")</f>
        <v>A</v>
      </c>
      <c r="W15" s="457" t="str">
        <f>IFERROR(__xludf.DUMMYFUNCTION("GOOGLETRANSLATE(C15,""zh-tw"",""es-MX"")"),"Grandes trozos de carne")</f>
        <v>Grandes trozos de carne</v>
      </c>
      <c r="X15" s="457"/>
      <c r="Y15" s="457"/>
      <c r="Z15" s="458" t="str">
        <f>IFERROR(__xludf.DUMMYFUNCTION("GOOGLETRANSLATE(A15,""zh-tw"",""KO"")"),"구운 고기 덩어리")</f>
        <v>구운 고기 덩어리</v>
      </c>
      <c r="AA15" s="454" t="s">
        <v>592</v>
      </c>
      <c r="AB15" s="167" t="s">
        <v>10085</v>
      </c>
      <c r="AC15" s="198"/>
      <c r="AD15" s="198"/>
      <c r="AE15" s="458" t="s">
        <v>10121</v>
      </c>
      <c r="AF15" s="453" t="s">
        <v>9955</v>
      </c>
      <c r="AG15" s="457" t="s">
        <v>10087</v>
      </c>
      <c r="AH15" s="459"/>
      <c r="AI15" s="459"/>
      <c r="AJ15" s="460" t="s">
        <v>10122</v>
      </c>
      <c r="AK15" s="454" t="s">
        <v>592</v>
      </c>
      <c r="AL15" s="167" t="s">
        <v>10089</v>
      </c>
      <c r="AM15" s="198"/>
      <c r="AN15" s="198"/>
      <c r="AO15" s="197" t="s">
        <v>10123</v>
      </c>
      <c r="AP15" s="440" t="s">
        <v>592</v>
      </c>
      <c r="AQ15" s="198" t="s">
        <v>10090</v>
      </c>
      <c r="AR15" s="142"/>
      <c r="AS15" s="142"/>
      <c r="AT15" s="149" t="s">
        <v>10124</v>
      </c>
      <c r="AU15" s="440" t="s">
        <v>592</v>
      </c>
      <c r="AV15" s="198" t="s">
        <v>10091</v>
      </c>
      <c r="AW15" s="76"/>
      <c r="AX15" s="76"/>
      <c r="AY15" s="149"/>
      <c r="AZ15" s="440"/>
      <c r="BA15" s="198"/>
      <c r="BB15" s="76"/>
      <c r="BC15" s="76"/>
      <c r="BD15" s="76"/>
      <c r="BE15" s="76"/>
      <c r="BF15" s="76"/>
      <c r="BG15" s="76"/>
      <c r="BH15" s="76"/>
    </row>
    <row r="16">
      <c r="A16" s="149" t="s">
        <v>10125</v>
      </c>
      <c r="B16" s="440" t="s">
        <v>592</v>
      </c>
      <c r="C16" s="457" t="s">
        <v>10078</v>
      </c>
      <c r="D16" s="457" t="s">
        <v>10078</v>
      </c>
      <c r="E16" s="142"/>
      <c r="F16" s="149" t="s">
        <v>10126</v>
      </c>
      <c r="G16" s="440" t="s">
        <v>592</v>
      </c>
      <c r="H16" s="457" t="s">
        <v>10080</v>
      </c>
      <c r="I16" s="457" t="s">
        <v>10080</v>
      </c>
      <c r="J16" s="142"/>
      <c r="K16" s="243" t="s">
        <v>10127</v>
      </c>
      <c r="L16" s="440" t="s">
        <v>592</v>
      </c>
      <c r="M16" s="167" t="s">
        <v>10083</v>
      </c>
      <c r="N16" s="167" t="s">
        <v>10083</v>
      </c>
      <c r="O16" s="198"/>
      <c r="P16" s="243" t="str">
        <f>IFERROR(__xludf.DUMMYFUNCTION("GOOGLETRANSLATE(A16,""zh-tw"",""zh"")"),"牛排肉")</f>
        <v>牛排肉</v>
      </c>
      <c r="Q16" s="440" t="str">
        <f>IFERROR(__xludf.DUMMYFUNCTION("GOOGLETRANSLATE(B16,""zh-tw"",""zh"")"),"A")</f>
        <v>A</v>
      </c>
      <c r="R16" s="457" t="str">
        <f>IFERROR(__xludf.DUMMYFUNCTION("GOOGLETRANSLATE(C16,""zh-tw"",""zh"")"),"大块兽肉")</f>
        <v>大块兽肉</v>
      </c>
      <c r="S16" s="457" t="str">
        <f>IFERROR(__xludf.DUMMYFUNCTION("GOOGLETRANSLATE(D16,""zh-tw"",""zh"")"),"大块兽肉")</f>
        <v>大块兽肉</v>
      </c>
      <c r="T16" s="457"/>
      <c r="U16" s="149" t="str">
        <f>IFERROR(__xludf.DUMMYFUNCTION("GOOGLETRANSLATE(A16,""zh-tw"",""es-MX"")"),"Filete de ternera")</f>
        <v>Filete de ternera</v>
      </c>
      <c r="V16" s="453" t="str">
        <f>IFERROR(__xludf.DUMMYFUNCTION("GOOGLETRANSLATE(B16,""zh-tw"",""es-MX"")"),"A")</f>
        <v>A</v>
      </c>
      <c r="W16" s="457" t="str">
        <f>IFERROR(__xludf.DUMMYFUNCTION("GOOGLETRANSLATE(C16,""zh-tw"",""es-MX"")"),"Grandes trozos de carne")</f>
        <v>Grandes trozos de carne</v>
      </c>
      <c r="X16" s="457" t="str">
        <f>IFERROR(__xludf.DUMMYFUNCTION("GOOGLETRANSLATE(D16,""zh-tw"",""es-MX"")"),"Grandes trozos de carne")</f>
        <v>Grandes trozos de carne</v>
      </c>
      <c r="Y16" s="457"/>
      <c r="Z16" s="460" t="s">
        <v>10128</v>
      </c>
      <c r="AA16" s="454" t="s">
        <v>592</v>
      </c>
      <c r="AB16" s="167" t="s">
        <v>10085</v>
      </c>
      <c r="AC16" s="167" t="s">
        <v>10085</v>
      </c>
      <c r="AD16" s="198"/>
      <c r="AE16" s="458" t="s">
        <v>10129</v>
      </c>
      <c r="AF16" s="453" t="s">
        <v>9955</v>
      </c>
      <c r="AG16" s="457" t="s">
        <v>10087</v>
      </c>
      <c r="AH16" s="457" t="s">
        <v>10087</v>
      </c>
      <c r="AI16" s="459"/>
      <c r="AJ16" s="460" t="s">
        <v>10130</v>
      </c>
      <c r="AK16" s="454" t="s">
        <v>592</v>
      </c>
      <c r="AL16" s="167" t="s">
        <v>10089</v>
      </c>
      <c r="AM16" s="167" t="s">
        <v>10089</v>
      </c>
      <c r="AN16" s="198"/>
      <c r="AO16" s="197" t="s">
        <v>10131</v>
      </c>
      <c r="AP16" s="440" t="s">
        <v>592</v>
      </c>
      <c r="AQ16" s="198" t="s">
        <v>10090</v>
      </c>
      <c r="AR16" s="198" t="s">
        <v>10090</v>
      </c>
      <c r="AS16" s="142"/>
      <c r="AT16" s="149" t="s">
        <v>10132</v>
      </c>
      <c r="AU16" s="440" t="s">
        <v>592</v>
      </c>
      <c r="AV16" s="198" t="s">
        <v>10091</v>
      </c>
      <c r="AW16" s="198" t="s">
        <v>10091</v>
      </c>
      <c r="AX16" s="76"/>
      <c r="AY16" s="149"/>
      <c r="AZ16" s="440"/>
      <c r="BA16" s="198"/>
      <c r="BB16" s="198"/>
      <c r="BC16" s="76"/>
      <c r="BD16" s="76"/>
      <c r="BE16" s="76"/>
      <c r="BF16" s="76"/>
      <c r="BG16" s="76"/>
      <c r="BH16" s="76"/>
    </row>
    <row r="17">
      <c r="A17" s="179" t="s">
        <v>10133</v>
      </c>
      <c r="B17" s="440" t="s">
        <v>592</v>
      </c>
      <c r="C17" s="457" t="s">
        <v>10078</v>
      </c>
      <c r="D17" s="457" t="s">
        <v>10078</v>
      </c>
      <c r="E17" s="457" t="s">
        <v>10078</v>
      </c>
      <c r="F17" s="149" t="s">
        <v>10134</v>
      </c>
      <c r="G17" s="440" t="s">
        <v>592</v>
      </c>
      <c r="H17" s="457" t="s">
        <v>10080</v>
      </c>
      <c r="I17" s="457" t="s">
        <v>10080</v>
      </c>
      <c r="J17" s="457" t="s">
        <v>10080</v>
      </c>
      <c r="K17" s="243" t="s">
        <v>10135</v>
      </c>
      <c r="L17" s="440" t="s">
        <v>592</v>
      </c>
      <c r="M17" s="167" t="s">
        <v>10083</v>
      </c>
      <c r="N17" s="167" t="s">
        <v>10083</v>
      </c>
      <c r="O17" s="167" t="s">
        <v>10083</v>
      </c>
      <c r="P17" s="243" t="str">
        <f>IFERROR(__xludf.DUMMYFUNCTION("GOOGLETRANSLATE(A17,""zh-tw"",""zh"")"),"酱牛肉")</f>
        <v>酱牛肉</v>
      </c>
      <c r="Q17" s="440" t="str">
        <f>IFERROR(__xludf.DUMMYFUNCTION("GOOGLETRANSLATE(B17,""zh-tw"",""zh"")"),"A")</f>
        <v>A</v>
      </c>
      <c r="R17" s="457" t="str">
        <f>IFERROR(__xludf.DUMMYFUNCTION("GOOGLETRANSLATE(C17,""zh-tw"",""zh"")"),"大块兽肉")</f>
        <v>大块兽肉</v>
      </c>
      <c r="S17" s="457" t="str">
        <f>IFERROR(__xludf.DUMMYFUNCTION("GOOGLETRANSLATE(D17,""zh-tw"",""zh"")"),"大块兽肉")</f>
        <v>大块兽肉</v>
      </c>
      <c r="T17" s="457" t="str">
        <f>IFERROR(__xludf.DUMMYFUNCTION("GOOGLETRANSLATE(E17,""zh-tw"",""zh"")"),"大块兽肉")</f>
        <v>大块兽肉</v>
      </c>
      <c r="U17" s="149" t="str">
        <f>IFERROR(__xludf.DUMMYFUNCTION("GOOGLETRANSLATE(A17,""zh-tw"",""es-MX"")"),"Carne estofada")</f>
        <v>Carne estofada</v>
      </c>
      <c r="V17" s="453" t="str">
        <f>IFERROR(__xludf.DUMMYFUNCTION("GOOGLETRANSLATE(B17,""zh-tw"",""es-MX"")"),"A")</f>
        <v>A</v>
      </c>
      <c r="W17" s="457" t="str">
        <f>IFERROR(__xludf.DUMMYFUNCTION("GOOGLETRANSLATE(C17,""zh-tw"",""es-MX"")"),"Grandes trozos de carne")</f>
        <v>Grandes trozos de carne</v>
      </c>
      <c r="X17" s="457" t="str">
        <f>IFERROR(__xludf.DUMMYFUNCTION("GOOGLETRANSLATE(D17,""zh-tw"",""es-MX"")"),"Grandes trozos de carne")</f>
        <v>Grandes trozos de carne</v>
      </c>
      <c r="Y17" s="457" t="str">
        <f>IFERROR(__xludf.DUMMYFUNCTION("GOOGLETRANSLATE(E17,""zh-tw"",""es-MX"")"),"Grandes trozos de carne")</f>
        <v>Grandes trozos de carne</v>
      </c>
      <c r="Z17" s="460" t="s">
        <v>10136</v>
      </c>
      <c r="AA17" s="454" t="s">
        <v>592</v>
      </c>
      <c r="AB17" s="167" t="s">
        <v>10085</v>
      </c>
      <c r="AC17" s="202" t="s">
        <v>10085</v>
      </c>
      <c r="AD17" s="202" t="s">
        <v>10085</v>
      </c>
      <c r="AE17" s="458" t="str">
        <f>IFERROR(__xludf.DUMMYFUNCTION("GOOGLETRANSLATE(A17,""zh-tw"",""ru"")"),"Тушеная говядина")</f>
        <v>Тушеная говядина</v>
      </c>
      <c r="AF17" s="453" t="s">
        <v>9955</v>
      </c>
      <c r="AG17" s="457" t="s">
        <v>10087</v>
      </c>
      <c r="AH17" s="457" t="s">
        <v>10087</v>
      </c>
      <c r="AI17" s="457" t="s">
        <v>10087</v>
      </c>
      <c r="AJ17" s="460" t="s">
        <v>10137</v>
      </c>
      <c r="AK17" s="454" t="s">
        <v>592</v>
      </c>
      <c r="AL17" s="167" t="s">
        <v>10089</v>
      </c>
      <c r="AM17" s="167" t="s">
        <v>10089</v>
      </c>
      <c r="AN17" s="167" t="s">
        <v>10089</v>
      </c>
      <c r="AO17" s="153" t="s">
        <v>10138</v>
      </c>
      <c r="AP17" s="440" t="s">
        <v>592</v>
      </c>
      <c r="AQ17" s="198" t="s">
        <v>10090</v>
      </c>
      <c r="AR17" s="198" t="s">
        <v>10090</v>
      </c>
      <c r="AS17" s="198" t="s">
        <v>10090</v>
      </c>
      <c r="AT17" s="149" t="s">
        <v>10139</v>
      </c>
      <c r="AU17" s="440" t="s">
        <v>592</v>
      </c>
      <c r="AV17" s="198" t="s">
        <v>10091</v>
      </c>
      <c r="AW17" s="198" t="s">
        <v>10091</v>
      </c>
      <c r="AX17" s="198" t="s">
        <v>10091</v>
      </c>
      <c r="AY17" s="149"/>
      <c r="AZ17" s="440"/>
      <c r="BA17" s="198"/>
      <c r="BB17" s="198"/>
      <c r="BC17" s="198"/>
      <c r="BD17" s="198"/>
      <c r="BE17" s="198"/>
      <c r="BF17" s="198"/>
      <c r="BG17" s="198"/>
      <c r="BH17" s="198"/>
    </row>
    <row r="18">
      <c r="A18" s="149" t="s">
        <v>10140</v>
      </c>
      <c r="B18" s="440" t="s">
        <v>592</v>
      </c>
      <c r="C18" s="457" t="s">
        <v>9994</v>
      </c>
      <c r="D18" s="457" t="s">
        <v>10078</v>
      </c>
      <c r="E18" s="142"/>
      <c r="F18" s="149" t="s">
        <v>10141</v>
      </c>
      <c r="G18" s="440" t="s">
        <v>592</v>
      </c>
      <c r="H18" s="457" t="s">
        <v>9997</v>
      </c>
      <c r="I18" s="457" t="s">
        <v>10080</v>
      </c>
      <c r="J18" s="142"/>
      <c r="K18" s="243" t="s">
        <v>10142</v>
      </c>
      <c r="L18" s="440" t="s">
        <v>592</v>
      </c>
      <c r="M18" s="167" t="s">
        <v>10143</v>
      </c>
      <c r="N18" s="167" t="s">
        <v>10083</v>
      </c>
      <c r="O18" s="198"/>
      <c r="P18" s="243" t="str">
        <f>IFERROR(__xludf.DUMMYFUNCTION("GOOGLETRANSLATE(A18,""zh-tw"",""zh"")"),"牛肉饭团")</f>
        <v>牛肉饭团</v>
      </c>
      <c r="Q18" s="440" t="str">
        <f>IFERROR(__xludf.DUMMYFUNCTION("GOOGLETRANSLATE(B18,""zh-tw"",""zh"")"),"A")</f>
        <v>A</v>
      </c>
      <c r="R18" s="457" t="str">
        <f>IFERROR(__xludf.DUMMYFUNCTION("GOOGLETRANSLATE(C18,""zh-tw"",""zh"")"),"白米饭")</f>
        <v>白米饭</v>
      </c>
      <c r="S18" s="457" t="str">
        <f>IFERROR(__xludf.DUMMYFUNCTION("GOOGLETRANSLATE(D18,""zh-tw"",""zh"")"),"大块兽肉")</f>
        <v>大块兽肉</v>
      </c>
      <c r="T18" s="457"/>
      <c r="U18" s="149" t="str">
        <f>IFERROR(__xludf.DUMMYFUNCTION("GOOGLETRANSLATE(A18,""zh-tw"",""es-MX"")"),"Bola de arroz con carne")</f>
        <v>Bola de arroz con carne</v>
      </c>
      <c r="V18" s="453" t="str">
        <f>IFERROR(__xludf.DUMMYFUNCTION("GOOGLETRANSLATE(B18,""zh-tw"",""es-MX"")"),"A")</f>
        <v>A</v>
      </c>
      <c r="W18" s="457" t="str">
        <f>IFERROR(__xludf.DUMMYFUNCTION("GOOGLETRANSLATE(C18,""zh-tw"",""es-MX"")"),"arroz blanco")</f>
        <v>arroz blanco</v>
      </c>
      <c r="X18" s="457" t="str">
        <f>IFERROR(__xludf.DUMMYFUNCTION("GOOGLETRANSLATE(D18,""zh-tw"",""es-MX"")"),"Grandes trozos de carne")</f>
        <v>Grandes trozos de carne</v>
      </c>
      <c r="Y18" s="457"/>
      <c r="Z18" s="460" t="s">
        <v>10144</v>
      </c>
      <c r="AA18" s="454" t="s">
        <v>592</v>
      </c>
      <c r="AB18" s="198" t="str">
        <f>IFERROR(__xludf.DUMMYFUNCTION("GOOGLETRANSLATE(C18,""zh-tw"",""KO"")"),"흰쌀")</f>
        <v>흰쌀</v>
      </c>
      <c r="AC18" s="167" t="s">
        <v>10085</v>
      </c>
      <c r="AD18" s="198"/>
      <c r="AE18" s="458" t="s">
        <v>10145</v>
      </c>
      <c r="AF18" s="453" t="s">
        <v>9955</v>
      </c>
      <c r="AG18" s="457" t="s">
        <v>10004</v>
      </c>
      <c r="AH18" s="457" t="s">
        <v>10087</v>
      </c>
      <c r="AI18" s="459"/>
      <c r="AJ18" s="460" t="s">
        <v>10146</v>
      </c>
      <c r="AK18" s="454" t="s">
        <v>592</v>
      </c>
      <c r="AL18" s="167" t="s">
        <v>10007</v>
      </c>
      <c r="AM18" s="167" t="s">
        <v>10089</v>
      </c>
      <c r="AN18" s="198"/>
      <c r="AO18" s="197" t="s">
        <v>10147</v>
      </c>
      <c r="AP18" s="440" t="s">
        <v>592</v>
      </c>
      <c r="AQ18" s="198" t="s">
        <v>10010</v>
      </c>
      <c r="AR18" s="198" t="s">
        <v>10090</v>
      </c>
      <c r="AS18" s="142"/>
      <c r="AT18" s="149" t="s">
        <v>10148</v>
      </c>
      <c r="AU18" s="440" t="s">
        <v>592</v>
      </c>
      <c r="AV18" s="198" t="s">
        <v>10149</v>
      </c>
      <c r="AW18" s="198" t="s">
        <v>10091</v>
      </c>
      <c r="AX18" s="76"/>
      <c r="AY18" s="149"/>
      <c r="AZ18" s="440"/>
      <c r="BA18" s="198"/>
      <c r="BB18" s="198"/>
      <c r="BC18" s="76"/>
      <c r="BD18" s="76"/>
      <c r="BE18" s="76"/>
      <c r="BF18" s="76"/>
      <c r="BG18" s="76"/>
      <c r="BH18" s="76"/>
    </row>
    <row r="19">
      <c r="A19" s="149" t="s">
        <v>10150</v>
      </c>
      <c r="B19" s="456"/>
      <c r="C19" s="457" t="s">
        <v>10151</v>
      </c>
      <c r="D19" s="142"/>
      <c r="E19" s="142"/>
      <c r="F19" s="149" t="s">
        <v>10152</v>
      </c>
      <c r="G19" s="456"/>
      <c r="H19" s="457" t="s">
        <v>10153</v>
      </c>
      <c r="I19" s="142"/>
      <c r="J19" s="142"/>
      <c r="K19" s="235" t="s">
        <v>10154</v>
      </c>
      <c r="L19" s="456"/>
      <c r="M19" s="167" t="s">
        <v>10155</v>
      </c>
      <c r="N19" s="198"/>
      <c r="O19" s="198"/>
      <c r="P19" s="243" t="str">
        <f>IFERROR(__xludf.DUMMYFUNCTION("GOOGLETRANSLATE(A19,""zh-tw"",""zh"")"),"奇怪的史莱姆果冻(蓝色)")</f>
        <v>奇怪的史莱姆果冻(蓝色)</v>
      </c>
      <c r="Q19" s="440"/>
      <c r="R19" s="457" t="str">
        <f>IFERROR(__xludf.DUMMYFUNCTION("GOOGLETRANSLATE(C19,""zh-tw"",""zh"")"),"水怪黏液")</f>
        <v>水怪黏液</v>
      </c>
      <c r="S19" s="457"/>
      <c r="T19" s="457"/>
      <c r="U19" s="149" t="str">
        <f>IFERROR(__xludf.DUMMYFUNCTION("GOOGLETRANSLATE(A19,""zh-tw"",""es-MX"")"),"Gelatina viscosa extraña (azul)")</f>
        <v>Gelatina viscosa extraña (azul)</v>
      </c>
      <c r="V19" s="453"/>
      <c r="W19" s="457" t="str">
        <f>IFERROR(__xludf.DUMMYFUNCTION("GOOGLETRANSLATE(C19,""zh-tw"",""es-MX"")"),"Monstruo acuático de limo")</f>
        <v>Monstruo acuático de limo</v>
      </c>
      <c r="X19" s="457"/>
      <c r="Y19" s="457"/>
      <c r="Z19" s="458" t="str">
        <f>IFERROR(__xludf.DUMMYFUNCTION("GOOGLETRANSLATE(A19,""zh-tw"",""KO"")"),"이상한 슬라임 젤리 (파란색)")</f>
        <v>이상한 슬라임 젤리 (파란색)</v>
      </c>
      <c r="AA19" s="454"/>
      <c r="AB19" s="167" t="s">
        <v>10156</v>
      </c>
      <c r="AC19" s="198"/>
      <c r="AD19" s="198"/>
      <c r="AE19" s="458" t="s">
        <v>9986</v>
      </c>
      <c r="AF19" s="222"/>
      <c r="AG19" s="457" t="s">
        <v>10157</v>
      </c>
      <c r="AH19" s="459"/>
      <c r="AI19" s="459"/>
      <c r="AJ19" s="460" t="s">
        <v>10158</v>
      </c>
      <c r="AK19" s="454"/>
      <c r="AL19" s="167" t="s">
        <v>10159</v>
      </c>
      <c r="AM19" s="198"/>
      <c r="AN19" s="198"/>
      <c r="AO19" s="165" t="s">
        <v>10160</v>
      </c>
      <c r="AP19" s="456"/>
      <c r="AQ19" s="167" t="s">
        <v>10161</v>
      </c>
      <c r="AR19" s="142"/>
      <c r="AS19" s="142"/>
      <c r="AT19" s="149" t="s">
        <v>10162</v>
      </c>
      <c r="AU19" s="461"/>
      <c r="AV19" s="198" t="s">
        <v>10163</v>
      </c>
      <c r="AW19" s="76"/>
      <c r="AX19" s="76"/>
      <c r="AY19" s="149"/>
      <c r="AZ19" s="461"/>
      <c r="BA19" s="198"/>
      <c r="BB19" s="76"/>
      <c r="BC19" s="76"/>
      <c r="BD19" s="76"/>
      <c r="BE19" s="76"/>
      <c r="BF19" s="76"/>
      <c r="BG19" s="76"/>
      <c r="BH19" s="76"/>
    </row>
    <row r="20">
      <c r="A20" s="149" t="s">
        <v>10164</v>
      </c>
      <c r="B20" s="456"/>
      <c r="C20" s="457" t="s">
        <v>9980</v>
      </c>
      <c r="D20" s="457" t="s">
        <v>5996</v>
      </c>
      <c r="E20" s="142"/>
      <c r="F20" s="149" t="s">
        <v>10165</v>
      </c>
      <c r="G20" s="456"/>
      <c r="H20" s="457" t="s">
        <v>9982</v>
      </c>
      <c r="I20" s="457" t="s">
        <v>10166</v>
      </c>
      <c r="J20" s="142"/>
      <c r="K20" s="243" t="s">
        <v>10167</v>
      </c>
      <c r="L20" s="456"/>
      <c r="M20" s="167" t="s">
        <v>9984</v>
      </c>
      <c r="N20" s="167" t="s">
        <v>6001</v>
      </c>
      <c r="O20" s="198"/>
      <c r="P20" s="243" t="str">
        <f>IFERROR(__xludf.DUMMYFUNCTION("GOOGLETRANSLATE(A20,""zh-tw"",""zh"")"),"奇怪的史莱姆果冻(粉色)")</f>
        <v>奇怪的史莱姆果冻(粉色)</v>
      </c>
      <c r="Q20" s="440"/>
      <c r="R20" s="457" t="str">
        <f>IFERROR(__xludf.DUMMYFUNCTION("GOOGLETRANSLATE(C20,""zh-tw"",""zh"")"),"史莱姆黏液")</f>
        <v>史莱姆黏液</v>
      </c>
      <c r="S20" s="457" t="str">
        <f>IFERROR(__xludf.DUMMYFUNCTION("GOOGLETRANSLATE(D20,""zh-tw"",""zh"")"),"苹果妖精")</f>
        <v>苹果妖精</v>
      </c>
      <c r="T20" s="457"/>
      <c r="U20" s="149" t="str">
        <f>IFERROR(__xludf.DUMMYFUNCTION("GOOGLETRANSLATE(A20,""zh-tw"",""es-MX"")"),"Gelatina viscosa extraña (rosa)")</f>
        <v>Gelatina viscosa extraña (rosa)</v>
      </c>
      <c r="V20" s="453"/>
      <c r="W20" s="457" t="str">
        <f>IFERROR(__xludf.DUMMYFUNCTION("GOOGLETRANSLATE(C20,""zh-tw"",""es-MX"")"),"limo")</f>
        <v>limo</v>
      </c>
      <c r="X20" s="457" t="str">
        <f>IFERROR(__xludf.DUMMYFUNCTION("GOOGLETRANSLATE(D20,""zh-tw"",""es-MX"")"),"Hada de las Manzanas")</f>
        <v>Hada de las Manzanas</v>
      </c>
      <c r="Y20" s="457"/>
      <c r="Z20" s="460" t="s">
        <v>10168</v>
      </c>
      <c r="AA20" s="454"/>
      <c r="AB20" s="167" t="s">
        <v>9985</v>
      </c>
      <c r="AC20" s="167" t="s">
        <v>10169</v>
      </c>
      <c r="AD20" s="198"/>
      <c r="AE20" s="458" t="s">
        <v>10170</v>
      </c>
      <c r="AF20" s="222"/>
      <c r="AG20" s="457" t="s">
        <v>9987</v>
      </c>
      <c r="AH20" s="457" t="s">
        <v>10171</v>
      </c>
      <c r="AI20" s="459"/>
      <c r="AJ20" s="460" t="s">
        <v>10172</v>
      </c>
      <c r="AK20" s="454"/>
      <c r="AL20" s="167" t="s">
        <v>9989</v>
      </c>
      <c r="AM20" s="167" t="s">
        <v>6005</v>
      </c>
      <c r="AN20" s="198"/>
      <c r="AO20" s="165" t="s">
        <v>10173</v>
      </c>
      <c r="AP20" s="456"/>
      <c r="AQ20" s="198" t="s">
        <v>9991</v>
      </c>
      <c r="AR20" s="167" t="s">
        <v>10174</v>
      </c>
      <c r="AS20" s="142"/>
      <c r="AT20" s="149" t="s">
        <v>10175</v>
      </c>
      <c r="AU20" s="461"/>
      <c r="AV20" s="198" t="s">
        <v>9992</v>
      </c>
      <c r="AW20" s="198" t="s">
        <v>10176</v>
      </c>
      <c r="AX20" s="76"/>
      <c r="AY20" s="149"/>
      <c r="AZ20" s="461"/>
      <c r="BA20" s="198"/>
      <c r="BB20" s="198"/>
      <c r="BC20" s="76"/>
      <c r="BD20" s="76"/>
      <c r="BE20" s="76"/>
      <c r="BF20" s="76"/>
      <c r="BG20" s="76"/>
      <c r="BH20" s="76"/>
    </row>
    <row r="21">
      <c r="A21" s="149" t="s">
        <v>10177</v>
      </c>
      <c r="B21" s="456"/>
      <c r="C21" s="457" t="s">
        <v>9980</v>
      </c>
      <c r="D21" s="457" t="s">
        <v>10178</v>
      </c>
      <c r="E21" s="142"/>
      <c r="F21" s="149" t="s">
        <v>10179</v>
      </c>
      <c r="G21" s="456"/>
      <c r="H21" s="457" t="s">
        <v>9982</v>
      </c>
      <c r="I21" s="457" t="s">
        <v>10180</v>
      </c>
      <c r="J21" s="142"/>
      <c r="K21" s="243" t="s">
        <v>10181</v>
      </c>
      <c r="L21" s="456"/>
      <c r="M21" s="167" t="s">
        <v>9984</v>
      </c>
      <c r="N21" s="167" t="s">
        <v>10182</v>
      </c>
      <c r="O21" s="198"/>
      <c r="P21" s="243" t="str">
        <f>IFERROR(__xludf.DUMMYFUNCTION("GOOGLETRANSLATE(A21,""zh-tw"",""zh"")"),"奇怪的史莱姆果冻(黑色)")</f>
        <v>奇怪的史莱姆果冻(黑色)</v>
      </c>
      <c r="Q21" s="440"/>
      <c r="R21" s="457" t="str">
        <f>IFERROR(__xludf.DUMMYFUNCTION("GOOGLETRANSLATE(C21,""zh-tw"",""zh"")"),"史莱姆黏液")</f>
        <v>史莱姆黏液</v>
      </c>
      <c r="S21" s="457" t="str">
        <f>IFERROR(__xludf.DUMMYFUNCTION("GOOGLETRANSLATE(D21,""zh-tw"",""zh"")"),"垃圾")</f>
        <v>垃圾</v>
      </c>
      <c r="T21" s="457"/>
      <c r="U21" s="149" t="str">
        <f>IFERROR(__xludf.DUMMYFUNCTION("GOOGLETRANSLATE(A21,""zh-tw"",""es-MX"")"),"Gelatina viscosa extraña (negra)")</f>
        <v>Gelatina viscosa extraña (negra)</v>
      </c>
      <c r="V21" s="453"/>
      <c r="W21" s="457" t="str">
        <f>IFERROR(__xludf.DUMMYFUNCTION("GOOGLETRANSLATE(C21,""zh-tw"",""es-MX"")"),"limo")</f>
        <v>limo</v>
      </c>
      <c r="X21" s="457" t="str">
        <f>IFERROR(__xludf.DUMMYFUNCTION("GOOGLETRANSLATE(D21,""zh-tw"",""es-MX"")"),"Basura")</f>
        <v>Basura</v>
      </c>
      <c r="Y21" s="457"/>
      <c r="Z21" s="458" t="str">
        <f>IFERROR(__xludf.DUMMYFUNCTION("GOOGLETRANSLATE(A21,""zh-tw"",""KO"")"),"이상한 점액 젤리 (검은색)")</f>
        <v>이상한 점액 젤리 (검은색)</v>
      </c>
      <c r="AA21" s="454"/>
      <c r="AB21" s="167" t="s">
        <v>9985</v>
      </c>
      <c r="AC21" s="198" t="str">
        <f>IFERROR(__xludf.DUMMYFUNCTION("GOOGLETRANSLATE(D21,""zh-tw"",""KO"")"),"쓰레기")</f>
        <v>쓰레기</v>
      </c>
      <c r="AD21" s="198"/>
      <c r="AE21" s="458" t="s">
        <v>10183</v>
      </c>
      <c r="AF21" s="222"/>
      <c r="AG21" s="457" t="s">
        <v>9987</v>
      </c>
      <c r="AH21" s="457" t="s">
        <v>10184</v>
      </c>
      <c r="AI21" s="459"/>
      <c r="AJ21" s="460" t="s">
        <v>10185</v>
      </c>
      <c r="AK21" s="454"/>
      <c r="AL21" s="167" t="s">
        <v>9989</v>
      </c>
      <c r="AM21" s="167" t="s">
        <v>10186</v>
      </c>
      <c r="AN21" s="198"/>
      <c r="AO21" s="165" t="s">
        <v>10187</v>
      </c>
      <c r="AP21" s="456"/>
      <c r="AQ21" s="198" t="s">
        <v>9991</v>
      </c>
      <c r="AR21" s="198" t="s">
        <v>10188</v>
      </c>
      <c r="AS21" s="142"/>
      <c r="AT21" s="149" t="s">
        <v>10189</v>
      </c>
      <c r="AU21" s="461"/>
      <c r="AV21" s="198" t="s">
        <v>9992</v>
      </c>
      <c r="AW21" s="198" t="s">
        <v>10190</v>
      </c>
      <c r="AX21" s="76"/>
      <c r="AY21" s="149"/>
      <c r="AZ21" s="461"/>
      <c r="BA21" s="198"/>
      <c r="BB21" s="198"/>
      <c r="BC21" s="76"/>
      <c r="BD21" s="76"/>
      <c r="BE21" s="76"/>
      <c r="BF21" s="76"/>
      <c r="BG21" s="76"/>
      <c r="BH21" s="76"/>
    </row>
    <row r="22">
      <c r="A22" s="149" t="s">
        <v>10191</v>
      </c>
      <c r="B22" s="456"/>
      <c r="C22" s="457" t="s">
        <v>10151</v>
      </c>
      <c r="D22" s="457" t="s">
        <v>1009</v>
      </c>
      <c r="E22" s="142"/>
      <c r="F22" s="149" t="s">
        <v>10192</v>
      </c>
      <c r="G22" s="456"/>
      <c r="H22" s="457" t="s">
        <v>9982</v>
      </c>
      <c r="I22" s="457" t="s">
        <v>1012</v>
      </c>
      <c r="J22" s="142"/>
      <c r="K22" s="243" t="s">
        <v>10193</v>
      </c>
      <c r="L22" s="456"/>
      <c r="M22" s="167" t="s">
        <v>9984</v>
      </c>
      <c r="N22" s="167" t="s">
        <v>10194</v>
      </c>
      <c r="O22" s="198"/>
      <c r="P22" s="243" t="str">
        <f>IFERROR(__xludf.DUMMYFUNCTION("GOOGLETRANSLATE(A22,""zh-tw"",""zh"")"),"奇怪的史莱姆果冻(彩色)")</f>
        <v>奇怪的史莱姆果冻(彩色)</v>
      </c>
      <c r="Q22" s="440"/>
      <c r="R22" s="457" t="str">
        <f>IFERROR(__xludf.DUMMYFUNCTION("GOOGLETRANSLATE(C22,""zh-tw"",""zh"")"),"水怪黏液")</f>
        <v>水怪黏液</v>
      </c>
      <c r="S22" s="457" t="str">
        <f>IFERROR(__xludf.DUMMYFUNCTION("GOOGLETRANSLATE(D22,""zh-tw"",""zh"")"),"呆毛")</f>
        <v>呆毛</v>
      </c>
      <c r="T22" s="457"/>
      <c r="U22" s="149" t="str">
        <f>IFERROR(__xludf.DUMMYFUNCTION("GOOGLETRANSLATE(A22,""zh-tw"",""es-MX"")"),"Gelatina viscosa extraña (colorida)")</f>
        <v>Gelatina viscosa extraña (colorida)</v>
      </c>
      <c r="V22" s="453"/>
      <c r="W22" s="457" t="str">
        <f>IFERROR(__xludf.DUMMYFUNCTION("GOOGLETRANSLATE(C22,""zh-tw"",""es-MX"")"),"Monstruo acuático de limo")</f>
        <v>Monstruo acuático de limo</v>
      </c>
      <c r="X22" s="457" t="str">
        <f>IFERROR(__xludf.DUMMYFUNCTION("GOOGLETRANSLATE(D22,""zh-tw"",""es-MX"")"),"mechón de pelo")</f>
        <v>mechón de pelo</v>
      </c>
      <c r="Y22" s="457"/>
      <c r="Z22" s="458" t="str">
        <f>IFERROR(__xludf.DUMMYFUNCTION("GOOGLETRANSLATE(A22,""zh-tw"",""KO"")"),"이상한 슬라임 젤리 (다채로운)")</f>
        <v>이상한 슬라임 젤리 (다채로운)</v>
      </c>
      <c r="AA22" s="454"/>
      <c r="AB22" s="167" t="s">
        <v>10156</v>
      </c>
      <c r="AC22" s="167" t="s">
        <v>1021</v>
      </c>
      <c r="AD22" s="198"/>
      <c r="AE22" s="458" t="s">
        <v>10195</v>
      </c>
      <c r="AF22" s="222"/>
      <c r="AG22" s="457" t="s">
        <v>10157</v>
      </c>
      <c r="AH22" s="457" t="s">
        <v>1024</v>
      </c>
      <c r="AI22" s="459"/>
      <c r="AJ22" s="460" t="s">
        <v>10196</v>
      </c>
      <c r="AK22" s="454"/>
      <c r="AL22" s="167" t="s">
        <v>10159</v>
      </c>
      <c r="AM22" s="167" t="s">
        <v>10197</v>
      </c>
      <c r="AN22" s="198"/>
      <c r="AO22" s="165" t="s">
        <v>10198</v>
      </c>
      <c r="AP22" s="456"/>
      <c r="AQ22" s="198" t="s">
        <v>9991</v>
      </c>
      <c r="AR22" s="198" t="s">
        <v>10199</v>
      </c>
      <c r="AS22" s="142"/>
      <c r="AT22" s="149" t="s">
        <v>10200</v>
      </c>
      <c r="AU22" s="461"/>
      <c r="AV22" s="198" t="s">
        <v>9992</v>
      </c>
      <c r="AW22" s="198" t="s">
        <v>10201</v>
      </c>
      <c r="AX22" s="76"/>
      <c r="AY22" s="149"/>
      <c r="AZ22" s="461"/>
      <c r="BA22" s="198"/>
      <c r="BB22" s="198"/>
      <c r="BC22" s="76"/>
      <c r="BD22" s="76"/>
      <c r="BE22" s="76"/>
      <c r="BF22" s="76"/>
      <c r="BG22" s="76"/>
      <c r="BH22" s="76"/>
    </row>
    <row r="23">
      <c r="A23" s="149" t="s">
        <v>10202</v>
      </c>
      <c r="B23" s="456"/>
      <c r="C23" s="457" t="s">
        <v>10203</v>
      </c>
      <c r="D23" s="142"/>
      <c r="E23" s="142"/>
      <c r="F23" s="149" t="s">
        <v>10204</v>
      </c>
      <c r="G23" s="456"/>
      <c r="H23" s="457" t="s">
        <v>10205</v>
      </c>
      <c r="I23" s="142"/>
      <c r="J23" s="142"/>
      <c r="K23" s="235" t="s">
        <v>10206</v>
      </c>
      <c r="L23" s="456"/>
      <c r="M23" s="167" t="s">
        <v>10207</v>
      </c>
      <c r="N23" s="198"/>
      <c r="O23" s="198"/>
      <c r="P23" s="243" t="str">
        <f>IFERROR(__xludf.DUMMYFUNCTION("GOOGLETRANSLATE(A23,""zh-tw"",""zh"")"),"烤香蕉")</f>
        <v>烤香蕉</v>
      </c>
      <c r="Q23" s="440"/>
      <c r="R23" s="457" t="str">
        <f>IFERROR(__xludf.DUMMYFUNCTION("GOOGLETRANSLATE(C23,""zh-tw"",""zh"")"),"香蕉")</f>
        <v>香蕉</v>
      </c>
      <c r="S23" s="457"/>
      <c r="T23" s="457"/>
      <c r="U23" s="149" t="str">
        <f>IFERROR(__xludf.DUMMYFUNCTION("GOOGLETRANSLATE(A23,""zh-tw"",""es-MX"")"),"Plátanos al horno")</f>
        <v>Plátanos al horno</v>
      </c>
      <c r="V23" s="453"/>
      <c r="W23" s="457" t="str">
        <f>IFERROR(__xludf.DUMMYFUNCTION("GOOGLETRANSLATE(C23,""zh-tw"",""es-MX"")"),"banana")</f>
        <v>banana</v>
      </c>
      <c r="X23" s="457"/>
      <c r="Y23" s="457"/>
      <c r="Z23" s="458" t="str">
        <f>IFERROR(__xludf.DUMMYFUNCTION("GOOGLETRANSLATE(A23,""zh-tw"",""KO"")"),"구운 바나나")</f>
        <v>구운 바나나</v>
      </c>
      <c r="AA23" s="454"/>
      <c r="AB23" s="198" t="str">
        <f>IFERROR(__xludf.DUMMYFUNCTION("GOOGLETRANSLATE(C23,""zh-tw"",""KO"")"),"바나나")</f>
        <v>바나나</v>
      </c>
      <c r="AC23" s="198"/>
      <c r="AD23" s="198"/>
      <c r="AE23" s="458" t="s">
        <v>10208</v>
      </c>
      <c r="AF23" s="222"/>
      <c r="AG23" s="457" t="s">
        <v>10209</v>
      </c>
      <c r="AH23" s="459"/>
      <c r="AI23" s="459"/>
      <c r="AJ23" s="460" t="s">
        <v>10210</v>
      </c>
      <c r="AK23" s="454"/>
      <c r="AL23" s="167" t="s">
        <v>10211</v>
      </c>
      <c r="AM23" s="198"/>
      <c r="AN23" s="198"/>
      <c r="AO23" s="197" t="s">
        <v>10212</v>
      </c>
      <c r="AP23" s="456"/>
      <c r="AQ23" s="198" t="s">
        <v>10213</v>
      </c>
      <c r="AR23" s="142"/>
      <c r="AS23" s="142"/>
      <c r="AT23" s="149" t="s">
        <v>10206</v>
      </c>
      <c r="AU23" s="461"/>
      <c r="AV23" s="198" t="s">
        <v>10207</v>
      </c>
      <c r="AW23" s="76"/>
      <c r="AX23" s="76"/>
      <c r="AY23" s="149"/>
      <c r="AZ23" s="461"/>
      <c r="BA23" s="198"/>
      <c r="BB23" s="76"/>
      <c r="BC23" s="76"/>
      <c r="BD23" s="76"/>
      <c r="BE23" s="76"/>
      <c r="BF23" s="76"/>
      <c r="BG23" s="76"/>
      <c r="BH23" s="76"/>
    </row>
    <row r="24">
      <c r="A24" s="149" t="s">
        <v>10214</v>
      </c>
      <c r="B24" s="456"/>
      <c r="C24" s="457" t="s">
        <v>6087</v>
      </c>
      <c r="D24" s="457" t="s">
        <v>6938</v>
      </c>
      <c r="E24" s="457" t="s">
        <v>10215</v>
      </c>
      <c r="F24" s="149" t="s">
        <v>10216</v>
      </c>
      <c r="G24" s="456"/>
      <c r="H24" s="457" t="s">
        <v>10108</v>
      </c>
      <c r="I24" s="457" t="s">
        <v>10217</v>
      </c>
      <c r="J24" s="457" t="s">
        <v>10218</v>
      </c>
      <c r="K24" s="243" t="s">
        <v>10219</v>
      </c>
      <c r="L24" s="456"/>
      <c r="M24" s="167" t="s">
        <v>6092</v>
      </c>
      <c r="N24" s="167" t="s">
        <v>6940</v>
      </c>
      <c r="O24" s="167" t="s">
        <v>10220</v>
      </c>
      <c r="P24" s="243" t="str">
        <f>IFERROR(__xludf.DUMMYFUNCTION("GOOGLETRANSLATE(A24,""zh-tw"",""zh"")"),"罗宋汤")</f>
        <v>罗宋汤</v>
      </c>
      <c r="Q24" s="440"/>
      <c r="R24" s="457" t="str">
        <f>IFERROR(__xludf.DUMMYFUNCTION("GOOGLETRANSLATE(C24,""zh-tw"",""zh"")"),"小块兽肉")</f>
        <v>小块兽肉</v>
      </c>
      <c r="S24" s="457" t="str">
        <f>IFERROR(__xludf.DUMMYFUNCTION("GOOGLETRANSLATE(D24,""zh-tw"",""zh"")"),"土豆")</f>
        <v>土豆</v>
      </c>
      <c r="T24" s="457" t="str">
        <f>IFERROR(__xludf.DUMMYFUNCTION("GOOGLETRANSLATE(E24,""zh-tw"",""zh"")"),"胡萝卜")</f>
        <v>胡萝卜</v>
      </c>
      <c r="U24" s="149" t="str">
        <f>IFERROR(__xludf.DUMMYFUNCTION("GOOGLETRANSLATE(A24,""zh-tw"",""es-MX"")"),"Sopa de remolacha")</f>
        <v>Sopa de remolacha</v>
      </c>
      <c r="V24" s="453"/>
      <c r="W24" s="457" t="str">
        <f>IFERROR(__xludf.DUMMYFUNCTION("GOOGLETRANSLATE(C24,""zh-tw"",""es-MX"")"),"Pequeños trozos de carne")</f>
        <v>Pequeños trozos de carne</v>
      </c>
      <c r="X24" s="457" t="str">
        <f>IFERROR(__xludf.DUMMYFUNCTION("GOOGLETRANSLATE(D24,""zh-tw"",""es-MX"")"),"Papa")</f>
        <v>Papa</v>
      </c>
      <c r="Y24" s="457" t="str">
        <f>IFERROR(__xludf.DUMMYFUNCTION("GOOGLETRANSLATE(E24,""zh-tw"",""es-MX"")"),"zanahoria")</f>
        <v>zanahoria</v>
      </c>
      <c r="Z24" s="458" t="str">
        <f>IFERROR(__xludf.DUMMYFUNCTION("GOOGLETRANSLATE(A24,""zh-tw"",""KO"")"),"보르쉬")</f>
        <v>보르쉬</v>
      </c>
      <c r="AA24" s="454"/>
      <c r="AB24" s="167" t="s">
        <v>10111</v>
      </c>
      <c r="AC24" s="198" t="str">
        <f>IFERROR(__xludf.DUMMYFUNCTION("GOOGLETRANSLATE(D24,""zh-tw"",""KO"")"),"감자")</f>
        <v>감자</v>
      </c>
      <c r="AD24" s="198" t="str">
        <f>IFERROR(__xludf.DUMMYFUNCTION("GOOGLETRANSLATE(E24,""zh-tw"",""KO"")"),"당근")</f>
        <v>당근</v>
      </c>
      <c r="AE24" s="458" t="s">
        <v>10221</v>
      </c>
      <c r="AF24" s="222"/>
      <c r="AG24" s="457" t="s">
        <v>10222</v>
      </c>
      <c r="AH24" s="457" t="s">
        <v>6943</v>
      </c>
      <c r="AI24" s="457" t="s">
        <v>10223</v>
      </c>
      <c r="AJ24" s="460" t="s">
        <v>10224</v>
      </c>
      <c r="AK24" s="454"/>
      <c r="AL24" s="167" t="s">
        <v>10115</v>
      </c>
      <c r="AM24" s="167" t="s">
        <v>6945</v>
      </c>
      <c r="AN24" s="167" t="s">
        <v>6945</v>
      </c>
      <c r="AO24" s="197" t="s">
        <v>10225</v>
      </c>
      <c r="AP24" s="456"/>
      <c r="AQ24" s="198" t="s">
        <v>6098</v>
      </c>
      <c r="AR24" s="198" t="s">
        <v>6947</v>
      </c>
      <c r="AS24" s="198" t="s">
        <v>10226</v>
      </c>
      <c r="AT24" s="149" t="s">
        <v>10219</v>
      </c>
      <c r="AU24" s="461"/>
      <c r="AV24" s="198" t="s">
        <v>6100</v>
      </c>
      <c r="AW24" s="198" t="s">
        <v>6949</v>
      </c>
      <c r="AX24" s="198" t="s">
        <v>10227</v>
      </c>
      <c r="AY24" s="149"/>
      <c r="AZ24" s="461"/>
      <c r="BA24" s="198"/>
      <c r="BB24" s="198"/>
      <c r="BC24" s="198"/>
      <c r="BD24" s="198"/>
      <c r="BE24" s="198"/>
      <c r="BF24" s="198"/>
      <c r="BG24" s="198"/>
      <c r="BH24" s="198"/>
    </row>
    <row r="25">
      <c r="A25" s="149" t="s">
        <v>10228</v>
      </c>
      <c r="B25" s="456"/>
      <c r="C25" s="457" t="s">
        <v>10229</v>
      </c>
      <c r="D25" s="142"/>
      <c r="E25" s="142"/>
      <c r="F25" s="149" t="s">
        <v>10230</v>
      </c>
      <c r="G25" s="456"/>
      <c r="H25" s="457" t="s">
        <v>10231</v>
      </c>
      <c r="I25" s="142"/>
      <c r="J25" s="142"/>
      <c r="K25" s="243" t="s">
        <v>10232</v>
      </c>
      <c r="L25" s="456"/>
      <c r="M25" s="167" t="s">
        <v>10233</v>
      </c>
      <c r="N25" s="198"/>
      <c r="O25" s="198"/>
      <c r="P25" s="243" t="str">
        <f>IFERROR(__xludf.DUMMYFUNCTION("GOOGLETRANSLATE(A25,""zh-tw"",""zh"")"),"烤章鱼脚")</f>
        <v>烤章鱼脚</v>
      </c>
      <c r="Q25" s="440"/>
      <c r="R25" s="457" t="str">
        <f>IFERROR(__xludf.DUMMYFUNCTION("GOOGLETRANSLATE(C25,""zh-tw"",""zh"")"),"章鱼脚")</f>
        <v>章鱼脚</v>
      </c>
      <c r="S25" s="457"/>
      <c r="T25" s="457"/>
      <c r="U25" s="149" t="str">
        <f>IFERROR(__xludf.DUMMYFUNCTION("GOOGLETRANSLATE(A25,""zh-tw"",""es-MX"")"),"Patas de pulpo a la parrilla")</f>
        <v>Patas de pulpo a la parrilla</v>
      </c>
      <c r="V25" s="453"/>
      <c r="W25" s="457" t="str">
        <f>IFERROR(__xludf.DUMMYFUNCTION("GOOGLETRANSLATE(C25,""zh-tw"",""es-MX"")"),"patas de pulpo")</f>
        <v>patas de pulpo</v>
      </c>
      <c r="X25" s="457"/>
      <c r="Y25" s="457"/>
      <c r="Z25" s="460" t="s">
        <v>10234</v>
      </c>
      <c r="AA25" s="454"/>
      <c r="AB25" s="167" t="s">
        <v>10235</v>
      </c>
      <c r="AC25" s="198"/>
      <c r="AD25" s="198"/>
      <c r="AE25" s="458" t="s">
        <v>10236</v>
      </c>
      <c r="AF25" s="222"/>
      <c r="AG25" s="457" t="s">
        <v>10237</v>
      </c>
      <c r="AH25" s="459"/>
      <c r="AI25" s="459"/>
      <c r="AJ25" s="460" t="s">
        <v>10238</v>
      </c>
      <c r="AK25" s="454"/>
      <c r="AL25" s="167" t="s">
        <v>10239</v>
      </c>
      <c r="AM25" s="198"/>
      <c r="AN25" s="198"/>
      <c r="AO25" s="197" t="s">
        <v>10240</v>
      </c>
      <c r="AP25" s="456"/>
      <c r="AQ25" s="198" t="s">
        <v>10241</v>
      </c>
      <c r="AR25" s="142"/>
      <c r="AS25" s="142"/>
      <c r="AT25" s="149" t="s">
        <v>10242</v>
      </c>
      <c r="AU25" s="461"/>
      <c r="AV25" s="198" t="s">
        <v>10243</v>
      </c>
      <c r="AW25" s="76"/>
      <c r="AX25" s="76"/>
      <c r="AY25" s="149"/>
      <c r="AZ25" s="461"/>
      <c r="BA25" s="198"/>
      <c r="BB25" s="76"/>
      <c r="BC25" s="76"/>
      <c r="BD25" s="76"/>
      <c r="BE25" s="76"/>
      <c r="BF25" s="76"/>
      <c r="BG25" s="76"/>
      <c r="BH25" s="76"/>
    </row>
    <row r="26">
      <c r="A26" s="179" t="s">
        <v>10244</v>
      </c>
      <c r="B26" s="456"/>
      <c r="C26" s="457" t="s">
        <v>10245</v>
      </c>
      <c r="D26" s="457" t="s">
        <v>10245</v>
      </c>
      <c r="E26" s="457" t="s">
        <v>10245</v>
      </c>
      <c r="F26" s="149" t="s">
        <v>10246</v>
      </c>
      <c r="G26" s="456"/>
      <c r="H26" s="457" t="s">
        <v>10218</v>
      </c>
      <c r="I26" s="457" t="s">
        <v>10218</v>
      </c>
      <c r="J26" s="457" t="s">
        <v>10218</v>
      </c>
      <c r="K26" s="235" t="s">
        <v>10247</v>
      </c>
      <c r="L26" s="456"/>
      <c r="M26" s="167" t="s">
        <v>10220</v>
      </c>
      <c r="N26" s="167" t="s">
        <v>10220</v>
      </c>
      <c r="O26" s="167" t="s">
        <v>10220</v>
      </c>
      <c r="P26" s="243" t="str">
        <f>IFERROR(__xludf.DUMMYFUNCTION("GOOGLETRANSLATE(A26,""zh-tw"",""zh"")"),"蔬菜沙拉")</f>
        <v>蔬菜沙拉</v>
      </c>
      <c r="Q26" s="440"/>
      <c r="R26" s="457" t="str">
        <f>IFERROR(__xludf.DUMMYFUNCTION("GOOGLETRANSLATE(C26,""zh-tw"",""zh"")"),"蔬菜")</f>
        <v>蔬菜</v>
      </c>
      <c r="S26" s="457" t="str">
        <f>IFERROR(__xludf.DUMMYFUNCTION("GOOGLETRANSLATE(D26,""zh-tw"",""zh"")"),"蔬菜")</f>
        <v>蔬菜</v>
      </c>
      <c r="T26" s="457" t="str">
        <f>IFERROR(__xludf.DUMMYFUNCTION("GOOGLETRANSLATE(E26,""zh-tw"",""zh"")"),"蔬菜")</f>
        <v>蔬菜</v>
      </c>
      <c r="U26" s="149" t="str">
        <f>IFERROR(__xludf.DUMMYFUNCTION("GOOGLETRANSLATE(A26,""zh-tw"",""es-MX"")"),"Ensalada de verduras")</f>
        <v>Ensalada de verduras</v>
      </c>
      <c r="V26" s="453"/>
      <c r="W26" s="457" t="str">
        <f>IFERROR(__xludf.DUMMYFUNCTION("GOOGLETRANSLATE(C26,""zh-tw"",""es-MX"")"),"verdura")</f>
        <v>verdura</v>
      </c>
      <c r="X26" s="457" t="str">
        <f>IFERROR(__xludf.DUMMYFUNCTION("GOOGLETRANSLATE(D26,""zh-tw"",""es-MX"")"),"verdura")</f>
        <v>verdura</v>
      </c>
      <c r="Y26" s="457" t="str">
        <f>IFERROR(__xludf.DUMMYFUNCTION("GOOGLETRANSLATE(E26,""zh-tw"",""es-MX"")"),"verdura")</f>
        <v>verdura</v>
      </c>
      <c r="Z26" s="460" t="s">
        <v>10248</v>
      </c>
      <c r="AA26" s="454"/>
      <c r="AB26" s="462" t="s">
        <v>10249</v>
      </c>
      <c r="AC26" s="462" t="s">
        <v>10249</v>
      </c>
      <c r="AD26" s="167" t="s">
        <v>10249</v>
      </c>
      <c r="AE26" s="458" t="s">
        <v>10250</v>
      </c>
      <c r="AF26" s="222"/>
      <c r="AG26" s="457" t="s">
        <v>10251</v>
      </c>
      <c r="AH26" s="457" t="s">
        <v>10251</v>
      </c>
      <c r="AI26" s="457" t="s">
        <v>10251</v>
      </c>
      <c r="AJ26" s="460" t="s">
        <v>10252</v>
      </c>
      <c r="AK26" s="454"/>
      <c r="AL26" s="167" t="s">
        <v>10253</v>
      </c>
      <c r="AM26" s="167" t="s">
        <v>10253</v>
      </c>
      <c r="AN26" s="167" t="s">
        <v>10253</v>
      </c>
      <c r="AO26" s="153" t="s">
        <v>10254</v>
      </c>
      <c r="AP26" s="456"/>
      <c r="AQ26" s="198" t="s">
        <v>10226</v>
      </c>
      <c r="AR26" s="198" t="s">
        <v>10226</v>
      </c>
      <c r="AS26" s="198" t="s">
        <v>10226</v>
      </c>
      <c r="AT26" s="149" t="s">
        <v>10255</v>
      </c>
      <c r="AU26" s="461"/>
      <c r="AV26" s="198" t="s">
        <v>10227</v>
      </c>
      <c r="AW26" s="198" t="s">
        <v>10227</v>
      </c>
      <c r="AX26" s="198" t="s">
        <v>10227</v>
      </c>
      <c r="AY26" s="149"/>
      <c r="AZ26" s="461"/>
      <c r="BA26" s="198"/>
      <c r="BB26" s="198"/>
      <c r="BC26" s="198"/>
      <c r="BD26" s="198"/>
      <c r="BE26" s="198"/>
      <c r="BF26" s="198"/>
      <c r="BG26" s="198"/>
      <c r="BH26" s="198"/>
    </row>
    <row r="27">
      <c r="A27" s="149" t="s">
        <v>10256</v>
      </c>
      <c r="B27" s="456"/>
      <c r="C27" s="457" t="s">
        <v>6938</v>
      </c>
      <c r="D27" s="142"/>
      <c r="E27" s="142"/>
      <c r="F27" s="149" t="s">
        <v>10257</v>
      </c>
      <c r="G27" s="456"/>
      <c r="H27" s="457" t="s">
        <v>10217</v>
      </c>
      <c r="I27" s="142"/>
      <c r="J27" s="142"/>
      <c r="K27" s="243" t="s">
        <v>10258</v>
      </c>
      <c r="L27" s="456"/>
      <c r="M27" s="167" t="s">
        <v>6940</v>
      </c>
      <c r="N27" s="198"/>
      <c r="O27" s="198"/>
      <c r="P27" s="243" t="str">
        <f>IFERROR(__xludf.DUMMYFUNCTION("GOOGLETRANSLATE(A27,""zh-tw"",""zh"")"),"土豆泥")</f>
        <v>土豆泥</v>
      </c>
      <c r="Q27" s="440"/>
      <c r="R27" s="457" t="str">
        <f>IFERROR(__xludf.DUMMYFUNCTION("GOOGLETRANSLATE(C27,""zh-tw"",""zh"")"),"土豆")</f>
        <v>土豆</v>
      </c>
      <c r="S27" s="457"/>
      <c r="T27" s="457"/>
      <c r="U27" s="149" t="str">
        <f>IFERROR(__xludf.DUMMYFUNCTION("GOOGLETRANSLATE(A27,""zh-tw"",""es-MX"")"),"Puré de papas")</f>
        <v>Puré de papas</v>
      </c>
      <c r="V27" s="453"/>
      <c r="W27" s="457" t="str">
        <f>IFERROR(__xludf.DUMMYFUNCTION("GOOGLETRANSLATE(C27,""zh-tw"",""es-MX"")"),"Papa")</f>
        <v>Papa</v>
      </c>
      <c r="X27" s="457"/>
      <c r="Y27" s="457"/>
      <c r="Z27" s="460" t="s">
        <v>10259</v>
      </c>
      <c r="AA27" s="454"/>
      <c r="AB27" s="198" t="str">
        <f>IFERROR(__xludf.DUMMYFUNCTION("GOOGLETRANSLATE(C27,""zh-tw"",""KO"")"),"감자")</f>
        <v>감자</v>
      </c>
      <c r="AC27" s="198"/>
      <c r="AD27" s="198"/>
      <c r="AE27" s="458" t="s">
        <v>10260</v>
      </c>
      <c r="AF27" s="222"/>
      <c r="AG27" s="457" t="s">
        <v>6943</v>
      </c>
      <c r="AH27" s="459"/>
      <c r="AI27" s="459"/>
      <c r="AJ27" s="460" t="s">
        <v>10261</v>
      </c>
      <c r="AK27" s="454"/>
      <c r="AL27" s="167" t="s">
        <v>6945</v>
      </c>
      <c r="AM27" s="198"/>
      <c r="AN27" s="198"/>
      <c r="AO27" s="197" t="s">
        <v>10262</v>
      </c>
      <c r="AP27" s="456"/>
      <c r="AQ27" s="198" t="s">
        <v>6947</v>
      </c>
      <c r="AR27" s="142"/>
      <c r="AS27" s="142"/>
      <c r="AT27" s="149" t="s">
        <v>10263</v>
      </c>
      <c r="AU27" s="461"/>
      <c r="AV27" s="198" t="s">
        <v>6949</v>
      </c>
      <c r="AW27" s="76"/>
      <c r="AX27" s="76"/>
      <c r="AY27" s="149"/>
      <c r="AZ27" s="461"/>
      <c r="BA27" s="198"/>
      <c r="BB27" s="76"/>
      <c r="BC27" s="76"/>
      <c r="BD27" s="76"/>
      <c r="BE27" s="76"/>
      <c r="BF27" s="76"/>
      <c r="BG27" s="76"/>
      <c r="BH27" s="76"/>
    </row>
    <row r="28">
      <c r="A28" s="149" t="s">
        <v>10264</v>
      </c>
      <c r="B28" s="456"/>
      <c r="C28" s="457" t="s">
        <v>10215</v>
      </c>
      <c r="D28" s="457" t="s">
        <v>10265</v>
      </c>
      <c r="E28" s="142"/>
      <c r="F28" s="149" t="s">
        <v>10266</v>
      </c>
      <c r="G28" s="456"/>
      <c r="H28" s="457" t="s">
        <v>10218</v>
      </c>
      <c r="I28" s="457" t="s">
        <v>10267</v>
      </c>
      <c r="J28" s="142"/>
      <c r="K28" s="243" t="s">
        <v>10268</v>
      </c>
      <c r="L28" s="456"/>
      <c r="M28" s="167" t="s">
        <v>10220</v>
      </c>
      <c r="N28" s="167" t="s">
        <v>10067</v>
      </c>
      <c r="O28" s="198"/>
      <c r="P28" s="243" t="str">
        <f>IFERROR(__xludf.DUMMYFUNCTION("GOOGLETRANSLATE(A28,""zh-tw"",""zh"")"),"萝卜菇片汤")</f>
        <v>萝卜菇片汤</v>
      </c>
      <c r="Q28" s="440"/>
      <c r="R28" s="457" t="str">
        <f>IFERROR(__xludf.DUMMYFUNCTION("GOOGLETRANSLATE(C28,""zh-tw"",""zh"")"),"胡萝卜")</f>
        <v>胡萝卜</v>
      </c>
      <c r="S28" s="457" t="str">
        <f>IFERROR(__xludf.DUMMYFUNCTION("GOOGLETRANSLATE(D28,""zh-tw"",""zh"")"),"菇类")</f>
        <v>菇类</v>
      </c>
      <c r="T28" s="457"/>
      <c r="U28" s="149" t="str">
        <f>IFERROR(__xludf.DUMMYFUNCTION("GOOGLETRANSLATE(A28,""zh-tw"",""es-MX"")"),"Sopa de rábanos y champiñones")</f>
        <v>Sopa de rábanos y champiñones</v>
      </c>
      <c r="V28" s="453"/>
      <c r="W28" s="457" t="str">
        <f>IFERROR(__xludf.DUMMYFUNCTION("GOOGLETRANSLATE(C28,""zh-tw"",""es-MX"")"),"zanahoria")</f>
        <v>zanahoria</v>
      </c>
      <c r="X28" s="457" t="str">
        <f>IFERROR(__xludf.DUMMYFUNCTION("GOOGLETRANSLATE(D28,""zh-tw"",""es-MX"")"),"Hongos")</f>
        <v>Hongos</v>
      </c>
      <c r="Y28" s="457"/>
      <c r="Z28" s="460" t="s">
        <v>10269</v>
      </c>
      <c r="AA28" s="454"/>
      <c r="AB28" s="198" t="str">
        <f>IFERROR(__xludf.DUMMYFUNCTION("GOOGLETRANSLATE(C28,""zh-tw"",""KO"")"),"당근")</f>
        <v>당근</v>
      </c>
      <c r="AC28" s="198" t="str">
        <f>IFERROR(__xludf.DUMMYFUNCTION("GOOGLETRANSLATE(D28,""zh-tw"",""KO"")"),"버섯")</f>
        <v>버섯</v>
      </c>
      <c r="AD28" s="198"/>
      <c r="AE28" s="458" t="s">
        <v>10270</v>
      </c>
      <c r="AF28" s="222"/>
      <c r="AG28" s="457" t="s">
        <v>10223</v>
      </c>
      <c r="AH28" s="457" t="s">
        <v>6786</v>
      </c>
      <c r="AI28" s="459"/>
      <c r="AJ28" s="460" t="s">
        <v>10271</v>
      </c>
      <c r="AK28" s="454"/>
      <c r="AL28" s="167" t="s">
        <v>10272</v>
      </c>
      <c r="AM28" s="198" t="str">
        <f>IFERROR(__xludf.DUMMYFUNCTION("GOOGLETRANSLATE(D28,""zh-tw"",""de"")"),"Pilze")</f>
        <v>Pilze</v>
      </c>
      <c r="AN28" s="198"/>
      <c r="AO28" s="197" t="s">
        <v>10273</v>
      </c>
      <c r="AP28" s="456"/>
      <c r="AQ28" s="198" t="s">
        <v>10226</v>
      </c>
      <c r="AR28" s="198" t="s">
        <v>10074</v>
      </c>
      <c r="AS28" s="142"/>
      <c r="AT28" s="149" t="s">
        <v>10274</v>
      </c>
      <c r="AU28" s="461"/>
      <c r="AV28" s="198" t="s">
        <v>10227</v>
      </c>
      <c r="AW28" s="198" t="s">
        <v>10076</v>
      </c>
      <c r="AX28" s="76"/>
      <c r="AY28" s="149"/>
      <c r="AZ28" s="461"/>
      <c r="BA28" s="198"/>
      <c r="BB28" s="198"/>
      <c r="BC28" s="76"/>
      <c r="BD28" s="76"/>
      <c r="BE28" s="76"/>
      <c r="BF28" s="76"/>
      <c r="BG28" s="76"/>
      <c r="BH28" s="76"/>
    </row>
    <row r="29">
      <c r="A29" s="149" t="s">
        <v>10275</v>
      </c>
      <c r="B29" s="456"/>
      <c r="C29" s="457" t="s">
        <v>10276</v>
      </c>
      <c r="D29" s="142"/>
      <c r="E29" s="142"/>
      <c r="F29" s="149" t="s">
        <v>10277</v>
      </c>
      <c r="G29" s="456"/>
      <c r="H29" s="457" t="s">
        <v>10278</v>
      </c>
      <c r="I29" s="142"/>
      <c r="J29" s="142"/>
      <c r="K29" s="243" t="s">
        <v>10279</v>
      </c>
      <c r="L29" s="456"/>
      <c r="M29" s="167" t="s">
        <v>10280</v>
      </c>
      <c r="N29" s="198"/>
      <c r="O29" s="198"/>
      <c r="P29" s="243" t="str">
        <f>IFERROR(__xludf.DUMMYFUNCTION("GOOGLETRANSLATE(A29,""zh-tw"",""zh"")"),"意面")</f>
        <v>意面</v>
      </c>
      <c r="Q29" s="440"/>
      <c r="R29" s="457" t="str">
        <f>IFERROR(__xludf.DUMMYFUNCTION("GOOGLETRANSLATE(C29,""zh-tw"",""zh"")"),"意大利面")</f>
        <v>意大利面</v>
      </c>
      <c r="S29" s="457"/>
      <c r="T29" s="457"/>
      <c r="U29" s="149" t="str">
        <f>IFERROR(__xludf.DUMMYFUNCTION("GOOGLETRANSLATE(A29,""zh-tw"",""es-MX"")"),"pastas")</f>
        <v>pastas</v>
      </c>
      <c r="V29" s="453"/>
      <c r="W29" s="457" t="str">
        <f>IFERROR(__xludf.DUMMYFUNCTION("GOOGLETRANSLATE(C29,""zh-tw"",""es-MX"")"),"espaguetis")</f>
        <v>espaguetis</v>
      </c>
      <c r="X29" s="457"/>
      <c r="Y29" s="457"/>
      <c r="Z29" s="458" t="str">
        <f>IFERROR(__xludf.DUMMYFUNCTION("GOOGLETRANSLATE(A29,""zh-tw"",""KO"")"),"파스타")</f>
        <v>파스타</v>
      </c>
      <c r="AA29" s="454"/>
      <c r="AB29" s="198" t="str">
        <f>IFERROR(__xludf.DUMMYFUNCTION("GOOGLETRANSLATE(C29,""zh-tw"",""KO"")"),"스파게티")</f>
        <v>스파게티</v>
      </c>
      <c r="AC29" s="198"/>
      <c r="AD29" s="198"/>
      <c r="AE29" s="458" t="s">
        <v>10005</v>
      </c>
      <c r="AF29" s="222"/>
      <c r="AG29" s="457" t="s">
        <v>10005</v>
      </c>
      <c r="AH29" s="459"/>
      <c r="AI29" s="459"/>
      <c r="AJ29" s="460" t="s">
        <v>10281</v>
      </c>
      <c r="AK29" s="454"/>
      <c r="AL29" s="167" t="s">
        <v>10280</v>
      </c>
      <c r="AM29" s="198"/>
      <c r="AN29" s="198"/>
      <c r="AO29" s="197" t="s">
        <v>10279</v>
      </c>
      <c r="AP29" s="456"/>
      <c r="AQ29" s="198" t="s">
        <v>10282</v>
      </c>
      <c r="AR29" s="142"/>
      <c r="AS29" s="142"/>
      <c r="AT29" s="149" t="s">
        <v>10283</v>
      </c>
      <c r="AU29" s="461"/>
      <c r="AV29" s="198" t="s">
        <v>10284</v>
      </c>
      <c r="AW29" s="76"/>
      <c r="AX29" s="76"/>
      <c r="AY29" s="149"/>
      <c r="AZ29" s="461"/>
      <c r="BA29" s="198"/>
      <c r="BB29" s="76"/>
      <c r="BC29" s="76"/>
      <c r="BD29" s="76"/>
      <c r="BE29" s="76"/>
      <c r="BF29" s="76"/>
      <c r="BG29" s="76"/>
      <c r="BH29" s="76"/>
    </row>
    <row r="30">
      <c r="A30" s="149" t="s">
        <v>10285</v>
      </c>
      <c r="B30" s="456"/>
      <c r="C30" s="457" t="s">
        <v>10276</v>
      </c>
      <c r="D30" s="457" t="s">
        <v>10286</v>
      </c>
      <c r="E30" s="142"/>
      <c r="F30" s="149" t="s">
        <v>10287</v>
      </c>
      <c r="G30" s="456"/>
      <c r="H30" s="457" t="s">
        <v>10278</v>
      </c>
      <c r="I30" s="457" t="s">
        <v>10288</v>
      </c>
      <c r="J30" s="142"/>
      <c r="K30" s="243" t="s">
        <v>10289</v>
      </c>
      <c r="L30" s="456"/>
      <c r="M30" s="167" t="s">
        <v>10280</v>
      </c>
      <c r="N30" s="167" t="s">
        <v>10290</v>
      </c>
      <c r="O30" s="198"/>
      <c r="P30" s="243" t="str">
        <f>IFERROR(__xludf.DUMMYFUNCTION("GOOGLETRANSLATE(A30,""zh-tw"",""zh"")"),"番茄意面")</f>
        <v>番茄意面</v>
      </c>
      <c r="Q30" s="440"/>
      <c r="R30" s="457" t="str">
        <f>IFERROR(__xludf.DUMMYFUNCTION("GOOGLETRANSLATE(C30,""zh-tw"",""zh"")"),"意大利面")</f>
        <v>意大利面</v>
      </c>
      <c r="S30" s="457" t="str">
        <f>IFERROR(__xludf.DUMMYFUNCTION("GOOGLETRANSLATE(D30,""zh-tw"",""zh"")"),"番茄酱")</f>
        <v>番茄酱</v>
      </c>
      <c r="T30" s="457"/>
      <c r="U30" s="149" t="str">
        <f>IFERROR(__xludf.DUMMYFUNCTION("GOOGLETRANSLATE(A30,""zh-tw"",""es-MX"")"),"Pasta con tomate")</f>
        <v>Pasta con tomate</v>
      </c>
      <c r="V30" s="453"/>
      <c r="W30" s="457" t="str">
        <f>IFERROR(__xludf.DUMMYFUNCTION("GOOGLETRANSLATE(C30,""zh-tw"",""es-MX"")"),"espaguetis")</f>
        <v>espaguetis</v>
      </c>
      <c r="X30" s="457" t="str">
        <f>IFERROR(__xludf.DUMMYFUNCTION("GOOGLETRANSLATE(D30,""zh-tw"",""es-MX"")"),"Salsa de tomate")</f>
        <v>Salsa de tomate</v>
      </c>
      <c r="Y30" s="457"/>
      <c r="Z30" s="458" t="str">
        <f>IFERROR(__xludf.DUMMYFUNCTION("GOOGLETRANSLATE(A30,""zh-tw"",""KO"")"),"토마토 파스타")</f>
        <v>토마토 파스타</v>
      </c>
      <c r="AA30" s="454"/>
      <c r="AB30" s="198" t="str">
        <f>IFERROR(__xludf.DUMMYFUNCTION("GOOGLETRANSLATE(C30,""zh-tw"",""KO"")"),"스파게티")</f>
        <v>스파게티</v>
      </c>
      <c r="AC30" s="198" t="str">
        <f>IFERROR(__xludf.DUMMYFUNCTION("GOOGLETRANSLATE(D30,""zh-tw"",""KO"")"),"토마토 소스")</f>
        <v>토마토 소스</v>
      </c>
      <c r="AD30" s="198"/>
      <c r="AE30" s="458" t="s">
        <v>10291</v>
      </c>
      <c r="AF30" s="222"/>
      <c r="AG30" s="457" t="s">
        <v>10005</v>
      </c>
      <c r="AH30" s="457" t="s">
        <v>10292</v>
      </c>
      <c r="AI30" s="459"/>
      <c r="AJ30" s="460" t="s">
        <v>10293</v>
      </c>
      <c r="AK30" s="454"/>
      <c r="AL30" s="167" t="s">
        <v>10280</v>
      </c>
      <c r="AM30" s="167" t="s">
        <v>10294</v>
      </c>
      <c r="AN30" s="198"/>
      <c r="AO30" s="197" t="s">
        <v>10295</v>
      </c>
      <c r="AP30" s="456"/>
      <c r="AQ30" s="198" t="s">
        <v>10282</v>
      </c>
      <c r="AR30" s="198" t="s">
        <v>10296</v>
      </c>
      <c r="AS30" s="142"/>
      <c r="AT30" s="149" t="s">
        <v>10297</v>
      </c>
      <c r="AU30" s="461"/>
      <c r="AV30" s="198" t="s">
        <v>10284</v>
      </c>
      <c r="AW30" s="198" t="s">
        <v>10298</v>
      </c>
      <c r="AX30" s="76"/>
      <c r="AY30" s="149"/>
      <c r="AZ30" s="461"/>
      <c r="BA30" s="198"/>
      <c r="BB30" s="198"/>
      <c r="BC30" s="76"/>
      <c r="BD30" s="76"/>
      <c r="BE30" s="76"/>
      <c r="BF30" s="76"/>
      <c r="BG30" s="76"/>
      <c r="BH30" s="76"/>
    </row>
    <row r="31">
      <c r="A31" s="149" t="s">
        <v>10299</v>
      </c>
      <c r="B31" s="456"/>
      <c r="C31" s="457" t="s">
        <v>10276</v>
      </c>
      <c r="D31" s="457" t="s">
        <v>10300</v>
      </c>
      <c r="E31" s="142"/>
      <c r="F31" s="149" t="s">
        <v>10301</v>
      </c>
      <c r="G31" s="456"/>
      <c r="H31" s="457" t="s">
        <v>10278</v>
      </c>
      <c r="I31" s="457" t="s">
        <v>10302</v>
      </c>
      <c r="J31" s="142"/>
      <c r="K31" s="243" t="s">
        <v>10303</v>
      </c>
      <c r="L31" s="456"/>
      <c r="M31" s="167" t="s">
        <v>10280</v>
      </c>
      <c r="N31" s="167" t="s">
        <v>10304</v>
      </c>
      <c r="O31" s="198"/>
      <c r="P31" s="243" t="str">
        <f>IFERROR(__xludf.DUMMYFUNCTION("GOOGLETRANSLATE(A31,""zh-tw"",""zh"")"),"海鲜意面")</f>
        <v>海鲜意面</v>
      </c>
      <c r="Q31" s="440"/>
      <c r="R31" s="457" t="str">
        <f>IFERROR(__xludf.DUMMYFUNCTION("GOOGLETRANSLATE(C31,""zh-tw"",""zh"")"),"意大利面")</f>
        <v>意大利面</v>
      </c>
      <c r="S31" s="457" t="str">
        <f>IFERROR(__xludf.DUMMYFUNCTION("GOOGLETRANSLATE(D31,""zh-tw"",""zh"")"),"甜虾")</f>
        <v>甜虾</v>
      </c>
      <c r="T31" s="457"/>
      <c r="U31" s="149" t="str">
        <f>IFERROR(__xludf.DUMMYFUNCTION("GOOGLETRANSLATE(A31,""zh-tw"",""es-MX"")"),"Pasta con mariscos")</f>
        <v>Pasta con mariscos</v>
      </c>
      <c r="V31" s="453"/>
      <c r="W31" s="457" t="str">
        <f>IFERROR(__xludf.DUMMYFUNCTION("GOOGLETRANSLATE(C31,""zh-tw"",""es-MX"")"),"espaguetis")</f>
        <v>espaguetis</v>
      </c>
      <c r="X31" s="457" t="str">
        <f>IFERROR(__xludf.DUMMYFUNCTION("GOOGLETRANSLATE(D31,""zh-tw"",""es-MX"")"),"Camarones dulces")</f>
        <v>Camarones dulces</v>
      </c>
      <c r="Y31" s="457"/>
      <c r="Z31" s="458" t="str">
        <f>IFERROR(__xludf.DUMMYFUNCTION("GOOGLETRANSLATE(A31,""zh-tw"",""KO"")"),"해산물 파스타")</f>
        <v>해산물 파스타</v>
      </c>
      <c r="AA31" s="454"/>
      <c r="AB31" s="198" t="str">
        <f>IFERROR(__xludf.DUMMYFUNCTION("GOOGLETRANSLATE(C31,""zh-tw"",""KO"")"),"스파게티")</f>
        <v>스파게티</v>
      </c>
      <c r="AC31" s="167" t="s">
        <v>10305</v>
      </c>
      <c r="AD31" s="198"/>
      <c r="AE31" s="458" t="s">
        <v>10306</v>
      </c>
      <c r="AF31" s="222"/>
      <c r="AG31" s="457" t="s">
        <v>10005</v>
      </c>
      <c r="AH31" s="457" t="s">
        <v>10307</v>
      </c>
      <c r="AI31" s="459"/>
      <c r="AJ31" s="460" t="s">
        <v>10308</v>
      </c>
      <c r="AK31" s="454"/>
      <c r="AL31" s="167" t="s">
        <v>10280</v>
      </c>
      <c r="AM31" s="167" t="s">
        <v>10309</v>
      </c>
      <c r="AN31" s="198"/>
      <c r="AO31" s="197" t="s">
        <v>10310</v>
      </c>
      <c r="AP31" s="456"/>
      <c r="AQ31" s="198" t="s">
        <v>10282</v>
      </c>
      <c r="AR31" s="198" t="s">
        <v>10311</v>
      </c>
      <c r="AS31" s="142"/>
      <c r="AT31" s="149" t="s">
        <v>10312</v>
      </c>
      <c r="AU31" s="461"/>
      <c r="AV31" s="198" t="s">
        <v>10284</v>
      </c>
      <c r="AW31" s="198" t="s">
        <v>10313</v>
      </c>
      <c r="AX31" s="76"/>
      <c r="AY31" s="149"/>
      <c r="AZ31" s="461"/>
      <c r="BA31" s="198"/>
      <c r="BB31" s="198"/>
      <c r="BC31" s="76"/>
      <c r="BD31" s="76"/>
      <c r="BE31" s="76"/>
      <c r="BF31" s="76"/>
      <c r="BG31" s="76"/>
      <c r="BH31" s="76"/>
    </row>
    <row r="32">
      <c r="A32" s="149" t="s">
        <v>10314</v>
      </c>
      <c r="B32" s="456"/>
      <c r="C32" s="457" t="s">
        <v>9994</v>
      </c>
      <c r="D32" s="457" t="s">
        <v>9995</v>
      </c>
      <c r="E32" s="457" t="s">
        <v>6748</v>
      </c>
      <c r="F32" s="149" t="s">
        <v>10315</v>
      </c>
      <c r="G32" s="456"/>
      <c r="H32" s="457" t="s">
        <v>9997</v>
      </c>
      <c r="I32" s="457" t="s">
        <v>9998</v>
      </c>
      <c r="J32" s="457" t="s">
        <v>10316</v>
      </c>
      <c r="K32" s="235" t="s">
        <v>10317</v>
      </c>
      <c r="L32" s="456"/>
      <c r="M32" s="167" t="s">
        <v>10000</v>
      </c>
      <c r="N32" s="167" t="s">
        <v>10001</v>
      </c>
      <c r="O32" s="167" t="s">
        <v>6752</v>
      </c>
      <c r="P32" s="243" t="str">
        <f>IFERROR(__xludf.DUMMYFUNCTION("GOOGLETRANSLATE(A32,""zh-tw"",""zh"")"),"鸡蛋咖喱饭")</f>
        <v>鸡蛋咖喱饭</v>
      </c>
      <c r="Q32" s="440"/>
      <c r="R32" s="457" t="str">
        <f>IFERROR(__xludf.DUMMYFUNCTION("GOOGLETRANSLATE(C32,""zh-tw"",""zh"")"),"白米饭")</f>
        <v>白米饭</v>
      </c>
      <c r="S32" s="457" t="str">
        <f>IFERROR(__xludf.DUMMYFUNCTION("GOOGLETRANSLATE(D32,""zh-tw"",""zh"")"),"咖喱块")</f>
        <v>咖喱块</v>
      </c>
      <c r="T32" s="457" t="str">
        <f>IFERROR(__xludf.DUMMYFUNCTION("GOOGLETRANSLATE(E32,""zh-tw"",""zh"")"),"很大的蛋")</f>
        <v>很大的蛋</v>
      </c>
      <c r="U32" s="149" t="str">
        <f>IFERROR(__xludf.DUMMYFUNCTION("GOOGLETRANSLATE(A32,""zh-tw"",""es-MX"")"),"arroz con curry de huevo")</f>
        <v>arroz con curry de huevo</v>
      </c>
      <c r="V32" s="453"/>
      <c r="W32" s="457" t="str">
        <f>IFERROR(__xludf.DUMMYFUNCTION("GOOGLETRANSLATE(C32,""zh-tw"",""es-MX"")"),"arroz blanco")</f>
        <v>arroz blanco</v>
      </c>
      <c r="X32" s="457" t="str">
        <f>IFERROR(__xludf.DUMMYFUNCTION("GOOGLETRANSLATE(D32,""zh-tw"",""es-MX"")"),"cubos de curry")</f>
        <v>cubos de curry</v>
      </c>
      <c r="Y32" s="457" t="str">
        <f>IFERROR(__xludf.DUMMYFUNCTION("GOOGLETRANSLATE(E32,""zh-tw"",""es-MX"")"),"Un huevo muy grande")</f>
        <v>Un huevo muy grande</v>
      </c>
      <c r="Z32" s="458" t="str">
        <f>IFERROR(__xludf.DUMMYFUNCTION("GOOGLETRANSLATE(A32,""zh-tw"",""KO"")"),"계란 카레라이스")</f>
        <v>계란 카레라이스</v>
      </c>
      <c r="AA32" s="454"/>
      <c r="AB32" s="198" t="str">
        <f>IFERROR(__xludf.DUMMYFUNCTION("GOOGLETRANSLATE(C32,""zh-tw"",""KO"")"),"흰쌀")</f>
        <v>흰쌀</v>
      </c>
      <c r="AC32" s="167" t="s">
        <v>10002</v>
      </c>
      <c r="AD32" s="167" t="s">
        <v>6755</v>
      </c>
      <c r="AE32" s="458" t="s">
        <v>10318</v>
      </c>
      <c r="AF32" s="222"/>
      <c r="AG32" s="457" t="s">
        <v>10004</v>
      </c>
      <c r="AH32" s="457" t="s">
        <v>10005</v>
      </c>
      <c r="AI32" s="457" t="s">
        <v>6757</v>
      </c>
      <c r="AJ32" s="460" t="s">
        <v>10319</v>
      </c>
      <c r="AK32" s="454"/>
      <c r="AL32" s="167" t="s">
        <v>10007</v>
      </c>
      <c r="AM32" s="167" t="s">
        <v>10008</v>
      </c>
      <c r="AN32" s="167" t="s">
        <v>10320</v>
      </c>
      <c r="AO32" s="197" t="s">
        <v>10321</v>
      </c>
      <c r="AP32" s="456"/>
      <c r="AQ32" s="198" t="s">
        <v>10010</v>
      </c>
      <c r="AR32" s="198" t="s">
        <v>10011</v>
      </c>
      <c r="AS32" s="198" t="s">
        <v>6763</v>
      </c>
      <c r="AT32" s="149" t="s">
        <v>10322</v>
      </c>
      <c r="AU32" s="461"/>
      <c r="AV32" s="198" t="s">
        <v>10013</v>
      </c>
      <c r="AW32" s="167" t="s">
        <v>10014</v>
      </c>
      <c r="AX32" s="198" t="s">
        <v>6766</v>
      </c>
      <c r="AY32" s="149"/>
      <c r="AZ32" s="461"/>
      <c r="BA32" s="198"/>
      <c r="BB32" s="167"/>
      <c r="BC32" s="198"/>
      <c r="BD32" s="198"/>
      <c r="BE32" s="198"/>
      <c r="BF32" s="198"/>
      <c r="BG32" s="198"/>
      <c r="BH32" s="198"/>
    </row>
    <row r="33">
      <c r="A33" s="149" t="s">
        <v>10323</v>
      </c>
      <c r="B33" s="456"/>
      <c r="C33" s="457" t="s">
        <v>9994</v>
      </c>
      <c r="D33" s="457" t="s">
        <v>6748</v>
      </c>
      <c r="E33" s="142"/>
      <c r="F33" s="149" t="s">
        <v>10324</v>
      </c>
      <c r="G33" s="456"/>
      <c r="H33" s="457" t="s">
        <v>9997</v>
      </c>
      <c r="I33" s="457" t="s">
        <v>10316</v>
      </c>
      <c r="J33" s="142"/>
      <c r="K33" s="243" t="s">
        <v>10325</v>
      </c>
      <c r="L33" s="456"/>
      <c r="M33" s="167" t="s">
        <v>10000</v>
      </c>
      <c r="N33" s="167" t="s">
        <v>10326</v>
      </c>
      <c r="O33" s="198"/>
      <c r="P33" s="243" t="str">
        <f>IFERROR(__xludf.DUMMYFUNCTION("GOOGLETRANSLATE(A33,""zh-tw"",""zh"")"),"蛋包饭")</f>
        <v>蛋包饭</v>
      </c>
      <c r="Q33" s="440"/>
      <c r="R33" s="457" t="str">
        <f>IFERROR(__xludf.DUMMYFUNCTION("GOOGLETRANSLATE(C33,""zh-tw"",""zh"")"),"白米饭")</f>
        <v>白米饭</v>
      </c>
      <c r="S33" s="457" t="str">
        <f>IFERROR(__xludf.DUMMYFUNCTION("GOOGLETRANSLATE(D33,""zh-tw"",""zh"")"),"很大的蛋")</f>
        <v>很大的蛋</v>
      </c>
      <c r="T33" s="457"/>
      <c r="U33" s="149" t="str">
        <f>IFERROR(__xludf.DUMMYFUNCTION("GOOGLETRANSLATE(A33,""zh-tw"",""es-MX"")"),"Arroz con tortilla")</f>
        <v>Arroz con tortilla</v>
      </c>
      <c r="V33" s="453"/>
      <c r="W33" s="457" t="str">
        <f>IFERROR(__xludf.DUMMYFUNCTION("GOOGLETRANSLATE(C33,""zh-tw"",""es-MX"")"),"arroz blanco")</f>
        <v>arroz blanco</v>
      </c>
      <c r="X33" s="457" t="str">
        <f>IFERROR(__xludf.DUMMYFUNCTION("GOOGLETRANSLATE(D33,""zh-tw"",""es-MX"")"),"Un huevo muy grande")</f>
        <v>Un huevo muy grande</v>
      </c>
      <c r="Y33" s="457"/>
      <c r="Z33" s="460" t="s">
        <v>10327</v>
      </c>
      <c r="AA33" s="454"/>
      <c r="AB33" s="198" t="str">
        <f>IFERROR(__xludf.DUMMYFUNCTION("GOOGLETRANSLATE(C33,""zh-tw"",""KO"")"),"흰쌀")</f>
        <v>흰쌀</v>
      </c>
      <c r="AC33" s="202" t="s">
        <v>6755</v>
      </c>
      <c r="AD33" s="198"/>
      <c r="AE33" s="458" t="s">
        <v>10328</v>
      </c>
      <c r="AF33" s="222"/>
      <c r="AG33" s="457" t="s">
        <v>10004</v>
      </c>
      <c r="AH33" s="457" t="s">
        <v>6757</v>
      </c>
      <c r="AI33" s="459"/>
      <c r="AJ33" s="460" t="s">
        <v>10329</v>
      </c>
      <c r="AK33" s="454"/>
      <c r="AL33" s="167" t="s">
        <v>10007</v>
      </c>
      <c r="AM33" s="167" t="s">
        <v>10320</v>
      </c>
      <c r="AN33" s="198"/>
      <c r="AO33" s="197" t="s">
        <v>10325</v>
      </c>
      <c r="AP33" s="456"/>
      <c r="AQ33" s="198" t="s">
        <v>10010</v>
      </c>
      <c r="AR33" s="198" t="s">
        <v>6763</v>
      </c>
      <c r="AS33" s="142"/>
      <c r="AT33" s="149" t="s">
        <v>10325</v>
      </c>
      <c r="AU33" s="461"/>
      <c r="AV33" s="198" t="s">
        <v>10013</v>
      </c>
      <c r="AW33" s="198" t="s">
        <v>6766</v>
      </c>
      <c r="AX33" s="76"/>
      <c r="AY33" s="149"/>
      <c r="AZ33" s="461"/>
      <c r="BA33" s="198"/>
      <c r="BB33" s="198"/>
      <c r="BC33" s="76"/>
      <c r="BD33" s="76"/>
      <c r="BE33" s="76"/>
      <c r="BF33" s="76"/>
      <c r="BG33" s="76"/>
      <c r="BH33" s="76"/>
    </row>
    <row r="34">
      <c r="A34" s="149" t="s">
        <v>10330</v>
      </c>
      <c r="B34" s="456"/>
      <c r="C34" s="457" t="s">
        <v>9994</v>
      </c>
      <c r="D34" s="457" t="s">
        <v>6748</v>
      </c>
      <c r="E34" s="457" t="s">
        <v>6953</v>
      </c>
      <c r="F34" s="149" t="s">
        <v>10331</v>
      </c>
      <c r="G34" s="456"/>
      <c r="H34" s="457" t="s">
        <v>9997</v>
      </c>
      <c r="I34" s="457" t="s">
        <v>10316</v>
      </c>
      <c r="J34" s="457" t="s">
        <v>10332</v>
      </c>
      <c r="K34" s="243" t="s">
        <v>10333</v>
      </c>
      <c r="L34" s="456"/>
      <c r="M34" s="167" t="s">
        <v>10000</v>
      </c>
      <c r="N34" s="167" t="s">
        <v>10326</v>
      </c>
      <c r="O34" s="167" t="s">
        <v>6955</v>
      </c>
      <c r="P34" s="243" t="str">
        <f>IFERROR(__xludf.DUMMYFUNCTION("GOOGLETRANSLATE(A34,""zh-tw"",""zh"")"),"番茄蛋包饭")</f>
        <v>番茄蛋包饭</v>
      </c>
      <c r="Q34" s="440"/>
      <c r="R34" s="457" t="str">
        <f>IFERROR(__xludf.DUMMYFUNCTION("GOOGLETRANSLATE(C34,""zh-tw"",""zh"")"),"白米饭")</f>
        <v>白米饭</v>
      </c>
      <c r="S34" s="457" t="str">
        <f>IFERROR(__xludf.DUMMYFUNCTION("GOOGLETRANSLATE(D34,""zh-tw"",""zh"")"),"很大的蛋")</f>
        <v>很大的蛋</v>
      </c>
      <c r="T34" s="457" t="str">
        <f>IFERROR(__xludf.DUMMYFUNCTION("GOOGLETRANSLATE(E34,""zh-tw"",""zh"")"),"番茄")</f>
        <v>番茄</v>
      </c>
      <c r="U34" s="149" t="str">
        <f>IFERROR(__xludf.DUMMYFUNCTION("GOOGLETRANSLATE(A34,""zh-tw"",""es-MX"")"),"Arroz con tortilla de tomate")</f>
        <v>Arroz con tortilla de tomate</v>
      </c>
      <c r="V34" s="453"/>
      <c r="W34" s="457" t="str">
        <f>IFERROR(__xludf.DUMMYFUNCTION("GOOGLETRANSLATE(C34,""zh-tw"",""es-MX"")"),"arroz blanco")</f>
        <v>arroz blanco</v>
      </c>
      <c r="X34" s="457" t="str">
        <f>IFERROR(__xludf.DUMMYFUNCTION("GOOGLETRANSLATE(D34,""zh-tw"",""es-MX"")"),"Un huevo muy grande")</f>
        <v>Un huevo muy grande</v>
      </c>
      <c r="Y34" s="457" t="str">
        <f>IFERROR(__xludf.DUMMYFUNCTION("GOOGLETRANSLATE(E34,""zh-tw"",""es-MX"")"),"tomate")</f>
        <v>tomate</v>
      </c>
      <c r="Z34" s="460" t="s">
        <v>10334</v>
      </c>
      <c r="AA34" s="454"/>
      <c r="AB34" s="198" t="str">
        <f>IFERROR(__xludf.DUMMYFUNCTION("GOOGLETRANSLATE(C34,""zh-tw"",""KO"")"),"흰쌀")</f>
        <v>흰쌀</v>
      </c>
      <c r="AC34" s="202" t="s">
        <v>6755</v>
      </c>
      <c r="AD34" s="198" t="str">
        <f>IFERROR(__xludf.DUMMYFUNCTION("GOOGLETRANSLATE(E34,""zh-tw"",""KO"")"),"토마토")</f>
        <v>토마토</v>
      </c>
      <c r="AE34" s="458" t="s">
        <v>10335</v>
      </c>
      <c r="AF34" s="222"/>
      <c r="AG34" s="457" t="s">
        <v>10004</v>
      </c>
      <c r="AH34" s="457" t="s">
        <v>6757</v>
      </c>
      <c r="AI34" s="457" t="s">
        <v>6957</v>
      </c>
      <c r="AJ34" s="460" t="s">
        <v>10336</v>
      </c>
      <c r="AK34" s="454"/>
      <c r="AL34" s="167" t="s">
        <v>10007</v>
      </c>
      <c r="AM34" s="167" t="s">
        <v>10320</v>
      </c>
      <c r="AN34" s="167" t="s">
        <v>6963</v>
      </c>
      <c r="AO34" s="197" t="s">
        <v>10337</v>
      </c>
      <c r="AP34" s="456"/>
      <c r="AQ34" s="198" t="s">
        <v>10010</v>
      </c>
      <c r="AR34" s="198" t="s">
        <v>6763</v>
      </c>
      <c r="AS34" s="198" t="s">
        <v>6961</v>
      </c>
      <c r="AT34" s="149" t="s">
        <v>10338</v>
      </c>
      <c r="AU34" s="461"/>
      <c r="AV34" s="198" t="s">
        <v>10013</v>
      </c>
      <c r="AW34" s="198" t="s">
        <v>6766</v>
      </c>
      <c r="AX34" s="198" t="s">
        <v>6955</v>
      </c>
      <c r="AY34" s="149"/>
      <c r="AZ34" s="461"/>
      <c r="BA34" s="198"/>
      <c r="BB34" s="198"/>
      <c r="BC34" s="198"/>
      <c r="BD34" s="198"/>
      <c r="BE34" s="198"/>
      <c r="BF34" s="198"/>
      <c r="BG34" s="198"/>
      <c r="BH34" s="198"/>
    </row>
    <row r="35">
      <c r="A35" s="149" t="s">
        <v>10339</v>
      </c>
      <c r="B35" s="456"/>
      <c r="C35" s="457" t="s">
        <v>9994</v>
      </c>
      <c r="D35" s="457" t="s">
        <v>10340</v>
      </c>
      <c r="E35" s="142"/>
      <c r="F35" s="149" t="s">
        <v>10341</v>
      </c>
      <c r="G35" s="456"/>
      <c r="H35" s="457" t="s">
        <v>9997</v>
      </c>
      <c r="I35" s="457" t="s">
        <v>10342</v>
      </c>
      <c r="J35" s="142"/>
      <c r="K35" s="243" t="s">
        <v>10343</v>
      </c>
      <c r="L35" s="456"/>
      <c r="M35" s="167" t="s">
        <v>10000</v>
      </c>
      <c r="N35" s="167" t="s">
        <v>10304</v>
      </c>
      <c r="O35" s="198"/>
      <c r="P35" s="243" t="str">
        <f>IFERROR(__xludf.DUMMYFUNCTION("GOOGLETRANSLATE(A35,""zh-tw"",""zh"")"),"海鲜炖饭")</f>
        <v>海鲜炖饭</v>
      </c>
      <c r="Q35" s="440"/>
      <c r="R35" s="457" t="str">
        <f>IFERROR(__xludf.DUMMYFUNCTION("GOOGLETRANSLATE(C35,""zh-tw"",""zh"")"),"白米饭")</f>
        <v>白米饭</v>
      </c>
      <c r="S35" s="457" t="str">
        <f>IFERROR(__xludf.DUMMYFUNCTION("GOOGLETRANSLATE(D35,""zh-tw"",""zh"")"),"大龙虾")</f>
        <v>大龙虾</v>
      </c>
      <c r="T35" s="457"/>
      <c r="U35" s="149" t="str">
        <f>IFERROR(__xludf.DUMMYFUNCTION("GOOGLETRANSLATE(A35,""zh-tw"",""es-MX"")"),"Risotto de mariscos")</f>
        <v>Risotto de mariscos</v>
      </c>
      <c r="V35" s="453"/>
      <c r="W35" s="457" t="str">
        <f>IFERROR(__xludf.DUMMYFUNCTION("GOOGLETRANSLATE(C35,""zh-tw"",""es-MX"")"),"arroz blanco")</f>
        <v>arroz blanco</v>
      </c>
      <c r="X35" s="457" t="str">
        <f>IFERROR(__xludf.DUMMYFUNCTION("GOOGLETRANSLATE(D35,""zh-tw"",""es-MX"")"),"Langosta")</f>
        <v>Langosta</v>
      </c>
      <c r="Y35" s="457"/>
      <c r="Z35" s="458" t="str">
        <f>IFERROR(__xludf.DUMMYFUNCTION("GOOGLETRANSLATE(A35,""zh-tw"",""KO"")"),"해산물 리조또")</f>
        <v>해산물 리조또</v>
      </c>
      <c r="AA35" s="454"/>
      <c r="AB35" s="198" t="str">
        <f>IFERROR(__xludf.DUMMYFUNCTION("GOOGLETRANSLATE(C35,""zh-tw"",""KO"")"),"흰쌀")</f>
        <v>흰쌀</v>
      </c>
      <c r="AC35" s="167" t="s">
        <v>10344</v>
      </c>
      <c r="AD35" s="198"/>
      <c r="AE35" s="458" t="s">
        <v>10345</v>
      </c>
      <c r="AF35" s="222"/>
      <c r="AG35" s="457" t="s">
        <v>10004</v>
      </c>
      <c r="AH35" s="457" t="s">
        <v>10346</v>
      </c>
      <c r="AI35" s="459"/>
      <c r="AJ35" s="460" t="s">
        <v>10347</v>
      </c>
      <c r="AK35" s="454"/>
      <c r="AL35" s="167" t="s">
        <v>10007</v>
      </c>
      <c r="AM35" s="167" t="s">
        <v>10348</v>
      </c>
      <c r="AN35" s="198"/>
      <c r="AO35" s="197" t="s">
        <v>10349</v>
      </c>
      <c r="AP35" s="456"/>
      <c r="AQ35" s="198" t="s">
        <v>10010</v>
      </c>
      <c r="AR35" s="198" t="s">
        <v>10311</v>
      </c>
      <c r="AS35" s="142"/>
      <c r="AT35" s="149" t="s">
        <v>10350</v>
      </c>
      <c r="AU35" s="461"/>
      <c r="AV35" s="198" t="s">
        <v>10013</v>
      </c>
      <c r="AW35" s="198" t="s">
        <v>10313</v>
      </c>
      <c r="AX35" s="76"/>
      <c r="AY35" s="149"/>
      <c r="AZ35" s="461"/>
      <c r="BA35" s="198"/>
      <c r="BB35" s="198"/>
      <c r="BC35" s="76"/>
      <c r="BD35" s="76"/>
      <c r="BE35" s="76"/>
      <c r="BF35" s="76"/>
      <c r="BG35" s="76"/>
      <c r="BH35" s="76"/>
    </row>
    <row r="36">
      <c r="A36" s="149" t="s">
        <v>10351</v>
      </c>
      <c r="B36" s="456"/>
      <c r="C36" s="457" t="s">
        <v>10352</v>
      </c>
      <c r="D36" s="142"/>
      <c r="E36" s="142"/>
      <c r="F36" s="149" t="s">
        <v>10353</v>
      </c>
      <c r="G36" s="456"/>
      <c r="H36" s="457" t="s">
        <v>10354</v>
      </c>
      <c r="I36" s="142"/>
      <c r="J36" s="142"/>
      <c r="K36" s="235" t="s">
        <v>10355</v>
      </c>
      <c r="L36" s="456"/>
      <c r="M36" s="167" t="s">
        <v>10356</v>
      </c>
      <c r="N36" s="198"/>
      <c r="O36" s="198"/>
      <c r="P36" s="243" t="str">
        <f>IFERROR(__xludf.DUMMYFUNCTION("GOOGLETRANSLATE(A36,""zh-tw"",""zh"")"),"菠萝饮")</f>
        <v>菠萝饮</v>
      </c>
      <c r="Q36" s="440"/>
      <c r="R36" s="457" t="str">
        <f>IFERROR(__xludf.DUMMYFUNCTION("GOOGLETRANSLATE(C36,""zh-tw"",""zh"")"),"菠萝")</f>
        <v>菠萝</v>
      </c>
      <c r="S36" s="457"/>
      <c r="T36" s="457"/>
      <c r="U36" s="149" t="str">
        <f>IFERROR(__xludf.DUMMYFUNCTION("GOOGLETRANSLATE(A36,""zh-tw"",""es-MX"")"),"Bebida de piña")</f>
        <v>Bebida de piña</v>
      </c>
      <c r="V36" s="453"/>
      <c r="W36" s="457" t="str">
        <f>IFERROR(__xludf.DUMMYFUNCTION("GOOGLETRANSLATE(C36,""zh-tw"",""es-MX"")"),"Piña")</f>
        <v>Piña</v>
      </c>
      <c r="X36" s="457"/>
      <c r="Y36" s="457"/>
      <c r="Z36" s="460" t="s">
        <v>10357</v>
      </c>
      <c r="AA36" s="454"/>
      <c r="AB36" s="198" t="str">
        <f>IFERROR(__xludf.DUMMYFUNCTION("GOOGLETRANSLATE(C36,""zh-tw"",""KO"")"),"파인애플")</f>
        <v>파인애플</v>
      </c>
      <c r="AC36" s="198"/>
      <c r="AD36" s="198"/>
      <c r="AE36" s="458" t="s">
        <v>10358</v>
      </c>
      <c r="AF36" s="222"/>
      <c r="AG36" s="457" t="s">
        <v>10359</v>
      </c>
      <c r="AH36" s="459"/>
      <c r="AI36" s="459"/>
      <c r="AJ36" s="460" t="s">
        <v>10360</v>
      </c>
      <c r="AK36" s="454"/>
      <c r="AL36" s="167" t="s">
        <v>10361</v>
      </c>
      <c r="AM36" s="198"/>
      <c r="AN36" s="198"/>
      <c r="AO36" s="197" t="s">
        <v>10362</v>
      </c>
      <c r="AP36" s="456"/>
      <c r="AQ36" s="198" t="s">
        <v>10363</v>
      </c>
      <c r="AR36" s="142"/>
      <c r="AS36" s="142"/>
      <c r="AT36" s="149" t="s">
        <v>10364</v>
      </c>
      <c r="AU36" s="461"/>
      <c r="AV36" s="198" t="s">
        <v>10365</v>
      </c>
      <c r="AW36" s="76"/>
      <c r="AX36" s="76"/>
      <c r="AY36" s="149"/>
      <c r="AZ36" s="461"/>
      <c r="BA36" s="198"/>
      <c r="BB36" s="76"/>
      <c r="BC36" s="76"/>
      <c r="BD36" s="76"/>
      <c r="BE36" s="76"/>
      <c r="BF36" s="76"/>
      <c r="BG36" s="76"/>
      <c r="BH36" s="76"/>
    </row>
    <row r="37">
      <c r="A37" s="179" t="s">
        <v>10366</v>
      </c>
      <c r="B37" s="456"/>
      <c r="C37" s="457" t="s">
        <v>10245</v>
      </c>
      <c r="D37" s="457" t="s">
        <v>10245</v>
      </c>
      <c r="E37" s="142"/>
      <c r="F37" s="149" t="s">
        <v>10367</v>
      </c>
      <c r="G37" s="456"/>
      <c r="H37" s="457" t="s">
        <v>10368</v>
      </c>
      <c r="I37" s="457" t="s">
        <v>10368</v>
      </c>
      <c r="J37" s="142"/>
      <c r="K37" s="243" t="s">
        <v>10369</v>
      </c>
      <c r="L37" s="456"/>
      <c r="M37" s="167" t="s">
        <v>10370</v>
      </c>
      <c r="N37" s="167" t="s">
        <v>10370</v>
      </c>
      <c r="O37" s="198"/>
      <c r="P37" s="243" t="str">
        <f>IFERROR(__xludf.DUMMYFUNCTION("GOOGLETRANSLATE(A37,""zh-tw"",""zh"")"),"冲绳杂炒")</f>
        <v>冲绳杂炒</v>
      </c>
      <c r="Q37" s="440"/>
      <c r="R37" s="457" t="str">
        <f>IFERROR(__xludf.DUMMYFUNCTION("GOOGLETRANSLATE(C37,""zh-tw"",""zh"")"),"蔬菜")</f>
        <v>蔬菜</v>
      </c>
      <c r="S37" s="457" t="str">
        <f>IFERROR(__xludf.DUMMYFUNCTION("GOOGLETRANSLATE(D37,""zh-tw"",""zh"")"),"蔬菜")</f>
        <v>蔬菜</v>
      </c>
      <c r="T37" s="457"/>
      <c r="U37" s="149" t="str">
        <f>IFERROR(__xludf.DUMMYFUNCTION("GOOGLETRANSLATE(A37,""zh-tw"",""es-MX"")"),"Salteado de Okinawa")</f>
        <v>Salteado de Okinawa</v>
      </c>
      <c r="V37" s="453"/>
      <c r="W37" s="457" t="str">
        <f>IFERROR(__xludf.DUMMYFUNCTION("GOOGLETRANSLATE(C37,""zh-tw"",""es-MX"")"),"verdura")</f>
        <v>verdura</v>
      </c>
      <c r="X37" s="457" t="str">
        <f>IFERROR(__xludf.DUMMYFUNCTION("GOOGLETRANSLATE(D37,""zh-tw"",""es-MX"")"),"verdura")</f>
        <v>verdura</v>
      </c>
      <c r="Y37" s="457"/>
      <c r="Z37" s="460" t="s">
        <v>10371</v>
      </c>
      <c r="AA37" s="454"/>
      <c r="AB37" s="198" t="str">
        <f>IFERROR(__xludf.DUMMYFUNCTION("GOOGLETRANSLATE(C37,""zh-tw"",""KO"")"),"채소")</f>
        <v>채소</v>
      </c>
      <c r="AC37" s="198" t="str">
        <f>IFERROR(__xludf.DUMMYFUNCTION("GOOGLETRANSLATE(D37,""zh-tw"",""KO"")"),"채소")</f>
        <v>채소</v>
      </c>
      <c r="AD37" s="198"/>
      <c r="AE37" s="458" t="s">
        <v>10372</v>
      </c>
      <c r="AF37" s="222"/>
      <c r="AG37" s="457" t="s">
        <v>10251</v>
      </c>
      <c r="AH37" s="457" t="s">
        <v>10251</v>
      </c>
      <c r="AI37" s="459"/>
      <c r="AJ37" s="460" t="s">
        <v>10373</v>
      </c>
      <c r="AK37" s="454"/>
      <c r="AL37" s="167" t="s">
        <v>10253</v>
      </c>
      <c r="AM37" s="167" t="s">
        <v>10253</v>
      </c>
      <c r="AN37" s="198"/>
      <c r="AO37" s="153" t="s">
        <v>10374</v>
      </c>
      <c r="AP37" s="456"/>
      <c r="AQ37" s="198" t="s">
        <v>10375</v>
      </c>
      <c r="AR37" s="198" t="s">
        <v>10375</v>
      </c>
      <c r="AS37" s="142"/>
      <c r="AT37" s="149" t="s">
        <v>10376</v>
      </c>
      <c r="AU37" s="461"/>
      <c r="AV37" s="198" t="s">
        <v>10377</v>
      </c>
      <c r="AW37" s="198" t="s">
        <v>10377</v>
      </c>
      <c r="AX37" s="76"/>
      <c r="AY37" s="149"/>
      <c r="AZ37" s="461"/>
      <c r="BA37" s="198"/>
      <c r="BB37" s="198"/>
      <c r="BC37" s="76"/>
      <c r="BD37" s="76"/>
      <c r="BE37" s="76"/>
      <c r="BF37" s="76"/>
      <c r="BG37" s="76"/>
      <c r="BH37" s="76"/>
    </row>
    <row r="38">
      <c r="A38" s="149" t="s">
        <v>10378</v>
      </c>
      <c r="B38" s="440" t="s">
        <v>592</v>
      </c>
      <c r="C38" s="457" t="s">
        <v>10379</v>
      </c>
      <c r="D38" s="457" t="s">
        <v>10379</v>
      </c>
      <c r="E38" s="457" t="s">
        <v>10016</v>
      </c>
      <c r="F38" s="149" t="s">
        <v>10380</v>
      </c>
      <c r="G38" s="440" t="s">
        <v>592</v>
      </c>
      <c r="H38" s="457" t="s">
        <v>10381</v>
      </c>
      <c r="I38" s="457" t="s">
        <v>10381</v>
      </c>
      <c r="J38" s="457" t="s">
        <v>10018</v>
      </c>
      <c r="K38" s="235" t="s">
        <v>10382</v>
      </c>
      <c r="L38" s="440" t="s">
        <v>592</v>
      </c>
      <c r="M38" s="167" t="s">
        <v>10383</v>
      </c>
      <c r="N38" s="167" t="s">
        <v>10383</v>
      </c>
      <c r="O38" s="167" t="s">
        <v>10020</v>
      </c>
      <c r="P38" s="243" t="str">
        <f>IFERROR(__xludf.DUMMYFUNCTION("GOOGLETRANSLATE(A38,""zh-tw"",""zh"")"),"炸鸡桶")</f>
        <v>炸鸡桶</v>
      </c>
      <c r="Q38" s="440" t="str">
        <f>IFERROR(__xludf.DUMMYFUNCTION("GOOGLETRANSLATE(B38,""zh-tw"",""zh"")"),"A")</f>
        <v>A</v>
      </c>
      <c r="R38" s="457" t="str">
        <f>IFERROR(__xludf.DUMMYFUNCTION("GOOGLETRANSLATE(C38,""zh-tw"",""zh"")"),"鸡腿肉")</f>
        <v>鸡腿肉</v>
      </c>
      <c r="S38" s="457" t="str">
        <f>IFERROR(__xludf.DUMMYFUNCTION("GOOGLETRANSLATE(D38,""zh-tw"",""zh"")"),"鸡腿肉")</f>
        <v>鸡腿肉</v>
      </c>
      <c r="T38" s="457" t="str">
        <f>IFERROR(__xludf.DUMMYFUNCTION("GOOGLETRANSLATE(E38,""zh-tw"",""zh"")"),"小麦粉")</f>
        <v>小麦粉</v>
      </c>
      <c r="U38" s="149" t="str">
        <f>IFERROR(__xludf.DUMMYFUNCTION("GOOGLETRANSLATE(A38,""zh-tw"",""es-MX"")"),"Cubo de pollo frito")</f>
        <v>Cubo de pollo frito</v>
      </c>
      <c r="V38" s="453" t="str">
        <f>IFERROR(__xludf.DUMMYFUNCTION("GOOGLETRANSLATE(B38,""zh-tw"",""es-MX"")"),"A")</f>
        <v>A</v>
      </c>
      <c r="W38" s="457" t="str">
        <f>IFERROR(__xludf.DUMMYFUNCTION("GOOGLETRANSLATE(C38,""zh-tw"",""es-MX"")"),"Muslo de pollo")</f>
        <v>Muslo de pollo</v>
      </c>
      <c r="X38" s="457" t="str">
        <f>IFERROR(__xludf.DUMMYFUNCTION("GOOGLETRANSLATE(D38,""zh-tw"",""es-MX"")"),"Muslo de pollo")</f>
        <v>Muslo de pollo</v>
      </c>
      <c r="Y38" s="457" t="str">
        <f>IFERROR(__xludf.DUMMYFUNCTION("GOOGLETRANSLATE(E38,""zh-tw"",""es-MX"")"),"harina de trigo")</f>
        <v>harina de trigo</v>
      </c>
      <c r="Z38" s="460" t="s">
        <v>10384</v>
      </c>
      <c r="AA38" s="454" t="s">
        <v>592</v>
      </c>
      <c r="AB38" s="167" t="s">
        <v>10385</v>
      </c>
      <c r="AC38" s="167" t="s">
        <v>10385</v>
      </c>
      <c r="AD38" s="198" t="str">
        <f>IFERROR(__xludf.DUMMYFUNCTION("GOOGLETRANSLATE(E38,""zh-tw"",""KO"")"),"밀가루")</f>
        <v>밀가루</v>
      </c>
      <c r="AE38" s="458" t="s">
        <v>10386</v>
      </c>
      <c r="AF38" s="453" t="s">
        <v>9955</v>
      </c>
      <c r="AG38" s="457" t="s">
        <v>10387</v>
      </c>
      <c r="AH38" s="457" t="s">
        <v>10387</v>
      </c>
      <c r="AI38" s="457" t="s">
        <v>10022</v>
      </c>
      <c r="AJ38" s="460" t="s">
        <v>10388</v>
      </c>
      <c r="AK38" s="454" t="s">
        <v>592</v>
      </c>
      <c r="AL38" s="167" t="s">
        <v>10389</v>
      </c>
      <c r="AM38" s="167" t="s">
        <v>10389</v>
      </c>
      <c r="AN38" s="167" t="s">
        <v>10024</v>
      </c>
      <c r="AO38" s="197" t="s">
        <v>10390</v>
      </c>
      <c r="AP38" s="440" t="s">
        <v>592</v>
      </c>
      <c r="AQ38" s="198" t="s">
        <v>10391</v>
      </c>
      <c r="AR38" s="198" t="s">
        <v>10391</v>
      </c>
      <c r="AS38" s="198" t="s">
        <v>10026</v>
      </c>
      <c r="AT38" s="149" t="s">
        <v>10392</v>
      </c>
      <c r="AU38" s="440" t="s">
        <v>592</v>
      </c>
      <c r="AV38" s="198" t="s">
        <v>10393</v>
      </c>
      <c r="AW38" s="198" t="s">
        <v>10393</v>
      </c>
      <c r="AX38" s="198" t="s">
        <v>10028</v>
      </c>
      <c r="AY38" s="149"/>
      <c r="AZ38" s="440"/>
      <c r="BA38" s="198"/>
      <c r="BB38" s="198"/>
      <c r="BC38" s="198"/>
      <c r="BD38" s="198"/>
      <c r="BE38" s="198"/>
      <c r="BF38" s="198"/>
      <c r="BG38" s="198"/>
      <c r="BH38" s="198"/>
    </row>
    <row r="39">
      <c r="A39" s="179" t="s">
        <v>10394</v>
      </c>
      <c r="B39" s="440" t="s">
        <v>592</v>
      </c>
      <c r="C39" s="457" t="s">
        <v>10379</v>
      </c>
      <c r="D39" s="142"/>
      <c r="E39" s="142"/>
      <c r="F39" s="149" t="s">
        <v>10395</v>
      </c>
      <c r="G39" s="440" t="s">
        <v>592</v>
      </c>
      <c r="H39" s="457" t="s">
        <v>10381</v>
      </c>
      <c r="I39" s="142"/>
      <c r="J39" s="142"/>
      <c r="K39" s="243" t="s">
        <v>10396</v>
      </c>
      <c r="L39" s="440" t="s">
        <v>592</v>
      </c>
      <c r="M39" s="167" t="s">
        <v>10383</v>
      </c>
      <c r="N39" s="198"/>
      <c r="O39" s="198"/>
      <c r="P39" s="243" t="str">
        <f>IFERROR(__xludf.DUMMYFUNCTION("GOOGLETRANSLATE(A39,""zh-tw"",""zh"")"),"炸鸡腿")</f>
        <v>炸鸡腿</v>
      </c>
      <c r="Q39" s="440" t="str">
        <f>IFERROR(__xludf.DUMMYFUNCTION("GOOGLETRANSLATE(B39,""zh-tw"",""zh"")"),"A")</f>
        <v>A</v>
      </c>
      <c r="R39" s="457" t="str">
        <f>IFERROR(__xludf.DUMMYFUNCTION("GOOGLETRANSLATE(C39,""zh-tw"",""zh"")"),"鸡腿肉")</f>
        <v>鸡腿肉</v>
      </c>
      <c r="S39" s="457"/>
      <c r="T39" s="457"/>
      <c r="U39" s="149" t="str">
        <f>IFERROR(__xludf.DUMMYFUNCTION("GOOGLETRANSLATE(A39,""zh-tw"",""es-MX"")"),"Muslos de pollo frito")</f>
        <v>Muslos de pollo frito</v>
      </c>
      <c r="V39" s="453" t="str">
        <f>IFERROR(__xludf.DUMMYFUNCTION("GOOGLETRANSLATE(B39,""zh-tw"",""es-MX"")"),"A")</f>
        <v>A</v>
      </c>
      <c r="W39" s="457" t="str">
        <f>IFERROR(__xludf.DUMMYFUNCTION("GOOGLETRANSLATE(C39,""zh-tw"",""es-MX"")"),"Muslo de pollo")</f>
        <v>Muslo de pollo</v>
      </c>
      <c r="X39" s="457"/>
      <c r="Y39" s="457"/>
      <c r="Z39" s="458" t="str">
        <f>IFERROR(__xludf.DUMMYFUNCTION("GOOGLETRANSLATE(A39,""zh-tw"",""KO"")"),"닭다리 튀김")</f>
        <v>닭다리 튀김</v>
      </c>
      <c r="AA39" s="454" t="s">
        <v>592</v>
      </c>
      <c r="AB39" s="167" t="s">
        <v>10385</v>
      </c>
      <c r="AC39" s="198"/>
      <c r="AD39" s="198"/>
      <c r="AE39" s="458" t="s">
        <v>10397</v>
      </c>
      <c r="AF39" s="453" t="s">
        <v>9955</v>
      </c>
      <c r="AG39" s="457" t="s">
        <v>10387</v>
      </c>
      <c r="AH39" s="459"/>
      <c r="AI39" s="459"/>
      <c r="AJ39" s="460" t="s">
        <v>10398</v>
      </c>
      <c r="AK39" s="454" t="s">
        <v>592</v>
      </c>
      <c r="AL39" s="167" t="s">
        <v>10389</v>
      </c>
      <c r="AM39" s="198"/>
      <c r="AN39" s="198"/>
      <c r="AO39" s="153" t="s">
        <v>10399</v>
      </c>
      <c r="AP39" s="440" t="s">
        <v>592</v>
      </c>
      <c r="AQ39" s="198" t="s">
        <v>10391</v>
      </c>
      <c r="AR39" s="142"/>
      <c r="AS39" s="142"/>
      <c r="AT39" s="149" t="s">
        <v>10400</v>
      </c>
      <c r="AU39" s="440" t="s">
        <v>592</v>
      </c>
      <c r="AV39" s="198" t="s">
        <v>10393</v>
      </c>
      <c r="AW39" s="76"/>
      <c r="AX39" s="76"/>
      <c r="AY39" s="149"/>
      <c r="AZ39" s="440"/>
      <c r="BA39" s="198"/>
      <c r="BB39" s="76"/>
      <c r="BC39" s="76"/>
      <c r="BD39" s="76"/>
      <c r="BE39" s="76"/>
      <c r="BF39" s="76"/>
      <c r="BG39" s="76"/>
      <c r="BH39" s="76"/>
    </row>
    <row r="40">
      <c r="A40" s="149" t="s">
        <v>10401</v>
      </c>
      <c r="B40" s="440" t="s">
        <v>592</v>
      </c>
      <c r="C40" s="457" t="s">
        <v>9994</v>
      </c>
      <c r="D40" s="457" t="s">
        <v>10379</v>
      </c>
      <c r="E40" s="142"/>
      <c r="F40" s="149" t="s">
        <v>10402</v>
      </c>
      <c r="G40" s="440" t="s">
        <v>592</v>
      </c>
      <c r="H40" s="457" t="s">
        <v>9997</v>
      </c>
      <c r="I40" s="457" t="s">
        <v>10381</v>
      </c>
      <c r="J40" s="142"/>
      <c r="K40" s="243" t="s">
        <v>10403</v>
      </c>
      <c r="L40" s="440" t="s">
        <v>592</v>
      </c>
      <c r="M40" s="167" t="s">
        <v>10143</v>
      </c>
      <c r="N40" s="167" t="s">
        <v>10383</v>
      </c>
      <c r="O40" s="198"/>
      <c r="P40" s="243" t="str">
        <f>IFERROR(__xludf.DUMMYFUNCTION("GOOGLETRANSLATE(A40,""zh-tw"",""zh"")"),"天妇罗饭团")</f>
        <v>天妇罗饭团</v>
      </c>
      <c r="Q40" s="440" t="str">
        <f>IFERROR(__xludf.DUMMYFUNCTION("GOOGLETRANSLATE(B40,""zh-tw"",""zh"")"),"A")</f>
        <v>A</v>
      </c>
      <c r="R40" s="457" t="str">
        <f>IFERROR(__xludf.DUMMYFUNCTION("GOOGLETRANSLATE(C40,""zh-tw"",""zh"")"),"白米饭")</f>
        <v>白米饭</v>
      </c>
      <c r="S40" s="457" t="str">
        <f>IFERROR(__xludf.DUMMYFUNCTION("GOOGLETRANSLATE(D40,""zh-tw"",""zh"")"),"鸡腿肉")</f>
        <v>鸡腿肉</v>
      </c>
      <c r="T40" s="457"/>
      <c r="U40" s="149" t="str">
        <f>IFERROR(__xludf.DUMMYFUNCTION("GOOGLETRANSLATE(A40,""zh-tw"",""es-MX"")"),"Bola de arroz tempura")</f>
        <v>Bola de arroz tempura</v>
      </c>
      <c r="V40" s="453" t="str">
        <f>IFERROR(__xludf.DUMMYFUNCTION("GOOGLETRANSLATE(B40,""zh-tw"",""es-MX"")"),"A")</f>
        <v>A</v>
      </c>
      <c r="W40" s="457" t="str">
        <f>IFERROR(__xludf.DUMMYFUNCTION("GOOGLETRANSLATE(C40,""zh-tw"",""es-MX"")"),"arroz blanco")</f>
        <v>arroz blanco</v>
      </c>
      <c r="X40" s="457" t="str">
        <f>IFERROR(__xludf.DUMMYFUNCTION("GOOGLETRANSLATE(D40,""zh-tw"",""es-MX"")"),"Muslo de pollo")</f>
        <v>Muslo de pollo</v>
      </c>
      <c r="Y40" s="457"/>
      <c r="Z40" s="460" t="s">
        <v>10404</v>
      </c>
      <c r="AA40" s="454" t="s">
        <v>592</v>
      </c>
      <c r="AB40" s="198" t="str">
        <f>IFERROR(__xludf.DUMMYFUNCTION("GOOGLETRANSLATE(C40,""zh-tw"",""KO"")"),"흰쌀")</f>
        <v>흰쌀</v>
      </c>
      <c r="AC40" s="167" t="s">
        <v>10385</v>
      </c>
      <c r="AD40" s="198"/>
      <c r="AE40" s="458" t="s">
        <v>10405</v>
      </c>
      <c r="AF40" s="453" t="s">
        <v>9955</v>
      </c>
      <c r="AG40" s="457" t="s">
        <v>10004</v>
      </c>
      <c r="AH40" s="457" t="s">
        <v>10387</v>
      </c>
      <c r="AI40" s="459"/>
      <c r="AJ40" s="460" t="s">
        <v>10406</v>
      </c>
      <c r="AK40" s="454" t="s">
        <v>592</v>
      </c>
      <c r="AL40" s="167" t="s">
        <v>10007</v>
      </c>
      <c r="AM40" s="167" t="s">
        <v>10389</v>
      </c>
      <c r="AN40" s="198"/>
      <c r="AO40" s="197" t="s">
        <v>10403</v>
      </c>
      <c r="AP40" s="440" t="s">
        <v>592</v>
      </c>
      <c r="AQ40" s="198" t="s">
        <v>10010</v>
      </c>
      <c r="AR40" s="198" t="s">
        <v>10391</v>
      </c>
      <c r="AS40" s="142"/>
      <c r="AT40" s="149" t="s">
        <v>10403</v>
      </c>
      <c r="AU40" s="440" t="s">
        <v>592</v>
      </c>
      <c r="AV40" s="198" t="s">
        <v>10013</v>
      </c>
      <c r="AW40" s="198" t="s">
        <v>10393</v>
      </c>
      <c r="AX40" s="76"/>
      <c r="AY40" s="149"/>
      <c r="AZ40" s="440"/>
      <c r="BA40" s="198"/>
      <c r="BB40" s="198"/>
      <c r="BC40" s="76"/>
      <c r="BD40" s="76"/>
      <c r="BE40" s="76"/>
      <c r="BF40" s="76"/>
      <c r="BG40" s="76"/>
      <c r="BH40" s="76"/>
    </row>
    <row r="41">
      <c r="A41" s="149" t="s">
        <v>10407</v>
      </c>
      <c r="B41" s="456"/>
      <c r="C41" s="457" t="s">
        <v>10408</v>
      </c>
      <c r="D41" s="457" t="s">
        <v>10408</v>
      </c>
      <c r="E41" s="457" t="s">
        <v>10408</v>
      </c>
      <c r="F41" s="149" t="s">
        <v>10409</v>
      </c>
      <c r="G41" s="463"/>
      <c r="H41" s="457" t="s">
        <v>10342</v>
      </c>
      <c r="I41" s="457" t="s">
        <v>10342</v>
      </c>
      <c r="J41" s="457" t="s">
        <v>10342</v>
      </c>
      <c r="K41" s="243" t="s">
        <v>10410</v>
      </c>
      <c r="L41" s="456"/>
      <c r="M41" s="167" t="s">
        <v>10411</v>
      </c>
      <c r="N41" s="167" t="s">
        <v>10411</v>
      </c>
      <c r="O41" s="167" t="s">
        <v>10411</v>
      </c>
      <c r="P41" s="243" t="str">
        <f>IFERROR(__xludf.DUMMYFUNCTION("GOOGLETRANSLATE(A41,""zh-tw"",""zh"")"),"焗龙虾")</f>
        <v>焗龙虾</v>
      </c>
      <c r="Q41" s="440"/>
      <c r="R41" s="457" t="str">
        <f>IFERROR(__xludf.DUMMYFUNCTION("GOOGLETRANSLATE(C41,""zh-tw"",""zh"")"),"龙虾")</f>
        <v>龙虾</v>
      </c>
      <c r="S41" s="457" t="str">
        <f>IFERROR(__xludf.DUMMYFUNCTION("GOOGLETRANSLATE(D41,""zh-tw"",""zh"")"),"龙虾")</f>
        <v>龙虾</v>
      </c>
      <c r="T41" s="457" t="str">
        <f>IFERROR(__xludf.DUMMYFUNCTION("GOOGLETRANSLATE(E41,""zh-tw"",""zh"")"),"龙虾")</f>
        <v>龙虾</v>
      </c>
      <c r="U41" s="149" t="str">
        <f>IFERROR(__xludf.DUMMYFUNCTION("GOOGLETRANSLATE(A41,""zh-tw"",""es-MX"")"),"Langosta al horno")</f>
        <v>Langosta al horno</v>
      </c>
      <c r="V41" s="453"/>
      <c r="W41" s="457" t="str">
        <f>IFERROR(__xludf.DUMMYFUNCTION("GOOGLETRANSLATE(C41,""zh-tw"",""es-MX"")"),"langosta")</f>
        <v>langosta</v>
      </c>
      <c r="X41" s="457" t="str">
        <f>IFERROR(__xludf.DUMMYFUNCTION("GOOGLETRANSLATE(D41,""zh-tw"",""es-MX"")"),"langosta")</f>
        <v>langosta</v>
      </c>
      <c r="Y41" s="457" t="str">
        <f>IFERROR(__xludf.DUMMYFUNCTION("GOOGLETRANSLATE(E41,""zh-tw"",""es-MX"")"),"langosta")</f>
        <v>langosta</v>
      </c>
      <c r="Z41" s="460" t="s">
        <v>10412</v>
      </c>
      <c r="AA41" s="454"/>
      <c r="AB41" s="167" t="s">
        <v>10344</v>
      </c>
      <c r="AC41" s="167" t="s">
        <v>10344</v>
      </c>
      <c r="AD41" s="167" t="s">
        <v>10344</v>
      </c>
      <c r="AE41" s="458" t="s">
        <v>10413</v>
      </c>
      <c r="AF41" s="222"/>
      <c r="AG41" s="457" t="s">
        <v>10346</v>
      </c>
      <c r="AH41" s="457" t="s">
        <v>10346</v>
      </c>
      <c r="AI41" s="457" t="s">
        <v>10346</v>
      </c>
      <c r="AJ41" s="460" t="s">
        <v>10414</v>
      </c>
      <c r="AK41" s="454"/>
      <c r="AL41" s="167" t="s">
        <v>10348</v>
      </c>
      <c r="AM41" s="167" t="s">
        <v>10348</v>
      </c>
      <c r="AN41" s="167" t="s">
        <v>10348</v>
      </c>
      <c r="AO41" s="197" t="s">
        <v>10415</v>
      </c>
      <c r="AP41" s="456"/>
      <c r="AQ41" s="198" t="s">
        <v>10416</v>
      </c>
      <c r="AR41" s="198" t="s">
        <v>10416</v>
      </c>
      <c r="AS41" s="198" t="s">
        <v>10416</v>
      </c>
      <c r="AT41" s="149" t="s">
        <v>10417</v>
      </c>
      <c r="AU41" s="461"/>
      <c r="AV41" s="198" t="s">
        <v>10418</v>
      </c>
      <c r="AW41" s="198" t="s">
        <v>10418</v>
      </c>
      <c r="AX41" s="198" t="s">
        <v>10418</v>
      </c>
      <c r="AY41" s="149"/>
      <c r="AZ41" s="461"/>
      <c r="BA41" s="198"/>
      <c r="BB41" s="198"/>
      <c r="BC41" s="198"/>
      <c r="BD41" s="198"/>
      <c r="BE41" s="198"/>
      <c r="BF41" s="198"/>
      <c r="BG41" s="198"/>
      <c r="BH41" s="198"/>
    </row>
    <row r="42">
      <c r="A42" s="149" t="s">
        <v>10419</v>
      </c>
      <c r="B42" s="456"/>
      <c r="C42" s="457" t="s">
        <v>10420</v>
      </c>
      <c r="D42" s="457" t="s">
        <v>10420</v>
      </c>
      <c r="E42" s="457" t="s">
        <v>10420</v>
      </c>
      <c r="F42" s="149" t="s">
        <v>10421</v>
      </c>
      <c r="G42" s="463"/>
      <c r="H42" s="457" t="s">
        <v>10422</v>
      </c>
      <c r="I42" s="457" t="s">
        <v>10422</v>
      </c>
      <c r="J42" s="457" t="s">
        <v>10422</v>
      </c>
      <c r="K42" s="243" t="s">
        <v>10423</v>
      </c>
      <c r="L42" s="456"/>
      <c r="M42" s="167" t="s">
        <v>10424</v>
      </c>
      <c r="N42" s="167" t="s">
        <v>10424</v>
      </c>
      <c r="O42" s="167" t="s">
        <v>10424</v>
      </c>
      <c r="P42" s="243" t="str">
        <f>IFERROR(__xludf.DUMMYFUNCTION("GOOGLETRANSLATE(A42,""zh-tw"",""zh"")"),"煮螃蟹")</f>
        <v>煮螃蟹</v>
      </c>
      <c r="Q42" s="440"/>
      <c r="R42" s="457" t="str">
        <f>IFERROR(__xludf.DUMMYFUNCTION("GOOGLETRANSLATE(C42,""zh-tw"",""zh"")"),"毛蟹")</f>
        <v>毛蟹</v>
      </c>
      <c r="S42" s="457" t="str">
        <f>IFERROR(__xludf.DUMMYFUNCTION("GOOGLETRANSLATE(D42,""zh-tw"",""zh"")"),"毛蟹")</f>
        <v>毛蟹</v>
      </c>
      <c r="T42" s="457" t="str">
        <f>IFERROR(__xludf.DUMMYFUNCTION("GOOGLETRANSLATE(E42,""zh-tw"",""zh"")"),"毛蟹")</f>
        <v>毛蟹</v>
      </c>
      <c r="U42" s="149" t="str">
        <f>IFERROR(__xludf.DUMMYFUNCTION("GOOGLETRANSLATE(A42,""zh-tw"",""es-MX"")"),"Cangrejo hervido")</f>
        <v>Cangrejo hervido</v>
      </c>
      <c r="V42" s="453"/>
      <c r="W42" s="457" t="str">
        <f>IFERROR(__xludf.DUMMYFUNCTION("GOOGLETRANSLATE(C42,""zh-tw"",""es-MX"")"),"cangrejo peludo")</f>
        <v>cangrejo peludo</v>
      </c>
      <c r="X42" s="457" t="str">
        <f>IFERROR(__xludf.DUMMYFUNCTION("GOOGLETRANSLATE(D42,""zh-tw"",""es-MX"")"),"cangrejo peludo")</f>
        <v>cangrejo peludo</v>
      </c>
      <c r="Y42" s="457" t="str">
        <f>IFERROR(__xludf.DUMMYFUNCTION("GOOGLETRANSLATE(E42,""zh-tw"",""es-MX"")"),"cangrejo peludo")</f>
        <v>cangrejo peludo</v>
      </c>
      <c r="Z42" s="460" t="s">
        <v>10425</v>
      </c>
      <c r="AA42" s="454"/>
      <c r="AB42" s="198" t="str">
        <f>IFERROR(__xludf.DUMMYFUNCTION("GOOGLETRANSLATE(C42,""zh-tw"",""KO"")"),"털게")</f>
        <v>털게</v>
      </c>
      <c r="AC42" s="198" t="str">
        <f>IFERROR(__xludf.DUMMYFUNCTION("GOOGLETRANSLATE(D42,""zh-tw"",""KO"")"),"털게")</f>
        <v>털게</v>
      </c>
      <c r="AD42" s="198" t="str">
        <f>IFERROR(__xludf.DUMMYFUNCTION("GOOGLETRANSLATE(E42,""zh-tw"",""KO"")"),"털게")</f>
        <v>털게</v>
      </c>
      <c r="AE42" s="458" t="s">
        <v>10426</v>
      </c>
      <c r="AF42" s="222"/>
      <c r="AG42" s="457" t="s">
        <v>10427</v>
      </c>
      <c r="AH42" s="457" t="s">
        <v>10427</v>
      </c>
      <c r="AI42" s="457" t="s">
        <v>10427</v>
      </c>
      <c r="AJ42" s="460" t="s">
        <v>10428</v>
      </c>
      <c r="AK42" s="454"/>
      <c r="AL42" s="167" t="s">
        <v>10429</v>
      </c>
      <c r="AM42" s="167" t="s">
        <v>10429</v>
      </c>
      <c r="AN42" s="167" t="s">
        <v>10429</v>
      </c>
      <c r="AO42" s="197" t="s">
        <v>10430</v>
      </c>
      <c r="AP42" s="456"/>
      <c r="AQ42" s="198" t="s">
        <v>10431</v>
      </c>
      <c r="AR42" s="198" t="s">
        <v>10431</v>
      </c>
      <c r="AS42" s="198" t="s">
        <v>10431</v>
      </c>
      <c r="AT42" s="149" t="s">
        <v>10432</v>
      </c>
      <c r="AU42" s="461"/>
      <c r="AV42" s="198" t="s">
        <v>10433</v>
      </c>
      <c r="AW42" s="198" t="s">
        <v>10433</v>
      </c>
      <c r="AX42" s="198" t="s">
        <v>10433</v>
      </c>
      <c r="AY42" s="149"/>
      <c r="AZ42" s="461"/>
      <c r="BA42" s="198"/>
      <c r="BB42" s="198"/>
      <c r="BC42" s="198"/>
      <c r="BD42" s="198"/>
      <c r="BE42" s="198"/>
      <c r="BF42" s="198"/>
      <c r="BG42" s="198"/>
      <c r="BH42" s="198"/>
    </row>
    <row r="43">
      <c r="A43" s="179" t="s">
        <v>10434</v>
      </c>
      <c r="B43" s="456"/>
      <c r="C43" s="457" t="s">
        <v>10435</v>
      </c>
      <c r="D43" s="142"/>
      <c r="E43" s="142"/>
      <c r="F43" s="149" t="s">
        <v>10436</v>
      </c>
      <c r="G43" s="463"/>
      <c r="H43" s="457" t="s">
        <v>10437</v>
      </c>
      <c r="I43" s="142"/>
      <c r="J43" s="142"/>
      <c r="K43" s="243" t="s">
        <v>10438</v>
      </c>
      <c r="L43" s="456"/>
      <c r="M43" s="167" t="s">
        <v>10439</v>
      </c>
      <c r="N43" s="198"/>
      <c r="O43" s="198"/>
      <c r="P43" s="243" t="str">
        <f>IFERROR(__xludf.DUMMYFUNCTION("GOOGLETRANSLATE(A43,""zh-tw"",""zh"")"),"金枪鱼头")</f>
        <v>金枪鱼头</v>
      </c>
      <c r="Q43" s="440"/>
      <c r="R43" s="457" t="str">
        <f>IFERROR(__xludf.DUMMYFUNCTION("GOOGLETRANSLATE(C43,""zh-tw"",""zh"")"),"金枪鱼")</f>
        <v>金枪鱼</v>
      </c>
      <c r="S43" s="457"/>
      <c r="T43" s="457"/>
      <c r="U43" s="149" t="str">
        <f>IFERROR(__xludf.DUMMYFUNCTION("GOOGLETRANSLATE(A43,""zh-tw"",""es-MX"")"),"Cabeza de atún")</f>
        <v>Cabeza de atún</v>
      </c>
      <c r="V43" s="453"/>
      <c r="W43" s="457" t="str">
        <f>IFERROR(__xludf.DUMMYFUNCTION("GOOGLETRANSLATE(C43,""zh-tw"",""es-MX"")"),"atún")</f>
        <v>atún</v>
      </c>
      <c r="X43" s="457"/>
      <c r="Y43" s="457"/>
      <c r="Z43" s="458" t="str">
        <f>IFERROR(__xludf.DUMMYFUNCTION("GOOGLETRANSLATE(A43,""zh-tw"",""KO"")"),"참치 머리")</f>
        <v>참치 머리</v>
      </c>
      <c r="AA43" s="454"/>
      <c r="AB43" s="198" t="str">
        <f>IFERROR(__xludf.DUMMYFUNCTION("GOOGLETRANSLATE(C43,""zh-tw"",""KO"")"),"참치")</f>
        <v>참치</v>
      </c>
      <c r="AC43" s="198"/>
      <c r="AD43" s="198"/>
      <c r="AE43" s="458" t="s">
        <v>10440</v>
      </c>
      <c r="AF43" s="222"/>
      <c r="AG43" s="457" t="s">
        <v>10441</v>
      </c>
      <c r="AH43" s="459"/>
      <c r="AI43" s="459"/>
      <c r="AJ43" s="460" t="s">
        <v>10442</v>
      </c>
      <c r="AK43" s="454"/>
      <c r="AL43" s="167" t="s">
        <v>10443</v>
      </c>
      <c r="AM43" s="198"/>
      <c r="AN43" s="198"/>
      <c r="AO43" s="153" t="s">
        <v>10444</v>
      </c>
      <c r="AP43" s="456"/>
      <c r="AQ43" s="198" t="s">
        <v>10445</v>
      </c>
      <c r="AR43" s="198" t="s">
        <v>10026</v>
      </c>
      <c r="AS43" s="142"/>
      <c r="AT43" s="149" t="s">
        <v>10446</v>
      </c>
      <c r="AU43" s="461"/>
      <c r="AV43" s="198" t="s">
        <v>10447</v>
      </c>
      <c r="AW43" s="76"/>
      <c r="AX43" s="76"/>
      <c r="AY43" s="149"/>
      <c r="AZ43" s="461"/>
      <c r="BA43" s="198"/>
      <c r="BB43" s="76"/>
      <c r="BC43" s="76"/>
      <c r="BD43" s="76"/>
      <c r="BE43" s="76"/>
      <c r="BF43" s="76"/>
      <c r="BG43" s="76"/>
      <c r="BH43" s="76"/>
    </row>
    <row r="44">
      <c r="A44" s="149" t="s">
        <v>10448</v>
      </c>
      <c r="B44" s="463"/>
      <c r="C44" s="457" t="s">
        <v>10229</v>
      </c>
      <c r="D44" s="457" t="s">
        <v>10016</v>
      </c>
      <c r="E44" s="142"/>
      <c r="F44" s="149" t="s">
        <v>10449</v>
      </c>
      <c r="G44" s="463"/>
      <c r="H44" s="457" t="s">
        <v>10231</v>
      </c>
      <c r="I44" s="457" t="s">
        <v>10018</v>
      </c>
      <c r="J44" s="142"/>
      <c r="K44" s="243" t="s">
        <v>10450</v>
      </c>
      <c r="L44" s="456"/>
      <c r="M44" s="167" t="s">
        <v>10233</v>
      </c>
      <c r="N44" s="167" t="s">
        <v>10020</v>
      </c>
      <c r="O44" s="198"/>
      <c r="P44" s="243" t="str">
        <f>IFERROR(__xludf.DUMMYFUNCTION("GOOGLETRANSLATE(A44,""zh-tw"",""zh"")"),"章鱼丸子")</f>
        <v>章鱼丸子</v>
      </c>
      <c r="Q44" s="440"/>
      <c r="R44" s="457" t="str">
        <f>IFERROR(__xludf.DUMMYFUNCTION("GOOGLETRANSLATE(C44,""zh-tw"",""zh"")"),"章鱼脚")</f>
        <v>章鱼脚</v>
      </c>
      <c r="S44" s="457" t="str">
        <f>IFERROR(__xludf.DUMMYFUNCTION("GOOGLETRANSLATE(D44,""zh-tw"",""zh"")"),"小麦粉")</f>
        <v>小麦粉</v>
      </c>
      <c r="T44" s="457"/>
      <c r="U44" s="149" t="str">
        <f>IFERROR(__xludf.DUMMYFUNCTION("GOOGLETRANSLATE(A44,""zh-tw"",""es-MX"")"),"Takoyaki")</f>
        <v>Takoyaki</v>
      </c>
      <c r="V44" s="453"/>
      <c r="W44" s="457" t="str">
        <f>IFERROR(__xludf.DUMMYFUNCTION("GOOGLETRANSLATE(C44,""zh-tw"",""es-MX"")"),"patas de pulpo")</f>
        <v>patas de pulpo</v>
      </c>
      <c r="X44" s="457" t="str">
        <f>IFERROR(__xludf.DUMMYFUNCTION("GOOGLETRANSLATE(D44,""zh-tw"",""es-MX"")"),"harina de trigo")</f>
        <v>harina de trigo</v>
      </c>
      <c r="Y44" s="457"/>
      <c r="Z44" s="460" t="s">
        <v>10451</v>
      </c>
      <c r="AA44" s="454"/>
      <c r="AB44" s="167" t="s">
        <v>10235</v>
      </c>
      <c r="AC44" s="198" t="str">
        <f>IFERROR(__xludf.DUMMYFUNCTION("GOOGLETRANSLATE(D44,""zh-tw"",""KO"")"),"밀가루")</f>
        <v>밀가루</v>
      </c>
      <c r="AD44" s="198"/>
      <c r="AE44" s="458" t="s">
        <v>10452</v>
      </c>
      <c r="AF44" s="222"/>
      <c r="AG44" s="457" t="s">
        <v>10237</v>
      </c>
      <c r="AH44" s="457" t="s">
        <v>10022</v>
      </c>
      <c r="AI44" s="459"/>
      <c r="AJ44" s="460" t="s">
        <v>10453</v>
      </c>
      <c r="AK44" s="454"/>
      <c r="AL44" s="167" t="s">
        <v>10239</v>
      </c>
      <c r="AM44" s="167" t="s">
        <v>10024</v>
      </c>
      <c r="AN44" s="198"/>
      <c r="AO44" s="197" t="s">
        <v>10450</v>
      </c>
      <c r="AP44" s="456"/>
      <c r="AQ44" s="198" t="s">
        <v>10241</v>
      </c>
      <c r="AR44" s="142"/>
      <c r="AS44" s="142"/>
      <c r="AT44" s="149" t="s">
        <v>10450</v>
      </c>
      <c r="AU44" s="461"/>
      <c r="AV44" s="198" t="s">
        <v>10233</v>
      </c>
      <c r="AW44" s="198" t="s">
        <v>10028</v>
      </c>
      <c r="AX44" s="76"/>
      <c r="AY44" s="149"/>
      <c r="AZ44" s="461"/>
      <c r="BA44" s="198"/>
      <c r="BB44" s="198"/>
      <c r="BC44" s="76"/>
      <c r="BD44" s="76"/>
      <c r="BE44" s="76"/>
      <c r="BF44" s="76"/>
      <c r="BG44" s="76"/>
      <c r="BH44" s="76"/>
    </row>
    <row r="45">
      <c r="A45" s="149" t="s">
        <v>10454</v>
      </c>
      <c r="B45" s="463"/>
      <c r="C45" s="457" t="s">
        <v>10078</v>
      </c>
      <c r="D45" s="142"/>
      <c r="E45" s="142"/>
      <c r="F45" s="149" t="s">
        <v>10119</v>
      </c>
      <c r="G45" s="463"/>
      <c r="H45" s="457" t="s">
        <v>10080</v>
      </c>
      <c r="I45" s="142"/>
      <c r="J45" s="142"/>
      <c r="K45" s="243" t="s">
        <v>10455</v>
      </c>
      <c r="L45" s="456"/>
      <c r="M45" s="167" t="s">
        <v>10083</v>
      </c>
      <c r="N45" s="198"/>
      <c r="O45" s="198"/>
      <c r="P45" s="243" t="str">
        <f>IFERROR(__xludf.DUMMYFUNCTION("GOOGLETRANSLATE(A45,""zh-tw"",""zh"")"),"汉堡肉")</f>
        <v>汉堡肉</v>
      </c>
      <c r="Q45" s="440"/>
      <c r="R45" s="457" t="str">
        <f>IFERROR(__xludf.DUMMYFUNCTION("GOOGLETRANSLATE(C45,""zh-tw"",""zh"")"),"大块兽肉")</f>
        <v>大块兽肉</v>
      </c>
      <c r="S45" s="457"/>
      <c r="T45" s="457"/>
      <c r="U45" s="149" t="str">
        <f>IFERROR(__xludf.DUMMYFUNCTION("GOOGLETRANSLATE(A45,""zh-tw"",""es-MX"")"),"Hamburguesas")</f>
        <v>Hamburguesas</v>
      </c>
      <c r="V45" s="453"/>
      <c r="W45" s="457" t="str">
        <f>IFERROR(__xludf.DUMMYFUNCTION("GOOGLETRANSLATE(C45,""zh-tw"",""es-MX"")"),"Grandes trozos de carne")</f>
        <v>Grandes trozos de carne</v>
      </c>
      <c r="X45" s="457"/>
      <c r="Y45" s="457"/>
      <c r="Z45" s="460" t="s">
        <v>10456</v>
      </c>
      <c r="AA45" s="454"/>
      <c r="AB45" s="167" t="s">
        <v>10085</v>
      </c>
      <c r="AC45" s="198"/>
      <c r="AD45" s="198"/>
      <c r="AE45" s="458" t="s">
        <v>10457</v>
      </c>
      <c r="AF45" s="222"/>
      <c r="AG45" s="457" t="s">
        <v>10087</v>
      </c>
      <c r="AH45" s="459"/>
      <c r="AI45" s="459"/>
      <c r="AJ45" s="460" t="s">
        <v>10458</v>
      </c>
      <c r="AK45" s="454"/>
      <c r="AL45" s="167" t="s">
        <v>10089</v>
      </c>
      <c r="AM45" s="198"/>
      <c r="AN45" s="198"/>
      <c r="AO45" s="197" t="s">
        <v>10459</v>
      </c>
      <c r="AP45" s="456"/>
      <c r="AQ45" s="198" t="s">
        <v>10090</v>
      </c>
      <c r="AR45" s="142"/>
      <c r="AS45" s="142"/>
      <c r="AT45" s="149" t="s">
        <v>10460</v>
      </c>
      <c r="AU45" s="461"/>
      <c r="AV45" s="198" t="s">
        <v>10091</v>
      </c>
      <c r="AW45" s="76"/>
      <c r="AX45" s="76"/>
      <c r="AY45" s="149"/>
      <c r="AZ45" s="461"/>
      <c r="BA45" s="198"/>
      <c r="BB45" s="76"/>
      <c r="BC45" s="76"/>
      <c r="BD45" s="76"/>
      <c r="BE45" s="76"/>
      <c r="BF45" s="76"/>
      <c r="BG45" s="76"/>
      <c r="BH45" s="76"/>
    </row>
    <row r="46">
      <c r="A46" s="149" t="s">
        <v>10461</v>
      </c>
      <c r="B46" s="440" t="s">
        <v>1448</v>
      </c>
      <c r="C46" s="457" t="s">
        <v>6938</v>
      </c>
      <c r="D46" s="457" t="s">
        <v>6967</v>
      </c>
      <c r="E46" s="142"/>
      <c r="F46" s="149" t="s">
        <v>10462</v>
      </c>
      <c r="G46" s="440" t="s">
        <v>1448</v>
      </c>
      <c r="H46" s="457" t="s">
        <v>10217</v>
      </c>
      <c r="I46" s="457" t="s">
        <v>10463</v>
      </c>
      <c r="J46" s="142"/>
      <c r="K46" s="243" t="s">
        <v>10464</v>
      </c>
      <c r="L46" s="440" t="s">
        <v>1448</v>
      </c>
      <c r="M46" s="167" t="s">
        <v>6940</v>
      </c>
      <c r="N46" s="167" t="s">
        <v>6969</v>
      </c>
      <c r="O46" s="198"/>
      <c r="P46" s="243" t="str">
        <f>IFERROR(__xludf.DUMMYFUNCTION("GOOGLETRANSLATE(A46,""zh-tw"",""zh"")"),"辣味土豆泥")</f>
        <v>辣味土豆泥</v>
      </c>
      <c r="Q46" s="440" t="str">
        <f>IFERROR(__xludf.DUMMYFUNCTION("GOOGLETRANSLATE(B46,""zh-tw"",""zh"")"),"B")</f>
        <v>B</v>
      </c>
      <c r="R46" s="457" t="str">
        <f>IFERROR(__xludf.DUMMYFUNCTION("GOOGLETRANSLATE(C46,""zh-tw"",""zh"")"),"土豆")</f>
        <v>土豆</v>
      </c>
      <c r="S46" s="457" t="str">
        <f>IFERROR(__xludf.DUMMYFUNCTION("GOOGLETRANSLATE(D46,""zh-tw"",""zh"")"),"辣椒")</f>
        <v>辣椒</v>
      </c>
      <c r="T46" s="457"/>
      <c r="U46" s="149" t="str">
        <f>IFERROR(__xludf.DUMMYFUNCTION("GOOGLETRANSLATE(A46,""zh-tw"",""es-MX"")"),"Puré de patatas picante")</f>
        <v>Puré de patatas picante</v>
      </c>
      <c r="V46" s="453" t="str">
        <f>IFERROR(__xludf.DUMMYFUNCTION("GOOGLETRANSLATE(B46,""zh-tw"",""es-MX"")"),"B")</f>
        <v>B</v>
      </c>
      <c r="W46" s="457" t="str">
        <f>IFERROR(__xludf.DUMMYFUNCTION("GOOGLETRANSLATE(C46,""zh-tw"",""es-MX"")"),"Papa")</f>
        <v>Papa</v>
      </c>
      <c r="X46" s="457" t="str">
        <f>IFERROR(__xludf.DUMMYFUNCTION("GOOGLETRANSLATE(D46,""zh-tw"",""es-MX"")"),"chile")</f>
        <v>chile</v>
      </c>
      <c r="Y46" s="457"/>
      <c r="Z46" s="460" t="s">
        <v>10465</v>
      </c>
      <c r="AA46" s="454" t="s">
        <v>1448</v>
      </c>
      <c r="AB46" s="198" t="str">
        <f>IFERROR(__xludf.DUMMYFUNCTION("GOOGLETRANSLATE(C46,""zh-tw"",""KO"")"),"감자")</f>
        <v>감자</v>
      </c>
      <c r="AC46" s="202" t="s">
        <v>10466</v>
      </c>
      <c r="AD46" s="198"/>
      <c r="AE46" s="458" t="s">
        <v>10467</v>
      </c>
      <c r="AF46" s="453" t="s">
        <v>9967</v>
      </c>
      <c r="AG46" s="457" t="s">
        <v>6943</v>
      </c>
      <c r="AH46" s="457" t="s">
        <v>10468</v>
      </c>
      <c r="AI46" s="459"/>
      <c r="AJ46" s="460" t="s">
        <v>10469</v>
      </c>
      <c r="AK46" s="454" t="s">
        <v>1448</v>
      </c>
      <c r="AL46" s="167" t="s">
        <v>6945</v>
      </c>
      <c r="AM46" s="167" t="s">
        <v>10470</v>
      </c>
      <c r="AN46" s="198"/>
      <c r="AO46" s="197" t="s">
        <v>10471</v>
      </c>
      <c r="AP46" s="440" t="s">
        <v>1448</v>
      </c>
      <c r="AQ46" s="198" t="s">
        <v>6947</v>
      </c>
      <c r="AR46" s="198" t="s">
        <v>6975</v>
      </c>
      <c r="AS46" s="142"/>
      <c r="AT46" s="149" t="s">
        <v>10472</v>
      </c>
      <c r="AU46" s="440" t="s">
        <v>1448</v>
      </c>
      <c r="AV46" s="198" t="s">
        <v>6949</v>
      </c>
      <c r="AW46" s="198" t="s">
        <v>6969</v>
      </c>
      <c r="AX46" s="76"/>
      <c r="AY46" s="149"/>
      <c r="AZ46" s="440"/>
      <c r="BA46" s="198"/>
      <c r="BB46" s="198"/>
      <c r="BC46" s="76"/>
      <c r="BD46" s="76"/>
      <c r="BE46" s="76"/>
      <c r="BF46" s="76"/>
      <c r="BG46" s="76"/>
      <c r="BH46" s="76"/>
    </row>
    <row r="47">
      <c r="A47" s="149" t="s">
        <v>10473</v>
      </c>
      <c r="B47" s="440" t="s">
        <v>1448</v>
      </c>
      <c r="C47" s="457" t="s">
        <v>6967</v>
      </c>
      <c r="D47" s="142"/>
      <c r="E47" s="142"/>
      <c r="F47" s="149" t="s">
        <v>10474</v>
      </c>
      <c r="G47" s="440" t="s">
        <v>1448</v>
      </c>
      <c r="H47" s="457" t="s">
        <v>10463</v>
      </c>
      <c r="I47" s="142"/>
      <c r="J47" s="142"/>
      <c r="K47" s="243" t="s">
        <v>10475</v>
      </c>
      <c r="L47" s="440" t="s">
        <v>1448</v>
      </c>
      <c r="M47" s="167" t="s">
        <v>6969</v>
      </c>
      <c r="N47" s="198"/>
      <c r="O47" s="198"/>
      <c r="P47" s="243" t="str">
        <f>IFERROR(__xludf.DUMMYFUNCTION("GOOGLETRANSLATE(A47,""zh-tw"",""zh"")"),"辣椒水")</f>
        <v>辣椒水</v>
      </c>
      <c r="Q47" s="440" t="str">
        <f>IFERROR(__xludf.DUMMYFUNCTION("GOOGLETRANSLATE(B47,""zh-tw"",""zh"")"),"B")</f>
        <v>B</v>
      </c>
      <c r="R47" s="457" t="str">
        <f>IFERROR(__xludf.DUMMYFUNCTION("GOOGLETRANSLATE(C47,""zh-tw"",""zh"")"),"辣椒")</f>
        <v>辣椒</v>
      </c>
      <c r="S47" s="457"/>
      <c r="T47" s="457"/>
      <c r="U47" s="149" t="str">
        <f>IFERROR(__xludf.DUMMYFUNCTION("GOOGLETRANSLATE(A47,""zh-tw"",""es-MX"")"),"Agua de chile")</f>
        <v>Agua de chile</v>
      </c>
      <c r="V47" s="453" t="str">
        <f>IFERROR(__xludf.DUMMYFUNCTION("GOOGLETRANSLATE(B47,""zh-tw"",""es-MX"")"),"B")</f>
        <v>B</v>
      </c>
      <c r="W47" s="457" t="str">
        <f>IFERROR(__xludf.DUMMYFUNCTION("GOOGLETRANSLATE(C47,""zh-tw"",""es-MX"")"),"chile")</f>
        <v>chile</v>
      </c>
      <c r="X47" s="457"/>
      <c r="Y47" s="457"/>
      <c r="Z47" s="460" t="s">
        <v>10476</v>
      </c>
      <c r="AA47" s="454" t="s">
        <v>1448</v>
      </c>
      <c r="AB47" s="202" t="s">
        <v>10466</v>
      </c>
      <c r="AC47" s="198"/>
      <c r="AD47" s="198"/>
      <c r="AE47" s="458" t="s">
        <v>10477</v>
      </c>
      <c r="AF47" s="453" t="s">
        <v>9967</v>
      </c>
      <c r="AG47" s="457" t="s">
        <v>10468</v>
      </c>
      <c r="AH47" s="459"/>
      <c r="AI47" s="459"/>
      <c r="AJ47" s="460" t="s">
        <v>10478</v>
      </c>
      <c r="AK47" s="454" t="s">
        <v>1448</v>
      </c>
      <c r="AL47" s="167" t="s">
        <v>10470</v>
      </c>
      <c r="AM47" s="198"/>
      <c r="AN47" s="198"/>
      <c r="AO47" s="197" t="s">
        <v>10479</v>
      </c>
      <c r="AP47" s="440" t="s">
        <v>1448</v>
      </c>
      <c r="AQ47" s="198" t="s">
        <v>6975</v>
      </c>
      <c r="AR47" s="142"/>
      <c r="AS47" s="142"/>
      <c r="AT47" s="149" t="s">
        <v>10480</v>
      </c>
      <c r="AU47" s="440" t="s">
        <v>1448</v>
      </c>
      <c r="AV47" s="198" t="s">
        <v>6969</v>
      </c>
      <c r="AW47" s="76"/>
      <c r="AX47" s="76"/>
      <c r="AY47" s="149"/>
      <c r="AZ47" s="440"/>
      <c r="BA47" s="198"/>
      <c r="BB47" s="76"/>
      <c r="BC47" s="76"/>
      <c r="BD47" s="76"/>
      <c r="BE47" s="76"/>
      <c r="BF47" s="76"/>
      <c r="BG47" s="76"/>
      <c r="BH47" s="76"/>
    </row>
    <row r="48">
      <c r="A48" s="149" t="s">
        <v>10481</v>
      </c>
      <c r="B48" s="463"/>
      <c r="C48" s="457" t="s">
        <v>9980</v>
      </c>
      <c r="D48" s="457" t="s">
        <v>10151</v>
      </c>
      <c r="E48" s="142"/>
      <c r="F48" s="149" t="s">
        <v>10482</v>
      </c>
      <c r="G48" s="463"/>
      <c r="H48" s="457" t="s">
        <v>9982</v>
      </c>
      <c r="I48" s="457" t="s">
        <v>10153</v>
      </c>
      <c r="J48" s="142"/>
      <c r="K48" s="243" t="s">
        <v>10483</v>
      </c>
      <c r="L48" s="456"/>
      <c r="M48" s="167" t="s">
        <v>9984</v>
      </c>
      <c r="N48" s="167" t="s">
        <v>10155</v>
      </c>
      <c r="O48" s="198"/>
      <c r="P48" s="243" t="str">
        <f>IFERROR(__xludf.DUMMYFUNCTION("GOOGLETRANSLATE(A48,""zh-tw"",""zh"")"),"水怪软糖")</f>
        <v>水怪软糖</v>
      </c>
      <c r="Q48" s="440"/>
      <c r="R48" s="457" t="str">
        <f>IFERROR(__xludf.DUMMYFUNCTION("GOOGLETRANSLATE(C48,""zh-tw"",""zh"")"),"史莱姆黏液")</f>
        <v>史莱姆黏液</v>
      </c>
      <c r="S48" s="457" t="str">
        <f>IFERROR(__xludf.DUMMYFUNCTION("GOOGLETRANSLATE(D48,""zh-tw"",""zh"")"),"水怪黏液")</f>
        <v>水怪黏液</v>
      </c>
      <c r="T48" s="457"/>
      <c r="U48" s="149" t="str">
        <f>IFERROR(__xludf.DUMMYFUNCTION("GOOGLETRANSLATE(A48,""zh-tw"",""es-MX"")"),"Monstruo de agua de gominola")</f>
        <v>Monstruo de agua de gominola</v>
      </c>
      <c r="V48" s="453"/>
      <c r="W48" s="457" t="str">
        <f>IFERROR(__xludf.DUMMYFUNCTION("GOOGLETRANSLATE(C48,""zh-tw"",""es-MX"")"),"limo")</f>
        <v>limo</v>
      </c>
      <c r="X48" s="457" t="str">
        <f>IFERROR(__xludf.DUMMYFUNCTION("GOOGLETRANSLATE(D48,""zh-tw"",""es-MX"")"),"Monstruo acuático de limo")</f>
        <v>Monstruo acuático de limo</v>
      </c>
      <c r="Y48" s="457"/>
      <c r="Z48" s="460" t="s">
        <v>10484</v>
      </c>
      <c r="AA48" s="454"/>
      <c r="AB48" s="202" t="s">
        <v>9985</v>
      </c>
      <c r="AC48" s="167" t="s">
        <v>10156</v>
      </c>
      <c r="AD48" s="198"/>
      <c r="AE48" s="458" t="s">
        <v>10485</v>
      </c>
      <c r="AF48" s="222"/>
      <c r="AG48" s="457" t="s">
        <v>9987</v>
      </c>
      <c r="AH48" s="457" t="s">
        <v>10157</v>
      </c>
      <c r="AI48" s="459"/>
      <c r="AJ48" s="460" t="s">
        <v>10486</v>
      </c>
      <c r="AK48" s="454"/>
      <c r="AL48" s="167" t="s">
        <v>9989</v>
      </c>
      <c r="AM48" s="167" t="s">
        <v>10159</v>
      </c>
      <c r="AN48" s="198"/>
      <c r="AO48" s="165" t="s">
        <v>10487</v>
      </c>
      <c r="AP48" s="456"/>
      <c r="AQ48" s="198" t="s">
        <v>9991</v>
      </c>
      <c r="AR48" s="167" t="s">
        <v>10161</v>
      </c>
      <c r="AS48" s="142"/>
      <c r="AT48" s="149" t="s">
        <v>10488</v>
      </c>
      <c r="AU48" s="461"/>
      <c r="AV48" s="198" t="s">
        <v>9992</v>
      </c>
      <c r="AW48" s="198" t="s">
        <v>10489</v>
      </c>
      <c r="AX48" s="76"/>
      <c r="AY48" s="149"/>
      <c r="AZ48" s="461"/>
      <c r="BA48" s="198"/>
      <c r="BB48" s="198"/>
      <c r="BC48" s="76"/>
      <c r="BD48" s="76"/>
      <c r="BE48" s="76"/>
      <c r="BF48" s="76"/>
      <c r="BG48" s="76"/>
      <c r="BH48" s="76"/>
    </row>
    <row r="49">
      <c r="A49" s="149" t="s">
        <v>10490</v>
      </c>
      <c r="B49" s="463"/>
      <c r="C49" s="457" t="s">
        <v>9980</v>
      </c>
      <c r="D49" s="457" t="s">
        <v>10151</v>
      </c>
      <c r="E49" s="142"/>
      <c r="F49" s="149" t="s">
        <v>10491</v>
      </c>
      <c r="G49" s="463"/>
      <c r="H49" s="457" t="s">
        <v>9982</v>
      </c>
      <c r="I49" s="457" t="s">
        <v>10153</v>
      </c>
      <c r="J49" s="142"/>
      <c r="K49" s="243" t="s">
        <v>10492</v>
      </c>
      <c r="L49" s="456"/>
      <c r="M49" s="167" t="s">
        <v>9984</v>
      </c>
      <c r="N49" s="167" t="s">
        <v>10155</v>
      </c>
      <c r="O49" s="198"/>
      <c r="P49" s="243" t="str">
        <f>IFERROR(__xludf.DUMMYFUNCTION("GOOGLETRANSLATE(A49,""zh-tw"",""zh"")"),"水怪刨冰")</f>
        <v>水怪刨冰</v>
      </c>
      <c r="Q49" s="440"/>
      <c r="R49" s="457" t="str">
        <f>IFERROR(__xludf.DUMMYFUNCTION("GOOGLETRANSLATE(C49,""zh-tw"",""zh"")"),"史莱姆黏液")</f>
        <v>史莱姆黏液</v>
      </c>
      <c r="S49" s="457" t="str">
        <f>IFERROR(__xludf.DUMMYFUNCTION("GOOGLETRANSLATE(D49,""zh-tw"",""zh"")"),"水怪黏液")</f>
        <v>水怪黏液</v>
      </c>
      <c r="T49" s="457"/>
      <c r="U49" s="149" t="str">
        <f>IFERROR(__xludf.DUMMYFUNCTION("GOOGLETRANSLATE(A49,""zh-tw"",""es-MX"")"),"Hielo raspado Monstruo de Agua")</f>
        <v>Hielo raspado Monstruo de Agua</v>
      </c>
      <c r="V49" s="453"/>
      <c r="W49" s="457" t="str">
        <f>IFERROR(__xludf.DUMMYFUNCTION("GOOGLETRANSLATE(C49,""zh-tw"",""es-MX"")"),"limo")</f>
        <v>limo</v>
      </c>
      <c r="X49" s="457" t="str">
        <f>IFERROR(__xludf.DUMMYFUNCTION("GOOGLETRANSLATE(D49,""zh-tw"",""es-MX"")"),"Monstruo acuático de limo")</f>
        <v>Monstruo acuático de limo</v>
      </c>
      <c r="Y49" s="457"/>
      <c r="Z49" s="460" t="s">
        <v>10493</v>
      </c>
      <c r="AA49" s="454"/>
      <c r="AB49" s="202" t="s">
        <v>9985</v>
      </c>
      <c r="AC49" s="202" t="s">
        <v>10156</v>
      </c>
      <c r="AD49" s="198"/>
      <c r="AE49" s="458" t="s">
        <v>10494</v>
      </c>
      <c r="AF49" s="222"/>
      <c r="AG49" s="457" t="s">
        <v>9987</v>
      </c>
      <c r="AH49" s="457" t="s">
        <v>10157</v>
      </c>
      <c r="AI49" s="459"/>
      <c r="AJ49" s="460" t="s">
        <v>10495</v>
      </c>
      <c r="AK49" s="454"/>
      <c r="AL49" s="167" t="s">
        <v>9989</v>
      </c>
      <c r="AM49" s="167" t="s">
        <v>10159</v>
      </c>
      <c r="AN49" s="198"/>
      <c r="AO49" s="165" t="s">
        <v>10496</v>
      </c>
      <c r="AP49" s="456"/>
      <c r="AQ49" s="198" t="s">
        <v>9991</v>
      </c>
      <c r="AR49" s="167" t="s">
        <v>10161</v>
      </c>
      <c r="AS49" s="142"/>
      <c r="AT49" s="149" t="s">
        <v>10497</v>
      </c>
      <c r="AU49" s="461"/>
      <c r="AV49" s="198" t="s">
        <v>9992</v>
      </c>
      <c r="AW49" s="198" t="s">
        <v>10489</v>
      </c>
      <c r="AX49" s="76"/>
      <c r="AY49" s="149"/>
      <c r="AZ49" s="461"/>
      <c r="BA49" s="198"/>
      <c r="BB49" s="198"/>
      <c r="BC49" s="76"/>
      <c r="BD49" s="76"/>
      <c r="BE49" s="76"/>
      <c r="BF49" s="76"/>
      <c r="BG49" s="76"/>
      <c r="BH49" s="76"/>
    </row>
    <row r="50">
      <c r="A50" s="149" t="s">
        <v>10498</v>
      </c>
      <c r="B50" s="464" t="s">
        <v>10499</v>
      </c>
      <c r="C50" s="457" t="s">
        <v>9980</v>
      </c>
      <c r="D50" s="457" t="s">
        <v>10151</v>
      </c>
      <c r="E50" s="457" t="s">
        <v>10500</v>
      </c>
      <c r="F50" s="149" t="s">
        <v>10501</v>
      </c>
      <c r="G50" s="464" t="s">
        <v>10502</v>
      </c>
      <c r="H50" s="457" t="s">
        <v>9982</v>
      </c>
      <c r="I50" s="457" t="s">
        <v>10153</v>
      </c>
      <c r="J50" s="457" t="s">
        <v>10503</v>
      </c>
      <c r="K50" s="243" t="s">
        <v>10504</v>
      </c>
      <c r="L50" s="465" t="s">
        <v>10505</v>
      </c>
      <c r="M50" s="167" t="s">
        <v>9984</v>
      </c>
      <c r="N50" s="167" t="s">
        <v>10155</v>
      </c>
      <c r="O50" s="167" t="s">
        <v>10506</v>
      </c>
      <c r="P50" s="243" t="str">
        <f>IFERROR(__xludf.DUMMYFUNCTION("GOOGLETRANSLATE(A50,""zh-tw"",""zh"")"),"水怪软糖(红)")</f>
        <v>水怪软糖(红)</v>
      </c>
      <c r="Q50" s="464" t="s">
        <v>10499</v>
      </c>
      <c r="R50" s="457" t="str">
        <f>IFERROR(__xludf.DUMMYFUNCTION("GOOGLETRANSLATE(C50,""zh-tw"",""zh"")"),"史莱姆黏液")</f>
        <v>史莱姆黏液</v>
      </c>
      <c r="S50" s="457" t="str">
        <f>IFERROR(__xludf.DUMMYFUNCTION("GOOGLETRANSLATE(D50,""zh-tw"",""zh"")"),"水怪黏液")</f>
        <v>水怪黏液</v>
      </c>
      <c r="T50" s="457" t="str">
        <f>IFERROR(__xludf.DUMMYFUNCTION("GOOGLETRANSLATE(E50,""zh-tw"",""zh"")"),"番茄/辣椒")</f>
        <v>番茄/辣椒</v>
      </c>
      <c r="U50" s="149" t="str">
        <f>IFERROR(__xludf.DUMMYFUNCTION("GOOGLETRANSLATE(A50,""zh-tw"",""es-MX"")"),"Gomitas Monstruo de Agua (Rojas)")</f>
        <v>Gomitas Monstruo de Agua (Rojas)</v>
      </c>
      <c r="V50" s="453" t="str">
        <f>IFERROR(__xludf.DUMMYFUNCTION("GOOGLETRANSLATE(B50,""zh-tw"",""es-MX"")"),"(B) Chiles")</f>
        <v>(B) Chiles</v>
      </c>
      <c r="W50" s="457" t="str">
        <f>IFERROR(__xludf.DUMMYFUNCTION("GOOGLETRANSLATE(C50,""zh-tw"",""es-MX"")"),"limo")</f>
        <v>limo</v>
      </c>
      <c r="X50" s="457" t="str">
        <f>IFERROR(__xludf.DUMMYFUNCTION("GOOGLETRANSLATE(D50,""zh-tw"",""es-MX"")"),"Monstruo acuático de limo")</f>
        <v>Monstruo acuático de limo</v>
      </c>
      <c r="Y50" s="457" t="str">
        <f>IFERROR(__xludf.DUMMYFUNCTION("GOOGLETRANSLATE(E50,""zh-tw"",""es-MX"")"),"Tomates/Pimientos")</f>
        <v>Tomates/Pimientos</v>
      </c>
      <c r="Z50" s="460" t="s">
        <v>10507</v>
      </c>
      <c r="AA50" s="454" t="s">
        <v>10508</v>
      </c>
      <c r="AB50" s="167" t="s">
        <v>9985</v>
      </c>
      <c r="AC50" s="202" t="s">
        <v>10156</v>
      </c>
      <c r="AD50" s="198" t="str">
        <f>IFERROR(__xludf.DUMMYFUNCTION("GOOGLETRANSLATE(E50,""zh-tw"",""KO"")"),"토마토/피망")</f>
        <v>토마토/피망</v>
      </c>
      <c r="AE50" s="458" t="s">
        <v>10509</v>
      </c>
      <c r="AF50" s="453" t="s">
        <v>10510</v>
      </c>
      <c r="AG50" s="457" t="s">
        <v>9987</v>
      </c>
      <c r="AH50" s="457" t="s">
        <v>10157</v>
      </c>
      <c r="AI50" s="457" t="s">
        <v>10511</v>
      </c>
      <c r="AJ50" s="460" t="s">
        <v>10512</v>
      </c>
      <c r="AK50" s="454" t="s">
        <v>1448</v>
      </c>
      <c r="AL50" s="167" t="s">
        <v>9989</v>
      </c>
      <c r="AM50" s="167" t="s">
        <v>10159</v>
      </c>
      <c r="AN50" s="198" t="str">
        <f>IFERROR(__xludf.DUMMYFUNCTION("GOOGLETRANSLATE(E50,""zh-tw"",""de"")"),"Tomaten/Paprika")</f>
        <v>Tomaten/Paprika</v>
      </c>
      <c r="AO50" s="165" t="s">
        <v>10513</v>
      </c>
      <c r="AP50" s="195" t="s">
        <v>10514</v>
      </c>
      <c r="AQ50" s="198" t="s">
        <v>9991</v>
      </c>
      <c r="AR50" s="167" t="s">
        <v>10161</v>
      </c>
      <c r="AS50" s="198" t="s">
        <v>10515</v>
      </c>
      <c r="AT50" s="149" t="s">
        <v>10516</v>
      </c>
      <c r="AU50" s="450" t="s">
        <v>10517</v>
      </c>
      <c r="AV50" s="198" t="s">
        <v>9992</v>
      </c>
      <c r="AW50" s="198" t="s">
        <v>10489</v>
      </c>
      <c r="AX50" s="198" t="s">
        <v>10518</v>
      </c>
      <c r="AY50" s="149"/>
      <c r="AZ50" s="450"/>
      <c r="BA50" s="198"/>
      <c r="BB50" s="198"/>
      <c r="BC50" s="198"/>
      <c r="BD50" s="198"/>
      <c r="BE50" s="198"/>
      <c r="BF50" s="198"/>
      <c r="BG50" s="198"/>
      <c r="BH50" s="198"/>
    </row>
    <row r="51">
      <c r="A51" s="149" t="s">
        <v>10519</v>
      </c>
      <c r="B51" s="463"/>
      <c r="C51" s="457" t="s">
        <v>10016</v>
      </c>
      <c r="D51" s="142"/>
      <c r="E51" s="142"/>
      <c r="F51" s="149" t="s">
        <v>10520</v>
      </c>
      <c r="G51" s="463"/>
      <c r="H51" s="457" t="s">
        <v>10018</v>
      </c>
      <c r="I51" s="142"/>
      <c r="J51" s="142"/>
      <c r="K51" s="243" t="s">
        <v>10521</v>
      </c>
      <c r="L51" s="456"/>
      <c r="M51" s="167" t="s">
        <v>10020</v>
      </c>
      <c r="N51" s="198"/>
      <c r="O51" s="198"/>
      <c r="P51" s="243" t="str">
        <f>IFERROR(__xludf.DUMMYFUNCTION("GOOGLETRANSLATE(A51,""zh-tw"",""zh"")"),"煎薄饼")</f>
        <v>煎薄饼</v>
      </c>
      <c r="Q51" s="440"/>
      <c r="R51" s="457" t="str">
        <f>IFERROR(__xludf.DUMMYFUNCTION("GOOGLETRANSLATE(C51,""zh-tw"",""zh"")"),"小麦粉")</f>
        <v>小麦粉</v>
      </c>
      <c r="S51" s="457"/>
      <c r="T51" s="457"/>
      <c r="U51" s="149" t="str">
        <f>IFERROR(__xludf.DUMMYFUNCTION("GOOGLETRANSLATE(A51,""zh-tw"",""es-MX"")"),"Panqueques")</f>
        <v>Panqueques</v>
      </c>
      <c r="V51" s="453"/>
      <c r="W51" s="457" t="str">
        <f>IFERROR(__xludf.DUMMYFUNCTION("GOOGLETRANSLATE(C51,""zh-tw"",""es-MX"")"),"harina de trigo")</f>
        <v>harina de trigo</v>
      </c>
      <c r="X51" s="457"/>
      <c r="Y51" s="457"/>
      <c r="Z51" s="458" t="str">
        <f>IFERROR(__xludf.DUMMYFUNCTION("GOOGLETRANSLATE(A51,""zh-tw"",""KO"")"),"팬케이크")</f>
        <v>팬케이크</v>
      </c>
      <c r="AA51" s="454"/>
      <c r="AB51" s="198" t="str">
        <f>IFERROR(__xludf.DUMMYFUNCTION("GOOGLETRANSLATE(C51,""zh-tw"",""KO"")"),"밀가루")</f>
        <v>밀가루</v>
      </c>
      <c r="AC51" s="198"/>
      <c r="AD51" s="198"/>
      <c r="AE51" s="458" t="s">
        <v>10522</v>
      </c>
      <c r="AF51" s="222"/>
      <c r="AG51" s="457" t="s">
        <v>10022</v>
      </c>
      <c r="AH51" s="459"/>
      <c r="AI51" s="459"/>
      <c r="AJ51" s="460" t="s">
        <v>10523</v>
      </c>
      <c r="AK51" s="454"/>
      <c r="AL51" s="167" t="s">
        <v>10024</v>
      </c>
      <c r="AM51" s="198"/>
      <c r="AN51" s="198"/>
      <c r="AO51" s="197" t="s">
        <v>10524</v>
      </c>
      <c r="AP51" s="456"/>
      <c r="AQ51" s="198" t="s">
        <v>10026</v>
      </c>
      <c r="AR51" s="142"/>
      <c r="AS51" s="142"/>
      <c r="AT51" s="149" t="s">
        <v>10525</v>
      </c>
      <c r="AU51" s="461"/>
      <c r="AV51" s="198" t="s">
        <v>10028</v>
      </c>
      <c r="AW51" s="76"/>
      <c r="AX51" s="76"/>
      <c r="AY51" s="149"/>
      <c r="AZ51" s="461"/>
      <c r="BA51" s="198"/>
      <c r="BB51" s="76"/>
      <c r="BC51" s="76"/>
      <c r="BD51" s="76"/>
      <c r="BE51" s="76"/>
      <c r="BF51" s="76"/>
      <c r="BG51" s="76"/>
      <c r="BH51" s="76"/>
    </row>
    <row r="52">
      <c r="A52" s="149" t="s">
        <v>10526</v>
      </c>
      <c r="B52" s="463"/>
      <c r="C52" s="457" t="s">
        <v>6916</v>
      </c>
      <c r="D52" s="457" t="s">
        <v>10016</v>
      </c>
      <c r="E52" s="142"/>
      <c r="F52" s="149" t="s">
        <v>10527</v>
      </c>
      <c r="G52" s="463"/>
      <c r="H52" s="457" t="s">
        <v>10528</v>
      </c>
      <c r="I52" s="457" t="s">
        <v>10018</v>
      </c>
      <c r="J52" s="142"/>
      <c r="K52" s="243" t="s">
        <v>10529</v>
      </c>
      <c r="L52" s="456"/>
      <c r="M52" s="167" t="s">
        <v>6920</v>
      </c>
      <c r="N52" s="167" t="s">
        <v>10020</v>
      </c>
      <c r="O52" s="198"/>
      <c r="P52" s="243" t="str">
        <f>IFERROR(__xludf.DUMMYFUNCTION("GOOGLETRANSLATE(A52,""zh-tw"",""zh"")"),"草莓煎薄饼")</f>
        <v>草莓煎薄饼</v>
      </c>
      <c r="Q52" s="440"/>
      <c r="R52" s="457" t="str">
        <f>IFERROR(__xludf.DUMMYFUNCTION("GOOGLETRANSLATE(C52,""zh-tw"",""zh"")"),"草莓")</f>
        <v>草莓</v>
      </c>
      <c r="S52" s="457" t="str">
        <f>IFERROR(__xludf.DUMMYFUNCTION("GOOGLETRANSLATE(D52,""zh-tw"",""zh"")"),"小麦粉")</f>
        <v>小麦粉</v>
      </c>
      <c r="T52" s="457"/>
      <c r="U52" s="149" t="str">
        <f>IFERROR(__xludf.DUMMYFUNCTION("GOOGLETRANSLATE(A52,""zh-tw"",""es-MX"")"),"Tortitas de fresa")</f>
        <v>Tortitas de fresa</v>
      </c>
      <c r="V52" s="453"/>
      <c r="W52" s="457" t="str">
        <f>IFERROR(__xludf.DUMMYFUNCTION("GOOGLETRANSLATE(C52,""zh-tw"",""es-MX"")"),"fresa")</f>
        <v>fresa</v>
      </c>
      <c r="X52" s="457" t="str">
        <f>IFERROR(__xludf.DUMMYFUNCTION("GOOGLETRANSLATE(D52,""zh-tw"",""es-MX"")"),"harina de trigo")</f>
        <v>harina de trigo</v>
      </c>
      <c r="Y52" s="457"/>
      <c r="Z52" s="458" t="str">
        <f>IFERROR(__xludf.DUMMYFUNCTION("GOOGLETRANSLATE(A52,""zh-tw"",""KO"")"),"딸기 팬케이크")</f>
        <v>딸기 팬케이크</v>
      </c>
      <c r="AA52" s="454"/>
      <c r="AB52" s="198" t="str">
        <f>IFERROR(__xludf.DUMMYFUNCTION("GOOGLETRANSLATE(C52,""zh-tw"",""KO"")"),"딸기")</f>
        <v>딸기</v>
      </c>
      <c r="AC52" s="198" t="str">
        <f>IFERROR(__xludf.DUMMYFUNCTION("GOOGLETRANSLATE(D52,""zh-tw"",""KO"")"),"밀가루")</f>
        <v>밀가루</v>
      </c>
      <c r="AD52" s="198"/>
      <c r="AE52" s="458" t="s">
        <v>10530</v>
      </c>
      <c r="AF52" s="222"/>
      <c r="AG52" s="457" t="s">
        <v>6923</v>
      </c>
      <c r="AH52" s="457" t="s">
        <v>10022</v>
      </c>
      <c r="AI52" s="459"/>
      <c r="AJ52" s="460" t="s">
        <v>10531</v>
      </c>
      <c r="AK52" s="454"/>
      <c r="AL52" s="167" t="s">
        <v>10532</v>
      </c>
      <c r="AM52" s="167" t="s">
        <v>10024</v>
      </c>
      <c r="AN52" s="198"/>
      <c r="AO52" s="197" t="s">
        <v>10533</v>
      </c>
      <c r="AP52" s="456"/>
      <c r="AQ52" s="198" t="s">
        <v>6929</v>
      </c>
      <c r="AR52" s="198" t="s">
        <v>10026</v>
      </c>
      <c r="AS52" s="142"/>
      <c r="AT52" s="149" t="s">
        <v>10534</v>
      </c>
      <c r="AU52" s="461"/>
      <c r="AV52" s="198" t="s">
        <v>6932</v>
      </c>
      <c r="AW52" s="198" t="s">
        <v>10028</v>
      </c>
      <c r="AX52" s="76"/>
      <c r="AY52" s="149"/>
      <c r="AZ52" s="461"/>
      <c r="BA52" s="198"/>
      <c r="BB52" s="198"/>
      <c r="BC52" s="76"/>
      <c r="BD52" s="76"/>
      <c r="BE52" s="76"/>
      <c r="BF52" s="76"/>
      <c r="BG52" s="76"/>
      <c r="BH52" s="76"/>
    </row>
    <row r="53">
      <c r="A53" s="149" t="s">
        <v>10535</v>
      </c>
      <c r="B53" s="463"/>
      <c r="C53" s="457" t="s">
        <v>6953</v>
      </c>
      <c r="D53" s="142"/>
      <c r="E53" s="142"/>
      <c r="F53" s="149" t="s">
        <v>10536</v>
      </c>
      <c r="G53" s="463"/>
      <c r="H53" s="457" t="s">
        <v>10332</v>
      </c>
      <c r="I53" s="142"/>
      <c r="J53" s="142"/>
      <c r="K53" s="243" t="s">
        <v>10537</v>
      </c>
      <c r="L53" s="456"/>
      <c r="M53" s="167" t="s">
        <v>6955</v>
      </c>
      <c r="N53" s="198"/>
      <c r="O53" s="198"/>
      <c r="P53" s="243" t="str">
        <f>IFERROR(__xludf.DUMMYFUNCTION("GOOGLETRANSLATE(A53,""zh-tw"",""zh"")"),"番茄汤")</f>
        <v>番茄汤</v>
      </c>
      <c r="Q53" s="440"/>
      <c r="R53" s="457" t="str">
        <f>IFERROR(__xludf.DUMMYFUNCTION("GOOGLETRANSLATE(C53,""zh-tw"",""zh"")"),"番茄")</f>
        <v>番茄</v>
      </c>
      <c r="S53" s="457"/>
      <c r="T53" s="457"/>
      <c r="U53" s="149" t="str">
        <f>IFERROR(__xludf.DUMMYFUNCTION("GOOGLETRANSLATE(A53,""zh-tw"",""es-MX"")"),"Sopa de tomate")</f>
        <v>Sopa de tomate</v>
      </c>
      <c r="V53" s="453"/>
      <c r="W53" s="457" t="str">
        <f>IFERROR(__xludf.DUMMYFUNCTION("GOOGLETRANSLATE(C53,""zh-tw"",""es-MX"")"),"tomate")</f>
        <v>tomate</v>
      </c>
      <c r="X53" s="457"/>
      <c r="Y53" s="457"/>
      <c r="Z53" s="458" t="str">
        <f>IFERROR(__xludf.DUMMYFUNCTION("GOOGLETRANSLATE(A53,""zh-tw"",""KO"")"),"토마토 수프")</f>
        <v>토마토 수프</v>
      </c>
      <c r="AA53" s="454"/>
      <c r="AB53" s="198" t="str">
        <f>IFERROR(__xludf.DUMMYFUNCTION("GOOGLETRANSLATE(C53,""zh-tw"",""KO"")"),"토마토")</f>
        <v>토마토</v>
      </c>
      <c r="AC53" s="198"/>
      <c r="AD53" s="198"/>
      <c r="AE53" s="458" t="s">
        <v>10538</v>
      </c>
      <c r="AF53" s="222"/>
      <c r="AG53" s="457" t="s">
        <v>6957</v>
      </c>
      <c r="AH53" s="459"/>
      <c r="AI53" s="459"/>
      <c r="AJ53" s="460" t="s">
        <v>10539</v>
      </c>
      <c r="AK53" s="454"/>
      <c r="AL53" s="167" t="s">
        <v>6963</v>
      </c>
      <c r="AM53" s="198"/>
      <c r="AN53" s="198"/>
      <c r="AO53" s="197" t="s">
        <v>10540</v>
      </c>
      <c r="AP53" s="456"/>
      <c r="AQ53" s="198" t="s">
        <v>6947</v>
      </c>
      <c r="AR53" s="142"/>
      <c r="AS53" s="142"/>
      <c r="AT53" s="149" t="s">
        <v>10541</v>
      </c>
      <c r="AU53" s="461"/>
      <c r="AV53" s="198" t="s">
        <v>6963</v>
      </c>
      <c r="AW53" s="76"/>
      <c r="AX53" s="76"/>
      <c r="AY53" s="149"/>
      <c r="AZ53" s="461"/>
      <c r="BA53" s="198"/>
      <c r="BB53" s="76"/>
      <c r="BC53" s="76"/>
      <c r="BD53" s="76"/>
      <c r="BE53" s="76"/>
      <c r="BF53" s="76"/>
      <c r="BG53" s="76"/>
      <c r="BH53" s="76"/>
    </row>
    <row r="54">
      <c r="A54" s="149" t="s">
        <v>6916</v>
      </c>
      <c r="B54" s="463"/>
      <c r="C54" s="457" t="s">
        <v>6916</v>
      </c>
      <c r="D54" s="142"/>
      <c r="E54" s="142"/>
      <c r="F54" s="149" t="s">
        <v>10542</v>
      </c>
      <c r="G54" s="463"/>
      <c r="H54" s="457" t="s">
        <v>10528</v>
      </c>
      <c r="I54" s="142"/>
      <c r="J54" s="142"/>
      <c r="K54" s="243" t="s">
        <v>6920</v>
      </c>
      <c r="L54" s="456"/>
      <c r="M54" s="167" t="s">
        <v>6920</v>
      </c>
      <c r="N54" s="198"/>
      <c r="O54" s="198"/>
      <c r="P54" s="243" t="str">
        <f>IFERROR(__xludf.DUMMYFUNCTION("GOOGLETRANSLATE(A54,""zh-tw"",""zh"")"),"草莓")</f>
        <v>草莓</v>
      </c>
      <c r="Q54" s="440"/>
      <c r="R54" s="457" t="str">
        <f>IFERROR(__xludf.DUMMYFUNCTION("GOOGLETRANSLATE(C54,""zh-tw"",""zh"")"),"草莓")</f>
        <v>草莓</v>
      </c>
      <c r="S54" s="457"/>
      <c r="T54" s="457"/>
      <c r="U54" s="149" t="str">
        <f>IFERROR(__xludf.DUMMYFUNCTION("GOOGLETRANSLATE(A54,""zh-tw"",""es-MX"")"),"fresa")</f>
        <v>fresa</v>
      </c>
      <c r="V54" s="453"/>
      <c r="W54" s="457" t="str">
        <f>IFERROR(__xludf.DUMMYFUNCTION("GOOGLETRANSLATE(C54,""zh-tw"",""es-MX"")"),"fresa")</f>
        <v>fresa</v>
      </c>
      <c r="X54" s="457"/>
      <c r="Y54" s="457"/>
      <c r="Z54" s="458" t="str">
        <f>IFERROR(__xludf.DUMMYFUNCTION("GOOGLETRANSLATE(A54,""zh-tw"",""KO"")"),"딸기")</f>
        <v>딸기</v>
      </c>
      <c r="AA54" s="454"/>
      <c r="AB54" s="198" t="str">
        <f>IFERROR(__xludf.DUMMYFUNCTION("GOOGLETRANSLATE(C54,""zh-tw"",""KO"")"),"딸기")</f>
        <v>딸기</v>
      </c>
      <c r="AC54" s="198"/>
      <c r="AD54" s="198"/>
      <c r="AE54" s="458" t="s">
        <v>10543</v>
      </c>
      <c r="AF54" s="222"/>
      <c r="AG54" s="457" t="s">
        <v>6923</v>
      </c>
      <c r="AH54" s="459"/>
      <c r="AI54" s="459"/>
      <c r="AJ54" s="460" t="s">
        <v>10532</v>
      </c>
      <c r="AK54" s="454"/>
      <c r="AL54" s="167" t="s">
        <v>10532</v>
      </c>
      <c r="AM54" s="198"/>
      <c r="AN54" s="198"/>
      <c r="AO54" s="197" t="s">
        <v>6929</v>
      </c>
      <c r="AP54" s="456"/>
      <c r="AQ54" s="198" t="s">
        <v>6929</v>
      </c>
      <c r="AR54" s="142"/>
      <c r="AS54" s="142"/>
      <c r="AT54" s="149" t="s">
        <v>6932</v>
      </c>
      <c r="AU54" s="461"/>
      <c r="AV54" s="198" t="s">
        <v>6932</v>
      </c>
      <c r="AW54" s="76"/>
      <c r="AX54" s="76"/>
      <c r="AY54" s="149"/>
      <c r="AZ54" s="461"/>
      <c r="BA54" s="198"/>
      <c r="BB54" s="76"/>
      <c r="BC54" s="76"/>
      <c r="BD54" s="76"/>
      <c r="BE54" s="76"/>
      <c r="BF54" s="76"/>
      <c r="BG54" s="76"/>
      <c r="BH54" s="76"/>
    </row>
    <row r="55">
      <c r="A55" s="179" t="s">
        <v>10544</v>
      </c>
      <c r="B55" s="456"/>
      <c r="C55" s="466" t="s">
        <v>10379</v>
      </c>
      <c r="D55" s="466" t="s">
        <v>10545</v>
      </c>
      <c r="E55" s="466" t="s">
        <v>10546</v>
      </c>
      <c r="F55" s="140"/>
      <c r="G55" s="463"/>
      <c r="H55" s="142"/>
      <c r="I55" s="142"/>
      <c r="J55" s="142"/>
      <c r="K55" s="235" t="s">
        <v>10547</v>
      </c>
      <c r="L55" s="450"/>
      <c r="M55" s="167" t="s">
        <v>10383</v>
      </c>
      <c r="N55" s="167" t="s">
        <v>10548</v>
      </c>
      <c r="O55" s="167" t="s">
        <v>10000</v>
      </c>
      <c r="P55" s="243" t="str">
        <f>IFERROR(__xludf.DUMMYFUNCTION("GOOGLETRANSLATE(A55,""zh-tw"",""zh"")"),"烟熏鸡饭团")</f>
        <v>烟熏鸡饭团</v>
      </c>
      <c r="Q55" s="440"/>
      <c r="R55" s="457" t="str">
        <f>IFERROR(__xludf.DUMMYFUNCTION("GOOGLETRANSLATE(C55,""zh-tw"",""zh"")"),"鸡腿肉")</f>
        <v>鸡腿肉</v>
      </c>
      <c r="S55" s="457" t="str">
        <f>IFERROR(__xludf.DUMMYFUNCTION("GOOGLETRANSLATE(D55,""zh-tw"",""zh"")"),"鸡腿肉/白饭")</f>
        <v>鸡腿肉/白饭</v>
      </c>
      <c r="T55" s="457" t="str">
        <f>IFERROR(__xludf.DUMMYFUNCTION("GOOGLETRANSLATE(E55,""zh-tw"",""zh"")"),"白饭")</f>
        <v>白饭</v>
      </c>
      <c r="U55" s="149" t="str">
        <f>IFERROR(__xludf.DUMMYFUNCTION("GOOGLETRANSLATE(A55,""zh-tw"",""es-MX"")"),"Bolas de arroz con pollo ahumado")</f>
        <v>Bolas de arroz con pollo ahumado</v>
      </c>
      <c r="V55" s="456"/>
      <c r="W55" s="457" t="str">
        <f>IFERROR(__xludf.DUMMYFUNCTION("GOOGLETRANSLATE(C55,""zh-tw"",""es-MX"")"),"Muslo de pollo")</f>
        <v>Muslo de pollo</v>
      </c>
      <c r="X55" s="457" t="str">
        <f>IFERROR(__xludf.DUMMYFUNCTION("GOOGLETRANSLATE(D55,""zh-tw"",""es-MX"")"),"Muslo de pollo/arroz blanco")</f>
        <v>Muslo de pollo/arroz blanco</v>
      </c>
      <c r="Y55" s="457" t="str">
        <f>IFERROR(__xludf.DUMMYFUNCTION("GOOGLETRANSLATE(E55,""zh-tw"",""es-MX"")"),"arroz blanco")</f>
        <v>arroz blanco</v>
      </c>
      <c r="Z55" s="460" t="s">
        <v>10549</v>
      </c>
      <c r="AA55" s="456"/>
      <c r="AB55" s="198" t="str">
        <f>IFERROR(__xludf.DUMMYFUNCTION("GOOGLETRANSLATE(C55,""zh-tw"",""KO"")"),"닭다리살")</f>
        <v>닭다리살</v>
      </c>
      <c r="AC55" s="198" t="str">
        <f>IFERROR(__xludf.DUMMYFUNCTION("GOOGLETRANSLATE(D55,""zh-tw"",""KO"")"),"닭다리살/흰쌀밥")</f>
        <v>닭다리살/흰쌀밥</v>
      </c>
      <c r="AD55" s="198" t="str">
        <f>IFERROR(__xludf.DUMMYFUNCTION("GOOGLETRANSLATE(E55,""zh-tw"",""KO"")"),"흰쌀")</f>
        <v>흰쌀</v>
      </c>
      <c r="AE55" s="458" t="s">
        <v>10550</v>
      </c>
      <c r="AF55" s="222"/>
      <c r="AG55" s="457" t="s">
        <v>10551</v>
      </c>
      <c r="AH55" s="457" t="s">
        <v>10552</v>
      </c>
      <c r="AI55" s="457" t="s">
        <v>10004</v>
      </c>
      <c r="AJ55" s="140"/>
      <c r="AK55" s="456"/>
      <c r="AL55" s="142"/>
      <c r="AM55" s="142"/>
      <c r="AN55" s="142"/>
      <c r="AO55" s="165" t="s">
        <v>10553</v>
      </c>
      <c r="AP55" s="450"/>
      <c r="AQ55" s="167" t="s">
        <v>10391</v>
      </c>
      <c r="AR55" s="167" t="s">
        <v>10554</v>
      </c>
      <c r="AS55" s="167" t="s">
        <v>10010</v>
      </c>
      <c r="AT55" s="179" t="s">
        <v>10555</v>
      </c>
      <c r="AU55" s="461"/>
      <c r="AV55" s="167" t="s">
        <v>10393</v>
      </c>
      <c r="AW55" s="167" t="s">
        <v>10556</v>
      </c>
      <c r="AX55" s="198" t="s">
        <v>10013</v>
      </c>
      <c r="AY55" s="179"/>
      <c r="AZ55" s="461"/>
      <c r="BA55" s="167"/>
      <c r="BB55" s="167"/>
      <c r="BC55" s="198"/>
      <c r="BD55" s="198"/>
      <c r="BE55" s="198"/>
      <c r="BF55" s="198"/>
      <c r="BG55" s="198"/>
      <c r="BH55" s="198"/>
    </row>
    <row r="56">
      <c r="A56" s="179" t="s">
        <v>10557</v>
      </c>
      <c r="B56" s="456"/>
      <c r="C56" s="466" t="s">
        <v>10379</v>
      </c>
      <c r="D56" s="466" t="s">
        <v>10558</v>
      </c>
      <c r="E56" s="466" t="s">
        <v>10546</v>
      </c>
      <c r="F56" s="140"/>
      <c r="G56" s="463"/>
      <c r="H56" s="142"/>
      <c r="I56" s="142"/>
      <c r="J56" s="142"/>
      <c r="K56" s="235" t="s">
        <v>10559</v>
      </c>
      <c r="L56" s="456"/>
      <c r="M56" s="167" t="s">
        <v>10383</v>
      </c>
      <c r="N56" s="167" t="s">
        <v>10001</v>
      </c>
      <c r="O56" s="167" t="s">
        <v>10000</v>
      </c>
      <c r="P56" s="243" t="str">
        <f>IFERROR(__xludf.DUMMYFUNCTION("GOOGLETRANSLATE(A56,""zh-tw"",""zh"")"),"鸡肉咖喱饭")</f>
        <v>鸡肉咖喱饭</v>
      </c>
      <c r="Q56" s="440"/>
      <c r="R56" s="457" t="str">
        <f>IFERROR(__xludf.DUMMYFUNCTION("GOOGLETRANSLATE(C56,""zh-tw"",""zh"")"),"鸡腿肉")</f>
        <v>鸡腿肉</v>
      </c>
      <c r="S56" s="457" t="str">
        <f>IFERROR(__xludf.DUMMYFUNCTION("GOOGLETRANSLATE(D56,""zh-tw"",""zh"")"),"咖喱块")</f>
        <v>咖喱块</v>
      </c>
      <c r="T56" s="457" t="str">
        <f>IFERROR(__xludf.DUMMYFUNCTION("GOOGLETRANSLATE(E56,""zh-tw"",""zh"")"),"白饭")</f>
        <v>白饭</v>
      </c>
      <c r="U56" s="149" t="str">
        <f>IFERROR(__xludf.DUMMYFUNCTION("GOOGLETRANSLATE(A56,""zh-tw"",""es-MX"")"),"arroz con pollo al curry")</f>
        <v>arroz con pollo al curry</v>
      </c>
      <c r="V56" s="456"/>
      <c r="W56" s="457" t="str">
        <f>IFERROR(__xludf.DUMMYFUNCTION("GOOGLETRANSLATE(C56,""zh-tw"",""es-MX"")"),"Muslo de pollo")</f>
        <v>Muslo de pollo</v>
      </c>
      <c r="X56" s="457" t="str">
        <f>IFERROR(__xludf.DUMMYFUNCTION("GOOGLETRANSLATE(D56,""zh-tw"",""es-MX"")"),"cubos de curry")</f>
        <v>cubos de curry</v>
      </c>
      <c r="Y56" s="457" t="str">
        <f>IFERROR(__xludf.DUMMYFUNCTION("GOOGLETRANSLATE(E56,""zh-tw"",""es-MX"")"),"arroz blanco")</f>
        <v>arroz blanco</v>
      </c>
      <c r="Z56" s="458" t="str">
        <f>IFERROR(__xludf.DUMMYFUNCTION("GOOGLETRANSLATE(A56,""zh-tw"",""KO"")"),"치킨 카레 라이스")</f>
        <v>치킨 카레 라이스</v>
      </c>
      <c r="AA56" s="456"/>
      <c r="AB56" s="198" t="str">
        <f>IFERROR(__xludf.DUMMYFUNCTION("GOOGLETRANSLATE(C56,""zh-tw"",""KO"")"),"닭다리살")</f>
        <v>닭다리살</v>
      </c>
      <c r="AC56" s="198" t="str">
        <f>IFERROR(__xludf.DUMMYFUNCTION("GOOGLETRANSLATE(D56,""zh-tw"",""KO"")"),"카레 큐브")</f>
        <v>카레 큐브</v>
      </c>
      <c r="AD56" s="198" t="str">
        <f>IFERROR(__xludf.DUMMYFUNCTION("GOOGLETRANSLATE(E56,""zh-tw"",""KO"")"),"흰쌀")</f>
        <v>흰쌀</v>
      </c>
      <c r="AE56" s="458" t="s">
        <v>10560</v>
      </c>
      <c r="AF56" s="222"/>
      <c r="AG56" s="457" t="s">
        <v>10551</v>
      </c>
      <c r="AH56" s="457" t="s">
        <v>10005</v>
      </c>
      <c r="AI56" s="457" t="s">
        <v>10004</v>
      </c>
      <c r="AJ56" s="140"/>
      <c r="AK56" s="456"/>
      <c r="AL56" s="142"/>
      <c r="AM56" s="142"/>
      <c r="AN56" s="142"/>
      <c r="AO56" s="165" t="s">
        <v>10561</v>
      </c>
      <c r="AP56" s="450"/>
      <c r="AQ56" s="167" t="s">
        <v>10391</v>
      </c>
      <c r="AR56" s="167" t="s">
        <v>10011</v>
      </c>
      <c r="AS56" s="167" t="s">
        <v>10010</v>
      </c>
      <c r="AT56" s="179" t="s">
        <v>10562</v>
      </c>
      <c r="AU56" s="461"/>
      <c r="AV56" s="167" t="s">
        <v>10393</v>
      </c>
      <c r="AW56" s="467" t="s">
        <v>10014</v>
      </c>
      <c r="AX56" s="198" t="s">
        <v>10013</v>
      </c>
      <c r="AY56" s="179"/>
      <c r="AZ56" s="461"/>
      <c r="BA56" s="167"/>
      <c r="BB56" s="467"/>
      <c r="BC56" s="198"/>
      <c r="BD56" s="198"/>
      <c r="BE56" s="198"/>
      <c r="BF56" s="198"/>
      <c r="BG56" s="198"/>
      <c r="BH56" s="198"/>
    </row>
    <row r="57">
      <c r="A57" s="179" t="s">
        <v>10563</v>
      </c>
      <c r="B57" s="456"/>
      <c r="C57" s="466" t="s">
        <v>10215</v>
      </c>
      <c r="D57" s="466" t="s">
        <v>10215</v>
      </c>
      <c r="E57" s="466" t="s">
        <v>10215</v>
      </c>
      <c r="F57" s="140"/>
      <c r="G57" s="456"/>
      <c r="H57" s="142"/>
      <c r="I57" s="142"/>
      <c r="J57" s="142"/>
      <c r="K57" s="235" t="s">
        <v>10564</v>
      </c>
      <c r="L57" s="456"/>
      <c r="M57" s="167" t="s">
        <v>10220</v>
      </c>
      <c r="N57" s="167" t="s">
        <v>10220</v>
      </c>
      <c r="O57" s="167" t="s">
        <v>10220</v>
      </c>
      <c r="P57" s="243" t="str">
        <f>IFERROR(__xludf.DUMMYFUNCTION("GOOGLETRANSLATE(A57,""zh-tw"",""zh"")"),"烤胡萝卜串")</f>
        <v>烤胡萝卜串</v>
      </c>
      <c r="Q57" s="440"/>
      <c r="R57" s="457" t="str">
        <f>IFERROR(__xludf.DUMMYFUNCTION("GOOGLETRANSLATE(C57,""zh-tw"",""zh"")"),"胡萝卜")</f>
        <v>胡萝卜</v>
      </c>
      <c r="S57" s="457" t="str">
        <f>IFERROR(__xludf.DUMMYFUNCTION("GOOGLETRANSLATE(D57,""zh-tw"",""zh"")"),"胡萝卜")</f>
        <v>胡萝卜</v>
      </c>
      <c r="T57" s="457" t="str">
        <f>IFERROR(__xludf.DUMMYFUNCTION("GOOGLETRANSLATE(E57,""zh-tw"",""zh"")"),"胡萝卜")</f>
        <v>胡萝卜</v>
      </c>
      <c r="U57" s="149" t="str">
        <f>IFERROR(__xludf.DUMMYFUNCTION("GOOGLETRANSLATE(A57,""zh-tw"",""es-MX"")"),"Brochetas de zanahoria a la parrilla")</f>
        <v>Brochetas de zanahoria a la parrilla</v>
      </c>
      <c r="V57" s="456"/>
      <c r="W57" s="457" t="str">
        <f>IFERROR(__xludf.DUMMYFUNCTION("GOOGLETRANSLATE(C57,""zh-tw"",""es-MX"")"),"zanahoria")</f>
        <v>zanahoria</v>
      </c>
      <c r="X57" s="457" t="str">
        <f>IFERROR(__xludf.DUMMYFUNCTION("GOOGLETRANSLATE(D57,""zh-tw"",""es-MX"")"),"zanahoria")</f>
        <v>zanahoria</v>
      </c>
      <c r="Y57" s="457" t="str">
        <f>IFERROR(__xludf.DUMMYFUNCTION("GOOGLETRANSLATE(E57,""zh-tw"",""es-MX"")"),"zanahoria")</f>
        <v>zanahoria</v>
      </c>
      <c r="Z57" s="458" t="str">
        <f>IFERROR(__xludf.DUMMYFUNCTION("GOOGLETRANSLATE(A57,""zh-tw"",""KO"")"),"구운 당근 꼬치")</f>
        <v>구운 당근 꼬치</v>
      </c>
      <c r="AA57" s="456"/>
      <c r="AB57" s="198" t="str">
        <f>IFERROR(__xludf.DUMMYFUNCTION("GOOGLETRANSLATE(C57,""zh-tw"",""KO"")"),"당근")</f>
        <v>당근</v>
      </c>
      <c r="AC57" s="198" t="str">
        <f>IFERROR(__xludf.DUMMYFUNCTION("GOOGLETRANSLATE(D57,""zh-tw"",""KO"")"),"당근")</f>
        <v>당근</v>
      </c>
      <c r="AD57" s="198" t="str">
        <f>IFERROR(__xludf.DUMMYFUNCTION("GOOGLETRANSLATE(E57,""zh-tw"",""KO"")"),"당근")</f>
        <v>당근</v>
      </c>
      <c r="AE57" s="458" t="s">
        <v>10565</v>
      </c>
      <c r="AF57" s="222"/>
      <c r="AG57" s="457" t="s">
        <v>10223</v>
      </c>
      <c r="AH57" s="457" t="s">
        <v>10223</v>
      </c>
      <c r="AI57" s="457" t="s">
        <v>10223</v>
      </c>
      <c r="AJ57" s="140"/>
      <c r="AK57" s="456"/>
      <c r="AL57" s="142"/>
      <c r="AM57" s="142"/>
      <c r="AN57" s="142"/>
      <c r="AO57" s="165" t="s">
        <v>10566</v>
      </c>
      <c r="AP57" s="450"/>
      <c r="AQ57" s="167" t="s">
        <v>10226</v>
      </c>
      <c r="AR57" s="167" t="s">
        <v>10226</v>
      </c>
      <c r="AS57" s="167" t="s">
        <v>10226</v>
      </c>
      <c r="AT57" s="179" t="s">
        <v>10567</v>
      </c>
      <c r="AU57" s="461"/>
      <c r="AV57" s="167" t="s">
        <v>10227</v>
      </c>
      <c r="AW57" s="167" t="s">
        <v>10227</v>
      </c>
      <c r="AX57" s="167" t="s">
        <v>10227</v>
      </c>
      <c r="AY57" s="179"/>
      <c r="AZ57" s="461"/>
      <c r="BA57" s="167"/>
      <c r="BB57" s="167"/>
      <c r="BC57" s="167"/>
      <c r="BD57" s="167"/>
      <c r="BE57" s="167"/>
      <c r="BF57" s="167"/>
      <c r="BG57" s="167"/>
      <c r="BH57" s="167"/>
    </row>
    <row r="58">
      <c r="A58" s="468" t="s">
        <v>10568</v>
      </c>
      <c r="B58" s="463"/>
      <c r="C58" s="469" t="s">
        <v>10569</v>
      </c>
      <c r="D58" s="470" t="s">
        <v>10570</v>
      </c>
      <c r="E58" s="471"/>
      <c r="F58" s="472" t="s">
        <v>10571</v>
      </c>
      <c r="G58" s="473" t="s">
        <v>10569</v>
      </c>
      <c r="H58" s="469" t="s">
        <v>10569</v>
      </c>
      <c r="I58" s="470" t="s">
        <v>10570</v>
      </c>
      <c r="J58" s="471"/>
      <c r="K58" s="474" t="s">
        <v>10572</v>
      </c>
      <c r="L58" s="463"/>
      <c r="M58" s="469" t="s">
        <v>10573</v>
      </c>
      <c r="N58" s="475" t="s">
        <v>10570</v>
      </c>
      <c r="O58" s="471"/>
      <c r="P58" s="474" t="s">
        <v>10574</v>
      </c>
      <c r="Q58" s="440"/>
      <c r="R58" s="469" t="s">
        <v>10575</v>
      </c>
      <c r="S58" s="469" t="s">
        <v>10570</v>
      </c>
      <c r="T58" s="471"/>
      <c r="U58" s="149" t="str">
        <f>IFERROR(__xludf.DUMMYFUNCTION("GOOGLETRANSLATE(A58,""zh-tw"",""es-MX"")"),"Sushi de tortuga Sakaban")</f>
        <v>Sushi de tortuga Sakaban</v>
      </c>
      <c r="V58" s="456"/>
      <c r="W58" s="457" t="str">
        <f>IFERROR(__xludf.DUMMYFUNCTION("GOOGLETRANSLATE(C58,""zh-tw"",""es-MX"")"),"arroz")</f>
        <v>arroz</v>
      </c>
      <c r="X58" s="457" t="str">
        <f>IFERROR(__xludf.DUMMYFUNCTION("GOOGLETRANSLATE(D58,""zh-tw"",""es-MX"")"),"X△X")</f>
        <v>X△X</v>
      </c>
      <c r="Y58" s="142"/>
      <c r="Z58" s="458" t="str">
        <f>IFERROR(__xludf.DUMMYFUNCTION("GOOGLETRANSLATE(A58,""zh-tw"",""KO"")"),"사카반 거북이 초밥")</f>
        <v>사카반 거북이 초밥</v>
      </c>
      <c r="AA58" s="456"/>
      <c r="AB58" s="198" t="str">
        <f>IFERROR(__xludf.DUMMYFUNCTION("GOOGLETRANSLATE(C58,""zh-tw"",""KO"")"),"쌀")</f>
        <v>쌀</v>
      </c>
      <c r="AC58" s="198" t="str">
        <f>IFERROR(__xludf.DUMMYFUNCTION("GOOGLETRANSLATE(D58,""zh-tw"",""KO"")"),"X△X")</f>
        <v>X△X</v>
      </c>
      <c r="AD58" s="198"/>
      <c r="AE58" s="458" t="s">
        <v>10576</v>
      </c>
      <c r="AF58" s="222"/>
      <c r="AG58" s="457" t="s">
        <v>10004</v>
      </c>
      <c r="AH58" s="476" t="s">
        <v>10570</v>
      </c>
      <c r="AI58" s="459"/>
      <c r="AJ58" s="477" t="s">
        <v>10572</v>
      </c>
      <c r="AK58" s="456"/>
      <c r="AL58" s="478" t="s">
        <v>10577</v>
      </c>
      <c r="AM58" s="479" t="s">
        <v>10570</v>
      </c>
      <c r="AN58" s="142"/>
      <c r="AO58" s="480" t="s">
        <v>10578</v>
      </c>
      <c r="AP58" s="450"/>
      <c r="AQ58" s="479" t="s">
        <v>10579</v>
      </c>
      <c r="AR58" s="479" t="s">
        <v>10570</v>
      </c>
      <c r="AS58" s="198"/>
      <c r="AT58" s="468" t="s">
        <v>10580</v>
      </c>
      <c r="AU58" s="461"/>
      <c r="AV58" s="478" t="s">
        <v>10013</v>
      </c>
      <c r="AW58" s="481" t="s">
        <v>10570</v>
      </c>
      <c r="AX58" s="482"/>
      <c r="AY58" s="483" t="s">
        <v>10581</v>
      </c>
      <c r="AZ58" s="461"/>
      <c r="BA58" s="478" t="s">
        <v>10582</v>
      </c>
      <c r="BB58" s="481" t="s">
        <v>10570</v>
      </c>
      <c r="BC58" s="482"/>
      <c r="BD58" s="142"/>
      <c r="BE58" s="142"/>
      <c r="BF58" s="142"/>
      <c r="BG58" s="142"/>
      <c r="BH58" s="142"/>
    </row>
    <row r="59">
      <c r="A59" s="468" t="s">
        <v>10583</v>
      </c>
      <c r="B59" s="463"/>
      <c r="C59" s="469" t="s">
        <v>10569</v>
      </c>
      <c r="D59" s="470" t="s">
        <v>10570</v>
      </c>
      <c r="E59" s="470" t="s">
        <v>10584</v>
      </c>
      <c r="F59" s="472" t="s">
        <v>10585</v>
      </c>
      <c r="G59" s="473" t="s">
        <v>10569</v>
      </c>
      <c r="H59" s="469" t="s">
        <v>10569</v>
      </c>
      <c r="I59" s="470" t="s">
        <v>10570</v>
      </c>
      <c r="J59" s="470" t="s">
        <v>10586</v>
      </c>
      <c r="K59" s="474" t="s">
        <v>10587</v>
      </c>
      <c r="L59" s="463"/>
      <c r="M59" s="469" t="s">
        <v>10573</v>
      </c>
      <c r="N59" s="475" t="s">
        <v>10570</v>
      </c>
      <c r="O59" s="469" t="s">
        <v>10588</v>
      </c>
      <c r="P59" s="474" t="s">
        <v>10589</v>
      </c>
      <c r="Q59" s="440"/>
      <c r="R59" s="469" t="s">
        <v>10575</v>
      </c>
      <c r="S59" s="469" t="s">
        <v>10570</v>
      </c>
      <c r="T59" s="469" t="s">
        <v>10590</v>
      </c>
      <c r="U59" s="149" t="str">
        <f>IFERROR(__xludf.DUMMYFUNCTION("GOOGLETRANSLATE(A59,""zh-tw"",""es-MX"")"),"Sushi prensado de sashimi de camarones")</f>
        <v>Sushi prensado de sashimi de camarones</v>
      </c>
      <c r="V59" s="456"/>
      <c r="W59" s="457" t="str">
        <f>IFERROR(__xludf.DUMMYFUNCTION("GOOGLETRANSLATE(C59,""zh-tw"",""es-MX"")"),"arroz")</f>
        <v>arroz</v>
      </c>
      <c r="X59" s="457" t="str">
        <f>IFERROR(__xludf.DUMMYFUNCTION("GOOGLETRANSLATE(D59,""zh-tw"",""es-MX"")"),"X△X")</f>
        <v>X△X</v>
      </c>
      <c r="Y59" s="457" t="str">
        <f>IFERROR(__xludf.DUMMYFUNCTION("GOOGLETRANSLATE(E59,""zh-tw"",""es-MX"")"),"camarón")</f>
        <v>camarón</v>
      </c>
      <c r="Z59" s="458" t="str">
        <f>IFERROR(__xludf.DUMMYFUNCTION("GOOGLETRANSLATE(A59,""zh-tw"",""KO"")"),"새우 사시미 프레스 스시")</f>
        <v>새우 사시미 프레스 스시</v>
      </c>
      <c r="AA59" s="456"/>
      <c r="AB59" s="198" t="str">
        <f>IFERROR(__xludf.DUMMYFUNCTION("GOOGLETRANSLATE(C59,""zh-tw"",""KO"")"),"쌀")</f>
        <v>쌀</v>
      </c>
      <c r="AC59" s="198" t="str">
        <f>IFERROR(__xludf.DUMMYFUNCTION("GOOGLETRANSLATE(D59,""zh-tw"",""KO"")"),"X△X")</f>
        <v>X△X</v>
      </c>
      <c r="AD59" s="198" t="str">
        <f>IFERROR(__xludf.DUMMYFUNCTION("GOOGLETRANSLATE(E59,""zh-tw"",""KO"")"),"새우")</f>
        <v>새우</v>
      </c>
      <c r="AE59" s="458" t="s">
        <v>10591</v>
      </c>
      <c r="AF59" s="222"/>
      <c r="AG59" s="457" t="s">
        <v>10004</v>
      </c>
      <c r="AH59" s="476" t="s">
        <v>10570</v>
      </c>
      <c r="AI59" s="457" t="s">
        <v>10592</v>
      </c>
      <c r="AJ59" s="477" t="s">
        <v>10593</v>
      </c>
      <c r="AK59" s="456"/>
      <c r="AL59" s="478" t="s">
        <v>10577</v>
      </c>
      <c r="AM59" s="479" t="s">
        <v>10570</v>
      </c>
      <c r="AN59" s="478" t="s">
        <v>10594</v>
      </c>
      <c r="AO59" s="480" t="s">
        <v>10595</v>
      </c>
      <c r="AP59" s="450"/>
      <c r="AQ59" s="479" t="s">
        <v>10596</v>
      </c>
      <c r="AR59" s="479" t="s">
        <v>10570</v>
      </c>
      <c r="AS59" s="479" t="s">
        <v>10597</v>
      </c>
      <c r="AT59" s="468" t="s">
        <v>10598</v>
      </c>
      <c r="AU59" s="461"/>
      <c r="AV59" s="478" t="s">
        <v>10013</v>
      </c>
      <c r="AW59" s="481" t="s">
        <v>10570</v>
      </c>
      <c r="AX59" s="481" t="s">
        <v>10599</v>
      </c>
      <c r="AY59" s="483" t="s">
        <v>10600</v>
      </c>
      <c r="AZ59" s="461"/>
      <c r="BA59" s="478" t="s">
        <v>10582</v>
      </c>
      <c r="BB59" s="481" t="s">
        <v>10570</v>
      </c>
      <c r="BC59" s="481" t="s">
        <v>10601</v>
      </c>
      <c r="BD59" s="142"/>
      <c r="BE59" s="142"/>
      <c r="BF59" s="142"/>
      <c r="BG59" s="142"/>
      <c r="BH59" s="142"/>
    </row>
    <row r="60">
      <c r="A60" s="468" t="s">
        <v>10602</v>
      </c>
      <c r="B60" s="463"/>
      <c r="C60" s="469" t="s">
        <v>10569</v>
      </c>
      <c r="D60" s="470" t="s">
        <v>10570</v>
      </c>
      <c r="E60" s="470" t="s">
        <v>10603</v>
      </c>
      <c r="F60" s="472" t="s">
        <v>10604</v>
      </c>
      <c r="G60" s="473" t="s">
        <v>10569</v>
      </c>
      <c r="H60" s="469" t="s">
        <v>10569</v>
      </c>
      <c r="I60" s="470" t="s">
        <v>10570</v>
      </c>
      <c r="J60" s="470" t="s">
        <v>10603</v>
      </c>
      <c r="K60" s="474" t="s">
        <v>10605</v>
      </c>
      <c r="L60" s="463"/>
      <c r="M60" s="469" t="s">
        <v>10573</v>
      </c>
      <c r="N60" s="475" t="s">
        <v>10570</v>
      </c>
      <c r="O60" s="469" t="s">
        <v>10606</v>
      </c>
      <c r="P60" s="474" t="s">
        <v>10607</v>
      </c>
      <c r="Q60" s="440"/>
      <c r="R60" s="469" t="s">
        <v>10575</v>
      </c>
      <c r="S60" s="469" t="s">
        <v>10570</v>
      </c>
      <c r="T60" s="469" t="s">
        <v>10603</v>
      </c>
      <c r="U60" s="149" t="str">
        <f>IFERROR(__xludf.DUMMYFUNCTION("GOOGLETRANSLATE(A60,""zh-tw"",""es-MX"")"),"Sushi prensado de chuleta de cerdo")</f>
        <v>Sushi prensado de chuleta de cerdo</v>
      </c>
      <c r="V60" s="456"/>
      <c r="W60" s="457" t="str">
        <f>IFERROR(__xludf.DUMMYFUNCTION("GOOGLETRANSLATE(C60,""zh-tw"",""es-MX"")"),"arroz")</f>
        <v>arroz</v>
      </c>
      <c r="X60" s="457" t="str">
        <f>IFERROR(__xludf.DUMMYFUNCTION("GOOGLETRANSLATE(D60,""zh-tw"",""es-MX"")"),"X△X")</f>
        <v>X△X</v>
      </c>
      <c r="Y60" s="457" t="str">
        <f>IFERROR(__xludf.DUMMYFUNCTION("GOOGLETRANSLATE(E60,""zh-tw"",""es-MX"")"),"Carne")</f>
        <v>Carne</v>
      </c>
      <c r="Z60" s="458" t="str">
        <f>IFERROR(__xludf.DUMMYFUNCTION("GOOGLETRANSLATE(A60,""zh-tw"",""KO"")"),"돈까스로 눌러 만든 초밥")</f>
        <v>돈까스로 눌러 만든 초밥</v>
      </c>
      <c r="AA60" s="456"/>
      <c r="AB60" s="198" t="str">
        <f>IFERROR(__xludf.DUMMYFUNCTION("GOOGLETRANSLATE(C60,""zh-tw"",""KO"")"),"쌀")</f>
        <v>쌀</v>
      </c>
      <c r="AC60" s="198" t="str">
        <f>IFERROR(__xludf.DUMMYFUNCTION("GOOGLETRANSLATE(D60,""zh-tw"",""KO"")"),"X△X")</f>
        <v>X△X</v>
      </c>
      <c r="AD60" s="198" t="str">
        <f>IFERROR(__xludf.DUMMYFUNCTION("GOOGLETRANSLATE(E60,""zh-tw"",""KO"")"),"고기")</f>
        <v>고기</v>
      </c>
      <c r="AE60" s="458" t="s">
        <v>10608</v>
      </c>
      <c r="AF60" s="222"/>
      <c r="AG60" s="457" t="s">
        <v>10004</v>
      </c>
      <c r="AH60" s="476" t="s">
        <v>10570</v>
      </c>
      <c r="AI60" s="457" t="s">
        <v>10609</v>
      </c>
      <c r="AJ60" s="477" t="s">
        <v>10610</v>
      </c>
      <c r="AK60" s="456"/>
      <c r="AL60" s="478" t="s">
        <v>10577</v>
      </c>
      <c r="AM60" s="479" t="s">
        <v>10570</v>
      </c>
      <c r="AN60" s="478" t="s">
        <v>10611</v>
      </c>
      <c r="AO60" s="140"/>
      <c r="AP60" s="456"/>
      <c r="AQ60" s="479" t="s">
        <v>10596</v>
      </c>
      <c r="AR60" s="479" t="s">
        <v>10570</v>
      </c>
      <c r="AS60" s="479" t="s">
        <v>10612</v>
      </c>
      <c r="AT60" s="468" t="s">
        <v>10613</v>
      </c>
      <c r="AU60" s="461"/>
      <c r="AV60" s="478" t="s">
        <v>10013</v>
      </c>
      <c r="AW60" s="481" t="s">
        <v>10570</v>
      </c>
      <c r="AX60" s="481" t="s">
        <v>10614</v>
      </c>
      <c r="AY60" s="483" t="s">
        <v>10615</v>
      </c>
      <c r="AZ60" s="461"/>
      <c r="BA60" s="478" t="s">
        <v>10582</v>
      </c>
      <c r="BB60" s="481" t="s">
        <v>10570</v>
      </c>
      <c r="BC60" s="481" t="s">
        <v>10616</v>
      </c>
      <c r="BD60" s="142"/>
      <c r="BE60" s="142"/>
      <c r="BF60" s="142"/>
      <c r="BG60" s="142"/>
      <c r="BH60" s="142"/>
    </row>
    <row r="61">
      <c r="A61" s="140"/>
      <c r="B61" s="456"/>
      <c r="C61" s="142"/>
      <c r="D61" s="142"/>
      <c r="E61" s="142"/>
      <c r="F61" s="140"/>
      <c r="G61" s="456"/>
      <c r="H61" s="142"/>
      <c r="I61" s="142"/>
      <c r="J61" s="142"/>
      <c r="K61" s="125"/>
      <c r="L61" s="456"/>
      <c r="M61" s="142"/>
      <c r="N61" s="142"/>
      <c r="O61" s="142"/>
      <c r="P61" s="125"/>
      <c r="Q61" s="450"/>
      <c r="R61" s="142"/>
      <c r="S61" s="142"/>
      <c r="T61" s="142"/>
      <c r="U61" s="140"/>
      <c r="V61" s="456"/>
      <c r="W61" s="142"/>
      <c r="X61" s="142"/>
      <c r="Y61" s="142"/>
      <c r="Z61" s="140"/>
      <c r="AA61" s="456"/>
      <c r="AB61" s="142"/>
      <c r="AC61" s="142"/>
      <c r="AD61" s="142"/>
      <c r="AE61" s="140"/>
      <c r="AF61" s="456"/>
      <c r="AG61" s="142"/>
      <c r="AH61" s="142"/>
      <c r="AI61" s="142"/>
      <c r="AJ61" s="140"/>
      <c r="AK61" s="456"/>
      <c r="AL61" s="142"/>
      <c r="AM61" s="142"/>
      <c r="AN61" s="142"/>
      <c r="AO61" s="140"/>
      <c r="AP61" s="456"/>
      <c r="AQ61" s="142"/>
      <c r="AR61" s="142"/>
      <c r="AS61" s="142"/>
      <c r="AT61" s="142"/>
      <c r="AU61" s="142"/>
      <c r="AV61" s="142"/>
      <c r="AW61" s="142"/>
      <c r="AX61" s="142"/>
      <c r="AY61" s="142"/>
      <c r="AZ61" s="142"/>
      <c r="BA61" s="142"/>
      <c r="BB61" s="142"/>
      <c r="BC61" s="142"/>
      <c r="BD61" s="142"/>
      <c r="BE61" s="142"/>
      <c r="BF61" s="142"/>
      <c r="BG61" s="142"/>
      <c r="BH61" s="142"/>
    </row>
    <row r="62">
      <c r="A62" s="140"/>
      <c r="B62" s="456"/>
      <c r="C62" s="142"/>
      <c r="D62" s="142"/>
      <c r="E62" s="142"/>
      <c r="F62" s="140"/>
      <c r="G62" s="456"/>
      <c r="H62" s="142"/>
      <c r="I62" s="142"/>
      <c r="J62" s="142"/>
      <c r="K62" s="125"/>
      <c r="L62" s="456"/>
      <c r="M62" s="142"/>
      <c r="N62" s="142"/>
      <c r="O62" s="142"/>
      <c r="P62" s="125"/>
      <c r="Q62" s="450"/>
      <c r="R62" s="142"/>
      <c r="S62" s="142"/>
      <c r="T62" s="142"/>
      <c r="U62" s="140"/>
      <c r="V62" s="456"/>
      <c r="W62" s="142"/>
      <c r="X62" s="142"/>
      <c r="Y62" s="142"/>
      <c r="Z62" s="140"/>
      <c r="AA62" s="456"/>
      <c r="AB62" s="142"/>
      <c r="AC62" s="142"/>
      <c r="AD62" s="142"/>
      <c r="AE62" s="140"/>
      <c r="AF62" s="456"/>
      <c r="AG62" s="142"/>
      <c r="AH62" s="142"/>
      <c r="AI62" s="142"/>
      <c r="AJ62" s="140"/>
      <c r="AK62" s="456"/>
      <c r="AL62" s="142"/>
      <c r="AM62" s="142"/>
      <c r="AN62" s="142"/>
      <c r="AO62" s="140"/>
      <c r="AP62" s="456"/>
      <c r="AQ62" s="142"/>
      <c r="AR62" s="142"/>
      <c r="AS62" s="142"/>
      <c r="AT62" s="142"/>
      <c r="AU62" s="142"/>
      <c r="AV62" s="142"/>
      <c r="AW62" s="142"/>
      <c r="AX62" s="142"/>
      <c r="AY62" s="142"/>
      <c r="AZ62" s="142"/>
      <c r="BA62" s="142"/>
      <c r="BB62" s="142"/>
      <c r="BC62" s="142"/>
      <c r="BD62" s="142"/>
      <c r="BE62" s="142"/>
      <c r="BF62" s="142"/>
      <c r="BG62" s="142"/>
      <c r="BH62" s="142"/>
    </row>
    <row r="63">
      <c r="A63" s="140"/>
      <c r="B63" s="456"/>
      <c r="C63" s="142"/>
      <c r="D63" s="142"/>
      <c r="E63" s="142"/>
      <c r="F63" s="140"/>
      <c r="G63" s="456"/>
      <c r="H63" s="142"/>
      <c r="I63" s="142"/>
      <c r="J63" s="142"/>
      <c r="K63" s="125"/>
      <c r="L63" s="456"/>
      <c r="M63" s="142"/>
      <c r="N63" s="142"/>
      <c r="O63" s="142"/>
      <c r="P63" s="125"/>
      <c r="Q63" s="450"/>
      <c r="R63" s="142"/>
      <c r="S63" s="142"/>
      <c r="T63" s="142"/>
      <c r="U63" s="140"/>
      <c r="V63" s="456"/>
      <c r="W63" s="142"/>
      <c r="X63" s="142"/>
      <c r="Y63" s="142"/>
      <c r="Z63" s="140"/>
      <c r="AA63" s="456"/>
      <c r="AB63" s="142"/>
      <c r="AC63" s="142"/>
      <c r="AD63" s="142"/>
      <c r="AE63" s="140"/>
      <c r="AF63" s="456"/>
      <c r="AG63" s="142"/>
      <c r="AH63" s="142"/>
      <c r="AI63" s="142"/>
      <c r="AJ63" s="140"/>
      <c r="AK63" s="456"/>
      <c r="AL63" s="142"/>
      <c r="AM63" s="142"/>
      <c r="AN63" s="142"/>
      <c r="AO63" s="140"/>
      <c r="AP63" s="456"/>
      <c r="AQ63" s="142"/>
      <c r="AR63" s="142"/>
      <c r="AS63" s="142"/>
      <c r="AT63" s="142"/>
      <c r="AU63" s="142"/>
      <c r="AV63" s="142"/>
      <c r="AW63" s="142"/>
      <c r="AX63" s="142"/>
      <c r="AY63" s="142"/>
      <c r="AZ63" s="142"/>
      <c r="BA63" s="142"/>
      <c r="BB63" s="142"/>
      <c r="BC63" s="142"/>
      <c r="BD63" s="142"/>
      <c r="BE63" s="142"/>
      <c r="BF63" s="142"/>
      <c r="BG63" s="142"/>
      <c r="BH63" s="142"/>
    </row>
    <row r="64">
      <c r="A64" s="140"/>
      <c r="B64" s="456"/>
      <c r="C64" s="142"/>
      <c r="D64" s="142"/>
      <c r="E64" s="142"/>
      <c r="F64" s="140"/>
      <c r="G64" s="456"/>
      <c r="H64" s="142"/>
      <c r="I64" s="142"/>
      <c r="J64" s="142"/>
      <c r="K64" s="125"/>
      <c r="L64" s="456"/>
      <c r="M64" s="142"/>
      <c r="N64" s="142"/>
      <c r="O64" s="142"/>
      <c r="P64" s="125"/>
      <c r="Q64" s="450"/>
      <c r="R64" s="142"/>
      <c r="S64" s="142"/>
      <c r="T64" s="142"/>
      <c r="U64" s="140"/>
      <c r="V64" s="456"/>
      <c r="W64" s="142"/>
      <c r="X64" s="142"/>
      <c r="Y64" s="142"/>
      <c r="Z64" s="140"/>
      <c r="AA64" s="456"/>
      <c r="AB64" s="142"/>
      <c r="AC64" s="142"/>
      <c r="AD64" s="142"/>
      <c r="AE64" s="140"/>
      <c r="AF64" s="456"/>
      <c r="AG64" s="142"/>
      <c r="AH64" s="142"/>
      <c r="AI64" s="142"/>
      <c r="AJ64" s="140"/>
      <c r="AK64" s="456"/>
      <c r="AL64" s="142"/>
      <c r="AM64" s="142"/>
      <c r="AN64" s="142"/>
      <c r="AO64" s="140"/>
      <c r="AP64" s="456"/>
      <c r="AQ64" s="142"/>
      <c r="AR64" s="142"/>
      <c r="AS64" s="142"/>
      <c r="AT64" s="142"/>
      <c r="AU64" s="142"/>
      <c r="AV64" s="142"/>
      <c r="AW64" s="142"/>
      <c r="AX64" s="142"/>
      <c r="AY64" s="142"/>
      <c r="AZ64" s="142"/>
      <c r="BA64" s="142"/>
      <c r="BB64" s="142"/>
      <c r="BC64" s="142"/>
      <c r="BD64" s="142"/>
      <c r="BE64" s="142"/>
      <c r="BF64" s="142"/>
      <c r="BG64" s="142"/>
      <c r="BH64" s="142"/>
    </row>
    <row r="65">
      <c r="A65" s="140"/>
      <c r="B65" s="456"/>
      <c r="C65" s="142"/>
      <c r="D65" s="142"/>
      <c r="E65" s="142"/>
      <c r="F65" s="140"/>
      <c r="G65" s="456"/>
      <c r="H65" s="142"/>
      <c r="I65" s="142"/>
      <c r="J65" s="142"/>
      <c r="K65" s="125"/>
      <c r="L65" s="456"/>
      <c r="M65" s="142"/>
      <c r="N65" s="142"/>
      <c r="O65" s="142"/>
      <c r="P65" s="125"/>
      <c r="Q65" s="450"/>
      <c r="R65" s="142"/>
      <c r="S65" s="142"/>
      <c r="T65" s="142"/>
      <c r="U65" s="140"/>
      <c r="V65" s="456"/>
      <c r="W65" s="142"/>
      <c r="X65" s="142"/>
      <c r="Y65" s="142"/>
      <c r="Z65" s="140"/>
      <c r="AA65" s="456"/>
      <c r="AB65" s="142"/>
      <c r="AC65" s="142"/>
      <c r="AD65" s="142"/>
      <c r="AE65" s="140"/>
      <c r="AF65" s="456"/>
      <c r="AG65" s="142"/>
      <c r="AH65" s="142"/>
      <c r="AI65" s="142"/>
      <c r="AJ65" s="140"/>
      <c r="AK65" s="456"/>
      <c r="AL65" s="142"/>
      <c r="AM65" s="142"/>
      <c r="AN65" s="142"/>
      <c r="AO65" s="140"/>
      <c r="AP65" s="456"/>
      <c r="AQ65" s="142"/>
      <c r="AR65" s="142"/>
      <c r="AS65" s="142"/>
      <c r="AT65" s="142"/>
      <c r="AU65" s="142"/>
      <c r="AV65" s="142"/>
      <c r="AW65" s="142"/>
      <c r="AX65" s="142"/>
      <c r="AY65" s="142"/>
      <c r="AZ65" s="142"/>
      <c r="BA65" s="142"/>
      <c r="BB65" s="142"/>
      <c r="BC65" s="142"/>
      <c r="BD65" s="142"/>
      <c r="BE65" s="142"/>
      <c r="BF65" s="142"/>
      <c r="BG65" s="142"/>
      <c r="BH65" s="142"/>
    </row>
    <row r="66">
      <c r="A66" s="140"/>
      <c r="B66" s="456"/>
      <c r="C66" s="142"/>
      <c r="D66" s="142"/>
      <c r="E66" s="142"/>
      <c r="F66" s="140"/>
      <c r="G66" s="456"/>
      <c r="H66" s="142"/>
      <c r="I66" s="142"/>
      <c r="J66" s="142"/>
      <c r="K66" s="125"/>
      <c r="L66" s="456"/>
      <c r="M66" s="142"/>
      <c r="N66" s="142"/>
      <c r="O66" s="142"/>
      <c r="P66" s="125"/>
      <c r="Q66" s="450"/>
      <c r="R66" s="142"/>
      <c r="S66" s="142"/>
      <c r="T66" s="142"/>
      <c r="U66" s="140"/>
      <c r="V66" s="456"/>
      <c r="W66" s="142"/>
      <c r="X66" s="142"/>
      <c r="Y66" s="142"/>
      <c r="Z66" s="140"/>
      <c r="AA66" s="456"/>
      <c r="AB66" s="142"/>
      <c r="AC66" s="142"/>
      <c r="AD66" s="142"/>
      <c r="AE66" s="140"/>
      <c r="AF66" s="456"/>
      <c r="AG66" s="142"/>
      <c r="AH66" s="142"/>
      <c r="AI66" s="142"/>
      <c r="AJ66" s="140"/>
      <c r="AK66" s="456"/>
      <c r="AL66" s="142"/>
      <c r="AM66" s="142"/>
      <c r="AN66" s="142"/>
      <c r="AO66" s="140"/>
      <c r="AP66" s="456"/>
      <c r="AQ66" s="142"/>
      <c r="AR66" s="142"/>
      <c r="AS66" s="142"/>
      <c r="AT66" s="142"/>
      <c r="AU66" s="142"/>
      <c r="AV66" s="142"/>
      <c r="AW66" s="142"/>
      <c r="AX66" s="142"/>
      <c r="AY66" s="142"/>
      <c r="AZ66" s="142"/>
      <c r="BA66" s="142"/>
      <c r="BB66" s="142"/>
      <c r="BC66" s="142"/>
      <c r="BD66" s="142"/>
      <c r="BE66" s="142"/>
      <c r="BF66" s="142"/>
      <c r="BG66" s="142"/>
      <c r="BH66" s="142"/>
    </row>
    <row r="67">
      <c r="A67" s="140"/>
      <c r="B67" s="456"/>
      <c r="C67" s="142"/>
      <c r="D67" s="142"/>
      <c r="E67" s="142"/>
      <c r="F67" s="140"/>
      <c r="G67" s="456"/>
      <c r="H67" s="142"/>
      <c r="I67" s="142"/>
      <c r="J67" s="142"/>
      <c r="K67" s="125"/>
      <c r="L67" s="456"/>
      <c r="M67" s="142"/>
      <c r="N67" s="142"/>
      <c r="O67" s="142"/>
      <c r="P67" s="125"/>
      <c r="Q67" s="450"/>
      <c r="R67" s="142"/>
      <c r="S67" s="142"/>
      <c r="T67" s="142"/>
      <c r="U67" s="140"/>
      <c r="V67" s="456"/>
      <c r="W67" s="142"/>
      <c r="X67" s="142"/>
      <c r="Y67" s="142"/>
      <c r="Z67" s="140"/>
      <c r="AA67" s="456"/>
      <c r="AB67" s="142"/>
      <c r="AC67" s="142"/>
      <c r="AD67" s="142"/>
      <c r="AE67" s="140"/>
      <c r="AF67" s="456"/>
      <c r="AG67" s="142"/>
      <c r="AH67" s="142"/>
      <c r="AI67" s="142"/>
      <c r="AJ67" s="140"/>
      <c r="AK67" s="456"/>
      <c r="AL67" s="142"/>
      <c r="AM67" s="142"/>
      <c r="AN67" s="142"/>
      <c r="AO67" s="140"/>
      <c r="AP67" s="456"/>
      <c r="AQ67" s="142"/>
      <c r="AR67" s="142"/>
      <c r="AS67" s="142"/>
      <c r="AT67" s="142"/>
      <c r="AU67" s="142"/>
      <c r="AV67" s="142"/>
      <c r="AW67" s="142"/>
      <c r="AX67" s="142"/>
      <c r="AY67" s="142"/>
      <c r="AZ67" s="142"/>
      <c r="BA67" s="142"/>
      <c r="BB67" s="142"/>
      <c r="BC67" s="142"/>
      <c r="BD67" s="142"/>
      <c r="BE67" s="142"/>
      <c r="BF67" s="142"/>
      <c r="BG67" s="142"/>
      <c r="BH67" s="142"/>
    </row>
    <row r="68">
      <c r="A68" s="140"/>
      <c r="B68" s="456"/>
      <c r="C68" s="142"/>
      <c r="D68" s="142"/>
      <c r="E68" s="142"/>
      <c r="F68" s="140"/>
      <c r="G68" s="456"/>
      <c r="H68" s="142"/>
      <c r="I68" s="142"/>
      <c r="J68" s="142"/>
      <c r="K68" s="125"/>
      <c r="L68" s="456"/>
      <c r="M68" s="142"/>
      <c r="N68" s="142"/>
      <c r="O68" s="142"/>
      <c r="P68" s="125"/>
      <c r="Q68" s="450"/>
      <c r="R68" s="142"/>
      <c r="S68" s="142"/>
      <c r="T68" s="142"/>
      <c r="U68" s="140"/>
      <c r="V68" s="456"/>
      <c r="W68" s="142"/>
      <c r="X68" s="142"/>
      <c r="Y68" s="142"/>
      <c r="Z68" s="140"/>
      <c r="AA68" s="456"/>
      <c r="AB68" s="142"/>
      <c r="AC68" s="142"/>
      <c r="AD68" s="142"/>
      <c r="AE68" s="140"/>
      <c r="AF68" s="456"/>
      <c r="AG68" s="142"/>
      <c r="AH68" s="142"/>
      <c r="AI68" s="142"/>
      <c r="AJ68" s="140"/>
      <c r="AK68" s="456"/>
      <c r="AL68" s="142"/>
      <c r="AM68" s="142"/>
      <c r="AN68" s="142"/>
      <c r="AO68" s="140"/>
      <c r="AP68" s="456"/>
      <c r="AQ68" s="142"/>
      <c r="AR68" s="142"/>
      <c r="AS68" s="142"/>
      <c r="AT68" s="142"/>
      <c r="AU68" s="142"/>
      <c r="AV68" s="142"/>
      <c r="AW68" s="142"/>
      <c r="AX68" s="142"/>
      <c r="AY68" s="142"/>
      <c r="AZ68" s="142"/>
      <c r="BA68" s="142"/>
      <c r="BB68" s="142"/>
      <c r="BC68" s="142"/>
      <c r="BD68" s="142"/>
      <c r="BE68" s="142"/>
      <c r="BF68" s="142"/>
      <c r="BG68" s="142"/>
      <c r="BH68" s="142"/>
    </row>
    <row r="69">
      <c r="A69" s="140"/>
      <c r="B69" s="456"/>
      <c r="C69" s="142"/>
      <c r="D69" s="142"/>
      <c r="E69" s="142"/>
      <c r="F69" s="140"/>
      <c r="G69" s="456"/>
      <c r="H69" s="142"/>
      <c r="I69" s="142"/>
      <c r="J69" s="142"/>
      <c r="K69" s="125"/>
      <c r="L69" s="456"/>
      <c r="M69" s="142"/>
      <c r="N69" s="142"/>
      <c r="O69" s="142"/>
      <c r="P69" s="125"/>
      <c r="Q69" s="450"/>
      <c r="R69" s="142"/>
      <c r="S69" s="142"/>
      <c r="T69" s="142"/>
      <c r="U69" s="140"/>
      <c r="V69" s="456"/>
      <c r="W69" s="142"/>
      <c r="X69" s="142"/>
      <c r="Y69" s="142"/>
      <c r="Z69" s="140"/>
      <c r="AA69" s="456"/>
      <c r="AB69" s="142"/>
      <c r="AC69" s="142"/>
      <c r="AD69" s="142"/>
      <c r="AE69" s="140"/>
      <c r="AF69" s="456"/>
      <c r="AG69" s="142"/>
      <c r="AH69" s="142"/>
      <c r="AI69" s="142"/>
      <c r="AJ69" s="140"/>
      <c r="AK69" s="456"/>
      <c r="AL69" s="142"/>
      <c r="AM69" s="142"/>
      <c r="AN69" s="142"/>
      <c r="AO69" s="140"/>
      <c r="AP69" s="456"/>
      <c r="AQ69" s="142"/>
      <c r="AR69" s="142"/>
      <c r="AS69" s="142"/>
      <c r="AT69" s="142"/>
      <c r="AU69" s="142"/>
      <c r="AV69" s="142"/>
      <c r="AW69" s="142"/>
      <c r="AX69" s="142"/>
      <c r="AY69" s="142"/>
      <c r="AZ69" s="142"/>
      <c r="BA69" s="142"/>
      <c r="BB69" s="142"/>
      <c r="BC69" s="142"/>
      <c r="BD69" s="142"/>
      <c r="BE69" s="142"/>
      <c r="BF69" s="142"/>
      <c r="BG69" s="142"/>
      <c r="BH69" s="142"/>
    </row>
    <row r="70">
      <c r="A70" s="140"/>
      <c r="B70" s="456"/>
      <c r="C70" s="142"/>
      <c r="D70" s="142"/>
      <c r="E70" s="142"/>
      <c r="F70" s="140"/>
      <c r="G70" s="456"/>
      <c r="H70" s="142"/>
      <c r="I70" s="142"/>
      <c r="J70" s="142"/>
      <c r="K70" s="125"/>
      <c r="L70" s="456"/>
      <c r="M70" s="142"/>
      <c r="N70" s="142"/>
      <c r="O70" s="142"/>
      <c r="P70" s="125"/>
      <c r="Q70" s="450"/>
      <c r="R70" s="142"/>
      <c r="S70" s="142"/>
      <c r="T70" s="142"/>
      <c r="U70" s="140"/>
      <c r="V70" s="456"/>
      <c r="W70" s="142"/>
      <c r="X70" s="142"/>
      <c r="Y70" s="142"/>
      <c r="Z70" s="140"/>
      <c r="AA70" s="456"/>
      <c r="AB70" s="142"/>
      <c r="AC70" s="142"/>
      <c r="AD70" s="142"/>
      <c r="AE70" s="140"/>
      <c r="AF70" s="456"/>
      <c r="AG70" s="142"/>
      <c r="AH70" s="142"/>
      <c r="AI70" s="142"/>
      <c r="AJ70" s="140"/>
      <c r="AK70" s="456"/>
      <c r="AL70" s="142"/>
      <c r="AM70" s="142"/>
      <c r="AN70" s="142"/>
      <c r="AO70" s="140"/>
      <c r="AP70" s="456"/>
      <c r="AQ70" s="142"/>
      <c r="AR70" s="142"/>
      <c r="AS70" s="142"/>
      <c r="AT70" s="142"/>
      <c r="AU70" s="142"/>
      <c r="AV70" s="142"/>
      <c r="AW70" s="142"/>
      <c r="AX70" s="142"/>
      <c r="AY70" s="142"/>
      <c r="AZ70" s="142"/>
      <c r="BA70" s="142"/>
      <c r="BB70" s="142"/>
      <c r="BC70" s="142"/>
      <c r="BD70" s="142"/>
      <c r="BE70" s="142"/>
      <c r="BF70" s="142"/>
      <c r="BG70" s="142"/>
      <c r="BH70" s="142"/>
    </row>
    <row r="71">
      <c r="A71" s="140"/>
      <c r="B71" s="456"/>
      <c r="C71" s="142"/>
      <c r="D71" s="142"/>
      <c r="E71" s="142"/>
      <c r="F71" s="140"/>
      <c r="G71" s="456"/>
      <c r="H71" s="142"/>
      <c r="I71" s="142"/>
      <c r="J71" s="142"/>
      <c r="K71" s="125"/>
      <c r="L71" s="456"/>
      <c r="M71" s="142"/>
      <c r="N71" s="142"/>
      <c r="O71" s="142"/>
      <c r="P71" s="125"/>
      <c r="Q71" s="450"/>
      <c r="R71" s="142"/>
      <c r="S71" s="142"/>
      <c r="T71" s="142"/>
      <c r="U71" s="140"/>
      <c r="V71" s="456"/>
      <c r="W71" s="142"/>
      <c r="X71" s="142"/>
      <c r="Y71" s="142"/>
      <c r="Z71" s="140"/>
      <c r="AA71" s="456"/>
      <c r="AB71" s="142"/>
      <c r="AC71" s="142"/>
      <c r="AD71" s="142"/>
      <c r="AE71" s="140"/>
      <c r="AF71" s="456"/>
      <c r="AG71" s="142"/>
      <c r="AH71" s="142"/>
      <c r="AI71" s="142"/>
      <c r="AJ71" s="140"/>
      <c r="AK71" s="456"/>
      <c r="AL71" s="142"/>
      <c r="AM71" s="142"/>
      <c r="AN71" s="142"/>
      <c r="AO71" s="140"/>
      <c r="AP71" s="456"/>
      <c r="AQ71" s="142"/>
      <c r="AR71" s="142"/>
      <c r="AS71" s="142"/>
      <c r="AT71" s="142"/>
      <c r="AU71" s="142"/>
      <c r="AV71" s="142"/>
      <c r="AW71" s="142"/>
      <c r="AX71" s="142"/>
      <c r="AY71" s="142"/>
      <c r="AZ71" s="142"/>
      <c r="BA71" s="142"/>
      <c r="BB71" s="142"/>
      <c r="BC71" s="142"/>
      <c r="BD71" s="142"/>
      <c r="BE71" s="142"/>
      <c r="BF71" s="142"/>
      <c r="BG71" s="142"/>
      <c r="BH71" s="142"/>
    </row>
    <row r="72">
      <c r="A72" s="140"/>
      <c r="B72" s="456"/>
      <c r="C72" s="142"/>
      <c r="D72" s="142"/>
      <c r="E72" s="142"/>
      <c r="F72" s="140"/>
      <c r="G72" s="456"/>
      <c r="H72" s="142"/>
      <c r="I72" s="142"/>
      <c r="J72" s="142"/>
      <c r="K72" s="125"/>
      <c r="L72" s="456"/>
      <c r="M72" s="142"/>
      <c r="N72" s="142"/>
      <c r="O72" s="142"/>
      <c r="P72" s="125"/>
      <c r="Q72" s="450"/>
      <c r="R72" s="142"/>
      <c r="S72" s="142"/>
      <c r="T72" s="142"/>
      <c r="U72" s="140"/>
      <c r="V72" s="456"/>
      <c r="W72" s="142"/>
      <c r="X72" s="142"/>
      <c r="Y72" s="142"/>
      <c r="Z72" s="140"/>
      <c r="AA72" s="456"/>
      <c r="AB72" s="142"/>
      <c r="AC72" s="142"/>
      <c r="AD72" s="142"/>
      <c r="AE72" s="140"/>
      <c r="AF72" s="456"/>
      <c r="AG72" s="142"/>
      <c r="AH72" s="142"/>
      <c r="AI72" s="142"/>
      <c r="AJ72" s="140"/>
      <c r="AK72" s="456"/>
      <c r="AL72" s="142"/>
      <c r="AM72" s="142"/>
      <c r="AN72" s="142"/>
      <c r="AO72" s="140"/>
      <c r="AP72" s="456"/>
      <c r="AQ72" s="142"/>
      <c r="AR72" s="142"/>
      <c r="AS72" s="142"/>
      <c r="AT72" s="142"/>
      <c r="AU72" s="142"/>
      <c r="AV72" s="142"/>
      <c r="AW72" s="142"/>
      <c r="AX72" s="142"/>
      <c r="AY72" s="142"/>
      <c r="AZ72" s="142"/>
      <c r="BA72" s="142"/>
      <c r="BB72" s="142"/>
      <c r="BC72" s="142"/>
      <c r="BD72" s="142"/>
      <c r="BE72" s="142"/>
      <c r="BF72" s="142"/>
      <c r="BG72" s="142"/>
      <c r="BH72" s="142"/>
    </row>
    <row r="73">
      <c r="A73" s="140"/>
      <c r="B73" s="456"/>
      <c r="C73" s="142"/>
      <c r="D73" s="142"/>
      <c r="E73" s="142"/>
      <c r="F73" s="140"/>
      <c r="G73" s="456"/>
      <c r="H73" s="142"/>
      <c r="I73" s="142"/>
      <c r="J73" s="142"/>
      <c r="K73" s="125"/>
      <c r="L73" s="456"/>
      <c r="M73" s="142"/>
      <c r="N73" s="142"/>
      <c r="O73" s="142"/>
      <c r="P73" s="125"/>
      <c r="Q73" s="450"/>
      <c r="R73" s="142"/>
      <c r="S73" s="142"/>
      <c r="T73" s="142"/>
      <c r="U73" s="140"/>
      <c r="V73" s="456"/>
      <c r="W73" s="142"/>
      <c r="X73" s="142"/>
      <c r="Y73" s="142"/>
      <c r="Z73" s="140"/>
      <c r="AA73" s="456"/>
      <c r="AB73" s="142"/>
      <c r="AC73" s="142"/>
      <c r="AD73" s="142"/>
      <c r="AE73" s="140"/>
      <c r="AF73" s="456"/>
      <c r="AG73" s="142"/>
      <c r="AH73" s="142"/>
      <c r="AI73" s="142"/>
      <c r="AJ73" s="140"/>
      <c r="AK73" s="456"/>
      <c r="AL73" s="142"/>
      <c r="AM73" s="142"/>
      <c r="AN73" s="142"/>
      <c r="AO73" s="140"/>
      <c r="AP73" s="456"/>
      <c r="AQ73" s="142"/>
      <c r="AR73" s="142"/>
      <c r="AS73" s="142"/>
      <c r="AT73" s="142"/>
      <c r="AU73" s="142"/>
      <c r="AV73" s="142"/>
      <c r="AW73" s="142"/>
      <c r="AX73" s="142"/>
      <c r="AY73" s="142"/>
      <c r="AZ73" s="142"/>
      <c r="BA73" s="142"/>
      <c r="BB73" s="142"/>
      <c r="BC73" s="142"/>
      <c r="BD73" s="142"/>
      <c r="BE73" s="142"/>
      <c r="BF73" s="142"/>
      <c r="BG73" s="142"/>
      <c r="BH73" s="142"/>
    </row>
    <row r="74">
      <c r="A74" s="140"/>
      <c r="B74" s="456"/>
      <c r="C74" s="142"/>
      <c r="D74" s="142"/>
      <c r="E74" s="142"/>
      <c r="F74" s="140"/>
      <c r="G74" s="456"/>
      <c r="H74" s="142"/>
      <c r="I74" s="142"/>
      <c r="J74" s="142"/>
      <c r="K74" s="125"/>
      <c r="L74" s="456"/>
      <c r="M74" s="142"/>
      <c r="N74" s="142"/>
      <c r="O74" s="142"/>
      <c r="P74" s="125"/>
      <c r="Q74" s="450"/>
      <c r="R74" s="142"/>
      <c r="S74" s="142"/>
      <c r="T74" s="142"/>
      <c r="U74" s="140"/>
      <c r="V74" s="456"/>
      <c r="W74" s="142"/>
      <c r="X74" s="142"/>
      <c r="Y74" s="142"/>
      <c r="Z74" s="140"/>
      <c r="AA74" s="456"/>
      <c r="AB74" s="142"/>
      <c r="AC74" s="142"/>
      <c r="AD74" s="142"/>
      <c r="AE74" s="140"/>
      <c r="AF74" s="456"/>
      <c r="AG74" s="142"/>
      <c r="AH74" s="142"/>
      <c r="AI74" s="142"/>
      <c r="AJ74" s="140"/>
      <c r="AK74" s="456"/>
      <c r="AL74" s="142"/>
      <c r="AM74" s="142"/>
      <c r="AN74" s="142"/>
      <c r="AO74" s="140"/>
      <c r="AP74" s="456"/>
      <c r="AQ74" s="142"/>
      <c r="AR74" s="142"/>
      <c r="AS74" s="142"/>
      <c r="AT74" s="142"/>
      <c r="AU74" s="142"/>
      <c r="AV74" s="142"/>
      <c r="AW74" s="142"/>
      <c r="AX74" s="142"/>
      <c r="AY74" s="142"/>
      <c r="AZ74" s="142"/>
      <c r="BA74" s="142"/>
      <c r="BB74" s="142"/>
      <c r="BC74" s="142"/>
      <c r="BD74" s="142"/>
      <c r="BE74" s="142"/>
      <c r="BF74" s="142"/>
      <c r="BG74" s="142"/>
      <c r="BH74" s="142"/>
    </row>
    <row r="75">
      <c r="A75" s="140"/>
      <c r="B75" s="456"/>
      <c r="C75" s="142"/>
      <c r="D75" s="142"/>
      <c r="E75" s="142"/>
      <c r="F75" s="140"/>
      <c r="G75" s="456"/>
      <c r="H75" s="142"/>
      <c r="I75" s="142"/>
      <c r="J75" s="142"/>
      <c r="K75" s="125"/>
      <c r="L75" s="456"/>
      <c r="M75" s="142"/>
      <c r="N75" s="142"/>
      <c r="O75" s="142"/>
      <c r="P75" s="125"/>
      <c r="Q75" s="450"/>
      <c r="R75" s="142"/>
      <c r="S75" s="142"/>
      <c r="T75" s="142"/>
      <c r="U75" s="140"/>
      <c r="V75" s="456"/>
      <c r="W75" s="142"/>
      <c r="X75" s="142"/>
      <c r="Y75" s="142"/>
      <c r="Z75" s="140"/>
      <c r="AA75" s="456"/>
      <c r="AB75" s="142"/>
      <c r="AC75" s="142"/>
      <c r="AD75" s="142"/>
      <c r="AE75" s="140"/>
      <c r="AF75" s="456"/>
      <c r="AG75" s="142"/>
      <c r="AH75" s="142"/>
      <c r="AI75" s="142"/>
      <c r="AJ75" s="140"/>
      <c r="AK75" s="456"/>
      <c r="AL75" s="142"/>
      <c r="AM75" s="142"/>
      <c r="AN75" s="142"/>
      <c r="AO75" s="140"/>
      <c r="AP75" s="456"/>
      <c r="AQ75" s="142"/>
      <c r="AR75" s="142"/>
      <c r="AS75" s="142"/>
      <c r="AT75" s="142"/>
      <c r="AU75" s="142"/>
      <c r="AV75" s="142"/>
      <c r="AW75" s="142"/>
      <c r="AX75" s="142"/>
      <c r="AY75" s="142"/>
      <c r="AZ75" s="142"/>
      <c r="BA75" s="142"/>
      <c r="BB75" s="142"/>
      <c r="BC75" s="142"/>
      <c r="BD75" s="142"/>
      <c r="BE75" s="142"/>
      <c r="BF75" s="142"/>
      <c r="BG75" s="142"/>
      <c r="BH75" s="142"/>
    </row>
    <row r="76">
      <c r="A76" s="140"/>
      <c r="B76" s="456"/>
      <c r="C76" s="142"/>
      <c r="D76" s="142"/>
      <c r="E76" s="142"/>
      <c r="F76" s="140"/>
      <c r="G76" s="456"/>
      <c r="H76" s="142"/>
      <c r="I76" s="142"/>
      <c r="J76" s="142"/>
      <c r="K76" s="125"/>
      <c r="L76" s="456"/>
      <c r="M76" s="142"/>
      <c r="N76" s="142"/>
      <c r="O76" s="142"/>
      <c r="P76" s="125"/>
      <c r="Q76" s="450"/>
      <c r="R76" s="142"/>
      <c r="S76" s="142"/>
      <c r="T76" s="142"/>
      <c r="U76" s="140"/>
      <c r="V76" s="456"/>
      <c r="W76" s="142"/>
      <c r="X76" s="142"/>
      <c r="Y76" s="142"/>
      <c r="Z76" s="140"/>
      <c r="AA76" s="456"/>
      <c r="AB76" s="142"/>
      <c r="AC76" s="142"/>
      <c r="AD76" s="142"/>
      <c r="AE76" s="140"/>
      <c r="AF76" s="456"/>
      <c r="AG76" s="142"/>
      <c r="AH76" s="142"/>
      <c r="AI76" s="142"/>
      <c r="AJ76" s="140"/>
      <c r="AK76" s="456"/>
      <c r="AL76" s="142"/>
      <c r="AM76" s="142"/>
      <c r="AN76" s="142"/>
      <c r="AO76" s="140"/>
      <c r="AP76" s="456"/>
      <c r="AQ76" s="142"/>
      <c r="AR76" s="142"/>
      <c r="AS76" s="142"/>
      <c r="AT76" s="142"/>
      <c r="AU76" s="142"/>
      <c r="AV76" s="142"/>
      <c r="AW76" s="142"/>
      <c r="AX76" s="142"/>
      <c r="AY76" s="142"/>
      <c r="AZ76" s="142"/>
      <c r="BA76" s="142"/>
      <c r="BB76" s="142"/>
      <c r="BC76" s="142"/>
      <c r="BD76" s="142"/>
      <c r="BE76" s="142"/>
      <c r="BF76" s="142"/>
      <c r="BG76" s="142"/>
      <c r="BH76" s="142"/>
    </row>
    <row r="77">
      <c r="A77" s="140"/>
      <c r="B77" s="456"/>
      <c r="C77" s="142"/>
      <c r="D77" s="142"/>
      <c r="E77" s="142"/>
      <c r="F77" s="140"/>
      <c r="G77" s="456"/>
      <c r="H77" s="142"/>
      <c r="I77" s="142"/>
      <c r="J77" s="142"/>
      <c r="K77" s="125"/>
      <c r="L77" s="456"/>
      <c r="M77" s="142"/>
      <c r="N77" s="142"/>
      <c r="O77" s="142"/>
      <c r="P77" s="125"/>
      <c r="Q77" s="450"/>
      <c r="R77" s="142"/>
      <c r="S77" s="142"/>
      <c r="T77" s="142"/>
      <c r="U77" s="140"/>
      <c r="V77" s="456"/>
      <c r="W77" s="142"/>
      <c r="X77" s="142"/>
      <c r="Y77" s="142"/>
      <c r="Z77" s="140"/>
      <c r="AA77" s="456"/>
      <c r="AB77" s="142"/>
      <c r="AC77" s="142"/>
      <c r="AD77" s="142"/>
      <c r="AE77" s="140"/>
      <c r="AF77" s="456"/>
      <c r="AG77" s="142"/>
      <c r="AH77" s="142"/>
      <c r="AI77" s="142"/>
      <c r="AJ77" s="140"/>
      <c r="AK77" s="456"/>
      <c r="AL77" s="142"/>
      <c r="AM77" s="142"/>
      <c r="AN77" s="142"/>
      <c r="AO77" s="140"/>
      <c r="AP77" s="456"/>
      <c r="AQ77" s="142"/>
      <c r="AR77" s="142"/>
      <c r="AS77" s="142"/>
      <c r="AT77" s="142"/>
      <c r="AU77" s="142"/>
      <c r="AV77" s="142"/>
      <c r="AW77" s="142"/>
      <c r="AX77" s="142"/>
      <c r="AY77" s="142"/>
      <c r="AZ77" s="142"/>
      <c r="BA77" s="142"/>
      <c r="BB77" s="142"/>
      <c r="BC77" s="142"/>
      <c r="BD77" s="142"/>
      <c r="BE77" s="142"/>
      <c r="BF77" s="142"/>
      <c r="BG77" s="142"/>
      <c r="BH77" s="142"/>
    </row>
    <row r="78">
      <c r="A78" s="140"/>
      <c r="B78" s="456"/>
      <c r="C78" s="142"/>
      <c r="D78" s="142"/>
      <c r="E78" s="142"/>
      <c r="F78" s="140"/>
      <c r="G78" s="456"/>
      <c r="H78" s="142"/>
      <c r="I78" s="142"/>
      <c r="J78" s="142"/>
      <c r="K78" s="125"/>
      <c r="L78" s="456"/>
      <c r="M78" s="142"/>
      <c r="N78" s="142"/>
      <c r="O78" s="142"/>
      <c r="P78" s="125"/>
      <c r="Q78" s="450"/>
      <c r="R78" s="142"/>
      <c r="S78" s="142"/>
      <c r="T78" s="142"/>
      <c r="U78" s="140"/>
      <c r="V78" s="456"/>
      <c r="W78" s="142"/>
      <c r="X78" s="142"/>
      <c r="Y78" s="142"/>
      <c r="Z78" s="140"/>
      <c r="AA78" s="456"/>
      <c r="AB78" s="142"/>
      <c r="AC78" s="142"/>
      <c r="AD78" s="142"/>
      <c r="AE78" s="140"/>
      <c r="AF78" s="456"/>
      <c r="AG78" s="142"/>
      <c r="AH78" s="142"/>
      <c r="AI78" s="142"/>
      <c r="AJ78" s="140"/>
      <c r="AK78" s="456"/>
      <c r="AL78" s="142"/>
      <c r="AM78" s="142"/>
      <c r="AN78" s="142"/>
      <c r="AO78" s="140"/>
      <c r="AP78" s="456"/>
      <c r="AQ78" s="142"/>
      <c r="AR78" s="142"/>
      <c r="AS78" s="142"/>
      <c r="AT78" s="142"/>
      <c r="AU78" s="142"/>
      <c r="AV78" s="142"/>
      <c r="AW78" s="142"/>
      <c r="AX78" s="142"/>
      <c r="AY78" s="142"/>
      <c r="AZ78" s="142"/>
      <c r="BA78" s="142"/>
      <c r="BB78" s="142"/>
      <c r="BC78" s="142"/>
      <c r="BD78" s="142"/>
      <c r="BE78" s="142"/>
      <c r="BF78" s="142"/>
      <c r="BG78" s="142"/>
      <c r="BH78" s="142"/>
    </row>
    <row r="79">
      <c r="A79" s="140"/>
      <c r="B79" s="456"/>
      <c r="C79" s="142"/>
      <c r="D79" s="142"/>
      <c r="E79" s="142"/>
      <c r="F79" s="140"/>
      <c r="G79" s="456"/>
      <c r="H79" s="142"/>
      <c r="I79" s="142"/>
      <c r="J79" s="142"/>
      <c r="K79" s="125"/>
      <c r="L79" s="456"/>
      <c r="M79" s="142"/>
      <c r="N79" s="142"/>
      <c r="O79" s="142"/>
      <c r="P79" s="125"/>
      <c r="Q79" s="450"/>
      <c r="R79" s="142"/>
      <c r="S79" s="142"/>
      <c r="T79" s="142"/>
      <c r="U79" s="140"/>
      <c r="V79" s="456"/>
      <c r="W79" s="142"/>
      <c r="X79" s="142"/>
      <c r="Y79" s="142"/>
      <c r="Z79" s="140"/>
      <c r="AA79" s="456"/>
      <c r="AB79" s="142"/>
      <c r="AC79" s="142"/>
      <c r="AD79" s="142"/>
      <c r="AE79" s="140"/>
      <c r="AF79" s="456"/>
      <c r="AG79" s="142"/>
      <c r="AH79" s="142"/>
      <c r="AI79" s="142"/>
      <c r="AJ79" s="140"/>
      <c r="AK79" s="456"/>
      <c r="AL79" s="142"/>
      <c r="AM79" s="142"/>
      <c r="AN79" s="142"/>
      <c r="AO79" s="140"/>
      <c r="AP79" s="456"/>
      <c r="AQ79" s="142"/>
      <c r="AR79" s="142"/>
      <c r="AS79" s="142"/>
      <c r="AT79" s="142"/>
      <c r="AU79" s="142"/>
      <c r="AV79" s="142"/>
      <c r="AW79" s="142"/>
      <c r="AX79" s="142"/>
      <c r="AY79" s="142"/>
      <c r="AZ79" s="142"/>
      <c r="BA79" s="142"/>
      <c r="BB79" s="142"/>
      <c r="BC79" s="142"/>
      <c r="BD79" s="142"/>
      <c r="BE79" s="142"/>
      <c r="BF79" s="142"/>
      <c r="BG79" s="142"/>
      <c r="BH79" s="142"/>
    </row>
    <row r="80">
      <c r="A80" s="140"/>
      <c r="B80" s="456"/>
      <c r="C80" s="142"/>
      <c r="D80" s="142"/>
      <c r="E80" s="142"/>
      <c r="F80" s="140"/>
      <c r="G80" s="456"/>
      <c r="H80" s="142"/>
      <c r="I80" s="142"/>
      <c r="J80" s="142"/>
      <c r="K80" s="125"/>
      <c r="L80" s="456"/>
      <c r="M80" s="142"/>
      <c r="N80" s="142"/>
      <c r="O80" s="142"/>
      <c r="P80" s="125"/>
      <c r="Q80" s="450"/>
      <c r="R80" s="142"/>
      <c r="S80" s="142"/>
      <c r="T80" s="142"/>
      <c r="U80" s="140"/>
      <c r="V80" s="456"/>
      <c r="W80" s="142"/>
      <c r="X80" s="142"/>
      <c r="Y80" s="142"/>
      <c r="Z80" s="140"/>
      <c r="AA80" s="456"/>
      <c r="AB80" s="142"/>
      <c r="AC80" s="142"/>
      <c r="AD80" s="142"/>
      <c r="AE80" s="140"/>
      <c r="AF80" s="456"/>
      <c r="AG80" s="142"/>
      <c r="AH80" s="142"/>
      <c r="AI80" s="142"/>
      <c r="AJ80" s="140"/>
      <c r="AK80" s="456"/>
      <c r="AL80" s="142"/>
      <c r="AM80" s="142"/>
      <c r="AN80" s="142"/>
      <c r="AO80" s="140"/>
      <c r="AP80" s="456"/>
      <c r="AQ80" s="142"/>
      <c r="AR80" s="142"/>
      <c r="AS80" s="142"/>
      <c r="AT80" s="142"/>
      <c r="AU80" s="142"/>
      <c r="AV80" s="142"/>
      <c r="AW80" s="142"/>
      <c r="AX80" s="142"/>
      <c r="AY80" s="142"/>
      <c r="AZ80" s="142"/>
      <c r="BA80" s="142"/>
      <c r="BB80" s="142"/>
      <c r="BC80" s="142"/>
      <c r="BD80" s="142"/>
      <c r="BE80" s="142"/>
      <c r="BF80" s="142"/>
      <c r="BG80" s="142"/>
      <c r="BH80" s="142"/>
    </row>
    <row r="81">
      <c r="A81" s="140"/>
      <c r="B81" s="456"/>
      <c r="C81" s="142"/>
      <c r="D81" s="142"/>
      <c r="E81" s="142"/>
      <c r="F81" s="140"/>
      <c r="G81" s="456"/>
      <c r="H81" s="142"/>
      <c r="I81" s="142"/>
      <c r="J81" s="142"/>
      <c r="K81" s="125"/>
      <c r="L81" s="456"/>
      <c r="M81" s="142"/>
      <c r="N81" s="142"/>
      <c r="O81" s="142"/>
      <c r="P81" s="125"/>
      <c r="Q81" s="450"/>
      <c r="R81" s="142"/>
      <c r="S81" s="142"/>
      <c r="T81" s="142"/>
      <c r="U81" s="140"/>
      <c r="V81" s="456"/>
      <c r="W81" s="142"/>
      <c r="X81" s="142"/>
      <c r="Y81" s="142"/>
      <c r="Z81" s="140"/>
      <c r="AA81" s="456"/>
      <c r="AB81" s="142"/>
      <c r="AC81" s="142"/>
      <c r="AD81" s="142"/>
      <c r="AE81" s="140"/>
      <c r="AF81" s="456"/>
      <c r="AG81" s="142"/>
      <c r="AH81" s="142"/>
      <c r="AI81" s="142"/>
      <c r="AJ81" s="140"/>
      <c r="AK81" s="456"/>
      <c r="AL81" s="142"/>
      <c r="AM81" s="142"/>
      <c r="AN81" s="142"/>
      <c r="AO81" s="140"/>
      <c r="AP81" s="456"/>
      <c r="AQ81" s="142"/>
      <c r="AR81" s="142"/>
      <c r="AS81" s="142"/>
      <c r="AT81" s="142"/>
      <c r="AU81" s="142"/>
      <c r="AV81" s="142"/>
      <c r="AW81" s="142"/>
      <c r="AX81" s="142"/>
      <c r="AY81" s="142"/>
      <c r="AZ81" s="142"/>
      <c r="BA81" s="142"/>
      <c r="BB81" s="142"/>
      <c r="BC81" s="142"/>
      <c r="BD81" s="142"/>
      <c r="BE81" s="142"/>
      <c r="BF81" s="142"/>
      <c r="BG81" s="142"/>
      <c r="BH81" s="142"/>
    </row>
    <row r="82">
      <c r="A82" s="140"/>
      <c r="B82" s="456"/>
      <c r="C82" s="142"/>
      <c r="D82" s="142"/>
      <c r="E82" s="142"/>
      <c r="F82" s="140"/>
      <c r="G82" s="456"/>
      <c r="H82" s="142"/>
      <c r="I82" s="142"/>
      <c r="J82" s="142"/>
      <c r="K82" s="125"/>
      <c r="L82" s="456"/>
      <c r="M82" s="142"/>
      <c r="N82" s="142"/>
      <c r="O82" s="142"/>
      <c r="P82" s="125"/>
      <c r="Q82" s="450"/>
      <c r="R82" s="142"/>
      <c r="S82" s="142"/>
      <c r="T82" s="142"/>
      <c r="U82" s="140"/>
      <c r="V82" s="456"/>
      <c r="W82" s="142"/>
      <c r="X82" s="142"/>
      <c r="Y82" s="142"/>
      <c r="Z82" s="140"/>
      <c r="AA82" s="456"/>
      <c r="AB82" s="142"/>
      <c r="AC82" s="142"/>
      <c r="AD82" s="142"/>
      <c r="AE82" s="140"/>
      <c r="AF82" s="456"/>
      <c r="AG82" s="142"/>
      <c r="AH82" s="142"/>
      <c r="AI82" s="142"/>
      <c r="AJ82" s="140"/>
      <c r="AK82" s="456"/>
      <c r="AL82" s="142"/>
      <c r="AM82" s="142"/>
      <c r="AN82" s="142"/>
      <c r="AO82" s="140"/>
      <c r="AP82" s="456"/>
      <c r="AQ82" s="142"/>
      <c r="AR82" s="142"/>
      <c r="AS82" s="142"/>
      <c r="AT82" s="142"/>
      <c r="AU82" s="142"/>
      <c r="AV82" s="142"/>
      <c r="AW82" s="142"/>
      <c r="AX82" s="142"/>
      <c r="AY82" s="142"/>
      <c r="AZ82" s="142"/>
      <c r="BA82" s="142"/>
      <c r="BB82" s="142"/>
      <c r="BC82" s="142"/>
      <c r="BD82" s="142"/>
      <c r="BE82" s="142"/>
      <c r="BF82" s="142"/>
      <c r="BG82" s="142"/>
      <c r="BH82" s="142"/>
    </row>
    <row r="83">
      <c r="A83" s="140"/>
      <c r="B83" s="456"/>
      <c r="C83" s="142"/>
      <c r="D83" s="142"/>
      <c r="E83" s="142"/>
      <c r="F83" s="140"/>
      <c r="G83" s="456"/>
      <c r="H83" s="142"/>
      <c r="I83" s="142"/>
      <c r="J83" s="142"/>
      <c r="K83" s="125"/>
      <c r="L83" s="456"/>
      <c r="M83" s="142"/>
      <c r="N83" s="142"/>
      <c r="O83" s="142"/>
      <c r="P83" s="125"/>
      <c r="Q83" s="450"/>
      <c r="R83" s="142"/>
      <c r="S83" s="142"/>
      <c r="T83" s="142"/>
      <c r="U83" s="140"/>
      <c r="V83" s="456"/>
      <c r="W83" s="142"/>
      <c r="X83" s="142"/>
      <c r="Y83" s="142"/>
      <c r="Z83" s="140"/>
      <c r="AA83" s="456"/>
      <c r="AB83" s="142"/>
      <c r="AC83" s="142"/>
      <c r="AD83" s="142"/>
      <c r="AE83" s="140"/>
      <c r="AF83" s="456"/>
      <c r="AG83" s="142"/>
      <c r="AH83" s="142"/>
      <c r="AI83" s="142"/>
      <c r="AJ83" s="140"/>
      <c r="AK83" s="456"/>
      <c r="AL83" s="142"/>
      <c r="AM83" s="142"/>
      <c r="AN83" s="142"/>
      <c r="AO83" s="140"/>
      <c r="AP83" s="456"/>
      <c r="AQ83" s="142"/>
      <c r="AR83" s="142"/>
      <c r="AS83" s="142"/>
      <c r="AT83" s="142"/>
      <c r="AU83" s="142"/>
      <c r="AV83" s="142"/>
      <c r="AW83" s="142"/>
      <c r="AX83" s="142"/>
      <c r="AY83" s="142"/>
      <c r="AZ83" s="142"/>
      <c r="BA83" s="142"/>
      <c r="BB83" s="142"/>
      <c r="BC83" s="142"/>
      <c r="BD83" s="142"/>
      <c r="BE83" s="142"/>
      <c r="BF83" s="142"/>
      <c r="BG83" s="142"/>
      <c r="BH83" s="142"/>
    </row>
    <row r="84">
      <c r="A84" s="140"/>
      <c r="B84" s="456"/>
      <c r="C84" s="142"/>
      <c r="D84" s="142"/>
      <c r="E84" s="142"/>
      <c r="F84" s="140"/>
      <c r="G84" s="456"/>
      <c r="H84" s="142"/>
      <c r="I84" s="142"/>
      <c r="J84" s="142"/>
      <c r="K84" s="125"/>
      <c r="L84" s="456"/>
      <c r="M84" s="142"/>
      <c r="N84" s="142"/>
      <c r="O84" s="142"/>
      <c r="P84" s="125"/>
      <c r="Q84" s="450"/>
      <c r="R84" s="142"/>
      <c r="S84" s="142"/>
      <c r="T84" s="142"/>
      <c r="U84" s="140"/>
      <c r="V84" s="456"/>
      <c r="W84" s="142"/>
      <c r="X84" s="142"/>
      <c r="Y84" s="142"/>
      <c r="Z84" s="140"/>
      <c r="AA84" s="456"/>
      <c r="AB84" s="142"/>
      <c r="AC84" s="142"/>
      <c r="AD84" s="142"/>
      <c r="AE84" s="140"/>
      <c r="AF84" s="456"/>
      <c r="AG84" s="142"/>
      <c r="AH84" s="142"/>
      <c r="AI84" s="142"/>
      <c r="AJ84" s="140"/>
      <c r="AK84" s="456"/>
      <c r="AL84" s="142"/>
      <c r="AM84" s="142"/>
      <c r="AN84" s="142"/>
      <c r="AO84" s="140"/>
      <c r="AP84" s="456"/>
      <c r="AQ84" s="142"/>
      <c r="AR84" s="142"/>
      <c r="AS84" s="142"/>
      <c r="AT84" s="142"/>
      <c r="AU84" s="142"/>
      <c r="AV84" s="142"/>
      <c r="AW84" s="142"/>
      <c r="AX84" s="142"/>
      <c r="AY84" s="142"/>
      <c r="AZ84" s="142"/>
      <c r="BA84" s="142"/>
      <c r="BB84" s="142"/>
      <c r="BC84" s="142"/>
      <c r="BD84" s="142"/>
      <c r="BE84" s="142"/>
      <c r="BF84" s="142"/>
      <c r="BG84" s="142"/>
      <c r="BH84" s="142"/>
    </row>
    <row r="85">
      <c r="A85" s="140"/>
      <c r="B85" s="456"/>
      <c r="C85" s="142"/>
      <c r="D85" s="142"/>
      <c r="E85" s="142"/>
      <c r="F85" s="140"/>
      <c r="G85" s="456"/>
      <c r="H85" s="142"/>
      <c r="I85" s="142"/>
      <c r="J85" s="142"/>
      <c r="K85" s="125"/>
      <c r="L85" s="456"/>
      <c r="M85" s="142"/>
      <c r="N85" s="142"/>
      <c r="O85" s="142"/>
      <c r="P85" s="125"/>
      <c r="Q85" s="450"/>
      <c r="R85" s="142"/>
      <c r="S85" s="142"/>
      <c r="T85" s="142"/>
      <c r="U85" s="140"/>
      <c r="V85" s="456"/>
      <c r="W85" s="142"/>
      <c r="X85" s="142"/>
      <c r="Y85" s="142"/>
      <c r="Z85" s="140"/>
      <c r="AA85" s="456"/>
      <c r="AB85" s="142"/>
      <c r="AC85" s="142"/>
      <c r="AD85" s="142"/>
      <c r="AE85" s="140"/>
      <c r="AF85" s="456"/>
      <c r="AG85" s="142"/>
      <c r="AH85" s="142"/>
      <c r="AI85" s="142"/>
      <c r="AJ85" s="140"/>
      <c r="AK85" s="456"/>
      <c r="AL85" s="142"/>
      <c r="AM85" s="142"/>
      <c r="AN85" s="142"/>
      <c r="AO85" s="140"/>
      <c r="AP85" s="456"/>
      <c r="AQ85" s="142"/>
      <c r="AR85" s="142"/>
      <c r="AS85" s="142"/>
      <c r="AT85" s="142"/>
      <c r="AU85" s="142"/>
      <c r="AV85" s="142"/>
      <c r="AW85" s="142"/>
      <c r="AX85" s="142"/>
      <c r="AY85" s="142"/>
      <c r="AZ85" s="142"/>
      <c r="BA85" s="142"/>
      <c r="BB85" s="142"/>
      <c r="BC85" s="142"/>
      <c r="BD85" s="142"/>
      <c r="BE85" s="142"/>
      <c r="BF85" s="142"/>
      <c r="BG85" s="142"/>
      <c r="BH85" s="142"/>
    </row>
    <row r="86">
      <c r="A86" s="140"/>
      <c r="B86" s="456"/>
      <c r="C86" s="142"/>
      <c r="D86" s="142"/>
      <c r="E86" s="142"/>
      <c r="F86" s="140"/>
      <c r="G86" s="456"/>
      <c r="H86" s="142"/>
      <c r="I86" s="142"/>
      <c r="J86" s="142"/>
      <c r="K86" s="125"/>
      <c r="L86" s="456"/>
      <c r="M86" s="142"/>
      <c r="N86" s="142"/>
      <c r="O86" s="142"/>
      <c r="P86" s="125"/>
      <c r="Q86" s="450"/>
      <c r="R86" s="142"/>
      <c r="S86" s="142"/>
      <c r="T86" s="142"/>
      <c r="U86" s="140"/>
      <c r="V86" s="456"/>
      <c r="W86" s="142"/>
      <c r="X86" s="142"/>
      <c r="Y86" s="142"/>
      <c r="Z86" s="140"/>
      <c r="AA86" s="456"/>
      <c r="AB86" s="142"/>
      <c r="AC86" s="142"/>
      <c r="AD86" s="142"/>
      <c r="AE86" s="140"/>
      <c r="AF86" s="456"/>
      <c r="AG86" s="142"/>
      <c r="AH86" s="142"/>
      <c r="AI86" s="142"/>
      <c r="AJ86" s="140"/>
      <c r="AK86" s="456"/>
      <c r="AL86" s="142"/>
      <c r="AM86" s="142"/>
      <c r="AN86" s="142"/>
      <c r="AO86" s="140"/>
      <c r="AP86" s="456"/>
      <c r="AQ86" s="142"/>
      <c r="AR86" s="142"/>
      <c r="AS86" s="142"/>
      <c r="AT86" s="142"/>
      <c r="AU86" s="142"/>
      <c r="AV86" s="142"/>
      <c r="AW86" s="142"/>
      <c r="AX86" s="142"/>
      <c r="AY86" s="142"/>
      <c r="AZ86" s="142"/>
      <c r="BA86" s="142"/>
      <c r="BB86" s="142"/>
      <c r="BC86" s="142"/>
      <c r="BD86" s="142"/>
      <c r="BE86" s="142"/>
      <c r="BF86" s="142"/>
      <c r="BG86" s="142"/>
      <c r="BH86" s="142"/>
    </row>
    <row r="87">
      <c r="A87" s="140"/>
      <c r="B87" s="456"/>
      <c r="C87" s="142"/>
      <c r="D87" s="142"/>
      <c r="E87" s="142"/>
      <c r="F87" s="140"/>
      <c r="G87" s="456"/>
      <c r="H87" s="142"/>
      <c r="I87" s="142"/>
      <c r="J87" s="142"/>
      <c r="K87" s="125"/>
      <c r="L87" s="456"/>
      <c r="M87" s="142"/>
      <c r="N87" s="142"/>
      <c r="O87" s="142"/>
      <c r="P87" s="125"/>
      <c r="Q87" s="450"/>
      <c r="R87" s="142"/>
      <c r="S87" s="142"/>
      <c r="T87" s="142"/>
      <c r="U87" s="140"/>
      <c r="V87" s="456"/>
      <c r="W87" s="142"/>
      <c r="X87" s="142"/>
      <c r="Y87" s="142"/>
      <c r="Z87" s="140"/>
      <c r="AA87" s="456"/>
      <c r="AB87" s="142"/>
      <c r="AC87" s="142"/>
      <c r="AD87" s="142"/>
      <c r="AE87" s="140"/>
      <c r="AF87" s="456"/>
      <c r="AG87" s="142"/>
      <c r="AH87" s="142"/>
      <c r="AI87" s="142"/>
      <c r="AJ87" s="140"/>
      <c r="AK87" s="456"/>
      <c r="AL87" s="142"/>
      <c r="AM87" s="142"/>
      <c r="AN87" s="142"/>
      <c r="AO87" s="140"/>
      <c r="AP87" s="456"/>
      <c r="AQ87" s="142"/>
      <c r="AR87" s="142"/>
      <c r="AS87" s="142"/>
      <c r="AT87" s="142"/>
      <c r="AU87" s="142"/>
      <c r="AV87" s="142"/>
      <c r="AW87" s="142"/>
      <c r="AX87" s="142"/>
      <c r="AY87" s="142"/>
      <c r="AZ87" s="142"/>
      <c r="BA87" s="142"/>
      <c r="BB87" s="142"/>
      <c r="BC87" s="142"/>
      <c r="BD87" s="142"/>
      <c r="BE87" s="142"/>
      <c r="BF87" s="142"/>
      <c r="BG87" s="142"/>
      <c r="BH87" s="142"/>
    </row>
    <row r="88">
      <c r="A88" s="140"/>
      <c r="B88" s="456"/>
      <c r="C88" s="142"/>
      <c r="D88" s="142"/>
      <c r="E88" s="142"/>
      <c r="F88" s="140"/>
      <c r="G88" s="456"/>
      <c r="H88" s="142"/>
      <c r="I88" s="142"/>
      <c r="J88" s="142"/>
      <c r="K88" s="125"/>
      <c r="L88" s="456"/>
      <c r="M88" s="142"/>
      <c r="N88" s="142"/>
      <c r="O88" s="142"/>
      <c r="P88" s="125"/>
      <c r="Q88" s="450"/>
      <c r="R88" s="142"/>
      <c r="S88" s="142"/>
      <c r="T88" s="142"/>
      <c r="U88" s="140"/>
      <c r="V88" s="456"/>
      <c r="W88" s="142"/>
      <c r="X88" s="142"/>
      <c r="Y88" s="142"/>
      <c r="Z88" s="140"/>
      <c r="AA88" s="456"/>
      <c r="AB88" s="142"/>
      <c r="AC88" s="142"/>
      <c r="AD88" s="142"/>
      <c r="AE88" s="140"/>
      <c r="AF88" s="456"/>
      <c r="AG88" s="142"/>
      <c r="AH88" s="142"/>
      <c r="AI88" s="142"/>
      <c r="AJ88" s="140"/>
      <c r="AK88" s="456"/>
      <c r="AL88" s="142"/>
      <c r="AM88" s="142"/>
      <c r="AN88" s="142"/>
      <c r="AO88" s="140"/>
      <c r="AP88" s="456"/>
      <c r="AQ88" s="142"/>
      <c r="AR88" s="142"/>
      <c r="AS88" s="142"/>
      <c r="AT88" s="142"/>
      <c r="AU88" s="142"/>
      <c r="AV88" s="142"/>
      <c r="AW88" s="142"/>
      <c r="AX88" s="142"/>
      <c r="AY88" s="142"/>
      <c r="AZ88" s="142"/>
      <c r="BA88" s="142"/>
      <c r="BB88" s="142"/>
      <c r="BC88" s="142"/>
      <c r="BD88" s="142"/>
      <c r="BE88" s="142"/>
      <c r="BF88" s="142"/>
      <c r="BG88" s="142"/>
      <c r="BH88" s="142"/>
    </row>
    <row r="89">
      <c r="A89" s="140"/>
      <c r="B89" s="456"/>
      <c r="C89" s="142"/>
      <c r="D89" s="142"/>
      <c r="E89" s="142"/>
      <c r="F89" s="140"/>
      <c r="G89" s="456"/>
      <c r="H89" s="142"/>
      <c r="I89" s="142"/>
      <c r="J89" s="142"/>
      <c r="K89" s="125"/>
      <c r="L89" s="456"/>
      <c r="M89" s="142"/>
      <c r="N89" s="142"/>
      <c r="O89" s="142"/>
      <c r="P89" s="125"/>
      <c r="Q89" s="450"/>
      <c r="R89" s="142"/>
      <c r="S89" s="142"/>
      <c r="T89" s="142"/>
      <c r="U89" s="140"/>
      <c r="V89" s="456"/>
      <c r="W89" s="142"/>
      <c r="X89" s="142"/>
      <c r="Y89" s="142"/>
      <c r="Z89" s="140"/>
      <c r="AA89" s="456"/>
      <c r="AB89" s="142"/>
      <c r="AC89" s="142"/>
      <c r="AD89" s="142"/>
      <c r="AE89" s="140"/>
      <c r="AF89" s="456"/>
      <c r="AG89" s="142"/>
      <c r="AH89" s="142"/>
      <c r="AI89" s="142"/>
      <c r="AJ89" s="140"/>
      <c r="AK89" s="456"/>
      <c r="AL89" s="142"/>
      <c r="AM89" s="142"/>
      <c r="AN89" s="142"/>
      <c r="AO89" s="140"/>
      <c r="AP89" s="456"/>
      <c r="AQ89" s="142"/>
      <c r="AR89" s="142"/>
      <c r="AS89" s="142"/>
      <c r="AT89" s="142"/>
      <c r="AU89" s="142"/>
      <c r="AV89" s="142"/>
      <c r="AW89" s="142"/>
      <c r="AX89" s="142"/>
      <c r="AY89" s="142"/>
      <c r="AZ89" s="142"/>
      <c r="BA89" s="142"/>
      <c r="BB89" s="142"/>
      <c r="BC89" s="142"/>
      <c r="BD89" s="142"/>
      <c r="BE89" s="142"/>
      <c r="BF89" s="142"/>
      <c r="BG89" s="142"/>
      <c r="BH89" s="142"/>
    </row>
    <row r="90">
      <c r="A90" s="140"/>
      <c r="B90" s="456"/>
      <c r="C90" s="142"/>
      <c r="D90" s="142"/>
      <c r="E90" s="142"/>
      <c r="F90" s="140"/>
      <c r="G90" s="456"/>
      <c r="H90" s="142"/>
      <c r="I90" s="142"/>
      <c r="J90" s="142"/>
      <c r="K90" s="125"/>
      <c r="L90" s="456"/>
      <c r="M90" s="142"/>
      <c r="N90" s="142"/>
      <c r="O90" s="142"/>
      <c r="P90" s="125"/>
      <c r="Q90" s="450"/>
      <c r="R90" s="142"/>
      <c r="S90" s="142"/>
      <c r="T90" s="142"/>
      <c r="U90" s="140"/>
      <c r="V90" s="456"/>
      <c r="W90" s="142"/>
      <c r="X90" s="142"/>
      <c r="Y90" s="142"/>
      <c r="Z90" s="140"/>
      <c r="AA90" s="456"/>
      <c r="AB90" s="142"/>
      <c r="AC90" s="142"/>
      <c r="AD90" s="142"/>
      <c r="AE90" s="140"/>
      <c r="AF90" s="456"/>
      <c r="AG90" s="142"/>
      <c r="AH90" s="142"/>
      <c r="AI90" s="142"/>
      <c r="AJ90" s="140"/>
      <c r="AK90" s="456"/>
      <c r="AL90" s="142"/>
      <c r="AM90" s="142"/>
      <c r="AN90" s="142"/>
      <c r="AO90" s="140"/>
      <c r="AP90" s="456"/>
      <c r="AQ90" s="142"/>
      <c r="AR90" s="142"/>
      <c r="AS90" s="142"/>
      <c r="AT90" s="142"/>
      <c r="AU90" s="142"/>
      <c r="AV90" s="142"/>
      <c r="AW90" s="142"/>
      <c r="AX90" s="142"/>
      <c r="AY90" s="142"/>
      <c r="AZ90" s="142"/>
      <c r="BA90" s="142"/>
      <c r="BB90" s="142"/>
      <c r="BC90" s="142"/>
      <c r="BD90" s="142"/>
      <c r="BE90" s="142"/>
      <c r="BF90" s="142"/>
      <c r="BG90" s="142"/>
      <c r="BH90" s="142"/>
    </row>
    <row r="91">
      <c r="A91" s="140"/>
      <c r="B91" s="456"/>
      <c r="C91" s="142"/>
      <c r="D91" s="142"/>
      <c r="E91" s="142"/>
      <c r="F91" s="140"/>
      <c r="G91" s="456"/>
      <c r="H91" s="142"/>
      <c r="I91" s="142"/>
      <c r="J91" s="142"/>
      <c r="K91" s="125"/>
      <c r="L91" s="456"/>
      <c r="M91" s="142"/>
      <c r="N91" s="142"/>
      <c r="O91" s="142"/>
      <c r="P91" s="125"/>
      <c r="Q91" s="450"/>
      <c r="R91" s="142"/>
      <c r="S91" s="142"/>
      <c r="T91" s="142"/>
      <c r="U91" s="140"/>
      <c r="V91" s="456"/>
      <c r="W91" s="142"/>
      <c r="X91" s="142"/>
      <c r="Y91" s="142"/>
      <c r="Z91" s="140"/>
      <c r="AA91" s="456"/>
      <c r="AB91" s="142"/>
      <c r="AC91" s="142"/>
      <c r="AD91" s="142"/>
      <c r="AE91" s="140"/>
      <c r="AF91" s="456"/>
      <c r="AG91" s="142"/>
      <c r="AH91" s="142"/>
      <c r="AI91" s="142"/>
      <c r="AJ91" s="140"/>
      <c r="AK91" s="456"/>
      <c r="AL91" s="142"/>
      <c r="AM91" s="142"/>
      <c r="AN91" s="142"/>
      <c r="AO91" s="140"/>
      <c r="AP91" s="456"/>
      <c r="AQ91" s="142"/>
      <c r="AR91" s="142"/>
      <c r="AS91" s="142"/>
      <c r="AT91" s="142"/>
      <c r="AU91" s="142"/>
      <c r="AV91" s="142"/>
      <c r="AW91" s="142"/>
      <c r="AX91" s="142"/>
      <c r="AY91" s="142"/>
      <c r="AZ91" s="142"/>
      <c r="BA91" s="142"/>
      <c r="BB91" s="142"/>
      <c r="BC91" s="142"/>
      <c r="BD91" s="142"/>
      <c r="BE91" s="142"/>
      <c r="BF91" s="142"/>
      <c r="BG91" s="142"/>
      <c r="BH91" s="142"/>
    </row>
    <row r="92">
      <c r="A92" s="140"/>
      <c r="B92" s="456"/>
      <c r="C92" s="142"/>
      <c r="D92" s="142"/>
      <c r="E92" s="142"/>
      <c r="F92" s="140"/>
      <c r="G92" s="456"/>
      <c r="H92" s="142"/>
      <c r="I92" s="142"/>
      <c r="J92" s="142"/>
      <c r="K92" s="125"/>
      <c r="L92" s="456"/>
      <c r="M92" s="142"/>
      <c r="N92" s="142"/>
      <c r="O92" s="142"/>
      <c r="P92" s="125"/>
      <c r="Q92" s="450"/>
      <c r="R92" s="142"/>
      <c r="S92" s="142"/>
      <c r="T92" s="142"/>
      <c r="U92" s="140"/>
      <c r="V92" s="456"/>
      <c r="W92" s="142"/>
      <c r="X92" s="142"/>
      <c r="Y92" s="142"/>
      <c r="Z92" s="140"/>
      <c r="AA92" s="456"/>
      <c r="AB92" s="142"/>
      <c r="AC92" s="142"/>
      <c r="AD92" s="142"/>
      <c r="AE92" s="140"/>
      <c r="AF92" s="456"/>
      <c r="AG92" s="142"/>
      <c r="AH92" s="142"/>
      <c r="AI92" s="142"/>
      <c r="AJ92" s="140"/>
      <c r="AK92" s="456"/>
      <c r="AL92" s="142"/>
      <c r="AM92" s="142"/>
      <c r="AN92" s="142"/>
      <c r="AO92" s="140"/>
      <c r="AP92" s="456"/>
      <c r="AQ92" s="142"/>
      <c r="AR92" s="142"/>
      <c r="AS92" s="142"/>
      <c r="AT92" s="142"/>
      <c r="AU92" s="142"/>
      <c r="AV92" s="142"/>
      <c r="AW92" s="142"/>
      <c r="AX92" s="142"/>
      <c r="AY92" s="142"/>
      <c r="AZ92" s="142"/>
      <c r="BA92" s="142"/>
      <c r="BB92" s="142"/>
      <c r="BC92" s="142"/>
      <c r="BD92" s="142"/>
      <c r="BE92" s="142"/>
      <c r="BF92" s="142"/>
      <c r="BG92" s="142"/>
      <c r="BH92" s="142"/>
    </row>
    <row r="93">
      <c r="A93" s="140"/>
      <c r="B93" s="456"/>
      <c r="C93" s="142"/>
      <c r="D93" s="142"/>
      <c r="E93" s="142"/>
      <c r="F93" s="140"/>
      <c r="G93" s="456"/>
      <c r="H93" s="142"/>
      <c r="I93" s="142"/>
      <c r="J93" s="142"/>
      <c r="K93" s="125"/>
      <c r="L93" s="456"/>
      <c r="M93" s="142"/>
      <c r="N93" s="142"/>
      <c r="O93" s="142"/>
      <c r="P93" s="125"/>
      <c r="Q93" s="450"/>
      <c r="R93" s="142"/>
      <c r="S93" s="142"/>
      <c r="T93" s="142"/>
      <c r="U93" s="140"/>
      <c r="V93" s="456"/>
      <c r="W93" s="142"/>
      <c r="X93" s="142"/>
      <c r="Y93" s="142"/>
      <c r="Z93" s="140"/>
      <c r="AA93" s="456"/>
      <c r="AB93" s="142"/>
      <c r="AC93" s="142"/>
      <c r="AD93" s="142"/>
      <c r="AE93" s="140"/>
      <c r="AF93" s="456"/>
      <c r="AG93" s="142"/>
      <c r="AH93" s="142"/>
      <c r="AI93" s="142"/>
      <c r="AJ93" s="140"/>
      <c r="AK93" s="456"/>
      <c r="AL93" s="142"/>
      <c r="AM93" s="142"/>
      <c r="AN93" s="142"/>
      <c r="AO93" s="140"/>
      <c r="AP93" s="456"/>
      <c r="AQ93" s="142"/>
      <c r="AR93" s="142"/>
      <c r="AS93" s="142"/>
      <c r="AT93" s="142"/>
      <c r="AU93" s="142"/>
      <c r="AV93" s="142"/>
      <c r="AW93" s="142"/>
      <c r="AX93" s="142"/>
      <c r="AY93" s="142"/>
      <c r="AZ93" s="142"/>
      <c r="BA93" s="142"/>
      <c r="BB93" s="142"/>
      <c r="BC93" s="142"/>
      <c r="BD93" s="142"/>
      <c r="BE93" s="142"/>
      <c r="BF93" s="142"/>
      <c r="BG93" s="142"/>
      <c r="BH93" s="142"/>
    </row>
    <row r="94">
      <c r="A94" s="140"/>
      <c r="B94" s="456"/>
      <c r="C94" s="142"/>
      <c r="D94" s="142"/>
      <c r="E94" s="142"/>
      <c r="F94" s="140"/>
      <c r="G94" s="456"/>
      <c r="H94" s="142"/>
      <c r="I94" s="142"/>
      <c r="J94" s="142"/>
      <c r="K94" s="125"/>
      <c r="L94" s="456"/>
      <c r="M94" s="142"/>
      <c r="N94" s="142"/>
      <c r="O94" s="142"/>
      <c r="P94" s="125"/>
      <c r="Q94" s="450"/>
      <c r="R94" s="142"/>
      <c r="S94" s="142"/>
      <c r="T94" s="142"/>
      <c r="U94" s="140"/>
      <c r="V94" s="456"/>
      <c r="W94" s="142"/>
      <c r="X94" s="142"/>
      <c r="Y94" s="142"/>
      <c r="Z94" s="140"/>
      <c r="AA94" s="456"/>
      <c r="AB94" s="142"/>
      <c r="AC94" s="142"/>
      <c r="AD94" s="142"/>
      <c r="AE94" s="140"/>
      <c r="AF94" s="456"/>
      <c r="AG94" s="142"/>
      <c r="AH94" s="142"/>
      <c r="AI94" s="142"/>
      <c r="AJ94" s="140"/>
      <c r="AK94" s="456"/>
      <c r="AL94" s="142"/>
      <c r="AM94" s="142"/>
      <c r="AN94" s="142"/>
      <c r="AO94" s="140"/>
      <c r="AP94" s="456"/>
      <c r="AQ94" s="142"/>
      <c r="AR94" s="142"/>
      <c r="AS94" s="142"/>
      <c r="AT94" s="142"/>
      <c r="AU94" s="142"/>
      <c r="AV94" s="142"/>
      <c r="AW94" s="142"/>
      <c r="AX94" s="142"/>
      <c r="AY94" s="142"/>
      <c r="AZ94" s="142"/>
      <c r="BA94" s="142"/>
      <c r="BB94" s="142"/>
      <c r="BC94" s="142"/>
      <c r="BD94" s="142"/>
      <c r="BE94" s="142"/>
      <c r="BF94" s="142"/>
      <c r="BG94" s="142"/>
      <c r="BH94" s="142"/>
    </row>
    <row r="95">
      <c r="A95" s="140"/>
      <c r="B95" s="456"/>
      <c r="C95" s="142"/>
      <c r="D95" s="142"/>
      <c r="E95" s="142"/>
      <c r="F95" s="140"/>
      <c r="G95" s="456"/>
      <c r="H95" s="142"/>
      <c r="I95" s="142"/>
      <c r="J95" s="142"/>
      <c r="K95" s="125"/>
      <c r="L95" s="456"/>
      <c r="M95" s="142"/>
      <c r="N95" s="142"/>
      <c r="O95" s="142"/>
      <c r="P95" s="125"/>
      <c r="Q95" s="450"/>
      <c r="R95" s="142"/>
      <c r="S95" s="142"/>
      <c r="T95" s="142"/>
      <c r="U95" s="140"/>
      <c r="V95" s="456"/>
      <c r="W95" s="142"/>
      <c r="X95" s="142"/>
      <c r="Y95" s="142"/>
      <c r="Z95" s="140"/>
      <c r="AA95" s="456"/>
      <c r="AB95" s="142"/>
      <c r="AC95" s="142"/>
      <c r="AD95" s="142"/>
      <c r="AE95" s="140"/>
      <c r="AF95" s="456"/>
      <c r="AG95" s="142"/>
      <c r="AH95" s="142"/>
      <c r="AI95" s="142"/>
      <c r="AJ95" s="140"/>
      <c r="AK95" s="456"/>
      <c r="AL95" s="142"/>
      <c r="AM95" s="142"/>
      <c r="AN95" s="142"/>
      <c r="AO95" s="140"/>
      <c r="AP95" s="456"/>
      <c r="AQ95" s="142"/>
      <c r="AR95" s="142"/>
      <c r="AS95" s="142"/>
      <c r="AT95" s="142"/>
      <c r="AU95" s="142"/>
      <c r="AV95" s="142"/>
      <c r="AW95" s="142"/>
      <c r="AX95" s="142"/>
      <c r="AY95" s="142"/>
      <c r="AZ95" s="142"/>
      <c r="BA95" s="142"/>
      <c r="BB95" s="142"/>
      <c r="BC95" s="142"/>
      <c r="BD95" s="142"/>
      <c r="BE95" s="142"/>
      <c r="BF95" s="142"/>
      <c r="BG95" s="142"/>
      <c r="BH95" s="142"/>
    </row>
    <row r="96">
      <c r="A96" s="140"/>
      <c r="B96" s="456"/>
      <c r="C96" s="142"/>
      <c r="D96" s="142"/>
      <c r="E96" s="142"/>
      <c r="F96" s="140"/>
      <c r="G96" s="456"/>
      <c r="H96" s="142"/>
      <c r="I96" s="142"/>
      <c r="J96" s="142"/>
      <c r="K96" s="125"/>
      <c r="L96" s="456"/>
      <c r="M96" s="142"/>
      <c r="N96" s="142"/>
      <c r="O96" s="142"/>
      <c r="P96" s="125"/>
      <c r="Q96" s="450"/>
      <c r="R96" s="142"/>
      <c r="S96" s="142"/>
      <c r="T96" s="142"/>
      <c r="U96" s="140"/>
      <c r="V96" s="456"/>
      <c r="W96" s="142"/>
      <c r="X96" s="142"/>
      <c r="Y96" s="142"/>
      <c r="Z96" s="140"/>
      <c r="AA96" s="456"/>
      <c r="AB96" s="142"/>
      <c r="AC96" s="142"/>
      <c r="AD96" s="142"/>
      <c r="AE96" s="140"/>
      <c r="AF96" s="456"/>
      <c r="AG96" s="142"/>
      <c r="AH96" s="142"/>
      <c r="AI96" s="142"/>
      <c r="AJ96" s="140"/>
      <c r="AK96" s="456"/>
      <c r="AL96" s="142"/>
      <c r="AM96" s="142"/>
      <c r="AN96" s="142"/>
      <c r="AO96" s="140"/>
      <c r="AP96" s="456"/>
      <c r="AQ96" s="142"/>
      <c r="AR96" s="142"/>
      <c r="AS96" s="142"/>
      <c r="AT96" s="142"/>
      <c r="AU96" s="142"/>
      <c r="AV96" s="142"/>
      <c r="AW96" s="142"/>
      <c r="AX96" s="142"/>
      <c r="AY96" s="142"/>
      <c r="AZ96" s="142"/>
      <c r="BA96" s="142"/>
      <c r="BB96" s="142"/>
      <c r="BC96" s="142"/>
      <c r="BD96" s="142"/>
      <c r="BE96" s="142"/>
      <c r="BF96" s="142"/>
      <c r="BG96" s="142"/>
      <c r="BH96" s="142"/>
    </row>
    <row r="97">
      <c r="A97" s="140"/>
      <c r="B97" s="456"/>
      <c r="C97" s="142"/>
      <c r="D97" s="142"/>
      <c r="E97" s="142"/>
      <c r="F97" s="140"/>
      <c r="G97" s="456"/>
      <c r="H97" s="142"/>
      <c r="I97" s="142"/>
      <c r="J97" s="142"/>
      <c r="K97" s="125"/>
      <c r="L97" s="456"/>
      <c r="M97" s="142"/>
      <c r="N97" s="142"/>
      <c r="O97" s="142"/>
      <c r="P97" s="125"/>
      <c r="Q97" s="450"/>
      <c r="R97" s="142"/>
      <c r="S97" s="142"/>
      <c r="T97" s="142"/>
      <c r="U97" s="140"/>
      <c r="V97" s="456"/>
      <c r="W97" s="142"/>
      <c r="X97" s="142"/>
      <c r="Y97" s="142"/>
      <c r="Z97" s="140"/>
      <c r="AA97" s="456"/>
      <c r="AB97" s="142"/>
      <c r="AC97" s="142"/>
      <c r="AD97" s="142"/>
      <c r="AE97" s="140"/>
      <c r="AF97" s="456"/>
      <c r="AG97" s="142"/>
      <c r="AH97" s="142"/>
      <c r="AI97" s="142"/>
      <c r="AJ97" s="140"/>
      <c r="AK97" s="456"/>
      <c r="AL97" s="142"/>
      <c r="AM97" s="142"/>
      <c r="AN97" s="142"/>
      <c r="AO97" s="140"/>
      <c r="AP97" s="456"/>
      <c r="AQ97" s="142"/>
      <c r="AR97" s="142"/>
      <c r="AS97" s="142"/>
      <c r="AT97" s="142"/>
      <c r="AU97" s="142"/>
      <c r="AV97" s="142"/>
      <c r="AW97" s="142"/>
      <c r="AX97" s="142"/>
      <c r="AY97" s="142"/>
      <c r="AZ97" s="142"/>
      <c r="BA97" s="142"/>
      <c r="BB97" s="142"/>
      <c r="BC97" s="142"/>
      <c r="BD97" s="142"/>
      <c r="BE97" s="142"/>
      <c r="BF97" s="142"/>
      <c r="BG97" s="142"/>
      <c r="BH97" s="142"/>
    </row>
    <row r="98">
      <c r="A98" s="140"/>
      <c r="B98" s="456"/>
      <c r="C98" s="142"/>
      <c r="D98" s="142"/>
      <c r="E98" s="142"/>
      <c r="F98" s="140"/>
      <c r="G98" s="456"/>
      <c r="H98" s="142"/>
      <c r="I98" s="142"/>
      <c r="J98" s="142"/>
      <c r="K98" s="125"/>
      <c r="L98" s="456"/>
      <c r="M98" s="142"/>
      <c r="N98" s="142"/>
      <c r="O98" s="142"/>
      <c r="P98" s="125"/>
      <c r="Q98" s="450"/>
      <c r="R98" s="142"/>
      <c r="S98" s="142"/>
      <c r="T98" s="142"/>
      <c r="U98" s="140"/>
      <c r="V98" s="456"/>
      <c r="W98" s="142"/>
      <c r="X98" s="142"/>
      <c r="Y98" s="142"/>
      <c r="Z98" s="140"/>
      <c r="AA98" s="456"/>
      <c r="AB98" s="142"/>
      <c r="AC98" s="142"/>
      <c r="AD98" s="142"/>
      <c r="AE98" s="140"/>
      <c r="AF98" s="456"/>
      <c r="AG98" s="142"/>
      <c r="AH98" s="142"/>
      <c r="AI98" s="142"/>
      <c r="AJ98" s="140"/>
      <c r="AK98" s="456"/>
      <c r="AL98" s="142"/>
      <c r="AM98" s="142"/>
      <c r="AN98" s="142"/>
      <c r="AO98" s="140"/>
      <c r="AP98" s="456"/>
      <c r="AQ98" s="142"/>
      <c r="AR98" s="142"/>
      <c r="AS98" s="142"/>
      <c r="AT98" s="142"/>
      <c r="AU98" s="142"/>
      <c r="AV98" s="142"/>
      <c r="AW98" s="142"/>
      <c r="AX98" s="142"/>
      <c r="AY98" s="142"/>
      <c r="AZ98" s="142"/>
      <c r="BA98" s="142"/>
      <c r="BB98" s="142"/>
      <c r="BC98" s="142"/>
      <c r="BD98" s="142"/>
      <c r="BE98" s="142"/>
      <c r="BF98" s="142"/>
      <c r="BG98" s="142"/>
      <c r="BH98" s="142"/>
    </row>
    <row r="99">
      <c r="A99" s="140"/>
      <c r="B99" s="456"/>
      <c r="C99" s="142"/>
      <c r="D99" s="142"/>
      <c r="E99" s="142"/>
      <c r="F99" s="140"/>
      <c r="G99" s="456"/>
      <c r="H99" s="142"/>
      <c r="I99" s="142"/>
      <c r="J99" s="142"/>
      <c r="K99" s="125"/>
      <c r="L99" s="456"/>
      <c r="M99" s="142"/>
      <c r="N99" s="142"/>
      <c r="O99" s="142"/>
      <c r="P99" s="125"/>
      <c r="Q99" s="450"/>
      <c r="R99" s="142"/>
      <c r="S99" s="142"/>
      <c r="T99" s="142"/>
      <c r="U99" s="140"/>
      <c r="V99" s="456"/>
      <c r="W99" s="142"/>
      <c r="X99" s="142"/>
      <c r="Y99" s="142"/>
      <c r="Z99" s="140"/>
      <c r="AA99" s="456"/>
      <c r="AB99" s="142"/>
      <c r="AC99" s="142"/>
      <c r="AD99" s="142"/>
      <c r="AE99" s="140"/>
      <c r="AF99" s="456"/>
      <c r="AG99" s="142"/>
      <c r="AH99" s="142"/>
      <c r="AI99" s="142"/>
      <c r="AJ99" s="140"/>
      <c r="AK99" s="456"/>
      <c r="AL99" s="142"/>
      <c r="AM99" s="142"/>
      <c r="AN99" s="142"/>
      <c r="AO99" s="140"/>
      <c r="AP99" s="456"/>
      <c r="AQ99" s="142"/>
      <c r="AR99" s="142"/>
      <c r="AS99" s="142"/>
      <c r="AT99" s="142"/>
      <c r="AU99" s="142"/>
      <c r="AV99" s="142"/>
      <c r="AW99" s="142"/>
      <c r="AX99" s="142"/>
      <c r="AY99" s="142"/>
      <c r="AZ99" s="142"/>
      <c r="BA99" s="142"/>
      <c r="BB99" s="142"/>
      <c r="BC99" s="142"/>
      <c r="BD99" s="142"/>
      <c r="BE99" s="142"/>
      <c r="BF99" s="142"/>
      <c r="BG99" s="142"/>
      <c r="BH99" s="142"/>
    </row>
    <row r="100">
      <c r="A100" s="140"/>
      <c r="B100" s="456"/>
      <c r="C100" s="142"/>
      <c r="D100" s="142"/>
      <c r="E100" s="142"/>
      <c r="F100" s="140"/>
      <c r="G100" s="456"/>
      <c r="H100" s="142"/>
      <c r="I100" s="142"/>
      <c r="J100" s="142"/>
      <c r="K100" s="125"/>
      <c r="L100" s="456"/>
      <c r="M100" s="142"/>
      <c r="N100" s="142"/>
      <c r="O100" s="142"/>
      <c r="P100" s="125"/>
      <c r="Q100" s="450"/>
      <c r="R100" s="142"/>
      <c r="S100" s="142"/>
      <c r="T100" s="142"/>
      <c r="U100" s="140"/>
      <c r="V100" s="456"/>
      <c r="W100" s="142"/>
      <c r="X100" s="142"/>
      <c r="Y100" s="142"/>
      <c r="Z100" s="140"/>
      <c r="AA100" s="456"/>
      <c r="AB100" s="142"/>
      <c r="AC100" s="142"/>
      <c r="AD100" s="142"/>
      <c r="AE100" s="140"/>
      <c r="AF100" s="456"/>
      <c r="AG100" s="142"/>
      <c r="AH100" s="142"/>
      <c r="AI100" s="142"/>
      <c r="AJ100" s="140"/>
      <c r="AK100" s="456"/>
      <c r="AL100" s="142"/>
      <c r="AM100" s="142"/>
      <c r="AN100" s="142"/>
      <c r="AO100" s="140"/>
      <c r="AP100" s="456"/>
      <c r="AQ100" s="142"/>
      <c r="AR100" s="142"/>
      <c r="AS100" s="142"/>
      <c r="AT100" s="142"/>
      <c r="AU100" s="142"/>
      <c r="AV100" s="142"/>
      <c r="AW100" s="142"/>
      <c r="AX100" s="142"/>
      <c r="AY100" s="142"/>
      <c r="AZ100" s="142"/>
      <c r="BA100" s="142"/>
      <c r="BB100" s="142"/>
      <c r="BC100" s="142"/>
      <c r="BD100" s="142"/>
      <c r="BE100" s="142"/>
      <c r="BF100" s="142"/>
      <c r="BG100" s="142"/>
      <c r="BH100" s="142"/>
    </row>
    <row r="101">
      <c r="A101" s="140"/>
      <c r="B101" s="456"/>
      <c r="C101" s="142"/>
      <c r="D101" s="142"/>
      <c r="E101" s="142"/>
      <c r="F101" s="140"/>
      <c r="G101" s="456"/>
      <c r="H101" s="142"/>
      <c r="I101" s="142"/>
      <c r="J101" s="142"/>
      <c r="K101" s="125"/>
      <c r="L101" s="456"/>
      <c r="M101" s="142"/>
      <c r="N101" s="142"/>
      <c r="O101" s="142"/>
      <c r="P101" s="125"/>
      <c r="Q101" s="450"/>
      <c r="R101" s="142"/>
      <c r="S101" s="142"/>
      <c r="T101" s="142"/>
      <c r="U101" s="140"/>
      <c r="V101" s="456"/>
      <c r="W101" s="142"/>
      <c r="X101" s="142"/>
      <c r="Y101" s="142"/>
      <c r="Z101" s="140"/>
      <c r="AA101" s="456"/>
      <c r="AB101" s="142"/>
      <c r="AC101" s="142"/>
      <c r="AD101" s="142"/>
      <c r="AE101" s="140"/>
      <c r="AF101" s="456"/>
      <c r="AG101" s="142"/>
      <c r="AH101" s="142"/>
      <c r="AI101" s="142"/>
      <c r="AJ101" s="140"/>
      <c r="AK101" s="456"/>
      <c r="AL101" s="142"/>
      <c r="AM101" s="142"/>
      <c r="AN101" s="142"/>
      <c r="AO101" s="140"/>
      <c r="AP101" s="456"/>
      <c r="AQ101" s="142"/>
      <c r="AR101" s="142"/>
      <c r="AS101" s="142"/>
      <c r="AT101" s="142"/>
      <c r="AU101" s="142"/>
      <c r="AV101" s="142"/>
      <c r="AW101" s="142"/>
      <c r="AX101" s="142"/>
      <c r="AY101" s="142"/>
      <c r="AZ101" s="142"/>
      <c r="BA101" s="142"/>
      <c r="BB101" s="142"/>
      <c r="BC101" s="142"/>
      <c r="BD101" s="142"/>
      <c r="BE101" s="142"/>
      <c r="BF101" s="142"/>
      <c r="BG101" s="142"/>
      <c r="BH101" s="142"/>
    </row>
    <row r="102">
      <c r="A102" s="140"/>
      <c r="B102" s="456"/>
      <c r="C102" s="142"/>
      <c r="D102" s="142"/>
      <c r="E102" s="142"/>
      <c r="F102" s="140"/>
      <c r="G102" s="456"/>
      <c r="H102" s="142"/>
      <c r="I102" s="142"/>
      <c r="J102" s="142"/>
      <c r="K102" s="125"/>
      <c r="L102" s="456"/>
      <c r="M102" s="142"/>
      <c r="N102" s="142"/>
      <c r="O102" s="142"/>
      <c r="P102" s="125"/>
      <c r="Q102" s="450"/>
      <c r="R102" s="142"/>
      <c r="S102" s="142"/>
      <c r="T102" s="142"/>
      <c r="U102" s="140"/>
      <c r="V102" s="456"/>
      <c r="W102" s="142"/>
      <c r="X102" s="142"/>
      <c r="Y102" s="142"/>
      <c r="Z102" s="140"/>
      <c r="AA102" s="456"/>
      <c r="AB102" s="142"/>
      <c r="AC102" s="142"/>
      <c r="AD102" s="142"/>
      <c r="AE102" s="140"/>
      <c r="AF102" s="456"/>
      <c r="AG102" s="142"/>
      <c r="AH102" s="142"/>
      <c r="AI102" s="142"/>
      <c r="AJ102" s="140"/>
      <c r="AK102" s="456"/>
      <c r="AL102" s="142"/>
      <c r="AM102" s="142"/>
      <c r="AN102" s="142"/>
      <c r="AO102" s="140"/>
      <c r="AP102" s="456"/>
      <c r="AQ102" s="142"/>
      <c r="AR102" s="142"/>
      <c r="AS102" s="142"/>
      <c r="AT102" s="142"/>
      <c r="AU102" s="142"/>
      <c r="AV102" s="142"/>
      <c r="AW102" s="142"/>
      <c r="AX102" s="142"/>
      <c r="AY102" s="142"/>
      <c r="AZ102" s="142"/>
      <c r="BA102" s="142"/>
      <c r="BB102" s="142"/>
      <c r="BC102" s="142"/>
      <c r="BD102" s="142"/>
      <c r="BE102" s="142"/>
      <c r="BF102" s="142"/>
      <c r="BG102" s="142"/>
      <c r="BH102" s="142"/>
    </row>
    <row r="103">
      <c r="A103" s="140"/>
      <c r="B103" s="456"/>
      <c r="C103" s="142"/>
      <c r="D103" s="142"/>
      <c r="E103" s="142"/>
      <c r="F103" s="140"/>
      <c r="G103" s="456"/>
      <c r="H103" s="142"/>
      <c r="I103" s="142"/>
      <c r="J103" s="142"/>
      <c r="K103" s="125"/>
      <c r="L103" s="456"/>
      <c r="M103" s="142"/>
      <c r="N103" s="142"/>
      <c r="O103" s="142"/>
      <c r="P103" s="125"/>
      <c r="Q103" s="450"/>
      <c r="R103" s="142"/>
      <c r="S103" s="142"/>
      <c r="T103" s="142"/>
      <c r="U103" s="140"/>
      <c r="V103" s="456"/>
      <c r="W103" s="142"/>
      <c r="X103" s="142"/>
      <c r="Y103" s="142"/>
      <c r="Z103" s="140"/>
      <c r="AA103" s="456"/>
      <c r="AB103" s="142"/>
      <c r="AC103" s="142"/>
      <c r="AD103" s="142"/>
      <c r="AE103" s="140"/>
      <c r="AF103" s="456"/>
      <c r="AG103" s="142"/>
      <c r="AH103" s="142"/>
      <c r="AI103" s="142"/>
      <c r="AJ103" s="140"/>
      <c r="AK103" s="456"/>
      <c r="AL103" s="142"/>
      <c r="AM103" s="142"/>
      <c r="AN103" s="142"/>
      <c r="AO103" s="140"/>
      <c r="AP103" s="456"/>
      <c r="AQ103" s="142"/>
      <c r="AR103" s="142"/>
      <c r="AS103" s="142"/>
      <c r="AT103" s="142"/>
      <c r="AU103" s="142"/>
      <c r="AV103" s="142"/>
      <c r="AW103" s="142"/>
      <c r="AX103" s="142"/>
      <c r="AY103" s="142"/>
      <c r="AZ103" s="142"/>
      <c r="BA103" s="142"/>
      <c r="BB103" s="142"/>
      <c r="BC103" s="142"/>
      <c r="BD103" s="142"/>
      <c r="BE103" s="142"/>
      <c r="BF103" s="142"/>
      <c r="BG103" s="142"/>
      <c r="BH103" s="142"/>
    </row>
    <row r="104">
      <c r="A104" s="140"/>
      <c r="B104" s="456"/>
      <c r="C104" s="142"/>
      <c r="D104" s="142"/>
      <c r="E104" s="142"/>
      <c r="F104" s="140"/>
      <c r="G104" s="456"/>
      <c r="H104" s="142"/>
      <c r="I104" s="142"/>
      <c r="J104" s="142"/>
      <c r="K104" s="125"/>
      <c r="L104" s="456"/>
      <c r="M104" s="142"/>
      <c r="N104" s="142"/>
      <c r="O104" s="142"/>
      <c r="P104" s="125"/>
      <c r="Q104" s="450"/>
      <c r="R104" s="142"/>
      <c r="S104" s="142"/>
      <c r="T104" s="142"/>
      <c r="U104" s="140"/>
      <c r="V104" s="456"/>
      <c r="W104" s="142"/>
      <c r="X104" s="142"/>
      <c r="Y104" s="142"/>
      <c r="Z104" s="140"/>
      <c r="AA104" s="456"/>
      <c r="AB104" s="142"/>
      <c r="AC104" s="142"/>
      <c r="AD104" s="142"/>
      <c r="AE104" s="140"/>
      <c r="AF104" s="456"/>
      <c r="AG104" s="142"/>
      <c r="AH104" s="142"/>
      <c r="AI104" s="142"/>
      <c r="AJ104" s="140"/>
      <c r="AK104" s="456"/>
      <c r="AL104" s="142"/>
      <c r="AM104" s="142"/>
      <c r="AN104" s="142"/>
      <c r="AO104" s="140"/>
      <c r="AP104" s="456"/>
      <c r="AQ104" s="142"/>
      <c r="AR104" s="142"/>
      <c r="AS104" s="142"/>
      <c r="AT104" s="142"/>
      <c r="AU104" s="142"/>
      <c r="AV104" s="142"/>
      <c r="AW104" s="142"/>
      <c r="AX104" s="142"/>
      <c r="AY104" s="142"/>
      <c r="AZ104" s="142"/>
      <c r="BA104" s="142"/>
      <c r="BB104" s="142"/>
      <c r="BC104" s="142"/>
      <c r="BD104" s="142"/>
      <c r="BE104" s="142"/>
      <c r="BF104" s="142"/>
      <c r="BG104" s="142"/>
      <c r="BH104" s="142"/>
    </row>
    <row r="105">
      <c r="A105" s="140"/>
      <c r="B105" s="456"/>
      <c r="C105" s="142"/>
      <c r="D105" s="142"/>
      <c r="E105" s="142"/>
      <c r="F105" s="140"/>
      <c r="G105" s="456"/>
      <c r="H105" s="142"/>
      <c r="I105" s="142"/>
      <c r="J105" s="142"/>
      <c r="K105" s="125"/>
      <c r="L105" s="456"/>
      <c r="M105" s="142"/>
      <c r="N105" s="142"/>
      <c r="O105" s="142"/>
      <c r="P105" s="125"/>
      <c r="Q105" s="450"/>
      <c r="R105" s="142"/>
      <c r="S105" s="142"/>
      <c r="T105" s="142"/>
      <c r="U105" s="140"/>
      <c r="V105" s="456"/>
      <c r="W105" s="142"/>
      <c r="X105" s="142"/>
      <c r="Y105" s="142"/>
      <c r="Z105" s="140"/>
      <c r="AA105" s="456"/>
      <c r="AB105" s="142"/>
      <c r="AC105" s="142"/>
      <c r="AD105" s="142"/>
      <c r="AE105" s="140"/>
      <c r="AF105" s="456"/>
      <c r="AG105" s="142"/>
      <c r="AH105" s="142"/>
      <c r="AI105" s="142"/>
      <c r="AJ105" s="140"/>
      <c r="AK105" s="456"/>
      <c r="AL105" s="142"/>
      <c r="AM105" s="142"/>
      <c r="AN105" s="142"/>
      <c r="AO105" s="140"/>
      <c r="AP105" s="456"/>
      <c r="AQ105" s="142"/>
      <c r="AR105" s="142"/>
      <c r="AS105" s="142"/>
      <c r="AT105" s="142"/>
      <c r="AU105" s="142"/>
      <c r="AV105" s="142"/>
      <c r="AW105" s="142"/>
      <c r="AX105" s="142"/>
      <c r="AY105" s="142"/>
      <c r="AZ105" s="142"/>
      <c r="BA105" s="142"/>
      <c r="BB105" s="142"/>
      <c r="BC105" s="142"/>
      <c r="BD105" s="142"/>
      <c r="BE105" s="142"/>
      <c r="BF105" s="142"/>
      <c r="BG105" s="142"/>
      <c r="BH105" s="142"/>
    </row>
    <row r="106">
      <c r="A106" s="140"/>
      <c r="B106" s="456"/>
      <c r="C106" s="142"/>
      <c r="D106" s="142"/>
      <c r="E106" s="142"/>
      <c r="F106" s="140"/>
      <c r="G106" s="456"/>
      <c r="H106" s="142"/>
      <c r="I106" s="142"/>
      <c r="J106" s="142"/>
      <c r="K106" s="125"/>
      <c r="L106" s="456"/>
      <c r="M106" s="142"/>
      <c r="N106" s="142"/>
      <c r="O106" s="142"/>
      <c r="P106" s="125"/>
      <c r="Q106" s="450"/>
      <c r="R106" s="142"/>
      <c r="S106" s="142"/>
      <c r="T106" s="142"/>
      <c r="U106" s="140"/>
      <c r="V106" s="456"/>
      <c r="W106" s="142"/>
      <c r="X106" s="142"/>
      <c r="Y106" s="142"/>
      <c r="Z106" s="140"/>
      <c r="AA106" s="456"/>
      <c r="AB106" s="142"/>
      <c r="AC106" s="142"/>
      <c r="AD106" s="142"/>
      <c r="AE106" s="140"/>
      <c r="AF106" s="456"/>
      <c r="AG106" s="142"/>
      <c r="AH106" s="142"/>
      <c r="AI106" s="142"/>
      <c r="AJ106" s="140"/>
      <c r="AK106" s="456"/>
      <c r="AL106" s="142"/>
      <c r="AM106" s="142"/>
      <c r="AN106" s="142"/>
      <c r="AO106" s="140"/>
      <c r="AP106" s="456"/>
      <c r="AQ106" s="142"/>
      <c r="AR106" s="142"/>
      <c r="AS106" s="142"/>
      <c r="AT106" s="142"/>
      <c r="AU106" s="142"/>
      <c r="AV106" s="142"/>
      <c r="AW106" s="142"/>
      <c r="AX106" s="142"/>
      <c r="AY106" s="142"/>
      <c r="AZ106" s="142"/>
      <c r="BA106" s="142"/>
      <c r="BB106" s="142"/>
      <c r="BC106" s="142"/>
      <c r="BD106" s="142"/>
      <c r="BE106" s="142"/>
      <c r="BF106" s="142"/>
      <c r="BG106" s="142"/>
      <c r="BH106" s="142"/>
    </row>
    <row r="107">
      <c r="A107" s="140"/>
      <c r="B107" s="456"/>
      <c r="C107" s="142"/>
      <c r="D107" s="142"/>
      <c r="E107" s="142"/>
      <c r="F107" s="140"/>
      <c r="G107" s="456"/>
      <c r="H107" s="142"/>
      <c r="I107" s="142"/>
      <c r="J107" s="142"/>
      <c r="K107" s="125"/>
      <c r="L107" s="456"/>
      <c r="M107" s="142"/>
      <c r="N107" s="142"/>
      <c r="O107" s="142"/>
      <c r="P107" s="125"/>
      <c r="Q107" s="450"/>
      <c r="R107" s="142"/>
      <c r="S107" s="142"/>
      <c r="T107" s="142"/>
      <c r="U107" s="140"/>
      <c r="V107" s="456"/>
      <c r="W107" s="142"/>
      <c r="X107" s="142"/>
      <c r="Y107" s="142"/>
      <c r="Z107" s="140"/>
      <c r="AA107" s="456"/>
      <c r="AB107" s="142"/>
      <c r="AC107" s="142"/>
      <c r="AD107" s="142"/>
      <c r="AE107" s="140"/>
      <c r="AF107" s="456"/>
      <c r="AG107" s="142"/>
      <c r="AH107" s="142"/>
      <c r="AI107" s="142"/>
      <c r="AJ107" s="140"/>
      <c r="AK107" s="456"/>
      <c r="AL107" s="142"/>
      <c r="AM107" s="142"/>
      <c r="AN107" s="142"/>
      <c r="AO107" s="140"/>
      <c r="AP107" s="456"/>
      <c r="AQ107" s="142"/>
      <c r="AR107" s="142"/>
      <c r="AS107" s="142"/>
      <c r="AT107" s="142"/>
      <c r="AU107" s="142"/>
      <c r="AV107" s="142"/>
      <c r="AW107" s="142"/>
      <c r="AX107" s="142"/>
      <c r="AY107" s="142"/>
      <c r="AZ107" s="142"/>
      <c r="BA107" s="142"/>
      <c r="BB107" s="142"/>
      <c r="BC107" s="142"/>
      <c r="BD107" s="142"/>
      <c r="BE107" s="142"/>
      <c r="BF107" s="142"/>
      <c r="BG107" s="142"/>
      <c r="BH107" s="142"/>
    </row>
    <row r="108">
      <c r="A108" s="140"/>
      <c r="B108" s="456"/>
      <c r="C108" s="142"/>
      <c r="D108" s="142"/>
      <c r="E108" s="142"/>
      <c r="F108" s="140"/>
      <c r="G108" s="456"/>
      <c r="H108" s="142"/>
      <c r="I108" s="142"/>
      <c r="J108" s="142"/>
      <c r="K108" s="125"/>
      <c r="L108" s="456"/>
      <c r="M108" s="142"/>
      <c r="N108" s="142"/>
      <c r="O108" s="142"/>
      <c r="P108" s="125"/>
      <c r="Q108" s="450"/>
      <c r="R108" s="142"/>
      <c r="S108" s="142"/>
      <c r="T108" s="142"/>
      <c r="U108" s="140"/>
      <c r="V108" s="456"/>
      <c r="W108" s="142"/>
      <c r="X108" s="142"/>
      <c r="Y108" s="142"/>
      <c r="Z108" s="140"/>
      <c r="AA108" s="456"/>
      <c r="AB108" s="142"/>
      <c r="AC108" s="142"/>
      <c r="AD108" s="142"/>
      <c r="AE108" s="140"/>
      <c r="AF108" s="456"/>
      <c r="AG108" s="142"/>
      <c r="AH108" s="142"/>
      <c r="AI108" s="142"/>
      <c r="AJ108" s="140"/>
      <c r="AK108" s="456"/>
      <c r="AL108" s="142"/>
      <c r="AM108" s="142"/>
      <c r="AN108" s="142"/>
      <c r="AO108" s="140"/>
      <c r="AP108" s="456"/>
      <c r="AQ108" s="142"/>
      <c r="AR108" s="142"/>
      <c r="AS108" s="142"/>
      <c r="AT108" s="142"/>
      <c r="AU108" s="142"/>
      <c r="AV108" s="142"/>
      <c r="AW108" s="142"/>
      <c r="AX108" s="142"/>
      <c r="AY108" s="142"/>
      <c r="AZ108" s="142"/>
      <c r="BA108" s="142"/>
      <c r="BB108" s="142"/>
      <c r="BC108" s="142"/>
      <c r="BD108" s="142"/>
      <c r="BE108" s="142"/>
      <c r="BF108" s="142"/>
      <c r="BG108" s="142"/>
      <c r="BH108" s="142"/>
    </row>
    <row r="109">
      <c r="A109" s="140"/>
      <c r="B109" s="456"/>
      <c r="C109" s="142"/>
      <c r="D109" s="142"/>
      <c r="E109" s="142"/>
      <c r="F109" s="140"/>
      <c r="G109" s="456"/>
      <c r="H109" s="142"/>
      <c r="I109" s="142"/>
      <c r="J109" s="142"/>
      <c r="K109" s="125"/>
      <c r="L109" s="456"/>
      <c r="M109" s="142"/>
      <c r="N109" s="142"/>
      <c r="O109" s="142"/>
      <c r="P109" s="125"/>
      <c r="Q109" s="450"/>
      <c r="R109" s="142"/>
      <c r="S109" s="142"/>
      <c r="T109" s="142"/>
      <c r="U109" s="140"/>
      <c r="V109" s="456"/>
      <c r="W109" s="142"/>
      <c r="X109" s="142"/>
      <c r="Y109" s="142"/>
      <c r="Z109" s="140"/>
      <c r="AA109" s="456"/>
      <c r="AB109" s="142"/>
      <c r="AC109" s="142"/>
      <c r="AD109" s="142"/>
      <c r="AE109" s="140"/>
      <c r="AF109" s="456"/>
      <c r="AG109" s="142"/>
      <c r="AH109" s="142"/>
      <c r="AI109" s="142"/>
      <c r="AJ109" s="140"/>
      <c r="AK109" s="456"/>
      <c r="AL109" s="142"/>
      <c r="AM109" s="142"/>
      <c r="AN109" s="142"/>
      <c r="AO109" s="140"/>
      <c r="AP109" s="456"/>
      <c r="AQ109" s="142"/>
      <c r="AR109" s="142"/>
      <c r="AS109" s="142"/>
      <c r="AT109" s="142"/>
      <c r="AU109" s="142"/>
      <c r="AV109" s="142"/>
      <c r="AW109" s="142"/>
      <c r="AX109" s="142"/>
      <c r="AY109" s="142"/>
      <c r="AZ109" s="142"/>
      <c r="BA109" s="142"/>
      <c r="BB109" s="142"/>
      <c r="BC109" s="142"/>
      <c r="BD109" s="142"/>
      <c r="BE109" s="142"/>
      <c r="BF109" s="142"/>
      <c r="BG109" s="142"/>
      <c r="BH109" s="142"/>
    </row>
    <row r="110">
      <c r="A110" s="140"/>
      <c r="B110" s="456"/>
      <c r="C110" s="142"/>
      <c r="D110" s="142"/>
      <c r="E110" s="142"/>
      <c r="F110" s="140"/>
      <c r="G110" s="456"/>
      <c r="H110" s="142"/>
      <c r="I110" s="142"/>
      <c r="J110" s="142"/>
      <c r="K110" s="125"/>
      <c r="L110" s="456"/>
      <c r="M110" s="142"/>
      <c r="N110" s="142"/>
      <c r="O110" s="142"/>
      <c r="P110" s="125"/>
      <c r="Q110" s="450"/>
      <c r="R110" s="142"/>
      <c r="S110" s="142"/>
      <c r="T110" s="142"/>
      <c r="U110" s="140"/>
      <c r="V110" s="456"/>
      <c r="W110" s="142"/>
      <c r="X110" s="142"/>
      <c r="Y110" s="142"/>
      <c r="Z110" s="140"/>
      <c r="AA110" s="456"/>
      <c r="AB110" s="142"/>
      <c r="AC110" s="142"/>
      <c r="AD110" s="142"/>
      <c r="AE110" s="140"/>
      <c r="AF110" s="456"/>
      <c r="AG110" s="142"/>
      <c r="AH110" s="142"/>
      <c r="AI110" s="142"/>
      <c r="AJ110" s="140"/>
      <c r="AK110" s="456"/>
      <c r="AL110" s="142"/>
      <c r="AM110" s="142"/>
      <c r="AN110" s="142"/>
      <c r="AO110" s="140"/>
      <c r="AP110" s="456"/>
      <c r="AQ110" s="142"/>
      <c r="AR110" s="142"/>
      <c r="AS110" s="142"/>
      <c r="AT110" s="142"/>
      <c r="AU110" s="142"/>
      <c r="AV110" s="142"/>
      <c r="AW110" s="142"/>
      <c r="AX110" s="142"/>
      <c r="AY110" s="142"/>
      <c r="AZ110" s="142"/>
      <c r="BA110" s="142"/>
      <c r="BB110" s="142"/>
      <c r="BC110" s="142"/>
      <c r="BD110" s="142"/>
      <c r="BE110" s="142"/>
      <c r="BF110" s="142"/>
      <c r="BG110" s="142"/>
      <c r="BH110" s="142"/>
    </row>
    <row r="111">
      <c r="A111" s="140"/>
      <c r="B111" s="456"/>
      <c r="C111" s="142"/>
      <c r="D111" s="142"/>
      <c r="E111" s="142"/>
      <c r="F111" s="140"/>
      <c r="G111" s="456"/>
      <c r="H111" s="142"/>
      <c r="I111" s="142"/>
      <c r="J111" s="142"/>
      <c r="K111" s="125"/>
      <c r="L111" s="456"/>
      <c r="M111" s="142"/>
      <c r="N111" s="142"/>
      <c r="O111" s="142"/>
      <c r="P111" s="125"/>
      <c r="Q111" s="450"/>
      <c r="R111" s="142"/>
      <c r="S111" s="142"/>
      <c r="T111" s="142"/>
      <c r="U111" s="140"/>
      <c r="V111" s="456"/>
      <c r="W111" s="142"/>
      <c r="X111" s="142"/>
      <c r="Y111" s="142"/>
      <c r="Z111" s="140"/>
      <c r="AA111" s="456"/>
      <c r="AB111" s="142"/>
      <c r="AC111" s="142"/>
      <c r="AD111" s="142"/>
      <c r="AE111" s="140"/>
      <c r="AF111" s="456"/>
      <c r="AG111" s="142"/>
      <c r="AH111" s="142"/>
      <c r="AI111" s="142"/>
      <c r="AJ111" s="140"/>
      <c r="AK111" s="456"/>
      <c r="AL111" s="142"/>
      <c r="AM111" s="142"/>
      <c r="AN111" s="142"/>
      <c r="AO111" s="140"/>
      <c r="AP111" s="456"/>
      <c r="AQ111" s="142"/>
      <c r="AR111" s="142"/>
      <c r="AS111" s="142"/>
      <c r="AT111" s="142"/>
      <c r="AU111" s="142"/>
      <c r="AV111" s="142"/>
      <c r="AW111" s="142"/>
      <c r="AX111" s="142"/>
      <c r="AY111" s="142"/>
      <c r="AZ111" s="142"/>
      <c r="BA111" s="142"/>
      <c r="BB111" s="142"/>
      <c r="BC111" s="142"/>
      <c r="BD111" s="142"/>
      <c r="BE111" s="142"/>
      <c r="BF111" s="142"/>
      <c r="BG111" s="142"/>
      <c r="BH111" s="142"/>
    </row>
    <row r="112">
      <c r="A112" s="140"/>
      <c r="B112" s="456"/>
      <c r="C112" s="142"/>
      <c r="D112" s="142"/>
      <c r="E112" s="142"/>
      <c r="F112" s="140"/>
      <c r="G112" s="456"/>
      <c r="H112" s="142"/>
      <c r="I112" s="142"/>
      <c r="J112" s="142"/>
      <c r="K112" s="125"/>
      <c r="L112" s="456"/>
      <c r="M112" s="142"/>
      <c r="N112" s="142"/>
      <c r="O112" s="142"/>
      <c r="P112" s="125"/>
      <c r="Q112" s="450"/>
      <c r="R112" s="142"/>
      <c r="S112" s="142"/>
      <c r="T112" s="142"/>
      <c r="U112" s="140"/>
      <c r="V112" s="456"/>
      <c r="W112" s="142"/>
      <c r="X112" s="142"/>
      <c r="Y112" s="142"/>
      <c r="Z112" s="140"/>
      <c r="AA112" s="456"/>
      <c r="AB112" s="142"/>
      <c r="AC112" s="142"/>
      <c r="AD112" s="142"/>
      <c r="AE112" s="140"/>
      <c r="AF112" s="456"/>
      <c r="AG112" s="142"/>
      <c r="AH112" s="142"/>
      <c r="AI112" s="142"/>
      <c r="AJ112" s="140"/>
      <c r="AK112" s="456"/>
      <c r="AL112" s="142"/>
      <c r="AM112" s="142"/>
      <c r="AN112" s="142"/>
      <c r="AO112" s="140"/>
      <c r="AP112" s="456"/>
      <c r="AQ112" s="142"/>
      <c r="AR112" s="142"/>
      <c r="AS112" s="142"/>
      <c r="AT112" s="142"/>
      <c r="AU112" s="142"/>
      <c r="AV112" s="142"/>
      <c r="AW112" s="142"/>
      <c r="AX112" s="142"/>
      <c r="AY112" s="142"/>
      <c r="AZ112" s="142"/>
      <c r="BA112" s="142"/>
      <c r="BB112" s="142"/>
      <c r="BC112" s="142"/>
      <c r="BD112" s="142"/>
      <c r="BE112" s="142"/>
      <c r="BF112" s="142"/>
      <c r="BG112" s="142"/>
      <c r="BH112" s="142"/>
    </row>
    <row r="113">
      <c r="A113" s="140"/>
      <c r="B113" s="456"/>
      <c r="C113" s="142"/>
      <c r="D113" s="142"/>
      <c r="E113" s="142"/>
      <c r="F113" s="140"/>
      <c r="G113" s="456"/>
      <c r="H113" s="142"/>
      <c r="I113" s="142"/>
      <c r="J113" s="142"/>
      <c r="K113" s="125"/>
      <c r="L113" s="456"/>
      <c r="M113" s="142"/>
      <c r="N113" s="142"/>
      <c r="O113" s="142"/>
      <c r="P113" s="125"/>
      <c r="Q113" s="450"/>
      <c r="R113" s="142"/>
      <c r="S113" s="142"/>
      <c r="T113" s="142"/>
      <c r="U113" s="140"/>
      <c r="V113" s="456"/>
      <c r="W113" s="142"/>
      <c r="X113" s="142"/>
      <c r="Y113" s="142"/>
      <c r="Z113" s="140"/>
      <c r="AA113" s="456"/>
      <c r="AB113" s="142"/>
      <c r="AC113" s="142"/>
      <c r="AD113" s="142"/>
      <c r="AE113" s="140"/>
      <c r="AF113" s="456"/>
      <c r="AG113" s="142"/>
      <c r="AH113" s="142"/>
      <c r="AI113" s="142"/>
      <c r="AJ113" s="140"/>
      <c r="AK113" s="456"/>
      <c r="AL113" s="142"/>
      <c r="AM113" s="142"/>
      <c r="AN113" s="142"/>
      <c r="AO113" s="140"/>
      <c r="AP113" s="456"/>
      <c r="AQ113" s="142"/>
      <c r="AR113" s="142"/>
      <c r="AS113" s="142"/>
      <c r="AT113" s="142"/>
      <c r="AU113" s="142"/>
      <c r="AV113" s="142"/>
      <c r="AW113" s="142"/>
      <c r="AX113" s="142"/>
      <c r="AY113" s="142"/>
      <c r="AZ113" s="142"/>
      <c r="BA113" s="142"/>
      <c r="BB113" s="142"/>
      <c r="BC113" s="142"/>
      <c r="BD113" s="142"/>
      <c r="BE113" s="142"/>
      <c r="BF113" s="142"/>
      <c r="BG113" s="142"/>
      <c r="BH113" s="142"/>
    </row>
    <row r="114">
      <c r="A114" s="140"/>
      <c r="B114" s="456"/>
      <c r="C114" s="142"/>
      <c r="D114" s="142"/>
      <c r="E114" s="142"/>
      <c r="F114" s="140"/>
      <c r="G114" s="456"/>
      <c r="H114" s="142"/>
      <c r="I114" s="142"/>
      <c r="J114" s="142"/>
      <c r="K114" s="125"/>
      <c r="L114" s="456"/>
      <c r="M114" s="142"/>
      <c r="N114" s="142"/>
      <c r="O114" s="142"/>
      <c r="P114" s="125"/>
      <c r="Q114" s="450"/>
      <c r="R114" s="142"/>
      <c r="S114" s="142"/>
      <c r="T114" s="142"/>
      <c r="U114" s="140"/>
      <c r="V114" s="456"/>
      <c r="W114" s="142"/>
      <c r="X114" s="142"/>
      <c r="Y114" s="142"/>
      <c r="Z114" s="140"/>
      <c r="AA114" s="456"/>
      <c r="AB114" s="142"/>
      <c r="AC114" s="142"/>
      <c r="AD114" s="142"/>
      <c r="AE114" s="140"/>
      <c r="AF114" s="456"/>
      <c r="AG114" s="142"/>
      <c r="AH114" s="142"/>
      <c r="AI114" s="142"/>
      <c r="AJ114" s="140"/>
      <c r="AK114" s="456"/>
      <c r="AL114" s="142"/>
      <c r="AM114" s="142"/>
      <c r="AN114" s="142"/>
      <c r="AO114" s="140"/>
      <c r="AP114" s="456"/>
      <c r="AQ114" s="142"/>
      <c r="AR114" s="142"/>
      <c r="AS114" s="142"/>
      <c r="AT114" s="142"/>
      <c r="AU114" s="142"/>
      <c r="AV114" s="142"/>
      <c r="AW114" s="142"/>
      <c r="AX114" s="142"/>
      <c r="AY114" s="142"/>
      <c r="AZ114" s="142"/>
      <c r="BA114" s="142"/>
      <c r="BB114" s="142"/>
      <c r="BC114" s="142"/>
      <c r="BD114" s="142"/>
      <c r="BE114" s="142"/>
      <c r="BF114" s="142"/>
      <c r="BG114" s="142"/>
      <c r="BH114" s="142"/>
    </row>
    <row r="115">
      <c r="A115" s="140"/>
      <c r="B115" s="456"/>
      <c r="C115" s="142"/>
      <c r="D115" s="142"/>
      <c r="E115" s="142"/>
      <c r="F115" s="140"/>
      <c r="G115" s="456"/>
      <c r="H115" s="142"/>
      <c r="I115" s="142"/>
      <c r="J115" s="142"/>
      <c r="K115" s="125"/>
      <c r="L115" s="456"/>
      <c r="M115" s="142"/>
      <c r="N115" s="142"/>
      <c r="O115" s="142"/>
      <c r="P115" s="125"/>
      <c r="Q115" s="450"/>
      <c r="R115" s="142"/>
      <c r="S115" s="142"/>
      <c r="T115" s="142"/>
      <c r="U115" s="140"/>
      <c r="V115" s="456"/>
      <c r="W115" s="142"/>
      <c r="X115" s="142"/>
      <c r="Y115" s="142"/>
      <c r="Z115" s="140"/>
      <c r="AA115" s="456"/>
      <c r="AB115" s="142"/>
      <c r="AC115" s="142"/>
      <c r="AD115" s="142"/>
      <c r="AE115" s="140"/>
      <c r="AF115" s="456"/>
      <c r="AG115" s="142"/>
      <c r="AH115" s="142"/>
      <c r="AI115" s="142"/>
      <c r="AJ115" s="140"/>
      <c r="AK115" s="456"/>
      <c r="AL115" s="142"/>
      <c r="AM115" s="142"/>
      <c r="AN115" s="142"/>
      <c r="AO115" s="140"/>
      <c r="AP115" s="456"/>
      <c r="AQ115" s="142"/>
      <c r="AR115" s="142"/>
      <c r="AS115" s="142"/>
      <c r="AT115" s="142"/>
      <c r="AU115" s="142"/>
      <c r="AV115" s="142"/>
      <c r="AW115" s="142"/>
      <c r="AX115" s="142"/>
      <c r="AY115" s="142"/>
      <c r="AZ115" s="142"/>
      <c r="BA115" s="142"/>
      <c r="BB115" s="142"/>
      <c r="BC115" s="142"/>
      <c r="BD115" s="142"/>
      <c r="BE115" s="142"/>
      <c r="BF115" s="142"/>
      <c r="BG115" s="142"/>
      <c r="BH115" s="142"/>
    </row>
    <row r="116">
      <c r="A116" s="140"/>
      <c r="B116" s="456"/>
      <c r="C116" s="142"/>
      <c r="D116" s="142"/>
      <c r="E116" s="142"/>
      <c r="F116" s="140"/>
      <c r="G116" s="456"/>
      <c r="H116" s="142"/>
      <c r="I116" s="142"/>
      <c r="J116" s="142"/>
      <c r="K116" s="125"/>
      <c r="L116" s="456"/>
      <c r="M116" s="142"/>
      <c r="N116" s="142"/>
      <c r="O116" s="142"/>
      <c r="P116" s="125"/>
      <c r="Q116" s="450"/>
      <c r="R116" s="142"/>
      <c r="S116" s="142"/>
      <c r="T116" s="142"/>
      <c r="U116" s="140"/>
      <c r="V116" s="456"/>
      <c r="W116" s="142"/>
      <c r="X116" s="142"/>
      <c r="Y116" s="142"/>
      <c r="Z116" s="140"/>
      <c r="AA116" s="456"/>
      <c r="AB116" s="142"/>
      <c r="AC116" s="142"/>
      <c r="AD116" s="142"/>
      <c r="AE116" s="140"/>
      <c r="AF116" s="456"/>
      <c r="AG116" s="142"/>
      <c r="AH116" s="142"/>
      <c r="AI116" s="142"/>
      <c r="AJ116" s="140"/>
      <c r="AK116" s="456"/>
      <c r="AL116" s="142"/>
      <c r="AM116" s="142"/>
      <c r="AN116" s="142"/>
      <c r="AO116" s="140"/>
      <c r="AP116" s="456"/>
      <c r="AQ116" s="142"/>
      <c r="AR116" s="142"/>
      <c r="AS116" s="142"/>
      <c r="AT116" s="142"/>
      <c r="AU116" s="142"/>
      <c r="AV116" s="142"/>
      <c r="AW116" s="142"/>
      <c r="AX116" s="142"/>
      <c r="AY116" s="142"/>
      <c r="AZ116" s="142"/>
      <c r="BA116" s="142"/>
      <c r="BB116" s="142"/>
      <c r="BC116" s="142"/>
      <c r="BD116" s="142"/>
      <c r="BE116" s="142"/>
      <c r="BF116" s="142"/>
      <c r="BG116" s="142"/>
      <c r="BH116" s="142"/>
    </row>
    <row r="117">
      <c r="A117" s="140"/>
      <c r="B117" s="456"/>
      <c r="C117" s="142"/>
      <c r="D117" s="142"/>
      <c r="E117" s="142"/>
      <c r="F117" s="140"/>
      <c r="G117" s="456"/>
      <c r="H117" s="142"/>
      <c r="I117" s="142"/>
      <c r="J117" s="142"/>
      <c r="K117" s="125"/>
      <c r="L117" s="456"/>
      <c r="M117" s="142"/>
      <c r="N117" s="142"/>
      <c r="O117" s="142"/>
      <c r="P117" s="125"/>
      <c r="Q117" s="450"/>
      <c r="R117" s="142"/>
      <c r="S117" s="142"/>
      <c r="T117" s="142"/>
      <c r="U117" s="140"/>
      <c r="V117" s="456"/>
      <c r="W117" s="142"/>
      <c r="X117" s="142"/>
      <c r="Y117" s="142"/>
      <c r="Z117" s="140"/>
      <c r="AA117" s="456"/>
      <c r="AB117" s="142"/>
      <c r="AC117" s="142"/>
      <c r="AD117" s="142"/>
      <c r="AE117" s="140"/>
      <c r="AF117" s="456"/>
      <c r="AG117" s="142"/>
      <c r="AH117" s="142"/>
      <c r="AI117" s="142"/>
      <c r="AJ117" s="140"/>
      <c r="AK117" s="456"/>
      <c r="AL117" s="142"/>
      <c r="AM117" s="142"/>
      <c r="AN117" s="142"/>
      <c r="AO117" s="140"/>
      <c r="AP117" s="456"/>
      <c r="AQ117" s="142"/>
      <c r="AR117" s="142"/>
      <c r="AS117" s="142"/>
      <c r="AT117" s="142"/>
      <c r="AU117" s="142"/>
      <c r="AV117" s="142"/>
      <c r="AW117" s="142"/>
      <c r="AX117" s="142"/>
      <c r="AY117" s="142"/>
      <c r="AZ117" s="142"/>
      <c r="BA117" s="142"/>
      <c r="BB117" s="142"/>
      <c r="BC117" s="142"/>
      <c r="BD117" s="142"/>
      <c r="BE117" s="142"/>
      <c r="BF117" s="142"/>
      <c r="BG117" s="142"/>
      <c r="BH117" s="142"/>
    </row>
    <row r="118">
      <c r="A118" s="140"/>
      <c r="B118" s="456"/>
      <c r="C118" s="142"/>
      <c r="D118" s="142"/>
      <c r="E118" s="142"/>
      <c r="F118" s="140"/>
      <c r="G118" s="456"/>
      <c r="H118" s="142"/>
      <c r="I118" s="142"/>
      <c r="J118" s="142"/>
      <c r="K118" s="125"/>
      <c r="L118" s="456"/>
      <c r="M118" s="142"/>
      <c r="N118" s="142"/>
      <c r="O118" s="142"/>
      <c r="P118" s="125"/>
      <c r="Q118" s="450"/>
      <c r="R118" s="142"/>
      <c r="S118" s="142"/>
      <c r="T118" s="142"/>
      <c r="U118" s="140"/>
      <c r="V118" s="456"/>
      <c r="W118" s="142"/>
      <c r="X118" s="142"/>
      <c r="Y118" s="142"/>
      <c r="Z118" s="140"/>
      <c r="AA118" s="456"/>
      <c r="AB118" s="142"/>
      <c r="AC118" s="142"/>
      <c r="AD118" s="142"/>
      <c r="AE118" s="140"/>
      <c r="AF118" s="456"/>
      <c r="AG118" s="142"/>
      <c r="AH118" s="142"/>
      <c r="AI118" s="142"/>
      <c r="AJ118" s="140"/>
      <c r="AK118" s="456"/>
      <c r="AL118" s="142"/>
      <c r="AM118" s="142"/>
      <c r="AN118" s="142"/>
      <c r="AO118" s="140"/>
      <c r="AP118" s="456"/>
      <c r="AQ118" s="142"/>
      <c r="AR118" s="142"/>
      <c r="AS118" s="142"/>
      <c r="AT118" s="142"/>
      <c r="AU118" s="142"/>
      <c r="AV118" s="142"/>
      <c r="AW118" s="142"/>
      <c r="AX118" s="142"/>
      <c r="AY118" s="142"/>
      <c r="AZ118" s="142"/>
      <c r="BA118" s="142"/>
      <c r="BB118" s="142"/>
      <c r="BC118" s="142"/>
      <c r="BD118" s="142"/>
      <c r="BE118" s="142"/>
      <c r="BF118" s="142"/>
      <c r="BG118" s="142"/>
      <c r="BH118" s="142"/>
    </row>
    <row r="119">
      <c r="A119" s="140"/>
      <c r="B119" s="456"/>
      <c r="C119" s="142"/>
      <c r="D119" s="142"/>
      <c r="E119" s="142"/>
      <c r="F119" s="140"/>
      <c r="G119" s="456"/>
      <c r="H119" s="142"/>
      <c r="I119" s="142"/>
      <c r="J119" s="142"/>
      <c r="K119" s="125"/>
      <c r="L119" s="456"/>
      <c r="M119" s="142"/>
      <c r="N119" s="142"/>
      <c r="O119" s="142"/>
      <c r="P119" s="125"/>
      <c r="Q119" s="450"/>
      <c r="R119" s="142"/>
      <c r="S119" s="142"/>
      <c r="T119" s="142"/>
      <c r="U119" s="140"/>
      <c r="V119" s="456"/>
      <c r="W119" s="142"/>
      <c r="X119" s="142"/>
      <c r="Y119" s="142"/>
      <c r="Z119" s="140"/>
      <c r="AA119" s="456"/>
      <c r="AB119" s="142"/>
      <c r="AC119" s="142"/>
      <c r="AD119" s="142"/>
      <c r="AE119" s="140"/>
      <c r="AF119" s="456"/>
      <c r="AG119" s="142"/>
      <c r="AH119" s="142"/>
      <c r="AI119" s="142"/>
      <c r="AJ119" s="140"/>
      <c r="AK119" s="456"/>
      <c r="AL119" s="142"/>
      <c r="AM119" s="142"/>
      <c r="AN119" s="142"/>
      <c r="AO119" s="140"/>
      <c r="AP119" s="456"/>
      <c r="AQ119" s="142"/>
      <c r="AR119" s="142"/>
      <c r="AS119" s="142"/>
      <c r="AT119" s="142"/>
      <c r="AU119" s="142"/>
      <c r="AV119" s="142"/>
      <c r="AW119" s="142"/>
      <c r="AX119" s="142"/>
      <c r="AY119" s="142"/>
      <c r="AZ119" s="142"/>
      <c r="BA119" s="142"/>
      <c r="BB119" s="142"/>
      <c r="BC119" s="142"/>
      <c r="BD119" s="142"/>
      <c r="BE119" s="142"/>
      <c r="BF119" s="142"/>
      <c r="BG119" s="142"/>
      <c r="BH119" s="142"/>
    </row>
    <row r="120">
      <c r="A120" s="140"/>
      <c r="B120" s="456"/>
      <c r="C120" s="142"/>
      <c r="D120" s="142"/>
      <c r="E120" s="142"/>
      <c r="F120" s="140"/>
      <c r="G120" s="456"/>
      <c r="H120" s="142"/>
      <c r="I120" s="142"/>
      <c r="J120" s="142"/>
      <c r="K120" s="125"/>
      <c r="L120" s="456"/>
      <c r="M120" s="142"/>
      <c r="N120" s="142"/>
      <c r="O120" s="142"/>
      <c r="P120" s="125"/>
      <c r="Q120" s="450"/>
      <c r="R120" s="142"/>
      <c r="S120" s="142"/>
      <c r="T120" s="142"/>
      <c r="U120" s="140"/>
      <c r="V120" s="456"/>
      <c r="W120" s="142"/>
      <c r="X120" s="142"/>
      <c r="Y120" s="142"/>
      <c r="Z120" s="140"/>
      <c r="AA120" s="456"/>
      <c r="AB120" s="142"/>
      <c r="AC120" s="142"/>
      <c r="AD120" s="142"/>
      <c r="AE120" s="140"/>
      <c r="AF120" s="456"/>
      <c r="AG120" s="142"/>
      <c r="AH120" s="142"/>
      <c r="AI120" s="142"/>
      <c r="AJ120" s="140"/>
      <c r="AK120" s="456"/>
      <c r="AL120" s="142"/>
      <c r="AM120" s="142"/>
      <c r="AN120" s="142"/>
      <c r="AO120" s="140"/>
      <c r="AP120" s="456"/>
      <c r="AQ120" s="142"/>
      <c r="AR120" s="142"/>
      <c r="AS120" s="142"/>
      <c r="AT120" s="142"/>
      <c r="AU120" s="142"/>
      <c r="AV120" s="142"/>
      <c r="AW120" s="142"/>
      <c r="AX120" s="142"/>
      <c r="AY120" s="142"/>
      <c r="AZ120" s="142"/>
      <c r="BA120" s="142"/>
      <c r="BB120" s="142"/>
      <c r="BC120" s="142"/>
      <c r="BD120" s="142"/>
      <c r="BE120" s="142"/>
      <c r="BF120" s="142"/>
      <c r="BG120" s="142"/>
      <c r="BH120" s="142"/>
    </row>
    <row r="121">
      <c r="A121" s="140"/>
      <c r="B121" s="456"/>
      <c r="C121" s="142"/>
      <c r="D121" s="142"/>
      <c r="E121" s="142"/>
      <c r="F121" s="140"/>
      <c r="G121" s="456"/>
      <c r="H121" s="142"/>
      <c r="I121" s="142"/>
      <c r="J121" s="142"/>
      <c r="K121" s="125"/>
      <c r="L121" s="456"/>
      <c r="M121" s="142"/>
      <c r="N121" s="142"/>
      <c r="O121" s="142"/>
      <c r="P121" s="125"/>
      <c r="Q121" s="450"/>
      <c r="R121" s="142"/>
      <c r="S121" s="142"/>
      <c r="T121" s="142"/>
      <c r="U121" s="140"/>
      <c r="V121" s="456"/>
      <c r="W121" s="142"/>
      <c r="X121" s="142"/>
      <c r="Y121" s="142"/>
      <c r="Z121" s="140"/>
      <c r="AA121" s="456"/>
      <c r="AB121" s="142"/>
      <c r="AC121" s="142"/>
      <c r="AD121" s="142"/>
      <c r="AE121" s="140"/>
      <c r="AF121" s="456"/>
      <c r="AG121" s="142"/>
      <c r="AH121" s="142"/>
      <c r="AI121" s="142"/>
      <c r="AJ121" s="140"/>
      <c r="AK121" s="456"/>
      <c r="AL121" s="142"/>
      <c r="AM121" s="142"/>
      <c r="AN121" s="142"/>
      <c r="AO121" s="140"/>
      <c r="AP121" s="456"/>
      <c r="AQ121" s="142"/>
      <c r="AR121" s="142"/>
      <c r="AS121" s="142"/>
      <c r="AT121" s="142"/>
      <c r="AU121" s="142"/>
      <c r="AV121" s="142"/>
      <c r="AW121" s="142"/>
      <c r="AX121" s="142"/>
      <c r="AY121" s="142"/>
      <c r="AZ121" s="142"/>
      <c r="BA121" s="142"/>
      <c r="BB121" s="142"/>
      <c r="BC121" s="142"/>
      <c r="BD121" s="142"/>
      <c r="BE121" s="142"/>
      <c r="BF121" s="142"/>
      <c r="BG121" s="142"/>
      <c r="BH121" s="142"/>
    </row>
    <row r="122">
      <c r="A122" s="140"/>
      <c r="B122" s="456"/>
      <c r="C122" s="142"/>
      <c r="D122" s="142"/>
      <c r="E122" s="142"/>
      <c r="F122" s="140"/>
      <c r="G122" s="456"/>
      <c r="H122" s="142"/>
      <c r="I122" s="142"/>
      <c r="J122" s="142"/>
      <c r="K122" s="125"/>
      <c r="L122" s="456"/>
      <c r="M122" s="142"/>
      <c r="N122" s="142"/>
      <c r="O122" s="142"/>
      <c r="P122" s="125"/>
      <c r="Q122" s="450"/>
      <c r="R122" s="142"/>
      <c r="S122" s="142"/>
      <c r="T122" s="142"/>
      <c r="U122" s="140"/>
      <c r="V122" s="456"/>
      <c r="W122" s="142"/>
      <c r="X122" s="142"/>
      <c r="Y122" s="142"/>
      <c r="Z122" s="140"/>
      <c r="AA122" s="456"/>
      <c r="AB122" s="142"/>
      <c r="AC122" s="142"/>
      <c r="AD122" s="142"/>
      <c r="AE122" s="140"/>
      <c r="AF122" s="456"/>
      <c r="AG122" s="142"/>
      <c r="AH122" s="142"/>
      <c r="AI122" s="142"/>
      <c r="AJ122" s="140"/>
      <c r="AK122" s="456"/>
      <c r="AL122" s="142"/>
      <c r="AM122" s="142"/>
      <c r="AN122" s="142"/>
      <c r="AO122" s="140"/>
      <c r="AP122" s="456"/>
      <c r="AQ122" s="142"/>
      <c r="AR122" s="142"/>
      <c r="AS122" s="142"/>
      <c r="AT122" s="142"/>
      <c r="AU122" s="142"/>
      <c r="AV122" s="142"/>
      <c r="AW122" s="142"/>
      <c r="AX122" s="142"/>
      <c r="AY122" s="142"/>
      <c r="AZ122" s="142"/>
      <c r="BA122" s="142"/>
      <c r="BB122" s="142"/>
      <c r="BC122" s="142"/>
      <c r="BD122" s="142"/>
      <c r="BE122" s="142"/>
      <c r="BF122" s="142"/>
      <c r="BG122" s="142"/>
      <c r="BH122" s="142"/>
    </row>
    <row r="123">
      <c r="A123" s="140"/>
      <c r="B123" s="456"/>
      <c r="C123" s="142"/>
      <c r="D123" s="142"/>
      <c r="E123" s="142"/>
      <c r="F123" s="140"/>
      <c r="G123" s="456"/>
      <c r="H123" s="142"/>
      <c r="I123" s="142"/>
      <c r="J123" s="142"/>
      <c r="K123" s="125"/>
      <c r="L123" s="456"/>
      <c r="M123" s="142"/>
      <c r="N123" s="142"/>
      <c r="O123" s="142"/>
      <c r="P123" s="125"/>
      <c r="Q123" s="450"/>
      <c r="R123" s="142"/>
      <c r="S123" s="142"/>
      <c r="T123" s="142"/>
      <c r="U123" s="140"/>
      <c r="V123" s="456"/>
      <c r="W123" s="142"/>
      <c r="X123" s="142"/>
      <c r="Y123" s="142"/>
      <c r="Z123" s="140"/>
      <c r="AA123" s="456"/>
      <c r="AB123" s="142"/>
      <c r="AC123" s="142"/>
      <c r="AD123" s="142"/>
      <c r="AE123" s="140"/>
      <c r="AF123" s="456"/>
      <c r="AG123" s="142"/>
      <c r="AH123" s="142"/>
      <c r="AI123" s="142"/>
      <c r="AJ123" s="140"/>
      <c r="AK123" s="456"/>
      <c r="AL123" s="142"/>
      <c r="AM123" s="142"/>
      <c r="AN123" s="142"/>
      <c r="AO123" s="140"/>
      <c r="AP123" s="456"/>
      <c r="AQ123" s="142"/>
      <c r="AR123" s="142"/>
      <c r="AS123" s="142"/>
      <c r="AT123" s="142"/>
      <c r="AU123" s="142"/>
      <c r="AV123" s="142"/>
      <c r="AW123" s="142"/>
      <c r="AX123" s="142"/>
      <c r="AY123" s="142"/>
      <c r="AZ123" s="142"/>
      <c r="BA123" s="142"/>
      <c r="BB123" s="142"/>
      <c r="BC123" s="142"/>
      <c r="BD123" s="142"/>
      <c r="BE123" s="142"/>
      <c r="BF123" s="142"/>
      <c r="BG123" s="142"/>
      <c r="BH123" s="142"/>
    </row>
    <row r="124">
      <c r="A124" s="140"/>
      <c r="B124" s="456"/>
      <c r="C124" s="142"/>
      <c r="D124" s="142"/>
      <c r="E124" s="142"/>
      <c r="F124" s="140"/>
      <c r="G124" s="456"/>
      <c r="H124" s="142"/>
      <c r="I124" s="142"/>
      <c r="J124" s="142"/>
      <c r="K124" s="125"/>
      <c r="L124" s="456"/>
      <c r="M124" s="142"/>
      <c r="N124" s="142"/>
      <c r="O124" s="142"/>
      <c r="P124" s="125"/>
      <c r="Q124" s="450"/>
      <c r="R124" s="142"/>
      <c r="S124" s="142"/>
      <c r="T124" s="142"/>
      <c r="U124" s="140"/>
      <c r="V124" s="456"/>
      <c r="W124" s="142"/>
      <c r="X124" s="142"/>
      <c r="Y124" s="142"/>
      <c r="Z124" s="140"/>
      <c r="AA124" s="456"/>
      <c r="AB124" s="142"/>
      <c r="AC124" s="142"/>
      <c r="AD124" s="142"/>
      <c r="AE124" s="140"/>
      <c r="AF124" s="456"/>
      <c r="AG124" s="142"/>
      <c r="AH124" s="142"/>
      <c r="AI124" s="142"/>
      <c r="AJ124" s="140"/>
      <c r="AK124" s="456"/>
      <c r="AL124" s="142"/>
      <c r="AM124" s="142"/>
      <c r="AN124" s="142"/>
      <c r="AO124" s="140"/>
      <c r="AP124" s="456"/>
      <c r="AQ124" s="142"/>
      <c r="AR124" s="142"/>
      <c r="AS124" s="142"/>
      <c r="AT124" s="142"/>
      <c r="AU124" s="142"/>
      <c r="AV124" s="142"/>
      <c r="AW124" s="142"/>
      <c r="AX124" s="142"/>
      <c r="AY124" s="142"/>
      <c r="AZ124" s="142"/>
      <c r="BA124" s="142"/>
      <c r="BB124" s="142"/>
      <c r="BC124" s="142"/>
      <c r="BD124" s="142"/>
      <c r="BE124" s="142"/>
      <c r="BF124" s="142"/>
      <c r="BG124" s="142"/>
      <c r="BH124" s="142"/>
    </row>
    <row r="125">
      <c r="A125" s="140"/>
      <c r="B125" s="456"/>
      <c r="C125" s="142"/>
      <c r="D125" s="142"/>
      <c r="E125" s="142"/>
      <c r="F125" s="140"/>
      <c r="G125" s="456"/>
      <c r="H125" s="142"/>
      <c r="I125" s="142"/>
      <c r="J125" s="142"/>
      <c r="K125" s="125"/>
      <c r="L125" s="456"/>
      <c r="M125" s="142"/>
      <c r="N125" s="142"/>
      <c r="O125" s="142"/>
      <c r="P125" s="125"/>
      <c r="Q125" s="450"/>
      <c r="R125" s="142"/>
      <c r="S125" s="142"/>
      <c r="T125" s="142"/>
      <c r="U125" s="140"/>
      <c r="V125" s="456"/>
      <c r="W125" s="142"/>
      <c r="X125" s="142"/>
      <c r="Y125" s="142"/>
      <c r="Z125" s="140"/>
      <c r="AA125" s="456"/>
      <c r="AB125" s="142"/>
      <c r="AC125" s="142"/>
      <c r="AD125" s="142"/>
      <c r="AE125" s="140"/>
      <c r="AF125" s="456"/>
      <c r="AG125" s="142"/>
      <c r="AH125" s="142"/>
      <c r="AI125" s="142"/>
      <c r="AJ125" s="140"/>
      <c r="AK125" s="456"/>
      <c r="AL125" s="142"/>
      <c r="AM125" s="142"/>
      <c r="AN125" s="142"/>
      <c r="AO125" s="140"/>
      <c r="AP125" s="456"/>
      <c r="AQ125" s="142"/>
      <c r="AR125" s="142"/>
      <c r="AS125" s="142"/>
      <c r="AT125" s="142"/>
      <c r="AU125" s="142"/>
      <c r="AV125" s="142"/>
      <c r="AW125" s="142"/>
      <c r="AX125" s="142"/>
      <c r="AY125" s="142"/>
      <c r="AZ125" s="142"/>
      <c r="BA125" s="142"/>
      <c r="BB125" s="142"/>
      <c r="BC125" s="142"/>
      <c r="BD125" s="142"/>
      <c r="BE125" s="142"/>
      <c r="BF125" s="142"/>
      <c r="BG125" s="142"/>
      <c r="BH125" s="142"/>
    </row>
    <row r="126">
      <c r="A126" s="140"/>
      <c r="B126" s="456"/>
      <c r="C126" s="142"/>
      <c r="D126" s="142"/>
      <c r="E126" s="142"/>
      <c r="F126" s="140"/>
      <c r="G126" s="456"/>
      <c r="H126" s="142"/>
      <c r="I126" s="142"/>
      <c r="J126" s="142"/>
      <c r="K126" s="125"/>
      <c r="L126" s="456"/>
      <c r="M126" s="142"/>
      <c r="N126" s="142"/>
      <c r="O126" s="142"/>
      <c r="P126" s="125"/>
      <c r="Q126" s="450"/>
      <c r="R126" s="142"/>
      <c r="S126" s="142"/>
      <c r="T126" s="142"/>
      <c r="U126" s="140"/>
      <c r="V126" s="456"/>
      <c r="W126" s="142"/>
      <c r="X126" s="142"/>
      <c r="Y126" s="142"/>
      <c r="Z126" s="140"/>
      <c r="AA126" s="456"/>
      <c r="AB126" s="142"/>
      <c r="AC126" s="142"/>
      <c r="AD126" s="142"/>
      <c r="AE126" s="140"/>
      <c r="AF126" s="456"/>
      <c r="AG126" s="142"/>
      <c r="AH126" s="142"/>
      <c r="AI126" s="142"/>
      <c r="AJ126" s="140"/>
      <c r="AK126" s="456"/>
      <c r="AL126" s="142"/>
      <c r="AM126" s="142"/>
      <c r="AN126" s="142"/>
      <c r="AO126" s="140"/>
      <c r="AP126" s="456"/>
      <c r="AQ126" s="142"/>
      <c r="AR126" s="142"/>
      <c r="AS126" s="142"/>
      <c r="AT126" s="142"/>
      <c r="AU126" s="142"/>
      <c r="AV126" s="142"/>
      <c r="AW126" s="142"/>
      <c r="AX126" s="142"/>
      <c r="AY126" s="142"/>
      <c r="AZ126" s="142"/>
      <c r="BA126" s="142"/>
      <c r="BB126" s="142"/>
      <c r="BC126" s="142"/>
      <c r="BD126" s="142"/>
      <c r="BE126" s="142"/>
      <c r="BF126" s="142"/>
      <c r="BG126" s="142"/>
      <c r="BH126" s="142"/>
    </row>
    <row r="127">
      <c r="A127" s="140"/>
      <c r="B127" s="456"/>
      <c r="C127" s="142"/>
      <c r="D127" s="142"/>
      <c r="E127" s="142"/>
      <c r="F127" s="140"/>
      <c r="G127" s="456"/>
      <c r="H127" s="142"/>
      <c r="I127" s="142"/>
      <c r="J127" s="142"/>
      <c r="K127" s="125"/>
      <c r="L127" s="456"/>
      <c r="M127" s="142"/>
      <c r="N127" s="142"/>
      <c r="O127" s="142"/>
      <c r="P127" s="125"/>
      <c r="Q127" s="450"/>
      <c r="R127" s="142"/>
      <c r="S127" s="142"/>
      <c r="T127" s="142"/>
      <c r="U127" s="140"/>
      <c r="V127" s="456"/>
      <c r="W127" s="142"/>
      <c r="X127" s="142"/>
      <c r="Y127" s="142"/>
      <c r="Z127" s="140"/>
      <c r="AA127" s="456"/>
      <c r="AB127" s="142"/>
      <c r="AC127" s="142"/>
      <c r="AD127" s="142"/>
      <c r="AE127" s="140"/>
      <c r="AF127" s="456"/>
      <c r="AG127" s="142"/>
      <c r="AH127" s="142"/>
      <c r="AI127" s="142"/>
      <c r="AJ127" s="140"/>
      <c r="AK127" s="456"/>
      <c r="AL127" s="142"/>
      <c r="AM127" s="142"/>
      <c r="AN127" s="142"/>
      <c r="AO127" s="140"/>
      <c r="AP127" s="456"/>
      <c r="AQ127" s="142"/>
      <c r="AR127" s="142"/>
      <c r="AS127" s="142"/>
      <c r="AT127" s="142"/>
      <c r="AU127" s="142"/>
      <c r="AV127" s="142"/>
      <c r="AW127" s="142"/>
      <c r="AX127" s="142"/>
      <c r="AY127" s="142"/>
      <c r="AZ127" s="142"/>
      <c r="BA127" s="142"/>
      <c r="BB127" s="142"/>
      <c r="BC127" s="142"/>
      <c r="BD127" s="142"/>
      <c r="BE127" s="142"/>
      <c r="BF127" s="142"/>
      <c r="BG127" s="142"/>
      <c r="BH127" s="142"/>
    </row>
    <row r="128">
      <c r="A128" s="140"/>
      <c r="B128" s="456"/>
      <c r="C128" s="142"/>
      <c r="D128" s="142"/>
      <c r="E128" s="142"/>
      <c r="F128" s="140"/>
      <c r="G128" s="456"/>
      <c r="H128" s="142"/>
      <c r="I128" s="142"/>
      <c r="J128" s="142"/>
      <c r="K128" s="125"/>
      <c r="L128" s="456"/>
      <c r="M128" s="142"/>
      <c r="N128" s="142"/>
      <c r="O128" s="142"/>
      <c r="P128" s="125"/>
      <c r="Q128" s="450"/>
      <c r="R128" s="142"/>
      <c r="S128" s="142"/>
      <c r="T128" s="142"/>
      <c r="U128" s="140"/>
      <c r="V128" s="456"/>
      <c r="W128" s="142"/>
      <c r="X128" s="142"/>
      <c r="Y128" s="142"/>
      <c r="Z128" s="140"/>
      <c r="AA128" s="456"/>
      <c r="AB128" s="142"/>
      <c r="AC128" s="142"/>
      <c r="AD128" s="142"/>
      <c r="AE128" s="140"/>
      <c r="AF128" s="456"/>
      <c r="AG128" s="142"/>
      <c r="AH128" s="142"/>
      <c r="AI128" s="142"/>
      <c r="AJ128" s="140"/>
      <c r="AK128" s="456"/>
      <c r="AL128" s="142"/>
      <c r="AM128" s="142"/>
      <c r="AN128" s="142"/>
      <c r="AO128" s="140"/>
      <c r="AP128" s="456"/>
      <c r="AQ128" s="142"/>
      <c r="AR128" s="142"/>
      <c r="AS128" s="142"/>
      <c r="AT128" s="142"/>
      <c r="AU128" s="142"/>
      <c r="AV128" s="142"/>
      <c r="AW128" s="142"/>
      <c r="AX128" s="142"/>
      <c r="AY128" s="142"/>
      <c r="AZ128" s="142"/>
      <c r="BA128" s="142"/>
      <c r="BB128" s="142"/>
      <c r="BC128" s="142"/>
      <c r="BD128" s="142"/>
      <c r="BE128" s="142"/>
      <c r="BF128" s="142"/>
      <c r="BG128" s="142"/>
      <c r="BH128" s="142"/>
    </row>
    <row r="129">
      <c r="A129" s="140"/>
      <c r="B129" s="456"/>
      <c r="C129" s="142"/>
      <c r="D129" s="142"/>
      <c r="E129" s="142"/>
      <c r="F129" s="140"/>
      <c r="G129" s="456"/>
      <c r="H129" s="142"/>
      <c r="I129" s="142"/>
      <c r="J129" s="142"/>
      <c r="K129" s="125"/>
      <c r="L129" s="456"/>
      <c r="M129" s="142"/>
      <c r="N129" s="142"/>
      <c r="O129" s="142"/>
      <c r="P129" s="125"/>
      <c r="Q129" s="450"/>
      <c r="R129" s="142"/>
      <c r="S129" s="142"/>
      <c r="T129" s="142"/>
      <c r="U129" s="140"/>
      <c r="V129" s="456"/>
      <c r="W129" s="142"/>
      <c r="X129" s="142"/>
      <c r="Y129" s="142"/>
      <c r="Z129" s="140"/>
      <c r="AA129" s="456"/>
      <c r="AB129" s="142"/>
      <c r="AC129" s="142"/>
      <c r="AD129" s="142"/>
      <c r="AE129" s="140"/>
      <c r="AF129" s="456"/>
      <c r="AG129" s="142"/>
      <c r="AH129" s="142"/>
      <c r="AI129" s="142"/>
      <c r="AJ129" s="140"/>
      <c r="AK129" s="456"/>
      <c r="AL129" s="142"/>
      <c r="AM129" s="142"/>
      <c r="AN129" s="142"/>
      <c r="AO129" s="140"/>
      <c r="AP129" s="456"/>
      <c r="AQ129" s="142"/>
      <c r="AR129" s="142"/>
      <c r="AS129" s="142"/>
      <c r="AT129" s="142"/>
      <c r="AU129" s="142"/>
      <c r="AV129" s="142"/>
      <c r="AW129" s="142"/>
      <c r="AX129" s="142"/>
      <c r="AY129" s="142"/>
      <c r="AZ129" s="142"/>
      <c r="BA129" s="142"/>
      <c r="BB129" s="142"/>
      <c r="BC129" s="142"/>
      <c r="BD129" s="142"/>
      <c r="BE129" s="142"/>
      <c r="BF129" s="142"/>
      <c r="BG129" s="142"/>
      <c r="BH129" s="142"/>
    </row>
    <row r="130">
      <c r="A130" s="140"/>
      <c r="B130" s="456"/>
      <c r="C130" s="142"/>
      <c r="D130" s="142"/>
      <c r="E130" s="142"/>
      <c r="F130" s="140"/>
      <c r="G130" s="456"/>
      <c r="H130" s="142"/>
      <c r="I130" s="142"/>
      <c r="J130" s="142"/>
      <c r="K130" s="125"/>
      <c r="L130" s="456"/>
      <c r="M130" s="142"/>
      <c r="N130" s="142"/>
      <c r="O130" s="142"/>
      <c r="P130" s="125"/>
      <c r="Q130" s="450"/>
      <c r="R130" s="142"/>
      <c r="S130" s="142"/>
      <c r="T130" s="142"/>
      <c r="U130" s="140"/>
      <c r="V130" s="456"/>
      <c r="W130" s="142"/>
      <c r="X130" s="142"/>
      <c r="Y130" s="142"/>
      <c r="Z130" s="140"/>
      <c r="AA130" s="456"/>
      <c r="AB130" s="142"/>
      <c r="AC130" s="142"/>
      <c r="AD130" s="142"/>
      <c r="AE130" s="140"/>
      <c r="AF130" s="456"/>
      <c r="AG130" s="142"/>
      <c r="AH130" s="142"/>
      <c r="AI130" s="142"/>
      <c r="AJ130" s="140"/>
      <c r="AK130" s="456"/>
      <c r="AL130" s="142"/>
      <c r="AM130" s="142"/>
      <c r="AN130" s="142"/>
      <c r="AO130" s="140"/>
      <c r="AP130" s="456"/>
      <c r="AQ130" s="142"/>
      <c r="AR130" s="142"/>
      <c r="AS130" s="142"/>
      <c r="AT130" s="142"/>
      <c r="AU130" s="142"/>
      <c r="AV130" s="142"/>
      <c r="AW130" s="142"/>
      <c r="AX130" s="142"/>
      <c r="AY130" s="142"/>
      <c r="AZ130" s="142"/>
      <c r="BA130" s="142"/>
      <c r="BB130" s="142"/>
      <c r="BC130" s="142"/>
      <c r="BD130" s="142"/>
      <c r="BE130" s="142"/>
      <c r="BF130" s="142"/>
      <c r="BG130" s="142"/>
      <c r="BH130" s="142"/>
    </row>
    <row r="131">
      <c r="A131" s="140"/>
      <c r="B131" s="456"/>
      <c r="C131" s="142"/>
      <c r="D131" s="142"/>
      <c r="E131" s="142"/>
      <c r="F131" s="140"/>
      <c r="G131" s="456"/>
      <c r="H131" s="142"/>
      <c r="I131" s="142"/>
      <c r="J131" s="142"/>
      <c r="K131" s="125"/>
      <c r="L131" s="456"/>
      <c r="M131" s="142"/>
      <c r="N131" s="142"/>
      <c r="O131" s="142"/>
      <c r="P131" s="125"/>
      <c r="Q131" s="450"/>
      <c r="R131" s="142"/>
      <c r="S131" s="142"/>
      <c r="T131" s="142"/>
      <c r="U131" s="140"/>
      <c r="V131" s="456"/>
      <c r="W131" s="142"/>
      <c r="X131" s="142"/>
      <c r="Y131" s="142"/>
      <c r="Z131" s="140"/>
      <c r="AA131" s="456"/>
      <c r="AB131" s="142"/>
      <c r="AC131" s="142"/>
      <c r="AD131" s="142"/>
      <c r="AE131" s="140"/>
      <c r="AF131" s="456"/>
      <c r="AG131" s="142"/>
      <c r="AH131" s="142"/>
      <c r="AI131" s="142"/>
      <c r="AJ131" s="140"/>
      <c r="AK131" s="456"/>
      <c r="AL131" s="142"/>
      <c r="AM131" s="142"/>
      <c r="AN131" s="142"/>
      <c r="AO131" s="140"/>
      <c r="AP131" s="456"/>
      <c r="AQ131" s="142"/>
      <c r="AR131" s="142"/>
      <c r="AS131" s="142"/>
      <c r="AT131" s="142"/>
      <c r="AU131" s="142"/>
      <c r="AV131" s="142"/>
      <c r="AW131" s="142"/>
      <c r="AX131" s="142"/>
      <c r="AY131" s="142"/>
      <c r="AZ131" s="142"/>
      <c r="BA131" s="142"/>
      <c r="BB131" s="142"/>
      <c r="BC131" s="142"/>
      <c r="BD131" s="142"/>
      <c r="BE131" s="142"/>
      <c r="BF131" s="142"/>
      <c r="BG131" s="142"/>
      <c r="BH131" s="142"/>
    </row>
    <row r="132">
      <c r="A132" s="140"/>
      <c r="B132" s="456"/>
      <c r="C132" s="142"/>
      <c r="D132" s="142"/>
      <c r="E132" s="142"/>
      <c r="F132" s="140"/>
      <c r="G132" s="456"/>
      <c r="H132" s="142"/>
      <c r="I132" s="142"/>
      <c r="J132" s="142"/>
      <c r="K132" s="125"/>
      <c r="L132" s="456"/>
      <c r="M132" s="142"/>
      <c r="N132" s="142"/>
      <c r="O132" s="142"/>
      <c r="P132" s="125"/>
      <c r="Q132" s="450"/>
      <c r="R132" s="142"/>
      <c r="S132" s="142"/>
      <c r="T132" s="142"/>
      <c r="U132" s="140"/>
      <c r="V132" s="456"/>
      <c r="W132" s="142"/>
      <c r="X132" s="142"/>
      <c r="Y132" s="142"/>
      <c r="Z132" s="140"/>
      <c r="AA132" s="456"/>
      <c r="AB132" s="142"/>
      <c r="AC132" s="142"/>
      <c r="AD132" s="142"/>
      <c r="AE132" s="140"/>
      <c r="AF132" s="456"/>
      <c r="AG132" s="142"/>
      <c r="AH132" s="142"/>
      <c r="AI132" s="142"/>
      <c r="AJ132" s="140"/>
      <c r="AK132" s="456"/>
      <c r="AL132" s="142"/>
      <c r="AM132" s="142"/>
      <c r="AN132" s="142"/>
      <c r="AO132" s="140"/>
      <c r="AP132" s="456"/>
      <c r="AQ132" s="142"/>
      <c r="AR132" s="142"/>
      <c r="AS132" s="142"/>
      <c r="AT132" s="142"/>
      <c r="AU132" s="142"/>
      <c r="AV132" s="142"/>
      <c r="AW132" s="142"/>
      <c r="AX132" s="142"/>
      <c r="AY132" s="142"/>
      <c r="AZ132" s="142"/>
      <c r="BA132" s="142"/>
      <c r="BB132" s="142"/>
      <c r="BC132" s="142"/>
      <c r="BD132" s="142"/>
      <c r="BE132" s="142"/>
      <c r="BF132" s="142"/>
      <c r="BG132" s="142"/>
      <c r="BH132" s="142"/>
    </row>
    <row r="133">
      <c r="A133" s="140"/>
      <c r="B133" s="456"/>
      <c r="C133" s="142"/>
      <c r="D133" s="142"/>
      <c r="E133" s="142"/>
      <c r="F133" s="140"/>
      <c r="G133" s="456"/>
      <c r="H133" s="142"/>
      <c r="I133" s="142"/>
      <c r="J133" s="142"/>
      <c r="K133" s="125"/>
      <c r="L133" s="456"/>
      <c r="M133" s="142"/>
      <c r="N133" s="142"/>
      <c r="O133" s="142"/>
      <c r="P133" s="125"/>
      <c r="Q133" s="450"/>
      <c r="R133" s="142"/>
      <c r="S133" s="142"/>
      <c r="T133" s="142"/>
      <c r="U133" s="140"/>
      <c r="V133" s="456"/>
      <c r="W133" s="142"/>
      <c r="X133" s="142"/>
      <c r="Y133" s="142"/>
      <c r="Z133" s="140"/>
      <c r="AA133" s="456"/>
      <c r="AB133" s="142"/>
      <c r="AC133" s="142"/>
      <c r="AD133" s="142"/>
      <c r="AE133" s="140"/>
      <c r="AF133" s="456"/>
      <c r="AG133" s="142"/>
      <c r="AH133" s="142"/>
      <c r="AI133" s="142"/>
      <c r="AJ133" s="140"/>
      <c r="AK133" s="456"/>
      <c r="AL133" s="142"/>
      <c r="AM133" s="142"/>
      <c r="AN133" s="142"/>
      <c r="AO133" s="140"/>
      <c r="AP133" s="456"/>
      <c r="AQ133" s="142"/>
      <c r="AR133" s="142"/>
      <c r="AS133" s="142"/>
      <c r="AT133" s="142"/>
      <c r="AU133" s="142"/>
      <c r="AV133" s="142"/>
      <c r="AW133" s="142"/>
      <c r="AX133" s="142"/>
      <c r="AY133" s="142"/>
      <c r="AZ133" s="142"/>
      <c r="BA133" s="142"/>
      <c r="BB133" s="142"/>
      <c r="BC133" s="142"/>
      <c r="BD133" s="142"/>
      <c r="BE133" s="142"/>
      <c r="BF133" s="142"/>
      <c r="BG133" s="142"/>
      <c r="BH133" s="142"/>
    </row>
    <row r="134">
      <c r="A134" s="140"/>
      <c r="B134" s="456"/>
      <c r="C134" s="142"/>
      <c r="D134" s="142"/>
      <c r="E134" s="142"/>
      <c r="F134" s="140"/>
      <c r="G134" s="456"/>
      <c r="H134" s="142"/>
      <c r="I134" s="142"/>
      <c r="J134" s="142"/>
      <c r="K134" s="125"/>
      <c r="L134" s="456"/>
      <c r="M134" s="142"/>
      <c r="N134" s="142"/>
      <c r="O134" s="142"/>
      <c r="P134" s="125"/>
      <c r="Q134" s="450"/>
      <c r="R134" s="142"/>
      <c r="S134" s="142"/>
      <c r="T134" s="142"/>
      <c r="U134" s="140"/>
      <c r="V134" s="456"/>
      <c r="W134" s="142"/>
      <c r="X134" s="142"/>
      <c r="Y134" s="142"/>
      <c r="Z134" s="140"/>
      <c r="AA134" s="456"/>
      <c r="AB134" s="142"/>
      <c r="AC134" s="142"/>
      <c r="AD134" s="142"/>
      <c r="AE134" s="140"/>
      <c r="AF134" s="456"/>
      <c r="AG134" s="142"/>
      <c r="AH134" s="142"/>
      <c r="AI134" s="142"/>
      <c r="AJ134" s="140"/>
      <c r="AK134" s="456"/>
      <c r="AL134" s="142"/>
      <c r="AM134" s="142"/>
      <c r="AN134" s="142"/>
      <c r="AO134" s="140"/>
      <c r="AP134" s="456"/>
      <c r="AQ134" s="142"/>
      <c r="AR134" s="142"/>
      <c r="AS134" s="142"/>
      <c r="AT134" s="142"/>
      <c r="AU134" s="142"/>
      <c r="AV134" s="142"/>
      <c r="AW134" s="142"/>
      <c r="AX134" s="142"/>
      <c r="AY134" s="142"/>
      <c r="AZ134" s="142"/>
      <c r="BA134" s="142"/>
      <c r="BB134" s="142"/>
      <c r="BC134" s="142"/>
      <c r="BD134" s="142"/>
      <c r="BE134" s="142"/>
      <c r="BF134" s="142"/>
      <c r="BG134" s="142"/>
      <c r="BH134" s="142"/>
    </row>
    <row r="135">
      <c r="A135" s="140"/>
      <c r="B135" s="456"/>
      <c r="C135" s="142"/>
      <c r="D135" s="142"/>
      <c r="E135" s="142"/>
      <c r="F135" s="140"/>
      <c r="G135" s="456"/>
      <c r="H135" s="142"/>
      <c r="I135" s="142"/>
      <c r="J135" s="142"/>
      <c r="K135" s="125"/>
      <c r="L135" s="456"/>
      <c r="M135" s="142"/>
      <c r="N135" s="142"/>
      <c r="O135" s="142"/>
      <c r="P135" s="125"/>
      <c r="Q135" s="450"/>
      <c r="R135" s="142"/>
      <c r="S135" s="142"/>
      <c r="T135" s="142"/>
      <c r="U135" s="140"/>
      <c r="V135" s="456"/>
      <c r="W135" s="142"/>
      <c r="X135" s="142"/>
      <c r="Y135" s="142"/>
      <c r="Z135" s="140"/>
      <c r="AA135" s="456"/>
      <c r="AB135" s="142"/>
      <c r="AC135" s="142"/>
      <c r="AD135" s="142"/>
      <c r="AE135" s="140"/>
      <c r="AF135" s="456"/>
      <c r="AG135" s="142"/>
      <c r="AH135" s="142"/>
      <c r="AI135" s="142"/>
      <c r="AJ135" s="140"/>
      <c r="AK135" s="456"/>
      <c r="AL135" s="142"/>
      <c r="AM135" s="142"/>
      <c r="AN135" s="142"/>
      <c r="AO135" s="140"/>
      <c r="AP135" s="456"/>
      <c r="AQ135" s="142"/>
      <c r="AR135" s="142"/>
      <c r="AS135" s="142"/>
      <c r="AT135" s="142"/>
      <c r="AU135" s="142"/>
      <c r="AV135" s="142"/>
      <c r="AW135" s="142"/>
      <c r="AX135" s="142"/>
      <c r="AY135" s="142"/>
      <c r="AZ135" s="142"/>
      <c r="BA135" s="142"/>
      <c r="BB135" s="142"/>
      <c r="BC135" s="142"/>
      <c r="BD135" s="142"/>
      <c r="BE135" s="142"/>
      <c r="BF135" s="142"/>
      <c r="BG135" s="142"/>
      <c r="BH135" s="142"/>
    </row>
    <row r="136">
      <c r="A136" s="140"/>
      <c r="B136" s="456"/>
      <c r="C136" s="142"/>
      <c r="D136" s="142"/>
      <c r="E136" s="142"/>
      <c r="F136" s="140"/>
      <c r="G136" s="456"/>
      <c r="H136" s="142"/>
      <c r="I136" s="142"/>
      <c r="J136" s="142"/>
      <c r="K136" s="125"/>
      <c r="L136" s="456"/>
      <c r="M136" s="142"/>
      <c r="N136" s="142"/>
      <c r="O136" s="142"/>
      <c r="P136" s="125"/>
      <c r="Q136" s="450"/>
      <c r="R136" s="142"/>
      <c r="S136" s="142"/>
      <c r="T136" s="142"/>
      <c r="U136" s="140"/>
      <c r="V136" s="456"/>
      <c r="W136" s="142"/>
      <c r="X136" s="142"/>
      <c r="Y136" s="142"/>
      <c r="Z136" s="140"/>
      <c r="AA136" s="456"/>
      <c r="AB136" s="142"/>
      <c r="AC136" s="142"/>
      <c r="AD136" s="142"/>
      <c r="AE136" s="140"/>
      <c r="AF136" s="456"/>
      <c r="AG136" s="142"/>
      <c r="AH136" s="142"/>
      <c r="AI136" s="142"/>
      <c r="AJ136" s="140"/>
      <c r="AK136" s="456"/>
      <c r="AL136" s="142"/>
      <c r="AM136" s="142"/>
      <c r="AN136" s="142"/>
      <c r="AO136" s="140"/>
      <c r="AP136" s="456"/>
      <c r="AQ136" s="142"/>
      <c r="AR136" s="142"/>
      <c r="AS136" s="142"/>
      <c r="AT136" s="142"/>
      <c r="AU136" s="142"/>
      <c r="AV136" s="142"/>
      <c r="AW136" s="142"/>
      <c r="AX136" s="142"/>
      <c r="AY136" s="142"/>
      <c r="AZ136" s="142"/>
      <c r="BA136" s="142"/>
      <c r="BB136" s="142"/>
      <c r="BC136" s="142"/>
      <c r="BD136" s="142"/>
      <c r="BE136" s="142"/>
      <c r="BF136" s="142"/>
      <c r="BG136" s="142"/>
      <c r="BH136" s="142"/>
    </row>
    <row r="137">
      <c r="A137" s="140"/>
      <c r="B137" s="456"/>
      <c r="C137" s="142"/>
      <c r="D137" s="142"/>
      <c r="E137" s="142"/>
      <c r="F137" s="140"/>
      <c r="G137" s="456"/>
      <c r="H137" s="142"/>
      <c r="I137" s="142"/>
      <c r="J137" s="142"/>
      <c r="K137" s="125"/>
      <c r="L137" s="456"/>
      <c r="M137" s="142"/>
      <c r="N137" s="142"/>
      <c r="O137" s="142"/>
      <c r="P137" s="125"/>
      <c r="Q137" s="450"/>
      <c r="R137" s="142"/>
      <c r="S137" s="142"/>
      <c r="T137" s="142"/>
      <c r="U137" s="140"/>
      <c r="V137" s="456"/>
      <c r="W137" s="142"/>
      <c r="X137" s="142"/>
      <c r="Y137" s="142"/>
      <c r="Z137" s="140"/>
      <c r="AA137" s="456"/>
      <c r="AB137" s="142"/>
      <c r="AC137" s="142"/>
      <c r="AD137" s="142"/>
      <c r="AE137" s="140"/>
      <c r="AF137" s="456"/>
      <c r="AG137" s="142"/>
      <c r="AH137" s="142"/>
      <c r="AI137" s="142"/>
      <c r="AJ137" s="140"/>
      <c r="AK137" s="456"/>
      <c r="AL137" s="142"/>
      <c r="AM137" s="142"/>
      <c r="AN137" s="142"/>
      <c r="AO137" s="140"/>
      <c r="AP137" s="456"/>
      <c r="AQ137" s="142"/>
      <c r="AR137" s="142"/>
      <c r="AS137" s="142"/>
      <c r="AT137" s="142"/>
      <c r="AU137" s="142"/>
      <c r="AV137" s="142"/>
      <c r="AW137" s="142"/>
      <c r="AX137" s="142"/>
      <c r="AY137" s="142"/>
      <c r="AZ137" s="142"/>
      <c r="BA137" s="142"/>
      <c r="BB137" s="142"/>
      <c r="BC137" s="142"/>
      <c r="BD137" s="142"/>
      <c r="BE137" s="142"/>
      <c r="BF137" s="142"/>
      <c r="BG137" s="142"/>
      <c r="BH137" s="142"/>
    </row>
    <row r="138">
      <c r="A138" s="140"/>
      <c r="B138" s="456"/>
      <c r="C138" s="142"/>
      <c r="D138" s="142"/>
      <c r="E138" s="142"/>
      <c r="F138" s="140"/>
      <c r="G138" s="456"/>
      <c r="H138" s="142"/>
      <c r="I138" s="142"/>
      <c r="J138" s="142"/>
      <c r="K138" s="125"/>
      <c r="L138" s="456"/>
      <c r="M138" s="142"/>
      <c r="N138" s="142"/>
      <c r="O138" s="142"/>
      <c r="P138" s="125"/>
      <c r="Q138" s="450"/>
      <c r="R138" s="142"/>
      <c r="S138" s="142"/>
      <c r="T138" s="142"/>
      <c r="U138" s="140"/>
      <c r="V138" s="456"/>
      <c r="W138" s="142"/>
      <c r="X138" s="142"/>
      <c r="Y138" s="142"/>
      <c r="Z138" s="140"/>
      <c r="AA138" s="456"/>
      <c r="AB138" s="142"/>
      <c r="AC138" s="142"/>
      <c r="AD138" s="142"/>
      <c r="AE138" s="140"/>
      <c r="AF138" s="456"/>
      <c r="AG138" s="142"/>
      <c r="AH138" s="142"/>
      <c r="AI138" s="142"/>
      <c r="AJ138" s="140"/>
      <c r="AK138" s="456"/>
      <c r="AL138" s="142"/>
      <c r="AM138" s="142"/>
      <c r="AN138" s="142"/>
      <c r="AO138" s="140"/>
      <c r="AP138" s="456"/>
      <c r="AQ138" s="142"/>
      <c r="AR138" s="142"/>
      <c r="AS138" s="142"/>
      <c r="AT138" s="142"/>
      <c r="AU138" s="142"/>
      <c r="AV138" s="142"/>
      <c r="AW138" s="142"/>
      <c r="AX138" s="142"/>
      <c r="AY138" s="142"/>
      <c r="AZ138" s="142"/>
      <c r="BA138" s="142"/>
      <c r="BB138" s="142"/>
      <c r="BC138" s="142"/>
      <c r="BD138" s="142"/>
      <c r="BE138" s="142"/>
      <c r="BF138" s="142"/>
      <c r="BG138" s="142"/>
      <c r="BH138" s="142"/>
    </row>
    <row r="139">
      <c r="A139" s="140"/>
      <c r="B139" s="456"/>
      <c r="C139" s="142"/>
      <c r="D139" s="142"/>
      <c r="E139" s="142"/>
      <c r="F139" s="140"/>
      <c r="G139" s="456"/>
      <c r="H139" s="142"/>
      <c r="I139" s="142"/>
      <c r="J139" s="142"/>
      <c r="K139" s="125"/>
      <c r="L139" s="456"/>
      <c r="M139" s="142"/>
      <c r="N139" s="142"/>
      <c r="O139" s="142"/>
      <c r="P139" s="125"/>
      <c r="Q139" s="450"/>
      <c r="R139" s="142"/>
      <c r="S139" s="142"/>
      <c r="T139" s="142"/>
      <c r="U139" s="140"/>
      <c r="V139" s="456"/>
      <c r="W139" s="142"/>
      <c r="X139" s="142"/>
      <c r="Y139" s="142"/>
      <c r="Z139" s="140"/>
      <c r="AA139" s="456"/>
      <c r="AB139" s="142"/>
      <c r="AC139" s="142"/>
      <c r="AD139" s="142"/>
      <c r="AE139" s="140"/>
      <c r="AF139" s="456"/>
      <c r="AG139" s="142"/>
      <c r="AH139" s="142"/>
      <c r="AI139" s="142"/>
      <c r="AJ139" s="140"/>
      <c r="AK139" s="456"/>
      <c r="AL139" s="142"/>
      <c r="AM139" s="142"/>
      <c r="AN139" s="142"/>
      <c r="AO139" s="140"/>
      <c r="AP139" s="456"/>
      <c r="AQ139" s="142"/>
      <c r="AR139" s="142"/>
      <c r="AS139" s="142"/>
      <c r="AT139" s="142"/>
      <c r="AU139" s="142"/>
      <c r="AV139" s="142"/>
      <c r="AW139" s="142"/>
      <c r="AX139" s="142"/>
      <c r="AY139" s="142"/>
      <c r="AZ139" s="142"/>
      <c r="BA139" s="142"/>
      <c r="BB139" s="142"/>
      <c r="BC139" s="142"/>
      <c r="BD139" s="142"/>
      <c r="BE139" s="142"/>
      <c r="BF139" s="142"/>
      <c r="BG139" s="142"/>
      <c r="BH139" s="142"/>
    </row>
    <row r="140">
      <c r="A140" s="140"/>
      <c r="B140" s="456"/>
      <c r="C140" s="142"/>
      <c r="D140" s="142"/>
      <c r="E140" s="142"/>
      <c r="F140" s="140"/>
      <c r="G140" s="456"/>
      <c r="H140" s="142"/>
      <c r="I140" s="142"/>
      <c r="J140" s="142"/>
      <c r="K140" s="125"/>
      <c r="L140" s="456"/>
      <c r="M140" s="142"/>
      <c r="N140" s="142"/>
      <c r="O140" s="142"/>
      <c r="P140" s="125"/>
      <c r="Q140" s="450"/>
      <c r="R140" s="142"/>
      <c r="S140" s="142"/>
      <c r="T140" s="142"/>
      <c r="U140" s="140"/>
      <c r="V140" s="456"/>
      <c r="W140" s="142"/>
      <c r="X140" s="142"/>
      <c r="Y140" s="142"/>
      <c r="Z140" s="140"/>
      <c r="AA140" s="456"/>
      <c r="AB140" s="142"/>
      <c r="AC140" s="142"/>
      <c r="AD140" s="142"/>
      <c r="AE140" s="140"/>
      <c r="AF140" s="456"/>
      <c r="AG140" s="142"/>
      <c r="AH140" s="142"/>
      <c r="AI140" s="142"/>
      <c r="AJ140" s="140"/>
      <c r="AK140" s="456"/>
      <c r="AL140" s="142"/>
      <c r="AM140" s="142"/>
      <c r="AN140" s="142"/>
      <c r="AO140" s="140"/>
      <c r="AP140" s="456"/>
      <c r="AQ140" s="142"/>
      <c r="AR140" s="142"/>
      <c r="AS140" s="142"/>
      <c r="AT140" s="142"/>
      <c r="AU140" s="142"/>
      <c r="AV140" s="142"/>
      <c r="AW140" s="142"/>
      <c r="AX140" s="142"/>
      <c r="AY140" s="142"/>
      <c r="AZ140" s="142"/>
      <c r="BA140" s="142"/>
      <c r="BB140" s="142"/>
      <c r="BC140" s="142"/>
      <c r="BD140" s="142"/>
      <c r="BE140" s="142"/>
      <c r="BF140" s="142"/>
      <c r="BG140" s="142"/>
      <c r="BH140" s="142"/>
    </row>
    <row r="141">
      <c r="A141" s="140"/>
      <c r="B141" s="456"/>
      <c r="C141" s="142"/>
      <c r="D141" s="142"/>
      <c r="E141" s="142"/>
      <c r="F141" s="140"/>
      <c r="G141" s="456"/>
      <c r="H141" s="142"/>
      <c r="I141" s="142"/>
      <c r="J141" s="142"/>
      <c r="K141" s="125"/>
      <c r="L141" s="456"/>
      <c r="M141" s="142"/>
      <c r="N141" s="142"/>
      <c r="O141" s="142"/>
      <c r="P141" s="125"/>
      <c r="Q141" s="450"/>
      <c r="R141" s="142"/>
      <c r="S141" s="142"/>
      <c r="T141" s="142"/>
      <c r="U141" s="140"/>
      <c r="V141" s="456"/>
      <c r="W141" s="142"/>
      <c r="X141" s="142"/>
      <c r="Y141" s="142"/>
      <c r="Z141" s="140"/>
      <c r="AA141" s="456"/>
      <c r="AB141" s="142"/>
      <c r="AC141" s="142"/>
      <c r="AD141" s="142"/>
      <c r="AE141" s="140"/>
      <c r="AF141" s="456"/>
      <c r="AG141" s="142"/>
      <c r="AH141" s="142"/>
      <c r="AI141" s="142"/>
      <c r="AJ141" s="140"/>
      <c r="AK141" s="456"/>
      <c r="AL141" s="142"/>
      <c r="AM141" s="142"/>
      <c r="AN141" s="142"/>
      <c r="AO141" s="140"/>
      <c r="AP141" s="456"/>
      <c r="AQ141" s="142"/>
      <c r="AR141" s="142"/>
      <c r="AS141" s="142"/>
      <c r="AT141" s="142"/>
      <c r="AU141" s="142"/>
      <c r="AV141" s="142"/>
      <c r="AW141" s="142"/>
      <c r="AX141" s="142"/>
      <c r="AY141" s="142"/>
      <c r="AZ141" s="142"/>
      <c r="BA141" s="142"/>
      <c r="BB141" s="142"/>
      <c r="BC141" s="142"/>
      <c r="BD141" s="142"/>
      <c r="BE141" s="142"/>
      <c r="BF141" s="142"/>
      <c r="BG141" s="142"/>
      <c r="BH141" s="142"/>
    </row>
    <row r="142">
      <c r="A142" s="140"/>
      <c r="B142" s="456"/>
      <c r="C142" s="142"/>
      <c r="D142" s="142"/>
      <c r="E142" s="142"/>
      <c r="F142" s="140"/>
      <c r="G142" s="456"/>
      <c r="H142" s="142"/>
      <c r="I142" s="142"/>
      <c r="J142" s="142"/>
      <c r="K142" s="125"/>
      <c r="L142" s="456"/>
      <c r="M142" s="142"/>
      <c r="N142" s="142"/>
      <c r="O142" s="142"/>
      <c r="P142" s="125"/>
      <c r="Q142" s="450"/>
      <c r="R142" s="142"/>
      <c r="S142" s="142"/>
      <c r="T142" s="142"/>
      <c r="U142" s="140"/>
      <c r="V142" s="456"/>
      <c r="W142" s="142"/>
      <c r="X142" s="142"/>
      <c r="Y142" s="142"/>
      <c r="Z142" s="140"/>
      <c r="AA142" s="456"/>
      <c r="AB142" s="142"/>
      <c r="AC142" s="142"/>
      <c r="AD142" s="142"/>
      <c r="AE142" s="140"/>
      <c r="AF142" s="456"/>
      <c r="AG142" s="142"/>
      <c r="AH142" s="142"/>
      <c r="AI142" s="142"/>
      <c r="AJ142" s="140"/>
      <c r="AK142" s="456"/>
      <c r="AL142" s="142"/>
      <c r="AM142" s="142"/>
      <c r="AN142" s="142"/>
      <c r="AO142" s="140"/>
      <c r="AP142" s="456"/>
      <c r="AQ142" s="142"/>
      <c r="AR142" s="142"/>
      <c r="AS142" s="142"/>
      <c r="AT142" s="142"/>
      <c r="AU142" s="142"/>
      <c r="AV142" s="142"/>
      <c r="AW142" s="142"/>
      <c r="AX142" s="142"/>
      <c r="AY142" s="142"/>
      <c r="AZ142" s="142"/>
      <c r="BA142" s="142"/>
      <c r="BB142" s="142"/>
      <c r="BC142" s="142"/>
      <c r="BD142" s="142"/>
      <c r="BE142" s="142"/>
      <c r="BF142" s="142"/>
      <c r="BG142" s="142"/>
      <c r="BH142" s="142"/>
    </row>
    <row r="143">
      <c r="A143" s="140"/>
      <c r="B143" s="456"/>
      <c r="C143" s="142"/>
      <c r="D143" s="142"/>
      <c r="E143" s="142"/>
      <c r="F143" s="140"/>
      <c r="G143" s="456"/>
      <c r="H143" s="142"/>
      <c r="I143" s="142"/>
      <c r="J143" s="142"/>
      <c r="K143" s="125"/>
      <c r="L143" s="456"/>
      <c r="M143" s="142"/>
      <c r="N143" s="142"/>
      <c r="O143" s="142"/>
      <c r="P143" s="125"/>
      <c r="Q143" s="450"/>
      <c r="R143" s="142"/>
      <c r="S143" s="142"/>
      <c r="T143" s="142"/>
      <c r="U143" s="140"/>
      <c r="V143" s="456"/>
      <c r="W143" s="142"/>
      <c r="X143" s="142"/>
      <c r="Y143" s="142"/>
      <c r="Z143" s="140"/>
      <c r="AA143" s="456"/>
      <c r="AB143" s="142"/>
      <c r="AC143" s="142"/>
      <c r="AD143" s="142"/>
      <c r="AE143" s="140"/>
      <c r="AF143" s="456"/>
      <c r="AG143" s="142"/>
      <c r="AH143" s="142"/>
      <c r="AI143" s="142"/>
      <c r="AJ143" s="140"/>
      <c r="AK143" s="456"/>
      <c r="AL143" s="142"/>
      <c r="AM143" s="142"/>
      <c r="AN143" s="142"/>
      <c r="AO143" s="140"/>
      <c r="AP143" s="456"/>
      <c r="AQ143" s="142"/>
      <c r="AR143" s="142"/>
      <c r="AS143" s="142"/>
      <c r="AT143" s="142"/>
      <c r="AU143" s="142"/>
      <c r="AV143" s="142"/>
      <c r="AW143" s="142"/>
      <c r="AX143" s="142"/>
      <c r="AY143" s="142"/>
      <c r="AZ143" s="142"/>
      <c r="BA143" s="142"/>
      <c r="BB143" s="142"/>
      <c r="BC143" s="142"/>
      <c r="BD143" s="142"/>
      <c r="BE143" s="142"/>
      <c r="BF143" s="142"/>
      <c r="BG143" s="142"/>
      <c r="BH143" s="142"/>
    </row>
    <row r="144">
      <c r="A144" s="140"/>
      <c r="B144" s="456"/>
      <c r="C144" s="142"/>
      <c r="D144" s="142"/>
      <c r="E144" s="142"/>
      <c r="F144" s="140"/>
      <c r="G144" s="456"/>
      <c r="H144" s="142"/>
      <c r="I144" s="142"/>
      <c r="J144" s="142"/>
      <c r="K144" s="125"/>
      <c r="L144" s="456"/>
      <c r="M144" s="142"/>
      <c r="N144" s="142"/>
      <c r="O144" s="142"/>
      <c r="P144" s="125"/>
      <c r="Q144" s="450"/>
      <c r="R144" s="142"/>
      <c r="S144" s="142"/>
      <c r="T144" s="142"/>
      <c r="U144" s="140"/>
      <c r="V144" s="456"/>
      <c r="W144" s="142"/>
      <c r="X144" s="142"/>
      <c r="Y144" s="142"/>
      <c r="Z144" s="140"/>
      <c r="AA144" s="456"/>
      <c r="AB144" s="142"/>
      <c r="AC144" s="142"/>
      <c r="AD144" s="142"/>
      <c r="AE144" s="140"/>
      <c r="AF144" s="456"/>
      <c r="AG144" s="142"/>
      <c r="AH144" s="142"/>
      <c r="AI144" s="142"/>
      <c r="AJ144" s="140"/>
      <c r="AK144" s="456"/>
      <c r="AL144" s="142"/>
      <c r="AM144" s="142"/>
      <c r="AN144" s="142"/>
      <c r="AO144" s="140"/>
      <c r="AP144" s="456"/>
      <c r="AQ144" s="142"/>
      <c r="AR144" s="142"/>
      <c r="AS144" s="142"/>
      <c r="AT144" s="142"/>
      <c r="AU144" s="142"/>
      <c r="AV144" s="142"/>
      <c r="AW144" s="142"/>
      <c r="AX144" s="142"/>
      <c r="AY144" s="142"/>
      <c r="AZ144" s="142"/>
      <c r="BA144" s="142"/>
      <c r="BB144" s="142"/>
      <c r="BC144" s="142"/>
      <c r="BD144" s="142"/>
      <c r="BE144" s="142"/>
      <c r="BF144" s="142"/>
      <c r="BG144" s="142"/>
      <c r="BH144" s="142"/>
    </row>
    <row r="145">
      <c r="A145" s="140"/>
      <c r="B145" s="456"/>
      <c r="C145" s="142"/>
      <c r="D145" s="142"/>
      <c r="E145" s="142"/>
      <c r="F145" s="140"/>
      <c r="G145" s="456"/>
      <c r="H145" s="142"/>
      <c r="I145" s="142"/>
      <c r="J145" s="142"/>
      <c r="K145" s="125"/>
      <c r="L145" s="456"/>
      <c r="M145" s="142"/>
      <c r="N145" s="142"/>
      <c r="O145" s="142"/>
      <c r="P145" s="125"/>
      <c r="Q145" s="450"/>
      <c r="R145" s="142"/>
      <c r="S145" s="142"/>
      <c r="T145" s="142"/>
      <c r="U145" s="140"/>
      <c r="V145" s="456"/>
      <c r="W145" s="142"/>
      <c r="X145" s="142"/>
      <c r="Y145" s="142"/>
      <c r="Z145" s="140"/>
      <c r="AA145" s="456"/>
      <c r="AB145" s="142"/>
      <c r="AC145" s="142"/>
      <c r="AD145" s="142"/>
      <c r="AE145" s="140"/>
      <c r="AF145" s="456"/>
      <c r="AG145" s="142"/>
      <c r="AH145" s="142"/>
      <c r="AI145" s="142"/>
      <c r="AJ145" s="140"/>
      <c r="AK145" s="456"/>
      <c r="AL145" s="142"/>
      <c r="AM145" s="142"/>
      <c r="AN145" s="142"/>
      <c r="AO145" s="140"/>
      <c r="AP145" s="456"/>
      <c r="AQ145" s="142"/>
      <c r="AR145" s="142"/>
      <c r="AS145" s="142"/>
      <c r="AT145" s="142"/>
      <c r="AU145" s="142"/>
      <c r="AV145" s="142"/>
      <c r="AW145" s="142"/>
      <c r="AX145" s="142"/>
      <c r="AY145" s="142"/>
      <c r="AZ145" s="142"/>
      <c r="BA145" s="142"/>
      <c r="BB145" s="142"/>
      <c r="BC145" s="142"/>
      <c r="BD145" s="142"/>
      <c r="BE145" s="142"/>
      <c r="BF145" s="142"/>
      <c r="BG145" s="142"/>
      <c r="BH145" s="142"/>
    </row>
    <row r="146">
      <c r="A146" s="140"/>
      <c r="B146" s="456"/>
      <c r="C146" s="142"/>
      <c r="D146" s="142"/>
      <c r="E146" s="142"/>
      <c r="F146" s="140"/>
      <c r="G146" s="456"/>
      <c r="H146" s="142"/>
      <c r="I146" s="142"/>
      <c r="J146" s="142"/>
      <c r="K146" s="125"/>
      <c r="L146" s="456"/>
      <c r="M146" s="142"/>
      <c r="N146" s="142"/>
      <c r="O146" s="142"/>
      <c r="P146" s="125"/>
      <c r="Q146" s="450"/>
      <c r="R146" s="142"/>
      <c r="S146" s="142"/>
      <c r="T146" s="142"/>
      <c r="U146" s="140"/>
      <c r="V146" s="456"/>
      <c r="W146" s="142"/>
      <c r="X146" s="142"/>
      <c r="Y146" s="142"/>
      <c r="Z146" s="140"/>
      <c r="AA146" s="456"/>
      <c r="AB146" s="142"/>
      <c r="AC146" s="142"/>
      <c r="AD146" s="142"/>
      <c r="AE146" s="140"/>
      <c r="AF146" s="456"/>
      <c r="AG146" s="142"/>
      <c r="AH146" s="142"/>
      <c r="AI146" s="142"/>
      <c r="AJ146" s="140"/>
      <c r="AK146" s="456"/>
      <c r="AL146" s="142"/>
      <c r="AM146" s="142"/>
      <c r="AN146" s="142"/>
      <c r="AO146" s="140"/>
      <c r="AP146" s="456"/>
      <c r="AQ146" s="142"/>
      <c r="AR146" s="142"/>
      <c r="AS146" s="142"/>
      <c r="AT146" s="142"/>
      <c r="AU146" s="142"/>
      <c r="AV146" s="142"/>
      <c r="AW146" s="142"/>
      <c r="AX146" s="142"/>
      <c r="AY146" s="142"/>
      <c r="AZ146" s="142"/>
      <c r="BA146" s="142"/>
      <c r="BB146" s="142"/>
      <c r="BC146" s="142"/>
      <c r="BD146" s="142"/>
      <c r="BE146" s="142"/>
      <c r="BF146" s="142"/>
      <c r="BG146" s="142"/>
      <c r="BH146" s="142"/>
    </row>
    <row r="147">
      <c r="A147" s="140"/>
      <c r="B147" s="456"/>
      <c r="C147" s="142"/>
      <c r="D147" s="142"/>
      <c r="E147" s="142"/>
      <c r="F147" s="140"/>
      <c r="G147" s="456"/>
      <c r="H147" s="142"/>
      <c r="I147" s="142"/>
      <c r="J147" s="142"/>
      <c r="K147" s="125"/>
      <c r="L147" s="456"/>
      <c r="M147" s="142"/>
      <c r="N147" s="142"/>
      <c r="O147" s="142"/>
      <c r="P147" s="125"/>
      <c r="Q147" s="450"/>
      <c r="R147" s="142"/>
      <c r="S147" s="142"/>
      <c r="T147" s="142"/>
      <c r="U147" s="140"/>
      <c r="V147" s="456"/>
      <c r="W147" s="142"/>
      <c r="X147" s="142"/>
      <c r="Y147" s="142"/>
      <c r="Z147" s="140"/>
      <c r="AA147" s="456"/>
      <c r="AB147" s="142"/>
      <c r="AC147" s="142"/>
      <c r="AD147" s="142"/>
      <c r="AE147" s="140"/>
      <c r="AF147" s="456"/>
      <c r="AG147" s="142"/>
      <c r="AH147" s="142"/>
      <c r="AI147" s="142"/>
      <c r="AJ147" s="140"/>
      <c r="AK147" s="456"/>
      <c r="AL147" s="142"/>
      <c r="AM147" s="142"/>
      <c r="AN147" s="142"/>
      <c r="AO147" s="140"/>
      <c r="AP147" s="456"/>
      <c r="AQ147" s="142"/>
      <c r="AR147" s="142"/>
      <c r="AS147" s="142"/>
      <c r="AT147" s="142"/>
      <c r="AU147" s="142"/>
      <c r="AV147" s="142"/>
      <c r="AW147" s="142"/>
      <c r="AX147" s="142"/>
      <c r="AY147" s="142"/>
      <c r="AZ147" s="142"/>
      <c r="BA147" s="142"/>
      <c r="BB147" s="142"/>
      <c r="BC147" s="142"/>
      <c r="BD147" s="142"/>
      <c r="BE147" s="142"/>
      <c r="BF147" s="142"/>
      <c r="BG147" s="142"/>
      <c r="BH147" s="142"/>
    </row>
    <row r="148">
      <c r="A148" s="140"/>
      <c r="B148" s="456"/>
      <c r="C148" s="142"/>
      <c r="D148" s="142"/>
      <c r="E148" s="142"/>
      <c r="F148" s="140"/>
      <c r="G148" s="456"/>
      <c r="H148" s="142"/>
      <c r="I148" s="142"/>
      <c r="J148" s="142"/>
      <c r="K148" s="125"/>
      <c r="L148" s="456"/>
      <c r="M148" s="142"/>
      <c r="N148" s="142"/>
      <c r="O148" s="142"/>
      <c r="P148" s="125"/>
      <c r="Q148" s="450"/>
      <c r="R148" s="142"/>
      <c r="S148" s="142"/>
      <c r="T148" s="142"/>
      <c r="U148" s="140"/>
      <c r="V148" s="456"/>
      <c r="W148" s="142"/>
      <c r="X148" s="142"/>
      <c r="Y148" s="142"/>
      <c r="Z148" s="140"/>
      <c r="AA148" s="456"/>
      <c r="AB148" s="142"/>
      <c r="AC148" s="142"/>
      <c r="AD148" s="142"/>
      <c r="AE148" s="140"/>
      <c r="AF148" s="456"/>
      <c r="AG148" s="142"/>
      <c r="AH148" s="142"/>
      <c r="AI148" s="142"/>
      <c r="AJ148" s="140"/>
      <c r="AK148" s="456"/>
      <c r="AL148" s="142"/>
      <c r="AM148" s="142"/>
      <c r="AN148" s="142"/>
      <c r="AO148" s="140"/>
      <c r="AP148" s="456"/>
      <c r="AQ148" s="142"/>
      <c r="AR148" s="142"/>
      <c r="AS148" s="142"/>
      <c r="AT148" s="142"/>
      <c r="AU148" s="142"/>
      <c r="AV148" s="142"/>
      <c r="AW148" s="142"/>
      <c r="AX148" s="142"/>
      <c r="AY148" s="142"/>
      <c r="AZ148" s="142"/>
      <c r="BA148" s="142"/>
      <c r="BB148" s="142"/>
      <c r="BC148" s="142"/>
      <c r="BD148" s="142"/>
      <c r="BE148" s="142"/>
      <c r="BF148" s="142"/>
      <c r="BG148" s="142"/>
      <c r="BH148" s="142"/>
    </row>
    <row r="149">
      <c r="A149" s="140"/>
      <c r="B149" s="456"/>
      <c r="C149" s="142"/>
      <c r="D149" s="142"/>
      <c r="E149" s="142"/>
      <c r="F149" s="140"/>
      <c r="G149" s="456"/>
      <c r="H149" s="142"/>
      <c r="I149" s="142"/>
      <c r="J149" s="142"/>
      <c r="K149" s="125"/>
      <c r="L149" s="456"/>
      <c r="M149" s="142"/>
      <c r="N149" s="142"/>
      <c r="O149" s="142"/>
      <c r="P149" s="125"/>
      <c r="Q149" s="450"/>
      <c r="R149" s="142"/>
      <c r="S149" s="142"/>
      <c r="T149" s="142"/>
      <c r="U149" s="140"/>
      <c r="V149" s="456"/>
      <c r="W149" s="142"/>
      <c r="X149" s="142"/>
      <c r="Y149" s="142"/>
      <c r="Z149" s="140"/>
      <c r="AA149" s="456"/>
      <c r="AB149" s="142"/>
      <c r="AC149" s="142"/>
      <c r="AD149" s="142"/>
      <c r="AE149" s="140"/>
      <c r="AF149" s="456"/>
      <c r="AG149" s="142"/>
      <c r="AH149" s="142"/>
      <c r="AI149" s="142"/>
      <c r="AJ149" s="140"/>
      <c r="AK149" s="456"/>
      <c r="AL149" s="142"/>
      <c r="AM149" s="142"/>
      <c r="AN149" s="142"/>
      <c r="AO149" s="140"/>
      <c r="AP149" s="456"/>
      <c r="AQ149" s="142"/>
      <c r="AR149" s="142"/>
      <c r="AS149" s="142"/>
      <c r="AT149" s="142"/>
      <c r="AU149" s="142"/>
      <c r="AV149" s="142"/>
      <c r="AW149" s="142"/>
      <c r="AX149" s="142"/>
      <c r="AY149" s="142"/>
      <c r="AZ149" s="142"/>
      <c r="BA149" s="142"/>
      <c r="BB149" s="142"/>
      <c r="BC149" s="142"/>
      <c r="BD149" s="142"/>
      <c r="BE149" s="142"/>
      <c r="BF149" s="142"/>
      <c r="BG149" s="142"/>
      <c r="BH149" s="142"/>
    </row>
    <row r="150">
      <c r="A150" s="140"/>
      <c r="B150" s="456"/>
      <c r="C150" s="142"/>
      <c r="D150" s="142"/>
      <c r="E150" s="142"/>
      <c r="F150" s="140"/>
      <c r="G150" s="456"/>
      <c r="H150" s="142"/>
      <c r="I150" s="142"/>
      <c r="J150" s="142"/>
      <c r="K150" s="125"/>
      <c r="L150" s="456"/>
      <c r="M150" s="142"/>
      <c r="N150" s="142"/>
      <c r="O150" s="142"/>
      <c r="P150" s="125"/>
      <c r="Q150" s="450"/>
      <c r="R150" s="142"/>
      <c r="S150" s="142"/>
      <c r="T150" s="142"/>
      <c r="U150" s="140"/>
      <c r="V150" s="456"/>
      <c r="W150" s="142"/>
      <c r="X150" s="142"/>
      <c r="Y150" s="142"/>
      <c r="Z150" s="140"/>
      <c r="AA150" s="456"/>
      <c r="AB150" s="142"/>
      <c r="AC150" s="142"/>
      <c r="AD150" s="142"/>
      <c r="AE150" s="140"/>
      <c r="AF150" s="456"/>
      <c r="AG150" s="142"/>
      <c r="AH150" s="142"/>
      <c r="AI150" s="142"/>
      <c r="AJ150" s="140"/>
      <c r="AK150" s="456"/>
      <c r="AL150" s="142"/>
      <c r="AM150" s="142"/>
      <c r="AN150" s="142"/>
      <c r="AO150" s="140"/>
      <c r="AP150" s="456"/>
      <c r="AQ150" s="142"/>
      <c r="AR150" s="142"/>
      <c r="AS150" s="142"/>
      <c r="AT150" s="142"/>
      <c r="AU150" s="142"/>
      <c r="AV150" s="142"/>
      <c r="AW150" s="142"/>
      <c r="AX150" s="142"/>
      <c r="AY150" s="142"/>
      <c r="AZ150" s="142"/>
      <c r="BA150" s="142"/>
      <c r="BB150" s="142"/>
      <c r="BC150" s="142"/>
      <c r="BD150" s="142"/>
      <c r="BE150" s="142"/>
      <c r="BF150" s="142"/>
      <c r="BG150" s="142"/>
      <c r="BH150" s="142"/>
    </row>
    <row r="151">
      <c r="A151" s="140"/>
      <c r="B151" s="456"/>
      <c r="C151" s="142"/>
      <c r="D151" s="142"/>
      <c r="E151" s="142"/>
      <c r="F151" s="140"/>
      <c r="G151" s="456"/>
      <c r="H151" s="142"/>
      <c r="I151" s="142"/>
      <c r="J151" s="142"/>
      <c r="K151" s="125"/>
      <c r="L151" s="456"/>
      <c r="M151" s="142"/>
      <c r="N151" s="142"/>
      <c r="O151" s="142"/>
      <c r="P151" s="125"/>
      <c r="Q151" s="450"/>
      <c r="R151" s="142"/>
      <c r="S151" s="142"/>
      <c r="T151" s="142"/>
      <c r="U151" s="140"/>
      <c r="V151" s="456"/>
      <c r="W151" s="142"/>
      <c r="X151" s="142"/>
      <c r="Y151" s="142"/>
      <c r="Z151" s="140"/>
      <c r="AA151" s="456"/>
      <c r="AB151" s="142"/>
      <c r="AC151" s="142"/>
      <c r="AD151" s="142"/>
      <c r="AE151" s="140"/>
      <c r="AF151" s="456"/>
      <c r="AG151" s="142"/>
      <c r="AH151" s="142"/>
      <c r="AI151" s="142"/>
      <c r="AJ151" s="140"/>
      <c r="AK151" s="456"/>
      <c r="AL151" s="142"/>
      <c r="AM151" s="142"/>
      <c r="AN151" s="142"/>
      <c r="AO151" s="140"/>
      <c r="AP151" s="456"/>
      <c r="AQ151" s="142"/>
      <c r="AR151" s="142"/>
      <c r="AS151" s="142"/>
      <c r="AT151" s="142"/>
      <c r="AU151" s="142"/>
      <c r="AV151" s="142"/>
      <c r="AW151" s="142"/>
      <c r="AX151" s="142"/>
      <c r="AY151" s="142"/>
      <c r="AZ151" s="142"/>
      <c r="BA151" s="142"/>
      <c r="BB151" s="142"/>
      <c r="BC151" s="142"/>
      <c r="BD151" s="142"/>
      <c r="BE151" s="142"/>
      <c r="BF151" s="142"/>
      <c r="BG151" s="142"/>
      <c r="BH151" s="142"/>
    </row>
    <row r="152">
      <c r="A152" s="140"/>
      <c r="B152" s="456"/>
      <c r="C152" s="142"/>
      <c r="D152" s="142"/>
      <c r="E152" s="142"/>
      <c r="F152" s="140"/>
      <c r="G152" s="456"/>
      <c r="H152" s="142"/>
      <c r="I152" s="142"/>
      <c r="J152" s="142"/>
      <c r="K152" s="125"/>
      <c r="L152" s="456"/>
      <c r="M152" s="142"/>
      <c r="N152" s="142"/>
      <c r="O152" s="142"/>
      <c r="P152" s="125"/>
      <c r="Q152" s="450"/>
      <c r="R152" s="142"/>
      <c r="S152" s="142"/>
      <c r="T152" s="142"/>
      <c r="U152" s="140"/>
      <c r="V152" s="456"/>
      <c r="W152" s="142"/>
      <c r="X152" s="142"/>
      <c r="Y152" s="142"/>
      <c r="Z152" s="140"/>
      <c r="AA152" s="456"/>
      <c r="AB152" s="142"/>
      <c r="AC152" s="142"/>
      <c r="AD152" s="142"/>
      <c r="AE152" s="140"/>
      <c r="AF152" s="456"/>
      <c r="AG152" s="142"/>
      <c r="AH152" s="142"/>
      <c r="AI152" s="142"/>
      <c r="AJ152" s="140"/>
      <c r="AK152" s="456"/>
      <c r="AL152" s="142"/>
      <c r="AM152" s="142"/>
      <c r="AN152" s="142"/>
      <c r="AO152" s="140"/>
      <c r="AP152" s="456"/>
      <c r="AQ152" s="142"/>
      <c r="AR152" s="142"/>
      <c r="AS152" s="142"/>
      <c r="AT152" s="142"/>
      <c r="AU152" s="142"/>
      <c r="AV152" s="142"/>
      <c r="AW152" s="142"/>
      <c r="AX152" s="142"/>
      <c r="AY152" s="142"/>
      <c r="AZ152" s="142"/>
      <c r="BA152" s="142"/>
      <c r="BB152" s="142"/>
      <c r="BC152" s="142"/>
      <c r="BD152" s="142"/>
      <c r="BE152" s="142"/>
      <c r="BF152" s="142"/>
      <c r="BG152" s="142"/>
      <c r="BH152" s="142"/>
    </row>
    <row r="153">
      <c r="A153" s="140"/>
      <c r="B153" s="456"/>
      <c r="C153" s="142"/>
      <c r="D153" s="142"/>
      <c r="E153" s="142"/>
      <c r="F153" s="140"/>
      <c r="G153" s="456"/>
      <c r="H153" s="142"/>
      <c r="I153" s="142"/>
      <c r="J153" s="142"/>
      <c r="K153" s="125"/>
      <c r="L153" s="456"/>
      <c r="M153" s="142"/>
      <c r="N153" s="142"/>
      <c r="O153" s="142"/>
      <c r="P153" s="125"/>
      <c r="Q153" s="450"/>
      <c r="R153" s="142"/>
      <c r="S153" s="142"/>
      <c r="T153" s="142"/>
      <c r="U153" s="140"/>
      <c r="V153" s="456"/>
      <c r="W153" s="142"/>
      <c r="X153" s="142"/>
      <c r="Y153" s="142"/>
      <c r="Z153" s="140"/>
      <c r="AA153" s="456"/>
      <c r="AB153" s="142"/>
      <c r="AC153" s="142"/>
      <c r="AD153" s="142"/>
      <c r="AE153" s="140"/>
      <c r="AF153" s="456"/>
      <c r="AG153" s="142"/>
      <c r="AH153" s="142"/>
      <c r="AI153" s="142"/>
      <c r="AJ153" s="140"/>
      <c r="AK153" s="456"/>
      <c r="AL153" s="142"/>
      <c r="AM153" s="142"/>
      <c r="AN153" s="142"/>
      <c r="AO153" s="140"/>
      <c r="AP153" s="456"/>
      <c r="AQ153" s="142"/>
      <c r="AR153" s="142"/>
      <c r="AS153" s="142"/>
      <c r="AT153" s="142"/>
      <c r="AU153" s="142"/>
      <c r="AV153" s="142"/>
      <c r="AW153" s="142"/>
      <c r="AX153" s="142"/>
      <c r="AY153" s="142"/>
      <c r="AZ153" s="142"/>
      <c r="BA153" s="142"/>
      <c r="BB153" s="142"/>
      <c r="BC153" s="142"/>
      <c r="BD153" s="142"/>
      <c r="BE153" s="142"/>
      <c r="BF153" s="142"/>
      <c r="BG153" s="142"/>
      <c r="BH153" s="142"/>
    </row>
    <row r="154">
      <c r="A154" s="140"/>
      <c r="B154" s="456"/>
      <c r="C154" s="142"/>
      <c r="D154" s="142"/>
      <c r="E154" s="142"/>
      <c r="F154" s="140"/>
      <c r="G154" s="456"/>
      <c r="H154" s="142"/>
      <c r="I154" s="142"/>
      <c r="J154" s="142"/>
      <c r="K154" s="125"/>
      <c r="L154" s="456"/>
      <c r="M154" s="142"/>
      <c r="N154" s="142"/>
      <c r="O154" s="142"/>
      <c r="P154" s="125"/>
      <c r="Q154" s="450"/>
      <c r="R154" s="142"/>
      <c r="S154" s="142"/>
      <c r="T154" s="142"/>
      <c r="U154" s="140"/>
      <c r="V154" s="456"/>
      <c r="W154" s="142"/>
      <c r="X154" s="142"/>
      <c r="Y154" s="142"/>
      <c r="Z154" s="140"/>
      <c r="AA154" s="456"/>
      <c r="AB154" s="142"/>
      <c r="AC154" s="142"/>
      <c r="AD154" s="142"/>
      <c r="AE154" s="140"/>
      <c r="AF154" s="456"/>
      <c r="AG154" s="142"/>
      <c r="AH154" s="142"/>
      <c r="AI154" s="142"/>
      <c r="AJ154" s="140"/>
      <c r="AK154" s="456"/>
      <c r="AL154" s="142"/>
      <c r="AM154" s="142"/>
      <c r="AN154" s="142"/>
      <c r="AO154" s="140"/>
      <c r="AP154" s="456"/>
      <c r="AQ154" s="142"/>
      <c r="AR154" s="142"/>
      <c r="AS154" s="142"/>
      <c r="AT154" s="142"/>
      <c r="AU154" s="142"/>
      <c r="AV154" s="142"/>
      <c r="AW154" s="142"/>
      <c r="AX154" s="142"/>
      <c r="AY154" s="142"/>
      <c r="AZ154" s="142"/>
      <c r="BA154" s="142"/>
      <c r="BB154" s="142"/>
      <c r="BC154" s="142"/>
      <c r="BD154" s="142"/>
      <c r="BE154" s="142"/>
      <c r="BF154" s="142"/>
      <c r="BG154" s="142"/>
      <c r="BH154" s="142"/>
    </row>
    <row r="155">
      <c r="A155" s="140"/>
      <c r="B155" s="456"/>
      <c r="C155" s="142"/>
      <c r="D155" s="142"/>
      <c r="E155" s="142"/>
      <c r="F155" s="140"/>
      <c r="G155" s="456"/>
      <c r="H155" s="142"/>
      <c r="I155" s="142"/>
      <c r="J155" s="142"/>
      <c r="K155" s="125"/>
      <c r="L155" s="456"/>
      <c r="M155" s="142"/>
      <c r="N155" s="142"/>
      <c r="O155" s="142"/>
      <c r="P155" s="125"/>
      <c r="Q155" s="450"/>
      <c r="R155" s="142"/>
      <c r="S155" s="142"/>
      <c r="T155" s="142"/>
      <c r="U155" s="140"/>
      <c r="V155" s="456"/>
      <c r="W155" s="142"/>
      <c r="X155" s="142"/>
      <c r="Y155" s="142"/>
      <c r="Z155" s="140"/>
      <c r="AA155" s="456"/>
      <c r="AB155" s="142"/>
      <c r="AC155" s="142"/>
      <c r="AD155" s="142"/>
      <c r="AE155" s="140"/>
      <c r="AF155" s="456"/>
      <c r="AG155" s="142"/>
      <c r="AH155" s="142"/>
      <c r="AI155" s="142"/>
      <c r="AJ155" s="140"/>
      <c r="AK155" s="456"/>
      <c r="AL155" s="142"/>
      <c r="AM155" s="142"/>
      <c r="AN155" s="142"/>
      <c r="AO155" s="140"/>
      <c r="AP155" s="456"/>
      <c r="AQ155" s="142"/>
      <c r="AR155" s="142"/>
      <c r="AS155" s="142"/>
      <c r="AT155" s="142"/>
      <c r="AU155" s="142"/>
      <c r="AV155" s="142"/>
      <c r="AW155" s="142"/>
      <c r="AX155" s="142"/>
      <c r="AY155" s="142"/>
      <c r="AZ155" s="142"/>
      <c r="BA155" s="142"/>
      <c r="BB155" s="142"/>
      <c r="BC155" s="142"/>
      <c r="BD155" s="142"/>
      <c r="BE155" s="142"/>
      <c r="BF155" s="142"/>
      <c r="BG155" s="142"/>
      <c r="BH155" s="142"/>
    </row>
    <row r="156">
      <c r="A156" s="140"/>
      <c r="B156" s="456"/>
      <c r="C156" s="142"/>
      <c r="D156" s="142"/>
      <c r="E156" s="142"/>
      <c r="F156" s="140"/>
      <c r="G156" s="456"/>
      <c r="H156" s="142"/>
      <c r="I156" s="142"/>
      <c r="J156" s="142"/>
      <c r="K156" s="125"/>
      <c r="L156" s="456"/>
      <c r="M156" s="142"/>
      <c r="N156" s="142"/>
      <c r="O156" s="142"/>
      <c r="P156" s="125"/>
      <c r="Q156" s="450"/>
      <c r="R156" s="142"/>
      <c r="S156" s="142"/>
      <c r="T156" s="142"/>
      <c r="U156" s="140"/>
      <c r="V156" s="456"/>
      <c r="W156" s="142"/>
      <c r="X156" s="142"/>
      <c r="Y156" s="142"/>
      <c r="Z156" s="140"/>
      <c r="AA156" s="456"/>
      <c r="AB156" s="142"/>
      <c r="AC156" s="142"/>
      <c r="AD156" s="142"/>
      <c r="AE156" s="140"/>
      <c r="AF156" s="456"/>
      <c r="AG156" s="142"/>
      <c r="AH156" s="142"/>
      <c r="AI156" s="142"/>
      <c r="AJ156" s="140"/>
      <c r="AK156" s="456"/>
      <c r="AL156" s="142"/>
      <c r="AM156" s="142"/>
      <c r="AN156" s="142"/>
      <c r="AO156" s="140"/>
      <c r="AP156" s="456"/>
      <c r="AQ156" s="142"/>
      <c r="AR156" s="142"/>
      <c r="AS156" s="142"/>
      <c r="AT156" s="142"/>
      <c r="AU156" s="142"/>
      <c r="AV156" s="142"/>
      <c r="AW156" s="142"/>
      <c r="AX156" s="142"/>
      <c r="AY156" s="142"/>
      <c r="AZ156" s="142"/>
      <c r="BA156" s="142"/>
      <c r="BB156" s="142"/>
      <c r="BC156" s="142"/>
      <c r="BD156" s="142"/>
      <c r="BE156" s="142"/>
      <c r="BF156" s="142"/>
      <c r="BG156" s="142"/>
      <c r="BH156" s="142"/>
    </row>
    <row r="157">
      <c r="A157" s="140"/>
      <c r="B157" s="456"/>
      <c r="C157" s="142"/>
      <c r="D157" s="142"/>
      <c r="E157" s="142"/>
      <c r="F157" s="140"/>
      <c r="G157" s="456"/>
      <c r="H157" s="142"/>
      <c r="I157" s="142"/>
      <c r="J157" s="142"/>
      <c r="K157" s="125"/>
      <c r="L157" s="456"/>
      <c r="M157" s="142"/>
      <c r="N157" s="142"/>
      <c r="O157" s="142"/>
      <c r="P157" s="125"/>
      <c r="Q157" s="450"/>
      <c r="R157" s="142"/>
      <c r="S157" s="142"/>
      <c r="T157" s="142"/>
      <c r="U157" s="140"/>
      <c r="V157" s="456"/>
      <c r="W157" s="142"/>
      <c r="X157" s="142"/>
      <c r="Y157" s="142"/>
      <c r="Z157" s="140"/>
      <c r="AA157" s="456"/>
      <c r="AB157" s="142"/>
      <c r="AC157" s="142"/>
      <c r="AD157" s="142"/>
      <c r="AE157" s="140"/>
      <c r="AF157" s="456"/>
      <c r="AG157" s="142"/>
      <c r="AH157" s="142"/>
      <c r="AI157" s="142"/>
      <c r="AJ157" s="140"/>
      <c r="AK157" s="456"/>
      <c r="AL157" s="142"/>
      <c r="AM157" s="142"/>
      <c r="AN157" s="142"/>
      <c r="AO157" s="140"/>
      <c r="AP157" s="456"/>
      <c r="AQ157" s="142"/>
      <c r="AR157" s="142"/>
      <c r="AS157" s="142"/>
      <c r="AT157" s="142"/>
      <c r="AU157" s="142"/>
      <c r="AV157" s="142"/>
      <c r="AW157" s="142"/>
      <c r="AX157" s="142"/>
      <c r="AY157" s="142"/>
      <c r="AZ157" s="142"/>
      <c r="BA157" s="142"/>
      <c r="BB157" s="142"/>
      <c r="BC157" s="142"/>
      <c r="BD157" s="142"/>
      <c r="BE157" s="142"/>
      <c r="BF157" s="142"/>
      <c r="BG157" s="142"/>
      <c r="BH157" s="142"/>
    </row>
    <row r="158">
      <c r="A158" s="140"/>
      <c r="B158" s="456"/>
      <c r="C158" s="142"/>
      <c r="D158" s="142"/>
      <c r="E158" s="142"/>
      <c r="F158" s="140"/>
      <c r="G158" s="456"/>
      <c r="H158" s="142"/>
      <c r="I158" s="142"/>
      <c r="J158" s="142"/>
      <c r="K158" s="125"/>
      <c r="L158" s="456"/>
      <c r="M158" s="142"/>
      <c r="N158" s="142"/>
      <c r="O158" s="142"/>
      <c r="P158" s="125"/>
      <c r="Q158" s="450"/>
      <c r="R158" s="142"/>
      <c r="S158" s="142"/>
      <c r="T158" s="142"/>
      <c r="U158" s="140"/>
      <c r="V158" s="456"/>
      <c r="W158" s="142"/>
      <c r="X158" s="142"/>
      <c r="Y158" s="142"/>
      <c r="Z158" s="140"/>
      <c r="AA158" s="456"/>
      <c r="AB158" s="142"/>
      <c r="AC158" s="142"/>
      <c r="AD158" s="142"/>
      <c r="AE158" s="140"/>
      <c r="AF158" s="456"/>
      <c r="AG158" s="142"/>
      <c r="AH158" s="142"/>
      <c r="AI158" s="142"/>
      <c r="AJ158" s="140"/>
      <c r="AK158" s="456"/>
      <c r="AL158" s="142"/>
      <c r="AM158" s="142"/>
      <c r="AN158" s="142"/>
      <c r="AO158" s="140"/>
      <c r="AP158" s="456"/>
      <c r="AQ158" s="142"/>
      <c r="AR158" s="142"/>
      <c r="AS158" s="142"/>
      <c r="AT158" s="142"/>
      <c r="AU158" s="142"/>
      <c r="AV158" s="142"/>
      <c r="AW158" s="142"/>
      <c r="AX158" s="142"/>
      <c r="AY158" s="142"/>
      <c r="AZ158" s="142"/>
      <c r="BA158" s="142"/>
      <c r="BB158" s="142"/>
      <c r="BC158" s="142"/>
      <c r="BD158" s="142"/>
      <c r="BE158" s="142"/>
      <c r="BF158" s="142"/>
      <c r="BG158" s="142"/>
      <c r="BH158" s="142"/>
    </row>
    <row r="159">
      <c r="A159" s="140"/>
      <c r="B159" s="456"/>
      <c r="C159" s="142"/>
      <c r="D159" s="142"/>
      <c r="E159" s="142"/>
      <c r="F159" s="140"/>
      <c r="G159" s="456"/>
      <c r="H159" s="142"/>
      <c r="I159" s="142"/>
      <c r="J159" s="142"/>
      <c r="K159" s="125"/>
      <c r="L159" s="456"/>
      <c r="M159" s="142"/>
      <c r="N159" s="142"/>
      <c r="O159" s="142"/>
      <c r="P159" s="125"/>
      <c r="Q159" s="450"/>
      <c r="R159" s="142"/>
      <c r="S159" s="142"/>
      <c r="T159" s="142"/>
      <c r="U159" s="140"/>
      <c r="V159" s="456"/>
      <c r="W159" s="142"/>
      <c r="X159" s="142"/>
      <c r="Y159" s="142"/>
      <c r="Z159" s="140"/>
      <c r="AA159" s="456"/>
      <c r="AB159" s="142"/>
      <c r="AC159" s="142"/>
      <c r="AD159" s="142"/>
      <c r="AE159" s="140"/>
      <c r="AF159" s="456"/>
      <c r="AG159" s="142"/>
      <c r="AH159" s="142"/>
      <c r="AI159" s="142"/>
      <c r="AJ159" s="140"/>
      <c r="AK159" s="456"/>
      <c r="AL159" s="142"/>
      <c r="AM159" s="142"/>
      <c r="AN159" s="142"/>
      <c r="AO159" s="140"/>
      <c r="AP159" s="456"/>
      <c r="AQ159" s="142"/>
      <c r="AR159" s="142"/>
      <c r="AS159" s="142"/>
      <c r="AT159" s="142"/>
      <c r="AU159" s="142"/>
      <c r="AV159" s="142"/>
      <c r="AW159" s="142"/>
      <c r="AX159" s="142"/>
      <c r="AY159" s="142"/>
      <c r="AZ159" s="142"/>
      <c r="BA159" s="142"/>
      <c r="BB159" s="142"/>
      <c r="BC159" s="142"/>
      <c r="BD159" s="142"/>
      <c r="BE159" s="142"/>
      <c r="BF159" s="142"/>
      <c r="BG159" s="142"/>
      <c r="BH159" s="142"/>
    </row>
    <row r="160">
      <c r="A160" s="140"/>
      <c r="B160" s="456"/>
      <c r="C160" s="142"/>
      <c r="D160" s="142"/>
      <c r="E160" s="142"/>
      <c r="F160" s="140"/>
      <c r="G160" s="456"/>
      <c r="H160" s="142"/>
      <c r="I160" s="142"/>
      <c r="J160" s="142"/>
      <c r="K160" s="125"/>
      <c r="L160" s="456"/>
      <c r="M160" s="142"/>
      <c r="N160" s="142"/>
      <c r="O160" s="142"/>
      <c r="P160" s="125"/>
      <c r="Q160" s="450"/>
      <c r="R160" s="142"/>
      <c r="S160" s="142"/>
      <c r="T160" s="142"/>
      <c r="U160" s="140"/>
      <c r="V160" s="456"/>
      <c r="W160" s="142"/>
      <c r="X160" s="142"/>
      <c r="Y160" s="142"/>
      <c r="Z160" s="140"/>
      <c r="AA160" s="456"/>
      <c r="AB160" s="142"/>
      <c r="AC160" s="142"/>
      <c r="AD160" s="142"/>
      <c r="AE160" s="140"/>
      <c r="AF160" s="456"/>
      <c r="AG160" s="142"/>
      <c r="AH160" s="142"/>
      <c r="AI160" s="142"/>
      <c r="AJ160" s="140"/>
      <c r="AK160" s="456"/>
      <c r="AL160" s="142"/>
      <c r="AM160" s="142"/>
      <c r="AN160" s="142"/>
      <c r="AO160" s="140"/>
      <c r="AP160" s="456"/>
      <c r="AQ160" s="142"/>
      <c r="AR160" s="142"/>
      <c r="AS160" s="142"/>
      <c r="AT160" s="142"/>
      <c r="AU160" s="142"/>
      <c r="AV160" s="142"/>
      <c r="AW160" s="142"/>
      <c r="AX160" s="142"/>
      <c r="AY160" s="142"/>
      <c r="AZ160" s="142"/>
      <c r="BA160" s="142"/>
      <c r="BB160" s="142"/>
      <c r="BC160" s="142"/>
      <c r="BD160" s="142"/>
      <c r="BE160" s="142"/>
      <c r="BF160" s="142"/>
      <c r="BG160" s="142"/>
      <c r="BH160" s="142"/>
    </row>
    <row r="161">
      <c r="A161" s="140"/>
      <c r="B161" s="456"/>
      <c r="C161" s="142"/>
      <c r="D161" s="142"/>
      <c r="E161" s="142"/>
      <c r="F161" s="140"/>
      <c r="G161" s="456"/>
      <c r="H161" s="142"/>
      <c r="I161" s="142"/>
      <c r="J161" s="142"/>
      <c r="K161" s="125"/>
      <c r="L161" s="456"/>
      <c r="M161" s="142"/>
      <c r="N161" s="142"/>
      <c r="O161" s="142"/>
      <c r="P161" s="125"/>
      <c r="Q161" s="450"/>
      <c r="R161" s="142"/>
      <c r="S161" s="142"/>
      <c r="T161" s="142"/>
      <c r="U161" s="140"/>
      <c r="V161" s="456"/>
      <c r="W161" s="142"/>
      <c r="X161" s="142"/>
      <c r="Y161" s="142"/>
      <c r="Z161" s="140"/>
      <c r="AA161" s="456"/>
      <c r="AB161" s="142"/>
      <c r="AC161" s="142"/>
      <c r="AD161" s="142"/>
      <c r="AE161" s="140"/>
      <c r="AF161" s="456"/>
      <c r="AG161" s="142"/>
      <c r="AH161" s="142"/>
      <c r="AI161" s="142"/>
      <c r="AJ161" s="140"/>
      <c r="AK161" s="456"/>
      <c r="AL161" s="142"/>
      <c r="AM161" s="142"/>
      <c r="AN161" s="142"/>
      <c r="AO161" s="140"/>
      <c r="AP161" s="456"/>
      <c r="AQ161" s="142"/>
      <c r="AR161" s="142"/>
      <c r="AS161" s="142"/>
      <c r="AT161" s="142"/>
      <c r="AU161" s="142"/>
      <c r="AV161" s="142"/>
      <c r="AW161" s="142"/>
      <c r="AX161" s="142"/>
      <c r="AY161" s="142"/>
      <c r="AZ161" s="142"/>
      <c r="BA161" s="142"/>
      <c r="BB161" s="142"/>
      <c r="BC161" s="142"/>
      <c r="BD161" s="142"/>
      <c r="BE161" s="142"/>
      <c r="BF161" s="142"/>
      <c r="BG161" s="142"/>
      <c r="BH161" s="142"/>
    </row>
    <row r="162">
      <c r="A162" s="140"/>
      <c r="B162" s="456"/>
      <c r="C162" s="142"/>
      <c r="D162" s="142"/>
      <c r="E162" s="142"/>
      <c r="F162" s="140"/>
      <c r="G162" s="456"/>
      <c r="H162" s="142"/>
      <c r="I162" s="142"/>
      <c r="J162" s="142"/>
      <c r="K162" s="125"/>
      <c r="L162" s="456"/>
      <c r="M162" s="142"/>
      <c r="N162" s="142"/>
      <c r="O162" s="142"/>
      <c r="P162" s="125"/>
      <c r="Q162" s="450"/>
      <c r="R162" s="142"/>
      <c r="S162" s="142"/>
      <c r="T162" s="142"/>
      <c r="U162" s="140"/>
      <c r="V162" s="456"/>
      <c r="W162" s="142"/>
      <c r="X162" s="142"/>
      <c r="Y162" s="142"/>
      <c r="Z162" s="140"/>
      <c r="AA162" s="456"/>
      <c r="AB162" s="142"/>
      <c r="AC162" s="142"/>
      <c r="AD162" s="142"/>
      <c r="AE162" s="140"/>
      <c r="AF162" s="456"/>
      <c r="AG162" s="142"/>
      <c r="AH162" s="142"/>
      <c r="AI162" s="142"/>
      <c r="AJ162" s="140"/>
      <c r="AK162" s="456"/>
      <c r="AL162" s="142"/>
      <c r="AM162" s="142"/>
      <c r="AN162" s="142"/>
      <c r="AO162" s="140"/>
      <c r="AP162" s="456"/>
      <c r="AQ162" s="142"/>
      <c r="AR162" s="142"/>
      <c r="AS162" s="142"/>
      <c r="AT162" s="142"/>
      <c r="AU162" s="142"/>
      <c r="AV162" s="142"/>
      <c r="AW162" s="142"/>
      <c r="AX162" s="142"/>
      <c r="AY162" s="142"/>
      <c r="AZ162" s="142"/>
      <c r="BA162" s="142"/>
      <c r="BB162" s="142"/>
      <c r="BC162" s="142"/>
      <c r="BD162" s="142"/>
      <c r="BE162" s="142"/>
      <c r="BF162" s="142"/>
      <c r="BG162" s="142"/>
      <c r="BH162" s="142"/>
    </row>
    <row r="163">
      <c r="A163" s="140"/>
      <c r="B163" s="456"/>
      <c r="C163" s="142"/>
      <c r="D163" s="142"/>
      <c r="E163" s="142"/>
      <c r="F163" s="140"/>
      <c r="G163" s="456"/>
      <c r="H163" s="142"/>
      <c r="I163" s="142"/>
      <c r="J163" s="142"/>
      <c r="K163" s="125"/>
      <c r="L163" s="456"/>
      <c r="M163" s="142"/>
      <c r="N163" s="142"/>
      <c r="O163" s="142"/>
      <c r="P163" s="125"/>
      <c r="Q163" s="450"/>
      <c r="R163" s="142"/>
      <c r="S163" s="142"/>
      <c r="T163" s="142"/>
      <c r="U163" s="140"/>
      <c r="V163" s="456"/>
      <c r="W163" s="142"/>
      <c r="X163" s="142"/>
      <c r="Y163" s="142"/>
      <c r="Z163" s="140"/>
      <c r="AA163" s="456"/>
      <c r="AB163" s="142"/>
      <c r="AC163" s="142"/>
      <c r="AD163" s="142"/>
      <c r="AE163" s="140"/>
      <c r="AF163" s="456"/>
      <c r="AG163" s="142"/>
      <c r="AH163" s="142"/>
      <c r="AI163" s="142"/>
      <c r="AJ163" s="140"/>
      <c r="AK163" s="456"/>
      <c r="AL163" s="142"/>
      <c r="AM163" s="142"/>
      <c r="AN163" s="142"/>
      <c r="AO163" s="140"/>
      <c r="AP163" s="456"/>
      <c r="AQ163" s="142"/>
      <c r="AR163" s="142"/>
      <c r="AS163" s="142"/>
      <c r="AT163" s="142"/>
      <c r="AU163" s="142"/>
      <c r="AV163" s="142"/>
      <c r="AW163" s="142"/>
      <c r="AX163" s="142"/>
      <c r="AY163" s="142"/>
      <c r="AZ163" s="142"/>
      <c r="BA163" s="142"/>
      <c r="BB163" s="142"/>
      <c r="BC163" s="142"/>
      <c r="BD163" s="142"/>
      <c r="BE163" s="142"/>
      <c r="BF163" s="142"/>
      <c r="BG163" s="142"/>
      <c r="BH163" s="142"/>
    </row>
    <row r="164">
      <c r="A164" s="140"/>
      <c r="B164" s="456"/>
      <c r="C164" s="142"/>
      <c r="D164" s="142"/>
      <c r="E164" s="142"/>
      <c r="F164" s="140"/>
      <c r="G164" s="456"/>
      <c r="H164" s="142"/>
      <c r="I164" s="142"/>
      <c r="J164" s="142"/>
      <c r="K164" s="125"/>
      <c r="L164" s="456"/>
      <c r="M164" s="142"/>
      <c r="N164" s="142"/>
      <c r="O164" s="142"/>
      <c r="P164" s="125"/>
      <c r="Q164" s="450"/>
      <c r="R164" s="142"/>
      <c r="S164" s="142"/>
      <c r="T164" s="142"/>
      <c r="U164" s="140"/>
      <c r="V164" s="456"/>
      <c r="W164" s="142"/>
      <c r="X164" s="142"/>
      <c r="Y164" s="142"/>
      <c r="Z164" s="140"/>
      <c r="AA164" s="456"/>
      <c r="AB164" s="142"/>
      <c r="AC164" s="142"/>
      <c r="AD164" s="142"/>
      <c r="AE164" s="140"/>
      <c r="AF164" s="456"/>
      <c r="AG164" s="142"/>
      <c r="AH164" s="142"/>
      <c r="AI164" s="142"/>
      <c r="AJ164" s="140"/>
      <c r="AK164" s="456"/>
      <c r="AL164" s="142"/>
      <c r="AM164" s="142"/>
      <c r="AN164" s="142"/>
      <c r="AO164" s="140"/>
      <c r="AP164" s="456"/>
      <c r="AQ164" s="142"/>
      <c r="AR164" s="142"/>
      <c r="AS164" s="142"/>
      <c r="AT164" s="142"/>
      <c r="AU164" s="142"/>
      <c r="AV164" s="142"/>
      <c r="AW164" s="142"/>
      <c r="AX164" s="142"/>
      <c r="AY164" s="142"/>
      <c r="AZ164" s="142"/>
      <c r="BA164" s="142"/>
      <c r="BB164" s="142"/>
      <c r="BC164" s="142"/>
      <c r="BD164" s="142"/>
      <c r="BE164" s="142"/>
      <c r="BF164" s="142"/>
      <c r="BG164" s="142"/>
      <c r="BH164" s="142"/>
    </row>
    <row r="165">
      <c r="A165" s="140"/>
      <c r="B165" s="456"/>
      <c r="C165" s="142"/>
      <c r="D165" s="142"/>
      <c r="E165" s="142"/>
      <c r="F165" s="140"/>
      <c r="G165" s="456"/>
      <c r="H165" s="142"/>
      <c r="I165" s="142"/>
      <c r="J165" s="142"/>
      <c r="K165" s="125"/>
      <c r="L165" s="456"/>
      <c r="M165" s="142"/>
      <c r="N165" s="142"/>
      <c r="O165" s="142"/>
      <c r="P165" s="125"/>
      <c r="Q165" s="450"/>
      <c r="R165" s="142"/>
      <c r="S165" s="142"/>
      <c r="T165" s="142"/>
      <c r="U165" s="140"/>
      <c r="V165" s="456"/>
      <c r="W165" s="142"/>
      <c r="X165" s="142"/>
      <c r="Y165" s="142"/>
      <c r="Z165" s="140"/>
      <c r="AA165" s="456"/>
      <c r="AB165" s="142"/>
      <c r="AC165" s="142"/>
      <c r="AD165" s="142"/>
      <c r="AE165" s="140"/>
      <c r="AF165" s="456"/>
      <c r="AG165" s="142"/>
      <c r="AH165" s="142"/>
      <c r="AI165" s="142"/>
      <c r="AJ165" s="140"/>
      <c r="AK165" s="456"/>
      <c r="AL165" s="142"/>
      <c r="AM165" s="142"/>
      <c r="AN165" s="142"/>
      <c r="AO165" s="140"/>
      <c r="AP165" s="456"/>
      <c r="AQ165" s="142"/>
      <c r="AR165" s="142"/>
      <c r="AS165" s="142"/>
      <c r="AT165" s="142"/>
      <c r="AU165" s="142"/>
      <c r="AV165" s="142"/>
      <c r="AW165" s="142"/>
      <c r="AX165" s="142"/>
      <c r="AY165" s="142"/>
      <c r="AZ165" s="142"/>
      <c r="BA165" s="142"/>
      <c r="BB165" s="142"/>
      <c r="BC165" s="142"/>
      <c r="BD165" s="142"/>
      <c r="BE165" s="142"/>
      <c r="BF165" s="142"/>
      <c r="BG165" s="142"/>
      <c r="BH165" s="142"/>
    </row>
    <row r="166">
      <c r="A166" s="140"/>
      <c r="B166" s="456"/>
      <c r="C166" s="142"/>
      <c r="D166" s="142"/>
      <c r="E166" s="142"/>
      <c r="F166" s="140"/>
      <c r="G166" s="456"/>
      <c r="H166" s="142"/>
      <c r="I166" s="142"/>
      <c r="J166" s="142"/>
      <c r="K166" s="125"/>
      <c r="L166" s="456"/>
      <c r="M166" s="142"/>
      <c r="N166" s="142"/>
      <c r="O166" s="142"/>
      <c r="P166" s="125"/>
      <c r="Q166" s="450"/>
      <c r="R166" s="142"/>
      <c r="S166" s="142"/>
      <c r="T166" s="142"/>
      <c r="U166" s="140"/>
      <c r="V166" s="456"/>
      <c r="W166" s="142"/>
      <c r="X166" s="142"/>
      <c r="Y166" s="142"/>
      <c r="Z166" s="140"/>
      <c r="AA166" s="456"/>
      <c r="AB166" s="142"/>
      <c r="AC166" s="142"/>
      <c r="AD166" s="142"/>
      <c r="AE166" s="140"/>
      <c r="AF166" s="456"/>
      <c r="AG166" s="142"/>
      <c r="AH166" s="142"/>
      <c r="AI166" s="142"/>
      <c r="AJ166" s="140"/>
      <c r="AK166" s="456"/>
      <c r="AL166" s="142"/>
      <c r="AM166" s="142"/>
      <c r="AN166" s="142"/>
      <c r="AO166" s="140"/>
      <c r="AP166" s="456"/>
      <c r="AQ166" s="142"/>
      <c r="AR166" s="142"/>
      <c r="AS166" s="142"/>
      <c r="AT166" s="142"/>
      <c r="AU166" s="142"/>
      <c r="AV166" s="142"/>
      <c r="AW166" s="142"/>
      <c r="AX166" s="142"/>
      <c r="AY166" s="142"/>
      <c r="AZ166" s="142"/>
      <c r="BA166" s="142"/>
      <c r="BB166" s="142"/>
      <c r="BC166" s="142"/>
      <c r="BD166" s="142"/>
      <c r="BE166" s="142"/>
      <c r="BF166" s="142"/>
      <c r="BG166" s="142"/>
      <c r="BH166" s="142"/>
    </row>
    <row r="167">
      <c r="A167" s="140"/>
      <c r="B167" s="456"/>
      <c r="C167" s="142"/>
      <c r="D167" s="142"/>
      <c r="E167" s="142"/>
      <c r="F167" s="140"/>
      <c r="G167" s="456"/>
      <c r="H167" s="142"/>
      <c r="I167" s="142"/>
      <c r="J167" s="142"/>
      <c r="K167" s="125"/>
      <c r="L167" s="456"/>
      <c r="M167" s="142"/>
      <c r="N167" s="142"/>
      <c r="O167" s="142"/>
      <c r="P167" s="125"/>
      <c r="Q167" s="450"/>
      <c r="R167" s="142"/>
      <c r="S167" s="142"/>
      <c r="T167" s="142"/>
      <c r="U167" s="140"/>
      <c r="V167" s="456"/>
      <c r="W167" s="142"/>
      <c r="X167" s="142"/>
      <c r="Y167" s="142"/>
      <c r="Z167" s="140"/>
      <c r="AA167" s="456"/>
      <c r="AB167" s="142"/>
      <c r="AC167" s="142"/>
      <c r="AD167" s="142"/>
      <c r="AE167" s="140"/>
      <c r="AF167" s="456"/>
      <c r="AG167" s="142"/>
      <c r="AH167" s="142"/>
      <c r="AI167" s="142"/>
      <c r="AJ167" s="140"/>
      <c r="AK167" s="456"/>
      <c r="AL167" s="142"/>
      <c r="AM167" s="142"/>
      <c r="AN167" s="142"/>
      <c r="AO167" s="140"/>
      <c r="AP167" s="456"/>
      <c r="AQ167" s="142"/>
      <c r="AR167" s="142"/>
      <c r="AS167" s="142"/>
      <c r="AT167" s="142"/>
      <c r="AU167" s="142"/>
      <c r="AV167" s="142"/>
      <c r="AW167" s="142"/>
      <c r="AX167" s="142"/>
      <c r="AY167" s="142"/>
      <c r="AZ167" s="142"/>
      <c r="BA167" s="142"/>
      <c r="BB167" s="142"/>
      <c r="BC167" s="142"/>
      <c r="BD167" s="142"/>
      <c r="BE167" s="142"/>
      <c r="BF167" s="142"/>
      <c r="BG167" s="142"/>
      <c r="BH167" s="142"/>
    </row>
    <row r="168">
      <c r="A168" s="140"/>
      <c r="B168" s="456"/>
      <c r="C168" s="142"/>
      <c r="D168" s="142"/>
      <c r="E168" s="142"/>
      <c r="F168" s="140"/>
      <c r="G168" s="456"/>
      <c r="H168" s="142"/>
      <c r="I168" s="142"/>
      <c r="J168" s="142"/>
      <c r="K168" s="125"/>
      <c r="L168" s="456"/>
      <c r="M168" s="142"/>
      <c r="N168" s="142"/>
      <c r="O168" s="142"/>
      <c r="P168" s="125"/>
      <c r="Q168" s="450"/>
      <c r="R168" s="142"/>
      <c r="S168" s="142"/>
      <c r="T168" s="142"/>
      <c r="U168" s="140"/>
      <c r="V168" s="456"/>
      <c r="W168" s="142"/>
      <c r="X168" s="142"/>
      <c r="Y168" s="142"/>
      <c r="Z168" s="140"/>
      <c r="AA168" s="456"/>
      <c r="AB168" s="142"/>
      <c r="AC168" s="142"/>
      <c r="AD168" s="142"/>
      <c r="AE168" s="140"/>
      <c r="AF168" s="456"/>
      <c r="AG168" s="142"/>
      <c r="AH168" s="142"/>
      <c r="AI168" s="142"/>
      <c r="AJ168" s="140"/>
      <c r="AK168" s="456"/>
      <c r="AL168" s="142"/>
      <c r="AM168" s="142"/>
      <c r="AN168" s="142"/>
      <c r="AO168" s="140"/>
      <c r="AP168" s="456"/>
      <c r="AQ168" s="142"/>
      <c r="AR168" s="142"/>
      <c r="AS168" s="142"/>
      <c r="AT168" s="142"/>
      <c r="AU168" s="142"/>
      <c r="AV168" s="142"/>
      <c r="AW168" s="142"/>
      <c r="AX168" s="142"/>
      <c r="AY168" s="142"/>
      <c r="AZ168" s="142"/>
      <c r="BA168" s="142"/>
      <c r="BB168" s="142"/>
      <c r="BC168" s="142"/>
      <c r="BD168" s="142"/>
      <c r="BE168" s="142"/>
      <c r="BF168" s="142"/>
      <c r="BG168" s="142"/>
      <c r="BH168" s="142"/>
    </row>
    <row r="169">
      <c r="A169" s="140"/>
      <c r="B169" s="456"/>
      <c r="C169" s="142"/>
      <c r="D169" s="142"/>
      <c r="E169" s="142"/>
      <c r="F169" s="140"/>
      <c r="G169" s="456"/>
      <c r="H169" s="142"/>
      <c r="I169" s="142"/>
      <c r="J169" s="142"/>
      <c r="K169" s="125"/>
      <c r="L169" s="456"/>
      <c r="M169" s="142"/>
      <c r="N169" s="142"/>
      <c r="O169" s="142"/>
      <c r="P169" s="125"/>
      <c r="Q169" s="450"/>
      <c r="R169" s="142"/>
      <c r="S169" s="142"/>
      <c r="T169" s="142"/>
      <c r="U169" s="140"/>
      <c r="V169" s="456"/>
      <c r="W169" s="142"/>
      <c r="X169" s="142"/>
      <c r="Y169" s="142"/>
      <c r="Z169" s="140"/>
      <c r="AA169" s="456"/>
      <c r="AB169" s="142"/>
      <c r="AC169" s="142"/>
      <c r="AD169" s="142"/>
      <c r="AE169" s="140"/>
      <c r="AF169" s="456"/>
      <c r="AG169" s="142"/>
      <c r="AH169" s="142"/>
      <c r="AI169" s="142"/>
      <c r="AJ169" s="140"/>
      <c r="AK169" s="456"/>
      <c r="AL169" s="142"/>
      <c r="AM169" s="142"/>
      <c r="AN169" s="142"/>
      <c r="AO169" s="140"/>
      <c r="AP169" s="456"/>
      <c r="AQ169" s="142"/>
      <c r="AR169" s="142"/>
      <c r="AS169" s="142"/>
      <c r="AT169" s="142"/>
      <c r="AU169" s="142"/>
      <c r="AV169" s="142"/>
      <c r="AW169" s="142"/>
      <c r="AX169" s="142"/>
      <c r="AY169" s="142"/>
      <c r="AZ169" s="142"/>
      <c r="BA169" s="142"/>
      <c r="BB169" s="142"/>
      <c r="BC169" s="142"/>
      <c r="BD169" s="142"/>
      <c r="BE169" s="142"/>
      <c r="BF169" s="142"/>
      <c r="BG169" s="142"/>
      <c r="BH169" s="142"/>
    </row>
    <row r="170">
      <c r="A170" s="140"/>
      <c r="B170" s="456"/>
      <c r="C170" s="142"/>
      <c r="D170" s="142"/>
      <c r="E170" s="142"/>
      <c r="F170" s="140"/>
      <c r="G170" s="456"/>
      <c r="H170" s="142"/>
      <c r="I170" s="142"/>
      <c r="J170" s="142"/>
      <c r="K170" s="125"/>
      <c r="L170" s="456"/>
      <c r="M170" s="142"/>
      <c r="N170" s="142"/>
      <c r="O170" s="142"/>
      <c r="P170" s="125"/>
      <c r="Q170" s="450"/>
      <c r="R170" s="142"/>
      <c r="S170" s="142"/>
      <c r="T170" s="142"/>
      <c r="U170" s="140"/>
      <c r="V170" s="456"/>
      <c r="W170" s="142"/>
      <c r="X170" s="142"/>
      <c r="Y170" s="142"/>
      <c r="Z170" s="140"/>
      <c r="AA170" s="456"/>
      <c r="AB170" s="142"/>
      <c r="AC170" s="142"/>
      <c r="AD170" s="142"/>
      <c r="AE170" s="140"/>
      <c r="AF170" s="456"/>
      <c r="AG170" s="142"/>
      <c r="AH170" s="142"/>
      <c r="AI170" s="142"/>
      <c r="AJ170" s="140"/>
      <c r="AK170" s="456"/>
      <c r="AL170" s="142"/>
      <c r="AM170" s="142"/>
      <c r="AN170" s="142"/>
      <c r="AO170" s="140"/>
      <c r="AP170" s="456"/>
      <c r="AQ170" s="142"/>
      <c r="AR170" s="142"/>
      <c r="AS170" s="142"/>
      <c r="AT170" s="142"/>
      <c r="AU170" s="142"/>
      <c r="AV170" s="142"/>
      <c r="AW170" s="142"/>
      <c r="AX170" s="142"/>
      <c r="AY170" s="142"/>
      <c r="AZ170" s="142"/>
      <c r="BA170" s="142"/>
      <c r="BB170" s="142"/>
      <c r="BC170" s="142"/>
      <c r="BD170" s="142"/>
      <c r="BE170" s="142"/>
      <c r="BF170" s="142"/>
      <c r="BG170" s="142"/>
      <c r="BH170" s="142"/>
    </row>
    <row r="171">
      <c r="A171" s="140"/>
      <c r="B171" s="456"/>
      <c r="C171" s="142"/>
      <c r="D171" s="142"/>
      <c r="E171" s="142"/>
      <c r="F171" s="140"/>
      <c r="G171" s="456"/>
      <c r="H171" s="142"/>
      <c r="I171" s="142"/>
      <c r="J171" s="142"/>
      <c r="K171" s="125"/>
      <c r="L171" s="456"/>
      <c r="M171" s="142"/>
      <c r="N171" s="142"/>
      <c r="O171" s="142"/>
      <c r="P171" s="125"/>
      <c r="Q171" s="450"/>
      <c r="R171" s="142"/>
      <c r="S171" s="142"/>
      <c r="T171" s="142"/>
      <c r="U171" s="140"/>
      <c r="V171" s="456"/>
      <c r="W171" s="142"/>
      <c r="X171" s="142"/>
      <c r="Y171" s="142"/>
      <c r="Z171" s="140"/>
      <c r="AA171" s="456"/>
      <c r="AB171" s="142"/>
      <c r="AC171" s="142"/>
      <c r="AD171" s="142"/>
      <c r="AE171" s="140"/>
      <c r="AF171" s="456"/>
      <c r="AG171" s="142"/>
      <c r="AH171" s="142"/>
      <c r="AI171" s="142"/>
      <c r="AJ171" s="140"/>
      <c r="AK171" s="456"/>
      <c r="AL171" s="142"/>
      <c r="AM171" s="142"/>
      <c r="AN171" s="142"/>
      <c r="AO171" s="140"/>
      <c r="AP171" s="456"/>
      <c r="AQ171" s="142"/>
      <c r="AR171" s="142"/>
      <c r="AS171" s="142"/>
      <c r="AT171" s="142"/>
      <c r="AU171" s="142"/>
      <c r="AV171" s="142"/>
      <c r="AW171" s="142"/>
      <c r="AX171" s="142"/>
      <c r="AY171" s="142"/>
      <c r="AZ171" s="142"/>
      <c r="BA171" s="142"/>
      <c r="BB171" s="142"/>
      <c r="BC171" s="142"/>
      <c r="BD171" s="142"/>
      <c r="BE171" s="142"/>
      <c r="BF171" s="142"/>
      <c r="BG171" s="142"/>
      <c r="BH171" s="142"/>
    </row>
    <row r="172">
      <c r="A172" s="140"/>
      <c r="B172" s="456"/>
      <c r="C172" s="142"/>
      <c r="D172" s="142"/>
      <c r="E172" s="142"/>
      <c r="F172" s="140"/>
      <c r="G172" s="456"/>
      <c r="H172" s="142"/>
      <c r="I172" s="142"/>
      <c r="J172" s="142"/>
      <c r="K172" s="125"/>
      <c r="L172" s="456"/>
      <c r="M172" s="142"/>
      <c r="N172" s="142"/>
      <c r="O172" s="142"/>
      <c r="P172" s="125"/>
      <c r="Q172" s="450"/>
      <c r="R172" s="142"/>
      <c r="S172" s="142"/>
      <c r="T172" s="142"/>
      <c r="U172" s="140"/>
      <c r="V172" s="456"/>
      <c r="W172" s="142"/>
      <c r="X172" s="142"/>
      <c r="Y172" s="142"/>
      <c r="Z172" s="140"/>
      <c r="AA172" s="456"/>
      <c r="AB172" s="142"/>
      <c r="AC172" s="142"/>
      <c r="AD172" s="142"/>
      <c r="AE172" s="140"/>
      <c r="AF172" s="456"/>
      <c r="AG172" s="142"/>
      <c r="AH172" s="142"/>
      <c r="AI172" s="142"/>
      <c r="AJ172" s="140"/>
      <c r="AK172" s="456"/>
      <c r="AL172" s="142"/>
      <c r="AM172" s="142"/>
      <c r="AN172" s="142"/>
      <c r="AO172" s="140"/>
      <c r="AP172" s="456"/>
      <c r="AQ172" s="142"/>
      <c r="AR172" s="142"/>
      <c r="AS172" s="142"/>
      <c r="AT172" s="142"/>
      <c r="AU172" s="142"/>
      <c r="AV172" s="142"/>
      <c r="AW172" s="142"/>
      <c r="AX172" s="142"/>
      <c r="AY172" s="142"/>
      <c r="AZ172" s="142"/>
      <c r="BA172" s="142"/>
      <c r="BB172" s="142"/>
      <c r="BC172" s="142"/>
      <c r="BD172" s="142"/>
      <c r="BE172" s="142"/>
      <c r="BF172" s="142"/>
      <c r="BG172" s="142"/>
      <c r="BH172" s="142"/>
    </row>
    <row r="173">
      <c r="A173" s="140"/>
      <c r="B173" s="456"/>
      <c r="C173" s="142"/>
      <c r="D173" s="142"/>
      <c r="E173" s="142"/>
      <c r="F173" s="140"/>
      <c r="G173" s="456"/>
      <c r="H173" s="142"/>
      <c r="I173" s="142"/>
      <c r="J173" s="142"/>
      <c r="K173" s="125"/>
      <c r="L173" s="456"/>
      <c r="M173" s="142"/>
      <c r="N173" s="142"/>
      <c r="O173" s="142"/>
      <c r="P173" s="125"/>
      <c r="Q173" s="450"/>
      <c r="R173" s="142"/>
      <c r="S173" s="142"/>
      <c r="T173" s="142"/>
      <c r="U173" s="140"/>
      <c r="V173" s="456"/>
      <c r="W173" s="142"/>
      <c r="X173" s="142"/>
      <c r="Y173" s="142"/>
      <c r="Z173" s="140"/>
      <c r="AA173" s="456"/>
      <c r="AB173" s="142"/>
      <c r="AC173" s="142"/>
      <c r="AD173" s="142"/>
      <c r="AE173" s="140"/>
      <c r="AF173" s="456"/>
      <c r="AG173" s="142"/>
      <c r="AH173" s="142"/>
      <c r="AI173" s="142"/>
      <c r="AJ173" s="140"/>
      <c r="AK173" s="456"/>
      <c r="AL173" s="142"/>
      <c r="AM173" s="142"/>
      <c r="AN173" s="142"/>
      <c r="AO173" s="140"/>
      <c r="AP173" s="456"/>
      <c r="AQ173" s="142"/>
      <c r="AR173" s="142"/>
      <c r="AS173" s="142"/>
      <c r="AT173" s="142"/>
      <c r="AU173" s="142"/>
      <c r="AV173" s="142"/>
      <c r="AW173" s="142"/>
      <c r="AX173" s="142"/>
      <c r="AY173" s="142"/>
      <c r="AZ173" s="142"/>
      <c r="BA173" s="142"/>
      <c r="BB173" s="142"/>
      <c r="BC173" s="142"/>
      <c r="BD173" s="142"/>
      <c r="BE173" s="142"/>
      <c r="BF173" s="142"/>
      <c r="BG173" s="142"/>
      <c r="BH173" s="142"/>
    </row>
    <row r="174">
      <c r="A174" s="140"/>
      <c r="B174" s="456"/>
      <c r="C174" s="142"/>
      <c r="D174" s="142"/>
      <c r="E174" s="142"/>
      <c r="F174" s="140"/>
      <c r="G174" s="456"/>
      <c r="H174" s="142"/>
      <c r="I174" s="142"/>
      <c r="J174" s="142"/>
      <c r="K174" s="125"/>
      <c r="L174" s="456"/>
      <c r="M174" s="142"/>
      <c r="N174" s="142"/>
      <c r="O174" s="142"/>
      <c r="P174" s="125"/>
      <c r="Q174" s="450"/>
      <c r="R174" s="142"/>
      <c r="S174" s="142"/>
      <c r="T174" s="142"/>
      <c r="U174" s="140"/>
      <c r="V174" s="456"/>
      <c r="W174" s="142"/>
      <c r="X174" s="142"/>
      <c r="Y174" s="142"/>
      <c r="Z174" s="140"/>
      <c r="AA174" s="456"/>
      <c r="AB174" s="142"/>
      <c r="AC174" s="142"/>
      <c r="AD174" s="142"/>
      <c r="AE174" s="140"/>
      <c r="AF174" s="456"/>
      <c r="AG174" s="142"/>
      <c r="AH174" s="142"/>
      <c r="AI174" s="142"/>
      <c r="AJ174" s="140"/>
      <c r="AK174" s="456"/>
      <c r="AL174" s="142"/>
      <c r="AM174" s="142"/>
      <c r="AN174" s="142"/>
      <c r="AO174" s="140"/>
      <c r="AP174" s="456"/>
      <c r="AQ174" s="142"/>
      <c r="AR174" s="142"/>
      <c r="AS174" s="142"/>
      <c r="AT174" s="142"/>
      <c r="AU174" s="142"/>
      <c r="AV174" s="142"/>
      <c r="AW174" s="142"/>
      <c r="AX174" s="142"/>
      <c r="AY174" s="142"/>
      <c r="AZ174" s="142"/>
      <c r="BA174" s="142"/>
      <c r="BB174" s="142"/>
      <c r="BC174" s="142"/>
      <c r="BD174" s="142"/>
      <c r="BE174" s="142"/>
      <c r="BF174" s="142"/>
      <c r="BG174" s="142"/>
      <c r="BH174" s="142"/>
    </row>
    <row r="175">
      <c r="A175" s="140"/>
      <c r="B175" s="456"/>
      <c r="C175" s="142"/>
      <c r="D175" s="142"/>
      <c r="E175" s="142"/>
      <c r="F175" s="140"/>
      <c r="G175" s="456"/>
      <c r="H175" s="142"/>
      <c r="I175" s="142"/>
      <c r="J175" s="142"/>
      <c r="K175" s="125"/>
      <c r="L175" s="456"/>
      <c r="M175" s="142"/>
      <c r="N175" s="142"/>
      <c r="O175" s="142"/>
      <c r="P175" s="125"/>
      <c r="Q175" s="450"/>
      <c r="R175" s="142"/>
      <c r="S175" s="142"/>
      <c r="T175" s="142"/>
      <c r="U175" s="140"/>
      <c r="V175" s="456"/>
      <c r="W175" s="142"/>
      <c r="X175" s="142"/>
      <c r="Y175" s="142"/>
      <c r="Z175" s="140"/>
      <c r="AA175" s="456"/>
      <c r="AB175" s="142"/>
      <c r="AC175" s="142"/>
      <c r="AD175" s="142"/>
      <c r="AE175" s="140"/>
      <c r="AF175" s="456"/>
      <c r="AG175" s="142"/>
      <c r="AH175" s="142"/>
      <c r="AI175" s="142"/>
      <c r="AJ175" s="140"/>
      <c r="AK175" s="456"/>
      <c r="AL175" s="142"/>
      <c r="AM175" s="142"/>
      <c r="AN175" s="142"/>
      <c r="AO175" s="140"/>
      <c r="AP175" s="456"/>
      <c r="AQ175" s="142"/>
      <c r="AR175" s="142"/>
      <c r="AS175" s="142"/>
      <c r="AT175" s="142"/>
      <c r="AU175" s="142"/>
      <c r="AV175" s="142"/>
      <c r="AW175" s="142"/>
      <c r="AX175" s="142"/>
      <c r="AY175" s="142"/>
      <c r="AZ175" s="142"/>
      <c r="BA175" s="142"/>
      <c r="BB175" s="142"/>
      <c r="BC175" s="142"/>
      <c r="BD175" s="142"/>
      <c r="BE175" s="142"/>
      <c r="BF175" s="142"/>
      <c r="BG175" s="142"/>
      <c r="BH175" s="142"/>
    </row>
    <row r="176">
      <c r="A176" s="140"/>
      <c r="B176" s="456"/>
      <c r="C176" s="142"/>
      <c r="D176" s="142"/>
      <c r="E176" s="142"/>
      <c r="F176" s="140"/>
      <c r="G176" s="456"/>
      <c r="H176" s="142"/>
      <c r="I176" s="142"/>
      <c r="J176" s="142"/>
      <c r="K176" s="125"/>
      <c r="L176" s="456"/>
      <c r="M176" s="142"/>
      <c r="N176" s="142"/>
      <c r="O176" s="142"/>
      <c r="P176" s="125"/>
      <c r="Q176" s="450"/>
      <c r="R176" s="142"/>
      <c r="S176" s="142"/>
      <c r="T176" s="142"/>
      <c r="U176" s="140"/>
      <c r="V176" s="456"/>
      <c r="W176" s="142"/>
      <c r="X176" s="142"/>
      <c r="Y176" s="142"/>
      <c r="Z176" s="140"/>
      <c r="AA176" s="456"/>
      <c r="AB176" s="142"/>
      <c r="AC176" s="142"/>
      <c r="AD176" s="142"/>
      <c r="AE176" s="140"/>
      <c r="AF176" s="456"/>
      <c r="AG176" s="142"/>
      <c r="AH176" s="142"/>
      <c r="AI176" s="142"/>
      <c r="AJ176" s="140"/>
      <c r="AK176" s="456"/>
      <c r="AL176" s="142"/>
      <c r="AM176" s="142"/>
      <c r="AN176" s="142"/>
      <c r="AO176" s="140"/>
      <c r="AP176" s="456"/>
      <c r="AQ176" s="142"/>
      <c r="AR176" s="142"/>
      <c r="AS176" s="142"/>
      <c r="AT176" s="142"/>
      <c r="AU176" s="142"/>
      <c r="AV176" s="142"/>
      <c r="AW176" s="142"/>
      <c r="AX176" s="142"/>
      <c r="AY176" s="142"/>
      <c r="AZ176" s="142"/>
      <c r="BA176" s="142"/>
      <c r="BB176" s="142"/>
      <c r="BC176" s="142"/>
      <c r="BD176" s="142"/>
      <c r="BE176" s="142"/>
      <c r="BF176" s="142"/>
      <c r="BG176" s="142"/>
      <c r="BH176" s="142"/>
    </row>
    <row r="177">
      <c r="A177" s="140"/>
      <c r="B177" s="456"/>
      <c r="C177" s="142"/>
      <c r="D177" s="142"/>
      <c r="E177" s="142"/>
      <c r="F177" s="140"/>
      <c r="G177" s="456"/>
      <c r="H177" s="142"/>
      <c r="I177" s="142"/>
      <c r="J177" s="142"/>
      <c r="K177" s="125"/>
      <c r="L177" s="456"/>
      <c r="M177" s="142"/>
      <c r="N177" s="142"/>
      <c r="O177" s="142"/>
      <c r="P177" s="125"/>
      <c r="Q177" s="450"/>
      <c r="R177" s="142"/>
      <c r="S177" s="142"/>
      <c r="T177" s="142"/>
      <c r="U177" s="140"/>
      <c r="V177" s="456"/>
      <c r="W177" s="142"/>
      <c r="X177" s="142"/>
      <c r="Y177" s="142"/>
      <c r="Z177" s="140"/>
      <c r="AA177" s="456"/>
      <c r="AB177" s="142"/>
      <c r="AC177" s="142"/>
      <c r="AD177" s="142"/>
      <c r="AE177" s="140"/>
      <c r="AF177" s="456"/>
      <c r="AG177" s="142"/>
      <c r="AH177" s="142"/>
      <c r="AI177" s="142"/>
      <c r="AJ177" s="140"/>
      <c r="AK177" s="456"/>
      <c r="AL177" s="142"/>
      <c r="AM177" s="142"/>
      <c r="AN177" s="142"/>
      <c r="AO177" s="140"/>
      <c r="AP177" s="456"/>
      <c r="AQ177" s="142"/>
      <c r="AR177" s="142"/>
      <c r="AS177" s="142"/>
      <c r="AT177" s="142"/>
      <c r="AU177" s="142"/>
      <c r="AV177" s="142"/>
      <c r="AW177" s="142"/>
      <c r="AX177" s="142"/>
      <c r="AY177" s="142"/>
      <c r="AZ177" s="142"/>
      <c r="BA177" s="142"/>
      <c r="BB177" s="142"/>
      <c r="BC177" s="142"/>
      <c r="BD177" s="142"/>
      <c r="BE177" s="142"/>
      <c r="BF177" s="142"/>
      <c r="BG177" s="142"/>
      <c r="BH177" s="142"/>
    </row>
    <row r="178">
      <c r="A178" s="140"/>
      <c r="B178" s="456"/>
      <c r="C178" s="142"/>
      <c r="D178" s="142"/>
      <c r="E178" s="142"/>
      <c r="F178" s="140"/>
      <c r="G178" s="456"/>
      <c r="H178" s="142"/>
      <c r="I178" s="142"/>
      <c r="J178" s="142"/>
      <c r="K178" s="125"/>
      <c r="L178" s="456"/>
      <c r="M178" s="142"/>
      <c r="N178" s="142"/>
      <c r="O178" s="142"/>
      <c r="P178" s="125"/>
      <c r="Q178" s="450"/>
      <c r="R178" s="142"/>
      <c r="S178" s="142"/>
      <c r="T178" s="142"/>
      <c r="U178" s="140"/>
      <c r="V178" s="456"/>
      <c r="W178" s="142"/>
      <c r="X178" s="142"/>
      <c r="Y178" s="142"/>
      <c r="Z178" s="140"/>
      <c r="AA178" s="456"/>
      <c r="AB178" s="142"/>
      <c r="AC178" s="142"/>
      <c r="AD178" s="142"/>
      <c r="AE178" s="140"/>
      <c r="AF178" s="456"/>
      <c r="AG178" s="142"/>
      <c r="AH178" s="142"/>
      <c r="AI178" s="142"/>
      <c r="AJ178" s="140"/>
      <c r="AK178" s="456"/>
      <c r="AL178" s="142"/>
      <c r="AM178" s="142"/>
      <c r="AN178" s="142"/>
      <c r="AO178" s="140"/>
      <c r="AP178" s="456"/>
      <c r="AQ178" s="142"/>
      <c r="AR178" s="142"/>
      <c r="AS178" s="142"/>
      <c r="AT178" s="142"/>
      <c r="AU178" s="142"/>
      <c r="AV178" s="142"/>
      <c r="AW178" s="142"/>
      <c r="AX178" s="142"/>
      <c r="AY178" s="142"/>
      <c r="AZ178" s="142"/>
      <c r="BA178" s="142"/>
      <c r="BB178" s="142"/>
      <c r="BC178" s="142"/>
      <c r="BD178" s="142"/>
      <c r="BE178" s="142"/>
      <c r="BF178" s="142"/>
      <c r="BG178" s="142"/>
      <c r="BH178" s="142"/>
    </row>
    <row r="179">
      <c r="A179" s="140"/>
      <c r="B179" s="456"/>
      <c r="C179" s="142"/>
      <c r="D179" s="142"/>
      <c r="E179" s="142"/>
      <c r="F179" s="140"/>
      <c r="G179" s="456"/>
      <c r="H179" s="142"/>
      <c r="I179" s="142"/>
      <c r="J179" s="142"/>
      <c r="K179" s="125"/>
      <c r="L179" s="456"/>
      <c r="M179" s="142"/>
      <c r="N179" s="142"/>
      <c r="O179" s="142"/>
      <c r="P179" s="125"/>
      <c r="Q179" s="450"/>
      <c r="R179" s="142"/>
      <c r="S179" s="142"/>
      <c r="T179" s="142"/>
      <c r="U179" s="140"/>
      <c r="V179" s="456"/>
      <c r="W179" s="142"/>
      <c r="X179" s="142"/>
      <c r="Y179" s="142"/>
      <c r="Z179" s="140"/>
      <c r="AA179" s="456"/>
      <c r="AB179" s="142"/>
      <c r="AC179" s="142"/>
      <c r="AD179" s="142"/>
      <c r="AE179" s="140"/>
      <c r="AF179" s="456"/>
      <c r="AG179" s="142"/>
      <c r="AH179" s="142"/>
      <c r="AI179" s="142"/>
      <c r="AJ179" s="140"/>
      <c r="AK179" s="456"/>
      <c r="AL179" s="142"/>
      <c r="AM179" s="142"/>
      <c r="AN179" s="142"/>
      <c r="AO179" s="140"/>
      <c r="AP179" s="456"/>
      <c r="AQ179" s="142"/>
      <c r="AR179" s="142"/>
      <c r="AS179" s="142"/>
      <c r="AT179" s="142"/>
      <c r="AU179" s="142"/>
      <c r="AV179" s="142"/>
      <c r="AW179" s="142"/>
      <c r="AX179" s="142"/>
      <c r="AY179" s="142"/>
      <c r="AZ179" s="142"/>
      <c r="BA179" s="142"/>
      <c r="BB179" s="142"/>
      <c r="BC179" s="142"/>
      <c r="BD179" s="142"/>
      <c r="BE179" s="142"/>
      <c r="BF179" s="142"/>
      <c r="BG179" s="142"/>
      <c r="BH179" s="142"/>
    </row>
    <row r="180">
      <c r="A180" s="140"/>
      <c r="B180" s="456"/>
      <c r="C180" s="142"/>
      <c r="D180" s="142"/>
      <c r="E180" s="142"/>
      <c r="F180" s="140"/>
      <c r="G180" s="456"/>
      <c r="H180" s="142"/>
      <c r="I180" s="142"/>
      <c r="J180" s="142"/>
      <c r="K180" s="125"/>
      <c r="L180" s="456"/>
      <c r="M180" s="142"/>
      <c r="N180" s="142"/>
      <c r="O180" s="142"/>
      <c r="P180" s="125"/>
      <c r="Q180" s="450"/>
      <c r="R180" s="142"/>
      <c r="S180" s="142"/>
      <c r="T180" s="142"/>
      <c r="U180" s="140"/>
      <c r="V180" s="456"/>
      <c r="W180" s="142"/>
      <c r="X180" s="142"/>
      <c r="Y180" s="142"/>
      <c r="Z180" s="140"/>
      <c r="AA180" s="456"/>
      <c r="AB180" s="142"/>
      <c r="AC180" s="142"/>
      <c r="AD180" s="142"/>
      <c r="AE180" s="140"/>
      <c r="AF180" s="456"/>
      <c r="AG180" s="142"/>
      <c r="AH180" s="142"/>
      <c r="AI180" s="142"/>
      <c r="AJ180" s="140"/>
      <c r="AK180" s="456"/>
      <c r="AL180" s="142"/>
      <c r="AM180" s="142"/>
      <c r="AN180" s="142"/>
      <c r="AO180" s="140"/>
      <c r="AP180" s="456"/>
      <c r="AQ180" s="142"/>
      <c r="AR180" s="142"/>
      <c r="AS180" s="142"/>
      <c r="AT180" s="142"/>
      <c r="AU180" s="142"/>
      <c r="AV180" s="142"/>
      <c r="AW180" s="142"/>
      <c r="AX180" s="142"/>
      <c r="AY180" s="142"/>
      <c r="AZ180" s="142"/>
      <c r="BA180" s="142"/>
      <c r="BB180" s="142"/>
      <c r="BC180" s="142"/>
      <c r="BD180" s="142"/>
      <c r="BE180" s="142"/>
      <c r="BF180" s="142"/>
      <c r="BG180" s="142"/>
      <c r="BH180" s="142"/>
    </row>
    <row r="181">
      <c r="A181" s="140"/>
      <c r="B181" s="456"/>
      <c r="C181" s="142"/>
      <c r="D181" s="142"/>
      <c r="E181" s="142"/>
      <c r="F181" s="140"/>
      <c r="G181" s="456"/>
      <c r="H181" s="142"/>
      <c r="I181" s="142"/>
      <c r="J181" s="142"/>
      <c r="K181" s="125"/>
      <c r="L181" s="456"/>
      <c r="M181" s="142"/>
      <c r="N181" s="142"/>
      <c r="O181" s="142"/>
      <c r="P181" s="125"/>
      <c r="Q181" s="450"/>
      <c r="R181" s="142"/>
      <c r="S181" s="142"/>
      <c r="T181" s="142"/>
      <c r="U181" s="140"/>
      <c r="V181" s="456"/>
      <c r="W181" s="142"/>
      <c r="X181" s="142"/>
      <c r="Y181" s="142"/>
      <c r="Z181" s="140"/>
      <c r="AA181" s="456"/>
      <c r="AB181" s="142"/>
      <c r="AC181" s="142"/>
      <c r="AD181" s="142"/>
      <c r="AE181" s="140"/>
      <c r="AF181" s="456"/>
      <c r="AG181" s="142"/>
      <c r="AH181" s="142"/>
      <c r="AI181" s="142"/>
      <c r="AJ181" s="140"/>
      <c r="AK181" s="456"/>
      <c r="AL181" s="142"/>
      <c r="AM181" s="142"/>
      <c r="AN181" s="142"/>
      <c r="AO181" s="140"/>
      <c r="AP181" s="456"/>
      <c r="AQ181" s="142"/>
      <c r="AR181" s="142"/>
      <c r="AS181" s="142"/>
      <c r="AT181" s="142"/>
      <c r="AU181" s="142"/>
      <c r="AV181" s="142"/>
      <c r="AW181" s="142"/>
      <c r="AX181" s="142"/>
      <c r="AY181" s="142"/>
      <c r="AZ181" s="142"/>
      <c r="BA181" s="142"/>
      <c r="BB181" s="142"/>
      <c r="BC181" s="142"/>
      <c r="BD181" s="142"/>
      <c r="BE181" s="142"/>
      <c r="BF181" s="142"/>
      <c r="BG181" s="142"/>
      <c r="BH181" s="142"/>
    </row>
    <row r="182">
      <c r="A182" s="140"/>
      <c r="B182" s="456"/>
      <c r="C182" s="142"/>
      <c r="D182" s="142"/>
      <c r="E182" s="142"/>
      <c r="F182" s="140"/>
      <c r="G182" s="456"/>
      <c r="H182" s="142"/>
      <c r="I182" s="142"/>
      <c r="J182" s="142"/>
      <c r="K182" s="125"/>
      <c r="L182" s="456"/>
      <c r="M182" s="142"/>
      <c r="N182" s="142"/>
      <c r="O182" s="142"/>
      <c r="P182" s="125"/>
      <c r="Q182" s="450"/>
      <c r="R182" s="142"/>
      <c r="S182" s="142"/>
      <c r="T182" s="142"/>
      <c r="U182" s="140"/>
      <c r="V182" s="456"/>
      <c r="W182" s="142"/>
      <c r="X182" s="142"/>
      <c r="Y182" s="142"/>
      <c r="Z182" s="140"/>
      <c r="AA182" s="456"/>
      <c r="AB182" s="142"/>
      <c r="AC182" s="142"/>
      <c r="AD182" s="142"/>
      <c r="AE182" s="140"/>
      <c r="AF182" s="456"/>
      <c r="AG182" s="142"/>
      <c r="AH182" s="142"/>
      <c r="AI182" s="142"/>
      <c r="AJ182" s="140"/>
      <c r="AK182" s="456"/>
      <c r="AL182" s="142"/>
      <c r="AM182" s="142"/>
      <c r="AN182" s="142"/>
      <c r="AO182" s="140"/>
      <c r="AP182" s="456"/>
      <c r="AQ182" s="142"/>
      <c r="AR182" s="142"/>
      <c r="AS182" s="142"/>
      <c r="AT182" s="142"/>
      <c r="AU182" s="142"/>
      <c r="AV182" s="142"/>
      <c r="AW182" s="142"/>
      <c r="AX182" s="142"/>
      <c r="AY182" s="142"/>
      <c r="AZ182" s="142"/>
      <c r="BA182" s="142"/>
      <c r="BB182" s="142"/>
      <c r="BC182" s="142"/>
      <c r="BD182" s="142"/>
      <c r="BE182" s="142"/>
      <c r="BF182" s="142"/>
      <c r="BG182" s="142"/>
      <c r="BH182" s="142"/>
    </row>
    <row r="183">
      <c r="A183" s="140"/>
      <c r="B183" s="456"/>
      <c r="C183" s="142"/>
      <c r="D183" s="142"/>
      <c r="E183" s="142"/>
      <c r="F183" s="140"/>
      <c r="G183" s="456"/>
      <c r="H183" s="142"/>
      <c r="I183" s="142"/>
      <c r="J183" s="142"/>
      <c r="K183" s="125"/>
      <c r="L183" s="456"/>
      <c r="M183" s="142"/>
      <c r="N183" s="142"/>
      <c r="O183" s="142"/>
      <c r="P183" s="125"/>
      <c r="Q183" s="450"/>
      <c r="R183" s="142"/>
      <c r="S183" s="142"/>
      <c r="T183" s="142"/>
      <c r="U183" s="140"/>
      <c r="V183" s="456"/>
      <c r="W183" s="142"/>
      <c r="X183" s="142"/>
      <c r="Y183" s="142"/>
      <c r="Z183" s="140"/>
      <c r="AA183" s="456"/>
      <c r="AB183" s="142"/>
      <c r="AC183" s="142"/>
      <c r="AD183" s="142"/>
      <c r="AE183" s="140"/>
      <c r="AF183" s="456"/>
      <c r="AG183" s="142"/>
      <c r="AH183" s="142"/>
      <c r="AI183" s="142"/>
      <c r="AJ183" s="140"/>
      <c r="AK183" s="456"/>
      <c r="AL183" s="142"/>
      <c r="AM183" s="142"/>
      <c r="AN183" s="142"/>
      <c r="AO183" s="140"/>
      <c r="AP183" s="456"/>
      <c r="AQ183" s="142"/>
      <c r="AR183" s="142"/>
      <c r="AS183" s="142"/>
      <c r="AT183" s="142"/>
      <c r="AU183" s="142"/>
      <c r="AV183" s="142"/>
      <c r="AW183" s="142"/>
      <c r="AX183" s="142"/>
      <c r="AY183" s="142"/>
      <c r="AZ183" s="142"/>
      <c r="BA183" s="142"/>
      <c r="BB183" s="142"/>
      <c r="BC183" s="142"/>
      <c r="BD183" s="142"/>
      <c r="BE183" s="142"/>
      <c r="BF183" s="142"/>
      <c r="BG183" s="142"/>
      <c r="BH183" s="142"/>
    </row>
    <row r="184">
      <c r="A184" s="140"/>
      <c r="B184" s="456"/>
      <c r="C184" s="142"/>
      <c r="D184" s="142"/>
      <c r="E184" s="142"/>
      <c r="F184" s="140"/>
      <c r="G184" s="456"/>
      <c r="H184" s="142"/>
      <c r="I184" s="142"/>
      <c r="J184" s="142"/>
      <c r="K184" s="125"/>
      <c r="L184" s="456"/>
      <c r="M184" s="142"/>
      <c r="N184" s="142"/>
      <c r="O184" s="142"/>
      <c r="P184" s="125"/>
      <c r="Q184" s="450"/>
      <c r="R184" s="142"/>
      <c r="S184" s="142"/>
      <c r="T184" s="142"/>
      <c r="U184" s="140"/>
      <c r="V184" s="456"/>
      <c r="W184" s="142"/>
      <c r="X184" s="142"/>
      <c r="Y184" s="142"/>
      <c r="Z184" s="140"/>
      <c r="AA184" s="456"/>
      <c r="AB184" s="142"/>
      <c r="AC184" s="142"/>
      <c r="AD184" s="142"/>
      <c r="AE184" s="140"/>
      <c r="AF184" s="456"/>
      <c r="AG184" s="142"/>
      <c r="AH184" s="142"/>
      <c r="AI184" s="142"/>
      <c r="AJ184" s="140"/>
      <c r="AK184" s="456"/>
      <c r="AL184" s="142"/>
      <c r="AM184" s="142"/>
      <c r="AN184" s="142"/>
      <c r="AO184" s="140"/>
      <c r="AP184" s="456"/>
      <c r="AQ184" s="142"/>
      <c r="AR184" s="142"/>
      <c r="AS184" s="142"/>
      <c r="AT184" s="142"/>
      <c r="AU184" s="142"/>
      <c r="AV184" s="142"/>
      <c r="AW184" s="142"/>
      <c r="AX184" s="142"/>
      <c r="AY184" s="142"/>
      <c r="AZ184" s="142"/>
      <c r="BA184" s="142"/>
      <c r="BB184" s="142"/>
      <c r="BC184" s="142"/>
      <c r="BD184" s="142"/>
      <c r="BE184" s="142"/>
      <c r="BF184" s="142"/>
      <c r="BG184" s="142"/>
      <c r="BH184" s="142"/>
    </row>
    <row r="185">
      <c r="A185" s="140"/>
      <c r="B185" s="456"/>
      <c r="C185" s="142"/>
      <c r="D185" s="142"/>
      <c r="E185" s="142"/>
      <c r="F185" s="140"/>
      <c r="G185" s="456"/>
      <c r="H185" s="142"/>
      <c r="I185" s="142"/>
      <c r="J185" s="142"/>
      <c r="K185" s="125"/>
      <c r="L185" s="456"/>
      <c r="M185" s="142"/>
      <c r="N185" s="142"/>
      <c r="O185" s="142"/>
      <c r="P185" s="125"/>
      <c r="Q185" s="450"/>
      <c r="R185" s="142"/>
      <c r="S185" s="142"/>
      <c r="T185" s="142"/>
      <c r="U185" s="140"/>
      <c r="V185" s="456"/>
      <c r="W185" s="142"/>
      <c r="X185" s="142"/>
      <c r="Y185" s="142"/>
      <c r="Z185" s="140"/>
      <c r="AA185" s="456"/>
      <c r="AB185" s="142"/>
      <c r="AC185" s="142"/>
      <c r="AD185" s="142"/>
      <c r="AE185" s="140"/>
      <c r="AF185" s="456"/>
      <c r="AG185" s="142"/>
      <c r="AH185" s="142"/>
      <c r="AI185" s="142"/>
      <c r="AJ185" s="140"/>
      <c r="AK185" s="456"/>
      <c r="AL185" s="142"/>
      <c r="AM185" s="142"/>
      <c r="AN185" s="142"/>
      <c r="AO185" s="140"/>
      <c r="AP185" s="456"/>
      <c r="AQ185" s="142"/>
      <c r="AR185" s="142"/>
      <c r="AS185" s="142"/>
      <c r="AT185" s="142"/>
      <c r="AU185" s="142"/>
      <c r="AV185" s="142"/>
      <c r="AW185" s="142"/>
      <c r="AX185" s="142"/>
      <c r="AY185" s="142"/>
      <c r="AZ185" s="142"/>
      <c r="BA185" s="142"/>
      <c r="BB185" s="142"/>
      <c r="BC185" s="142"/>
      <c r="BD185" s="142"/>
      <c r="BE185" s="142"/>
      <c r="BF185" s="142"/>
      <c r="BG185" s="142"/>
      <c r="BH185" s="142"/>
    </row>
    <row r="186">
      <c r="A186" s="140"/>
      <c r="B186" s="456"/>
      <c r="C186" s="142"/>
      <c r="D186" s="142"/>
      <c r="E186" s="142"/>
      <c r="F186" s="140"/>
      <c r="G186" s="456"/>
      <c r="H186" s="142"/>
      <c r="I186" s="142"/>
      <c r="J186" s="142"/>
      <c r="K186" s="125"/>
      <c r="L186" s="456"/>
      <c r="M186" s="142"/>
      <c r="N186" s="142"/>
      <c r="O186" s="142"/>
      <c r="P186" s="125"/>
      <c r="Q186" s="450"/>
      <c r="R186" s="142"/>
      <c r="S186" s="142"/>
      <c r="T186" s="142"/>
      <c r="U186" s="140"/>
      <c r="V186" s="456"/>
      <c r="W186" s="142"/>
      <c r="X186" s="142"/>
      <c r="Y186" s="142"/>
      <c r="Z186" s="140"/>
      <c r="AA186" s="456"/>
      <c r="AB186" s="142"/>
      <c r="AC186" s="142"/>
      <c r="AD186" s="142"/>
      <c r="AE186" s="140"/>
      <c r="AF186" s="456"/>
      <c r="AG186" s="142"/>
      <c r="AH186" s="142"/>
      <c r="AI186" s="142"/>
      <c r="AJ186" s="140"/>
      <c r="AK186" s="456"/>
      <c r="AL186" s="142"/>
      <c r="AM186" s="142"/>
      <c r="AN186" s="142"/>
      <c r="AO186" s="140"/>
      <c r="AP186" s="456"/>
      <c r="AQ186" s="142"/>
      <c r="AR186" s="142"/>
      <c r="AS186" s="142"/>
      <c r="AT186" s="142"/>
      <c r="AU186" s="142"/>
      <c r="AV186" s="142"/>
      <c r="AW186" s="142"/>
      <c r="AX186" s="142"/>
      <c r="AY186" s="142"/>
      <c r="AZ186" s="142"/>
      <c r="BA186" s="142"/>
      <c r="BB186" s="142"/>
      <c r="BC186" s="142"/>
      <c r="BD186" s="142"/>
      <c r="BE186" s="142"/>
      <c r="BF186" s="142"/>
      <c r="BG186" s="142"/>
      <c r="BH186" s="142"/>
    </row>
    <row r="187">
      <c r="A187" s="140"/>
      <c r="B187" s="456"/>
      <c r="C187" s="142"/>
      <c r="D187" s="142"/>
      <c r="E187" s="142"/>
      <c r="F187" s="140"/>
      <c r="G187" s="456"/>
      <c r="H187" s="142"/>
      <c r="I187" s="142"/>
      <c r="J187" s="142"/>
      <c r="K187" s="125"/>
      <c r="L187" s="456"/>
      <c r="M187" s="142"/>
      <c r="N187" s="142"/>
      <c r="O187" s="142"/>
      <c r="P187" s="125"/>
      <c r="Q187" s="450"/>
      <c r="R187" s="142"/>
      <c r="S187" s="142"/>
      <c r="T187" s="142"/>
      <c r="U187" s="140"/>
      <c r="V187" s="456"/>
      <c r="W187" s="142"/>
      <c r="X187" s="142"/>
      <c r="Y187" s="142"/>
      <c r="Z187" s="140"/>
      <c r="AA187" s="456"/>
      <c r="AB187" s="142"/>
      <c r="AC187" s="142"/>
      <c r="AD187" s="142"/>
      <c r="AE187" s="140"/>
      <c r="AF187" s="456"/>
      <c r="AG187" s="142"/>
      <c r="AH187" s="142"/>
      <c r="AI187" s="142"/>
      <c r="AJ187" s="140"/>
      <c r="AK187" s="456"/>
      <c r="AL187" s="142"/>
      <c r="AM187" s="142"/>
      <c r="AN187" s="142"/>
      <c r="AO187" s="140"/>
      <c r="AP187" s="456"/>
      <c r="AQ187" s="142"/>
      <c r="AR187" s="142"/>
      <c r="AS187" s="142"/>
      <c r="AT187" s="142"/>
      <c r="AU187" s="142"/>
      <c r="AV187" s="142"/>
      <c r="AW187" s="142"/>
      <c r="AX187" s="142"/>
      <c r="AY187" s="142"/>
      <c r="AZ187" s="142"/>
      <c r="BA187" s="142"/>
      <c r="BB187" s="142"/>
      <c r="BC187" s="142"/>
      <c r="BD187" s="142"/>
      <c r="BE187" s="142"/>
      <c r="BF187" s="142"/>
      <c r="BG187" s="142"/>
      <c r="BH187" s="142"/>
    </row>
    <row r="188">
      <c r="A188" s="140"/>
      <c r="B188" s="456"/>
      <c r="C188" s="142"/>
      <c r="D188" s="142"/>
      <c r="E188" s="142"/>
      <c r="F188" s="140"/>
      <c r="G188" s="456"/>
      <c r="H188" s="142"/>
      <c r="I188" s="142"/>
      <c r="J188" s="142"/>
      <c r="K188" s="125"/>
      <c r="L188" s="456"/>
      <c r="M188" s="142"/>
      <c r="N188" s="142"/>
      <c r="O188" s="142"/>
      <c r="P188" s="125"/>
      <c r="Q188" s="450"/>
      <c r="R188" s="142"/>
      <c r="S188" s="142"/>
      <c r="T188" s="142"/>
      <c r="U188" s="140"/>
      <c r="V188" s="456"/>
      <c r="W188" s="142"/>
      <c r="X188" s="142"/>
      <c r="Y188" s="142"/>
      <c r="Z188" s="140"/>
      <c r="AA188" s="456"/>
      <c r="AB188" s="142"/>
      <c r="AC188" s="142"/>
      <c r="AD188" s="142"/>
      <c r="AE188" s="140"/>
      <c r="AF188" s="456"/>
      <c r="AG188" s="142"/>
      <c r="AH188" s="142"/>
      <c r="AI188" s="142"/>
      <c r="AJ188" s="140"/>
      <c r="AK188" s="456"/>
      <c r="AL188" s="142"/>
      <c r="AM188" s="142"/>
      <c r="AN188" s="142"/>
      <c r="AO188" s="140"/>
      <c r="AP188" s="456"/>
      <c r="AQ188" s="142"/>
      <c r="AR188" s="142"/>
      <c r="AS188" s="142"/>
      <c r="AT188" s="142"/>
      <c r="AU188" s="142"/>
      <c r="AV188" s="142"/>
      <c r="AW188" s="142"/>
      <c r="AX188" s="142"/>
      <c r="AY188" s="142"/>
      <c r="AZ188" s="142"/>
      <c r="BA188" s="142"/>
      <c r="BB188" s="142"/>
      <c r="BC188" s="142"/>
      <c r="BD188" s="142"/>
      <c r="BE188" s="142"/>
      <c r="BF188" s="142"/>
      <c r="BG188" s="142"/>
      <c r="BH188" s="142"/>
    </row>
    <row r="189">
      <c r="A189" s="140"/>
      <c r="B189" s="456"/>
      <c r="C189" s="142"/>
      <c r="D189" s="142"/>
      <c r="E189" s="142"/>
      <c r="F189" s="140"/>
      <c r="G189" s="456"/>
      <c r="H189" s="142"/>
      <c r="I189" s="142"/>
      <c r="J189" s="142"/>
      <c r="K189" s="125"/>
      <c r="L189" s="456"/>
      <c r="M189" s="142"/>
      <c r="N189" s="142"/>
      <c r="O189" s="142"/>
      <c r="P189" s="125"/>
      <c r="Q189" s="450"/>
      <c r="R189" s="142"/>
      <c r="S189" s="142"/>
      <c r="T189" s="142"/>
      <c r="U189" s="140"/>
      <c r="V189" s="456"/>
      <c r="W189" s="142"/>
      <c r="X189" s="142"/>
      <c r="Y189" s="142"/>
      <c r="Z189" s="140"/>
      <c r="AA189" s="456"/>
      <c r="AB189" s="142"/>
      <c r="AC189" s="142"/>
      <c r="AD189" s="142"/>
      <c r="AE189" s="140"/>
      <c r="AF189" s="456"/>
      <c r="AG189" s="142"/>
      <c r="AH189" s="142"/>
      <c r="AI189" s="142"/>
      <c r="AJ189" s="140"/>
      <c r="AK189" s="456"/>
      <c r="AL189" s="142"/>
      <c r="AM189" s="142"/>
      <c r="AN189" s="142"/>
      <c r="AO189" s="140"/>
      <c r="AP189" s="456"/>
      <c r="AQ189" s="142"/>
      <c r="AR189" s="142"/>
      <c r="AS189" s="142"/>
      <c r="AT189" s="142"/>
      <c r="AU189" s="142"/>
      <c r="AV189" s="142"/>
      <c r="AW189" s="142"/>
      <c r="AX189" s="142"/>
      <c r="AY189" s="142"/>
      <c r="AZ189" s="142"/>
      <c r="BA189" s="142"/>
      <c r="BB189" s="142"/>
      <c r="BC189" s="142"/>
      <c r="BD189" s="142"/>
      <c r="BE189" s="142"/>
      <c r="BF189" s="142"/>
      <c r="BG189" s="142"/>
      <c r="BH189" s="142"/>
    </row>
    <row r="190">
      <c r="A190" s="140"/>
      <c r="B190" s="456"/>
      <c r="C190" s="142"/>
      <c r="D190" s="142"/>
      <c r="E190" s="142"/>
      <c r="F190" s="140"/>
      <c r="G190" s="456"/>
      <c r="H190" s="142"/>
      <c r="I190" s="142"/>
      <c r="J190" s="142"/>
      <c r="K190" s="125"/>
      <c r="L190" s="456"/>
      <c r="M190" s="142"/>
      <c r="N190" s="142"/>
      <c r="O190" s="142"/>
      <c r="P190" s="125"/>
      <c r="Q190" s="450"/>
      <c r="R190" s="142"/>
      <c r="S190" s="142"/>
      <c r="T190" s="142"/>
      <c r="U190" s="140"/>
      <c r="V190" s="456"/>
      <c r="W190" s="142"/>
      <c r="X190" s="142"/>
      <c r="Y190" s="142"/>
      <c r="Z190" s="140"/>
      <c r="AA190" s="456"/>
      <c r="AB190" s="142"/>
      <c r="AC190" s="142"/>
      <c r="AD190" s="142"/>
      <c r="AE190" s="140"/>
      <c r="AF190" s="456"/>
      <c r="AG190" s="142"/>
      <c r="AH190" s="142"/>
      <c r="AI190" s="142"/>
      <c r="AJ190" s="140"/>
      <c r="AK190" s="456"/>
      <c r="AL190" s="142"/>
      <c r="AM190" s="142"/>
      <c r="AN190" s="142"/>
      <c r="AO190" s="140"/>
      <c r="AP190" s="456"/>
      <c r="AQ190" s="142"/>
      <c r="AR190" s="142"/>
      <c r="AS190" s="142"/>
      <c r="AT190" s="142"/>
      <c r="AU190" s="142"/>
      <c r="AV190" s="142"/>
      <c r="AW190" s="142"/>
      <c r="AX190" s="142"/>
      <c r="AY190" s="142"/>
      <c r="AZ190" s="142"/>
      <c r="BA190" s="142"/>
      <c r="BB190" s="142"/>
      <c r="BC190" s="142"/>
      <c r="BD190" s="142"/>
      <c r="BE190" s="142"/>
      <c r="BF190" s="142"/>
      <c r="BG190" s="142"/>
      <c r="BH190" s="142"/>
    </row>
    <row r="191">
      <c r="A191" s="140"/>
      <c r="B191" s="456"/>
      <c r="C191" s="142"/>
      <c r="D191" s="142"/>
      <c r="E191" s="142"/>
      <c r="F191" s="140"/>
      <c r="G191" s="456"/>
      <c r="H191" s="142"/>
      <c r="I191" s="142"/>
      <c r="J191" s="142"/>
      <c r="K191" s="125"/>
      <c r="L191" s="456"/>
      <c r="M191" s="142"/>
      <c r="N191" s="142"/>
      <c r="O191" s="142"/>
      <c r="P191" s="125"/>
      <c r="Q191" s="450"/>
      <c r="R191" s="142"/>
      <c r="S191" s="142"/>
      <c r="T191" s="142"/>
      <c r="U191" s="140"/>
      <c r="V191" s="456"/>
      <c r="W191" s="142"/>
      <c r="X191" s="142"/>
      <c r="Y191" s="142"/>
      <c r="Z191" s="140"/>
      <c r="AA191" s="456"/>
      <c r="AB191" s="142"/>
      <c r="AC191" s="142"/>
      <c r="AD191" s="142"/>
      <c r="AE191" s="140"/>
      <c r="AF191" s="456"/>
      <c r="AG191" s="142"/>
      <c r="AH191" s="142"/>
      <c r="AI191" s="142"/>
      <c r="AJ191" s="140"/>
      <c r="AK191" s="456"/>
      <c r="AL191" s="142"/>
      <c r="AM191" s="142"/>
      <c r="AN191" s="142"/>
      <c r="AO191" s="140"/>
      <c r="AP191" s="456"/>
      <c r="AQ191" s="142"/>
      <c r="AR191" s="142"/>
      <c r="AS191" s="142"/>
      <c r="AT191" s="142"/>
      <c r="AU191" s="142"/>
      <c r="AV191" s="142"/>
      <c r="AW191" s="142"/>
      <c r="AX191" s="142"/>
      <c r="AY191" s="142"/>
      <c r="AZ191" s="142"/>
      <c r="BA191" s="142"/>
      <c r="BB191" s="142"/>
      <c r="BC191" s="142"/>
      <c r="BD191" s="142"/>
      <c r="BE191" s="142"/>
      <c r="BF191" s="142"/>
      <c r="BG191" s="142"/>
      <c r="BH191" s="142"/>
    </row>
    <row r="192">
      <c r="A192" s="140"/>
      <c r="B192" s="456"/>
      <c r="C192" s="142"/>
      <c r="D192" s="142"/>
      <c r="E192" s="142"/>
      <c r="F192" s="140"/>
      <c r="G192" s="456"/>
      <c r="H192" s="142"/>
      <c r="I192" s="142"/>
      <c r="J192" s="142"/>
      <c r="K192" s="125"/>
      <c r="L192" s="456"/>
      <c r="M192" s="142"/>
      <c r="N192" s="142"/>
      <c r="O192" s="142"/>
      <c r="P192" s="125"/>
      <c r="Q192" s="450"/>
      <c r="R192" s="142"/>
      <c r="S192" s="142"/>
      <c r="T192" s="142"/>
      <c r="U192" s="140"/>
      <c r="V192" s="456"/>
      <c r="W192" s="142"/>
      <c r="X192" s="142"/>
      <c r="Y192" s="142"/>
      <c r="Z192" s="140"/>
      <c r="AA192" s="456"/>
      <c r="AB192" s="142"/>
      <c r="AC192" s="142"/>
      <c r="AD192" s="142"/>
      <c r="AE192" s="140"/>
      <c r="AF192" s="456"/>
      <c r="AG192" s="142"/>
      <c r="AH192" s="142"/>
      <c r="AI192" s="142"/>
      <c r="AJ192" s="140"/>
      <c r="AK192" s="456"/>
      <c r="AL192" s="142"/>
      <c r="AM192" s="142"/>
      <c r="AN192" s="142"/>
      <c r="AO192" s="140"/>
      <c r="AP192" s="456"/>
      <c r="AQ192" s="142"/>
      <c r="AR192" s="142"/>
      <c r="AS192" s="142"/>
      <c r="AT192" s="142"/>
      <c r="AU192" s="142"/>
      <c r="AV192" s="142"/>
      <c r="AW192" s="142"/>
      <c r="AX192" s="142"/>
      <c r="AY192" s="142"/>
      <c r="AZ192" s="142"/>
      <c r="BA192" s="142"/>
      <c r="BB192" s="142"/>
      <c r="BC192" s="142"/>
      <c r="BD192" s="142"/>
      <c r="BE192" s="142"/>
      <c r="BF192" s="142"/>
      <c r="BG192" s="142"/>
      <c r="BH192" s="142"/>
    </row>
    <row r="193">
      <c r="A193" s="140"/>
      <c r="B193" s="456"/>
      <c r="C193" s="142"/>
      <c r="D193" s="142"/>
      <c r="E193" s="142"/>
      <c r="F193" s="140"/>
      <c r="G193" s="456"/>
      <c r="H193" s="142"/>
      <c r="I193" s="142"/>
      <c r="J193" s="142"/>
      <c r="K193" s="125"/>
      <c r="L193" s="456"/>
      <c r="M193" s="142"/>
      <c r="N193" s="142"/>
      <c r="O193" s="142"/>
      <c r="P193" s="125"/>
      <c r="Q193" s="450"/>
      <c r="R193" s="142"/>
      <c r="S193" s="142"/>
      <c r="T193" s="142"/>
      <c r="U193" s="140"/>
      <c r="V193" s="456"/>
      <c r="W193" s="142"/>
      <c r="X193" s="142"/>
      <c r="Y193" s="142"/>
      <c r="Z193" s="140"/>
      <c r="AA193" s="456"/>
      <c r="AB193" s="142"/>
      <c r="AC193" s="142"/>
      <c r="AD193" s="142"/>
      <c r="AE193" s="140"/>
      <c r="AF193" s="456"/>
      <c r="AG193" s="142"/>
      <c r="AH193" s="142"/>
      <c r="AI193" s="142"/>
      <c r="AJ193" s="140"/>
      <c r="AK193" s="456"/>
      <c r="AL193" s="142"/>
      <c r="AM193" s="142"/>
      <c r="AN193" s="142"/>
      <c r="AO193" s="140"/>
      <c r="AP193" s="456"/>
      <c r="AQ193" s="142"/>
      <c r="AR193" s="142"/>
      <c r="AS193" s="142"/>
      <c r="AT193" s="142"/>
      <c r="AU193" s="142"/>
      <c r="AV193" s="142"/>
      <c r="AW193" s="142"/>
      <c r="AX193" s="142"/>
      <c r="AY193" s="142"/>
      <c r="AZ193" s="142"/>
      <c r="BA193" s="142"/>
      <c r="BB193" s="142"/>
      <c r="BC193" s="142"/>
      <c r="BD193" s="142"/>
      <c r="BE193" s="142"/>
      <c r="BF193" s="142"/>
      <c r="BG193" s="142"/>
      <c r="BH193" s="142"/>
    </row>
    <row r="194">
      <c r="A194" s="140"/>
      <c r="B194" s="456"/>
      <c r="C194" s="142"/>
      <c r="D194" s="142"/>
      <c r="E194" s="142"/>
      <c r="F194" s="140"/>
      <c r="G194" s="456"/>
      <c r="H194" s="142"/>
      <c r="I194" s="142"/>
      <c r="J194" s="142"/>
      <c r="K194" s="125"/>
      <c r="L194" s="456"/>
      <c r="M194" s="142"/>
      <c r="N194" s="142"/>
      <c r="O194" s="142"/>
      <c r="P194" s="125"/>
      <c r="Q194" s="450"/>
      <c r="R194" s="142"/>
      <c r="S194" s="142"/>
      <c r="T194" s="142"/>
      <c r="U194" s="140"/>
      <c r="V194" s="456"/>
      <c r="W194" s="142"/>
      <c r="X194" s="142"/>
      <c r="Y194" s="142"/>
      <c r="Z194" s="140"/>
      <c r="AA194" s="456"/>
      <c r="AB194" s="142"/>
      <c r="AC194" s="142"/>
      <c r="AD194" s="142"/>
      <c r="AE194" s="140"/>
      <c r="AF194" s="456"/>
      <c r="AG194" s="142"/>
      <c r="AH194" s="142"/>
      <c r="AI194" s="142"/>
      <c r="AJ194" s="140"/>
      <c r="AK194" s="456"/>
      <c r="AL194" s="142"/>
      <c r="AM194" s="142"/>
      <c r="AN194" s="142"/>
      <c r="AO194" s="140"/>
      <c r="AP194" s="456"/>
      <c r="AQ194" s="142"/>
      <c r="AR194" s="142"/>
      <c r="AS194" s="142"/>
      <c r="AT194" s="142"/>
      <c r="AU194" s="142"/>
      <c r="AV194" s="142"/>
      <c r="AW194" s="142"/>
      <c r="AX194" s="142"/>
      <c r="AY194" s="142"/>
      <c r="AZ194" s="142"/>
      <c r="BA194" s="142"/>
      <c r="BB194" s="142"/>
      <c r="BC194" s="142"/>
      <c r="BD194" s="142"/>
      <c r="BE194" s="142"/>
      <c r="BF194" s="142"/>
      <c r="BG194" s="142"/>
      <c r="BH194" s="142"/>
    </row>
    <row r="195">
      <c r="A195" s="140"/>
      <c r="B195" s="456"/>
      <c r="C195" s="142"/>
      <c r="D195" s="142"/>
      <c r="E195" s="142"/>
      <c r="F195" s="140"/>
      <c r="G195" s="456"/>
      <c r="H195" s="142"/>
      <c r="I195" s="142"/>
      <c r="J195" s="142"/>
      <c r="K195" s="125"/>
      <c r="L195" s="456"/>
      <c r="M195" s="142"/>
      <c r="N195" s="142"/>
      <c r="O195" s="142"/>
      <c r="P195" s="125"/>
      <c r="Q195" s="450"/>
      <c r="R195" s="142"/>
      <c r="S195" s="142"/>
      <c r="T195" s="142"/>
      <c r="U195" s="140"/>
      <c r="V195" s="456"/>
      <c r="W195" s="142"/>
      <c r="X195" s="142"/>
      <c r="Y195" s="142"/>
      <c r="Z195" s="140"/>
      <c r="AA195" s="456"/>
      <c r="AB195" s="142"/>
      <c r="AC195" s="142"/>
      <c r="AD195" s="142"/>
      <c r="AE195" s="140"/>
      <c r="AF195" s="456"/>
      <c r="AG195" s="142"/>
      <c r="AH195" s="142"/>
      <c r="AI195" s="142"/>
      <c r="AJ195" s="140"/>
      <c r="AK195" s="456"/>
      <c r="AL195" s="142"/>
      <c r="AM195" s="142"/>
      <c r="AN195" s="142"/>
      <c r="AO195" s="140"/>
      <c r="AP195" s="456"/>
      <c r="AQ195" s="142"/>
      <c r="AR195" s="142"/>
      <c r="AS195" s="142"/>
      <c r="AT195" s="142"/>
      <c r="AU195" s="142"/>
      <c r="AV195" s="142"/>
      <c r="AW195" s="142"/>
      <c r="AX195" s="142"/>
      <c r="AY195" s="142"/>
      <c r="AZ195" s="142"/>
      <c r="BA195" s="142"/>
      <c r="BB195" s="142"/>
      <c r="BC195" s="142"/>
      <c r="BD195" s="142"/>
      <c r="BE195" s="142"/>
      <c r="BF195" s="142"/>
      <c r="BG195" s="142"/>
      <c r="BH195" s="142"/>
    </row>
    <row r="196">
      <c r="A196" s="140"/>
      <c r="B196" s="456"/>
      <c r="C196" s="142"/>
      <c r="D196" s="142"/>
      <c r="E196" s="142"/>
      <c r="F196" s="140"/>
      <c r="G196" s="456"/>
      <c r="H196" s="142"/>
      <c r="I196" s="142"/>
      <c r="J196" s="142"/>
      <c r="K196" s="125"/>
      <c r="L196" s="456"/>
      <c r="M196" s="142"/>
      <c r="N196" s="142"/>
      <c r="O196" s="142"/>
      <c r="P196" s="125"/>
      <c r="Q196" s="450"/>
      <c r="R196" s="142"/>
      <c r="S196" s="142"/>
      <c r="T196" s="142"/>
      <c r="U196" s="140"/>
      <c r="V196" s="456"/>
      <c r="W196" s="142"/>
      <c r="X196" s="142"/>
      <c r="Y196" s="142"/>
      <c r="Z196" s="140"/>
      <c r="AA196" s="456"/>
      <c r="AB196" s="142"/>
      <c r="AC196" s="142"/>
      <c r="AD196" s="142"/>
      <c r="AE196" s="140"/>
      <c r="AF196" s="456"/>
      <c r="AG196" s="142"/>
      <c r="AH196" s="142"/>
      <c r="AI196" s="142"/>
      <c r="AJ196" s="140"/>
      <c r="AK196" s="456"/>
      <c r="AL196" s="142"/>
      <c r="AM196" s="142"/>
      <c r="AN196" s="142"/>
      <c r="AO196" s="140"/>
      <c r="AP196" s="456"/>
      <c r="AQ196" s="142"/>
      <c r="AR196" s="142"/>
      <c r="AS196" s="142"/>
      <c r="AT196" s="142"/>
      <c r="AU196" s="142"/>
      <c r="AV196" s="142"/>
      <c r="AW196" s="142"/>
      <c r="AX196" s="142"/>
      <c r="AY196" s="142"/>
      <c r="AZ196" s="142"/>
      <c r="BA196" s="142"/>
      <c r="BB196" s="142"/>
      <c r="BC196" s="142"/>
      <c r="BD196" s="142"/>
      <c r="BE196" s="142"/>
      <c r="BF196" s="142"/>
      <c r="BG196" s="142"/>
      <c r="BH196" s="142"/>
    </row>
    <row r="197">
      <c r="A197" s="140"/>
      <c r="B197" s="456"/>
      <c r="C197" s="142"/>
      <c r="D197" s="142"/>
      <c r="E197" s="142"/>
      <c r="F197" s="140"/>
      <c r="G197" s="456"/>
      <c r="H197" s="142"/>
      <c r="I197" s="142"/>
      <c r="J197" s="142"/>
      <c r="K197" s="125"/>
      <c r="L197" s="456"/>
      <c r="M197" s="142"/>
      <c r="N197" s="142"/>
      <c r="O197" s="142"/>
      <c r="P197" s="125"/>
      <c r="Q197" s="450"/>
      <c r="R197" s="142"/>
      <c r="S197" s="142"/>
      <c r="T197" s="142"/>
      <c r="U197" s="140"/>
      <c r="V197" s="456"/>
      <c r="W197" s="142"/>
      <c r="X197" s="142"/>
      <c r="Y197" s="142"/>
      <c r="Z197" s="140"/>
      <c r="AA197" s="456"/>
      <c r="AB197" s="142"/>
      <c r="AC197" s="142"/>
      <c r="AD197" s="142"/>
      <c r="AE197" s="140"/>
      <c r="AF197" s="456"/>
      <c r="AG197" s="142"/>
      <c r="AH197" s="142"/>
      <c r="AI197" s="142"/>
      <c r="AJ197" s="140"/>
      <c r="AK197" s="456"/>
      <c r="AL197" s="142"/>
      <c r="AM197" s="142"/>
      <c r="AN197" s="142"/>
      <c r="AO197" s="140"/>
      <c r="AP197" s="456"/>
      <c r="AQ197" s="142"/>
      <c r="AR197" s="142"/>
      <c r="AS197" s="142"/>
      <c r="AT197" s="142"/>
      <c r="AU197" s="142"/>
      <c r="AV197" s="142"/>
      <c r="AW197" s="142"/>
      <c r="AX197" s="142"/>
      <c r="AY197" s="142"/>
      <c r="AZ197" s="142"/>
      <c r="BA197" s="142"/>
      <c r="BB197" s="142"/>
      <c r="BC197" s="142"/>
      <c r="BD197" s="142"/>
      <c r="BE197" s="142"/>
      <c r="BF197" s="142"/>
      <c r="BG197" s="142"/>
      <c r="BH197" s="142"/>
    </row>
    <row r="198">
      <c r="A198" s="140"/>
      <c r="B198" s="456"/>
      <c r="C198" s="142"/>
      <c r="D198" s="142"/>
      <c r="E198" s="142"/>
      <c r="F198" s="140"/>
      <c r="G198" s="456"/>
      <c r="H198" s="142"/>
      <c r="I198" s="142"/>
      <c r="J198" s="142"/>
      <c r="K198" s="125"/>
      <c r="L198" s="456"/>
      <c r="M198" s="142"/>
      <c r="N198" s="142"/>
      <c r="O198" s="142"/>
      <c r="P198" s="125"/>
      <c r="Q198" s="450"/>
      <c r="R198" s="142"/>
      <c r="S198" s="142"/>
      <c r="T198" s="142"/>
      <c r="U198" s="140"/>
      <c r="V198" s="456"/>
      <c r="W198" s="142"/>
      <c r="X198" s="142"/>
      <c r="Y198" s="142"/>
      <c r="Z198" s="140"/>
      <c r="AA198" s="456"/>
      <c r="AB198" s="142"/>
      <c r="AC198" s="142"/>
      <c r="AD198" s="142"/>
      <c r="AE198" s="140"/>
      <c r="AF198" s="456"/>
      <c r="AG198" s="142"/>
      <c r="AH198" s="142"/>
      <c r="AI198" s="142"/>
      <c r="AJ198" s="140"/>
      <c r="AK198" s="456"/>
      <c r="AL198" s="142"/>
      <c r="AM198" s="142"/>
      <c r="AN198" s="142"/>
      <c r="AO198" s="140"/>
      <c r="AP198" s="456"/>
      <c r="AQ198" s="142"/>
      <c r="AR198" s="142"/>
      <c r="AS198" s="142"/>
      <c r="AT198" s="142"/>
      <c r="AU198" s="142"/>
      <c r="AV198" s="142"/>
      <c r="AW198" s="142"/>
      <c r="AX198" s="142"/>
      <c r="AY198" s="142"/>
      <c r="AZ198" s="142"/>
      <c r="BA198" s="142"/>
      <c r="BB198" s="142"/>
      <c r="BC198" s="142"/>
      <c r="BD198" s="142"/>
      <c r="BE198" s="142"/>
      <c r="BF198" s="142"/>
      <c r="BG198" s="142"/>
      <c r="BH198" s="142"/>
    </row>
    <row r="199">
      <c r="A199" s="140"/>
      <c r="B199" s="456"/>
      <c r="C199" s="142"/>
      <c r="D199" s="142"/>
      <c r="E199" s="142"/>
      <c r="F199" s="140"/>
      <c r="G199" s="456"/>
      <c r="H199" s="142"/>
      <c r="I199" s="142"/>
      <c r="J199" s="142"/>
      <c r="K199" s="125"/>
      <c r="L199" s="456"/>
      <c r="M199" s="142"/>
      <c r="N199" s="142"/>
      <c r="O199" s="142"/>
      <c r="P199" s="125"/>
      <c r="Q199" s="450"/>
      <c r="R199" s="142"/>
      <c r="S199" s="142"/>
      <c r="T199" s="142"/>
      <c r="U199" s="140"/>
      <c r="V199" s="456"/>
      <c r="W199" s="142"/>
      <c r="X199" s="142"/>
      <c r="Y199" s="142"/>
      <c r="Z199" s="140"/>
      <c r="AA199" s="456"/>
      <c r="AB199" s="142"/>
      <c r="AC199" s="142"/>
      <c r="AD199" s="142"/>
      <c r="AE199" s="140"/>
      <c r="AF199" s="456"/>
      <c r="AG199" s="142"/>
      <c r="AH199" s="142"/>
      <c r="AI199" s="142"/>
      <c r="AJ199" s="140"/>
      <c r="AK199" s="456"/>
      <c r="AL199" s="142"/>
      <c r="AM199" s="142"/>
      <c r="AN199" s="142"/>
      <c r="AO199" s="140"/>
      <c r="AP199" s="456"/>
      <c r="AQ199" s="142"/>
      <c r="AR199" s="142"/>
      <c r="AS199" s="142"/>
      <c r="AT199" s="142"/>
      <c r="AU199" s="142"/>
      <c r="AV199" s="142"/>
      <c r="AW199" s="142"/>
      <c r="AX199" s="142"/>
      <c r="AY199" s="142"/>
      <c r="AZ199" s="142"/>
      <c r="BA199" s="142"/>
      <c r="BB199" s="142"/>
      <c r="BC199" s="142"/>
      <c r="BD199" s="142"/>
      <c r="BE199" s="142"/>
      <c r="BF199" s="142"/>
      <c r="BG199" s="142"/>
      <c r="BH199" s="142"/>
    </row>
    <row r="200">
      <c r="A200" s="140"/>
      <c r="B200" s="456"/>
      <c r="C200" s="142"/>
      <c r="D200" s="142"/>
      <c r="E200" s="142"/>
      <c r="F200" s="140"/>
      <c r="G200" s="456"/>
      <c r="H200" s="142"/>
      <c r="I200" s="142"/>
      <c r="J200" s="142"/>
      <c r="K200" s="125"/>
      <c r="L200" s="456"/>
      <c r="M200" s="142"/>
      <c r="N200" s="142"/>
      <c r="O200" s="142"/>
      <c r="P200" s="125"/>
      <c r="Q200" s="450"/>
      <c r="R200" s="142"/>
      <c r="S200" s="142"/>
      <c r="T200" s="142"/>
      <c r="U200" s="140"/>
      <c r="V200" s="456"/>
      <c r="W200" s="142"/>
      <c r="X200" s="142"/>
      <c r="Y200" s="142"/>
      <c r="Z200" s="140"/>
      <c r="AA200" s="456"/>
      <c r="AB200" s="142"/>
      <c r="AC200" s="142"/>
      <c r="AD200" s="142"/>
      <c r="AE200" s="140"/>
      <c r="AF200" s="456"/>
      <c r="AG200" s="142"/>
      <c r="AH200" s="142"/>
      <c r="AI200" s="142"/>
      <c r="AJ200" s="140"/>
      <c r="AK200" s="456"/>
      <c r="AL200" s="142"/>
      <c r="AM200" s="142"/>
      <c r="AN200" s="142"/>
      <c r="AO200" s="140"/>
      <c r="AP200" s="456"/>
      <c r="AQ200" s="142"/>
      <c r="AR200" s="142"/>
      <c r="AS200" s="142"/>
      <c r="AT200" s="142"/>
      <c r="AU200" s="142"/>
      <c r="AV200" s="142"/>
      <c r="AW200" s="142"/>
      <c r="AX200" s="142"/>
      <c r="AY200" s="142"/>
      <c r="AZ200" s="142"/>
      <c r="BA200" s="142"/>
      <c r="BB200" s="142"/>
      <c r="BC200" s="142"/>
      <c r="BD200" s="142"/>
      <c r="BE200" s="142"/>
      <c r="BF200" s="142"/>
      <c r="BG200" s="142"/>
      <c r="BH200" s="142"/>
    </row>
    <row r="201">
      <c r="A201" s="140"/>
      <c r="B201" s="456"/>
      <c r="C201" s="142"/>
      <c r="D201" s="142"/>
      <c r="E201" s="142"/>
      <c r="F201" s="140"/>
      <c r="G201" s="456"/>
      <c r="H201" s="142"/>
      <c r="I201" s="142"/>
      <c r="J201" s="142"/>
      <c r="K201" s="125"/>
      <c r="L201" s="456"/>
      <c r="M201" s="142"/>
      <c r="N201" s="142"/>
      <c r="O201" s="142"/>
      <c r="P201" s="125"/>
      <c r="Q201" s="450"/>
      <c r="R201" s="142"/>
      <c r="S201" s="142"/>
      <c r="T201" s="142"/>
      <c r="U201" s="140"/>
      <c r="V201" s="456"/>
      <c r="W201" s="142"/>
      <c r="X201" s="142"/>
      <c r="Y201" s="142"/>
      <c r="Z201" s="140"/>
      <c r="AA201" s="456"/>
      <c r="AB201" s="142"/>
      <c r="AC201" s="142"/>
      <c r="AD201" s="142"/>
      <c r="AE201" s="140"/>
      <c r="AF201" s="456"/>
      <c r="AG201" s="142"/>
      <c r="AH201" s="142"/>
      <c r="AI201" s="142"/>
      <c r="AJ201" s="140"/>
      <c r="AK201" s="456"/>
      <c r="AL201" s="142"/>
      <c r="AM201" s="142"/>
      <c r="AN201" s="142"/>
      <c r="AO201" s="140"/>
      <c r="AP201" s="456"/>
      <c r="AQ201" s="142"/>
      <c r="AR201" s="142"/>
      <c r="AS201" s="142"/>
      <c r="AT201" s="142"/>
      <c r="AU201" s="142"/>
      <c r="AV201" s="142"/>
      <c r="AW201" s="142"/>
      <c r="AX201" s="142"/>
      <c r="AY201" s="142"/>
      <c r="AZ201" s="142"/>
      <c r="BA201" s="142"/>
      <c r="BB201" s="142"/>
      <c r="BC201" s="142"/>
      <c r="BD201" s="142"/>
      <c r="BE201" s="142"/>
      <c r="BF201" s="142"/>
      <c r="BG201" s="142"/>
      <c r="BH201" s="142"/>
    </row>
    <row r="202">
      <c r="A202" s="140"/>
      <c r="B202" s="456"/>
      <c r="C202" s="142"/>
      <c r="D202" s="142"/>
      <c r="E202" s="142"/>
      <c r="F202" s="140"/>
      <c r="G202" s="456"/>
      <c r="H202" s="142"/>
      <c r="I202" s="142"/>
      <c r="J202" s="142"/>
      <c r="K202" s="125"/>
      <c r="L202" s="456"/>
      <c r="M202" s="142"/>
      <c r="N202" s="142"/>
      <c r="O202" s="142"/>
      <c r="P202" s="125"/>
      <c r="Q202" s="450"/>
      <c r="R202" s="142"/>
      <c r="S202" s="142"/>
      <c r="T202" s="142"/>
      <c r="U202" s="140"/>
      <c r="V202" s="456"/>
      <c r="W202" s="142"/>
      <c r="X202" s="142"/>
      <c r="Y202" s="142"/>
      <c r="Z202" s="140"/>
      <c r="AA202" s="456"/>
      <c r="AB202" s="142"/>
      <c r="AC202" s="142"/>
      <c r="AD202" s="142"/>
      <c r="AE202" s="140"/>
      <c r="AF202" s="456"/>
      <c r="AG202" s="142"/>
      <c r="AH202" s="142"/>
      <c r="AI202" s="142"/>
      <c r="AJ202" s="140"/>
      <c r="AK202" s="456"/>
      <c r="AL202" s="142"/>
      <c r="AM202" s="142"/>
      <c r="AN202" s="142"/>
      <c r="AO202" s="140"/>
      <c r="AP202" s="456"/>
      <c r="AQ202" s="142"/>
      <c r="AR202" s="142"/>
      <c r="AS202" s="142"/>
      <c r="AT202" s="142"/>
      <c r="AU202" s="142"/>
      <c r="AV202" s="142"/>
      <c r="AW202" s="142"/>
      <c r="AX202" s="142"/>
      <c r="AY202" s="142"/>
      <c r="AZ202" s="142"/>
      <c r="BA202" s="142"/>
      <c r="BB202" s="142"/>
      <c r="BC202" s="142"/>
      <c r="BD202" s="142"/>
      <c r="BE202" s="142"/>
      <c r="BF202" s="142"/>
      <c r="BG202" s="142"/>
      <c r="BH202" s="142"/>
    </row>
    <row r="203">
      <c r="A203" s="140"/>
      <c r="B203" s="456"/>
      <c r="C203" s="142"/>
      <c r="D203" s="142"/>
      <c r="E203" s="142"/>
      <c r="F203" s="140"/>
      <c r="G203" s="456"/>
      <c r="H203" s="142"/>
      <c r="I203" s="142"/>
      <c r="J203" s="142"/>
      <c r="K203" s="125"/>
      <c r="L203" s="456"/>
      <c r="M203" s="142"/>
      <c r="N203" s="142"/>
      <c r="O203" s="142"/>
      <c r="P203" s="125"/>
      <c r="Q203" s="450"/>
      <c r="R203" s="142"/>
      <c r="S203" s="142"/>
      <c r="T203" s="142"/>
      <c r="U203" s="140"/>
      <c r="V203" s="456"/>
      <c r="W203" s="142"/>
      <c r="X203" s="142"/>
      <c r="Y203" s="142"/>
      <c r="Z203" s="140"/>
      <c r="AA203" s="456"/>
      <c r="AB203" s="142"/>
      <c r="AC203" s="142"/>
      <c r="AD203" s="142"/>
      <c r="AE203" s="140"/>
      <c r="AF203" s="456"/>
      <c r="AG203" s="142"/>
      <c r="AH203" s="142"/>
      <c r="AI203" s="142"/>
      <c r="AJ203" s="140"/>
      <c r="AK203" s="456"/>
      <c r="AL203" s="142"/>
      <c r="AM203" s="142"/>
      <c r="AN203" s="142"/>
      <c r="AO203" s="140"/>
      <c r="AP203" s="456"/>
      <c r="AQ203" s="142"/>
      <c r="AR203" s="142"/>
      <c r="AS203" s="142"/>
      <c r="AT203" s="142"/>
      <c r="AU203" s="142"/>
      <c r="AV203" s="142"/>
      <c r="AW203" s="142"/>
      <c r="AX203" s="142"/>
      <c r="AY203" s="142"/>
      <c r="AZ203" s="142"/>
      <c r="BA203" s="142"/>
      <c r="BB203" s="142"/>
      <c r="BC203" s="142"/>
      <c r="BD203" s="142"/>
      <c r="BE203" s="142"/>
      <c r="BF203" s="142"/>
      <c r="BG203" s="142"/>
      <c r="BH203" s="142"/>
    </row>
    <row r="204">
      <c r="A204" s="140"/>
      <c r="B204" s="456"/>
      <c r="C204" s="142"/>
      <c r="D204" s="142"/>
      <c r="E204" s="142"/>
      <c r="F204" s="140"/>
      <c r="G204" s="456"/>
      <c r="H204" s="142"/>
      <c r="I204" s="142"/>
      <c r="J204" s="142"/>
      <c r="K204" s="125"/>
      <c r="L204" s="456"/>
      <c r="M204" s="142"/>
      <c r="N204" s="142"/>
      <c r="O204" s="142"/>
      <c r="P204" s="125"/>
      <c r="Q204" s="450"/>
      <c r="R204" s="142"/>
      <c r="S204" s="142"/>
      <c r="T204" s="142"/>
      <c r="U204" s="140"/>
      <c r="V204" s="456"/>
      <c r="W204" s="142"/>
      <c r="X204" s="142"/>
      <c r="Y204" s="142"/>
      <c r="Z204" s="140"/>
      <c r="AA204" s="456"/>
      <c r="AB204" s="142"/>
      <c r="AC204" s="142"/>
      <c r="AD204" s="142"/>
      <c r="AE204" s="140"/>
      <c r="AF204" s="456"/>
      <c r="AG204" s="142"/>
      <c r="AH204" s="142"/>
      <c r="AI204" s="142"/>
      <c r="AJ204" s="140"/>
      <c r="AK204" s="456"/>
      <c r="AL204" s="142"/>
      <c r="AM204" s="142"/>
      <c r="AN204" s="142"/>
      <c r="AO204" s="140"/>
      <c r="AP204" s="456"/>
      <c r="AQ204" s="142"/>
      <c r="AR204" s="142"/>
      <c r="AS204" s="142"/>
      <c r="AT204" s="142"/>
      <c r="AU204" s="142"/>
      <c r="AV204" s="142"/>
      <c r="AW204" s="142"/>
      <c r="AX204" s="142"/>
      <c r="AY204" s="142"/>
      <c r="AZ204" s="142"/>
      <c r="BA204" s="142"/>
      <c r="BB204" s="142"/>
      <c r="BC204" s="142"/>
      <c r="BD204" s="142"/>
      <c r="BE204" s="142"/>
      <c r="BF204" s="142"/>
      <c r="BG204" s="142"/>
      <c r="BH204" s="142"/>
    </row>
    <row r="205">
      <c r="A205" s="140"/>
      <c r="B205" s="456"/>
      <c r="C205" s="142"/>
      <c r="D205" s="142"/>
      <c r="E205" s="142"/>
      <c r="F205" s="140"/>
      <c r="G205" s="456"/>
      <c r="H205" s="142"/>
      <c r="I205" s="142"/>
      <c r="J205" s="142"/>
      <c r="K205" s="125"/>
      <c r="L205" s="456"/>
      <c r="M205" s="142"/>
      <c r="N205" s="142"/>
      <c r="O205" s="142"/>
      <c r="P205" s="125"/>
      <c r="Q205" s="450"/>
      <c r="R205" s="142"/>
      <c r="S205" s="142"/>
      <c r="T205" s="142"/>
      <c r="U205" s="140"/>
      <c r="V205" s="456"/>
      <c r="W205" s="142"/>
      <c r="X205" s="142"/>
      <c r="Y205" s="142"/>
      <c r="Z205" s="140"/>
      <c r="AA205" s="456"/>
      <c r="AB205" s="142"/>
      <c r="AC205" s="142"/>
      <c r="AD205" s="142"/>
      <c r="AE205" s="140"/>
      <c r="AF205" s="456"/>
      <c r="AG205" s="142"/>
      <c r="AH205" s="142"/>
      <c r="AI205" s="142"/>
      <c r="AJ205" s="140"/>
      <c r="AK205" s="456"/>
      <c r="AL205" s="142"/>
      <c r="AM205" s="142"/>
      <c r="AN205" s="142"/>
      <c r="AO205" s="140"/>
      <c r="AP205" s="456"/>
      <c r="AQ205" s="142"/>
      <c r="AR205" s="142"/>
      <c r="AS205" s="142"/>
      <c r="AT205" s="142"/>
      <c r="AU205" s="142"/>
      <c r="AV205" s="142"/>
      <c r="AW205" s="142"/>
      <c r="AX205" s="142"/>
      <c r="AY205" s="142"/>
      <c r="AZ205" s="142"/>
      <c r="BA205" s="142"/>
      <c r="BB205" s="142"/>
      <c r="BC205" s="142"/>
      <c r="BD205" s="142"/>
      <c r="BE205" s="142"/>
      <c r="BF205" s="142"/>
      <c r="BG205" s="142"/>
      <c r="BH205" s="142"/>
    </row>
    <row r="206">
      <c r="A206" s="140"/>
      <c r="B206" s="456"/>
      <c r="C206" s="142"/>
      <c r="D206" s="142"/>
      <c r="E206" s="142"/>
      <c r="F206" s="140"/>
      <c r="G206" s="456"/>
      <c r="H206" s="142"/>
      <c r="I206" s="142"/>
      <c r="J206" s="142"/>
      <c r="K206" s="125"/>
      <c r="L206" s="456"/>
      <c r="M206" s="142"/>
      <c r="N206" s="142"/>
      <c r="O206" s="142"/>
      <c r="P206" s="125"/>
      <c r="Q206" s="450"/>
      <c r="R206" s="142"/>
      <c r="S206" s="142"/>
      <c r="T206" s="142"/>
      <c r="U206" s="140"/>
      <c r="V206" s="456"/>
      <c r="W206" s="142"/>
      <c r="X206" s="142"/>
      <c r="Y206" s="142"/>
      <c r="Z206" s="140"/>
      <c r="AA206" s="456"/>
      <c r="AB206" s="142"/>
      <c r="AC206" s="142"/>
      <c r="AD206" s="142"/>
      <c r="AE206" s="140"/>
      <c r="AF206" s="456"/>
      <c r="AG206" s="142"/>
      <c r="AH206" s="142"/>
      <c r="AI206" s="142"/>
      <c r="AJ206" s="140"/>
      <c r="AK206" s="456"/>
      <c r="AL206" s="142"/>
      <c r="AM206" s="142"/>
      <c r="AN206" s="142"/>
      <c r="AO206" s="140"/>
      <c r="AP206" s="456"/>
      <c r="AQ206" s="142"/>
      <c r="AR206" s="142"/>
      <c r="AS206" s="142"/>
      <c r="AT206" s="142"/>
      <c r="AU206" s="142"/>
      <c r="AV206" s="142"/>
      <c r="AW206" s="142"/>
      <c r="AX206" s="142"/>
      <c r="AY206" s="142"/>
      <c r="AZ206" s="142"/>
      <c r="BA206" s="142"/>
      <c r="BB206" s="142"/>
      <c r="BC206" s="142"/>
      <c r="BD206" s="142"/>
      <c r="BE206" s="142"/>
      <c r="BF206" s="142"/>
      <c r="BG206" s="142"/>
      <c r="BH206" s="142"/>
    </row>
    <row r="207">
      <c r="A207" s="140"/>
      <c r="B207" s="456"/>
      <c r="C207" s="142"/>
      <c r="D207" s="142"/>
      <c r="E207" s="142"/>
      <c r="F207" s="140"/>
      <c r="G207" s="456"/>
      <c r="H207" s="142"/>
      <c r="I207" s="142"/>
      <c r="J207" s="142"/>
      <c r="K207" s="125"/>
      <c r="L207" s="456"/>
      <c r="M207" s="142"/>
      <c r="N207" s="142"/>
      <c r="O207" s="142"/>
      <c r="P207" s="125"/>
      <c r="Q207" s="450"/>
      <c r="R207" s="142"/>
      <c r="S207" s="142"/>
      <c r="T207" s="142"/>
      <c r="U207" s="140"/>
      <c r="V207" s="456"/>
      <c r="W207" s="142"/>
      <c r="X207" s="142"/>
      <c r="Y207" s="142"/>
      <c r="Z207" s="140"/>
      <c r="AA207" s="456"/>
      <c r="AB207" s="142"/>
      <c r="AC207" s="142"/>
      <c r="AD207" s="142"/>
      <c r="AE207" s="140"/>
      <c r="AF207" s="456"/>
      <c r="AG207" s="142"/>
      <c r="AH207" s="142"/>
      <c r="AI207" s="142"/>
      <c r="AJ207" s="140"/>
      <c r="AK207" s="456"/>
      <c r="AL207" s="142"/>
      <c r="AM207" s="142"/>
      <c r="AN207" s="142"/>
      <c r="AO207" s="140"/>
      <c r="AP207" s="456"/>
      <c r="AQ207" s="142"/>
      <c r="AR207" s="142"/>
      <c r="AS207" s="142"/>
      <c r="AT207" s="142"/>
      <c r="AU207" s="142"/>
      <c r="AV207" s="142"/>
      <c r="AW207" s="142"/>
      <c r="AX207" s="142"/>
      <c r="AY207" s="142"/>
      <c r="AZ207" s="142"/>
      <c r="BA207" s="142"/>
      <c r="BB207" s="142"/>
      <c r="BC207" s="142"/>
      <c r="BD207" s="142"/>
      <c r="BE207" s="142"/>
      <c r="BF207" s="142"/>
      <c r="BG207" s="142"/>
      <c r="BH207" s="142"/>
    </row>
    <row r="208">
      <c r="A208" s="140"/>
      <c r="B208" s="456"/>
      <c r="C208" s="142"/>
      <c r="D208" s="142"/>
      <c r="E208" s="142"/>
      <c r="F208" s="140"/>
      <c r="G208" s="456"/>
      <c r="H208" s="142"/>
      <c r="I208" s="142"/>
      <c r="J208" s="142"/>
      <c r="K208" s="125"/>
      <c r="L208" s="456"/>
      <c r="M208" s="142"/>
      <c r="N208" s="142"/>
      <c r="O208" s="142"/>
      <c r="P208" s="125"/>
      <c r="Q208" s="450"/>
      <c r="R208" s="142"/>
      <c r="S208" s="142"/>
      <c r="T208" s="142"/>
      <c r="U208" s="140"/>
      <c r="V208" s="456"/>
      <c r="W208" s="142"/>
      <c r="X208" s="142"/>
      <c r="Y208" s="142"/>
      <c r="Z208" s="140"/>
      <c r="AA208" s="456"/>
      <c r="AB208" s="142"/>
      <c r="AC208" s="142"/>
      <c r="AD208" s="142"/>
      <c r="AE208" s="140"/>
      <c r="AF208" s="456"/>
      <c r="AG208" s="142"/>
      <c r="AH208" s="142"/>
      <c r="AI208" s="142"/>
      <c r="AJ208" s="140"/>
      <c r="AK208" s="456"/>
      <c r="AL208" s="142"/>
      <c r="AM208" s="142"/>
      <c r="AN208" s="142"/>
      <c r="AO208" s="140"/>
      <c r="AP208" s="456"/>
      <c r="AQ208" s="142"/>
      <c r="AR208" s="142"/>
      <c r="AS208" s="142"/>
      <c r="AT208" s="142"/>
      <c r="AU208" s="142"/>
      <c r="AV208" s="142"/>
      <c r="AW208" s="142"/>
      <c r="AX208" s="142"/>
      <c r="AY208" s="142"/>
      <c r="AZ208" s="142"/>
      <c r="BA208" s="142"/>
      <c r="BB208" s="142"/>
      <c r="BC208" s="142"/>
      <c r="BD208" s="142"/>
      <c r="BE208" s="142"/>
      <c r="BF208" s="142"/>
      <c r="BG208" s="142"/>
      <c r="BH208" s="142"/>
    </row>
    <row r="209">
      <c r="A209" s="140"/>
      <c r="B209" s="456"/>
      <c r="C209" s="142"/>
      <c r="D209" s="142"/>
      <c r="E209" s="142"/>
      <c r="F209" s="140"/>
      <c r="G209" s="456"/>
      <c r="H209" s="142"/>
      <c r="I209" s="142"/>
      <c r="J209" s="142"/>
      <c r="K209" s="125"/>
      <c r="L209" s="456"/>
      <c r="M209" s="142"/>
      <c r="N209" s="142"/>
      <c r="O209" s="142"/>
      <c r="P209" s="125"/>
      <c r="Q209" s="450"/>
      <c r="R209" s="142"/>
      <c r="S209" s="142"/>
      <c r="T209" s="142"/>
      <c r="U209" s="140"/>
      <c r="V209" s="456"/>
      <c r="W209" s="142"/>
      <c r="X209" s="142"/>
      <c r="Y209" s="142"/>
      <c r="Z209" s="140"/>
      <c r="AA209" s="456"/>
      <c r="AB209" s="142"/>
      <c r="AC209" s="142"/>
      <c r="AD209" s="142"/>
      <c r="AE209" s="140"/>
      <c r="AF209" s="456"/>
      <c r="AG209" s="142"/>
      <c r="AH209" s="142"/>
      <c r="AI209" s="142"/>
      <c r="AJ209" s="140"/>
      <c r="AK209" s="456"/>
      <c r="AL209" s="142"/>
      <c r="AM209" s="142"/>
      <c r="AN209" s="142"/>
      <c r="AO209" s="140"/>
      <c r="AP209" s="456"/>
      <c r="AQ209" s="142"/>
      <c r="AR209" s="142"/>
      <c r="AS209" s="142"/>
      <c r="AT209" s="142"/>
      <c r="AU209" s="142"/>
      <c r="AV209" s="142"/>
      <c r="AW209" s="142"/>
      <c r="AX209" s="142"/>
      <c r="AY209" s="142"/>
      <c r="AZ209" s="142"/>
      <c r="BA209" s="142"/>
      <c r="BB209" s="142"/>
      <c r="BC209" s="142"/>
      <c r="BD209" s="142"/>
      <c r="BE209" s="142"/>
      <c r="BF209" s="142"/>
      <c r="BG209" s="142"/>
      <c r="BH209" s="142"/>
    </row>
    <row r="210">
      <c r="A210" s="140"/>
      <c r="B210" s="456"/>
      <c r="C210" s="142"/>
      <c r="D210" s="142"/>
      <c r="E210" s="142"/>
      <c r="F210" s="140"/>
      <c r="G210" s="456"/>
      <c r="H210" s="142"/>
      <c r="I210" s="142"/>
      <c r="J210" s="142"/>
      <c r="K210" s="125"/>
      <c r="L210" s="456"/>
      <c r="M210" s="142"/>
      <c r="N210" s="142"/>
      <c r="O210" s="142"/>
      <c r="P210" s="125"/>
      <c r="Q210" s="450"/>
      <c r="R210" s="142"/>
      <c r="S210" s="142"/>
      <c r="T210" s="142"/>
      <c r="U210" s="140"/>
      <c r="V210" s="456"/>
      <c r="W210" s="142"/>
      <c r="X210" s="142"/>
      <c r="Y210" s="142"/>
      <c r="Z210" s="140"/>
      <c r="AA210" s="456"/>
      <c r="AB210" s="142"/>
      <c r="AC210" s="142"/>
      <c r="AD210" s="142"/>
      <c r="AE210" s="140"/>
      <c r="AF210" s="456"/>
      <c r="AG210" s="142"/>
      <c r="AH210" s="142"/>
      <c r="AI210" s="142"/>
      <c r="AJ210" s="140"/>
      <c r="AK210" s="456"/>
      <c r="AL210" s="142"/>
      <c r="AM210" s="142"/>
      <c r="AN210" s="142"/>
      <c r="AO210" s="140"/>
      <c r="AP210" s="456"/>
      <c r="AQ210" s="142"/>
      <c r="AR210" s="142"/>
      <c r="AS210" s="142"/>
      <c r="AT210" s="142"/>
      <c r="AU210" s="142"/>
      <c r="AV210" s="142"/>
      <c r="AW210" s="142"/>
      <c r="AX210" s="142"/>
      <c r="AY210" s="142"/>
      <c r="AZ210" s="142"/>
      <c r="BA210" s="142"/>
      <c r="BB210" s="142"/>
      <c r="BC210" s="142"/>
      <c r="BD210" s="142"/>
      <c r="BE210" s="142"/>
      <c r="BF210" s="142"/>
      <c r="BG210" s="142"/>
      <c r="BH210" s="142"/>
    </row>
    <row r="211">
      <c r="A211" s="140"/>
      <c r="B211" s="456"/>
      <c r="C211" s="142"/>
      <c r="D211" s="142"/>
      <c r="E211" s="142"/>
      <c r="F211" s="140"/>
      <c r="G211" s="456"/>
      <c r="H211" s="142"/>
      <c r="I211" s="142"/>
      <c r="J211" s="142"/>
      <c r="K211" s="125"/>
      <c r="L211" s="456"/>
      <c r="M211" s="142"/>
      <c r="N211" s="142"/>
      <c r="O211" s="142"/>
      <c r="P211" s="125"/>
      <c r="Q211" s="450"/>
      <c r="R211" s="142"/>
      <c r="S211" s="142"/>
      <c r="T211" s="142"/>
      <c r="U211" s="140"/>
      <c r="V211" s="456"/>
      <c r="W211" s="142"/>
      <c r="X211" s="142"/>
      <c r="Y211" s="142"/>
      <c r="Z211" s="140"/>
      <c r="AA211" s="456"/>
      <c r="AB211" s="142"/>
      <c r="AC211" s="142"/>
      <c r="AD211" s="142"/>
      <c r="AE211" s="140"/>
      <c r="AF211" s="456"/>
      <c r="AG211" s="142"/>
      <c r="AH211" s="142"/>
      <c r="AI211" s="142"/>
      <c r="AJ211" s="140"/>
      <c r="AK211" s="456"/>
      <c r="AL211" s="142"/>
      <c r="AM211" s="142"/>
      <c r="AN211" s="142"/>
      <c r="AO211" s="140"/>
      <c r="AP211" s="456"/>
      <c r="AQ211" s="142"/>
      <c r="AR211" s="142"/>
      <c r="AS211" s="142"/>
      <c r="AT211" s="142"/>
      <c r="AU211" s="142"/>
      <c r="AV211" s="142"/>
      <c r="AW211" s="142"/>
      <c r="AX211" s="142"/>
      <c r="AY211" s="142"/>
      <c r="AZ211" s="142"/>
      <c r="BA211" s="142"/>
      <c r="BB211" s="142"/>
      <c r="BC211" s="142"/>
      <c r="BD211" s="142"/>
      <c r="BE211" s="142"/>
      <c r="BF211" s="142"/>
      <c r="BG211" s="142"/>
      <c r="BH211" s="142"/>
    </row>
    <row r="212">
      <c r="A212" s="140"/>
      <c r="B212" s="456"/>
      <c r="C212" s="142"/>
      <c r="D212" s="142"/>
      <c r="E212" s="142"/>
      <c r="F212" s="140"/>
      <c r="G212" s="456"/>
      <c r="H212" s="142"/>
      <c r="I212" s="142"/>
      <c r="J212" s="142"/>
      <c r="K212" s="125"/>
      <c r="L212" s="456"/>
      <c r="M212" s="142"/>
      <c r="N212" s="142"/>
      <c r="O212" s="142"/>
      <c r="P212" s="125"/>
      <c r="Q212" s="450"/>
      <c r="R212" s="142"/>
      <c r="S212" s="142"/>
      <c r="T212" s="142"/>
      <c r="U212" s="140"/>
      <c r="V212" s="456"/>
      <c r="W212" s="142"/>
      <c r="X212" s="142"/>
      <c r="Y212" s="142"/>
      <c r="Z212" s="140"/>
      <c r="AA212" s="456"/>
      <c r="AB212" s="142"/>
      <c r="AC212" s="142"/>
      <c r="AD212" s="142"/>
      <c r="AE212" s="140"/>
      <c r="AF212" s="456"/>
      <c r="AG212" s="142"/>
      <c r="AH212" s="142"/>
      <c r="AI212" s="142"/>
      <c r="AJ212" s="140"/>
      <c r="AK212" s="456"/>
      <c r="AL212" s="142"/>
      <c r="AM212" s="142"/>
      <c r="AN212" s="142"/>
      <c r="AO212" s="140"/>
      <c r="AP212" s="456"/>
      <c r="AQ212" s="142"/>
      <c r="AR212" s="142"/>
      <c r="AS212" s="142"/>
      <c r="AT212" s="142"/>
      <c r="AU212" s="142"/>
      <c r="AV212" s="142"/>
      <c r="AW212" s="142"/>
      <c r="AX212" s="142"/>
      <c r="AY212" s="142"/>
      <c r="AZ212" s="142"/>
      <c r="BA212" s="142"/>
      <c r="BB212" s="142"/>
      <c r="BC212" s="142"/>
      <c r="BD212" s="142"/>
      <c r="BE212" s="142"/>
      <c r="BF212" s="142"/>
      <c r="BG212" s="142"/>
      <c r="BH212" s="142"/>
    </row>
    <row r="213">
      <c r="A213" s="140"/>
      <c r="B213" s="456"/>
      <c r="C213" s="142"/>
      <c r="D213" s="142"/>
      <c r="E213" s="142"/>
      <c r="F213" s="140"/>
      <c r="G213" s="456"/>
      <c r="H213" s="142"/>
      <c r="I213" s="142"/>
      <c r="J213" s="142"/>
      <c r="K213" s="125"/>
      <c r="L213" s="456"/>
      <c r="M213" s="142"/>
      <c r="N213" s="142"/>
      <c r="O213" s="142"/>
      <c r="P213" s="125"/>
      <c r="Q213" s="450"/>
      <c r="R213" s="142"/>
      <c r="S213" s="142"/>
      <c r="T213" s="142"/>
      <c r="U213" s="140"/>
      <c r="V213" s="456"/>
      <c r="W213" s="142"/>
      <c r="X213" s="142"/>
      <c r="Y213" s="142"/>
      <c r="Z213" s="140"/>
      <c r="AA213" s="456"/>
      <c r="AB213" s="142"/>
      <c r="AC213" s="142"/>
      <c r="AD213" s="142"/>
      <c r="AE213" s="140"/>
      <c r="AF213" s="456"/>
      <c r="AG213" s="142"/>
      <c r="AH213" s="142"/>
      <c r="AI213" s="142"/>
      <c r="AJ213" s="140"/>
      <c r="AK213" s="456"/>
      <c r="AL213" s="142"/>
      <c r="AM213" s="142"/>
      <c r="AN213" s="142"/>
      <c r="AO213" s="140"/>
      <c r="AP213" s="456"/>
      <c r="AQ213" s="142"/>
      <c r="AR213" s="142"/>
      <c r="AS213" s="142"/>
      <c r="AT213" s="142"/>
      <c r="AU213" s="142"/>
      <c r="AV213" s="142"/>
      <c r="AW213" s="142"/>
      <c r="AX213" s="142"/>
      <c r="AY213" s="142"/>
      <c r="AZ213" s="142"/>
      <c r="BA213" s="142"/>
      <c r="BB213" s="142"/>
      <c r="BC213" s="142"/>
      <c r="BD213" s="142"/>
      <c r="BE213" s="142"/>
      <c r="BF213" s="142"/>
      <c r="BG213" s="142"/>
      <c r="BH213" s="142"/>
    </row>
    <row r="214">
      <c r="A214" s="140"/>
      <c r="B214" s="456"/>
      <c r="C214" s="142"/>
      <c r="D214" s="142"/>
      <c r="E214" s="142"/>
      <c r="F214" s="140"/>
      <c r="G214" s="456"/>
      <c r="H214" s="142"/>
      <c r="I214" s="142"/>
      <c r="J214" s="142"/>
      <c r="K214" s="125"/>
      <c r="L214" s="456"/>
      <c r="M214" s="142"/>
      <c r="N214" s="142"/>
      <c r="O214" s="142"/>
      <c r="P214" s="125"/>
      <c r="Q214" s="450"/>
      <c r="R214" s="142"/>
      <c r="S214" s="142"/>
      <c r="T214" s="142"/>
      <c r="U214" s="140"/>
      <c r="V214" s="456"/>
      <c r="W214" s="142"/>
      <c r="X214" s="142"/>
      <c r="Y214" s="142"/>
      <c r="Z214" s="140"/>
      <c r="AA214" s="456"/>
      <c r="AB214" s="142"/>
      <c r="AC214" s="142"/>
      <c r="AD214" s="142"/>
      <c r="AE214" s="140"/>
      <c r="AF214" s="456"/>
      <c r="AG214" s="142"/>
      <c r="AH214" s="142"/>
      <c r="AI214" s="142"/>
      <c r="AJ214" s="140"/>
      <c r="AK214" s="456"/>
      <c r="AL214" s="142"/>
      <c r="AM214" s="142"/>
      <c r="AN214" s="142"/>
      <c r="AO214" s="140"/>
      <c r="AP214" s="456"/>
      <c r="AQ214" s="142"/>
      <c r="AR214" s="142"/>
      <c r="AS214" s="142"/>
      <c r="AT214" s="142"/>
      <c r="AU214" s="142"/>
      <c r="AV214" s="142"/>
      <c r="AW214" s="142"/>
      <c r="AX214" s="142"/>
      <c r="AY214" s="142"/>
      <c r="AZ214" s="142"/>
      <c r="BA214" s="142"/>
      <c r="BB214" s="142"/>
      <c r="BC214" s="142"/>
      <c r="BD214" s="142"/>
      <c r="BE214" s="142"/>
      <c r="BF214" s="142"/>
      <c r="BG214" s="142"/>
      <c r="BH214" s="142"/>
    </row>
    <row r="215">
      <c r="A215" s="140"/>
      <c r="B215" s="456"/>
      <c r="C215" s="142"/>
      <c r="D215" s="142"/>
      <c r="E215" s="142"/>
      <c r="F215" s="140"/>
      <c r="G215" s="456"/>
      <c r="H215" s="142"/>
      <c r="I215" s="142"/>
      <c r="J215" s="142"/>
      <c r="K215" s="125"/>
      <c r="L215" s="456"/>
      <c r="M215" s="142"/>
      <c r="N215" s="142"/>
      <c r="O215" s="142"/>
      <c r="P215" s="125"/>
      <c r="Q215" s="450"/>
      <c r="R215" s="142"/>
      <c r="S215" s="142"/>
      <c r="T215" s="142"/>
      <c r="U215" s="140"/>
      <c r="V215" s="456"/>
      <c r="W215" s="142"/>
      <c r="X215" s="142"/>
      <c r="Y215" s="142"/>
      <c r="Z215" s="140"/>
      <c r="AA215" s="456"/>
      <c r="AB215" s="142"/>
      <c r="AC215" s="142"/>
      <c r="AD215" s="142"/>
      <c r="AE215" s="140"/>
      <c r="AF215" s="456"/>
      <c r="AG215" s="142"/>
      <c r="AH215" s="142"/>
      <c r="AI215" s="142"/>
      <c r="AJ215" s="140"/>
      <c r="AK215" s="456"/>
      <c r="AL215" s="142"/>
      <c r="AM215" s="142"/>
      <c r="AN215" s="142"/>
      <c r="AO215" s="140"/>
      <c r="AP215" s="456"/>
      <c r="AQ215" s="142"/>
      <c r="AR215" s="142"/>
      <c r="AS215" s="142"/>
      <c r="AT215" s="142"/>
      <c r="AU215" s="142"/>
      <c r="AV215" s="142"/>
      <c r="AW215" s="142"/>
      <c r="AX215" s="142"/>
      <c r="AY215" s="142"/>
      <c r="AZ215" s="142"/>
      <c r="BA215" s="142"/>
      <c r="BB215" s="142"/>
      <c r="BC215" s="142"/>
      <c r="BD215" s="142"/>
      <c r="BE215" s="142"/>
      <c r="BF215" s="142"/>
      <c r="BG215" s="142"/>
      <c r="BH215" s="142"/>
    </row>
    <row r="216">
      <c r="A216" s="140"/>
      <c r="B216" s="456"/>
      <c r="C216" s="142"/>
      <c r="D216" s="142"/>
      <c r="E216" s="142"/>
      <c r="F216" s="140"/>
      <c r="G216" s="456"/>
      <c r="H216" s="142"/>
      <c r="I216" s="142"/>
      <c r="J216" s="142"/>
      <c r="K216" s="125"/>
      <c r="L216" s="456"/>
      <c r="M216" s="142"/>
      <c r="N216" s="142"/>
      <c r="O216" s="142"/>
      <c r="P216" s="125"/>
      <c r="Q216" s="450"/>
      <c r="R216" s="142"/>
      <c r="S216" s="142"/>
      <c r="T216" s="142"/>
      <c r="U216" s="140"/>
      <c r="V216" s="456"/>
      <c r="W216" s="142"/>
      <c r="X216" s="142"/>
      <c r="Y216" s="142"/>
      <c r="Z216" s="140"/>
      <c r="AA216" s="456"/>
      <c r="AB216" s="142"/>
      <c r="AC216" s="142"/>
      <c r="AD216" s="142"/>
      <c r="AE216" s="140"/>
      <c r="AF216" s="456"/>
      <c r="AG216" s="142"/>
      <c r="AH216" s="142"/>
      <c r="AI216" s="142"/>
      <c r="AJ216" s="140"/>
      <c r="AK216" s="456"/>
      <c r="AL216" s="142"/>
      <c r="AM216" s="142"/>
      <c r="AN216" s="142"/>
      <c r="AO216" s="140"/>
      <c r="AP216" s="456"/>
      <c r="AQ216" s="142"/>
      <c r="AR216" s="142"/>
      <c r="AS216" s="142"/>
      <c r="AT216" s="142"/>
      <c r="AU216" s="142"/>
      <c r="AV216" s="142"/>
      <c r="AW216" s="142"/>
      <c r="AX216" s="142"/>
      <c r="AY216" s="142"/>
      <c r="AZ216" s="142"/>
      <c r="BA216" s="142"/>
      <c r="BB216" s="142"/>
      <c r="BC216" s="142"/>
      <c r="BD216" s="142"/>
      <c r="BE216" s="142"/>
      <c r="BF216" s="142"/>
      <c r="BG216" s="142"/>
      <c r="BH216" s="142"/>
    </row>
    <row r="217">
      <c r="A217" s="140"/>
      <c r="B217" s="456"/>
      <c r="C217" s="142"/>
      <c r="D217" s="142"/>
      <c r="E217" s="142"/>
      <c r="F217" s="140"/>
      <c r="G217" s="456"/>
      <c r="H217" s="142"/>
      <c r="I217" s="142"/>
      <c r="J217" s="142"/>
      <c r="K217" s="125"/>
      <c r="L217" s="456"/>
      <c r="M217" s="142"/>
      <c r="N217" s="142"/>
      <c r="O217" s="142"/>
      <c r="P217" s="125"/>
      <c r="Q217" s="450"/>
      <c r="R217" s="142"/>
      <c r="S217" s="142"/>
      <c r="T217" s="142"/>
      <c r="U217" s="140"/>
      <c r="V217" s="456"/>
      <c r="W217" s="142"/>
      <c r="X217" s="142"/>
      <c r="Y217" s="142"/>
      <c r="Z217" s="140"/>
      <c r="AA217" s="456"/>
      <c r="AB217" s="142"/>
      <c r="AC217" s="142"/>
      <c r="AD217" s="142"/>
      <c r="AE217" s="140"/>
      <c r="AF217" s="456"/>
      <c r="AG217" s="142"/>
      <c r="AH217" s="142"/>
      <c r="AI217" s="142"/>
      <c r="AJ217" s="140"/>
      <c r="AK217" s="456"/>
      <c r="AL217" s="142"/>
      <c r="AM217" s="142"/>
      <c r="AN217" s="142"/>
      <c r="AO217" s="140"/>
      <c r="AP217" s="456"/>
      <c r="AQ217" s="142"/>
      <c r="AR217" s="142"/>
      <c r="AS217" s="142"/>
      <c r="AT217" s="142"/>
      <c r="AU217" s="142"/>
      <c r="AV217" s="142"/>
      <c r="AW217" s="142"/>
      <c r="AX217" s="142"/>
      <c r="AY217" s="142"/>
      <c r="AZ217" s="142"/>
      <c r="BA217" s="142"/>
      <c r="BB217" s="142"/>
      <c r="BC217" s="142"/>
      <c r="BD217" s="142"/>
      <c r="BE217" s="142"/>
      <c r="BF217" s="142"/>
      <c r="BG217" s="142"/>
      <c r="BH217" s="142"/>
    </row>
    <row r="218">
      <c r="A218" s="140"/>
      <c r="B218" s="456"/>
      <c r="C218" s="142"/>
      <c r="D218" s="142"/>
      <c r="E218" s="142"/>
      <c r="F218" s="140"/>
      <c r="G218" s="456"/>
      <c r="H218" s="142"/>
      <c r="I218" s="142"/>
      <c r="J218" s="142"/>
      <c r="K218" s="125"/>
      <c r="L218" s="456"/>
      <c r="M218" s="142"/>
      <c r="N218" s="142"/>
      <c r="O218" s="142"/>
      <c r="P218" s="125"/>
      <c r="Q218" s="450"/>
      <c r="R218" s="142"/>
      <c r="S218" s="142"/>
      <c r="T218" s="142"/>
      <c r="U218" s="140"/>
      <c r="V218" s="456"/>
      <c r="W218" s="142"/>
      <c r="X218" s="142"/>
      <c r="Y218" s="142"/>
      <c r="Z218" s="140"/>
      <c r="AA218" s="456"/>
      <c r="AB218" s="142"/>
      <c r="AC218" s="142"/>
      <c r="AD218" s="142"/>
      <c r="AE218" s="140"/>
      <c r="AF218" s="456"/>
      <c r="AG218" s="142"/>
      <c r="AH218" s="142"/>
      <c r="AI218" s="142"/>
      <c r="AJ218" s="140"/>
      <c r="AK218" s="456"/>
      <c r="AL218" s="142"/>
      <c r="AM218" s="142"/>
      <c r="AN218" s="142"/>
      <c r="AO218" s="140"/>
      <c r="AP218" s="456"/>
      <c r="AQ218" s="142"/>
      <c r="AR218" s="142"/>
      <c r="AS218" s="142"/>
      <c r="AT218" s="142"/>
      <c r="AU218" s="142"/>
      <c r="AV218" s="142"/>
      <c r="AW218" s="142"/>
      <c r="AX218" s="142"/>
      <c r="AY218" s="142"/>
      <c r="AZ218" s="142"/>
      <c r="BA218" s="142"/>
      <c r="BB218" s="142"/>
      <c r="BC218" s="142"/>
      <c r="BD218" s="142"/>
      <c r="BE218" s="142"/>
      <c r="BF218" s="142"/>
      <c r="BG218" s="142"/>
      <c r="BH218" s="142"/>
    </row>
    <row r="219">
      <c r="A219" s="140"/>
      <c r="B219" s="456"/>
      <c r="C219" s="142"/>
      <c r="D219" s="142"/>
      <c r="E219" s="142"/>
      <c r="F219" s="140"/>
      <c r="G219" s="456"/>
      <c r="H219" s="142"/>
      <c r="I219" s="142"/>
      <c r="J219" s="142"/>
      <c r="K219" s="125"/>
      <c r="L219" s="456"/>
      <c r="M219" s="142"/>
      <c r="N219" s="142"/>
      <c r="O219" s="142"/>
      <c r="P219" s="125"/>
      <c r="Q219" s="450"/>
      <c r="R219" s="142"/>
      <c r="S219" s="142"/>
      <c r="T219" s="142"/>
      <c r="U219" s="140"/>
      <c r="V219" s="456"/>
      <c r="W219" s="142"/>
      <c r="X219" s="142"/>
      <c r="Y219" s="142"/>
      <c r="Z219" s="140"/>
      <c r="AA219" s="456"/>
      <c r="AB219" s="142"/>
      <c r="AC219" s="142"/>
      <c r="AD219" s="142"/>
      <c r="AE219" s="140"/>
      <c r="AF219" s="456"/>
      <c r="AG219" s="142"/>
      <c r="AH219" s="142"/>
      <c r="AI219" s="142"/>
      <c r="AJ219" s="140"/>
      <c r="AK219" s="456"/>
      <c r="AL219" s="142"/>
      <c r="AM219" s="142"/>
      <c r="AN219" s="142"/>
      <c r="AO219" s="140"/>
      <c r="AP219" s="456"/>
      <c r="AQ219" s="142"/>
      <c r="AR219" s="142"/>
      <c r="AS219" s="142"/>
      <c r="AT219" s="142"/>
      <c r="AU219" s="142"/>
      <c r="AV219" s="142"/>
      <c r="AW219" s="142"/>
      <c r="AX219" s="142"/>
      <c r="AY219" s="142"/>
      <c r="AZ219" s="142"/>
      <c r="BA219" s="142"/>
      <c r="BB219" s="142"/>
      <c r="BC219" s="142"/>
      <c r="BD219" s="142"/>
      <c r="BE219" s="142"/>
      <c r="BF219" s="142"/>
      <c r="BG219" s="142"/>
      <c r="BH219" s="142"/>
    </row>
    <row r="220">
      <c r="A220" s="140"/>
      <c r="B220" s="456"/>
      <c r="C220" s="142"/>
      <c r="D220" s="142"/>
      <c r="E220" s="142"/>
      <c r="F220" s="140"/>
      <c r="G220" s="456"/>
      <c r="H220" s="142"/>
      <c r="I220" s="142"/>
      <c r="J220" s="142"/>
      <c r="K220" s="125"/>
      <c r="L220" s="456"/>
      <c r="M220" s="142"/>
      <c r="N220" s="142"/>
      <c r="O220" s="142"/>
      <c r="P220" s="125"/>
      <c r="Q220" s="450"/>
      <c r="R220" s="142"/>
      <c r="S220" s="142"/>
      <c r="T220" s="142"/>
      <c r="U220" s="140"/>
      <c r="V220" s="456"/>
      <c r="W220" s="142"/>
      <c r="X220" s="142"/>
      <c r="Y220" s="142"/>
      <c r="Z220" s="140"/>
      <c r="AA220" s="456"/>
      <c r="AB220" s="142"/>
      <c r="AC220" s="142"/>
      <c r="AD220" s="142"/>
      <c r="AE220" s="140"/>
      <c r="AF220" s="456"/>
      <c r="AG220" s="142"/>
      <c r="AH220" s="142"/>
      <c r="AI220" s="142"/>
      <c r="AJ220" s="140"/>
      <c r="AK220" s="456"/>
      <c r="AL220" s="142"/>
      <c r="AM220" s="142"/>
      <c r="AN220" s="142"/>
      <c r="AO220" s="140"/>
      <c r="AP220" s="456"/>
      <c r="AQ220" s="142"/>
      <c r="AR220" s="142"/>
      <c r="AS220" s="142"/>
      <c r="AT220" s="142"/>
      <c r="AU220" s="142"/>
      <c r="AV220" s="142"/>
      <c r="AW220" s="142"/>
      <c r="AX220" s="142"/>
      <c r="AY220" s="142"/>
      <c r="AZ220" s="142"/>
      <c r="BA220" s="142"/>
      <c r="BB220" s="142"/>
      <c r="BC220" s="142"/>
      <c r="BD220" s="142"/>
      <c r="BE220" s="142"/>
      <c r="BF220" s="142"/>
      <c r="BG220" s="142"/>
      <c r="BH220" s="142"/>
    </row>
    <row r="221">
      <c r="A221" s="140"/>
      <c r="B221" s="456"/>
      <c r="C221" s="142"/>
      <c r="D221" s="142"/>
      <c r="E221" s="142"/>
      <c r="F221" s="140"/>
      <c r="G221" s="456"/>
      <c r="H221" s="142"/>
      <c r="I221" s="142"/>
      <c r="J221" s="142"/>
      <c r="K221" s="125"/>
      <c r="L221" s="456"/>
      <c r="M221" s="142"/>
      <c r="N221" s="142"/>
      <c r="O221" s="142"/>
      <c r="P221" s="125"/>
      <c r="Q221" s="450"/>
      <c r="R221" s="142"/>
      <c r="S221" s="142"/>
      <c r="T221" s="142"/>
      <c r="U221" s="140"/>
      <c r="V221" s="456"/>
      <c r="W221" s="142"/>
      <c r="X221" s="142"/>
      <c r="Y221" s="142"/>
      <c r="Z221" s="140"/>
      <c r="AA221" s="456"/>
      <c r="AB221" s="142"/>
      <c r="AC221" s="142"/>
      <c r="AD221" s="142"/>
      <c r="AE221" s="140"/>
      <c r="AF221" s="456"/>
      <c r="AG221" s="142"/>
      <c r="AH221" s="142"/>
      <c r="AI221" s="142"/>
      <c r="AJ221" s="140"/>
      <c r="AK221" s="456"/>
      <c r="AL221" s="142"/>
      <c r="AM221" s="142"/>
      <c r="AN221" s="142"/>
      <c r="AO221" s="140"/>
      <c r="AP221" s="456"/>
      <c r="AQ221" s="142"/>
      <c r="AR221" s="142"/>
      <c r="AS221" s="142"/>
      <c r="AT221" s="142"/>
      <c r="AU221" s="142"/>
      <c r="AV221" s="142"/>
      <c r="AW221" s="142"/>
      <c r="AX221" s="142"/>
      <c r="AY221" s="142"/>
      <c r="AZ221" s="142"/>
      <c r="BA221" s="142"/>
      <c r="BB221" s="142"/>
      <c r="BC221" s="142"/>
      <c r="BD221" s="142"/>
      <c r="BE221" s="142"/>
      <c r="BF221" s="142"/>
      <c r="BG221" s="142"/>
      <c r="BH221" s="142"/>
    </row>
    <row r="222">
      <c r="A222" s="140"/>
      <c r="B222" s="456"/>
      <c r="C222" s="142"/>
      <c r="D222" s="142"/>
      <c r="E222" s="142"/>
      <c r="F222" s="140"/>
      <c r="G222" s="456"/>
      <c r="H222" s="142"/>
      <c r="I222" s="142"/>
      <c r="J222" s="142"/>
      <c r="K222" s="125"/>
      <c r="L222" s="456"/>
      <c r="M222" s="142"/>
      <c r="N222" s="142"/>
      <c r="O222" s="142"/>
      <c r="P222" s="125"/>
      <c r="Q222" s="450"/>
      <c r="R222" s="142"/>
      <c r="S222" s="142"/>
      <c r="T222" s="142"/>
      <c r="U222" s="140"/>
      <c r="V222" s="456"/>
      <c r="W222" s="142"/>
      <c r="X222" s="142"/>
      <c r="Y222" s="142"/>
      <c r="Z222" s="140"/>
      <c r="AA222" s="456"/>
      <c r="AB222" s="142"/>
      <c r="AC222" s="142"/>
      <c r="AD222" s="142"/>
      <c r="AE222" s="140"/>
      <c r="AF222" s="456"/>
      <c r="AG222" s="142"/>
      <c r="AH222" s="142"/>
      <c r="AI222" s="142"/>
      <c r="AJ222" s="140"/>
      <c r="AK222" s="456"/>
      <c r="AL222" s="142"/>
      <c r="AM222" s="142"/>
      <c r="AN222" s="142"/>
      <c r="AO222" s="140"/>
      <c r="AP222" s="456"/>
      <c r="AQ222" s="142"/>
      <c r="AR222" s="142"/>
      <c r="AS222" s="142"/>
      <c r="AT222" s="142"/>
      <c r="AU222" s="142"/>
      <c r="AV222" s="142"/>
      <c r="AW222" s="142"/>
      <c r="AX222" s="142"/>
      <c r="AY222" s="142"/>
      <c r="AZ222" s="142"/>
      <c r="BA222" s="142"/>
      <c r="BB222" s="142"/>
      <c r="BC222" s="142"/>
      <c r="BD222" s="142"/>
      <c r="BE222" s="142"/>
      <c r="BF222" s="142"/>
      <c r="BG222" s="142"/>
      <c r="BH222" s="142"/>
    </row>
    <row r="223">
      <c r="A223" s="140"/>
      <c r="B223" s="456"/>
      <c r="C223" s="142"/>
      <c r="D223" s="142"/>
      <c r="E223" s="142"/>
      <c r="F223" s="140"/>
      <c r="G223" s="456"/>
      <c r="H223" s="142"/>
      <c r="I223" s="142"/>
      <c r="J223" s="142"/>
      <c r="K223" s="125"/>
      <c r="L223" s="456"/>
      <c r="M223" s="142"/>
      <c r="N223" s="142"/>
      <c r="O223" s="142"/>
      <c r="P223" s="125"/>
      <c r="Q223" s="450"/>
      <c r="R223" s="142"/>
      <c r="S223" s="142"/>
      <c r="T223" s="142"/>
      <c r="U223" s="140"/>
      <c r="V223" s="456"/>
      <c r="W223" s="142"/>
      <c r="X223" s="142"/>
      <c r="Y223" s="142"/>
      <c r="Z223" s="140"/>
      <c r="AA223" s="456"/>
      <c r="AB223" s="142"/>
      <c r="AC223" s="142"/>
      <c r="AD223" s="142"/>
      <c r="AE223" s="140"/>
      <c r="AF223" s="456"/>
      <c r="AG223" s="142"/>
      <c r="AH223" s="142"/>
      <c r="AI223" s="142"/>
      <c r="AJ223" s="140"/>
      <c r="AK223" s="456"/>
      <c r="AL223" s="142"/>
      <c r="AM223" s="142"/>
      <c r="AN223" s="142"/>
      <c r="AO223" s="140"/>
      <c r="AP223" s="456"/>
      <c r="AQ223" s="142"/>
      <c r="AR223" s="142"/>
      <c r="AS223" s="142"/>
      <c r="AT223" s="142"/>
      <c r="AU223" s="142"/>
      <c r="AV223" s="142"/>
      <c r="AW223" s="142"/>
      <c r="AX223" s="142"/>
      <c r="AY223" s="142"/>
      <c r="AZ223" s="142"/>
      <c r="BA223" s="142"/>
      <c r="BB223" s="142"/>
      <c r="BC223" s="142"/>
      <c r="BD223" s="142"/>
      <c r="BE223" s="142"/>
      <c r="BF223" s="142"/>
      <c r="BG223" s="142"/>
      <c r="BH223" s="142"/>
    </row>
    <row r="224">
      <c r="A224" s="140"/>
      <c r="B224" s="456"/>
      <c r="C224" s="142"/>
      <c r="D224" s="142"/>
      <c r="E224" s="142"/>
      <c r="F224" s="140"/>
      <c r="G224" s="456"/>
      <c r="H224" s="142"/>
      <c r="I224" s="142"/>
      <c r="J224" s="142"/>
      <c r="K224" s="125"/>
      <c r="L224" s="456"/>
      <c r="M224" s="142"/>
      <c r="N224" s="142"/>
      <c r="O224" s="142"/>
      <c r="P224" s="125"/>
      <c r="Q224" s="450"/>
      <c r="R224" s="142"/>
      <c r="S224" s="142"/>
      <c r="T224" s="142"/>
      <c r="U224" s="140"/>
      <c r="V224" s="456"/>
      <c r="W224" s="142"/>
      <c r="X224" s="142"/>
      <c r="Y224" s="142"/>
      <c r="Z224" s="140"/>
      <c r="AA224" s="456"/>
      <c r="AB224" s="142"/>
      <c r="AC224" s="142"/>
      <c r="AD224" s="142"/>
      <c r="AE224" s="140"/>
      <c r="AF224" s="456"/>
      <c r="AG224" s="142"/>
      <c r="AH224" s="142"/>
      <c r="AI224" s="142"/>
      <c r="AJ224" s="140"/>
      <c r="AK224" s="456"/>
      <c r="AL224" s="142"/>
      <c r="AM224" s="142"/>
      <c r="AN224" s="142"/>
      <c r="AO224" s="140"/>
      <c r="AP224" s="456"/>
      <c r="AQ224" s="142"/>
      <c r="AR224" s="142"/>
      <c r="AS224" s="142"/>
      <c r="AT224" s="142"/>
      <c r="AU224" s="142"/>
      <c r="AV224" s="142"/>
      <c r="AW224" s="142"/>
      <c r="AX224" s="142"/>
      <c r="AY224" s="142"/>
      <c r="AZ224" s="142"/>
      <c r="BA224" s="142"/>
      <c r="BB224" s="142"/>
      <c r="BC224" s="142"/>
      <c r="BD224" s="142"/>
      <c r="BE224" s="142"/>
      <c r="BF224" s="142"/>
      <c r="BG224" s="142"/>
      <c r="BH224" s="142"/>
    </row>
    <row r="225">
      <c r="A225" s="140"/>
      <c r="B225" s="456"/>
      <c r="C225" s="142"/>
      <c r="D225" s="142"/>
      <c r="E225" s="142"/>
      <c r="F225" s="140"/>
      <c r="G225" s="456"/>
      <c r="H225" s="142"/>
      <c r="I225" s="142"/>
      <c r="J225" s="142"/>
      <c r="K225" s="125"/>
      <c r="L225" s="456"/>
      <c r="M225" s="142"/>
      <c r="N225" s="142"/>
      <c r="O225" s="142"/>
      <c r="P225" s="125"/>
      <c r="Q225" s="450"/>
      <c r="R225" s="142"/>
      <c r="S225" s="142"/>
      <c r="T225" s="142"/>
      <c r="U225" s="140"/>
      <c r="V225" s="456"/>
      <c r="W225" s="142"/>
      <c r="X225" s="142"/>
      <c r="Y225" s="142"/>
      <c r="Z225" s="140"/>
      <c r="AA225" s="456"/>
      <c r="AB225" s="142"/>
      <c r="AC225" s="142"/>
      <c r="AD225" s="142"/>
      <c r="AE225" s="140"/>
      <c r="AF225" s="456"/>
      <c r="AG225" s="142"/>
      <c r="AH225" s="142"/>
      <c r="AI225" s="142"/>
      <c r="AJ225" s="140"/>
      <c r="AK225" s="456"/>
      <c r="AL225" s="142"/>
      <c r="AM225" s="142"/>
      <c r="AN225" s="142"/>
      <c r="AO225" s="140"/>
      <c r="AP225" s="456"/>
      <c r="AQ225" s="142"/>
      <c r="AR225" s="142"/>
      <c r="AS225" s="142"/>
      <c r="AT225" s="142"/>
      <c r="AU225" s="142"/>
      <c r="AV225" s="142"/>
      <c r="AW225" s="142"/>
      <c r="AX225" s="142"/>
      <c r="AY225" s="142"/>
      <c r="AZ225" s="142"/>
      <c r="BA225" s="142"/>
      <c r="BB225" s="142"/>
      <c r="BC225" s="142"/>
      <c r="BD225" s="142"/>
      <c r="BE225" s="142"/>
      <c r="BF225" s="142"/>
      <c r="BG225" s="142"/>
      <c r="BH225" s="142"/>
    </row>
    <row r="226">
      <c r="A226" s="140"/>
      <c r="B226" s="456"/>
      <c r="C226" s="142"/>
      <c r="D226" s="142"/>
      <c r="E226" s="142"/>
      <c r="F226" s="140"/>
      <c r="G226" s="456"/>
      <c r="H226" s="142"/>
      <c r="I226" s="142"/>
      <c r="J226" s="142"/>
      <c r="K226" s="125"/>
      <c r="L226" s="456"/>
      <c r="M226" s="142"/>
      <c r="N226" s="142"/>
      <c r="O226" s="142"/>
      <c r="P226" s="125"/>
      <c r="Q226" s="450"/>
      <c r="R226" s="142"/>
      <c r="S226" s="142"/>
      <c r="T226" s="142"/>
      <c r="U226" s="140"/>
      <c r="V226" s="456"/>
      <c r="W226" s="142"/>
      <c r="X226" s="142"/>
      <c r="Y226" s="142"/>
      <c r="Z226" s="140"/>
      <c r="AA226" s="456"/>
      <c r="AB226" s="142"/>
      <c r="AC226" s="142"/>
      <c r="AD226" s="142"/>
      <c r="AE226" s="140"/>
      <c r="AF226" s="456"/>
      <c r="AG226" s="142"/>
      <c r="AH226" s="142"/>
      <c r="AI226" s="142"/>
      <c r="AJ226" s="140"/>
      <c r="AK226" s="456"/>
      <c r="AL226" s="142"/>
      <c r="AM226" s="142"/>
      <c r="AN226" s="142"/>
      <c r="AO226" s="140"/>
      <c r="AP226" s="456"/>
      <c r="AQ226" s="142"/>
      <c r="AR226" s="142"/>
      <c r="AS226" s="142"/>
      <c r="AT226" s="142"/>
      <c r="AU226" s="142"/>
      <c r="AV226" s="142"/>
      <c r="AW226" s="142"/>
      <c r="AX226" s="142"/>
      <c r="AY226" s="142"/>
      <c r="AZ226" s="142"/>
      <c r="BA226" s="142"/>
      <c r="BB226" s="142"/>
      <c r="BC226" s="142"/>
      <c r="BD226" s="142"/>
      <c r="BE226" s="142"/>
      <c r="BF226" s="142"/>
      <c r="BG226" s="142"/>
      <c r="BH226" s="142"/>
    </row>
    <row r="227">
      <c r="A227" s="140"/>
      <c r="B227" s="456"/>
      <c r="C227" s="142"/>
      <c r="D227" s="142"/>
      <c r="E227" s="142"/>
      <c r="F227" s="140"/>
      <c r="G227" s="456"/>
      <c r="H227" s="142"/>
      <c r="I227" s="142"/>
      <c r="J227" s="142"/>
      <c r="K227" s="125"/>
      <c r="L227" s="456"/>
      <c r="M227" s="142"/>
      <c r="N227" s="142"/>
      <c r="O227" s="142"/>
      <c r="P227" s="125"/>
      <c r="Q227" s="450"/>
      <c r="R227" s="142"/>
      <c r="S227" s="142"/>
      <c r="T227" s="142"/>
      <c r="U227" s="140"/>
      <c r="V227" s="456"/>
      <c r="W227" s="142"/>
      <c r="X227" s="142"/>
      <c r="Y227" s="142"/>
      <c r="Z227" s="140"/>
      <c r="AA227" s="456"/>
      <c r="AB227" s="142"/>
      <c r="AC227" s="142"/>
      <c r="AD227" s="142"/>
      <c r="AE227" s="140"/>
      <c r="AF227" s="456"/>
      <c r="AG227" s="142"/>
      <c r="AH227" s="142"/>
      <c r="AI227" s="142"/>
      <c r="AJ227" s="140"/>
      <c r="AK227" s="456"/>
      <c r="AL227" s="142"/>
      <c r="AM227" s="142"/>
      <c r="AN227" s="142"/>
      <c r="AO227" s="140"/>
      <c r="AP227" s="456"/>
      <c r="AQ227" s="142"/>
      <c r="AR227" s="142"/>
      <c r="AS227" s="142"/>
      <c r="AT227" s="142"/>
      <c r="AU227" s="142"/>
      <c r="AV227" s="142"/>
      <c r="AW227" s="142"/>
      <c r="AX227" s="142"/>
      <c r="AY227" s="142"/>
      <c r="AZ227" s="142"/>
      <c r="BA227" s="142"/>
      <c r="BB227" s="142"/>
      <c r="BC227" s="142"/>
      <c r="BD227" s="142"/>
      <c r="BE227" s="142"/>
      <c r="BF227" s="142"/>
      <c r="BG227" s="142"/>
      <c r="BH227" s="142"/>
    </row>
    <row r="228">
      <c r="A228" s="140"/>
      <c r="B228" s="456"/>
      <c r="C228" s="142"/>
      <c r="D228" s="142"/>
      <c r="E228" s="142"/>
      <c r="F228" s="140"/>
      <c r="G228" s="456"/>
      <c r="H228" s="142"/>
      <c r="I228" s="142"/>
      <c r="J228" s="142"/>
      <c r="K228" s="125"/>
      <c r="L228" s="456"/>
      <c r="M228" s="142"/>
      <c r="N228" s="142"/>
      <c r="O228" s="142"/>
      <c r="P228" s="125"/>
      <c r="Q228" s="450"/>
      <c r="R228" s="142"/>
      <c r="S228" s="142"/>
      <c r="T228" s="142"/>
      <c r="U228" s="140"/>
      <c r="V228" s="456"/>
      <c r="W228" s="142"/>
      <c r="X228" s="142"/>
      <c r="Y228" s="142"/>
      <c r="Z228" s="140"/>
      <c r="AA228" s="456"/>
      <c r="AB228" s="142"/>
      <c r="AC228" s="142"/>
      <c r="AD228" s="142"/>
      <c r="AE228" s="140"/>
      <c r="AF228" s="456"/>
      <c r="AG228" s="142"/>
      <c r="AH228" s="142"/>
      <c r="AI228" s="142"/>
      <c r="AJ228" s="140"/>
      <c r="AK228" s="456"/>
      <c r="AL228" s="142"/>
      <c r="AM228" s="142"/>
      <c r="AN228" s="142"/>
      <c r="AO228" s="140"/>
      <c r="AP228" s="456"/>
      <c r="AQ228" s="142"/>
      <c r="AR228" s="142"/>
      <c r="AS228" s="142"/>
      <c r="AT228" s="142"/>
      <c r="AU228" s="142"/>
      <c r="AV228" s="142"/>
      <c r="AW228" s="142"/>
      <c r="AX228" s="142"/>
      <c r="AY228" s="142"/>
      <c r="AZ228" s="142"/>
      <c r="BA228" s="142"/>
      <c r="BB228" s="142"/>
      <c r="BC228" s="142"/>
      <c r="BD228" s="142"/>
      <c r="BE228" s="142"/>
      <c r="BF228" s="142"/>
      <c r="BG228" s="142"/>
      <c r="BH228" s="142"/>
    </row>
    <row r="229">
      <c r="A229" s="140"/>
      <c r="B229" s="456"/>
      <c r="C229" s="142"/>
      <c r="D229" s="142"/>
      <c r="E229" s="142"/>
      <c r="F229" s="140"/>
      <c r="G229" s="456"/>
      <c r="H229" s="142"/>
      <c r="I229" s="142"/>
      <c r="J229" s="142"/>
      <c r="K229" s="125"/>
      <c r="L229" s="456"/>
      <c r="M229" s="142"/>
      <c r="N229" s="142"/>
      <c r="O229" s="142"/>
      <c r="P229" s="125"/>
      <c r="Q229" s="450"/>
      <c r="R229" s="142"/>
      <c r="S229" s="142"/>
      <c r="T229" s="142"/>
      <c r="U229" s="140"/>
      <c r="V229" s="456"/>
      <c r="W229" s="142"/>
      <c r="X229" s="142"/>
      <c r="Y229" s="142"/>
      <c r="Z229" s="140"/>
      <c r="AA229" s="456"/>
      <c r="AB229" s="142"/>
      <c r="AC229" s="142"/>
      <c r="AD229" s="142"/>
      <c r="AE229" s="140"/>
      <c r="AF229" s="456"/>
      <c r="AG229" s="142"/>
      <c r="AH229" s="142"/>
      <c r="AI229" s="142"/>
      <c r="AJ229" s="140"/>
      <c r="AK229" s="456"/>
      <c r="AL229" s="142"/>
      <c r="AM229" s="142"/>
      <c r="AN229" s="142"/>
      <c r="AO229" s="140"/>
      <c r="AP229" s="456"/>
      <c r="AQ229" s="142"/>
      <c r="AR229" s="142"/>
      <c r="AS229" s="142"/>
      <c r="AT229" s="142"/>
      <c r="AU229" s="142"/>
      <c r="AV229" s="142"/>
      <c r="AW229" s="142"/>
      <c r="AX229" s="142"/>
      <c r="AY229" s="142"/>
      <c r="AZ229" s="142"/>
      <c r="BA229" s="142"/>
      <c r="BB229" s="142"/>
      <c r="BC229" s="142"/>
      <c r="BD229" s="142"/>
      <c r="BE229" s="142"/>
      <c r="BF229" s="142"/>
      <c r="BG229" s="142"/>
      <c r="BH229" s="142"/>
    </row>
    <row r="230">
      <c r="A230" s="140"/>
      <c r="B230" s="456"/>
      <c r="C230" s="142"/>
      <c r="D230" s="142"/>
      <c r="E230" s="142"/>
      <c r="F230" s="140"/>
      <c r="G230" s="456"/>
      <c r="H230" s="142"/>
      <c r="I230" s="142"/>
      <c r="J230" s="142"/>
      <c r="K230" s="125"/>
      <c r="L230" s="456"/>
      <c r="M230" s="142"/>
      <c r="N230" s="142"/>
      <c r="O230" s="142"/>
      <c r="P230" s="125"/>
      <c r="Q230" s="450"/>
      <c r="R230" s="142"/>
      <c r="S230" s="142"/>
      <c r="T230" s="142"/>
      <c r="U230" s="140"/>
      <c r="V230" s="456"/>
      <c r="W230" s="142"/>
      <c r="X230" s="142"/>
      <c r="Y230" s="142"/>
      <c r="Z230" s="140"/>
      <c r="AA230" s="456"/>
      <c r="AB230" s="142"/>
      <c r="AC230" s="142"/>
      <c r="AD230" s="142"/>
      <c r="AE230" s="140"/>
      <c r="AF230" s="456"/>
      <c r="AG230" s="142"/>
      <c r="AH230" s="142"/>
      <c r="AI230" s="142"/>
      <c r="AJ230" s="140"/>
      <c r="AK230" s="456"/>
      <c r="AL230" s="142"/>
      <c r="AM230" s="142"/>
      <c r="AN230" s="142"/>
      <c r="AO230" s="140"/>
      <c r="AP230" s="456"/>
      <c r="AQ230" s="142"/>
      <c r="AR230" s="142"/>
      <c r="AS230" s="142"/>
      <c r="AT230" s="142"/>
      <c r="AU230" s="142"/>
      <c r="AV230" s="142"/>
      <c r="AW230" s="142"/>
      <c r="AX230" s="142"/>
      <c r="AY230" s="142"/>
      <c r="AZ230" s="142"/>
      <c r="BA230" s="142"/>
      <c r="BB230" s="142"/>
      <c r="BC230" s="142"/>
      <c r="BD230" s="142"/>
      <c r="BE230" s="142"/>
      <c r="BF230" s="142"/>
      <c r="BG230" s="142"/>
      <c r="BH230" s="142"/>
    </row>
    <row r="231">
      <c r="A231" s="140"/>
      <c r="B231" s="456"/>
      <c r="C231" s="142"/>
      <c r="D231" s="142"/>
      <c r="E231" s="142"/>
      <c r="F231" s="140"/>
      <c r="G231" s="456"/>
      <c r="H231" s="142"/>
      <c r="I231" s="142"/>
      <c r="J231" s="142"/>
      <c r="K231" s="125"/>
      <c r="L231" s="456"/>
      <c r="M231" s="142"/>
      <c r="N231" s="142"/>
      <c r="O231" s="142"/>
      <c r="P231" s="125"/>
      <c r="Q231" s="450"/>
      <c r="R231" s="142"/>
      <c r="S231" s="142"/>
      <c r="T231" s="142"/>
      <c r="U231" s="140"/>
      <c r="V231" s="456"/>
      <c r="W231" s="142"/>
      <c r="X231" s="142"/>
      <c r="Y231" s="142"/>
      <c r="Z231" s="140"/>
      <c r="AA231" s="456"/>
      <c r="AB231" s="142"/>
      <c r="AC231" s="142"/>
      <c r="AD231" s="142"/>
      <c r="AE231" s="140"/>
      <c r="AF231" s="456"/>
      <c r="AG231" s="142"/>
      <c r="AH231" s="142"/>
      <c r="AI231" s="142"/>
      <c r="AJ231" s="140"/>
      <c r="AK231" s="456"/>
      <c r="AL231" s="142"/>
      <c r="AM231" s="142"/>
      <c r="AN231" s="142"/>
      <c r="AO231" s="140"/>
      <c r="AP231" s="456"/>
      <c r="AQ231" s="142"/>
      <c r="AR231" s="142"/>
      <c r="AS231" s="142"/>
      <c r="AT231" s="142"/>
      <c r="AU231" s="142"/>
      <c r="AV231" s="142"/>
      <c r="AW231" s="142"/>
      <c r="AX231" s="142"/>
      <c r="AY231" s="142"/>
      <c r="AZ231" s="142"/>
      <c r="BA231" s="142"/>
      <c r="BB231" s="142"/>
      <c r="BC231" s="142"/>
      <c r="BD231" s="142"/>
      <c r="BE231" s="142"/>
      <c r="BF231" s="142"/>
      <c r="BG231" s="142"/>
      <c r="BH231" s="142"/>
    </row>
    <row r="232">
      <c r="A232" s="140"/>
      <c r="B232" s="456"/>
      <c r="C232" s="142"/>
      <c r="D232" s="142"/>
      <c r="E232" s="142"/>
      <c r="F232" s="140"/>
      <c r="G232" s="456"/>
      <c r="H232" s="142"/>
      <c r="I232" s="142"/>
      <c r="J232" s="142"/>
      <c r="K232" s="125"/>
      <c r="L232" s="456"/>
      <c r="M232" s="142"/>
      <c r="N232" s="142"/>
      <c r="O232" s="142"/>
      <c r="P232" s="125"/>
      <c r="Q232" s="450"/>
      <c r="R232" s="142"/>
      <c r="S232" s="142"/>
      <c r="T232" s="142"/>
      <c r="U232" s="140"/>
      <c r="V232" s="456"/>
      <c r="W232" s="142"/>
      <c r="X232" s="142"/>
      <c r="Y232" s="142"/>
      <c r="Z232" s="140"/>
      <c r="AA232" s="456"/>
      <c r="AB232" s="142"/>
      <c r="AC232" s="142"/>
      <c r="AD232" s="142"/>
      <c r="AE232" s="140"/>
      <c r="AF232" s="456"/>
      <c r="AG232" s="142"/>
      <c r="AH232" s="142"/>
      <c r="AI232" s="142"/>
      <c r="AJ232" s="140"/>
      <c r="AK232" s="456"/>
      <c r="AL232" s="142"/>
      <c r="AM232" s="142"/>
      <c r="AN232" s="142"/>
      <c r="AO232" s="140"/>
      <c r="AP232" s="456"/>
      <c r="AQ232" s="142"/>
      <c r="AR232" s="142"/>
      <c r="AS232" s="142"/>
      <c r="AT232" s="142"/>
      <c r="AU232" s="142"/>
      <c r="AV232" s="142"/>
      <c r="AW232" s="142"/>
      <c r="AX232" s="142"/>
      <c r="AY232" s="142"/>
      <c r="AZ232" s="142"/>
      <c r="BA232" s="142"/>
      <c r="BB232" s="142"/>
      <c r="BC232" s="142"/>
      <c r="BD232" s="142"/>
      <c r="BE232" s="142"/>
      <c r="BF232" s="142"/>
      <c r="BG232" s="142"/>
      <c r="BH232" s="142"/>
    </row>
    <row r="233">
      <c r="A233" s="140"/>
      <c r="B233" s="456"/>
      <c r="C233" s="142"/>
      <c r="D233" s="142"/>
      <c r="E233" s="142"/>
      <c r="F233" s="140"/>
      <c r="G233" s="456"/>
      <c r="H233" s="142"/>
      <c r="I233" s="142"/>
      <c r="J233" s="142"/>
      <c r="K233" s="125"/>
      <c r="L233" s="456"/>
      <c r="M233" s="142"/>
      <c r="N233" s="142"/>
      <c r="O233" s="142"/>
      <c r="P233" s="125"/>
      <c r="Q233" s="450"/>
      <c r="R233" s="142"/>
      <c r="S233" s="142"/>
      <c r="T233" s="142"/>
      <c r="U233" s="140"/>
      <c r="V233" s="456"/>
      <c r="W233" s="142"/>
      <c r="X233" s="142"/>
      <c r="Y233" s="142"/>
      <c r="Z233" s="140"/>
      <c r="AA233" s="456"/>
      <c r="AB233" s="142"/>
      <c r="AC233" s="142"/>
      <c r="AD233" s="142"/>
      <c r="AE233" s="140"/>
      <c r="AF233" s="456"/>
      <c r="AG233" s="142"/>
      <c r="AH233" s="142"/>
      <c r="AI233" s="142"/>
      <c r="AJ233" s="140"/>
      <c r="AK233" s="456"/>
      <c r="AL233" s="142"/>
      <c r="AM233" s="142"/>
      <c r="AN233" s="142"/>
      <c r="AO233" s="140"/>
      <c r="AP233" s="456"/>
      <c r="AQ233" s="142"/>
      <c r="AR233" s="142"/>
      <c r="AS233" s="142"/>
      <c r="AT233" s="142"/>
      <c r="AU233" s="142"/>
      <c r="AV233" s="142"/>
      <c r="AW233" s="142"/>
      <c r="AX233" s="142"/>
      <c r="AY233" s="142"/>
      <c r="AZ233" s="142"/>
      <c r="BA233" s="142"/>
      <c r="BB233" s="142"/>
      <c r="BC233" s="142"/>
      <c r="BD233" s="142"/>
      <c r="BE233" s="142"/>
      <c r="BF233" s="142"/>
      <c r="BG233" s="142"/>
      <c r="BH233" s="142"/>
    </row>
    <row r="234">
      <c r="A234" s="140"/>
      <c r="B234" s="456"/>
      <c r="C234" s="142"/>
      <c r="D234" s="142"/>
      <c r="E234" s="142"/>
      <c r="F234" s="140"/>
      <c r="G234" s="456"/>
      <c r="H234" s="142"/>
      <c r="I234" s="142"/>
      <c r="J234" s="142"/>
      <c r="K234" s="125"/>
      <c r="L234" s="456"/>
      <c r="M234" s="142"/>
      <c r="N234" s="142"/>
      <c r="O234" s="142"/>
      <c r="P234" s="125"/>
      <c r="Q234" s="450"/>
      <c r="R234" s="142"/>
      <c r="S234" s="142"/>
      <c r="T234" s="142"/>
      <c r="U234" s="140"/>
      <c r="V234" s="456"/>
      <c r="W234" s="142"/>
      <c r="X234" s="142"/>
      <c r="Y234" s="142"/>
      <c r="Z234" s="140"/>
      <c r="AA234" s="456"/>
      <c r="AB234" s="142"/>
      <c r="AC234" s="142"/>
      <c r="AD234" s="142"/>
      <c r="AE234" s="140"/>
      <c r="AF234" s="456"/>
      <c r="AG234" s="142"/>
      <c r="AH234" s="142"/>
      <c r="AI234" s="142"/>
      <c r="AJ234" s="140"/>
      <c r="AK234" s="456"/>
      <c r="AL234" s="142"/>
      <c r="AM234" s="142"/>
      <c r="AN234" s="142"/>
      <c r="AO234" s="140"/>
      <c r="AP234" s="456"/>
      <c r="AQ234" s="142"/>
      <c r="AR234" s="142"/>
      <c r="AS234" s="142"/>
      <c r="AT234" s="142"/>
      <c r="AU234" s="142"/>
      <c r="AV234" s="142"/>
      <c r="AW234" s="142"/>
      <c r="AX234" s="142"/>
      <c r="AY234" s="142"/>
      <c r="AZ234" s="142"/>
      <c r="BA234" s="142"/>
      <c r="BB234" s="142"/>
      <c r="BC234" s="142"/>
      <c r="BD234" s="142"/>
      <c r="BE234" s="142"/>
      <c r="BF234" s="142"/>
      <c r="BG234" s="142"/>
      <c r="BH234" s="142"/>
    </row>
    <row r="235">
      <c r="A235" s="140"/>
      <c r="B235" s="456"/>
      <c r="C235" s="142"/>
      <c r="D235" s="142"/>
      <c r="E235" s="142"/>
      <c r="F235" s="140"/>
      <c r="G235" s="456"/>
      <c r="H235" s="142"/>
      <c r="I235" s="142"/>
      <c r="J235" s="142"/>
      <c r="K235" s="125"/>
      <c r="L235" s="456"/>
      <c r="M235" s="142"/>
      <c r="N235" s="142"/>
      <c r="O235" s="142"/>
      <c r="P235" s="125"/>
      <c r="Q235" s="450"/>
      <c r="R235" s="142"/>
      <c r="S235" s="142"/>
      <c r="T235" s="142"/>
      <c r="U235" s="140"/>
      <c r="V235" s="456"/>
      <c r="W235" s="142"/>
      <c r="X235" s="142"/>
      <c r="Y235" s="142"/>
      <c r="Z235" s="140"/>
      <c r="AA235" s="456"/>
      <c r="AB235" s="142"/>
      <c r="AC235" s="142"/>
      <c r="AD235" s="142"/>
      <c r="AE235" s="140"/>
      <c r="AF235" s="456"/>
      <c r="AG235" s="142"/>
      <c r="AH235" s="142"/>
      <c r="AI235" s="142"/>
      <c r="AJ235" s="140"/>
      <c r="AK235" s="456"/>
      <c r="AL235" s="142"/>
      <c r="AM235" s="142"/>
      <c r="AN235" s="142"/>
      <c r="AO235" s="140"/>
      <c r="AP235" s="456"/>
      <c r="AQ235" s="142"/>
      <c r="AR235" s="142"/>
      <c r="AS235" s="142"/>
      <c r="AT235" s="142"/>
      <c r="AU235" s="142"/>
      <c r="AV235" s="142"/>
      <c r="AW235" s="142"/>
      <c r="AX235" s="142"/>
      <c r="AY235" s="142"/>
      <c r="AZ235" s="142"/>
      <c r="BA235" s="142"/>
      <c r="BB235" s="142"/>
      <c r="BC235" s="142"/>
      <c r="BD235" s="142"/>
      <c r="BE235" s="142"/>
      <c r="BF235" s="142"/>
      <c r="BG235" s="142"/>
      <c r="BH235" s="142"/>
    </row>
    <row r="236">
      <c r="A236" s="140"/>
      <c r="B236" s="456"/>
      <c r="C236" s="142"/>
      <c r="D236" s="142"/>
      <c r="E236" s="142"/>
      <c r="F236" s="140"/>
      <c r="G236" s="456"/>
      <c r="H236" s="142"/>
      <c r="I236" s="142"/>
      <c r="J236" s="142"/>
      <c r="K236" s="125"/>
      <c r="L236" s="456"/>
      <c r="M236" s="142"/>
      <c r="N236" s="142"/>
      <c r="O236" s="142"/>
      <c r="P236" s="125"/>
      <c r="Q236" s="450"/>
      <c r="R236" s="142"/>
      <c r="S236" s="142"/>
      <c r="T236" s="142"/>
      <c r="U236" s="140"/>
      <c r="V236" s="456"/>
      <c r="W236" s="142"/>
      <c r="X236" s="142"/>
      <c r="Y236" s="142"/>
      <c r="Z236" s="140"/>
      <c r="AA236" s="456"/>
      <c r="AB236" s="142"/>
      <c r="AC236" s="142"/>
      <c r="AD236" s="142"/>
      <c r="AE236" s="140"/>
      <c r="AF236" s="456"/>
      <c r="AG236" s="142"/>
      <c r="AH236" s="142"/>
      <c r="AI236" s="142"/>
      <c r="AJ236" s="140"/>
      <c r="AK236" s="456"/>
      <c r="AL236" s="142"/>
      <c r="AM236" s="142"/>
      <c r="AN236" s="142"/>
      <c r="AO236" s="140"/>
      <c r="AP236" s="456"/>
      <c r="AQ236" s="142"/>
      <c r="AR236" s="142"/>
      <c r="AS236" s="142"/>
      <c r="AT236" s="142"/>
      <c r="AU236" s="142"/>
      <c r="AV236" s="142"/>
      <c r="AW236" s="142"/>
      <c r="AX236" s="142"/>
      <c r="AY236" s="142"/>
      <c r="AZ236" s="142"/>
      <c r="BA236" s="142"/>
      <c r="BB236" s="142"/>
      <c r="BC236" s="142"/>
      <c r="BD236" s="142"/>
      <c r="BE236" s="142"/>
      <c r="BF236" s="142"/>
      <c r="BG236" s="142"/>
      <c r="BH236" s="142"/>
    </row>
    <row r="237">
      <c r="A237" s="140"/>
      <c r="B237" s="456"/>
      <c r="C237" s="142"/>
      <c r="D237" s="142"/>
      <c r="E237" s="142"/>
      <c r="F237" s="140"/>
      <c r="G237" s="456"/>
      <c r="H237" s="142"/>
      <c r="I237" s="142"/>
      <c r="J237" s="142"/>
      <c r="K237" s="125"/>
      <c r="L237" s="456"/>
      <c r="M237" s="142"/>
      <c r="N237" s="142"/>
      <c r="O237" s="142"/>
      <c r="P237" s="125"/>
      <c r="Q237" s="450"/>
      <c r="R237" s="142"/>
      <c r="S237" s="142"/>
      <c r="T237" s="142"/>
      <c r="U237" s="140"/>
      <c r="V237" s="456"/>
      <c r="W237" s="142"/>
      <c r="X237" s="142"/>
      <c r="Y237" s="142"/>
      <c r="Z237" s="140"/>
      <c r="AA237" s="456"/>
      <c r="AB237" s="142"/>
      <c r="AC237" s="142"/>
      <c r="AD237" s="142"/>
      <c r="AE237" s="140"/>
      <c r="AF237" s="456"/>
      <c r="AG237" s="142"/>
      <c r="AH237" s="142"/>
      <c r="AI237" s="142"/>
      <c r="AJ237" s="140"/>
      <c r="AK237" s="456"/>
      <c r="AL237" s="142"/>
      <c r="AM237" s="142"/>
      <c r="AN237" s="142"/>
      <c r="AO237" s="140"/>
      <c r="AP237" s="456"/>
      <c r="AQ237" s="142"/>
      <c r="AR237" s="142"/>
      <c r="AS237" s="142"/>
      <c r="AT237" s="142"/>
      <c r="AU237" s="142"/>
      <c r="AV237" s="142"/>
      <c r="AW237" s="142"/>
      <c r="AX237" s="142"/>
      <c r="AY237" s="142"/>
      <c r="AZ237" s="142"/>
      <c r="BA237" s="142"/>
      <c r="BB237" s="142"/>
      <c r="BC237" s="142"/>
      <c r="BD237" s="142"/>
      <c r="BE237" s="142"/>
      <c r="BF237" s="142"/>
      <c r="BG237" s="142"/>
      <c r="BH237" s="142"/>
    </row>
    <row r="238">
      <c r="A238" s="140"/>
      <c r="B238" s="456"/>
      <c r="C238" s="142"/>
      <c r="D238" s="142"/>
      <c r="E238" s="142"/>
      <c r="F238" s="140"/>
      <c r="G238" s="456"/>
      <c r="H238" s="142"/>
      <c r="I238" s="142"/>
      <c r="J238" s="142"/>
      <c r="K238" s="125"/>
      <c r="L238" s="456"/>
      <c r="M238" s="142"/>
      <c r="N238" s="142"/>
      <c r="O238" s="142"/>
      <c r="P238" s="125"/>
      <c r="Q238" s="450"/>
      <c r="R238" s="142"/>
      <c r="S238" s="142"/>
      <c r="T238" s="142"/>
      <c r="U238" s="140"/>
      <c r="V238" s="456"/>
      <c r="W238" s="142"/>
      <c r="X238" s="142"/>
      <c r="Y238" s="142"/>
      <c r="Z238" s="140"/>
      <c r="AA238" s="456"/>
      <c r="AB238" s="142"/>
      <c r="AC238" s="142"/>
      <c r="AD238" s="142"/>
      <c r="AE238" s="140"/>
      <c r="AF238" s="456"/>
      <c r="AG238" s="142"/>
      <c r="AH238" s="142"/>
      <c r="AI238" s="142"/>
      <c r="AJ238" s="140"/>
      <c r="AK238" s="456"/>
      <c r="AL238" s="142"/>
      <c r="AM238" s="142"/>
      <c r="AN238" s="142"/>
      <c r="AO238" s="140"/>
      <c r="AP238" s="456"/>
      <c r="AQ238" s="142"/>
      <c r="AR238" s="142"/>
      <c r="AS238" s="142"/>
      <c r="AT238" s="142"/>
      <c r="AU238" s="142"/>
      <c r="AV238" s="142"/>
      <c r="AW238" s="142"/>
      <c r="AX238" s="142"/>
      <c r="AY238" s="142"/>
      <c r="AZ238" s="142"/>
      <c r="BA238" s="142"/>
      <c r="BB238" s="142"/>
      <c r="BC238" s="142"/>
      <c r="BD238" s="142"/>
      <c r="BE238" s="142"/>
      <c r="BF238" s="142"/>
      <c r="BG238" s="142"/>
      <c r="BH238" s="142"/>
    </row>
    <row r="239">
      <c r="A239" s="140"/>
      <c r="B239" s="456"/>
      <c r="C239" s="142"/>
      <c r="D239" s="142"/>
      <c r="E239" s="142"/>
      <c r="F239" s="140"/>
      <c r="G239" s="456"/>
      <c r="H239" s="142"/>
      <c r="I239" s="142"/>
      <c r="J239" s="142"/>
      <c r="K239" s="125"/>
      <c r="L239" s="456"/>
      <c r="M239" s="142"/>
      <c r="N239" s="142"/>
      <c r="O239" s="142"/>
      <c r="P239" s="125"/>
      <c r="Q239" s="450"/>
      <c r="R239" s="142"/>
      <c r="S239" s="142"/>
      <c r="T239" s="142"/>
      <c r="U239" s="140"/>
      <c r="V239" s="456"/>
      <c r="W239" s="142"/>
      <c r="X239" s="142"/>
      <c r="Y239" s="142"/>
      <c r="Z239" s="140"/>
      <c r="AA239" s="456"/>
      <c r="AB239" s="142"/>
      <c r="AC239" s="142"/>
      <c r="AD239" s="142"/>
      <c r="AE239" s="140"/>
      <c r="AF239" s="456"/>
      <c r="AG239" s="142"/>
      <c r="AH239" s="142"/>
      <c r="AI239" s="142"/>
      <c r="AJ239" s="140"/>
      <c r="AK239" s="456"/>
      <c r="AL239" s="142"/>
      <c r="AM239" s="142"/>
      <c r="AN239" s="142"/>
      <c r="AO239" s="140"/>
      <c r="AP239" s="456"/>
      <c r="AQ239" s="142"/>
      <c r="AR239" s="142"/>
      <c r="AS239" s="142"/>
      <c r="AT239" s="142"/>
      <c r="AU239" s="142"/>
      <c r="AV239" s="142"/>
      <c r="AW239" s="142"/>
      <c r="AX239" s="142"/>
      <c r="AY239" s="142"/>
      <c r="AZ239" s="142"/>
      <c r="BA239" s="142"/>
      <c r="BB239" s="142"/>
      <c r="BC239" s="142"/>
      <c r="BD239" s="142"/>
      <c r="BE239" s="142"/>
      <c r="BF239" s="142"/>
      <c r="BG239" s="142"/>
      <c r="BH239" s="142"/>
    </row>
    <row r="240">
      <c r="A240" s="140"/>
      <c r="B240" s="456"/>
      <c r="C240" s="142"/>
      <c r="D240" s="142"/>
      <c r="E240" s="142"/>
      <c r="F240" s="140"/>
      <c r="G240" s="456"/>
      <c r="H240" s="142"/>
      <c r="I240" s="142"/>
      <c r="J240" s="142"/>
      <c r="K240" s="125"/>
      <c r="L240" s="456"/>
      <c r="M240" s="142"/>
      <c r="N240" s="142"/>
      <c r="O240" s="142"/>
      <c r="P240" s="125"/>
      <c r="Q240" s="450"/>
      <c r="R240" s="142"/>
      <c r="S240" s="142"/>
      <c r="T240" s="142"/>
      <c r="U240" s="140"/>
      <c r="V240" s="456"/>
      <c r="W240" s="142"/>
      <c r="X240" s="142"/>
      <c r="Y240" s="142"/>
      <c r="Z240" s="140"/>
      <c r="AA240" s="456"/>
      <c r="AB240" s="142"/>
      <c r="AC240" s="142"/>
      <c r="AD240" s="142"/>
      <c r="AE240" s="140"/>
      <c r="AF240" s="456"/>
      <c r="AG240" s="142"/>
      <c r="AH240" s="142"/>
      <c r="AI240" s="142"/>
      <c r="AJ240" s="140"/>
      <c r="AK240" s="456"/>
      <c r="AL240" s="142"/>
      <c r="AM240" s="142"/>
      <c r="AN240" s="142"/>
      <c r="AO240" s="140"/>
      <c r="AP240" s="456"/>
      <c r="AQ240" s="142"/>
      <c r="AR240" s="142"/>
      <c r="AS240" s="142"/>
      <c r="AT240" s="142"/>
      <c r="AU240" s="142"/>
      <c r="AV240" s="142"/>
      <c r="AW240" s="142"/>
      <c r="AX240" s="142"/>
      <c r="AY240" s="142"/>
      <c r="AZ240" s="142"/>
      <c r="BA240" s="142"/>
      <c r="BB240" s="142"/>
      <c r="BC240" s="142"/>
      <c r="BD240" s="142"/>
      <c r="BE240" s="142"/>
      <c r="BF240" s="142"/>
      <c r="BG240" s="142"/>
      <c r="BH240" s="142"/>
    </row>
    <row r="241">
      <c r="A241" s="140"/>
      <c r="B241" s="456"/>
      <c r="C241" s="142"/>
      <c r="D241" s="142"/>
      <c r="E241" s="142"/>
      <c r="F241" s="140"/>
      <c r="G241" s="456"/>
      <c r="H241" s="142"/>
      <c r="I241" s="142"/>
      <c r="J241" s="142"/>
      <c r="K241" s="125"/>
      <c r="L241" s="456"/>
      <c r="M241" s="142"/>
      <c r="N241" s="142"/>
      <c r="O241" s="142"/>
      <c r="P241" s="125"/>
      <c r="Q241" s="450"/>
      <c r="R241" s="142"/>
      <c r="S241" s="142"/>
      <c r="T241" s="142"/>
      <c r="U241" s="140"/>
      <c r="V241" s="456"/>
      <c r="W241" s="142"/>
      <c r="X241" s="142"/>
      <c r="Y241" s="142"/>
      <c r="Z241" s="140"/>
      <c r="AA241" s="456"/>
      <c r="AB241" s="142"/>
      <c r="AC241" s="142"/>
      <c r="AD241" s="142"/>
      <c r="AE241" s="140"/>
      <c r="AF241" s="456"/>
      <c r="AG241" s="142"/>
      <c r="AH241" s="142"/>
      <c r="AI241" s="142"/>
      <c r="AJ241" s="140"/>
      <c r="AK241" s="456"/>
      <c r="AL241" s="142"/>
      <c r="AM241" s="142"/>
      <c r="AN241" s="142"/>
      <c r="AO241" s="140"/>
      <c r="AP241" s="456"/>
      <c r="AQ241" s="142"/>
      <c r="AR241" s="142"/>
      <c r="AS241" s="142"/>
      <c r="AT241" s="142"/>
      <c r="AU241" s="142"/>
      <c r="AV241" s="142"/>
      <c r="AW241" s="142"/>
      <c r="AX241" s="142"/>
      <c r="AY241" s="142"/>
      <c r="AZ241" s="142"/>
      <c r="BA241" s="142"/>
      <c r="BB241" s="142"/>
      <c r="BC241" s="142"/>
      <c r="BD241" s="142"/>
      <c r="BE241" s="142"/>
      <c r="BF241" s="142"/>
      <c r="BG241" s="142"/>
      <c r="BH241" s="142"/>
    </row>
    <row r="242">
      <c r="A242" s="140"/>
      <c r="B242" s="456"/>
      <c r="C242" s="142"/>
      <c r="D242" s="142"/>
      <c r="E242" s="142"/>
      <c r="F242" s="140"/>
      <c r="G242" s="456"/>
      <c r="H242" s="142"/>
      <c r="I242" s="142"/>
      <c r="J242" s="142"/>
      <c r="K242" s="125"/>
      <c r="L242" s="456"/>
      <c r="M242" s="142"/>
      <c r="N242" s="142"/>
      <c r="O242" s="142"/>
      <c r="P242" s="125"/>
      <c r="Q242" s="450"/>
      <c r="R242" s="142"/>
      <c r="S242" s="142"/>
      <c r="T242" s="142"/>
      <c r="U242" s="140"/>
      <c r="V242" s="456"/>
      <c r="W242" s="142"/>
      <c r="X242" s="142"/>
      <c r="Y242" s="142"/>
      <c r="Z242" s="140"/>
      <c r="AA242" s="456"/>
      <c r="AB242" s="142"/>
      <c r="AC242" s="142"/>
      <c r="AD242" s="142"/>
      <c r="AE242" s="140"/>
      <c r="AF242" s="456"/>
      <c r="AG242" s="142"/>
      <c r="AH242" s="142"/>
      <c r="AI242" s="142"/>
      <c r="AJ242" s="140"/>
      <c r="AK242" s="456"/>
      <c r="AL242" s="142"/>
      <c r="AM242" s="142"/>
      <c r="AN242" s="142"/>
      <c r="AO242" s="140"/>
      <c r="AP242" s="456"/>
      <c r="AQ242" s="142"/>
      <c r="AR242" s="142"/>
      <c r="AS242" s="142"/>
      <c r="AT242" s="142"/>
      <c r="AU242" s="142"/>
      <c r="AV242" s="142"/>
      <c r="AW242" s="142"/>
      <c r="AX242" s="142"/>
      <c r="AY242" s="142"/>
      <c r="AZ242" s="142"/>
      <c r="BA242" s="142"/>
      <c r="BB242" s="142"/>
      <c r="BC242" s="142"/>
      <c r="BD242" s="142"/>
      <c r="BE242" s="142"/>
      <c r="BF242" s="142"/>
      <c r="BG242" s="142"/>
      <c r="BH242" s="142"/>
    </row>
    <row r="243">
      <c r="A243" s="140"/>
      <c r="B243" s="456"/>
      <c r="C243" s="142"/>
      <c r="D243" s="142"/>
      <c r="E243" s="142"/>
      <c r="F243" s="140"/>
      <c r="G243" s="456"/>
      <c r="H243" s="142"/>
      <c r="I243" s="142"/>
      <c r="J243" s="142"/>
      <c r="K243" s="125"/>
      <c r="L243" s="456"/>
      <c r="M243" s="142"/>
      <c r="N243" s="142"/>
      <c r="O243" s="142"/>
      <c r="P243" s="125"/>
      <c r="Q243" s="450"/>
      <c r="R243" s="142"/>
      <c r="S243" s="142"/>
      <c r="T243" s="142"/>
      <c r="U243" s="140"/>
      <c r="V243" s="456"/>
      <c r="W243" s="142"/>
      <c r="X243" s="142"/>
      <c r="Y243" s="142"/>
      <c r="Z243" s="140"/>
      <c r="AA243" s="456"/>
      <c r="AB243" s="142"/>
      <c r="AC243" s="142"/>
      <c r="AD243" s="142"/>
      <c r="AE243" s="140"/>
      <c r="AF243" s="456"/>
      <c r="AG243" s="142"/>
      <c r="AH243" s="142"/>
      <c r="AI243" s="142"/>
      <c r="AJ243" s="140"/>
      <c r="AK243" s="456"/>
      <c r="AL243" s="142"/>
      <c r="AM243" s="142"/>
      <c r="AN243" s="142"/>
      <c r="AO243" s="140"/>
      <c r="AP243" s="456"/>
      <c r="AQ243" s="142"/>
      <c r="AR243" s="142"/>
      <c r="AS243" s="142"/>
      <c r="AT243" s="142"/>
      <c r="AU243" s="142"/>
      <c r="AV243" s="142"/>
      <c r="AW243" s="142"/>
      <c r="AX243" s="142"/>
      <c r="AY243" s="142"/>
      <c r="AZ243" s="142"/>
      <c r="BA243" s="142"/>
      <c r="BB243" s="142"/>
      <c r="BC243" s="142"/>
      <c r="BD243" s="142"/>
      <c r="BE243" s="142"/>
      <c r="BF243" s="142"/>
      <c r="BG243" s="142"/>
      <c r="BH243" s="142"/>
    </row>
    <row r="244">
      <c r="A244" s="140"/>
      <c r="B244" s="456"/>
      <c r="C244" s="142"/>
      <c r="D244" s="142"/>
      <c r="E244" s="142"/>
      <c r="F244" s="140"/>
      <c r="G244" s="456"/>
      <c r="H244" s="142"/>
      <c r="I244" s="142"/>
      <c r="J244" s="142"/>
      <c r="K244" s="125"/>
      <c r="L244" s="456"/>
      <c r="M244" s="142"/>
      <c r="N244" s="142"/>
      <c r="O244" s="142"/>
      <c r="P244" s="125"/>
      <c r="Q244" s="450"/>
      <c r="R244" s="142"/>
      <c r="S244" s="142"/>
      <c r="T244" s="142"/>
      <c r="U244" s="140"/>
      <c r="V244" s="456"/>
      <c r="W244" s="142"/>
      <c r="X244" s="142"/>
      <c r="Y244" s="142"/>
      <c r="Z244" s="140"/>
      <c r="AA244" s="456"/>
      <c r="AB244" s="142"/>
      <c r="AC244" s="142"/>
      <c r="AD244" s="142"/>
      <c r="AE244" s="140"/>
      <c r="AF244" s="456"/>
      <c r="AG244" s="142"/>
      <c r="AH244" s="142"/>
      <c r="AI244" s="142"/>
      <c r="AJ244" s="140"/>
      <c r="AK244" s="456"/>
      <c r="AL244" s="142"/>
      <c r="AM244" s="142"/>
      <c r="AN244" s="142"/>
      <c r="AO244" s="140"/>
      <c r="AP244" s="456"/>
      <c r="AQ244" s="142"/>
      <c r="AR244" s="142"/>
      <c r="AS244" s="142"/>
      <c r="AT244" s="142"/>
      <c r="AU244" s="142"/>
      <c r="AV244" s="142"/>
      <c r="AW244" s="142"/>
      <c r="AX244" s="142"/>
      <c r="AY244" s="142"/>
      <c r="AZ244" s="142"/>
      <c r="BA244" s="142"/>
      <c r="BB244" s="142"/>
      <c r="BC244" s="142"/>
      <c r="BD244" s="142"/>
      <c r="BE244" s="142"/>
      <c r="BF244" s="142"/>
      <c r="BG244" s="142"/>
      <c r="BH244" s="142"/>
    </row>
    <row r="245">
      <c r="A245" s="140"/>
      <c r="B245" s="456"/>
      <c r="C245" s="142"/>
      <c r="D245" s="142"/>
      <c r="E245" s="142"/>
      <c r="F245" s="140"/>
      <c r="G245" s="456"/>
      <c r="H245" s="142"/>
      <c r="I245" s="142"/>
      <c r="J245" s="142"/>
      <c r="K245" s="125"/>
      <c r="L245" s="456"/>
      <c r="M245" s="142"/>
      <c r="N245" s="142"/>
      <c r="O245" s="142"/>
      <c r="P245" s="125"/>
      <c r="Q245" s="450"/>
      <c r="R245" s="142"/>
      <c r="S245" s="142"/>
      <c r="T245" s="142"/>
      <c r="U245" s="140"/>
      <c r="V245" s="456"/>
      <c r="W245" s="142"/>
      <c r="X245" s="142"/>
      <c r="Y245" s="142"/>
      <c r="Z245" s="140"/>
      <c r="AA245" s="456"/>
      <c r="AB245" s="142"/>
      <c r="AC245" s="142"/>
      <c r="AD245" s="142"/>
      <c r="AE245" s="140"/>
      <c r="AF245" s="456"/>
      <c r="AG245" s="142"/>
      <c r="AH245" s="142"/>
      <c r="AI245" s="142"/>
      <c r="AJ245" s="140"/>
      <c r="AK245" s="456"/>
      <c r="AL245" s="142"/>
      <c r="AM245" s="142"/>
      <c r="AN245" s="142"/>
      <c r="AO245" s="140"/>
      <c r="AP245" s="456"/>
      <c r="AQ245" s="142"/>
      <c r="AR245" s="142"/>
      <c r="AS245" s="142"/>
      <c r="AT245" s="142"/>
      <c r="AU245" s="142"/>
      <c r="AV245" s="142"/>
      <c r="AW245" s="142"/>
      <c r="AX245" s="142"/>
      <c r="AY245" s="142"/>
      <c r="AZ245" s="142"/>
      <c r="BA245" s="142"/>
      <c r="BB245" s="142"/>
      <c r="BC245" s="142"/>
      <c r="BD245" s="142"/>
      <c r="BE245" s="142"/>
      <c r="BF245" s="142"/>
      <c r="BG245" s="142"/>
      <c r="BH245" s="142"/>
    </row>
    <row r="246">
      <c r="A246" s="140"/>
      <c r="B246" s="456"/>
      <c r="C246" s="142"/>
      <c r="D246" s="142"/>
      <c r="E246" s="142"/>
      <c r="F246" s="140"/>
      <c r="G246" s="456"/>
      <c r="H246" s="142"/>
      <c r="I246" s="142"/>
      <c r="J246" s="142"/>
      <c r="K246" s="125"/>
      <c r="L246" s="456"/>
      <c r="M246" s="142"/>
      <c r="N246" s="142"/>
      <c r="O246" s="142"/>
      <c r="P246" s="125"/>
      <c r="Q246" s="450"/>
      <c r="R246" s="142"/>
      <c r="S246" s="142"/>
      <c r="T246" s="142"/>
      <c r="U246" s="140"/>
      <c r="V246" s="456"/>
      <c r="W246" s="142"/>
      <c r="X246" s="142"/>
      <c r="Y246" s="142"/>
      <c r="Z246" s="140"/>
      <c r="AA246" s="456"/>
      <c r="AB246" s="142"/>
      <c r="AC246" s="142"/>
      <c r="AD246" s="142"/>
      <c r="AE246" s="140"/>
      <c r="AF246" s="456"/>
      <c r="AG246" s="142"/>
      <c r="AH246" s="142"/>
      <c r="AI246" s="142"/>
      <c r="AJ246" s="140"/>
      <c r="AK246" s="456"/>
      <c r="AL246" s="142"/>
      <c r="AM246" s="142"/>
      <c r="AN246" s="142"/>
      <c r="AO246" s="140"/>
      <c r="AP246" s="456"/>
      <c r="AQ246" s="142"/>
      <c r="AR246" s="142"/>
      <c r="AS246" s="142"/>
      <c r="AT246" s="142"/>
      <c r="AU246" s="142"/>
      <c r="AV246" s="142"/>
      <c r="AW246" s="142"/>
      <c r="AX246" s="142"/>
      <c r="AY246" s="142"/>
      <c r="AZ246" s="142"/>
      <c r="BA246" s="142"/>
      <c r="BB246" s="142"/>
      <c r="BC246" s="142"/>
      <c r="BD246" s="142"/>
      <c r="BE246" s="142"/>
      <c r="BF246" s="142"/>
      <c r="BG246" s="142"/>
      <c r="BH246" s="142"/>
    </row>
    <row r="247">
      <c r="A247" s="140"/>
      <c r="B247" s="456"/>
      <c r="C247" s="142"/>
      <c r="D247" s="142"/>
      <c r="E247" s="142"/>
      <c r="F247" s="140"/>
      <c r="G247" s="456"/>
      <c r="H247" s="142"/>
      <c r="I247" s="142"/>
      <c r="J247" s="142"/>
      <c r="K247" s="125"/>
      <c r="L247" s="456"/>
      <c r="M247" s="142"/>
      <c r="N247" s="142"/>
      <c r="O247" s="142"/>
      <c r="P247" s="125"/>
      <c r="Q247" s="450"/>
      <c r="R247" s="142"/>
      <c r="S247" s="142"/>
      <c r="T247" s="142"/>
      <c r="U247" s="140"/>
      <c r="V247" s="456"/>
      <c r="W247" s="142"/>
      <c r="X247" s="142"/>
      <c r="Y247" s="142"/>
      <c r="Z247" s="140"/>
      <c r="AA247" s="456"/>
      <c r="AB247" s="142"/>
      <c r="AC247" s="142"/>
      <c r="AD247" s="142"/>
      <c r="AE247" s="140"/>
      <c r="AF247" s="456"/>
      <c r="AG247" s="142"/>
      <c r="AH247" s="142"/>
      <c r="AI247" s="142"/>
      <c r="AJ247" s="140"/>
      <c r="AK247" s="456"/>
      <c r="AL247" s="142"/>
      <c r="AM247" s="142"/>
      <c r="AN247" s="142"/>
      <c r="AO247" s="140"/>
      <c r="AP247" s="456"/>
      <c r="AQ247" s="142"/>
      <c r="AR247" s="142"/>
      <c r="AS247" s="142"/>
      <c r="AT247" s="142"/>
      <c r="AU247" s="142"/>
      <c r="AV247" s="142"/>
      <c r="AW247" s="142"/>
      <c r="AX247" s="142"/>
      <c r="AY247" s="142"/>
      <c r="AZ247" s="142"/>
      <c r="BA247" s="142"/>
      <c r="BB247" s="142"/>
      <c r="BC247" s="142"/>
      <c r="BD247" s="142"/>
      <c r="BE247" s="142"/>
      <c r="BF247" s="142"/>
      <c r="BG247" s="142"/>
      <c r="BH247" s="142"/>
    </row>
    <row r="248">
      <c r="A248" s="140"/>
      <c r="B248" s="456"/>
      <c r="C248" s="142"/>
      <c r="D248" s="142"/>
      <c r="E248" s="142"/>
      <c r="F248" s="140"/>
      <c r="G248" s="456"/>
      <c r="H248" s="142"/>
      <c r="I248" s="142"/>
      <c r="J248" s="142"/>
      <c r="K248" s="125"/>
      <c r="L248" s="456"/>
      <c r="M248" s="142"/>
      <c r="N248" s="142"/>
      <c r="O248" s="142"/>
      <c r="P248" s="125"/>
      <c r="Q248" s="450"/>
      <c r="R248" s="142"/>
      <c r="S248" s="142"/>
      <c r="T248" s="142"/>
      <c r="U248" s="140"/>
      <c r="V248" s="456"/>
      <c r="W248" s="142"/>
      <c r="X248" s="142"/>
      <c r="Y248" s="142"/>
      <c r="Z248" s="140"/>
      <c r="AA248" s="456"/>
      <c r="AB248" s="142"/>
      <c r="AC248" s="142"/>
      <c r="AD248" s="142"/>
      <c r="AE248" s="140"/>
      <c r="AF248" s="456"/>
      <c r="AG248" s="142"/>
      <c r="AH248" s="142"/>
      <c r="AI248" s="142"/>
      <c r="AJ248" s="140"/>
      <c r="AK248" s="456"/>
      <c r="AL248" s="142"/>
      <c r="AM248" s="142"/>
      <c r="AN248" s="142"/>
      <c r="AO248" s="140"/>
      <c r="AP248" s="456"/>
      <c r="AQ248" s="142"/>
      <c r="AR248" s="142"/>
      <c r="AS248" s="142"/>
      <c r="AT248" s="142"/>
      <c r="AU248" s="142"/>
      <c r="AV248" s="142"/>
      <c r="AW248" s="142"/>
      <c r="AX248" s="142"/>
      <c r="AY248" s="142"/>
      <c r="AZ248" s="142"/>
      <c r="BA248" s="142"/>
      <c r="BB248" s="142"/>
      <c r="BC248" s="142"/>
      <c r="BD248" s="142"/>
      <c r="BE248" s="142"/>
      <c r="BF248" s="142"/>
      <c r="BG248" s="142"/>
      <c r="BH248" s="142"/>
    </row>
    <row r="249">
      <c r="A249" s="140"/>
      <c r="B249" s="456"/>
      <c r="C249" s="142"/>
      <c r="D249" s="142"/>
      <c r="E249" s="142"/>
      <c r="F249" s="140"/>
      <c r="G249" s="456"/>
      <c r="H249" s="142"/>
      <c r="I249" s="142"/>
      <c r="J249" s="142"/>
      <c r="K249" s="125"/>
      <c r="L249" s="456"/>
      <c r="M249" s="142"/>
      <c r="N249" s="142"/>
      <c r="O249" s="142"/>
      <c r="P249" s="125"/>
      <c r="Q249" s="450"/>
      <c r="R249" s="142"/>
      <c r="S249" s="142"/>
      <c r="T249" s="142"/>
      <c r="U249" s="140"/>
      <c r="V249" s="456"/>
      <c r="W249" s="142"/>
      <c r="X249" s="142"/>
      <c r="Y249" s="142"/>
      <c r="Z249" s="140"/>
      <c r="AA249" s="456"/>
      <c r="AB249" s="142"/>
      <c r="AC249" s="142"/>
      <c r="AD249" s="142"/>
      <c r="AE249" s="140"/>
      <c r="AF249" s="456"/>
      <c r="AG249" s="142"/>
      <c r="AH249" s="142"/>
      <c r="AI249" s="142"/>
      <c r="AJ249" s="140"/>
      <c r="AK249" s="456"/>
      <c r="AL249" s="142"/>
      <c r="AM249" s="142"/>
      <c r="AN249" s="142"/>
      <c r="AO249" s="140"/>
      <c r="AP249" s="456"/>
      <c r="AQ249" s="142"/>
      <c r="AR249" s="142"/>
      <c r="AS249" s="142"/>
      <c r="AT249" s="142"/>
      <c r="AU249" s="142"/>
      <c r="AV249" s="142"/>
      <c r="AW249" s="142"/>
      <c r="AX249" s="142"/>
      <c r="AY249" s="142"/>
      <c r="AZ249" s="142"/>
      <c r="BA249" s="142"/>
      <c r="BB249" s="142"/>
      <c r="BC249" s="142"/>
      <c r="BD249" s="142"/>
      <c r="BE249" s="142"/>
      <c r="BF249" s="142"/>
      <c r="BG249" s="142"/>
      <c r="BH249" s="142"/>
    </row>
    <row r="250">
      <c r="A250" s="140"/>
      <c r="B250" s="456"/>
      <c r="C250" s="142"/>
      <c r="D250" s="142"/>
      <c r="E250" s="142"/>
      <c r="F250" s="140"/>
      <c r="G250" s="456"/>
      <c r="H250" s="142"/>
      <c r="I250" s="142"/>
      <c r="J250" s="142"/>
      <c r="K250" s="125"/>
      <c r="L250" s="456"/>
      <c r="M250" s="142"/>
      <c r="N250" s="142"/>
      <c r="O250" s="142"/>
      <c r="P250" s="125"/>
      <c r="Q250" s="450"/>
      <c r="R250" s="142"/>
      <c r="S250" s="142"/>
      <c r="T250" s="142"/>
      <c r="U250" s="140"/>
      <c r="V250" s="456"/>
      <c r="W250" s="142"/>
      <c r="X250" s="142"/>
      <c r="Y250" s="142"/>
      <c r="Z250" s="140"/>
      <c r="AA250" s="456"/>
      <c r="AB250" s="142"/>
      <c r="AC250" s="142"/>
      <c r="AD250" s="142"/>
      <c r="AE250" s="140"/>
      <c r="AF250" s="456"/>
      <c r="AG250" s="142"/>
      <c r="AH250" s="142"/>
      <c r="AI250" s="142"/>
      <c r="AJ250" s="140"/>
      <c r="AK250" s="456"/>
      <c r="AL250" s="142"/>
      <c r="AM250" s="142"/>
      <c r="AN250" s="142"/>
      <c r="AO250" s="140"/>
      <c r="AP250" s="456"/>
      <c r="AQ250" s="142"/>
      <c r="AR250" s="142"/>
      <c r="AS250" s="142"/>
      <c r="AT250" s="142"/>
      <c r="AU250" s="142"/>
      <c r="AV250" s="142"/>
      <c r="AW250" s="142"/>
      <c r="AX250" s="142"/>
      <c r="AY250" s="142"/>
      <c r="AZ250" s="142"/>
      <c r="BA250" s="142"/>
      <c r="BB250" s="142"/>
      <c r="BC250" s="142"/>
      <c r="BD250" s="142"/>
      <c r="BE250" s="142"/>
      <c r="BF250" s="142"/>
      <c r="BG250" s="142"/>
      <c r="BH250" s="142"/>
    </row>
    <row r="251">
      <c r="A251" s="140"/>
      <c r="B251" s="456"/>
      <c r="C251" s="142"/>
      <c r="D251" s="142"/>
      <c r="E251" s="142"/>
      <c r="F251" s="140"/>
      <c r="G251" s="456"/>
      <c r="H251" s="142"/>
      <c r="I251" s="142"/>
      <c r="J251" s="142"/>
      <c r="K251" s="125"/>
      <c r="L251" s="456"/>
      <c r="M251" s="142"/>
      <c r="N251" s="142"/>
      <c r="O251" s="142"/>
      <c r="P251" s="125"/>
      <c r="Q251" s="450"/>
      <c r="R251" s="142"/>
      <c r="S251" s="142"/>
      <c r="T251" s="142"/>
      <c r="U251" s="140"/>
      <c r="V251" s="456"/>
      <c r="W251" s="142"/>
      <c r="X251" s="142"/>
      <c r="Y251" s="142"/>
      <c r="Z251" s="140"/>
      <c r="AA251" s="456"/>
      <c r="AB251" s="142"/>
      <c r="AC251" s="142"/>
      <c r="AD251" s="142"/>
      <c r="AE251" s="140"/>
      <c r="AF251" s="456"/>
      <c r="AG251" s="142"/>
      <c r="AH251" s="142"/>
      <c r="AI251" s="142"/>
      <c r="AJ251" s="140"/>
      <c r="AK251" s="456"/>
      <c r="AL251" s="142"/>
      <c r="AM251" s="142"/>
      <c r="AN251" s="142"/>
      <c r="AO251" s="140"/>
      <c r="AP251" s="456"/>
      <c r="AQ251" s="142"/>
      <c r="AR251" s="142"/>
      <c r="AS251" s="142"/>
      <c r="AT251" s="142"/>
      <c r="AU251" s="142"/>
      <c r="AV251" s="142"/>
      <c r="AW251" s="142"/>
      <c r="AX251" s="142"/>
      <c r="AY251" s="142"/>
      <c r="AZ251" s="142"/>
      <c r="BA251" s="142"/>
      <c r="BB251" s="142"/>
      <c r="BC251" s="142"/>
      <c r="BD251" s="142"/>
      <c r="BE251" s="142"/>
      <c r="BF251" s="142"/>
      <c r="BG251" s="142"/>
      <c r="BH251" s="142"/>
    </row>
    <row r="252">
      <c r="A252" s="140"/>
      <c r="B252" s="456"/>
      <c r="C252" s="142"/>
      <c r="D252" s="142"/>
      <c r="E252" s="142"/>
      <c r="F252" s="140"/>
      <c r="G252" s="456"/>
      <c r="H252" s="142"/>
      <c r="I252" s="142"/>
      <c r="J252" s="142"/>
      <c r="K252" s="125"/>
      <c r="L252" s="456"/>
      <c r="M252" s="142"/>
      <c r="N252" s="142"/>
      <c r="O252" s="142"/>
      <c r="P252" s="125"/>
      <c r="Q252" s="450"/>
      <c r="R252" s="142"/>
      <c r="S252" s="142"/>
      <c r="T252" s="142"/>
      <c r="U252" s="140"/>
      <c r="V252" s="456"/>
      <c r="W252" s="142"/>
      <c r="X252" s="142"/>
      <c r="Y252" s="142"/>
      <c r="Z252" s="140"/>
      <c r="AA252" s="456"/>
      <c r="AB252" s="142"/>
      <c r="AC252" s="142"/>
      <c r="AD252" s="142"/>
      <c r="AE252" s="140"/>
      <c r="AF252" s="456"/>
      <c r="AG252" s="142"/>
      <c r="AH252" s="142"/>
      <c r="AI252" s="142"/>
      <c r="AJ252" s="140"/>
      <c r="AK252" s="456"/>
      <c r="AL252" s="142"/>
      <c r="AM252" s="142"/>
      <c r="AN252" s="142"/>
      <c r="AO252" s="140"/>
      <c r="AP252" s="456"/>
      <c r="AQ252" s="142"/>
      <c r="AR252" s="142"/>
      <c r="AS252" s="142"/>
      <c r="AT252" s="142"/>
      <c r="AU252" s="142"/>
      <c r="AV252" s="142"/>
      <c r="AW252" s="142"/>
      <c r="AX252" s="142"/>
      <c r="AY252" s="142"/>
      <c r="AZ252" s="142"/>
      <c r="BA252" s="142"/>
      <c r="BB252" s="142"/>
      <c r="BC252" s="142"/>
      <c r="BD252" s="142"/>
      <c r="BE252" s="142"/>
      <c r="BF252" s="142"/>
      <c r="BG252" s="142"/>
      <c r="BH252" s="142"/>
    </row>
    <row r="253">
      <c r="A253" s="140"/>
      <c r="B253" s="456"/>
      <c r="C253" s="142"/>
      <c r="D253" s="142"/>
      <c r="E253" s="142"/>
      <c r="F253" s="140"/>
      <c r="G253" s="456"/>
      <c r="H253" s="142"/>
      <c r="I253" s="142"/>
      <c r="J253" s="142"/>
      <c r="K253" s="125"/>
      <c r="L253" s="456"/>
      <c r="M253" s="142"/>
      <c r="N253" s="142"/>
      <c r="O253" s="142"/>
      <c r="P253" s="125"/>
      <c r="Q253" s="450"/>
      <c r="R253" s="142"/>
      <c r="S253" s="142"/>
      <c r="T253" s="142"/>
      <c r="U253" s="140"/>
      <c r="V253" s="456"/>
      <c r="W253" s="142"/>
      <c r="X253" s="142"/>
      <c r="Y253" s="142"/>
      <c r="Z253" s="140"/>
      <c r="AA253" s="456"/>
      <c r="AB253" s="142"/>
      <c r="AC253" s="142"/>
      <c r="AD253" s="142"/>
      <c r="AE253" s="140"/>
      <c r="AF253" s="456"/>
      <c r="AG253" s="142"/>
      <c r="AH253" s="142"/>
      <c r="AI253" s="142"/>
      <c r="AJ253" s="140"/>
      <c r="AK253" s="456"/>
      <c r="AL253" s="142"/>
      <c r="AM253" s="142"/>
      <c r="AN253" s="142"/>
      <c r="AO253" s="140"/>
      <c r="AP253" s="456"/>
      <c r="AQ253" s="142"/>
      <c r="AR253" s="142"/>
      <c r="AS253" s="142"/>
      <c r="AT253" s="142"/>
      <c r="AU253" s="142"/>
      <c r="AV253" s="142"/>
      <c r="AW253" s="142"/>
      <c r="AX253" s="142"/>
      <c r="AY253" s="142"/>
      <c r="AZ253" s="142"/>
      <c r="BA253" s="142"/>
      <c r="BB253" s="142"/>
      <c r="BC253" s="142"/>
      <c r="BD253" s="142"/>
      <c r="BE253" s="142"/>
      <c r="BF253" s="142"/>
      <c r="BG253" s="142"/>
      <c r="BH253" s="142"/>
    </row>
    <row r="254">
      <c r="A254" s="140"/>
      <c r="B254" s="456"/>
      <c r="C254" s="142"/>
      <c r="D254" s="142"/>
      <c r="E254" s="142"/>
      <c r="F254" s="140"/>
      <c r="G254" s="456"/>
      <c r="H254" s="142"/>
      <c r="I254" s="142"/>
      <c r="J254" s="142"/>
      <c r="K254" s="125"/>
      <c r="L254" s="456"/>
      <c r="M254" s="142"/>
      <c r="N254" s="142"/>
      <c r="O254" s="142"/>
      <c r="P254" s="125"/>
      <c r="Q254" s="450"/>
      <c r="R254" s="142"/>
      <c r="S254" s="142"/>
      <c r="T254" s="142"/>
      <c r="U254" s="140"/>
      <c r="V254" s="456"/>
      <c r="W254" s="142"/>
      <c r="X254" s="142"/>
      <c r="Y254" s="142"/>
      <c r="Z254" s="140"/>
      <c r="AA254" s="456"/>
      <c r="AB254" s="142"/>
      <c r="AC254" s="142"/>
      <c r="AD254" s="142"/>
      <c r="AE254" s="140"/>
      <c r="AF254" s="456"/>
      <c r="AG254" s="142"/>
      <c r="AH254" s="142"/>
      <c r="AI254" s="142"/>
      <c r="AJ254" s="140"/>
      <c r="AK254" s="456"/>
      <c r="AL254" s="142"/>
      <c r="AM254" s="142"/>
      <c r="AN254" s="142"/>
      <c r="AO254" s="140"/>
      <c r="AP254" s="456"/>
      <c r="AQ254" s="142"/>
      <c r="AR254" s="142"/>
      <c r="AS254" s="142"/>
      <c r="AT254" s="142"/>
      <c r="AU254" s="142"/>
      <c r="AV254" s="142"/>
      <c r="AW254" s="142"/>
      <c r="AX254" s="142"/>
      <c r="AY254" s="142"/>
      <c r="AZ254" s="142"/>
      <c r="BA254" s="142"/>
      <c r="BB254" s="142"/>
      <c r="BC254" s="142"/>
      <c r="BD254" s="142"/>
      <c r="BE254" s="142"/>
      <c r="BF254" s="142"/>
      <c r="BG254" s="142"/>
      <c r="BH254" s="142"/>
    </row>
    <row r="255">
      <c r="A255" s="140"/>
      <c r="B255" s="456"/>
      <c r="C255" s="142"/>
      <c r="D255" s="142"/>
      <c r="E255" s="142"/>
      <c r="F255" s="140"/>
      <c r="G255" s="456"/>
      <c r="H255" s="142"/>
      <c r="I255" s="142"/>
      <c r="J255" s="142"/>
      <c r="K255" s="125"/>
      <c r="L255" s="456"/>
      <c r="M255" s="142"/>
      <c r="N255" s="142"/>
      <c r="O255" s="142"/>
      <c r="P255" s="125"/>
      <c r="Q255" s="450"/>
      <c r="R255" s="142"/>
      <c r="S255" s="142"/>
      <c r="T255" s="142"/>
      <c r="U255" s="140"/>
      <c r="V255" s="456"/>
      <c r="W255" s="142"/>
      <c r="X255" s="142"/>
      <c r="Y255" s="142"/>
      <c r="Z255" s="140"/>
      <c r="AA255" s="456"/>
      <c r="AB255" s="142"/>
      <c r="AC255" s="142"/>
      <c r="AD255" s="142"/>
      <c r="AE255" s="140"/>
      <c r="AF255" s="456"/>
      <c r="AG255" s="142"/>
      <c r="AH255" s="142"/>
      <c r="AI255" s="142"/>
      <c r="AJ255" s="140"/>
      <c r="AK255" s="456"/>
      <c r="AL255" s="142"/>
      <c r="AM255" s="142"/>
      <c r="AN255" s="142"/>
      <c r="AO255" s="140"/>
      <c r="AP255" s="456"/>
      <c r="AQ255" s="142"/>
      <c r="AR255" s="142"/>
      <c r="AS255" s="142"/>
      <c r="AT255" s="142"/>
      <c r="AU255" s="142"/>
      <c r="AV255" s="142"/>
      <c r="AW255" s="142"/>
      <c r="AX255" s="142"/>
      <c r="AY255" s="142"/>
      <c r="AZ255" s="142"/>
      <c r="BA255" s="142"/>
      <c r="BB255" s="142"/>
      <c r="BC255" s="142"/>
      <c r="BD255" s="142"/>
      <c r="BE255" s="142"/>
      <c r="BF255" s="142"/>
      <c r="BG255" s="142"/>
      <c r="BH255" s="142"/>
    </row>
    <row r="256">
      <c r="A256" s="140"/>
      <c r="B256" s="456"/>
      <c r="C256" s="142"/>
      <c r="D256" s="142"/>
      <c r="E256" s="142"/>
      <c r="F256" s="140"/>
      <c r="G256" s="456"/>
      <c r="H256" s="142"/>
      <c r="I256" s="142"/>
      <c r="J256" s="142"/>
      <c r="K256" s="125"/>
      <c r="L256" s="456"/>
      <c r="M256" s="142"/>
      <c r="N256" s="142"/>
      <c r="O256" s="142"/>
      <c r="P256" s="125"/>
      <c r="Q256" s="450"/>
      <c r="R256" s="142"/>
      <c r="S256" s="142"/>
      <c r="T256" s="142"/>
      <c r="U256" s="140"/>
      <c r="V256" s="456"/>
      <c r="W256" s="142"/>
      <c r="X256" s="142"/>
      <c r="Y256" s="142"/>
      <c r="Z256" s="140"/>
      <c r="AA256" s="456"/>
      <c r="AB256" s="142"/>
      <c r="AC256" s="142"/>
      <c r="AD256" s="142"/>
      <c r="AE256" s="140"/>
      <c r="AF256" s="456"/>
      <c r="AG256" s="142"/>
      <c r="AH256" s="142"/>
      <c r="AI256" s="142"/>
      <c r="AJ256" s="140"/>
      <c r="AK256" s="456"/>
      <c r="AL256" s="142"/>
      <c r="AM256" s="142"/>
      <c r="AN256" s="142"/>
      <c r="AO256" s="140"/>
      <c r="AP256" s="456"/>
      <c r="AQ256" s="142"/>
      <c r="AR256" s="142"/>
      <c r="AS256" s="142"/>
      <c r="AT256" s="142"/>
      <c r="AU256" s="142"/>
      <c r="AV256" s="142"/>
      <c r="AW256" s="142"/>
      <c r="AX256" s="142"/>
      <c r="AY256" s="142"/>
      <c r="AZ256" s="142"/>
      <c r="BA256" s="142"/>
      <c r="BB256" s="142"/>
      <c r="BC256" s="142"/>
      <c r="BD256" s="142"/>
      <c r="BE256" s="142"/>
      <c r="BF256" s="142"/>
      <c r="BG256" s="142"/>
      <c r="BH256" s="142"/>
    </row>
    <row r="257">
      <c r="A257" s="140"/>
      <c r="B257" s="456"/>
      <c r="C257" s="142"/>
      <c r="D257" s="142"/>
      <c r="E257" s="142"/>
      <c r="F257" s="140"/>
      <c r="G257" s="456"/>
      <c r="H257" s="142"/>
      <c r="I257" s="142"/>
      <c r="J257" s="142"/>
      <c r="K257" s="125"/>
      <c r="L257" s="456"/>
      <c r="M257" s="142"/>
      <c r="N257" s="142"/>
      <c r="O257" s="142"/>
      <c r="P257" s="125"/>
      <c r="Q257" s="450"/>
      <c r="R257" s="142"/>
      <c r="S257" s="142"/>
      <c r="T257" s="142"/>
      <c r="U257" s="140"/>
      <c r="V257" s="456"/>
      <c r="W257" s="142"/>
      <c r="X257" s="142"/>
      <c r="Y257" s="142"/>
      <c r="Z257" s="140"/>
      <c r="AA257" s="456"/>
      <c r="AB257" s="142"/>
      <c r="AC257" s="142"/>
      <c r="AD257" s="142"/>
      <c r="AE257" s="140"/>
      <c r="AF257" s="456"/>
      <c r="AG257" s="142"/>
      <c r="AH257" s="142"/>
      <c r="AI257" s="142"/>
      <c r="AJ257" s="140"/>
      <c r="AK257" s="456"/>
      <c r="AL257" s="142"/>
      <c r="AM257" s="142"/>
      <c r="AN257" s="142"/>
      <c r="AO257" s="140"/>
      <c r="AP257" s="456"/>
      <c r="AQ257" s="142"/>
      <c r="AR257" s="142"/>
      <c r="AS257" s="142"/>
      <c r="AT257" s="142"/>
      <c r="AU257" s="142"/>
      <c r="AV257" s="142"/>
      <c r="AW257" s="142"/>
      <c r="AX257" s="142"/>
      <c r="AY257" s="142"/>
      <c r="AZ257" s="142"/>
      <c r="BA257" s="142"/>
      <c r="BB257" s="142"/>
      <c r="BC257" s="142"/>
      <c r="BD257" s="142"/>
      <c r="BE257" s="142"/>
      <c r="BF257" s="142"/>
      <c r="BG257" s="142"/>
      <c r="BH257" s="142"/>
    </row>
    <row r="258">
      <c r="A258" s="140"/>
      <c r="B258" s="456"/>
      <c r="C258" s="142"/>
      <c r="D258" s="142"/>
      <c r="E258" s="142"/>
      <c r="F258" s="140"/>
      <c r="G258" s="456"/>
      <c r="H258" s="142"/>
      <c r="I258" s="142"/>
      <c r="J258" s="142"/>
      <c r="K258" s="125"/>
      <c r="L258" s="456"/>
      <c r="M258" s="142"/>
      <c r="N258" s="142"/>
      <c r="O258" s="142"/>
      <c r="P258" s="125"/>
      <c r="Q258" s="450"/>
      <c r="R258" s="142"/>
      <c r="S258" s="142"/>
      <c r="T258" s="142"/>
      <c r="U258" s="140"/>
      <c r="V258" s="456"/>
      <c r="W258" s="142"/>
      <c r="X258" s="142"/>
      <c r="Y258" s="142"/>
      <c r="Z258" s="140"/>
      <c r="AA258" s="456"/>
      <c r="AB258" s="142"/>
      <c r="AC258" s="142"/>
      <c r="AD258" s="142"/>
      <c r="AE258" s="140"/>
      <c r="AF258" s="456"/>
      <c r="AG258" s="142"/>
      <c r="AH258" s="142"/>
      <c r="AI258" s="142"/>
      <c r="AJ258" s="140"/>
      <c r="AK258" s="456"/>
      <c r="AL258" s="142"/>
      <c r="AM258" s="142"/>
      <c r="AN258" s="142"/>
      <c r="AO258" s="140"/>
      <c r="AP258" s="456"/>
      <c r="AQ258" s="142"/>
      <c r="AR258" s="142"/>
      <c r="AS258" s="142"/>
      <c r="AT258" s="142"/>
      <c r="AU258" s="142"/>
      <c r="AV258" s="142"/>
      <c r="AW258" s="142"/>
      <c r="AX258" s="142"/>
      <c r="AY258" s="142"/>
      <c r="AZ258" s="142"/>
      <c r="BA258" s="142"/>
      <c r="BB258" s="142"/>
      <c r="BC258" s="142"/>
      <c r="BD258" s="142"/>
      <c r="BE258" s="142"/>
      <c r="BF258" s="142"/>
      <c r="BG258" s="142"/>
      <c r="BH258" s="142"/>
    </row>
    <row r="259">
      <c r="A259" s="140"/>
      <c r="B259" s="456"/>
      <c r="C259" s="142"/>
      <c r="D259" s="142"/>
      <c r="E259" s="142"/>
      <c r="F259" s="140"/>
      <c r="G259" s="456"/>
      <c r="H259" s="142"/>
      <c r="I259" s="142"/>
      <c r="J259" s="142"/>
      <c r="K259" s="125"/>
      <c r="L259" s="456"/>
      <c r="M259" s="142"/>
      <c r="N259" s="142"/>
      <c r="O259" s="142"/>
      <c r="P259" s="125"/>
      <c r="Q259" s="450"/>
      <c r="R259" s="142"/>
      <c r="S259" s="142"/>
      <c r="T259" s="142"/>
      <c r="U259" s="140"/>
      <c r="V259" s="456"/>
      <c r="W259" s="142"/>
      <c r="X259" s="142"/>
      <c r="Y259" s="142"/>
      <c r="Z259" s="140"/>
      <c r="AA259" s="456"/>
      <c r="AB259" s="142"/>
      <c r="AC259" s="142"/>
      <c r="AD259" s="142"/>
      <c r="AE259" s="140"/>
      <c r="AF259" s="456"/>
      <c r="AG259" s="142"/>
      <c r="AH259" s="142"/>
      <c r="AI259" s="142"/>
      <c r="AJ259" s="140"/>
      <c r="AK259" s="456"/>
      <c r="AL259" s="142"/>
      <c r="AM259" s="142"/>
      <c r="AN259" s="142"/>
      <c r="AO259" s="140"/>
      <c r="AP259" s="456"/>
      <c r="AQ259" s="142"/>
      <c r="AR259" s="142"/>
      <c r="AS259" s="142"/>
      <c r="AT259" s="142"/>
      <c r="AU259" s="142"/>
      <c r="AV259" s="142"/>
      <c r="AW259" s="142"/>
      <c r="AX259" s="142"/>
      <c r="AY259" s="142"/>
      <c r="AZ259" s="142"/>
      <c r="BA259" s="142"/>
      <c r="BB259" s="142"/>
      <c r="BC259" s="142"/>
      <c r="BD259" s="142"/>
      <c r="BE259" s="142"/>
      <c r="BF259" s="142"/>
      <c r="BG259" s="142"/>
      <c r="BH259" s="142"/>
    </row>
    <row r="260">
      <c r="A260" s="140"/>
      <c r="B260" s="456"/>
      <c r="C260" s="142"/>
      <c r="D260" s="142"/>
      <c r="E260" s="142"/>
      <c r="F260" s="140"/>
      <c r="G260" s="456"/>
      <c r="H260" s="142"/>
      <c r="I260" s="142"/>
      <c r="J260" s="142"/>
      <c r="K260" s="125"/>
      <c r="L260" s="456"/>
      <c r="M260" s="142"/>
      <c r="N260" s="142"/>
      <c r="O260" s="142"/>
      <c r="P260" s="125"/>
      <c r="Q260" s="450"/>
      <c r="R260" s="142"/>
      <c r="S260" s="142"/>
      <c r="T260" s="142"/>
      <c r="U260" s="140"/>
      <c r="V260" s="456"/>
      <c r="W260" s="142"/>
      <c r="X260" s="142"/>
      <c r="Y260" s="142"/>
      <c r="Z260" s="140"/>
      <c r="AA260" s="456"/>
      <c r="AB260" s="142"/>
      <c r="AC260" s="142"/>
      <c r="AD260" s="142"/>
      <c r="AE260" s="140"/>
      <c r="AF260" s="456"/>
      <c r="AG260" s="142"/>
      <c r="AH260" s="142"/>
      <c r="AI260" s="142"/>
      <c r="AJ260" s="140"/>
      <c r="AK260" s="456"/>
      <c r="AL260" s="142"/>
      <c r="AM260" s="142"/>
      <c r="AN260" s="142"/>
      <c r="AO260" s="140"/>
      <c r="AP260" s="456"/>
      <c r="AQ260" s="142"/>
      <c r="AR260" s="142"/>
      <c r="AS260" s="142"/>
      <c r="AT260" s="142"/>
      <c r="AU260" s="142"/>
      <c r="AV260" s="142"/>
      <c r="AW260" s="142"/>
      <c r="AX260" s="142"/>
      <c r="AY260" s="142"/>
      <c r="AZ260" s="142"/>
      <c r="BA260" s="142"/>
      <c r="BB260" s="142"/>
      <c r="BC260" s="142"/>
      <c r="BD260" s="142"/>
      <c r="BE260" s="142"/>
      <c r="BF260" s="142"/>
      <c r="BG260" s="142"/>
      <c r="BH260" s="142"/>
    </row>
    <row r="261">
      <c r="A261" s="140"/>
      <c r="B261" s="456"/>
      <c r="C261" s="142"/>
      <c r="D261" s="142"/>
      <c r="E261" s="142"/>
      <c r="F261" s="140"/>
      <c r="G261" s="456"/>
      <c r="H261" s="142"/>
      <c r="I261" s="142"/>
      <c r="J261" s="142"/>
      <c r="K261" s="125"/>
      <c r="L261" s="456"/>
      <c r="M261" s="142"/>
      <c r="N261" s="142"/>
      <c r="O261" s="142"/>
      <c r="P261" s="125"/>
      <c r="Q261" s="450"/>
      <c r="R261" s="142"/>
      <c r="S261" s="142"/>
      <c r="T261" s="142"/>
      <c r="U261" s="140"/>
      <c r="V261" s="456"/>
      <c r="W261" s="142"/>
      <c r="X261" s="142"/>
      <c r="Y261" s="142"/>
      <c r="Z261" s="140"/>
      <c r="AA261" s="456"/>
      <c r="AB261" s="142"/>
      <c r="AC261" s="142"/>
      <c r="AD261" s="142"/>
      <c r="AE261" s="140"/>
      <c r="AF261" s="456"/>
      <c r="AG261" s="142"/>
      <c r="AH261" s="142"/>
      <c r="AI261" s="142"/>
      <c r="AJ261" s="140"/>
      <c r="AK261" s="456"/>
      <c r="AL261" s="142"/>
      <c r="AM261" s="142"/>
      <c r="AN261" s="142"/>
      <c r="AO261" s="140"/>
      <c r="AP261" s="456"/>
      <c r="AQ261" s="142"/>
      <c r="AR261" s="142"/>
      <c r="AS261" s="142"/>
      <c r="AT261" s="142"/>
      <c r="AU261" s="142"/>
      <c r="AV261" s="142"/>
      <c r="AW261" s="142"/>
      <c r="AX261" s="142"/>
      <c r="AY261" s="142"/>
      <c r="AZ261" s="142"/>
      <c r="BA261" s="142"/>
      <c r="BB261" s="142"/>
      <c r="BC261" s="142"/>
      <c r="BD261" s="142"/>
      <c r="BE261" s="142"/>
      <c r="BF261" s="142"/>
      <c r="BG261" s="142"/>
      <c r="BH261" s="142"/>
    </row>
    <row r="262">
      <c r="A262" s="140"/>
      <c r="B262" s="456"/>
      <c r="C262" s="142"/>
      <c r="D262" s="142"/>
      <c r="E262" s="142"/>
      <c r="F262" s="140"/>
      <c r="G262" s="456"/>
      <c r="H262" s="142"/>
      <c r="I262" s="142"/>
      <c r="J262" s="142"/>
      <c r="K262" s="125"/>
      <c r="L262" s="456"/>
      <c r="M262" s="142"/>
      <c r="N262" s="142"/>
      <c r="O262" s="142"/>
      <c r="P262" s="125"/>
      <c r="Q262" s="450"/>
      <c r="R262" s="142"/>
      <c r="S262" s="142"/>
      <c r="T262" s="142"/>
      <c r="U262" s="140"/>
      <c r="V262" s="456"/>
      <c r="W262" s="142"/>
      <c r="X262" s="142"/>
      <c r="Y262" s="142"/>
      <c r="Z262" s="140"/>
      <c r="AA262" s="456"/>
      <c r="AB262" s="142"/>
      <c r="AC262" s="142"/>
      <c r="AD262" s="142"/>
      <c r="AE262" s="140"/>
      <c r="AF262" s="456"/>
      <c r="AG262" s="142"/>
      <c r="AH262" s="142"/>
      <c r="AI262" s="142"/>
      <c r="AJ262" s="140"/>
      <c r="AK262" s="456"/>
      <c r="AL262" s="142"/>
      <c r="AM262" s="142"/>
      <c r="AN262" s="142"/>
      <c r="AO262" s="140"/>
      <c r="AP262" s="456"/>
      <c r="AQ262" s="142"/>
      <c r="AR262" s="142"/>
      <c r="AS262" s="142"/>
      <c r="AT262" s="142"/>
      <c r="AU262" s="142"/>
      <c r="AV262" s="142"/>
      <c r="AW262" s="142"/>
      <c r="AX262" s="142"/>
      <c r="AY262" s="142"/>
      <c r="AZ262" s="142"/>
      <c r="BA262" s="142"/>
      <c r="BB262" s="142"/>
      <c r="BC262" s="142"/>
      <c r="BD262" s="142"/>
      <c r="BE262" s="142"/>
      <c r="BF262" s="142"/>
      <c r="BG262" s="142"/>
      <c r="BH262" s="142"/>
    </row>
    <row r="263">
      <c r="A263" s="140"/>
      <c r="B263" s="456"/>
      <c r="C263" s="142"/>
      <c r="D263" s="142"/>
      <c r="E263" s="142"/>
      <c r="F263" s="140"/>
      <c r="G263" s="456"/>
      <c r="H263" s="142"/>
      <c r="I263" s="142"/>
      <c r="J263" s="142"/>
      <c r="K263" s="125"/>
      <c r="L263" s="456"/>
      <c r="M263" s="142"/>
      <c r="N263" s="142"/>
      <c r="O263" s="142"/>
      <c r="P263" s="125"/>
      <c r="Q263" s="450"/>
      <c r="R263" s="142"/>
      <c r="S263" s="142"/>
      <c r="T263" s="142"/>
      <c r="U263" s="140"/>
      <c r="V263" s="456"/>
      <c r="W263" s="142"/>
      <c r="X263" s="142"/>
      <c r="Y263" s="142"/>
      <c r="Z263" s="140"/>
      <c r="AA263" s="456"/>
      <c r="AB263" s="142"/>
      <c r="AC263" s="142"/>
      <c r="AD263" s="142"/>
      <c r="AE263" s="140"/>
      <c r="AF263" s="456"/>
      <c r="AG263" s="142"/>
      <c r="AH263" s="142"/>
      <c r="AI263" s="142"/>
      <c r="AJ263" s="140"/>
      <c r="AK263" s="456"/>
      <c r="AL263" s="142"/>
      <c r="AM263" s="142"/>
      <c r="AN263" s="142"/>
      <c r="AO263" s="140"/>
      <c r="AP263" s="456"/>
      <c r="AQ263" s="142"/>
      <c r="AR263" s="142"/>
      <c r="AS263" s="142"/>
      <c r="AT263" s="142"/>
      <c r="AU263" s="142"/>
      <c r="AV263" s="142"/>
      <c r="AW263" s="142"/>
      <c r="AX263" s="142"/>
      <c r="AY263" s="142"/>
      <c r="AZ263" s="142"/>
      <c r="BA263" s="142"/>
      <c r="BB263" s="142"/>
      <c r="BC263" s="142"/>
      <c r="BD263" s="142"/>
      <c r="BE263" s="142"/>
      <c r="BF263" s="142"/>
      <c r="BG263" s="142"/>
      <c r="BH263" s="142"/>
    </row>
    <row r="264">
      <c r="A264" s="140"/>
      <c r="B264" s="456"/>
      <c r="C264" s="142"/>
      <c r="D264" s="142"/>
      <c r="E264" s="142"/>
      <c r="F264" s="140"/>
      <c r="G264" s="456"/>
      <c r="H264" s="142"/>
      <c r="I264" s="142"/>
      <c r="J264" s="142"/>
      <c r="K264" s="125"/>
      <c r="L264" s="456"/>
      <c r="M264" s="142"/>
      <c r="N264" s="142"/>
      <c r="O264" s="142"/>
      <c r="P264" s="125"/>
      <c r="Q264" s="450"/>
      <c r="R264" s="142"/>
      <c r="S264" s="142"/>
      <c r="T264" s="142"/>
      <c r="U264" s="140"/>
      <c r="V264" s="456"/>
      <c r="W264" s="142"/>
      <c r="X264" s="142"/>
      <c r="Y264" s="142"/>
      <c r="Z264" s="140"/>
      <c r="AA264" s="456"/>
      <c r="AB264" s="142"/>
      <c r="AC264" s="142"/>
      <c r="AD264" s="142"/>
      <c r="AE264" s="140"/>
      <c r="AF264" s="456"/>
      <c r="AG264" s="142"/>
      <c r="AH264" s="142"/>
      <c r="AI264" s="142"/>
      <c r="AJ264" s="140"/>
      <c r="AK264" s="456"/>
      <c r="AL264" s="142"/>
      <c r="AM264" s="142"/>
      <c r="AN264" s="142"/>
      <c r="AO264" s="140"/>
      <c r="AP264" s="456"/>
      <c r="AQ264" s="142"/>
      <c r="AR264" s="142"/>
      <c r="AS264" s="142"/>
      <c r="AT264" s="142"/>
      <c r="AU264" s="142"/>
      <c r="AV264" s="142"/>
      <c r="AW264" s="142"/>
      <c r="AX264" s="142"/>
      <c r="AY264" s="142"/>
      <c r="AZ264" s="142"/>
      <c r="BA264" s="142"/>
      <c r="BB264" s="142"/>
      <c r="BC264" s="142"/>
      <c r="BD264" s="142"/>
      <c r="BE264" s="142"/>
      <c r="BF264" s="142"/>
      <c r="BG264" s="142"/>
      <c r="BH264" s="142"/>
    </row>
    <row r="265">
      <c r="A265" s="140"/>
      <c r="B265" s="456"/>
      <c r="C265" s="142"/>
      <c r="D265" s="142"/>
      <c r="E265" s="142"/>
      <c r="F265" s="140"/>
      <c r="G265" s="456"/>
      <c r="H265" s="142"/>
      <c r="I265" s="142"/>
      <c r="J265" s="142"/>
      <c r="K265" s="125"/>
      <c r="L265" s="456"/>
      <c r="M265" s="142"/>
      <c r="N265" s="142"/>
      <c r="O265" s="142"/>
      <c r="P265" s="125"/>
      <c r="Q265" s="450"/>
      <c r="R265" s="142"/>
      <c r="S265" s="142"/>
      <c r="T265" s="142"/>
      <c r="U265" s="140"/>
      <c r="V265" s="456"/>
      <c r="W265" s="142"/>
      <c r="X265" s="142"/>
      <c r="Y265" s="142"/>
      <c r="Z265" s="140"/>
      <c r="AA265" s="456"/>
      <c r="AB265" s="142"/>
      <c r="AC265" s="142"/>
      <c r="AD265" s="142"/>
      <c r="AE265" s="140"/>
      <c r="AF265" s="456"/>
      <c r="AG265" s="142"/>
      <c r="AH265" s="142"/>
      <c r="AI265" s="142"/>
      <c r="AJ265" s="140"/>
      <c r="AK265" s="456"/>
      <c r="AL265" s="142"/>
      <c r="AM265" s="142"/>
      <c r="AN265" s="142"/>
      <c r="AO265" s="140"/>
      <c r="AP265" s="456"/>
      <c r="AQ265" s="142"/>
      <c r="AR265" s="142"/>
      <c r="AS265" s="142"/>
      <c r="AT265" s="142"/>
      <c r="AU265" s="142"/>
      <c r="AV265" s="142"/>
      <c r="AW265" s="142"/>
      <c r="AX265" s="142"/>
      <c r="AY265" s="142"/>
      <c r="AZ265" s="142"/>
      <c r="BA265" s="142"/>
      <c r="BB265" s="142"/>
      <c r="BC265" s="142"/>
      <c r="BD265" s="142"/>
      <c r="BE265" s="142"/>
      <c r="BF265" s="142"/>
      <c r="BG265" s="142"/>
      <c r="BH265" s="142"/>
    </row>
    <row r="266">
      <c r="A266" s="140"/>
      <c r="B266" s="456"/>
      <c r="C266" s="142"/>
      <c r="D266" s="142"/>
      <c r="E266" s="142"/>
      <c r="F266" s="140"/>
      <c r="G266" s="456"/>
      <c r="H266" s="142"/>
      <c r="I266" s="142"/>
      <c r="J266" s="142"/>
      <c r="K266" s="125"/>
      <c r="L266" s="456"/>
      <c r="M266" s="142"/>
      <c r="N266" s="142"/>
      <c r="O266" s="142"/>
      <c r="P266" s="125"/>
      <c r="Q266" s="450"/>
      <c r="R266" s="142"/>
      <c r="S266" s="142"/>
      <c r="T266" s="142"/>
      <c r="U266" s="140"/>
      <c r="V266" s="456"/>
      <c r="W266" s="142"/>
      <c r="X266" s="142"/>
      <c r="Y266" s="142"/>
      <c r="Z266" s="140"/>
      <c r="AA266" s="456"/>
      <c r="AB266" s="142"/>
      <c r="AC266" s="142"/>
      <c r="AD266" s="142"/>
      <c r="AE266" s="140"/>
      <c r="AF266" s="456"/>
      <c r="AG266" s="142"/>
      <c r="AH266" s="142"/>
      <c r="AI266" s="142"/>
      <c r="AJ266" s="140"/>
      <c r="AK266" s="456"/>
      <c r="AL266" s="142"/>
      <c r="AM266" s="142"/>
      <c r="AN266" s="142"/>
      <c r="AO266" s="438"/>
      <c r="AP266" s="438"/>
      <c r="AQ266" s="438"/>
      <c r="AR266" s="438"/>
      <c r="AS266" s="438"/>
      <c r="AT266" s="438"/>
      <c r="AU266" s="438"/>
      <c r="AV266" s="438"/>
      <c r="AW266" s="438"/>
      <c r="AX266" s="438"/>
      <c r="AY266" s="438"/>
      <c r="AZ266" s="438"/>
      <c r="BA266" s="438"/>
      <c r="BB266" s="438"/>
      <c r="BC266" s="438"/>
      <c r="BD266" s="438"/>
      <c r="BE266" s="438"/>
      <c r="BF266" s="438"/>
      <c r="BG266" s="438"/>
      <c r="BH266" s="438"/>
    </row>
    <row r="267">
      <c r="A267" s="140"/>
      <c r="B267" s="456"/>
      <c r="C267" s="142"/>
      <c r="D267" s="142"/>
      <c r="E267" s="142"/>
      <c r="F267" s="140"/>
      <c r="G267" s="456"/>
      <c r="H267" s="142"/>
      <c r="I267" s="142"/>
      <c r="J267" s="142"/>
      <c r="K267" s="125"/>
      <c r="L267" s="456"/>
      <c r="M267" s="142"/>
      <c r="N267" s="142"/>
      <c r="O267" s="142"/>
      <c r="P267" s="125"/>
      <c r="Q267" s="450"/>
      <c r="R267" s="142"/>
      <c r="S267" s="142"/>
      <c r="T267" s="142"/>
      <c r="U267" s="140"/>
      <c r="V267" s="456"/>
      <c r="W267" s="142"/>
      <c r="X267" s="142"/>
      <c r="Y267" s="142"/>
      <c r="Z267" s="140"/>
      <c r="AA267" s="456"/>
      <c r="AB267" s="142"/>
      <c r="AC267" s="142"/>
      <c r="AD267" s="142"/>
      <c r="AE267" s="140"/>
      <c r="AF267" s="456"/>
      <c r="AG267" s="142"/>
      <c r="AH267" s="142"/>
      <c r="AI267" s="142"/>
      <c r="AJ267" s="140"/>
      <c r="AK267" s="456"/>
      <c r="AL267" s="142"/>
      <c r="AM267" s="142"/>
      <c r="AN267" s="142"/>
      <c r="AO267" s="438"/>
      <c r="AP267" s="438"/>
      <c r="AQ267" s="438"/>
      <c r="AR267" s="438"/>
      <c r="AS267" s="438"/>
      <c r="AT267" s="438"/>
      <c r="AU267" s="438"/>
      <c r="AV267" s="438"/>
      <c r="AW267" s="438"/>
      <c r="AX267" s="438"/>
      <c r="AY267" s="438"/>
      <c r="AZ267" s="438"/>
      <c r="BA267" s="438"/>
      <c r="BB267" s="438"/>
      <c r="BC267" s="438"/>
      <c r="BD267" s="438"/>
      <c r="BE267" s="438"/>
      <c r="BF267" s="438"/>
      <c r="BG267" s="438"/>
      <c r="BH267" s="438"/>
    </row>
    <row r="268">
      <c r="A268" s="140"/>
      <c r="B268" s="456"/>
      <c r="C268" s="142"/>
      <c r="D268" s="142"/>
      <c r="E268" s="142"/>
      <c r="F268" s="140"/>
      <c r="G268" s="456"/>
      <c r="H268" s="142"/>
      <c r="I268" s="142"/>
      <c r="J268" s="142"/>
      <c r="K268" s="125"/>
      <c r="L268" s="456"/>
      <c r="M268" s="142"/>
      <c r="N268" s="142"/>
      <c r="O268" s="142"/>
      <c r="P268" s="125"/>
      <c r="Q268" s="450"/>
      <c r="R268" s="142"/>
      <c r="S268" s="142"/>
      <c r="T268" s="142"/>
      <c r="U268" s="140"/>
      <c r="V268" s="456"/>
      <c r="W268" s="142"/>
      <c r="X268" s="142"/>
      <c r="Y268" s="142"/>
      <c r="Z268" s="140"/>
      <c r="AA268" s="456"/>
      <c r="AB268" s="142"/>
      <c r="AC268" s="142"/>
      <c r="AD268" s="142"/>
      <c r="AE268" s="140"/>
      <c r="AF268" s="456"/>
      <c r="AG268" s="142"/>
      <c r="AH268" s="142"/>
      <c r="AI268" s="142"/>
      <c r="AJ268" s="140"/>
      <c r="AK268" s="456"/>
      <c r="AL268" s="142"/>
      <c r="AM268" s="142"/>
      <c r="AN268" s="142"/>
      <c r="AO268" s="438"/>
      <c r="AP268" s="438"/>
      <c r="AQ268" s="438"/>
      <c r="AR268" s="438"/>
      <c r="AS268" s="438"/>
      <c r="AT268" s="438"/>
      <c r="AU268" s="438"/>
      <c r="AV268" s="438"/>
      <c r="AW268" s="438"/>
      <c r="AX268" s="438"/>
      <c r="AY268" s="438"/>
      <c r="AZ268" s="438"/>
      <c r="BA268" s="438"/>
      <c r="BB268" s="438"/>
      <c r="BC268" s="438"/>
      <c r="BD268" s="438"/>
      <c r="BE268" s="438"/>
      <c r="BF268" s="438"/>
      <c r="BG268" s="438"/>
      <c r="BH268" s="438"/>
    </row>
    <row r="269">
      <c r="A269" s="140"/>
      <c r="B269" s="456"/>
      <c r="C269" s="142"/>
      <c r="D269" s="142"/>
      <c r="E269" s="142"/>
      <c r="F269" s="140"/>
      <c r="G269" s="456"/>
      <c r="H269" s="142"/>
      <c r="I269" s="142"/>
      <c r="J269" s="142"/>
      <c r="K269" s="125"/>
      <c r="L269" s="456"/>
      <c r="M269" s="142"/>
      <c r="N269" s="142"/>
      <c r="O269" s="142"/>
      <c r="P269" s="125"/>
      <c r="Q269" s="450"/>
      <c r="R269" s="142"/>
      <c r="S269" s="142"/>
      <c r="T269" s="142"/>
      <c r="U269" s="140"/>
      <c r="V269" s="456"/>
      <c r="W269" s="142"/>
      <c r="X269" s="142"/>
      <c r="Y269" s="142"/>
      <c r="Z269" s="140"/>
      <c r="AA269" s="456"/>
      <c r="AB269" s="142"/>
      <c r="AC269" s="142"/>
      <c r="AD269" s="142"/>
      <c r="AE269" s="140"/>
      <c r="AF269" s="456"/>
      <c r="AG269" s="142"/>
      <c r="AH269" s="142"/>
      <c r="AI269" s="142"/>
      <c r="AJ269" s="140"/>
      <c r="AK269" s="456"/>
      <c r="AL269" s="142"/>
      <c r="AM269" s="142"/>
      <c r="AN269" s="142"/>
      <c r="AO269" s="438"/>
      <c r="AP269" s="438"/>
      <c r="AQ269" s="438"/>
      <c r="AR269" s="438"/>
      <c r="AS269" s="438"/>
      <c r="AT269" s="438"/>
      <c r="AU269" s="438"/>
      <c r="AV269" s="438"/>
      <c r="AW269" s="438"/>
      <c r="AX269" s="438"/>
      <c r="AY269" s="438"/>
      <c r="AZ269" s="438"/>
      <c r="BA269" s="438"/>
      <c r="BB269" s="438"/>
      <c r="BC269" s="438"/>
      <c r="BD269" s="438"/>
      <c r="BE269" s="438"/>
      <c r="BF269" s="438"/>
      <c r="BG269" s="438"/>
      <c r="BH269" s="438"/>
    </row>
    <row r="270">
      <c r="A270" s="140"/>
      <c r="B270" s="456"/>
      <c r="C270" s="142"/>
      <c r="D270" s="142"/>
      <c r="E270" s="142"/>
      <c r="F270" s="140"/>
      <c r="G270" s="456"/>
      <c r="H270" s="142"/>
      <c r="I270" s="142"/>
      <c r="J270" s="142"/>
      <c r="K270" s="125"/>
      <c r="L270" s="456"/>
      <c r="M270" s="142"/>
      <c r="N270" s="142"/>
      <c r="O270" s="142"/>
      <c r="P270" s="125"/>
      <c r="Q270" s="450"/>
      <c r="R270" s="142"/>
      <c r="S270" s="142"/>
      <c r="T270" s="142"/>
      <c r="U270" s="140"/>
      <c r="V270" s="456"/>
      <c r="W270" s="142"/>
      <c r="X270" s="142"/>
      <c r="Y270" s="142"/>
      <c r="Z270" s="140"/>
      <c r="AA270" s="456"/>
      <c r="AB270" s="142"/>
      <c r="AC270" s="142"/>
      <c r="AD270" s="142"/>
      <c r="AE270" s="140"/>
      <c r="AF270" s="456"/>
      <c r="AG270" s="142"/>
      <c r="AH270" s="142"/>
      <c r="AI270" s="142"/>
      <c r="AJ270" s="140"/>
      <c r="AK270" s="456"/>
      <c r="AL270" s="142"/>
      <c r="AM270" s="142"/>
      <c r="AN270" s="142"/>
      <c r="AO270" s="438"/>
      <c r="AP270" s="438"/>
      <c r="AQ270" s="438"/>
      <c r="AR270" s="438"/>
      <c r="AS270" s="438"/>
      <c r="AT270" s="438"/>
      <c r="AU270" s="438"/>
      <c r="AV270" s="438"/>
      <c r="AW270" s="438"/>
      <c r="AX270" s="438"/>
      <c r="AY270" s="438"/>
      <c r="AZ270" s="438"/>
      <c r="BA270" s="438"/>
      <c r="BB270" s="438"/>
      <c r="BC270" s="438"/>
      <c r="BD270" s="438"/>
      <c r="BE270" s="438"/>
      <c r="BF270" s="438"/>
      <c r="BG270" s="438"/>
      <c r="BH270" s="438"/>
    </row>
    <row r="271">
      <c r="A271" s="140"/>
      <c r="B271" s="456"/>
      <c r="C271" s="142"/>
      <c r="D271" s="142"/>
      <c r="E271" s="142"/>
      <c r="F271" s="140"/>
      <c r="G271" s="456"/>
      <c r="H271" s="142"/>
      <c r="I271" s="142"/>
      <c r="J271" s="142"/>
      <c r="K271" s="125"/>
      <c r="L271" s="456"/>
      <c r="M271" s="142"/>
      <c r="N271" s="142"/>
      <c r="O271" s="142"/>
      <c r="P271" s="125"/>
      <c r="Q271" s="450"/>
      <c r="R271" s="142"/>
      <c r="S271" s="142"/>
      <c r="T271" s="142"/>
      <c r="U271" s="140"/>
      <c r="V271" s="456"/>
      <c r="W271" s="142"/>
      <c r="X271" s="142"/>
      <c r="Y271" s="142"/>
      <c r="Z271" s="140"/>
      <c r="AA271" s="456"/>
      <c r="AB271" s="142"/>
      <c r="AC271" s="142"/>
      <c r="AD271" s="142"/>
      <c r="AE271" s="140"/>
      <c r="AF271" s="456"/>
      <c r="AG271" s="142"/>
      <c r="AH271" s="142"/>
      <c r="AI271" s="142"/>
      <c r="AJ271" s="140"/>
      <c r="AK271" s="456"/>
      <c r="AL271" s="142"/>
      <c r="AM271" s="142"/>
      <c r="AN271" s="142"/>
      <c r="AO271" s="438"/>
      <c r="AP271" s="438"/>
      <c r="AQ271" s="438"/>
      <c r="AR271" s="438"/>
      <c r="AS271" s="438"/>
      <c r="AT271" s="438"/>
      <c r="AU271" s="438"/>
      <c r="AV271" s="438"/>
      <c r="AW271" s="438"/>
      <c r="AX271" s="438"/>
      <c r="AY271" s="438"/>
      <c r="AZ271" s="438"/>
      <c r="BA271" s="438"/>
      <c r="BB271" s="438"/>
      <c r="BC271" s="438"/>
      <c r="BD271" s="438"/>
      <c r="BE271" s="438"/>
      <c r="BF271" s="438"/>
      <c r="BG271" s="438"/>
      <c r="BH271" s="438"/>
    </row>
    <row r="272">
      <c r="A272" s="140"/>
      <c r="B272" s="456"/>
      <c r="C272" s="142"/>
      <c r="D272" s="142"/>
      <c r="E272" s="142"/>
      <c r="F272" s="140"/>
      <c r="G272" s="456"/>
      <c r="H272" s="142"/>
      <c r="I272" s="142"/>
      <c r="J272" s="142"/>
      <c r="K272" s="125"/>
      <c r="L272" s="456"/>
      <c r="M272" s="142"/>
      <c r="N272" s="142"/>
      <c r="O272" s="142"/>
      <c r="P272" s="125"/>
      <c r="Q272" s="450"/>
      <c r="R272" s="142"/>
      <c r="S272" s="142"/>
      <c r="T272" s="142"/>
      <c r="U272" s="140"/>
      <c r="V272" s="456"/>
      <c r="W272" s="142"/>
      <c r="X272" s="142"/>
      <c r="Y272" s="142"/>
      <c r="Z272" s="140"/>
      <c r="AA272" s="456"/>
      <c r="AB272" s="142"/>
      <c r="AC272" s="142"/>
      <c r="AD272" s="142"/>
      <c r="AE272" s="140"/>
      <c r="AF272" s="456"/>
      <c r="AG272" s="142"/>
      <c r="AH272" s="142"/>
      <c r="AI272" s="142"/>
      <c r="AJ272" s="140"/>
      <c r="AK272" s="456"/>
      <c r="AL272" s="142"/>
      <c r="AM272" s="142"/>
      <c r="AN272" s="142"/>
      <c r="AO272" s="438"/>
      <c r="AP272" s="438"/>
      <c r="AQ272" s="438"/>
      <c r="AR272" s="438"/>
      <c r="AS272" s="438"/>
      <c r="AT272" s="438"/>
      <c r="AU272" s="438"/>
      <c r="AV272" s="438"/>
      <c r="AW272" s="438"/>
      <c r="AX272" s="438"/>
      <c r="AY272" s="438"/>
      <c r="AZ272" s="438"/>
      <c r="BA272" s="438"/>
      <c r="BB272" s="438"/>
      <c r="BC272" s="438"/>
      <c r="BD272" s="438"/>
      <c r="BE272" s="438"/>
      <c r="BF272" s="438"/>
      <c r="BG272" s="438"/>
      <c r="BH272" s="438"/>
    </row>
    <row r="273">
      <c r="A273" s="140"/>
      <c r="B273" s="456"/>
      <c r="C273" s="142"/>
      <c r="D273" s="142"/>
      <c r="E273" s="142"/>
      <c r="F273" s="140"/>
      <c r="G273" s="456"/>
      <c r="H273" s="142"/>
      <c r="I273" s="142"/>
      <c r="J273" s="142"/>
      <c r="K273" s="125"/>
      <c r="L273" s="456"/>
      <c r="M273" s="142"/>
      <c r="N273" s="142"/>
      <c r="O273" s="142"/>
      <c r="P273" s="125"/>
      <c r="Q273" s="450"/>
      <c r="R273" s="142"/>
      <c r="S273" s="142"/>
      <c r="T273" s="142"/>
      <c r="U273" s="140"/>
      <c r="V273" s="456"/>
      <c r="W273" s="142"/>
      <c r="X273" s="142"/>
      <c r="Y273" s="142"/>
      <c r="Z273" s="140"/>
      <c r="AA273" s="456"/>
      <c r="AB273" s="142"/>
      <c r="AC273" s="142"/>
      <c r="AD273" s="142"/>
      <c r="AE273" s="140"/>
      <c r="AF273" s="456"/>
      <c r="AG273" s="142"/>
      <c r="AH273" s="142"/>
      <c r="AI273" s="142"/>
      <c r="AJ273" s="140"/>
      <c r="AK273" s="456"/>
      <c r="AL273" s="142"/>
      <c r="AM273" s="142"/>
      <c r="AN273" s="142"/>
      <c r="AO273" s="438"/>
      <c r="AP273" s="438"/>
      <c r="AQ273" s="438"/>
      <c r="AR273" s="438"/>
      <c r="AS273" s="438"/>
      <c r="AT273" s="438"/>
      <c r="AU273" s="438"/>
      <c r="AV273" s="438"/>
      <c r="AW273" s="438"/>
      <c r="AX273" s="438"/>
      <c r="AY273" s="438"/>
      <c r="AZ273" s="438"/>
      <c r="BA273" s="438"/>
      <c r="BB273" s="438"/>
      <c r="BC273" s="438"/>
      <c r="BD273" s="438"/>
      <c r="BE273" s="438"/>
      <c r="BF273" s="438"/>
      <c r="BG273" s="438"/>
      <c r="BH273" s="438"/>
    </row>
    <row r="274">
      <c r="A274" s="140"/>
      <c r="B274" s="456"/>
      <c r="C274" s="142"/>
      <c r="D274" s="142"/>
      <c r="E274" s="142"/>
      <c r="F274" s="140"/>
      <c r="G274" s="456"/>
      <c r="H274" s="142"/>
      <c r="I274" s="142"/>
      <c r="J274" s="142"/>
      <c r="K274" s="125"/>
      <c r="L274" s="456"/>
      <c r="M274" s="142"/>
      <c r="N274" s="142"/>
      <c r="O274" s="142"/>
      <c r="P274" s="125"/>
      <c r="Q274" s="450"/>
      <c r="R274" s="142"/>
      <c r="S274" s="142"/>
      <c r="T274" s="142"/>
      <c r="U274" s="140"/>
      <c r="V274" s="456"/>
      <c r="W274" s="142"/>
      <c r="X274" s="142"/>
      <c r="Y274" s="142"/>
      <c r="Z274" s="140"/>
      <c r="AA274" s="456"/>
      <c r="AB274" s="142"/>
      <c r="AC274" s="142"/>
      <c r="AD274" s="142"/>
      <c r="AE274" s="140"/>
      <c r="AF274" s="456"/>
      <c r="AG274" s="142"/>
      <c r="AH274" s="142"/>
      <c r="AI274" s="142"/>
      <c r="AJ274" s="140"/>
      <c r="AK274" s="456"/>
      <c r="AL274" s="142"/>
      <c r="AM274" s="142"/>
      <c r="AN274" s="142"/>
      <c r="AO274" s="438"/>
      <c r="AP274" s="438"/>
      <c r="AQ274" s="438"/>
      <c r="AR274" s="438"/>
      <c r="AS274" s="438"/>
      <c r="AT274" s="438"/>
      <c r="AU274" s="438"/>
      <c r="AV274" s="438"/>
      <c r="AW274" s="438"/>
      <c r="AX274" s="438"/>
      <c r="AY274" s="438"/>
      <c r="AZ274" s="438"/>
      <c r="BA274" s="438"/>
      <c r="BB274" s="438"/>
      <c r="BC274" s="438"/>
      <c r="BD274" s="438"/>
      <c r="BE274" s="438"/>
      <c r="BF274" s="438"/>
      <c r="BG274" s="438"/>
      <c r="BH274" s="438"/>
    </row>
    <row r="275">
      <c r="A275" s="140"/>
      <c r="B275" s="456"/>
      <c r="C275" s="142"/>
      <c r="D275" s="142"/>
      <c r="E275" s="142"/>
      <c r="F275" s="140"/>
      <c r="G275" s="456"/>
      <c r="H275" s="142"/>
      <c r="I275" s="142"/>
      <c r="J275" s="142"/>
      <c r="K275" s="125"/>
      <c r="L275" s="456"/>
      <c r="M275" s="142"/>
      <c r="N275" s="142"/>
      <c r="O275" s="142"/>
      <c r="P275" s="125"/>
      <c r="Q275" s="450"/>
      <c r="R275" s="142"/>
      <c r="S275" s="142"/>
      <c r="T275" s="142"/>
      <c r="U275" s="140"/>
      <c r="V275" s="456"/>
      <c r="W275" s="142"/>
      <c r="X275" s="142"/>
      <c r="Y275" s="142"/>
      <c r="Z275" s="140"/>
      <c r="AA275" s="456"/>
      <c r="AB275" s="142"/>
      <c r="AC275" s="142"/>
      <c r="AD275" s="142"/>
      <c r="AE275" s="140"/>
      <c r="AF275" s="456"/>
      <c r="AG275" s="142"/>
      <c r="AH275" s="142"/>
      <c r="AI275" s="142"/>
      <c r="AJ275" s="140"/>
      <c r="AK275" s="456"/>
      <c r="AL275" s="142"/>
      <c r="AM275" s="142"/>
      <c r="AN275" s="142"/>
      <c r="AO275" s="438"/>
      <c r="AP275" s="438"/>
      <c r="AQ275" s="438"/>
      <c r="AR275" s="438"/>
      <c r="AS275" s="438"/>
      <c r="AT275" s="438"/>
      <c r="AU275" s="438"/>
      <c r="AV275" s="438"/>
      <c r="AW275" s="438"/>
      <c r="AX275" s="438"/>
      <c r="AY275" s="438"/>
      <c r="AZ275" s="438"/>
      <c r="BA275" s="438"/>
      <c r="BB275" s="438"/>
      <c r="BC275" s="438"/>
      <c r="BD275" s="438"/>
      <c r="BE275" s="438"/>
      <c r="BF275" s="438"/>
      <c r="BG275" s="438"/>
      <c r="BH275" s="438"/>
    </row>
    <row r="276">
      <c r="A276" s="140"/>
      <c r="B276" s="456"/>
      <c r="C276" s="142"/>
      <c r="D276" s="142"/>
      <c r="E276" s="142"/>
      <c r="F276" s="140"/>
      <c r="G276" s="456"/>
      <c r="H276" s="142"/>
      <c r="I276" s="142"/>
      <c r="J276" s="142"/>
      <c r="K276" s="125"/>
      <c r="L276" s="456"/>
      <c r="M276" s="142"/>
      <c r="N276" s="142"/>
      <c r="O276" s="142"/>
      <c r="P276" s="125"/>
      <c r="Q276" s="450"/>
      <c r="R276" s="142"/>
      <c r="S276" s="142"/>
      <c r="T276" s="142"/>
      <c r="U276" s="140"/>
      <c r="V276" s="456"/>
      <c r="W276" s="142"/>
      <c r="X276" s="142"/>
      <c r="Y276" s="142"/>
      <c r="Z276" s="140"/>
      <c r="AA276" s="456"/>
      <c r="AB276" s="142"/>
      <c r="AC276" s="142"/>
      <c r="AD276" s="142"/>
      <c r="AE276" s="140"/>
      <c r="AF276" s="456"/>
      <c r="AG276" s="142"/>
      <c r="AH276" s="142"/>
      <c r="AI276" s="142"/>
      <c r="AJ276" s="140"/>
      <c r="AK276" s="456"/>
      <c r="AL276" s="142"/>
      <c r="AM276" s="142"/>
      <c r="AN276" s="142"/>
      <c r="AO276" s="438"/>
      <c r="AP276" s="438"/>
      <c r="AQ276" s="438"/>
      <c r="AR276" s="438"/>
      <c r="AS276" s="438"/>
      <c r="AT276" s="438"/>
      <c r="AU276" s="438"/>
      <c r="AV276" s="438"/>
      <c r="AW276" s="438"/>
      <c r="AX276" s="438"/>
      <c r="AY276" s="438"/>
      <c r="AZ276" s="438"/>
      <c r="BA276" s="438"/>
      <c r="BB276" s="438"/>
      <c r="BC276" s="438"/>
      <c r="BD276" s="438"/>
      <c r="BE276" s="438"/>
      <c r="BF276" s="438"/>
      <c r="BG276" s="438"/>
      <c r="BH276" s="438"/>
    </row>
    <row r="277">
      <c r="A277" s="140"/>
      <c r="B277" s="456"/>
      <c r="C277" s="142"/>
      <c r="D277" s="142"/>
      <c r="E277" s="142"/>
      <c r="F277" s="140"/>
      <c r="G277" s="456"/>
      <c r="H277" s="142"/>
      <c r="I277" s="142"/>
      <c r="J277" s="142"/>
      <c r="K277" s="125"/>
      <c r="L277" s="456"/>
      <c r="M277" s="142"/>
      <c r="N277" s="142"/>
      <c r="O277" s="142"/>
      <c r="P277" s="125"/>
      <c r="Q277" s="450"/>
      <c r="R277" s="142"/>
      <c r="S277" s="142"/>
      <c r="T277" s="142"/>
      <c r="U277" s="140"/>
      <c r="V277" s="456"/>
      <c r="W277" s="142"/>
      <c r="X277" s="142"/>
      <c r="Y277" s="142"/>
      <c r="Z277" s="140"/>
      <c r="AA277" s="456"/>
      <c r="AB277" s="142"/>
      <c r="AC277" s="142"/>
      <c r="AD277" s="142"/>
      <c r="AE277" s="140"/>
      <c r="AF277" s="456"/>
      <c r="AG277" s="142"/>
      <c r="AH277" s="142"/>
      <c r="AI277" s="142"/>
      <c r="AJ277" s="140"/>
      <c r="AK277" s="456"/>
      <c r="AL277" s="142"/>
      <c r="AM277" s="142"/>
      <c r="AN277" s="142"/>
      <c r="AO277" s="438"/>
      <c r="AP277" s="438"/>
      <c r="AQ277" s="438"/>
      <c r="AR277" s="438"/>
      <c r="AS277" s="438"/>
      <c r="AT277" s="438"/>
      <c r="AU277" s="438"/>
      <c r="AV277" s="438"/>
      <c r="AW277" s="438"/>
      <c r="AX277" s="438"/>
      <c r="AY277" s="438"/>
      <c r="AZ277" s="438"/>
      <c r="BA277" s="438"/>
      <c r="BB277" s="438"/>
      <c r="BC277" s="438"/>
      <c r="BD277" s="438"/>
      <c r="BE277" s="438"/>
      <c r="BF277" s="438"/>
      <c r="BG277" s="438"/>
      <c r="BH277" s="438"/>
    </row>
    <row r="278">
      <c r="A278" s="140"/>
      <c r="B278" s="456"/>
      <c r="C278" s="142"/>
      <c r="D278" s="142"/>
      <c r="E278" s="142"/>
      <c r="F278" s="140"/>
      <c r="G278" s="456"/>
      <c r="H278" s="142"/>
      <c r="I278" s="142"/>
      <c r="J278" s="142"/>
      <c r="K278" s="125"/>
      <c r="L278" s="456"/>
      <c r="M278" s="142"/>
      <c r="N278" s="142"/>
      <c r="O278" s="142"/>
      <c r="P278" s="125"/>
      <c r="Q278" s="450"/>
      <c r="R278" s="142"/>
      <c r="S278" s="142"/>
      <c r="T278" s="142"/>
      <c r="U278" s="140"/>
      <c r="V278" s="456"/>
      <c r="W278" s="142"/>
      <c r="X278" s="142"/>
      <c r="Y278" s="142"/>
      <c r="Z278" s="140"/>
      <c r="AA278" s="456"/>
      <c r="AB278" s="142"/>
      <c r="AC278" s="142"/>
      <c r="AD278" s="142"/>
      <c r="AE278" s="140"/>
      <c r="AF278" s="456"/>
      <c r="AG278" s="142"/>
      <c r="AH278" s="142"/>
      <c r="AI278" s="142"/>
      <c r="AJ278" s="140"/>
      <c r="AK278" s="456"/>
      <c r="AL278" s="142"/>
      <c r="AM278" s="142"/>
      <c r="AN278" s="142"/>
      <c r="AO278" s="438"/>
      <c r="AP278" s="438"/>
      <c r="AQ278" s="438"/>
      <c r="AR278" s="438"/>
      <c r="AS278" s="438"/>
      <c r="AT278" s="438"/>
      <c r="AU278" s="438"/>
      <c r="AV278" s="438"/>
      <c r="AW278" s="438"/>
      <c r="AX278" s="438"/>
      <c r="AY278" s="438"/>
      <c r="AZ278" s="438"/>
      <c r="BA278" s="438"/>
      <c r="BB278" s="438"/>
      <c r="BC278" s="438"/>
      <c r="BD278" s="438"/>
      <c r="BE278" s="438"/>
      <c r="BF278" s="438"/>
      <c r="BG278" s="438"/>
      <c r="BH278" s="438"/>
    </row>
    <row r="279">
      <c r="A279" s="140"/>
      <c r="B279" s="456"/>
      <c r="C279" s="142"/>
      <c r="D279" s="142"/>
      <c r="E279" s="142"/>
      <c r="F279" s="140"/>
      <c r="G279" s="456"/>
      <c r="H279" s="142"/>
      <c r="I279" s="142"/>
      <c r="J279" s="142"/>
      <c r="K279" s="125"/>
      <c r="L279" s="456"/>
      <c r="M279" s="142"/>
      <c r="N279" s="142"/>
      <c r="O279" s="142"/>
      <c r="P279" s="125"/>
      <c r="Q279" s="450"/>
      <c r="R279" s="142"/>
      <c r="S279" s="142"/>
      <c r="T279" s="142"/>
      <c r="U279" s="140"/>
      <c r="V279" s="456"/>
      <c r="W279" s="142"/>
      <c r="X279" s="142"/>
      <c r="Y279" s="142"/>
      <c r="Z279" s="140"/>
      <c r="AA279" s="456"/>
      <c r="AB279" s="142"/>
      <c r="AC279" s="142"/>
      <c r="AD279" s="142"/>
      <c r="AE279" s="140"/>
      <c r="AF279" s="456"/>
      <c r="AG279" s="142"/>
      <c r="AH279" s="142"/>
      <c r="AI279" s="142"/>
      <c r="AJ279" s="140"/>
      <c r="AK279" s="456"/>
      <c r="AL279" s="142"/>
      <c r="AM279" s="142"/>
      <c r="AN279" s="142"/>
      <c r="AO279" s="438"/>
      <c r="AP279" s="438"/>
      <c r="AQ279" s="438"/>
      <c r="AR279" s="438"/>
      <c r="AS279" s="438"/>
      <c r="AT279" s="438"/>
      <c r="AU279" s="438"/>
      <c r="AV279" s="438"/>
      <c r="AW279" s="438"/>
      <c r="AX279" s="438"/>
      <c r="AY279" s="438"/>
      <c r="AZ279" s="438"/>
      <c r="BA279" s="438"/>
      <c r="BB279" s="438"/>
      <c r="BC279" s="438"/>
      <c r="BD279" s="438"/>
      <c r="BE279" s="438"/>
      <c r="BF279" s="438"/>
      <c r="BG279" s="438"/>
      <c r="BH279" s="438"/>
    </row>
    <row r="280">
      <c r="A280" s="140"/>
      <c r="B280" s="456"/>
      <c r="C280" s="142"/>
      <c r="D280" s="142"/>
      <c r="E280" s="142"/>
      <c r="F280" s="140"/>
      <c r="G280" s="456"/>
      <c r="H280" s="142"/>
      <c r="I280" s="142"/>
      <c r="J280" s="142"/>
      <c r="K280" s="125"/>
      <c r="L280" s="456"/>
      <c r="M280" s="142"/>
      <c r="N280" s="142"/>
      <c r="O280" s="142"/>
      <c r="P280" s="125"/>
      <c r="Q280" s="450"/>
      <c r="R280" s="142"/>
      <c r="S280" s="142"/>
      <c r="T280" s="142"/>
      <c r="U280" s="140"/>
      <c r="V280" s="456"/>
      <c r="W280" s="142"/>
      <c r="X280" s="142"/>
      <c r="Y280" s="142"/>
      <c r="Z280" s="140"/>
      <c r="AA280" s="456"/>
      <c r="AB280" s="142"/>
      <c r="AC280" s="142"/>
      <c r="AD280" s="142"/>
      <c r="AE280" s="140"/>
      <c r="AF280" s="456"/>
      <c r="AG280" s="142"/>
      <c r="AH280" s="142"/>
      <c r="AI280" s="142"/>
      <c r="AJ280" s="140"/>
      <c r="AK280" s="456"/>
      <c r="AL280" s="142"/>
      <c r="AM280" s="142"/>
      <c r="AN280" s="142"/>
      <c r="AO280" s="438"/>
      <c r="AP280" s="438"/>
      <c r="AQ280" s="438"/>
      <c r="AR280" s="438"/>
      <c r="AS280" s="438"/>
      <c r="AT280" s="438"/>
      <c r="AU280" s="438"/>
      <c r="AV280" s="438"/>
      <c r="AW280" s="438"/>
      <c r="AX280" s="438"/>
      <c r="AY280" s="438"/>
      <c r="AZ280" s="438"/>
      <c r="BA280" s="438"/>
      <c r="BB280" s="438"/>
      <c r="BC280" s="438"/>
      <c r="BD280" s="438"/>
      <c r="BE280" s="438"/>
      <c r="BF280" s="438"/>
      <c r="BG280" s="438"/>
      <c r="BH280" s="438"/>
    </row>
    <row r="281">
      <c r="A281" s="140"/>
      <c r="B281" s="456"/>
      <c r="C281" s="142"/>
      <c r="D281" s="142"/>
      <c r="E281" s="142"/>
      <c r="F281" s="140"/>
      <c r="G281" s="456"/>
      <c r="H281" s="142"/>
      <c r="I281" s="142"/>
      <c r="J281" s="142"/>
      <c r="K281" s="125"/>
      <c r="L281" s="456"/>
      <c r="M281" s="142"/>
      <c r="N281" s="142"/>
      <c r="O281" s="142"/>
      <c r="P281" s="125"/>
      <c r="Q281" s="450"/>
      <c r="R281" s="142"/>
      <c r="S281" s="142"/>
      <c r="T281" s="142"/>
      <c r="U281" s="140"/>
      <c r="V281" s="456"/>
      <c r="W281" s="142"/>
      <c r="X281" s="142"/>
      <c r="Y281" s="142"/>
      <c r="Z281" s="140"/>
      <c r="AA281" s="456"/>
      <c r="AB281" s="142"/>
      <c r="AC281" s="142"/>
      <c r="AD281" s="142"/>
      <c r="AE281" s="140"/>
      <c r="AF281" s="456"/>
      <c r="AG281" s="142"/>
      <c r="AH281" s="142"/>
      <c r="AI281" s="142"/>
      <c r="AJ281" s="140"/>
      <c r="AK281" s="456"/>
      <c r="AL281" s="142"/>
      <c r="AM281" s="142"/>
      <c r="AN281" s="142"/>
      <c r="AO281" s="438"/>
      <c r="AP281" s="438"/>
      <c r="AQ281" s="438"/>
      <c r="AR281" s="438"/>
      <c r="AS281" s="438"/>
      <c r="AT281" s="438"/>
      <c r="AU281" s="438"/>
      <c r="AV281" s="438"/>
      <c r="AW281" s="438"/>
      <c r="AX281" s="438"/>
      <c r="AY281" s="438"/>
      <c r="AZ281" s="438"/>
      <c r="BA281" s="438"/>
      <c r="BB281" s="438"/>
      <c r="BC281" s="438"/>
      <c r="BD281" s="438"/>
      <c r="BE281" s="438"/>
      <c r="BF281" s="438"/>
      <c r="BG281" s="438"/>
      <c r="BH281" s="438"/>
    </row>
    <row r="282">
      <c r="A282" s="140"/>
      <c r="B282" s="456"/>
      <c r="C282" s="142"/>
      <c r="D282" s="142"/>
      <c r="E282" s="142"/>
      <c r="F282" s="140"/>
      <c r="G282" s="456"/>
      <c r="H282" s="142"/>
      <c r="I282" s="142"/>
      <c r="J282" s="142"/>
      <c r="K282" s="125"/>
      <c r="L282" s="456"/>
      <c r="M282" s="142"/>
      <c r="N282" s="142"/>
      <c r="O282" s="142"/>
      <c r="P282" s="125"/>
      <c r="Q282" s="450"/>
      <c r="R282" s="142"/>
      <c r="S282" s="142"/>
      <c r="T282" s="142"/>
      <c r="U282" s="140"/>
      <c r="V282" s="456"/>
      <c r="W282" s="142"/>
      <c r="X282" s="142"/>
      <c r="Y282" s="142"/>
      <c r="Z282" s="140"/>
      <c r="AA282" s="456"/>
      <c r="AB282" s="142"/>
      <c r="AC282" s="142"/>
      <c r="AD282" s="142"/>
      <c r="AE282" s="140"/>
      <c r="AF282" s="456"/>
      <c r="AG282" s="142"/>
      <c r="AH282" s="142"/>
      <c r="AI282" s="142"/>
      <c r="AJ282" s="140"/>
      <c r="AK282" s="456"/>
      <c r="AL282" s="142"/>
      <c r="AM282" s="142"/>
      <c r="AN282" s="142"/>
      <c r="AO282" s="438"/>
      <c r="AP282" s="438"/>
      <c r="AQ282" s="438"/>
      <c r="AR282" s="438"/>
      <c r="AS282" s="438"/>
      <c r="AT282" s="438"/>
      <c r="AU282" s="438"/>
      <c r="AV282" s="438"/>
      <c r="AW282" s="438"/>
      <c r="AX282" s="438"/>
      <c r="AY282" s="438"/>
      <c r="AZ282" s="438"/>
      <c r="BA282" s="438"/>
      <c r="BB282" s="438"/>
      <c r="BC282" s="438"/>
      <c r="BD282" s="438"/>
      <c r="BE282" s="438"/>
      <c r="BF282" s="438"/>
      <c r="BG282" s="438"/>
      <c r="BH282" s="438"/>
    </row>
    <row r="283">
      <c r="A283" s="140"/>
      <c r="B283" s="456"/>
      <c r="C283" s="142"/>
      <c r="D283" s="142"/>
      <c r="E283" s="142"/>
      <c r="F283" s="140"/>
      <c r="G283" s="456"/>
      <c r="H283" s="142"/>
      <c r="I283" s="142"/>
      <c r="J283" s="142"/>
      <c r="K283" s="125"/>
      <c r="L283" s="456"/>
      <c r="M283" s="142"/>
      <c r="N283" s="142"/>
      <c r="O283" s="142"/>
      <c r="P283" s="125"/>
      <c r="Q283" s="450"/>
      <c r="R283" s="142"/>
      <c r="S283" s="142"/>
      <c r="T283" s="142"/>
      <c r="U283" s="140"/>
      <c r="V283" s="456"/>
      <c r="W283" s="142"/>
      <c r="X283" s="142"/>
      <c r="Y283" s="142"/>
      <c r="Z283" s="140"/>
      <c r="AA283" s="456"/>
      <c r="AB283" s="142"/>
      <c r="AC283" s="142"/>
      <c r="AD283" s="142"/>
      <c r="AE283" s="140"/>
      <c r="AF283" s="456"/>
      <c r="AG283" s="142"/>
      <c r="AH283" s="142"/>
      <c r="AI283" s="142"/>
      <c r="AJ283" s="140"/>
      <c r="AK283" s="456"/>
      <c r="AL283" s="142"/>
      <c r="AM283" s="142"/>
      <c r="AN283" s="142"/>
      <c r="AO283" s="438"/>
      <c r="AP283" s="438"/>
      <c r="AQ283" s="438"/>
      <c r="AR283" s="438"/>
      <c r="AS283" s="438"/>
      <c r="AT283" s="438"/>
      <c r="AU283" s="438"/>
      <c r="AV283" s="438"/>
      <c r="AW283" s="438"/>
      <c r="AX283" s="438"/>
      <c r="AY283" s="438"/>
      <c r="AZ283" s="438"/>
      <c r="BA283" s="438"/>
      <c r="BB283" s="438"/>
      <c r="BC283" s="438"/>
      <c r="BD283" s="438"/>
      <c r="BE283" s="438"/>
      <c r="BF283" s="438"/>
      <c r="BG283" s="438"/>
      <c r="BH283" s="438"/>
    </row>
    <row r="284">
      <c r="A284" s="140"/>
      <c r="B284" s="456"/>
      <c r="C284" s="142"/>
      <c r="D284" s="142"/>
      <c r="E284" s="142"/>
      <c r="F284" s="140"/>
      <c r="G284" s="456"/>
      <c r="H284" s="142"/>
      <c r="I284" s="142"/>
      <c r="J284" s="142"/>
      <c r="K284" s="125"/>
      <c r="L284" s="456"/>
      <c r="M284" s="142"/>
      <c r="N284" s="142"/>
      <c r="O284" s="142"/>
      <c r="P284" s="125"/>
      <c r="Q284" s="450"/>
      <c r="R284" s="142"/>
      <c r="S284" s="142"/>
      <c r="T284" s="142"/>
      <c r="U284" s="140"/>
      <c r="V284" s="456"/>
      <c r="W284" s="142"/>
      <c r="X284" s="142"/>
      <c r="Y284" s="142"/>
      <c r="Z284" s="140"/>
      <c r="AA284" s="456"/>
      <c r="AB284" s="142"/>
      <c r="AC284" s="142"/>
      <c r="AD284" s="142"/>
      <c r="AE284" s="140"/>
      <c r="AF284" s="456"/>
      <c r="AG284" s="142"/>
      <c r="AH284" s="142"/>
      <c r="AI284" s="142"/>
      <c r="AJ284" s="140"/>
      <c r="AK284" s="456"/>
      <c r="AL284" s="142"/>
      <c r="AM284" s="142"/>
      <c r="AN284" s="142"/>
      <c r="AO284" s="438"/>
      <c r="AP284" s="438"/>
      <c r="AQ284" s="438"/>
      <c r="AR284" s="438"/>
      <c r="AS284" s="438"/>
      <c r="AT284" s="438"/>
      <c r="AU284" s="438"/>
      <c r="AV284" s="438"/>
      <c r="AW284" s="438"/>
      <c r="AX284" s="438"/>
      <c r="AY284" s="438"/>
      <c r="AZ284" s="438"/>
      <c r="BA284" s="438"/>
      <c r="BB284" s="438"/>
      <c r="BC284" s="438"/>
      <c r="BD284" s="438"/>
      <c r="BE284" s="438"/>
      <c r="BF284" s="438"/>
      <c r="BG284" s="438"/>
      <c r="BH284" s="438"/>
    </row>
    <row r="285">
      <c r="A285" s="140"/>
      <c r="B285" s="456"/>
      <c r="C285" s="142"/>
      <c r="D285" s="142"/>
      <c r="E285" s="142"/>
      <c r="F285" s="140"/>
      <c r="G285" s="456"/>
      <c r="H285" s="142"/>
      <c r="I285" s="142"/>
      <c r="J285" s="142"/>
      <c r="K285" s="125"/>
      <c r="L285" s="456"/>
      <c r="M285" s="142"/>
      <c r="N285" s="142"/>
      <c r="O285" s="142"/>
      <c r="P285" s="125"/>
      <c r="Q285" s="450"/>
      <c r="R285" s="142"/>
      <c r="S285" s="142"/>
      <c r="T285" s="142"/>
      <c r="U285" s="140"/>
      <c r="V285" s="456"/>
      <c r="W285" s="142"/>
      <c r="X285" s="142"/>
      <c r="Y285" s="142"/>
      <c r="Z285" s="140"/>
      <c r="AA285" s="456"/>
      <c r="AB285" s="142"/>
      <c r="AC285" s="142"/>
      <c r="AD285" s="142"/>
      <c r="AE285" s="140"/>
      <c r="AF285" s="456"/>
      <c r="AG285" s="142"/>
      <c r="AH285" s="142"/>
      <c r="AI285" s="142"/>
      <c r="AJ285" s="140"/>
      <c r="AK285" s="456"/>
      <c r="AL285" s="142"/>
      <c r="AM285" s="142"/>
      <c r="AN285" s="142"/>
      <c r="AO285" s="438"/>
      <c r="AP285" s="438"/>
      <c r="AQ285" s="438"/>
      <c r="AR285" s="438"/>
      <c r="AS285" s="438"/>
      <c r="AT285" s="438"/>
      <c r="AU285" s="438"/>
      <c r="AV285" s="438"/>
      <c r="AW285" s="438"/>
      <c r="AX285" s="438"/>
      <c r="AY285" s="438"/>
      <c r="AZ285" s="438"/>
      <c r="BA285" s="438"/>
      <c r="BB285" s="438"/>
      <c r="BC285" s="438"/>
      <c r="BD285" s="438"/>
      <c r="BE285" s="438"/>
      <c r="BF285" s="438"/>
      <c r="BG285" s="438"/>
      <c r="BH285" s="438"/>
    </row>
    <row r="286">
      <c r="A286" s="140"/>
      <c r="B286" s="456"/>
      <c r="C286" s="142"/>
      <c r="D286" s="142"/>
      <c r="E286" s="142"/>
      <c r="F286" s="140"/>
      <c r="G286" s="456"/>
      <c r="H286" s="142"/>
      <c r="I286" s="142"/>
      <c r="J286" s="142"/>
      <c r="K286" s="125"/>
      <c r="L286" s="456"/>
      <c r="M286" s="142"/>
      <c r="N286" s="142"/>
      <c r="O286" s="142"/>
      <c r="P286" s="125"/>
      <c r="Q286" s="450"/>
      <c r="R286" s="142"/>
      <c r="S286" s="142"/>
      <c r="T286" s="142"/>
      <c r="U286" s="140"/>
      <c r="V286" s="456"/>
      <c r="W286" s="142"/>
      <c r="X286" s="142"/>
      <c r="Y286" s="142"/>
      <c r="Z286" s="140"/>
      <c r="AA286" s="456"/>
      <c r="AB286" s="142"/>
      <c r="AC286" s="142"/>
      <c r="AD286" s="142"/>
      <c r="AE286" s="140"/>
      <c r="AF286" s="456"/>
      <c r="AG286" s="142"/>
      <c r="AH286" s="142"/>
      <c r="AI286" s="142"/>
      <c r="AJ286" s="140"/>
      <c r="AK286" s="456"/>
      <c r="AL286" s="142"/>
      <c r="AM286" s="142"/>
      <c r="AN286" s="142"/>
      <c r="AO286" s="438"/>
      <c r="AP286" s="438"/>
      <c r="AQ286" s="438"/>
      <c r="AR286" s="438"/>
      <c r="AS286" s="438"/>
      <c r="AT286" s="438"/>
      <c r="AU286" s="438"/>
      <c r="AV286" s="438"/>
      <c r="AW286" s="438"/>
      <c r="AX286" s="438"/>
      <c r="AY286" s="438"/>
      <c r="AZ286" s="438"/>
      <c r="BA286" s="438"/>
      <c r="BB286" s="438"/>
      <c r="BC286" s="438"/>
      <c r="BD286" s="438"/>
      <c r="BE286" s="438"/>
      <c r="BF286" s="438"/>
      <c r="BG286" s="438"/>
      <c r="BH286" s="438"/>
    </row>
    <row r="287">
      <c r="A287" s="140"/>
      <c r="B287" s="456"/>
      <c r="C287" s="142"/>
      <c r="D287" s="142"/>
      <c r="E287" s="142"/>
      <c r="F287" s="140"/>
      <c r="G287" s="456"/>
      <c r="H287" s="142"/>
      <c r="I287" s="142"/>
      <c r="J287" s="142"/>
      <c r="K287" s="125"/>
      <c r="L287" s="456"/>
      <c r="M287" s="142"/>
      <c r="N287" s="142"/>
      <c r="O287" s="142"/>
      <c r="P287" s="125"/>
      <c r="Q287" s="450"/>
      <c r="R287" s="142"/>
      <c r="S287" s="142"/>
      <c r="T287" s="142"/>
      <c r="U287" s="140"/>
      <c r="V287" s="456"/>
      <c r="W287" s="142"/>
      <c r="X287" s="142"/>
      <c r="Y287" s="142"/>
      <c r="Z287" s="140"/>
      <c r="AA287" s="456"/>
      <c r="AB287" s="142"/>
      <c r="AC287" s="142"/>
      <c r="AD287" s="142"/>
      <c r="AE287" s="140"/>
      <c r="AF287" s="456"/>
      <c r="AG287" s="142"/>
      <c r="AH287" s="142"/>
      <c r="AI287" s="142"/>
      <c r="AJ287" s="140"/>
      <c r="AK287" s="456"/>
      <c r="AL287" s="142"/>
      <c r="AM287" s="142"/>
      <c r="AN287" s="142"/>
      <c r="AO287" s="438"/>
      <c r="AP287" s="438"/>
      <c r="AQ287" s="438"/>
      <c r="AR287" s="438"/>
      <c r="AS287" s="438"/>
      <c r="AT287" s="438"/>
      <c r="AU287" s="438"/>
      <c r="AV287" s="438"/>
      <c r="AW287" s="438"/>
      <c r="AX287" s="438"/>
      <c r="AY287" s="438"/>
      <c r="AZ287" s="438"/>
      <c r="BA287" s="438"/>
      <c r="BB287" s="438"/>
      <c r="BC287" s="438"/>
      <c r="BD287" s="438"/>
      <c r="BE287" s="438"/>
      <c r="BF287" s="438"/>
      <c r="BG287" s="438"/>
      <c r="BH287" s="438"/>
    </row>
    <row r="288">
      <c r="A288" s="140"/>
      <c r="B288" s="456"/>
      <c r="C288" s="142"/>
      <c r="D288" s="142"/>
      <c r="E288" s="142"/>
      <c r="F288" s="140"/>
      <c r="G288" s="456"/>
      <c r="H288" s="142"/>
      <c r="I288" s="142"/>
      <c r="J288" s="142"/>
      <c r="K288" s="125"/>
      <c r="L288" s="456"/>
      <c r="M288" s="142"/>
      <c r="N288" s="142"/>
      <c r="O288" s="142"/>
      <c r="P288" s="125"/>
      <c r="Q288" s="450"/>
      <c r="R288" s="142"/>
      <c r="S288" s="142"/>
      <c r="T288" s="142"/>
      <c r="U288" s="140"/>
      <c r="V288" s="456"/>
      <c r="W288" s="142"/>
      <c r="X288" s="142"/>
      <c r="Y288" s="142"/>
      <c r="Z288" s="140"/>
      <c r="AA288" s="456"/>
      <c r="AB288" s="142"/>
      <c r="AC288" s="142"/>
      <c r="AD288" s="142"/>
      <c r="AE288" s="140"/>
      <c r="AF288" s="456"/>
      <c r="AG288" s="142"/>
      <c r="AH288" s="142"/>
      <c r="AI288" s="142"/>
      <c r="AJ288" s="140"/>
      <c r="AK288" s="456"/>
      <c r="AL288" s="142"/>
      <c r="AM288" s="142"/>
      <c r="AN288" s="142"/>
      <c r="AO288" s="438"/>
      <c r="AP288" s="438"/>
      <c r="AQ288" s="438"/>
      <c r="AR288" s="438"/>
      <c r="AS288" s="438"/>
      <c r="AT288" s="438"/>
      <c r="AU288" s="438"/>
      <c r="AV288" s="438"/>
      <c r="AW288" s="438"/>
      <c r="AX288" s="438"/>
      <c r="AY288" s="438"/>
      <c r="AZ288" s="438"/>
      <c r="BA288" s="438"/>
      <c r="BB288" s="438"/>
      <c r="BC288" s="438"/>
      <c r="BD288" s="438"/>
      <c r="BE288" s="438"/>
      <c r="BF288" s="438"/>
      <c r="BG288" s="438"/>
      <c r="BH288" s="438"/>
    </row>
    <row r="289">
      <c r="A289" s="140"/>
      <c r="B289" s="456"/>
      <c r="C289" s="142"/>
      <c r="D289" s="142"/>
      <c r="E289" s="142"/>
      <c r="F289" s="140"/>
      <c r="G289" s="456"/>
      <c r="H289" s="142"/>
      <c r="I289" s="142"/>
      <c r="J289" s="142"/>
      <c r="K289" s="125"/>
      <c r="L289" s="456"/>
      <c r="M289" s="142"/>
      <c r="N289" s="142"/>
      <c r="O289" s="142"/>
      <c r="P289" s="125"/>
      <c r="Q289" s="450"/>
      <c r="R289" s="142"/>
      <c r="S289" s="142"/>
      <c r="T289" s="142"/>
      <c r="U289" s="140"/>
      <c r="V289" s="456"/>
      <c r="W289" s="142"/>
      <c r="X289" s="142"/>
      <c r="Y289" s="142"/>
      <c r="Z289" s="140"/>
      <c r="AA289" s="456"/>
      <c r="AB289" s="142"/>
      <c r="AC289" s="142"/>
      <c r="AD289" s="142"/>
      <c r="AE289" s="140"/>
      <c r="AF289" s="456"/>
      <c r="AG289" s="142"/>
      <c r="AH289" s="142"/>
      <c r="AI289" s="142"/>
      <c r="AJ289" s="140"/>
      <c r="AK289" s="456"/>
      <c r="AL289" s="142"/>
      <c r="AM289" s="142"/>
      <c r="AN289" s="142"/>
      <c r="AO289" s="438"/>
      <c r="AP289" s="438"/>
      <c r="AQ289" s="438"/>
      <c r="AR289" s="438"/>
      <c r="AS289" s="438"/>
      <c r="AT289" s="438"/>
      <c r="AU289" s="438"/>
      <c r="AV289" s="438"/>
      <c r="AW289" s="438"/>
      <c r="AX289" s="438"/>
      <c r="AY289" s="438"/>
      <c r="AZ289" s="438"/>
      <c r="BA289" s="438"/>
      <c r="BB289" s="438"/>
      <c r="BC289" s="438"/>
      <c r="BD289" s="438"/>
      <c r="BE289" s="438"/>
      <c r="BF289" s="438"/>
      <c r="BG289" s="438"/>
      <c r="BH289" s="438"/>
    </row>
    <row r="290">
      <c r="A290" s="140"/>
      <c r="B290" s="456"/>
      <c r="C290" s="142"/>
      <c r="D290" s="142"/>
      <c r="E290" s="142"/>
      <c r="F290" s="140"/>
      <c r="G290" s="456"/>
      <c r="H290" s="142"/>
      <c r="I290" s="142"/>
      <c r="J290" s="142"/>
      <c r="K290" s="125"/>
      <c r="L290" s="456"/>
      <c r="M290" s="142"/>
      <c r="N290" s="142"/>
      <c r="O290" s="142"/>
      <c r="P290" s="125"/>
      <c r="Q290" s="450"/>
      <c r="R290" s="142"/>
      <c r="S290" s="142"/>
      <c r="T290" s="142"/>
      <c r="U290" s="140"/>
      <c r="V290" s="456"/>
      <c r="W290" s="142"/>
      <c r="X290" s="142"/>
      <c r="Y290" s="142"/>
      <c r="Z290" s="140"/>
      <c r="AA290" s="456"/>
      <c r="AB290" s="142"/>
      <c r="AC290" s="142"/>
      <c r="AD290" s="142"/>
      <c r="AE290" s="140"/>
      <c r="AF290" s="456"/>
      <c r="AG290" s="142"/>
      <c r="AH290" s="142"/>
      <c r="AI290" s="142"/>
      <c r="AJ290" s="140"/>
      <c r="AK290" s="456"/>
      <c r="AL290" s="142"/>
      <c r="AM290" s="142"/>
      <c r="AN290" s="142"/>
      <c r="AO290" s="438"/>
      <c r="AP290" s="438"/>
      <c r="AQ290" s="438"/>
      <c r="AR290" s="438"/>
      <c r="AS290" s="438"/>
      <c r="AT290" s="438"/>
      <c r="AU290" s="438"/>
      <c r="AV290" s="438"/>
      <c r="AW290" s="438"/>
      <c r="AX290" s="438"/>
      <c r="AY290" s="438"/>
      <c r="AZ290" s="438"/>
      <c r="BA290" s="438"/>
      <c r="BB290" s="438"/>
      <c r="BC290" s="438"/>
      <c r="BD290" s="438"/>
      <c r="BE290" s="438"/>
      <c r="BF290" s="438"/>
      <c r="BG290" s="438"/>
      <c r="BH290" s="438"/>
    </row>
    <row r="291">
      <c r="A291" s="140"/>
      <c r="B291" s="456"/>
      <c r="C291" s="142"/>
      <c r="D291" s="142"/>
      <c r="E291" s="142"/>
      <c r="F291" s="140"/>
      <c r="G291" s="456"/>
      <c r="H291" s="142"/>
      <c r="I291" s="142"/>
      <c r="J291" s="142"/>
      <c r="K291" s="125"/>
      <c r="L291" s="456"/>
      <c r="M291" s="142"/>
      <c r="N291" s="142"/>
      <c r="O291" s="142"/>
      <c r="P291" s="125"/>
      <c r="Q291" s="450"/>
      <c r="R291" s="142"/>
      <c r="S291" s="142"/>
      <c r="T291" s="142"/>
      <c r="U291" s="140"/>
      <c r="V291" s="456"/>
      <c r="W291" s="142"/>
      <c r="X291" s="142"/>
      <c r="Y291" s="142"/>
      <c r="Z291" s="140"/>
      <c r="AA291" s="456"/>
      <c r="AB291" s="142"/>
      <c r="AC291" s="142"/>
      <c r="AD291" s="142"/>
      <c r="AE291" s="140"/>
      <c r="AF291" s="456"/>
      <c r="AG291" s="142"/>
      <c r="AH291" s="142"/>
      <c r="AI291" s="142"/>
      <c r="AJ291" s="140"/>
      <c r="AK291" s="456"/>
      <c r="AL291" s="142"/>
      <c r="AM291" s="142"/>
      <c r="AN291" s="142"/>
      <c r="AO291" s="438"/>
      <c r="AP291" s="438"/>
      <c r="AQ291" s="438"/>
      <c r="AR291" s="438"/>
      <c r="AS291" s="438"/>
      <c r="AT291" s="438"/>
      <c r="AU291" s="438"/>
      <c r="AV291" s="438"/>
      <c r="AW291" s="438"/>
      <c r="AX291" s="438"/>
      <c r="AY291" s="438"/>
      <c r="AZ291" s="438"/>
      <c r="BA291" s="438"/>
      <c r="BB291" s="438"/>
      <c r="BC291" s="438"/>
      <c r="BD291" s="438"/>
      <c r="BE291" s="438"/>
      <c r="BF291" s="438"/>
      <c r="BG291" s="438"/>
      <c r="BH291" s="438"/>
    </row>
    <row r="292">
      <c r="A292" s="140"/>
      <c r="B292" s="456"/>
      <c r="C292" s="142"/>
      <c r="D292" s="142"/>
      <c r="E292" s="142"/>
      <c r="F292" s="140"/>
      <c r="G292" s="456"/>
      <c r="H292" s="142"/>
      <c r="I292" s="142"/>
      <c r="J292" s="142"/>
      <c r="K292" s="125"/>
      <c r="L292" s="456"/>
      <c r="M292" s="142"/>
      <c r="N292" s="142"/>
      <c r="O292" s="142"/>
      <c r="P292" s="125"/>
      <c r="Q292" s="450"/>
      <c r="R292" s="142"/>
      <c r="S292" s="142"/>
      <c r="T292" s="142"/>
      <c r="U292" s="140"/>
      <c r="V292" s="456"/>
      <c r="W292" s="142"/>
      <c r="X292" s="142"/>
      <c r="Y292" s="142"/>
      <c r="Z292" s="140"/>
      <c r="AA292" s="456"/>
      <c r="AB292" s="142"/>
      <c r="AC292" s="142"/>
      <c r="AD292" s="142"/>
      <c r="AE292" s="140"/>
      <c r="AF292" s="456"/>
      <c r="AG292" s="142"/>
      <c r="AH292" s="142"/>
      <c r="AI292" s="142"/>
      <c r="AJ292" s="140"/>
      <c r="AK292" s="456"/>
      <c r="AL292" s="142"/>
      <c r="AM292" s="142"/>
      <c r="AN292" s="142"/>
      <c r="AO292" s="438"/>
      <c r="AP292" s="438"/>
      <c r="AQ292" s="438"/>
      <c r="AR292" s="438"/>
      <c r="AS292" s="438"/>
      <c r="AT292" s="438"/>
      <c r="AU292" s="438"/>
      <c r="AV292" s="438"/>
      <c r="AW292" s="438"/>
      <c r="AX292" s="438"/>
      <c r="AY292" s="438"/>
      <c r="AZ292" s="438"/>
      <c r="BA292" s="438"/>
      <c r="BB292" s="438"/>
      <c r="BC292" s="438"/>
      <c r="BD292" s="438"/>
      <c r="BE292" s="438"/>
      <c r="BF292" s="438"/>
      <c r="BG292" s="438"/>
      <c r="BH292" s="438"/>
    </row>
    <row r="293">
      <c r="A293" s="140"/>
      <c r="B293" s="456"/>
      <c r="C293" s="142"/>
      <c r="D293" s="142"/>
      <c r="E293" s="142"/>
      <c r="F293" s="140"/>
      <c r="G293" s="456"/>
      <c r="H293" s="142"/>
      <c r="I293" s="142"/>
      <c r="J293" s="142"/>
      <c r="K293" s="125"/>
      <c r="L293" s="456"/>
      <c r="M293" s="142"/>
      <c r="N293" s="142"/>
      <c r="O293" s="142"/>
      <c r="P293" s="125"/>
      <c r="Q293" s="450"/>
      <c r="R293" s="142"/>
      <c r="S293" s="142"/>
      <c r="T293" s="142"/>
      <c r="U293" s="140"/>
      <c r="V293" s="456"/>
      <c r="W293" s="142"/>
      <c r="X293" s="142"/>
      <c r="Y293" s="142"/>
      <c r="Z293" s="140"/>
      <c r="AA293" s="456"/>
      <c r="AB293" s="142"/>
      <c r="AC293" s="142"/>
      <c r="AD293" s="142"/>
      <c r="AE293" s="140"/>
      <c r="AF293" s="456"/>
      <c r="AG293" s="142"/>
      <c r="AH293" s="142"/>
      <c r="AI293" s="142"/>
      <c r="AJ293" s="140"/>
      <c r="AK293" s="456"/>
      <c r="AL293" s="142"/>
      <c r="AM293" s="142"/>
      <c r="AN293" s="142"/>
      <c r="AO293" s="438"/>
      <c r="AP293" s="438"/>
      <c r="AQ293" s="438"/>
      <c r="AR293" s="438"/>
      <c r="AS293" s="438"/>
      <c r="AT293" s="438"/>
      <c r="AU293" s="438"/>
      <c r="AV293" s="438"/>
      <c r="AW293" s="438"/>
      <c r="AX293" s="438"/>
      <c r="AY293" s="438"/>
      <c r="AZ293" s="438"/>
      <c r="BA293" s="438"/>
      <c r="BB293" s="438"/>
      <c r="BC293" s="438"/>
      <c r="BD293" s="438"/>
      <c r="BE293" s="438"/>
      <c r="BF293" s="438"/>
      <c r="BG293" s="438"/>
      <c r="BH293" s="438"/>
    </row>
    <row r="294">
      <c r="A294" s="140"/>
      <c r="B294" s="456"/>
      <c r="C294" s="142"/>
      <c r="D294" s="142"/>
      <c r="E294" s="142"/>
      <c r="F294" s="140"/>
      <c r="G294" s="456"/>
      <c r="H294" s="142"/>
      <c r="I294" s="142"/>
      <c r="J294" s="142"/>
      <c r="K294" s="125"/>
      <c r="L294" s="456"/>
      <c r="M294" s="142"/>
      <c r="N294" s="142"/>
      <c r="O294" s="142"/>
      <c r="P294" s="125"/>
      <c r="Q294" s="450"/>
      <c r="R294" s="142"/>
      <c r="S294" s="142"/>
      <c r="T294" s="142"/>
      <c r="U294" s="140"/>
      <c r="V294" s="456"/>
      <c r="W294" s="142"/>
      <c r="X294" s="142"/>
      <c r="Y294" s="142"/>
      <c r="Z294" s="140"/>
      <c r="AA294" s="456"/>
      <c r="AB294" s="142"/>
      <c r="AC294" s="142"/>
      <c r="AD294" s="142"/>
      <c r="AE294" s="140"/>
      <c r="AF294" s="456"/>
      <c r="AG294" s="142"/>
      <c r="AH294" s="142"/>
      <c r="AI294" s="142"/>
      <c r="AJ294" s="140"/>
      <c r="AK294" s="456"/>
      <c r="AL294" s="142"/>
      <c r="AM294" s="142"/>
      <c r="AN294" s="142"/>
      <c r="AO294" s="438"/>
      <c r="AP294" s="438"/>
      <c r="AQ294" s="438"/>
      <c r="AR294" s="438"/>
      <c r="AS294" s="438"/>
      <c r="AT294" s="438"/>
      <c r="AU294" s="438"/>
      <c r="AV294" s="438"/>
      <c r="AW294" s="438"/>
      <c r="AX294" s="438"/>
      <c r="AY294" s="438"/>
      <c r="AZ294" s="438"/>
      <c r="BA294" s="438"/>
      <c r="BB294" s="438"/>
      <c r="BC294" s="438"/>
      <c r="BD294" s="438"/>
      <c r="BE294" s="438"/>
      <c r="BF294" s="438"/>
      <c r="BG294" s="438"/>
      <c r="BH294" s="438"/>
    </row>
    <row r="295">
      <c r="A295" s="140"/>
      <c r="B295" s="456"/>
      <c r="C295" s="142"/>
      <c r="D295" s="142"/>
      <c r="E295" s="142"/>
      <c r="F295" s="140"/>
      <c r="G295" s="456"/>
      <c r="H295" s="142"/>
      <c r="I295" s="142"/>
      <c r="J295" s="142"/>
      <c r="K295" s="125"/>
      <c r="L295" s="456"/>
      <c r="M295" s="142"/>
      <c r="N295" s="142"/>
      <c r="O295" s="142"/>
      <c r="P295" s="125"/>
      <c r="Q295" s="450"/>
      <c r="R295" s="142"/>
      <c r="S295" s="142"/>
      <c r="T295" s="142"/>
      <c r="U295" s="140"/>
      <c r="V295" s="456"/>
      <c r="W295" s="142"/>
      <c r="X295" s="142"/>
      <c r="Y295" s="142"/>
      <c r="Z295" s="140"/>
      <c r="AA295" s="456"/>
      <c r="AB295" s="142"/>
      <c r="AC295" s="142"/>
      <c r="AD295" s="142"/>
      <c r="AE295" s="140"/>
      <c r="AF295" s="456"/>
      <c r="AG295" s="142"/>
      <c r="AH295" s="142"/>
      <c r="AI295" s="142"/>
      <c r="AJ295" s="140"/>
      <c r="AK295" s="456"/>
      <c r="AL295" s="142"/>
      <c r="AM295" s="142"/>
      <c r="AN295" s="142"/>
      <c r="AO295" s="438"/>
      <c r="AP295" s="438"/>
      <c r="AQ295" s="438"/>
      <c r="AR295" s="438"/>
      <c r="AS295" s="438"/>
      <c r="AT295" s="438"/>
      <c r="AU295" s="438"/>
      <c r="AV295" s="438"/>
      <c r="AW295" s="438"/>
      <c r="AX295" s="438"/>
      <c r="AY295" s="438"/>
      <c r="AZ295" s="438"/>
      <c r="BA295" s="438"/>
      <c r="BB295" s="438"/>
      <c r="BC295" s="438"/>
      <c r="BD295" s="438"/>
      <c r="BE295" s="438"/>
      <c r="BF295" s="438"/>
      <c r="BG295" s="438"/>
      <c r="BH295" s="438"/>
    </row>
    <row r="296">
      <c r="A296" s="140"/>
      <c r="B296" s="456"/>
      <c r="C296" s="142"/>
      <c r="D296" s="142"/>
      <c r="E296" s="142"/>
      <c r="F296" s="140"/>
      <c r="G296" s="456"/>
      <c r="H296" s="142"/>
      <c r="I296" s="142"/>
      <c r="J296" s="142"/>
      <c r="K296" s="125"/>
      <c r="L296" s="456"/>
      <c r="M296" s="142"/>
      <c r="N296" s="142"/>
      <c r="O296" s="142"/>
      <c r="P296" s="125"/>
      <c r="Q296" s="450"/>
      <c r="R296" s="142"/>
      <c r="S296" s="142"/>
      <c r="T296" s="142"/>
      <c r="U296" s="140"/>
      <c r="V296" s="456"/>
      <c r="W296" s="142"/>
      <c r="X296" s="142"/>
      <c r="Y296" s="142"/>
      <c r="Z296" s="140"/>
      <c r="AA296" s="456"/>
      <c r="AB296" s="142"/>
      <c r="AC296" s="142"/>
      <c r="AD296" s="142"/>
      <c r="AE296" s="140"/>
      <c r="AF296" s="456"/>
      <c r="AG296" s="142"/>
      <c r="AH296" s="142"/>
      <c r="AI296" s="142"/>
      <c r="AJ296" s="140"/>
      <c r="AK296" s="456"/>
      <c r="AL296" s="142"/>
      <c r="AM296" s="142"/>
      <c r="AN296" s="142"/>
      <c r="AO296" s="438"/>
      <c r="AP296" s="438"/>
      <c r="AQ296" s="438"/>
      <c r="AR296" s="438"/>
      <c r="AS296" s="438"/>
      <c r="AT296" s="438"/>
      <c r="AU296" s="438"/>
      <c r="AV296" s="438"/>
      <c r="AW296" s="438"/>
      <c r="AX296" s="438"/>
      <c r="AY296" s="438"/>
      <c r="AZ296" s="438"/>
      <c r="BA296" s="438"/>
      <c r="BB296" s="438"/>
      <c r="BC296" s="438"/>
      <c r="BD296" s="438"/>
      <c r="BE296" s="438"/>
      <c r="BF296" s="438"/>
      <c r="BG296" s="438"/>
      <c r="BH296" s="438"/>
    </row>
    <row r="297">
      <c r="A297" s="140"/>
      <c r="B297" s="456"/>
      <c r="C297" s="142"/>
      <c r="D297" s="142"/>
      <c r="E297" s="142"/>
      <c r="F297" s="140"/>
      <c r="G297" s="456"/>
      <c r="H297" s="142"/>
      <c r="I297" s="142"/>
      <c r="J297" s="142"/>
      <c r="K297" s="125"/>
      <c r="L297" s="456"/>
      <c r="M297" s="142"/>
      <c r="N297" s="142"/>
      <c r="O297" s="142"/>
      <c r="P297" s="125"/>
      <c r="Q297" s="450"/>
      <c r="R297" s="142"/>
      <c r="S297" s="142"/>
      <c r="T297" s="142"/>
      <c r="U297" s="140"/>
      <c r="V297" s="456"/>
      <c r="W297" s="142"/>
      <c r="X297" s="142"/>
      <c r="Y297" s="142"/>
      <c r="Z297" s="140"/>
      <c r="AA297" s="456"/>
      <c r="AB297" s="142"/>
      <c r="AC297" s="142"/>
      <c r="AD297" s="142"/>
      <c r="AE297" s="140"/>
      <c r="AF297" s="456"/>
      <c r="AG297" s="142"/>
      <c r="AH297" s="142"/>
      <c r="AI297" s="142"/>
      <c r="AJ297" s="140"/>
      <c r="AK297" s="456"/>
      <c r="AL297" s="142"/>
      <c r="AM297" s="142"/>
      <c r="AN297" s="142"/>
      <c r="AO297" s="438"/>
      <c r="AP297" s="438"/>
      <c r="AQ297" s="438"/>
      <c r="AR297" s="438"/>
      <c r="AS297" s="438"/>
      <c r="AT297" s="438"/>
      <c r="AU297" s="438"/>
      <c r="AV297" s="438"/>
      <c r="AW297" s="438"/>
      <c r="AX297" s="438"/>
      <c r="AY297" s="438"/>
      <c r="AZ297" s="438"/>
      <c r="BA297" s="438"/>
      <c r="BB297" s="438"/>
      <c r="BC297" s="438"/>
      <c r="BD297" s="438"/>
      <c r="BE297" s="438"/>
      <c r="BF297" s="438"/>
      <c r="BG297" s="438"/>
      <c r="BH297" s="438"/>
    </row>
    <row r="298">
      <c r="A298" s="140"/>
      <c r="B298" s="456"/>
      <c r="C298" s="142"/>
      <c r="D298" s="142"/>
      <c r="E298" s="142"/>
      <c r="F298" s="140"/>
      <c r="G298" s="456"/>
      <c r="H298" s="142"/>
      <c r="I298" s="142"/>
      <c r="J298" s="142"/>
      <c r="K298" s="125"/>
      <c r="L298" s="456"/>
      <c r="M298" s="142"/>
      <c r="N298" s="142"/>
      <c r="O298" s="142"/>
      <c r="P298" s="125"/>
      <c r="Q298" s="450"/>
      <c r="R298" s="142"/>
      <c r="S298" s="142"/>
      <c r="T298" s="142"/>
      <c r="U298" s="140"/>
      <c r="V298" s="456"/>
      <c r="W298" s="142"/>
      <c r="X298" s="142"/>
      <c r="Y298" s="142"/>
      <c r="Z298" s="140"/>
      <c r="AA298" s="456"/>
      <c r="AB298" s="142"/>
      <c r="AC298" s="142"/>
      <c r="AD298" s="142"/>
      <c r="AE298" s="140"/>
      <c r="AF298" s="456"/>
      <c r="AG298" s="142"/>
      <c r="AH298" s="142"/>
      <c r="AI298" s="142"/>
      <c r="AJ298" s="140"/>
      <c r="AK298" s="456"/>
      <c r="AL298" s="142"/>
      <c r="AM298" s="142"/>
      <c r="AN298" s="142"/>
      <c r="AO298" s="438"/>
      <c r="AP298" s="438"/>
      <c r="AQ298" s="438"/>
      <c r="AR298" s="438"/>
      <c r="AS298" s="438"/>
      <c r="AT298" s="438"/>
      <c r="AU298" s="438"/>
      <c r="AV298" s="438"/>
      <c r="AW298" s="438"/>
      <c r="AX298" s="438"/>
      <c r="AY298" s="438"/>
      <c r="AZ298" s="438"/>
      <c r="BA298" s="438"/>
      <c r="BB298" s="438"/>
      <c r="BC298" s="438"/>
      <c r="BD298" s="438"/>
      <c r="BE298" s="438"/>
      <c r="BF298" s="438"/>
      <c r="BG298" s="438"/>
      <c r="BH298" s="438"/>
    </row>
    <row r="299">
      <c r="A299" s="140"/>
      <c r="B299" s="456"/>
      <c r="C299" s="142"/>
      <c r="D299" s="142"/>
      <c r="E299" s="142"/>
      <c r="F299" s="140"/>
      <c r="G299" s="456"/>
      <c r="H299" s="142"/>
      <c r="I299" s="142"/>
      <c r="J299" s="142"/>
      <c r="K299" s="125"/>
      <c r="L299" s="456"/>
      <c r="M299" s="142"/>
      <c r="N299" s="142"/>
      <c r="O299" s="142"/>
      <c r="P299" s="125"/>
      <c r="Q299" s="450"/>
      <c r="R299" s="142"/>
      <c r="S299" s="142"/>
      <c r="T299" s="142"/>
      <c r="U299" s="140"/>
      <c r="V299" s="456"/>
      <c r="W299" s="142"/>
      <c r="X299" s="142"/>
      <c r="Y299" s="142"/>
      <c r="Z299" s="140"/>
      <c r="AA299" s="456"/>
      <c r="AB299" s="142"/>
      <c r="AC299" s="142"/>
      <c r="AD299" s="142"/>
      <c r="AE299" s="140"/>
      <c r="AF299" s="456"/>
      <c r="AG299" s="142"/>
      <c r="AH299" s="142"/>
      <c r="AI299" s="142"/>
      <c r="AJ299" s="140"/>
      <c r="AK299" s="456"/>
      <c r="AL299" s="142"/>
      <c r="AM299" s="142"/>
      <c r="AN299" s="142"/>
      <c r="AO299" s="438"/>
      <c r="AP299" s="438"/>
      <c r="AQ299" s="438"/>
      <c r="AR299" s="438"/>
      <c r="AS299" s="438"/>
      <c r="AT299" s="438"/>
      <c r="AU299" s="438"/>
      <c r="AV299" s="438"/>
      <c r="AW299" s="438"/>
      <c r="AX299" s="438"/>
      <c r="AY299" s="438"/>
      <c r="AZ299" s="438"/>
      <c r="BA299" s="438"/>
      <c r="BB299" s="438"/>
      <c r="BC299" s="438"/>
      <c r="BD299" s="438"/>
      <c r="BE299" s="438"/>
      <c r="BF299" s="438"/>
      <c r="BG299" s="438"/>
      <c r="BH299" s="438"/>
    </row>
    <row r="300">
      <c r="A300" s="140"/>
      <c r="B300" s="456"/>
      <c r="C300" s="142"/>
      <c r="D300" s="142"/>
      <c r="E300" s="142"/>
      <c r="F300" s="140"/>
      <c r="G300" s="456"/>
      <c r="H300" s="142"/>
      <c r="I300" s="142"/>
      <c r="J300" s="142"/>
      <c r="K300" s="125"/>
      <c r="L300" s="456"/>
      <c r="M300" s="142"/>
      <c r="N300" s="142"/>
      <c r="O300" s="142"/>
      <c r="P300" s="125"/>
      <c r="Q300" s="450"/>
      <c r="R300" s="142"/>
      <c r="S300" s="142"/>
      <c r="T300" s="142"/>
      <c r="U300" s="140"/>
      <c r="V300" s="456"/>
      <c r="W300" s="142"/>
      <c r="X300" s="142"/>
      <c r="Y300" s="142"/>
      <c r="Z300" s="140"/>
      <c r="AA300" s="456"/>
      <c r="AB300" s="142"/>
      <c r="AC300" s="142"/>
      <c r="AD300" s="142"/>
      <c r="AE300" s="140"/>
      <c r="AF300" s="456"/>
      <c r="AG300" s="142"/>
      <c r="AH300" s="142"/>
      <c r="AI300" s="142"/>
      <c r="AJ300" s="140"/>
      <c r="AK300" s="456"/>
      <c r="AL300" s="142"/>
      <c r="AM300" s="142"/>
      <c r="AN300" s="142"/>
      <c r="AO300" s="438"/>
      <c r="AP300" s="438"/>
      <c r="AQ300" s="438"/>
      <c r="AR300" s="438"/>
      <c r="AS300" s="438"/>
      <c r="AT300" s="438"/>
      <c r="AU300" s="438"/>
      <c r="AV300" s="438"/>
      <c r="AW300" s="438"/>
      <c r="AX300" s="438"/>
      <c r="AY300" s="438"/>
      <c r="AZ300" s="438"/>
      <c r="BA300" s="438"/>
      <c r="BB300" s="438"/>
      <c r="BC300" s="438"/>
      <c r="BD300" s="438"/>
      <c r="BE300" s="438"/>
      <c r="BF300" s="438"/>
      <c r="BG300" s="438"/>
      <c r="BH300" s="438"/>
    </row>
    <row r="301">
      <c r="A301" s="140"/>
      <c r="B301" s="456"/>
      <c r="C301" s="142"/>
      <c r="D301" s="142"/>
      <c r="E301" s="142"/>
      <c r="F301" s="140"/>
      <c r="G301" s="456"/>
      <c r="H301" s="142"/>
      <c r="I301" s="142"/>
      <c r="J301" s="142"/>
      <c r="K301" s="125"/>
      <c r="L301" s="456"/>
      <c r="M301" s="142"/>
      <c r="N301" s="142"/>
      <c r="O301" s="142"/>
      <c r="P301" s="125"/>
      <c r="Q301" s="450"/>
      <c r="R301" s="142"/>
      <c r="S301" s="142"/>
      <c r="T301" s="142"/>
      <c r="U301" s="140"/>
      <c r="V301" s="456"/>
      <c r="W301" s="142"/>
      <c r="X301" s="142"/>
      <c r="Y301" s="142"/>
      <c r="Z301" s="140"/>
      <c r="AA301" s="456"/>
      <c r="AB301" s="142"/>
      <c r="AC301" s="142"/>
      <c r="AD301" s="142"/>
      <c r="AE301" s="140"/>
      <c r="AF301" s="456"/>
      <c r="AG301" s="142"/>
      <c r="AH301" s="142"/>
      <c r="AI301" s="142"/>
      <c r="AJ301" s="140"/>
      <c r="AK301" s="456"/>
      <c r="AL301" s="142"/>
      <c r="AM301" s="142"/>
      <c r="AN301" s="142"/>
      <c r="AO301" s="438"/>
      <c r="AP301" s="438"/>
      <c r="AQ301" s="438"/>
      <c r="AR301" s="438"/>
      <c r="AS301" s="438"/>
      <c r="AT301" s="438"/>
      <c r="AU301" s="438"/>
      <c r="AV301" s="438"/>
      <c r="AW301" s="438"/>
      <c r="AX301" s="438"/>
      <c r="AY301" s="438"/>
      <c r="AZ301" s="438"/>
      <c r="BA301" s="438"/>
      <c r="BB301" s="438"/>
      <c r="BC301" s="438"/>
      <c r="BD301" s="438"/>
      <c r="BE301" s="438"/>
      <c r="BF301" s="438"/>
      <c r="BG301" s="438"/>
      <c r="BH301" s="438"/>
    </row>
    <row r="302">
      <c r="A302" s="140"/>
      <c r="B302" s="456"/>
      <c r="C302" s="142"/>
      <c r="D302" s="142"/>
      <c r="E302" s="142"/>
      <c r="F302" s="140"/>
      <c r="G302" s="456"/>
      <c r="H302" s="142"/>
      <c r="I302" s="142"/>
      <c r="J302" s="142"/>
      <c r="K302" s="125"/>
      <c r="L302" s="456"/>
      <c r="M302" s="142"/>
      <c r="N302" s="142"/>
      <c r="O302" s="142"/>
      <c r="P302" s="125"/>
      <c r="Q302" s="450"/>
      <c r="R302" s="142"/>
      <c r="S302" s="142"/>
      <c r="T302" s="142"/>
      <c r="U302" s="140"/>
      <c r="V302" s="456"/>
      <c r="W302" s="142"/>
      <c r="X302" s="142"/>
      <c r="Y302" s="142"/>
      <c r="Z302" s="140"/>
      <c r="AA302" s="456"/>
      <c r="AB302" s="142"/>
      <c r="AC302" s="142"/>
      <c r="AD302" s="142"/>
      <c r="AE302" s="140"/>
      <c r="AF302" s="456"/>
      <c r="AG302" s="142"/>
      <c r="AH302" s="142"/>
      <c r="AI302" s="142"/>
      <c r="AJ302" s="140"/>
      <c r="AK302" s="456"/>
      <c r="AL302" s="142"/>
      <c r="AM302" s="142"/>
      <c r="AN302" s="142"/>
      <c r="AO302" s="438"/>
      <c r="AP302" s="438"/>
      <c r="AQ302" s="438"/>
      <c r="AR302" s="438"/>
      <c r="AS302" s="438"/>
      <c r="AT302" s="438"/>
      <c r="AU302" s="438"/>
      <c r="AV302" s="438"/>
      <c r="AW302" s="438"/>
      <c r="AX302" s="438"/>
      <c r="AY302" s="438"/>
      <c r="AZ302" s="438"/>
      <c r="BA302" s="438"/>
      <c r="BB302" s="438"/>
      <c r="BC302" s="438"/>
      <c r="BD302" s="438"/>
      <c r="BE302" s="438"/>
      <c r="BF302" s="438"/>
      <c r="BG302" s="438"/>
      <c r="BH302" s="438"/>
    </row>
    <row r="303">
      <c r="A303" s="140"/>
      <c r="B303" s="456"/>
      <c r="C303" s="142"/>
      <c r="D303" s="142"/>
      <c r="E303" s="142"/>
      <c r="F303" s="140"/>
      <c r="G303" s="456"/>
      <c r="H303" s="142"/>
      <c r="I303" s="142"/>
      <c r="J303" s="142"/>
      <c r="K303" s="125"/>
      <c r="L303" s="456"/>
      <c r="M303" s="142"/>
      <c r="N303" s="142"/>
      <c r="O303" s="142"/>
      <c r="P303" s="125"/>
      <c r="Q303" s="450"/>
      <c r="R303" s="142"/>
      <c r="S303" s="142"/>
      <c r="T303" s="142"/>
      <c r="U303" s="140"/>
      <c r="V303" s="456"/>
      <c r="W303" s="142"/>
      <c r="X303" s="142"/>
      <c r="Y303" s="142"/>
      <c r="Z303" s="140"/>
      <c r="AA303" s="456"/>
      <c r="AB303" s="142"/>
      <c r="AC303" s="142"/>
      <c r="AD303" s="142"/>
      <c r="AE303" s="140"/>
      <c r="AF303" s="456"/>
      <c r="AG303" s="142"/>
      <c r="AH303" s="142"/>
      <c r="AI303" s="142"/>
      <c r="AJ303" s="140"/>
      <c r="AK303" s="456"/>
      <c r="AL303" s="142"/>
      <c r="AM303" s="142"/>
      <c r="AN303" s="142"/>
      <c r="AO303" s="438"/>
      <c r="AP303" s="438"/>
      <c r="AQ303" s="438"/>
      <c r="AR303" s="438"/>
      <c r="AS303" s="438"/>
      <c r="AT303" s="438"/>
      <c r="AU303" s="438"/>
      <c r="AV303" s="438"/>
      <c r="AW303" s="438"/>
      <c r="AX303" s="438"/>
      <c r="AY303" s="438"/>
      <c r="AZ303" s="438"/>
      <c r="BA303" s="438"/>
      <c r="BB303" s="438"/>
      <c r="BC303" s="438"/>
      <c r="BD303" s="438"/>
      <c r="BE303" s="438"/>
      <c r="BF303" s="438"/>
      <c r="BG303" s="438"/>
      <c r="BH303" s="438"/>
    </row>
    <row r="304">
      <c r="A304" s="140"/>
      <c r="B304" s="456"/>
      <c r="C304" s="142"/>
      <c r="D304" s="142"/>
      <c r="E304" s="142"/>
      <c r="F304" s="140"/>
      <c r="G304" s="456"/>
      <c r="H304" s="142"/>
      <c r="I304" s="142"/>
      <c r="J304" s="142"/>
      <c r="K304" s="125"/>
      <c r="L304" s="456"/>
      <c r="M304" s="142"/>
      <c r="N304" s="142"/>
      <c r="O304" s="142"/>
      <c r="P304" s="125"/>
      <c r="Q304" s="450"/>
      <c r="R304" s="142"/>
      <c r="S304" s="142"/>
      <c r="T304" s="142"/>
      <c r="U304" s="140"/>
      <c r="V304" s="456"/>
      <c r="W304" s="142"/>
      <c r="X304" s="142"/>
      <c r="Y304" s="142"/>
      <c r="Z304" s="140"/>
      <c r="AA304" s="456"/>
      <c r="AB304" s="142"/>
      <c r="AC304" s="142"/>
      <c r="AD304" s="142"/>
      <c r="AE304" s="140"/>
      <c r="AF304" s="456"/>
      <c r="AG304" s="142"/>
      <c r="AH304" s="142"/>
      <c r="AI304" s="142"/>
      <c r="AJ304" s="140"/>
      <c r="AK304" s="456"/>
      <c r="AL304" s="142"/>
      <c r="AM304" s="142"/>
      <c r="AN304" s="142"/>
      <c r="AO304" s="438"/>
      <c r="AP304" s="438"/>
      <c r="AQ304" s="438"/>
      <c r="AR304" s="438"/>
      <c r="AS304" s="438"/>
      <c r="AT304" s="438"/>
      <c r="AU304" s="438"/>
      <c r="AV304" s="438"/>
      <c r="AW304" s="438"/>
      <c r="AX304" s="438"/>
      <c r="AY304" s="438"/>
      <c r="AZ304" s="438"/>
      <c r="BA304" s="438"/>
      <c r="BB304" s="438"/>
      <c r="BC304" s="438"/>
      <c r="BD304" s="438"/>
      <c r="BE304" s="438"/>
      <c r="BF304" s="438"/>
      <c r="BG304" s="438"/>
      <c r="BH304" s="438"/>
    </row>
    <row r="305">
      <c r="A305" s="140"/>
      <c r="B305" s="456"/>
      <c r="C305" s="142"/>
      <c r="D305" s="142"/>
      <c r="E305" s="142"/>
      <c r="F305" s="140"/>
      <c r="G305" s="456"/>
      <c r="H305" s="142"/>
      <c r="I305" s="142"/>
      <c r="J305" s="142"/>
      <c r="K305" s="125"/>
      <c r="L305" s="456"/>
      <c r="M305" s="142"/>
      <c r="N305" s="142"/>
      <c r="O305" s="142"/>
      <c r="P305" s="125"/>
      <c r="Q305" s="450"/>
      <c r="R305" s="142"/>
      <c r="S305" s="142"/>
      <c r="T305" s="142"/>
      <c r="U305" s="140"/>
      <c r="V305" s="456"/>
      <c r="W305" s="142"/>
      <c r="X305" s="142"/>
      <c r="Y305" s="142"/>
      <c r="Z305" s="140"/>
      <c r="AA305" s="456"/>
      <c r="AB305" s="142"/>
      <c r="AC305" s="142"/>
      <c r="AD305" s="142"/>
      <c r="AE305" s="140"/>
      <c r="AF305" s="456"/>
      <c r="AG305" s="142"/>
      <c r="AH305" s="142"/>
      <c r="AI305" s="142"/>
      <c r="AJ305" s="140"/>
      <c r="AK305" s="456"/>
      <c r="AL305" s="142"/>
      <c r="AM305" s="142"/>
      <c r="AN305" s="142"/>
      <c r="AO305" s="438"/>
      <c r="AP305" s="438"/>
      <c r="AQ305" s="438"/>
      <c r="AR305" s="438"/>
      <c r="AS305" s="438"/>
      <c r="AT305" s="438"/>
      <c r="AU305" s="438"/>
      <c r="AV305" s="438"/>
      <c r="AW305" s="438"/>
      <c r="AX305" s="438"/>
      <c r="AY305" s="438"/>
      <c r="AZ305" s="438"/>
      <c r="BA305" s="438"/>
      <c r="BB305" s="438"/>
      <c r="BC305" s="438"/>
      <c r="BD305" s="438"/>
      <c r="BE305" s="438"/>
      <c r="BF305" s="438"/>
      <c r="BG305" s="438"/>
      <c r="BH305" s="438"/>
    </row>
    <row r="306">
      <c r="A306" s="140"/>
      <c r="B306" s="456"/>
      <c r="C306" s="142"/>
      <c r="D306" s="142"/>
      <c r="E306" s="142"/>
      <c r="F306" s="140"/>
      <c r="G306" s="456"/>
      <c r="H306" s="142"/>
      <c r="I306" s="142"/>
      <c r="J306" s="142"/>
      <c r="K306" s="125"/>
      <c r="L306" s="456"/>
      <c r="M306" s="142"/>
      <c r="N306" s="142"/>
      <c r="O306" s="142"/>
      <c r="P306" s="125"/>
      <c r="Q306" s="450"/>
      <c r="R306" s="142"/>
      <c r="S306" s="142"/>
      <c r="T306" s="142"/>
      <c r="U306" s="140"/>
      <c r="V306" s="456"/>
      <c r="W306" s="142"/>
      <c r="X306" s="142"/>
      <c r="Y306" s="142"/>
      <c r="Z306" s="140"/>
      <c r="AA306" s="456"/>
      <c r="AB306" s="142"/>
      <c r="AC306" s="142"/>
      <c r="AD306" s="142"/>
      <c r="AE306" s="140"/>
      <c r="AF306" s="456"/>
      <c r="AG306" s="142"/>
      <c r="AH306" s="142"/>
      <c r="AI306" s="142"/>
      <c r="AJ306" s="140"/>
      <c r="AK306" s="456"/>
      <c r="AL306" s="142"/>
      <c r="AM306" s="142"/>
      <c r="AN306" s="142"/>
      <c r="AO306" s="438"/>
      <c r="AP306" s="438"/>
      <c r="AQ306" s="438"/>
      <c r="AR306" s="438"/>
      <c r="AS306" s="438"/>
      <c r="AT306" s="438"/>
      <c r="AU306" s="438"/>
      <c r="AV306" s="438"/>
      <c r="AW306" s="438"/>
      <c r="AX306" s="438"/>
      <c r="AY306" s="438"/>
      <c r="AZ306" s="438"/>
      <c r="BA306" s="438"/>
      <c r="BB306" s="438"/>
      <c r="BC306" s="438"/>
      <c r="BD306" s="438"/>
      <c r="BE306" s="438"/>
      <c r="BF306" s="438"/>
      <c r="BG306" s="438"/>
      <c r="BH306" s="438"/>
    </row>
    <row r="307">
      <c r="A307" s="140"/>
      <c r="B307" s="456"/>
      <c r="C307" s="142"/>
      <c r="D307" s="142"/>
      <c r="E307" s="142"/>
      <c r="F307" s="140"/>
      <c r="G307" s="456"/>
      <c r="H307" s="142"/>
      <c r="I307" s="142"/>
      <c r="J307" s="142"/>
      <c r="K307" s="125"/>
      <c r="L307" s="456"/>
      <c r="M307" s="142"/>
      <c r="N307" s="142"/>
      <c r="O307" s="142"/>
      <c r="P307" s="125"/>
      <c r="Q307" s="450"/>
      <c r="R307" s="142"/>
      <c r="S307" s="142"/>
      <c r="T307" s="142"/>
      <c r="U307" s="140"/>
      <c r="V307" s="456"/>
      <c r="W307" s="142"/>
      <c r="X307" s="142"/>
      <c r="Y307" s="142"/>
      <c r="Z307" s="140"/>
      <c r="AA307" s="456"/>
      <c r="AB307" s="142"/>
      <c r="AC307" s="142"/>
      <c r="AD307" s="142"/>
      <c r="AE307" s="140"/>
      <c r="AF307" s="456"/>
      <c r="AG307" s="142"/>
      <c r="AH307" s="142"/>
      <c r="AI307" s="142"/>
      <c r="AJ307" s="140"/>
      <c r="AK307" s="456"/>
      <c r="AL307" s="142"/>
      <c r="AM307" s="142"/>
      <c r="AN307" s="142"/>
      <c r="AO307" s="438"/>
      <c r="AP307" s="438"/>
      <c r="AQ307" s="438"/>
      <c r="AR307" s="438"/>
      <c r="AS307" s="438"/>
      <c r="AT307" s="438"/>
      <c r="AU307" s="438"/>
      <c r="AV307" s="438"/>
      <c r="AW307" s="438"/>
      <c r="AX307" s="438"/>
      <c r="AY307" s="438"/>
      <c r="AZ307" s="438"/>
      <c r="BA307" s="438"/>
      <c r="BB307" s="438"/>
      <c r="BC307" s="438"/>
      <c r="BD307" s="438"/>
      <c r="BE307" s="438"/>
      <c r="BF307" s="438"/>
      <c r="BG307" s="438"/>
      <c r="BH307" s="438"/>
    </row>
    <row r="308">
      <c r="A308" s="140"/>
      <c r="B308" s="456"/>
      <c r="C308" s="142"/>
      <c r="D308" s="142"/>
      <c r="E308" s="142"/>
      <c r="F308" s="140"/>
      <c r="G308" s="456"/>
      <c r="H308" s="142"/>
      <c r="I308" s="142"/>
      <c r="J308" s="142"/>
      <c r="K308" s="125"/>
      <c r="L308" s="456"/>
      <c r="M308" s="142"/>
      <c r="N308" s="142"/>
      <c r="O308" s="142"/>
      <c r="P308" s="125"/>
      <c r="Q308" s="450"/>
      <c r="R308" s="142"/>
      <c r="S308" s="142"/>
      <c r="T308" s="142"/>
      <c r="U308" s="140"/>
      <c r="V308" s="456"/>
      <c r="W308" s="142"/>
      <c r="X308" s="142"/>
      <c r="Y308" s="142"/>
      <c r="Z308" s="140"/>
      <c r="AA308" s="456"/>
      <c r="AB308" s="142"/>
      <c r="AC308" s="142"/>
      <c r="AD308" s="142"/>
      <c r="AE308" s="140"/>
      <c r="AF308" s="456"/>
      <c r="AG308" s="142"/>
      <c r="AH308" s="142"/>
      <c r="AI308" s="142"/>
      <c r="AJ308" s="140"/>
      <c r="AK308" s="456"/>
      <c r="AL308" s="142"/>
      <c r="AM308" s="142"/>
      <c r="AN308" s="142"/>
      <c r="AO308" s="438"/>
      <c r="AP308" s="438"/>
      <c r="AQ308" s="438"/>
      <c r="AR308" s="438"/>
      <c r="AS308" s="438"/>
      <c r="AT308" s="438"/>
      <c r="AU308" s="438"/>
      <c r="AV308" s="438"/>
      <c r="AW308" s="438"/>
      <c r="AX308" s="438"/>
      <c r="AY308" s="438"/>
      <c r="AZ308" s="438"/>
      <c r="BA308" s="438"/>
      <c r="BB308" s="438"/>
      <c r="BC308" s="438"/>
      <c r="BD308" s="438"/>
      <c r="BE308" s="438"/>
      <c r="BF308" s="438"/>
      <c r="BG308" s="438"/>
      <c r="BH308" s="438"/>
    </row>
    <row r="309">
      <c r="A309" s="140"/>
      <c r="B309" s="456"/>
      <c r="C309" s="142"/>
      <c r="D309" s="142"/>
      <c r="E309" s="142"/>
      <c r="F309" s="140"/>
      <c r="G309" s="456"/>
      <c r="H309" s="142"/>
      <c r="I309" s="142"/>
      <c r="J309" s="142"/>
      <c r="K309" s="125"/>
      <c r="L309" s="456"/>
      <c r="M309" s="142"/>
      <c r="N309" s="142"/>
      <c r="O309" s="142"/>
      <c r="P309" s="125"/>
      <c r="Q309" s="450"/>
      <c r="R309" s="142"/>
      <c r="S309" s="142"/>
      <c r="T309" s="142"/>
      <c r="U309" s="140"/>
      <c r="V309" s="456"/>
      <c r="W309" s="142"/>
      <c r="X309" s="142"/>
      <c r="Y309" s="142"/>
      <c r="Z309" s="140"/>
      <c r="AA309" s="456"/>
      <c r="AB309" s="142"/>
      <c r="AC309" s="142"/>
      <c r="AD309" s="142"/>
      <c r="AE309" s="140"/>
      <c r="AF309" s="456"/>
      <c r="AG309" s="142"/>
      <c r="AH309" s="142"/>
      <c r="AI309" s="142"/>
      <c r="AJ309" s="140"/>
      <c r="AK309" s="456"/>
      <c r="AL309" s="142"/>
      <c r="AM309" s="142"/>
      <c r="AN309" s="142"/>
      <c r="AO309" s="438"/>
      <c r="AP309" s="438"/>
      <c r="AQ309" s="438"/>
      <c r="AR309" s="438"/>
      <c r="AS309" s="438"/>
      <c r="AT309" s="438"/>
      <c r="AU309" s="438"/>
      <c r="AV309" s="438"/>
      <c r="AW309" s="438"/>
      <c r="AX309" s="438"/>
      <c r="AY309" s="438"/>
      <c r="AZ309" s="438"/>
      <c r="BA309" s="438"/>
      <c r="BB309" s="438"/>
      <c r="BC309" s="438"/>
      <c r="BD309" s="438"/>
      <c r="BE309" s="438"/>
      <c r="BF309" s="438"/>
      <c r="BG309" s="438"/>
      <c r="BH309" s="438"/>
    </row>
    <row r="310">
      <c r="A310" s="140"/>
      <c r="B310" s="456"/>
      <c r="C310" s="142"/>
      <c r="D310" s="142"/>
      <c r="E310" s="142"/>
      <c r="F310" s="140"/>
      <c r="G310" s="456"/>
      <c r="H310" s="142"/>
      <c r="I310" s="142"/>
      <c r="J310" s="142"/>
      <c r="K310" s="125"/>
      <c r="L310" s="456"/>
      <c r="M310" s="142"/>
      <c r="N310" s="142"/>
      <c r="O310" s="142"/>
      <c r="P310" s="125"/>
      <c r="Q310" s="450"/>
      <c r="R310" s="142"/>
      <c r="S310" s="142"/>
      <c r="T310" s="142"/>
      <c r="U310" s="140"/>
      <c r="V310" s="456"/>
      <c r="W310" s="142"/>
      <c r="X310" s="142"/>
      <c r="Y310" s="142"/>
      <c r="Z310" s="140"/>
      <c r="AA310" s="456"/>
      <c r="AB310" s="142"/>
      <c r="AC310" s="142"/>
      <c r="AD310" s="142"/>
      <c r="AE310" s="140"/>
      <c r="AF310" s="456"/>
      <c r="AG310" s="142"/>
      <c r="AH310" s="142"/>
      <c r="AI310" s="142"/>
      <c r="AJ310" s="140"/>
      <c r="AK310" s="456"/>
      <c r="AL310" s="142"/>
      <c r="AM310" s="142"/>
      <c r="AN310" s="142"/>
      <c r="AO310" s="438"/>
      <c r="AP310" s="438"/>
      <c r="AQ310" s="438"/>
      <c r="AR310" s="438"/>
      <c r="AS310" s="438"/>
      <c r="AT310" s="438"/>
      <c r="AU310" s="438"/>
      <c r="AV310" s="438"/>
      <c r="AW310" s="438"/>
      <c r="AX310" s="438"/>
      <c r="AY310" s="438"/>
      <c r="AZ310" s="438"/>
      <c r="BA310" s="438"/>
      <c r="BB310" s="438"/>
      <c r="BC310" s="438"/>
      <c r="BD310" s="438"/>
      <c r="BE310" s="438"/>
      <c r="BF310" s="438"/>
      <c r="BG310" s="438"/>
      <c r="BH310" s="438"/>
    </row>
    <row r="311">
      <c r="A311" s="140"/>
      <c r="B311" s="456"/>
      <c r="C311" s="142"/>
      <c r="D311" s="142"/>
      <c r="E311" s="142"/>
      <c r="F311" s="140"/>
      <c r="G311" s="456"/>
      <c r="H311" s="142"/>
      <c r="I311" s="142"/>
      <c r="J311" s="142"/>
      <c r="K311" s="125"/>
      <c r="L311" s="456"/>
      <c r="M311" s="142"/>
      <c r="N311" s="142"/>
      <c r="O311" s="142"/>
      <c r="P311" s="125"/>
      <c r="Q311" s="450"/>
      <c r="R311" s="142"/>
      <c r="S311" s="142"/>
      <c r="T311" s="142"/>
      <c r="U311" s="140"/>
      <c r="V311" s="456"/>
      <c r="W311" s="142"/>
      <c r="X311" s="142"/>
      <c r="Y311" s="142"/>
      <c r="Z311" s="140"/>
      <c r="AA311" s="456"/>
      <c r="AB311" s="142"/>
      <c r="AC311" s="142"/>
      <c r="AD311" s="142"/>
      <c r="AE311" s="140"/>
      <c r="AF311" s="456"/>
      <c r="AG311" s="142"/>
      <c r="AH311" s="142"/>
      <c r="AI311" s="142"/>
      <c r="AJ311" s="140"/>
      <c r="AK311" s="456"/>
      <c r="AL311" s="142"/>
      <c r="AM311" s="142"/>
      <c r="AN311" s="142"/>
      <c r="AO311" s="438"/>
      <c r="AP311" s="438"/>
      <c r="AQ311" s="438"/>
      <c r="AR311" s="438"/>
      <c r="AS311" s="438"/>
      <c r="AT311" s="438"/>
      <c r="AU311" s="438"/>
      <c r="AV311" s="438"/>
      <c r="AW311" s="438"/>
      <c r="AX311" s="438"/>
      <c r="AY311" s="438"/>
      <c r="AZ311" s="438"/>
      <c r="BA311" s="438"/>
      <c r="BB311" s="438"/>
      <c r="BC311" s="438"/>
      <c r="BD311" s="438"/>
      <c r="BE311" s="438"/>
      <c r="BF311" s="438"/>
      <c r="BG311" s="438"/>
      <c r="BH311" s="438"/>
    </row>
    <row r="312">
      <c r="A312" s="140"/>
      <c r="B312" s="456"/>
      <c r="C312" s="142"/>
      <c r="D312" s="142"/>
      <c r="E312" s="142"/>
      <c r="F312" s="140"/>
      <c r="G312" s="456"/>
      <c r="H312" s="142"/>
      <c r="I312" s="142"/>
      <c r="J312" s="142"/>
      <c r="K312" s="125"/>
      <c r="L312" s="456"/>
      <c r="M312" s="142"/>
      <c r="N312" s="142"/>
      <c r="O312" s="142"/>
      <c r="P312" s="125"/>
      <c r="Q312" s="450"/>
      <c r="R312" s="142"/>
      <c r="S312" s="142"/>
      <c r="T312" s="142"/>
      <c r="U312" s="140"/>
      <c r="V312" s="456"/>
      <c r="W312" s="142"/>
      <c r="X312" s="142"/>
      <c r="Y312" s="142"/>
      <c r="Z312" s="140"/>
      <c r="AA312" s="456"/>
      <c r="AB312" s="142"/>
      <c r="AC312" s="142"/>
      <c r="AD312" s="142"/>
      <c r="AE312" s="140"/>
      <c r="AF312" s="456"/>
      <c r="AG312" s="142"/>
      <c r="AH312" s="142"/>
      <c r="AI312" s="142"/>
      <c r="AJ312" s="140"/>
      <c r="AK312" s="456"/>
      <c r="AL312" s="142"/>
      <c r="AM312" s="142"/>
      <c r="AN312" s="142"/>
      <c r="AO312" s="438"/>
      <c r="AP312" s="438"/>
      <c r="AQ312" s="438"/>
      <c r="AR312" s="438"/>
      <c r="AS312" s="438"/>
      <c r="AT312" s="438"/>
      <c r="AU312" s="438"/>
      <c r="AV312" s="438"/>
      <c r="AW312" s="438"/>
      <c r="AX312" s="438"/>
      <c r="AY312" s="438"/>
      <c r="AZ312" s="438"/>
      <c r="BA312" s="438"/>
      <c r="BB312" s="438"/>
      <c r="BC312" s="438"/>
      <c r="BD312" s="438"/>
      <c r="BE312" s="438"/>
      <c r="BF312" s="438"/>
      <c r="BG312" s="438"/>
      <c r="BH312" s="438"/>
    </row>
    <row r="313">
      <c r="A313" s="140"/>
      <c r="B313" s="456"/>
      <c r="C313" s="142"/>
      <c r="D313" s="142"/>
      <c r="E313" s="142"/>
      <c r="F313" s="140"/>
      <c r="G313" s="456"/>
      <c r="H313" s="142"/>
      <c r="I313" s="142"/>
      <c r="J313" s="142"/>
      <c r="K313" s="125"/>
      <c r="L313" s="456"/>
      <c r="M313" s="142"/>
      <c r="N313" s="142"/>
      <c r="O313" s="142"/>
      <c r="P313" s="125"/>
      <c r="Q313" s="450"/>
      <c r="R313" s="142"/>
      <c r="S313" s="142"/>
      <c r="T313" s="142"/>
      <c r="U313" s="140"/>
      <c r="V313" s="456"/>
      <c r="W313" s="142"/>
      <c r="X313" s="142"/>
      <c r="Y313" s="142"/>
      <c r="Z313" s="140"/>
      <c r="AA313" s="456"/>
      <c r="AB313" s="142"/>
      <c r="AC313" s="142"/>
      <c r="AD313" s="142"/>
      <c r="AE313" s="140"/>
      <c r="AF313" s="456"/>
      <c r="AG313" s="142"/>
      <c r="AH313" s="142"/>
      <c r="AI313" s="142"/>
      <c r="AJ313" s="140"/>
      <c r="AK313" s="456"/>
      <c r="AL313" s="142"/>
      <c r="AM313" s="142"/>
      <c r="AN313" s="142"/>
      <c r="AO313" s="438"/>
      <c r="AP313" s="438"/>
      <c r="AQ313" s="438"/>
      <c r="AR313" s="438"/>
      <c r="AS313" s="438"/>
      <c r="AT313" s="438"/>
      <c r="AU313" s="438"/>
      <c r="AV313" s="438"/>
      <c r="AW313" s="438"/>
      <c r="AX313" s="438"/>
      <c r="AY313" s="438"/>
      <c r="AZ313" s="438"/>
      <c r="BA313" s="438"/>
      <c r="BB313" s="438"/>
      <c r="BC313" s="438"/>
      <c r="BD313" s="438"/>
      <c r="BE313" s="438"/>
      <c r="BF313" s="438"/>
      <c r="BG313" s="438"/>
      <c r="BH313" s="438"/>
    </row>
    <row r="314">
      <c r="A314" s="140"/>
      <c r="B314" s="456"/>
      <c r="C314" s="142"/>
      <c r="D314" s="142"/>
      <c r="E314" s="142"/>
      <c r="F314" s="140"/>
      <c r="G314" s="456"/>
      <c r="H314" s="142"/>
      <c r="I314" s="142"/>
      <c r="J314" s="142"/>
      <c r="K314" s="125"/>
      <c r="L314" s="456"/>
      <c r="M314" s="142"/>
      <c r="N314" s="142"/>
      <c r="O314" s="142"/>
      <c r="P314" s="125"/>
      <c r="Q314" s="450"/>
      <c r="R314" s="142"/>
      <c r="S314" s="142"/>
      <c r="T314" s="142"/>
      <c r="U314" s="140"/>
      <c r="V314" s="456"/>
      <c r="W314" s="142"/>
      <c r="X314" s="142"/>
      <c r="Y314" s="142"/>
      <c r="Z314" s="140"/>
      <c r="AA314" s="456"/>
      <c r="AB314" s="142"/>
      <c r="AC314" s="142"/>
      <c r="AD314" s="142"/>
      <c r="AE314" s="140"/>
      <c r="AF314" s="456"/>
      <c r="AG314" s="142"/>
      <c r="AH314" s="142"/>
      <c r="AI314" s="142"/>
      <c r="AJ314" s="140"/>
      <c r="AK314" s="456"/>
      <c r="AL314" s="142"/>
      <c r="AM314" s="142"/>
      <c r="AN314" s="142"/>
      <c r="AO314" s="438"/>
      <c r="AP314" s="438"/>
      <c r="AQ314" s="438"/>
      <c r="AR314" s="438"/>
      <c r="AS314" s="438"/>
      <c r="AT314" s="438"/>
      <c r="AU314" s="438"/>
      <c r="AV314" s="438"/>
      <c r="AW314" s="438"/>
      <c r="AX314" s="438"/>
      <c r="AY314" s="438"/>
      <c r="AZ314" s="438"/>
      <c r="BA314" s="438"/>
      <c r="BB314" s="438"/>
      <c r="BC314" s="438"/>
      <c r="BD314" s="438"/>
      <c r="BE314" s="438"/>
      <c r="BF314" s="438"/>
      <c r="BG314" s="438"/>
      <c r="BH314" s="438"/>
    </row>
    <row r="315">
      <c r="A315" s="140"/>
      <c r="B315" s="456"/>
      <c r="C315" s="142"/>
      <c r="D315" s="142"/>
      <c r="E315" s="142"/>
      <c r="F315" s="140"/>
      <c r="G315" s="456"/>
      <c r="H315" s="142"/>
      <c r="I315" s="142"/>
      <c r="J315" s="142"/>
      <c r="K315" s="125"/>
      <c r="L315" s="456"/>
      <c r="M315" s="142"/>
      <c r="N315" s="142"/>
      <c r="O315" s="142"/>
      <c r="P315" s="125"/>
      <c r="Q315" s="450"/>
      <c r="R315" s="142"/>
      <c r="S315" s="142"/>
      <c r="T315" s="142"/>
      <c r="U315" s="140"/>
      <c r="V315" s="456"/>
      <c r="W315" s="142"/>
      <c r="X315" s="142"/>
      <c r="Y315" s="142"/>
      <c r="Z315" s="140"/>
      <c r="AA315" s="456"/>
      <c r="AB315" s="142"/>
      <c r="AC315" s="142"/>
      <c r="AD315" s="142"/>
      <c r="AE315" s="140"/>
      <c r="AF315" s="456"/>
      <c r="AG315" s="142"/>
      <c r="AH315" s="142"/>
      <c r="AI315" s="142"/>
      <c r="AJ315" s="140"/>
      <c r="AK315" s="456"/>
      <c r="AL315" s="142"/>
      <c r="AM315" s="142"/>
      <c r="AN315" s="142"/>
      <c r="AO315" s="438"/>
      <c r="AP315" s="438"/>
      <c r="AQ315" s="438"/>
      <c r="AR315" s="438"/>
      <c r="AS315" s="438"/>
      <c r="AT315" s="438"/>
      <c r="AU315" s="438"/>
      <c r="AV315" s="438"/>
      <c r="AW315" s="438"/>
      <c r="AX315" s="438"/>
      <c r="AY315" s="438"/>
      <c r="AZ315" s="438"/>
      <c r="BA315" s="438"/>
      <c r="BB315" s="438"/>
      <c r="BC315" s="438"/>
      <c r="BD315" s="438"/>
      <c r="BE315" s="438"/>
      <c r="BF315" s="438"/>
      <c r="BG315" s="438"/>
      <c r="BH315" s="438"/>
    </row>
    <row r="316">
      <c r="A316" s="140"/>
      <c r="B316" s="456"/>
      <c r="C316" s="142"/>
      <c r="D316" s="142"/>
      <c r="E316" s="142"/>
      <c r="F316" s="140"/>
      <c r="G316" s="456"/>
      <c r="H316" s="142"/>
      <c r="I316" s="142"/>
      <c r="J316" s="142"/>
      <c r="K316" s="125"/>
      <c r="L316" s="456"/>
      <c r="M316" s="142"/>
      <c r="N316" s="142"/>
      <c r="O316" s="142"/>
      <c r="P316" s="125"/>
      <c r="Q316" s="450"/>
      <c r="R316" s="142"/>
      <c r="S316" s="142"/>
      <c r="T316" s="142"/>
      <c r="U316" s="140"/>
      <c r="V316" s="456"/>
      <c r="W316" s="142"/>
      <c r="X316" s="142"/>
      <c r="Y316" s="142"/>
      <c r="Z316" s="140"/>
      <c r="AA316" s="456"/>
      <c r="AB316" s="142"/>
      <c r="AC316" s="142"/>
      <c r="AD316" s="142"/>
      <c r="AE316" s="140"/>
      <c r="AF316" s="456"/>
      <c r="AG316" s="142"/>
      <c r="AH316" s="142"/>
      <c r="AI316" s="142"/>
      <c r="AJ316" s="140"/>
      <c r="AK316" s="456"/>
      <c r="AL316" s="142"/>
      <c r="AM316" s="142"/>
      <c r="AN316" s="142"/>
      <c r="AO316" s="438"/>
      <c r="AP316" s="438"/>
      <c r="AQ316" s="438"/>
      <c r="AR316" s="438"/>
      <c r="AS316" s="438"/>
      <c r="AT316" s="438"/>
      <c r="AU316" s="438"/>
      <c r="AV316" s="438"/>
      <c r="AW316" s="438"/>
      <c r="AX316" s="438"/>
      <c r="AY316" s="438"/>
      <c r="AZ316" s="438"/>
      <c r="BA316" s="438"/>
      <c r="BB316" s="438"/>
      <c r="BC316" s="438"/>
      <c r="BD316" s="438"/>
      <c r="BE316" s="438"/>
      <c r="BF316" s="438"/>
      <c r="BG316" s="438"/>
      <c r="BH316" s="438"/>
    </row>
    <row r="317">
      <c r="A317" s="140"/>
      <c r="B317" s="456"/>
      <c r="C317" s="142"/>
      <c r="D317" s="142"/>
      <c r="E317" s="142"/>
      <c r="F317" s="140"/>
      <c r="G317" s="456"/>
      <c r="H317" s="142"/>
      <c r="I317" s="142"/>
      <c r="J317" s="142"/>
      <c r="K317" s="125"/>
      <c r="L317" s="456"/>
      <c r="M317" s="142"/>
      <c r="N317" s="142"/>
      <c r="O317" s="142"/>
      <c r="P317" s="125"/>
      <c r="Q317" s="450"/>
      <c r="R317" s="142"/>
      <c r="S317" s="142"/>
      <c r="T317" s="142"/>
      <c r="U317" s="140"/>
      <c r="V317" s="456"/>
      <c r="W317" s="142"/>
      <c r="X317" s="142"/>
      <c r="Y317" s="142"/>
      <c r="Z317" s="140"/>
      <c r="AA317" s="456"/>
      <c r="AB317" s="142"/>
      <c r="AC317" s="142"/>
      <c r="AD317" s="142"/>
      <c r="AE317" s="140"/>
      <c r="AF317" s="456"/>
      <c r="AG317" s="142"/>
      <c r="AH317" s="142"/>
      <c r="AI317" s="142"/>
      <c r="AJ317" s="140"/>
      <c r="AK317" s="456"/>
      <c r="AL317" s="142"/>
      <c r="AM317" s="142"/>
      <c r="AN317" s="142"/>
      <c r="AO317" s="438"/>
      <c r="AP317" s="438"/>
      <c r="AQ317" s="438"/>
      <c r="AR317" s="438"/>
      <c r="AS317" s="438"/>
      <c r="AT317" s="438"/>
      <c r="AU317" s="438"/>
      <c r="AV317" s="438"/>
      <c r="AW317" s="438"/>
      <c r="AX317" s="438"/>
      <c r="AY317" s="438"/>
      <c r="AZ317" s="438"/>
      <c r="BA317" s="438"/>
      <c r="BB317" s="438"/>
      <c r="BC317" s="438"/>
      <c r="BD317" s="438"/>
      <c r="BE317" s="438"/>
      <c r="BF317" s="438"/>
      <c r="BG317" s="438"/>
      <c r="BH317" s="438"/>
    </row>
    <row r="318">
      <c r="A318" s="140"/>
      <c r="B318" s="456"/>
      <c r="C318" s="142"/>
      <c r="D318" s="142"/>
      <c r="E318" s="142"/>
      <c r="F318" s="140"/>
      <c r="G318" s="456"/>
      <c r="H318" s="142"/>
      <c r="I318" s="142"/>
      <c r="J318" s="142"/>
      <c r="K318" s="125"/>
      <c r="L318" s="456"/>
      <c r="M318" s="142"/>
      <c r="N318" s="142"/>
      <c r="O318" s="142"/>
      <c r="P318" s="125"/>
      <c r="Q318" s="450"/>
      <c r="R318" s="142"/>
      <c r="S318" s="142"/>
      <c r="T318" s="142"/>
      <c r="U318" s="140"/>
      <c r="V318" s="456"/>
      <c r="W318" s="142"/>
      <c r="X318" s="142"/>
      <c r="Y318" s="142"/>
      <c r="Z318" s="140"/>
      <c r="AA318" s="456"/>
      <c r="AB318" s="142"/>
      <c r="AC318" s="142"/>
      <c r="AD318" s="142"/>
      <c r="AE318" s="140"/>
      <c r="AF318" s="456"/>
      <c r="AG318" s="142"/>
      <c r="AH318" s="142"/>
      <c r="AI318" s="142"/>
      <c r="AJ318" s="140"/>
      <c r="AK318" s="456"/>
      <c r="AL318" s="142"/>
      <c r="AM318" s="142"/>
      <c r="AN318" s="142"/>
      <c r="AO318" s="438"/>
      <c r="AP318" s="438"/>
      <c r="AQ318" s="438"/>
      <c r="AR318" s="438"/>
      <c r="AS318" s="438"/>
      <c r="AT318" s="438"/>
      <c r="AU318" s="438"/>
      <c r="AV318" s="438"/>
      <c r="AW318" s="438"/>
      <c r="AX318" s="438"/>
      <c r="AY318" s="438"/>
      <c r="AZ318" s="438"/>
      <c r="BA318" s="438"/>
      <c r="BB318" s="438"/>
      <c r="BC318" s="438"/>
      <c r="BD318" s="438"/>
      <c r="BE318" s="438"/>
      <c r="BF318" s="438"/>
      <c r="BG318" s="438"/>
      <c r="BH318" s="438"/>
    </row>
    <row r="319">
      <c r="A319" s="140"/>
      <c r="B319" s="456"/>
      <c r="C319" s="142"/>
      <c r="D319" s="142"/>
      <c r="E319" s="142"/>
      <c r="F319" s="140"/>
      <c r="G319" s="456"/>
      <c r="H319" s="142"/>
      <c r="I319" s="142"/>
      <c r="J319" s="142"/>
      <c r="K319" s="125"/>
      <c r="L319" s="456"/>
      <c r="M319" s="142"/>
      <c r="N319" s="142"/>
      <c r="O319" s="142"/>
      <c r="P319" s="125"/>
      <c r="Q319" s="450"/>
      <c r="R319" s="142"/>
      <c r="S319" s="142"/>
      <c r="T319" s="142"/>
      <c r="U319" s="140"/>
      <c r="V319" s="456"/>
      <c r="W319" s="142"/>
      <c r="X319" s="142"/>
      <c r="Y319" s="142"/>
      <c r="Z319" s="140"/>
      <c r="AA319" s="456"/>
      <c r="AB319" s="142"/>
      <c r="AC319" s="142"/>
      <c r="AD319" s="142"/>
      <c r="AE319" s="140"/>
      <c r="AF319" s="456"/>
      <c r="AG319" s="142"/>
      <c r="AH319" s="142"/>
      <c r="AI319" s="142"/>
      <c r="AJ319" s="140"/>
      <c r="AK319" s="456"/>
      <c r="AL319" s="142"/>
      <c r="AM319" s="142"/>
      <c r="AN319" s="142"/>
      <c r="AO319" s="438"/>
      <c r="AP319" s="438"/>
      <c r="AQ319" s="438"/>
      <c r="AR319" s="438"/>
      <c r="AS319" s="438"/>
      <c r="AT319" s="438"/>
      <c r="AU319" s="438"/>
      <c r="AV319" s="438"/>
      <c r="AW319" s="438"/>
      <c r="AX319" s="438"/>
      <c r="AY319" s="438"/>
      <c r="AZ319" s="438"/>
      <c r="BA319" s="438"/>
      <c r="BB319" s="438"/>
      <c r="BC319" s="438"/>
      <c r="BD319" s="438"/>
      <c r="BE319" s="438"/>
      <c r="BF319" s="438"/>
      <c r="BG319" s="438"/>
      <c r="BH319" s="438"/>
    </row>
    <row r="320">
      <c r="A320" s="140"/>
      <c r="B320" s="456"/>
      <c r="C320" s="142"/>
      <c r="D320" s="142"/>
      <c r="E320" s="142"/>
      <c r="F320" s="140"/>
      <c r="G320" s="456"/>
      <c r="H320" s="142"/>
      <c r="I320" s="142"/>
      <c r="J320" s="142"/>
      <c r="K320" s="125"/>
      <c r="L320" s="456"/>
      <c r="M320" s="142"/>
      <c r="N320" s="142"/>
      <c r="O320" s="142"/>
      <c r="P320" s="125"/>
      <c r="Q320" s="450"/>
      <c r="R320" s="142"/>
      <c r="S320" s="142"/>
      <c r="T320" s="142"/>
      <c r="U320" s="140"/>
      <c r="V320" s="456"/>
      <c r="W320" s="142"/>
      <c r="X320" s="142"/>
      <c r="Y320" s="142"/>
      <c r="Z320" s="140"/>
      <c r="AA320" s="456"/>
      <c r="AB320" s="142"/>
      <c r="AC320" s="142"/>
      <c r="AD320" s="142"/>
      <c r="AE320" s="140"/>
      <c r="AF320" s="456"/>
      <c r="AG320" s="142"/>
      <c r="AH320" s="142"/>
      <c r="AI320" s="142"/>
      <c r="AJ320" s="140"/>
      <c r="AK320" s="456"/>
      <c r="AL320" s="142"/>
      <c r="AM320" s="142"/>
      <c r="AN320" s="142"/>
      <c r="AO320" s="438"/>
      <c r="AP320" s="438"/>
      <c r="AQ320" s="438"/>
      <c r="AR320" s="438"/>
      <c r="AS320" s="438"/>
      <c r="AT320" s="438"/>
      <c r="AU320" s="438"/>
      <c r="AV320" s="438"/>
      <c r="AW320" s="438"/>
      <c r="AX320" s="438"/>
      <c r="AY320" s="438"/>
      <c r="AZ320" s="438"/>
      <c r="BA320" s="438"/>
      <c r="BB320" s="438"/>
      <c r="BC320" s="438"/>
      <c r="BD320" s="438"/>
      <c r="BE320" s="438"/>
      <c r="BF320" s="438"/>
      <c r="BG320" s="438"/>
      <c r="BH320" s="438"/>
    </row>
    <row r="321">
      <c r="A321" s="140"/>
      <c r="B321" s="456"/>
      <c r="C321" s="142"/>
      <c r="D321" s="142"/>
      <c r="E321" s="142"/>
      <c r="F321" s="140"/>
      <c r="G321" s="456"/>
      <c r="H321" s="142"/>
      <c r="I321" s="142"/>
      <c r="J321" s="142"/>
      <c r="K321" s="125"/>
      <c r="L321" s="456"/>
      <c r="M321" s="142"/>
      <c r="N321" s="142"/>
      <c r="O321" s="142"/>
      <c r="P321" s="125"/>
      <c r="Q321" s="450"/>
      <c r="R321" s="142"/>
      <c r="S321" s="142"/>
      <c r="T321" s="142"/>
      <c r="U321" s="140"/>
      <c r="V321" s="456"/>
      <c r="W321" s="142"/>
      <c r="X321" s="142"/>
      <c r="Y321" s="142"/>
      <c r="Z321" s="140"/>
      <c r="AA321" s="456"/>
      <c r="AB321" s="142"/>
      <c r="AC321" s="142"/>
      <c r="AD321" s="142"/>
      <c r="AE321" s="140"/>
      <c r="AF321" s="456"/>
      <c r="AG321" s="142"/>
      <c r="AH321" s="142"/>
      <c r="AI321" s="142"/>
      <c r="AJ321" s="140"/>
      <c r="AK321" s="456"/>
      <c r="AL321" s="142"/>
      <c r="AM321" s="142"/>
      <c r="AN321" s="142"/>
      <c r="AO321" s="438"/>
      <c r="AP321" s="438"/>
      <c r="AQ321" s="438"/>
      <c r="AR321" s="438"/>
      <c r="AS321" s="438"/>
      <c r="AT321" s="438"/>
      <c r="AU321" s="438"/>
      <c r="AV321" s="438"/>
      <c r="AW321" s="438"/>
      <c r="AX321" s="438"/>
      <c r="AY321" s="438"/>
      <c r="AZ321" s="438"/>
      <c r="BA321" s="438"/>
      <c r="BB321" s="438"/>
      <c r="BC321" s="438"/>
      <c r="BD321" s="438"/>
      <c r="BE321" s="438"/>
      <c r="BF321" s="438"/>
      <c r="BG321" s="438"/>
      <c r="BH321" s="438"/>
    </row>
    <row r="322">
      <c r="A322" s="140"/>
      <c r="B322" s="456"/>
      <c r="C322" s="142"/>
      <c r="D322" s="142"/>
      <c r="E322" s="142"/>
      <c r="F322" s="140"/>
      <c r="G322" s="456"/>
      <c r="H322" s="142"/>
      <c r="I322" s="142"/>
      <c r="J322" s="142"/>
      <c r="K322" s="125"/>
      <c r="L322" s="456"/>
      <c r="M322" s="142"/>
      <c r="N322" s="142"/>
      <c r="O322" s="142"/>
      <c r="P322" s="125"/>
      <c r="Q322" s="450"/>
      <c r="R322" s="142"/>
      <c r="S322" s="142"/>
      <c r="T322" s="142"/>
      <c r="U322" s="140"/>
      <c r="V322" s="456"/>
      <c r="W322" s="142"/>
      <c r="X322" s="142"/>
      <c r="Y322" s="142"/>
      <c r="Z322" s="140"/>
      <c r="AA322" s="456"/>
      <c r="AB322" s="142"/>
      <c r="AC322" s="142"/>
      <c r="AD322" s="142"/>
      <c r="AE322" s="140"/>
      <c r="AF322" s="456"/>
      <c r="AG322" s="142"/>
      <c r="AH322" s="142"/>
      <c r="AI322" s="142"/>
      <c r="AJ322" s="140"/>
      <c r="AK322" s="456"/>
      <c r="AL322" s="142"/>
      <c r="AM322" s="142"/>
      <c r="AN322" s="142"/>
      <c r="AO322" s="438"/>
      <c r="AP322" s="438"/>
      <c r="AQ322" s="438"/>
      <c r="AR322" s="438"/>
      <c r="AS322" s="438"/>
      <c r="AT322" s="438"/>
      <c r="AU322" s="438"/>
      <c r="AV322" s="438"/>
      <c r="AW322" s="438"/>
      <c r="AX322" s="438"/>
      <c r="AY322" s="438"/>
      <c r="AZ322" s="438"/>
      <c r="BA322" s="438"/>
      <c r="BB322" s="438"/>
      <c r="BC322" s="438"/>
      <c r="BD322" s="438"/>
      <c r="BE322" s="438"/>
      <c r="BF322" s="438"/>
      <c r="BG322" s="438"/>
      <c r="BH322" s="438"/>
    </row>
    <row r="323">
      <c r="A323" s="140"/>
      <c r="B323" s="456"/>
      <c r="C323" s="142"/>
      <c r="D323" s="142"/>
      <c r="E323" s="142"/>
      <c r="F323" s="140"/>
      <c r="G323" s="456"/>
      <c r="H323" s="142"/>
      <c r="I323" s="142"/>
      <c r="J323" s="142"/>
      <c r="K323" s="125"/>
      <c r="L323" s="456"/>
      <c r="M323" s="142"/>
      <c r="N323" s="142"/>
      <c r="O323" s="142"/>
      <c r="P323" s="125"/>
      <c r="Q323" s="450"/>
      <c r="R323" s="142"/>
      <c r="S323" s="142"/>
      <c r="T323" s="142"/>
      <c r="U323" s="140"/>
      <c r="V323" s="456"/>
      <c r="W323" s="142"/>
      <c r="X323" s="142"/>
      <c r="Y323" s="142"/>
      <c r="Z323" s="140"/>
      <c r="AA323" s="456"/>
      <c r="AB323" s="142"/>
      <c r="AC323" s="142"/>
      <c r="AD323" s="142"/>
      <c r="AE323" s="140"/>
      <c r="AF323" s="456"/>
      <c r="AG323" s="142"/>
      <c r="AH323" s="142"/>
      <c r="AI323" s="142"/>
      <c r="AJ323" s="140"/>
      <c r="AK323" s="456"/>
      <c r="AL323" s="142"/>
      <c r="AM323" s="142"/>
      <c r="AN323" s="142"/>
      <c r="AO323" s="438"/>
      <c r="AP323" s="438"/>
      <c r="AQ323" s="438"/>
      <c r="AR323" s="438"/>
      <c r="AS323" s="438"/>
      <c r="AT323" s="438"/>
      <c r="AU323" s="438"/>
      <c r="AV323" s="438"/>
      <c r="AW323" s="438"/>
      <c r="AX323" s="438"/>
      <c r="AY323" s="438"/>
      <c r="AZ323" s="438"/>
      <c r="BA323" s="438"/>
      <c r="BB323" s="438"/>
      <c r="BC323" s="438"/>
      <c r="BD323" s="438"/>
      <c r="BE323" s="438"/>
      <c r="BF323" s="438"/>
      <c r="BG323" s="438"/>
      <c r="BH323" s="438"/>
    </row>
    <row r="324">
      <c r="A324" s="140"/>
      <c r="B324" s="456"/>
      <c r="C324" s="142"/>
      <c r="D324" s="142"/>
      <c r="E324" s="142"/>
      <c r="F324" s="140"/>
      <c r="G324" s="456"/>
      <c r="H324" s="142"/>
      <c r="I324" s="142"/>
      <c r="J324" s="142"/>
      <c r="K324" s="125"/>
      <c r="L324" s="456"/>
      <c r="M324" s="142"/>
      <c r="N324" s="142"/>
      <c r="O324" s="142"/>
      <c r="P324" s="125"/>
      <c r="Q324" s="450"/>
      <c r="R324" s="142"/>
      <c r="S324" s="142"/>
      <c r="T324" s="142"/>
      <c r="U324" s="140"/>
      <c r="V324" s="456"/>
      <c r="W324" s="142"/>
      <c r="X324" s="142"/>
      <c r="Y324" s="142"/>
      <c r="Z324" s="140"/>
      <c r="AA324" s="456"/>
      <c r="AB324" s="142"/>
      <c r="AC324" s="142"/>
      <c r="AD324" s="142"/>
      <c r="AE324" s="140"/>
      <c r="AF324" s="456"/>
      <c r="AG324" s="142"/>
      <c r="AH324" s="142"/>
      <c r="AI324" s="142"/>
      <c r="AJ324" s="140"/>
      <c r="AK324" s="456"/>
      <c r="AL324" s="142"/>
      <c r="AM324" s="142"/>
      <c r="AN324" s="142"/>
      <c r="AO324" s="438"/>
      <c r="AP324" s="438"/>
      <c r="AQ324" s="438"/>
      <c r="AR324" s="438"/>
      <c r="AS324" s="438"/>
      <c r="AT324" s="438"/>
      <c r="AU324" s="438"/>
      <c r="AV324" s="438"/>
      <c r="AW324" s="438"/>
      <c r="AX324" s="438"/>
      <c r="AY324" s="438"/>
      <c r="AZ324" s="438"/>
      <c r="BA324" s="438"/>
      <c r="BB324" s="438"/>
      <c r="BC324" s="438"/>
      <c r="BD324" s="438"/>
      <c r="BE324" s="438"/>
      <c r="BF324" s="438"/>
      <c r="BG324" s="438"/>
      <c r="BH324" s="438"/>
    </row>
    <row r="325">
      <c r="A325" s="140"/>
      <c r="B325" s="456"/>
      <c r="C325" s="142"/>
      <c r="D325" s="142"/>
      <c r="E325" s="142"/>
      <c r="F325" s="140"/>
      <c r="G325" s="456"/>
      <c r="H325" s="142"/>
      <c r="I325" s="142"/>
      <c r="J325" s="142"/>
      <c r="K325" s="125"/>
      <c r="L325" s="456"/>
      <c r="M325" s="142"/>
      <c r="N325" s="142"/>
      <c r="O325" s="142"/>
      <c r="P325" s="125"/>
      <c r="Q325" s="450"/>
      <c r="R325" s="142"/>
      <c r="S325" s="142"/>
      <c r="T325" s="142"/>
      <c r="U325" s="140"/>
      <c r="V325" s="456"/>
      <c r="W325" s="142"/>
      <c r="X325" s="142"/>
      <c r="Y325" s="142"/>
      <c r="Z325" s="140"/>
      <c r="AA325" s="456"/>
      <c r="AB325" s="142"/>
      <c r="AC325" s="142"/>
      <c r="AD325" s="142"/>
      <c r="AE325" s="140"/>
      <c r="AF325" s="456"/>
      <c r="AG325" s="142"/>
      <c r="AH325" s="142"/>
      <c r="AI325" s="142"/>
      <c r="AJ325" s="140"/>
      <c r="AK325" s="456"/>
      <c r="AL325" s="142"/>
      <c r="AM325" s="142"/>
      <c r="AN325" s="142"/>
      <c r="AO325" s="438"/>
      <c r="AP325" s="438"/>
      <c r="AQ325" s="438"/>
      <c r="AR325" s="438"/>
      <c r="AS325" s="438"/>
      <c r="AT325" s="438"/>
      <c r="AU325" s="438"/>
      <c r="AV325" s="438"/>
      <c r="AW325" s="438"/>
      <c r="AX325" s="438"/>
      <c r="AY325" s="438"/>
      <c r="AZ325" s="438"/>
      <c r="BA325" s="438"/>
      <c r="BB325" s="438"/>
      <c r="BC325" s="438"/>
      <c r="BD325" s="438"/>
      <c r="BE325" s="438"/>
      <c r="BF325" s="438"/>
      <c r="BG325" s="438"/>
      <c r="BH325" s="438"/>
    </row>
    <row r="326">
      <c r="A326" s="140"/>
      <c r="B326" s="456"/>
      <c r="C326" s="142"/>
      <c r="D326" s="142"/>
      <c r="E326" s="142"/>
      <c r="F326" s="140"/>
      <c r="G326" s="456"/>
      <c r="H326" s="142"/>
      <c r="I326" s="142"/>
      <c r="J326" s="142"/>
      <c r="K326" s="125"/>
      <c r="L326" s="456"/>
      <c r="M326" s="142"/>
      <c r="N326" s="142"/>
      <c r="O326" s="142"/>
      <c r="P326" s="125"/>
      <c r="Q326" s="450"/>
      <c r="R326" s="142"/>
      <c r="S326" s="142"/>
      <c r="T326" s="142"/>
      <c r="U326" s="140"/>
      <c r="V326" s="456"/>
      <c r="W326" s="142"/>
      <c r="X326" s="142"/>
      <c r="Y326" s="142"/>
      <c r="Z326" s="140"/>
      <c r="AA326" s="456"/>
      <c r="AB326" s="142"/>
      <c r="AC326" s="142"/>
      <c r="AD326" s="142"/>
      <c r="AE326" s="140"/>
      <c r="AF326" s="456"/>
      <c r="AG326" s="142"/>
      <c r="AH326" s="142"/>
      <c r="AI326" s="142"/>
      <c r="AJ326" s="140"/>
      <c r="AK326" s="456"/>
      <c r="AL326" s="142"/>
      <c r="AM326" s="142"/>
      <c r="AN326" s="142"/>
      <c r="AO326" s="438"/>
      <c r="AP326" s="438"/>
      <c r="AQ326" s="438"/>
      <c r="AR326" s="438"/>
      <c r="AS326" s="438"/>
      <c r="AT326" s="438"/>
      <c r="AU326" s="438"/>
      <c r="AV326" s="438"/>
      <c r="AW326" s="438"/>
      <c r="AX326" s="438"/>
      <c r="AY326" s="438"/>
      <c r="AZ326" s="438"/>
      <c r="BA326" s="438"/>
      <c r="BB326" s="438"/>
      <c r="BC326" s="438"/>
      <c r="BD326" s="438"/>
      <c r="BE326" s="438"/>
      <c r="BF326" s="438"/>
      <c r="BG326" s="438"/>
      <c r="BH326" s="438"/>
    </row>
    <row r="327">
      <c r="A327" s="140"/>
      <c r="B327" s="456"/>
      <c r="C327" s="142"/>
      <c r="D327" s="142"/>
      <c r="E327" s="142"/>
      <c r="F327" s="140"/>
      <c r="G327" s="456"/>
      <c r="H327" s="142"/>
      <c r="I327" s="142"/>
      <c r="J327" s="142"/>
      <c r="K327" s="125"/>
      <c r="L327" s="456"/>
      <c r="M327" s="142"/>
      <c r="N327" s="142"/>
      <c r="O327" s="142"/>
      <c r="P327" s="125"/>
      <c r="Q327" s="450"/>
      <c r="R327" s="142"/>
      <c r="S327" s="142"/>
      <c r="T327" s="142"/>
      <c r="U327" s="140"/>
      <c r="V327" s="456"/>
      <c r="W327" s="142"/>
      <c r="X327" s="142"/>
      <c r="Y327" s="142"/>
      <c r="Z327" s="140"/>
      <c r="AA327" s="456"/>
      <c r="AB327" s="142"/>
      <c r="AC327" s="142"/>
      <c r="AD327" s="142"/>
      <c r="AE327" s="140"/>
      <c r="AF327" s="456"/>
      <c r="AG327" s="142"/>
      <c r="AH327" s="142"/>
      <c r="AI327" s="142"/>
      <c r="AJ327" s="140"/>
      <c r="AK327" s="456"/>
      <c r="AL327" s="142"/>
      <c r="AM327" s="142"/>
      <c r="AN327" s="142"/>
      <c r="AO327" s="438"/>
      <c r="AP327" s="438"/>
      <c r="AQ327" s="438"/>
      <c r="AR327" s="438"/>
      <c r="AS327" s="438"/>
      <c r="AT327" s="438"/>
      <c r="AU327" s="438"/>
      <c r="AV327" s="438"/>
      <c r="AW327" s="438"/>
      <c r="AX327" s="438"/>
      <c r="AY327" s="438"/>
      <c r="AZ327" s="438"/>
      <c r="BA327" s="438"/>
      <c r="BB327" s="438"/>
      <c r="BC327" s="438"/>
      <c r="BD327" s="438"/>
      <c r="BE327" s="438"/>
      <c r="BF327" s="438"/>
      <c r="BG327" s="438"/>
      <c r="BH327" s="438"/>
    </row>
    <row r="328">
      <c r="A328" s="140"/>
      <c r="B328" s="456"/>
      <c r="C328" s="142"/>
      <c r="D328" s="142"/>
      <c r="E328" s="142"/>
      <c r="F328" s="140"/>
      <c r="G328" s="456"/>
      <c r="H328" s="142"/>
      <c r="I328" s="142"/>
      <c r="J328" s="142"/>
      <c r="K328" s="125"/>
      <c r="L328" s="456"/>
      <c r="M328" s="142"/>
      <c r="N328" s="142"/>
      <c r="O328" s="142"/>
      <c r="P328" s="125"/>
      <c r="Q328" s="450"/>
      <c r="R328" s="142"/>
      <c r="S328" s="142"/>
      <c r="T328" s="142"/>
      <c r="U328" s="140"/>
      <c r="V328" s="456"/>
      <c r="W328" s="142"/>
      <c r="X328" s="142"/>
      <c r="Y328" s="142"/>
      <c r="Z328" s="140"/>
      <c r="AA328" s="456"/>
      <c r="AB328" s="142"/>
      <c r="AC328" s="142"/>
      <c r="AD328" s="142"/>
      <c r="AE328" s="140"/>
      <c r="AF328" s="456"/>
      <c r="AG328" s="142"/>
      <c r="AH328" s="142"/>
      <c r="AI328" s="142"/>
      <c r="AJ328" s="140"/>
      <c r="AK328" s="456"/>
      <c r="AL328" s="142"/>
      <c r="AM328" s="142"/>
      <c r="AN328" s="142"/>
      <c r="AO328" s="438"/>
      <c r="AP328" s="438"/>
      <c r="AQ328" s="438"/>
      <c r="AR328" s="438"/>
      <c r="AS328" s="438"/>
      <c r="AT328" s="438"/>
      <c r="AU328" s="438"/>
      <c r="AV328" s="438"/>
      <c r="AW328" s="438"/>
      <c r="AX328" s="438"/>
      <c r="AY328" s="438"/>
      <c r="AZ328" s="438"/>
      <c r="BA328" s="438"/>
      <c r="BB328" s="438"/>
      <c r="BC328" s="438"/>
      <c r="BD328" s="438"/>
      <c r="BE328" s="438"/>
      <c r="BF328" s="438"/>
      <c r="BG328" s="438"/>
      <c r="BH328" s="438"/>
    </row>
    <row r="329">
      <c r="A329" s="140"/>
      <c r="B329" s="456"/>
      <c r="C329" s="142"/>
      <c r="D329" s="142"/>
      <c r="E329" s="142"/>
      <c r="F329" s="140"/>
      <c r="G329" s="456"/>
      <c r="H329" s="142"/>
      <c r="I329" s="142"/>
      <c r="J329" s="142"/>
      <c r="K329" s="125"/>
      <c r="L329" s="456"/>
      <c r="M329" s="142"/>
      <c r="N329" s="142"/>
      <c r="O329" s="142"/>
      <c r="P329" s="125"/>
      <c r="Q329" s="450"/>
      <c r="R329" s="142"/>
      <c r="S329" s="142"/>
      <c r="T329" s="142"/>
      <c r="U329" s="140"/>
      <c r="V329" s="456"/>
      <c r="W329" s="142"/>
      <c r="X329" s="142"/>
      <c r="Y329" s="142"/>
      <c r="Z329" s="140"/>
      <c r="AA329" s="456"/>
      <c r="AB329" s="142"/>
      <c r="AC329" s="142"/>
      <c r="AD329" s="142"/>
      <c r="AE329" s="140"/>
      <c r="AF329" s="456"/>
      <c r="AG329" s="142"/>
      <c r="AH329" s="142"/>
      <c r="AI329" s="142"/>
      <c r="AJ329" s="140"/>
      <c r="AK329" s="456"/>
      <c r="AL329" s="142"/>
      <c r="AM329" s="142"/>
      <c r="AN329" s="142"/>
      <c r="AO329" s="438"/>
      <c r="AP329" s="438"/>
      <c r="AQ329" s="438"/>
      <c r="AR329" s="438"/>
      <c r="AS329" s="438"/>
      <c r="AT329" s="438"/>
      <c r="AU329" s="438"/>
      <c r="AV329" s="438"/>
      <c r="AW329" s="438"/>
      <c r="AX329" s="438"/>
      <c r="AY329" s="438"/>
      <c r="AZ329" s="438"/>
      <c r="BA329" s="438"/>
      <c r="BB329" s="438"/>
      <c r="BC329" s="438"/>
      <c r="BD329" s="438"/>
      <c r="BE329" s="438"/>
      <c r="BF329" s="438"/>
      <c r="BG329" s="438"/>
      <c r="BH329" s="438"/>
    </row>
    <row r="330">
      <c r="A330" s="140"/>
      <c r="B330" s="456"/>
      <c r="C330" s="142"/>
      <c r="D330" s="142"/>
      <c r="E330" s="142"/>
      <c r="F330" s="140"/>
      <c r="G330" s="456"/>
      <c r="H330" s="142"/>
      <c r="I330" s="142"/>
      <c r="J330" s="142"/>
      <c r="K330" s="125"/>
      <c r="L330" s="456"/>
      <c r="M330" s="142"/>
      <c r="N330" s="142"/>
      <c r="O330" s="142"/>
      <c r="P330" s="125"/>
      <c r="Q330" s="450"/>
      <c r="R330" s="142"/>
      <c r="S330" s="142"/>
      <c r="T330" s="142"/>
      <c r="U330" s="140"/>
      <c r="V330" s="456"/>
      <c r="W330" s="142"/>
      <c r="X330" s="142"/>
      <c r="Y330" s="142"/>
      <c r="Z330" s="140"/>
      <c r="AA330" s="456"/>
      <c r="AB330" s="142"/>
      <c r="AC330" s="142"/>
      <c r="AD330" s="142"/>
      <c r="AE330" s="140"/>
      <c r="AF330" s="456"/>
      <c r="AG330" s="142"/>
      <c r="AH330" s="142"/>
      <c r="AI330" s="142"/>
      <c r="AJ330" s="140"/>
      <c r="AK330" s="456"/>
      <c r="AL330" s="142"/>
      <c r="AM330" s="142"/>
      <c r="AN330" s="142"/>
      <c r="AO330" s="438"/>
      <c r="AP330" s="438"/>
      <c r="AQ330" s="438"/>
      <c r="AR330" s="438"/>
      <c r="AS330" s="438"/>
      <c r="AT330" s="438"/>
      <c r="AU330" s="438"/>
      <c r="AV330" s="438"/>
      <c r="AW330" s="438"/>
      <c r="AX330" s="438"/>
      <c r="AY330" s="438"/>
      <c r="AZ330" s="438"/>
      <c r="BA330" s="438"/>
      <c r="BB330" s="438"/>
      <c r="BC330" s="438"/>
      <c r="BD330" s="438"/>
      <c r="BE330" s="438"/>
      <c r="BF330" s="438"/>
      <c r="BG330" s="438"/>
      <c r="BH330" s="438"/>
    </row>
    <row r="331">
      <c r="A331" s="140"/>
      <c r="B331" s="456"/>
      <c r="C331" s="142"/>
      <c r="D331" s="142"/>
      <c r="E331" s="142"/>
      <c r="F331" s="140"/>
      <c r="G331" s="456"/>
      <c r="H331" s="142"/>
      <c r="I331" s="142"/>
      <c r="J331" s="142"/>
      <c r="K331" s="125"/>
      <c r="L331" s="456"/>
      <c r="M331" s="142"/>
      <c r="N331" s="142"/>
      <c r="O331" s="142"/>
      <c r="P331" s="125"/>
      <c r="Q331" s="450"/>
      <c r="R331" s="142"/>
      <c r="S331" s="142"/>
      <c r="T331" s="142"/>
      <c r="U331" s="140"/>
      <c r="V331" s="456"/>
      <c r="W331" s="142"/>
      <c r="X331" s="142"/>
      <c r="Y331" s="142"/>
      <c r="Z331" s="140"/>
      <c r="AA331" s="456"/>
      <c r="AB331" s="142"/>
      <c r="AC331" s="142"/>
      <c r="AD331" s="142"/>
      <c r="AE331" s="140"/>
      <c r="AF331" s="456"/>
      <c r="AG331" s="142"/>
      <c r="AH331" s="142"/>
      <c r="AI331" s="142"/>
      <c r="AJ331" s="140"/>
      <c r="AK331" s="456"/>
      <c r="AL331" s="142"/>
      <c r="AM331" s="142"/>
      <c r="AN331" s="142"/>
      <c r="AO331" s="438"/>
      <c r="AP331" s="438"/>
      <c r="AQ331" s="438"/>
      <c r="AR331" s="438"/>
      <c r="AS331" s="438"/>
      <c r="AT331" s="438"/>
      <c r="AU331" s="438"/>
      <c r="AV331" s="438"/>
      <c r="AW331" s="438"/>
      <c r="AX331" s="438"/>
      <c r="AY331" s="438"/>
      <c r="AZ331" s="438"/>
      <c r="BA331" s="438"/>
      <c r="BB331" s="438"/>
      <c r="BC331" s="438"/>
      <c r="BD331" s="438"/>
      <c r="BE331" s="438"/>
      <c r="BF331" s="438"/>
      <c r="BG331" s="438"/>
      <c r="BH331" s="438"/>
    </row>
    <row r="332">
      <c r="A332" s="140"/>
      <c r="B332" s="456"/>
      <c r="C332" s="142"/>
      <c r="D332" s="142"/>
      <c r="E332" s="142"/>
      <c r="F332" s="140"/>
      <c r="G332" s="456"/>
      <c r="H332" s="142"/>
      <c r="I332" s="142"/>
      <c r="J332" s="142"/>
      <c r="K332" s="125"/>
      <c r="L332" s="456"/>
      <c r="M332" s="142"/>
      <c r="N332" s="142"/>
      <c r="O332" s="142"/>
      <c r="P332" s="125"/>
      <c r="Q332" s="450"/>
      <c r="R332" s="142"/>
      <c r="S332" s="142"/>
      <c r="T332" s="142"/>
      <c r="U332" s="140"/>
      <c r="V332" s="456"/>
      <c r="W332" s="142"/>
      <c r="X332" s="142"/>
      <c r="Y332" s="142"/>
      <c r="Z332" s="140"/>
      <c r="AA332" s="456"/>
      <c r="AB332" s="142"/>
      <c r="AC332" s="142"/>
      <c r="AD332" s="142"/>
      <c r="AE332" s="140"/>
      <c r="AF332" s="456"/>
      <c r="AG332" s="142"/>
      <c r="AH332" s="142"/>
      <c r="AI332" s="142"/>
      <c r="AJ332" s="140"/>
      <c r="AK332" s="456"/>
      <c r="AL332" s="142"/>
      <c r="AM332" s="142"/>
      <c r="AN332" s="142"/>
      <c r="AO332" s="438"/>
      <c r="AP332" s="438"/>
      <c r="AQ332" s="438"/>
      <c r="AR332" s="438"/>
      <c r="AS332" s="438"/>
      <c r="AT332" s="438"/>
      <c r="AU332" s="438"/>
      <c r="AV332" s="438"/>
      <c r="AW332" s="438"/>
      <c r="AX332" s="438"/>
      <c r="AY332" s="438"/>
      <c r="AZ332" s="438"/>
      <c r="BA332" s="438"/>
      <c r="BB332" s="438"/>
      <c r="BC332" s="438"/>
      <c r="BD332" s="438"/>
      <c r="BE332" s="438"/>
      <c r="BF332" s="438"/>
      <c r="BG332" s="438"/>
      <c r="BH332" s="438"/>
    </row>
    <row r="333">
      <c r="A333" s="140"/>
      <c r="B333" s="456"/>
      <c r="C333" s="142"/>
      <c r="D333" s="142"/>
      <c r="E333" s="142"/>
      <c r="F333" s="140"/>
      <c r="G333" s="456"/>
      <c r="H333" s="142"/>
      <c r="I333" s="142"/>
      <c r="J333" s="142"/>
      <c r="K333" s="125"/>
      <c r="L333" s="456"/>
      <c r="M333" s="142"/>
      <c r="N333" s="142"/>
      <c r="O333" s="142"/>
      <c r="P333" s="125"/>
      <c r="Q333" s="450"/>
      <c r="R333" s="142"/>
      <c r="S333" s="142"/>
      <c r="T333" s="142"/>
      <c r="U333" s="140"/>
      <c r="V333" s="456"/>
      <c r="W333" s="142"/>
      <c r="X333" s="142"/>
      <c r="Y333" s="142"/>
      <c r="Z333" s="140"/>
      <c r="AA333" s="456"/>
      <c r="AB333" s="142"/>
      <c r="AC333" s="142"/>
      <c r="AD333" s="142"/>
      <c r="AE333" s="140"/>
      <c r="AF333" s="456"/>
      <c r="AG333" s="142"/>
      <c r="AH333" s="142"/>
      <c r="AI333" s="142"/>
      <c r="AJ333" s="140"/>
      <c r="AK333" s="456"/>
      <c r="AL333" s="142"/>
      <c r="AM333" s="142"/>
      <c r="AN333" s="142"/>
      <c r="AO333" s="438"/>
      <c r="AP333" s="438"/>
      <c r="AQ333" s="438"/>
      <c r="AR333" s="438"/>
      <c r="AS333" s="438"/>
      <c r="AT333" s="438"/>
      <c r="AU333" s="438"/>
      <c r="AV333" s="438"/>
      <c r="AW333" s="438"/>
      <c r="AX333" s="438"/>
      <c r="AY333" s="438"/>
      <c r="AZ333" s="438"/>
      <c r="BA333" s="438"/>
      <c r="BB333" s="438"/>
      <c r="BC333" s="438"/>
      <c r="BD333" s="438"/>
      <c r="BE333" s="438"/>
      <c r="BF333" s="438"/>
      <c r="BG333" s="438"/>
      <c r="BH333" s="438"/>
    </row>
    <row r="334">
      <c r="A334" s="140"/>
      <c r="B334" s="456"/>
      <c r="C334" s="142"/>
      <c r="D334" s="142"/>
      <c r="E334" s="142"/>
      <c r="F334" s="140"/>
      <c r="G334" s="456"/>
      <c r="H334" s="142"/>
      <c r="I334" s="142"/>
      <c r="J334" s="142"/>
      <c r="K334" s="125"/>
      <c r="L334" s="456"/>
      <c r="M334" s="142"/>
      <c r="N334" s="142"/>
      <c r="O334" s="142"/>
      <c r="P334" s="125"/>
      <c r="Q334" s="450"/>
      <c r="R334" s="142"/>
      <c r="S334" s="142"/>
      <c r="T334" s="142"/>
      <c r="U334" s="140"/>
      <c r="V334" s="456"/>
      <c r="W334" s="142"/>
      <c r="X334" s="142"/>
      <c r="Y334" s="142"/>
      <c r="Z334" s="140"/>
      <c r="AA334" s="456"/>
      <c r="AB334" s="142"/>
      <c r="AC334" s="142"/>
      <c r="AD334" s="142"/>
      <c r="AE334" s="140"/>
      <c r="AF334" s="456"/>
      <c r="AG334" s="142"/>
      <c r="AH334" s="142"/>
      <c r="AI334" s="142"/>
      <c r="AJ334" s="140"/>
      <c r="AK334" s="456"/>
      <c r="AL334" s="142"/>
      <c r="AM334" s="142"/>
      <c r="AN334" s="142"/>
      <c r="AO334" s="438"/>
      <c r="AP334" s="438"/>
      <c r="AQ334" s="438"/>
      <c r="AR334" s="438"/>
      <c r="AS334" s="438"/>
      <c r="AT334" s="438"/>
      <c r="AU334" s="438"/>
      <c r="AV334" s="438"/>
      <c r="AW334" s="438"/>
      <c r="AX334" s="438"/>
      <c r="AY334" s="438"/>
      <c r="AZ334" s="438"/>
      <c r="BA334" s="438"/>
      <c r="BB334" s="438"/>
      <c r="BC334" s="438"/>
      <c r="BD334" s="438"/>
      <c r="BE334" s="438"/>
      <c r="BF334" s="438"/>
      <c r="BG334" s="438"/>
      <c r="BH334" s="438"/>
    </row>
    <row r="335">
      <c r="A335" s="140"/>
      <c r="B335" s="456"/>
      <c r="C335" s="142"/>
      <c r="D335" s="142"/>
      <c r="E335" s="142"/>
      <c r="F335" s="140"/>
      <c r="G335" s="456"/>
      <c r="H335" s="142"/>
      <c r="I335" s="142"/>
      <c r="J335" s="142"/>
      <c r="K335" s="125"/>
      <c r="L335" s="456"/>
      <c r="M335" s="142"/>
      <c r="N335" s="142"/>
      <c r="O335" s="142"/>
      <c r="P335" s="125"/>
      <c r="Q335" s="450"/>
      <c r="R335" s="142"/>
      <c r="S335" s="142"/>
      <c r="T335" s="142"/>
      <c r="U335" s="140"/>
      <c r="V335" s="456"/>
      <c r="W335" s="142"/>
      <c r="X335" s="142"/>
      <c r="Y335" s="142"/>
      <c r="Z335" s="140"/>
      <c r="AA335" s="456"/>
      <c r="AB335" s="142"/>
      <c r="AC335" s="142"/>
      <c r="AD335" s="142"/>
      <c r="AE335" s="140"/>
      <c r="AF335" s="456"/>
      <c r="AG335" s="142"/>
      <c r="AH335" s="142"/>
      <c r="AI335" s="142"/>
      <c r="AJ335" s="140"/>
      <c r="AK335" s="456"/>
      <c r="AL335" s="142"/>
      <c r="AM335" s="142"/>
      <c r="AN335" s="142"/>
      <c r="AO335" s="438"/>
      <c r="AP335" s="438"/>
      <c r="AQ335" s="438"/>
      <c r="AR335" s="438"/>
      <c r="AS335" s="438"/>
      <c r="AT335" s="438"/>
      <c r="AU335" s="438"/>
      <c r="AV335" s="438"/>
      <c r="AW335" s="438"/>
      <c r="AX335" s="438"/>
      <c r="AY335" s="438"/>
      <c r="AZ335" s="438"/>
      <c r="BA335" s="438"/>
      <c r="BB335" s="438"/>
      <c r="BC335" s="438"/>
      <c r="BD335" s="438"/>
      <c r="BE335" s="438"/>
      <c r="BF335" s="438"/>
      <c r="BG335" s="438"/>
      <c r="BH335" s="438"/>
    </row>
    <row r="336">
      <c r="A336" s="140"/>
      <c r="B336" s="456"/>
      <c r="C336" s="142"/>
      <c r="D336" s="142"/>
      <c r="E336" s="142"/>
      <c r="F336" s="140"/>
      <c r="G336" s="456"/>
      <c r="H336" s="142"/>
      <c r="I336" s="142"/>
      <c r="J336" s="142"/>
      <c r="K336" s="125"/>
      <c r="L336" s="456"/>
      <c r="M336" s="142"/>
      <c r="N336" s="142"/>
      <c r="O336" s="142"/>
      <c r="P336" s="125"/>
      <c r="Q336" s="450"/>
      <c r="R336" s="142"/>
      <c r="S336" s="142"/>
      <c r="T336" s="142"/>
      <c r="U336" s="140"/>
      <c r="V336" s="456"/>
      <c r="W336" s="142"/>
      <c r="X336" s="142"/>
      <c r="Y336" s="142"/>
      <c r="Z336" s="140"/>
      <c r="AA336" s="456"/>
      <c r="AB336" s="142"/>
      <c r="AC336" s="142"/>
      <c r="AD336" s="142"/>
      <c r="AE336" s="140"/>
      <c r="AF336" s="456"/>
      <c r="AG336" s="142"/>
      <c r="AH336" s="142"/>
      <c r="AI336" s="142"/>
      <c r="AJ336" s="140"/>
      <c r="AK336" s="456"/>
      <c r="AL336" s="142"/>
      <c r="AM336" s="142"/>
      <c r="AN336" s="142"/>
      <c r="AO336" s="438"/>
      <c r="AP336" s="438"/>
      <c r="AQ336" s="438"/>
      <c r="AR336" s="438"/>
      <c r="AS336" s="438"/>
      <c r="AT336" s="438"/>
      <c r="AU336" s="438"/>
      <c r="AV336" s="438"/>
      <c r="AW336" s="438"/>
      <c r="AX336" s="438"/>
      <c r="AY336" s="438"/>
      <c r="AZ336" s="438"/>
      <c r="BA336" s="438"/>
      <c r="BB336" s="438"/>
      <c r="BC336" s="438"/>
      <c r="BD336" s="438"/>
      <c r="BE336" s="438"/>
      <c r="BF336" s="438"/>
      <c r="BG336" s="438"/>
      <c r="BH336" s="438"/>
    </row>
    <row r="337">
      <c r="A337" s="140"/>
      <c r="B337" s="456"/>
      <c r="C337" s="142"/>
      <c r="D337" s="142"/>
      <c r="E337" s="142"/>
      <c r="F337" s="140"/>
      <c r="G337" s="456"/>
      <c r="H337" s="142"/>
      <c r="I337" s="142"/>
      <c r="J337" s="142"/>
      <c r="K337" s="125"/>
      <c r="L337" s="456"/>
      <c r="M337" s="142"/>
      <c r="N337" s="142"/>
      <c r="O337" s="142"/>
      <c r="P337" s="125"/>
      <c r="Q337" s="450"/>
      <c r="R337" s="142"/>
      <c r="S337" s="142"/>
      <c r="T337" s="142"/>
      <c r="U337" s="140"/>
      <c r="V337" s="456"/>
      <c r="W337" s="142"/>
      <c r="X337" s="142"/>
      <c r="Y337" s="142"/>
      <c r="Z337" s="140"/>
      <c r="AA337" s="456"/>
      <c r="AB337" s="142"/>
      <c r="AC337" s="142"/>
      <c r="AD337" s="142"/>
      <c r="AE337" s="140"/>
      <c r="AF337" s="456"/>
      <c r="AG337" s="142"/>
      <c r="AH337" s="142"/>
      <c r="AI337" s="142"/>
      <c r="AJ337" s="140"/>
      <c r="AK337" s="456"/>
      <c r="AL337" s="142"/>
      <c r="AM337" s="142"/>
      <c r="AN337" s="142"/>
      <c r="AO337" s="438"/>
      <c r="AP337" s="438"/>
      <c r="AQ337" s="438"/>
      <c r="AR337" s="438"/>
      <c r="AS337" s="438"/>
      <c r="AT337" s="438"/>
      <c r="AU337" s="438"/>
      <c r="AV337" s="438"/>
      <c r="AW337" s="438"/>
      <c r="AX337" s="438"/>
      <c r="AY337" s="438"/>
      <c r="AZ337" s="438"/>
      <c r="BA337" s="438"/>
      <c r="BB337" s="438"/>
      <c r="BC337" s="438"/>
      <c r="BD337" s="438"/>
      <c r="BE337" s="438"/>
      <c r="BF337" s="438"/>
      <c r="BG337" s="438"/>
      <c r="BH337" s="438"/>
    </row>
    <row r="338">
      <c r="A338" s="140"/>
      <c r="B338" s="456"/>
      <c r="C338" s="142"/>
      <c r="D338" s="142"/>
      <c r="E338" s="142"/>
      <c r="F338" s="140"/>
      <c r="G338" s="456"/>
      <c r="H338" s="142"/>
      <c r="I338" s="142"/>
      <c r="J338" s="142"/>
      <c r="K338" s="125"/>
      <c r="L338" s="456"/>
      <c r="M338" s="142"/>
      <c r="N338" s="142"/>
      <c r="O338" s="142"/>
      <c r="P338" s="125"/>
      <c r="Q338" s="450"/>
      <c r="R338" s="142"/>
      <c r="S338" s="142"/>
      <c r="T338" s="142"/>
      <c r="U338" s="140"/>
      <c r="V338" s="456"/>
      <c r="W338" s="142"/>
      <c r="X338" s="142"/>
      <c r="Y338" s="142"/>
      <c r="Z338" s="140"/>
      <c r="AA338" s="456"/>
      <c r="AB338" s="142"/>
      <c r="AC338" s="142"/>
      <c r="AD338" s="142"/>
      <c r="AE338" s="140"/>
      <c r="AF338" s="456"/>
      <c r="AG338" s="142"/>
      <c r="AH338" s="142"/>
      <c r="AI338" s="142"/>
      <c r="AJ338" s="140"/>
      <c r="AK338" s="456"/>
      <c r="AL338" s="142"/>
      <c r="AM338" s="142"/>
      <c r="AN338" s="142"/>
      <c r="AO338" s="438"/>
      <c r="AP338" s="438"/>
      <c r="AQ338" s="438"/>
      <c r="AR338" s="438"/>
      <c r="AS338" s="438"/>
      <c r="AT338" s="438"/>
      <c r="AU338" s="438"/>
      <c r="AV338" s="438"/>
      <c r="AW338" s="438"/>
      <c r="AX338" s="438"/>
      <c r="AY338" s="438"/>
      <c r="AZ338" s="438"/>
      <c r="BA338" s="438"/>
      <c r="BB338" s="438"/>
      <c r="BC338" s="438"/>
      <c r="BD338" s="438"/>
      <c r="BE338" s="438"/>
      <c r="BF338" s="438"/>
      <c r="BG338" s="438"/>
      <c r="BH338" s="438"/>
    </row>
    <row r="339">
      <c r="A339" s="140"/>
      <c r="B339" s="456"/>
      <c r="C339" s="142"/>
      <c r="D339" s="142"/>
      <c r="E339" s="142"/>
      <c r="F339" s="140"/>
      <c r="G339" s="456"/>
      <c r="H339" s="142"/>
      <c r="I339" s="142"/>
      <c r="J339" s="142"/>
      <c r="K339" s="125"/>
      <c r="L339" s="456"/>
      <c r="M339" s="142"/>
      <c r="N339" s="142"/>
      <c r="O339" s="142"/>
      <c r="P339" s="125"/>
      <c r="Q339" s="450"/>
      <c r="R339" s="142"/>
      <c r="S339" s="142"/>
      <c r="T339" s="142"/>
      <c r="U339" s="140"/>
      <c r="V339" s="456"/>
      <c r="W339" s="142"/>
      <c r="X339" s="142"/>
      <c r="Y339" s="142"/>
      <c r="Z339" s="140"/>
      <c r="AA339" s="456"/>
      <c r="AB339" s="142"/>
      <c r="AC339" s="142"/>
      <c r="AD339" s="142"/>
      <c r="AE339" s="140"/>
      <c r="AF339" s="456"/>
      <c r="AG339" s="142"/>
      <c r="AH339" s="142"/>
      <c r="AI339" s="142"/>
      <c r="AJ339" s="140"/>
      <c r="AK339" s="456"/>
      <c r="AL339" s="142"/>
      <c r="AM339" s="142"/>
      <c r="AN339" s="142"/>
      <c r="AO339" s="438"/>
      <c r="AP339" s="438"/>
      <c r="AQ339" s="438"/>
      <c r="AR339" s="438"/>
      <c r="AS339" s="438"/>
      <c r="AT339" s="438"/>
      <c r="AU339" s="438"/>
      <c r="AV339" s="438"/>
      <c r="AW339" s="438"/>
      <c r="AX339" s="438"/>
      <c r="AY339" s="438"/>
      <c r="AZ339" s="438"/>
      <c r="BA339" s="438"/>
      <c r="BB339" s="438"/>
      <c r="BC339" s="438"/>
      <c r="BD339" s="438"/>
      <c r="BE339" s="438"/>
      <c r="BF339" s="438"/>
      <c r="BG339" s="438"/>
      <c r="BH339" s="438"/>
    </row>
    <row r="340">
      <c r="A340" s="140"/>
      <c r="B340" s="456"/>
      <c r="C340" s="142"/>
      <c r="D340" s="142"/>
      <c r="E340" s="142"/>
      <c r="F340" s="140"/>
      <c r="G340" s="456"/>
      <c r="H340" s="142"/>
      <c r="I340" s="142"/>
      <c r="J340" s="142"/>
      <c r="K340" s="125"/>
      <c r="L340" s="456"/>
      <c r="M340" s="142"/>
      <c r="N340" s="142"/>
      <c r="O340" s="142"/>
      <c r="P340" s="125"/>
      <c r="Q340" s="450"/>
      <c r="R340" s="142"/>
      <c r="S340" s="142"/>
      <c r="T340" s="142"/>
      <c r="U340" s="140"/>
      <c r="V340" s="456"/>
      <c r="W340" s="142"/>
      <c r="X340" s="142"/>
      <c r="Y340" s="142"/>
      <c r="Z340" s="140"/>
      <c r="AA340" s="456"/>
      <c r="AB340" s="142"/>
      <c r="AC340" s="142"/>
      <c r="AD340" s="142"/>
      <c r="AE340" s="140"/>
      <c r="AF340" s="456"/>
      <c r="AG340" s="142"/>
      <c r="AH340" s="142"/>
      <c r="AI340" s="142"/>
      <c r="AJ340" s="140"/>
      <c r="AK340" s="456"/>
      <c r="AL340" s="142"/>
      <c r="AM340" s="142"/>
      <c r="AN340" s="142"/>
      <c r="AO340" s="438"/>
      <c r="AP340" s="438"/>
      <c r="AQ340" s="438"/>
      <c r="AR340" s="438"/>
      <c r="AS340" s="438"/>
      <c r="AT340" s="438"/>
      <c r="AU340" s="438"/>
      <c r="AV340" s="438"/>
      <c r="AW340" s="438"/>
      <c r="AX340" s="438"/>
      <c r="AY340" s="438"/>
      <c r="AZ340" s="438"/>
      <c r="BA340" s="438"/>
      <c r="BB340" s="438"/>
      <c r="BC340" s="438"/>
      <c r="BD340" s="438"/>
      <c r="BE340" s="438"/>
      <c r="BF340" s="438"/>
      <c r="BG340" s="438"/>
      <c r="BH340" s="438"/>
    </row>
    <row r="341">
      <c r="A341" s="140"/>
      <c r="B341" s="456"/>
      <c r="C341" s="142"/>
      <c r="D341" s="142"/>
      <c r="E341" s="142"/>
      <c r="F341" s="140"/>
      <c r="G341" s="456"/>
      <c r="H341" s="142"/>
      <c r="I341" s="142"/>
      <c r="J341" s="142"/>
      <c r="K341" s="125"/>
      <c r="L341" s="456"/>
      <c r="M341" s="142"/>
      <c r="N341" s="142"/>
      <c r="O341" s="142"/>
      <c r="P341" s="125"/>
      <c r="Q341" s="450"/>
      <c r="R341" s="142"/>
      <c r="S341" s="142"/>
      <c r="T341" s="142"/>
      <c r="U341" s="140"/>
      <c r="V341" s="456"/>
      <c r="W341" s="142"/>
      <c r="X341" s="142"/>
      <c r="Y341" s="142"/>
      <c r="Z341" s="140"/>
      <c r="AA341" s="456"/>
      <c r="AB341" s="142"/>
      <c r="AC341" s="142"/>
      <c r="AD341" s="142"/>
      <c r="AE341" s="140"/>
      <c r="AF341" s="456"/>
      <c r="AG341" s="142"/>
      <c r="AH341" s="142"/>
      <c r="AI341" s="142"/>
      <c r="AJ341" s="140"/>
      <c r="AK341" s="456"/>
      <c r="AL341" s="142"/>
      <c r="AM341" s="142"/>
      <c r="AN341" s="142"/>
      <c r="AO341" s="438"/>
      <c r="AP341" s="438"/>
      <c r="AQ341" s="438"/>
      <c r="AR341" s="438"/>
      <c r="AS341" s="438"/>
      <c r="AT341" s="438"/>
      <c r="AU341" s="438"/>
      <c r="AV341" s="438"/>
      <c r="AW341" s="438"/>
      <c r="AX341" s="438"/>
      <c r="AY341" s="438"/>
      <c r="AZ341" s="438"/>
      <c r="BA341" s="438"/>
      <c r="BB341" s="438"/>
      <c r="BC341" s="438"/>
      <c r="BD341" s="438"/>
      <c r="BE341" s="438"/>
      <c r="BF341" s="438"/>
      <c r="BG341" s="438"/>
      <c r="BH341" s="438"/>
    </row>
    <row r="342">
      <c r="A342" s="140"/>
      <c r="B342" s="456"/>
      <c r="C342" s="142"/>
      <c r="D342" s="142"/>
      <c r="E342" s="142"/>
      <c r="F342" s="140"/>
      <c r="G342" s="456"/>
      <c r="H342" s="142"/>
      <c r="I342" s="142"/>
      <c r="J342" s="142"/>
      <c r="K342" s="125"/>
      <c r="L342" s="456"/>
      <c r="M342" s="142"/>
      <c r="N342" s="142"/>
      <c r="O342" s="142"/>
      <c r="P342" s="125"/>
      <c r="Q342" s="450"/>
      <c r="R342" s="142"/>
      <c r="S342" s="142"/>
      <c r="T342" s="142"/>
      <c r="U342" s="140"/>
      <c r="V342" s="456"/>
      <c r="W342" s="142"/>
      <c r="X342" s="142"/>
      <c r="Y342" s="142"/>
      <c r="Z342" s="140"/>
      <c r="AA342" s="456"/>
      <c r="AB342" s="142"/>
      <c r="AC342" s="142"/>
      <c r="AD342" s="142"/>
      <c r="AE342" s="140"/>
      <c r="AF342" s="456"/>
      <c r="AG342" s="142"/>
      <c r="AH342" s="142"/>
      <c r="AI342" s="142"/>
      <c r="AJ342" s="140"/>
      <c r="AK342" s="456"/>
      <c r="AL342" s="142"/>
      <c r="AM342" s="142"/>
      <c r="AN342" s="142"/>
      <c r="AO342" s="438"/>
      <c r="AP342" s="438"/>
      <c r="AQ342" s="438"/>
      <c r="AR342" s="438"/>
      <c r="AS342" s="438"/>
      <c r="AT342" s="438"/>
      <c r="AU342" s="438"/>
      <c r="AV342" s="438"/>
      <c r="AW342" s="438"/>
      <c r="AX342" s="438"/>
      <c r="AY342" s="438"/>
      <c r="AZ342" s="438"/>
      <c r="BA342" s="438"/>
      <c r="BB342" s="438"/>
      <c r="BC342" s="438"/>
      <c r="BD342" s="438"/>
      <c r="BE342" s="438"/>
      <c r="BF342" s="438"/>
      <c r="BG342" s="438"/>
      <c r="BH342" s="438"/>
    </row>
    <row r="343">
      <c r="A343" s="140"/>
      <c r="B343" s="456"/>
      <c r="C343" s="142"/>
      <c r="D343" s="142"/>
      <c r="E343" s="142"/>
      <c r="F343" s="140"/>
      <c r="G343" s="456"/>
      <c r="H343" s="142"/>
      <c r="I343" s="142"/>
      <c r="J343" s="142"/>
      <c r="K343" s="125"/>
      <c r="L343" s="456"/>
      <c r="M343" s="142"/>
      <c r="N343" s="142"/>
      <c r="O343" s="142"/>
      <c r="P343" s="125"/>
      <c r="Q343" s="450"/>
      <c r="R343" s="142"/>
      <c r="S343" s="142"/>
      <c r="T343" s="142"/>
      <c r="U343" s="140"/>
      <c r="V343" s="456"/>
      <c r="W343" s="142"/>
      <c r="X343" s="142"/>
      <c r="Y343" s="142"/>
      <c r="Z343" s="140"/>
      <c r="AA343" s="456"/>
      <c r="AB343" s="142"/>
      <c r="AC343" s="142"/>
      <c r="AD343" s="142"/>
      <c r="AE343" s="140"/>
      <c r="AF343" s="456"/>
      <c r="AG343" s="142"/>
      <c r="AH343" s="142"/>
      <c r="AI343" s="142"/>
      <c r="AJ343" s="140"/>
      <c r="AK343" s="456"/>
      <c r="AL343" s="142"/>
      <c r="AM343" s="142"/>
      <c r="AN343" s="142"/>
      <c r="AO343" s="438"/>
      <c r="AP343" s="438"/>
      <c r="AQ343" s="438"/>
      <c r="AR343" s="438"/>
      <c r="AS343" s="438"/>
      <c r="AT343" s="438"/>
      <c r="AU343" s="438"/>
      <c r="AV343" s="438"/>
      <c r="AW343" s="438"/>
      <c r="AX343" s="438"/>
      <c r="AY343" s="438"/>
      <c r="AZ343" s="438"/>
      <c r="BA343" s="438"/>
      <c r="BB343" s="438"/>
      <c r="BC343" s="438"/>
      <c r="BD343" s="438"/>
      <c r="BE343" s="438"/>
      <c r="BF343" s="438"/>
      <c r="BG343" s="438"/>
      <c r="BH343" s="438"/>
    </row>
    <row r="344">
      <c r="A344" s="140"/>
      <c r="B344" s="456"/>
      <c r="C344" s="142"/>
      <c r="D344" s="142"/>
      <c r="E344" s="142"/>
      <c r="F344" s="140"/>
      <c r="G344" s="456"/>
      <c r="H344" s="142"/>
      <c r="I344" s="142"/>
      <c r="J344" s="142"/>
      <c r="K344" s="125"/>
      <c r="L344" s="456"/>
      <c r="M344" s="142"/>
      <c r="N344" s="142"/>
      <c r="O344" s="142"/>
      <c r="P344" s="125"/>
      <c r="Q344" s="450"/>
      <c r="R344" s="142"/>
      <c r="S344" s="142"/>
      <c r="T344" s="142"/>
      <c r="U344" s="140"/>
      <c r="V344" s="456"/>
      <c r="W344" s="142"/>
      <c r="X344" s="142"/>
      <c r="Y344" s="142"/>
      <c r="Z344" s="140"/>
      <c r="AA344" s="456"/>
      <c r="AB344" s="142"/>
      <c r="AC344" s="142"/>
      <c r="AD344" s="142"/>
      <c r="AE344" s="140"/>
      <c r="AF344" s="456"/>
      <c r="AG344" s="142"/>
      <c r="AH344" s="142"/>
      <c r="AI344" s="142"/>
      <c r="AJ344" s="140"/>
      <c r="AK344" s="456"/>
      <c r="AL344" s="142"/>
      <c r="AM344" s="142"/>
      <c r="AN344" s="142"/>
      <c r="AO344" s="438"/>
      <c r="AP344" s="438"/>
      <c r="AQ344" s="438"/>
      <c r="AR344" s="438"/>
      <c r="AS344" s="438"/>
      <c r="AT344" s="438"/>
      <c r="AU344" s="438"/>
      <c r="AV344" s="438"/>
      <c r="AW344" s="438"/>
      <c r="AX344" s="438"/>
      <c r="AY344" s="438"/>
      <c r="AZ344" s="438"/>
      <c r="BA344" s="438"/>
      <c r="BB344" s="438"/>
      <c r="BC344" s="438"/>
      <c r="BD344" s="438"/>
      <c r="BE344" s="438"/>
      <c r="BF344" s="438"/>
      <c r="BG344" s="438"/>
      <c r="BH344" s="438"/>
    </row>
    <row r="345">
      <c r="A345" s="140"/>
      <c r="B345" s="456"/>
      <c r="C345" s="142"/>
      <c r="D345" s="142"/>
      <c r="E345" s="142"/>
      <c r="F345" s="140"/>
      <c r="G345" s="456"/>
      <c r="H345" s="142"/>
      <c r="I345" s="142"/>
      <c r="J345" s="142"/>
      <c r="K345" s="125"/>
      <c r="L345" s="456"/>
      <c r="M345" s="142"/>
      <c r="N345" s="142"/>
      <c r="O345" s="142"/>
      <c r="P345" s="125"/>
      <c r="Q345" s="450"/>
      <c r="R345" s="142"/>
      <c r="S345" s="142"/>
      <c r="T345" s="142"/>
      <c r="U345" s="140"/>
      <c r="V345" s="456"/>
      <c r="W345" s="142"/>
      <c r="X345" s="142"/>
      <c r="Y345" s="142"/>
      <c r="Z345" s="140"/>
      <c r="AA345" s="456"/>
      <c r="AB345" s="142"/>
      <c r="AC345" s="142"/>
      <c r="AD345" s="142"/>
      <c r="AE345" s="140"/>
      <c r="AF345" s="456"/>
      <c r="AG345" s="142"/>
      <c r="AH345" s="142"/>
      <c r="AI345" s="142"/>
      <c r="AJ345" s="140"/>
      <c r="AK345" s="456"/>
      <c r="AL345" s="142"/>
      <c r="AM345" s="142"/>
      <c r="AN345" s="142"/>
      <c r="AO345" s="438"/>
      <c r="AP345" s="438"/>
      <c r="AQ345" s="438"/>
      <c r="AR345" s="438"/>
      <c r="AS345" s="438"/>
      <c r="AT345" s="438"/>
      <c r="AU345" s="438"/>
      <c r="AV345" s="438"/>
      <c r="AW345" s="438"/>
      <c r="AX345" s="438"/>
      <c r="AY345" s="438"/>
      <c r="AZ345" s="438"/>
      <c r="BA345" s="438"/>
      <c r="BB345" s="438"/>
      <c r="BC345" s="438"/>
      <c r="BD345" s="438"/>
      <c r="BE345" s="438"/>
      <c r="BF345" s="438"/>
      <c r="BG345" s="438"/>
      <c r="BH345" s="438"/>
    </row>
    <row r="346">
      <c r="A346" s="140"/>
      <c r="B346" s="456"/>
      <c r="C346" s="142"/>
      <c r="D346" s="142"/>
      <c r="E346" s="142"/>
      <c r="F346" s="140"/>
      <c r="G346" s="456"/>
      <c r="H346" s="142"/>
      <c r="I346" s="142"/>
      <c r="J346" s="142"/>
      <c r="K346" s="125"/>
      <c r="L346" s="456"/>
      <c r="M346" s="142"/>
      <c r="N346" s="142"/>
      <c r="O346" s="142"/>
      <c r="P346" s="125"/>
      <c r="Q346" s="450"/>
      <c r="R346" s="142"/>
      <c r="S346" s="142"/>
      <c r="T346" s="142"/>
      <c r="U346" s="140"/>
      <c r="V346" s="456"/>
      <c r="W346" s="142"/>
      <c r="X346" s="142"/>
      <c r="Y346" s="142"/>
      <c r="Z346" s="140"/>
      <c r="AA346" s="456"/>
      <c r="AB346" s="142"/>
      <c r="AC346" s="142"/>
      <c r="AD346" s="142"/>
      <c r="AE346" s="140"/>
      <c r="AF346" s="456"/>
      <c r="AG346" s="142"/>
      <c r="AH346" s="142"/>
      <c r="AI346" s="142"/>
      <c r="AJ346" s="140"/>
      <c r="AK346" s="456"/>
      <c r="AL346" s="142"/>
      <c r="AM346" s="142"/>
      <c r="AN346" s="142"/>
      <c r="AO346" s="438"/>
      <c r="AP346" s="438"/>
      <c r="AQ346" s="438"/>
      <c r="AR346" s="438"/>
      <c r="AS346" s="438"/>
      <c r="AT346" s="438"/>
      <c r="AU346" s="438"/>
      <c r="AV346" s="438"/>
      <c r="AW346" s="438"/>
      <c r="AX346" s="438"/>
      <c r="AY346" s="438"/>
      <c r="AZ346" s="438"/>
      <c r="BA346" s="438"/>
      <c r="BB346" s="438"/>
      <c r="BC346" s="438"/>
      <c r="BD346" s="438"/>
      <c r="BE346" s="438"/>
      <c r="BF346" s="438"/>
      <c r="BG346" s="438"/>
      <c r="BH346" s="438"/>
    </row>
    <row r="347">
      <c r="A347" s="140"/>
      <c r="B347" s="456"/>
      <c r="C347" s="142"/>
      <c r="D347" s="142"/>
      <c r="E347" s="142"/>
      <c r="F347" s="140"/>
      <c r="G347" s="456"/>
      <c r="H347" s="142"/>
      <c r="I347" s="142"/>
      <c r="J347" s="142"/>
      <c r="K347" s="125"/>
      <c r="L347" s="456"/>
      <c r="M347" s="142"/>
      <c r="N347" s="142"/>
      <c r="O347" s="142"/>
      <c r="P347" s="125"/>
      <c r="Q347" s="450"/>
      <c r="R347" s="142"/>
      <c r="S347" s="142"/>
      <c r="T347" s="142"/>
      <c r="U347" s="140"/>
      <c r="V347" s="456"/>
      <c r="W347" s="142"/>
      <c r="X347" s="142"/>
      <c r="Y347" s="142"/>
      <c r="Z347" s="140"/>
      <c r="AA347" s="456"/>
      <c r="AB347" s="142"/>
      <c r="AC347" s="142"/>
      <c r="AD347" s="142"/>
      <c r="AE347" s="140"/>
      <c r="AF347" s="456"/>
      <c r="AG347" s="142"/>
      <c r="AH347" s="142"/>
      <c r="AI347" s="142"/>
      <c r="AJ347" s="140"/>
      <c r="AK347" s="456"/>
      <c r="AL347" s="142"/>
      <c r="AM347" s="142"/>
      <c r="AN347" s="142"/>
      <c r="AO347" s="438"/>
      <c r="AP347" s="438"/>
      <c r="AQ347" s="438"/>
      <c r="AR347" s="438"/>
      <c r="AS347" s="438"/>
      <c r="AT347" s="438"/>
      <c r="AU347" s="438"/>
      <c r="AV347" s="438"/>
      <c r="AW347" s="438"/>
      <c r="AX347" s="438"/>
      <c r="AY347" s="438"/>
      <c r="AZ347" s="438"/>
      <c r="BA347" s="438"/>
      <c r="BB347" s="438"/>
      <c r="BC347" s="438"/>
      <c r="BD347" s="438"/>
      <c r="BE347" s="438"/>
      <c r="BF347" s="438"/>
      <c r="BG347" s="438"/>
      <c r="BH347" s="438"/>
    </row>
    <row r="348">
      <c r="A348" s="140"/>
      <c r="B348" s="456"/>
      <c r="C348" s="142"/>
      <c r="D348" s="142"/>
      <c r="E348" s="142"/>
      <c r="F348" s="140"/>
      <c r="G348" s="456"/>
      <c r="H348" s="142"/>
      <c r="I348" s="142"/>
      <c r="J348" s="142"/>
      <c r="K348" s="125"/>
      <c r="L348" s="456"/>
      <c r="M348" s="142"/>
      <c r="N348" s="142"/>
      <c r="O348" s="142"/>
      <c r="P348" s="125"/>
      <c r="Q348" s="450"/>
      <c r="R348" s="142"/>
      <c r="S348" s="142"/>
      <c r="T348" s="142"/>
      <c r="U348" s="140"/>
      <c r="V348" s="456"/>
      <c r="W348" s="142"/>
      <c r="X348" s="142"/>
      <c r="Y348" s="142"/>
      <c r="Z348" s="140"/>
      <c r="AA348" s="456"/>
      <c r="AB348" s="142"/>
      <c r="AC348" s="142"/>
      <c r="AD348" s="142"/>
      <c r="AE348" s="140"/>
      <c r="AF348" s="456"/>
      <c r="AG348" s="142"/>
      <c r="AH348" s="142"/>
      <c r="AI348" s="142"/>
      <c r="AJ348" s="140"/>
      <c r="AK348" s="456"/>
      <c r="AL348" s="142"/>
      <c r="AM348" s="142"/>
      <c r="AN348" s="142"/>
      <c r="AO348" s="438"/>
      <c r="AP348" s="438"/>
      <c r="AQ348" s="438"/>
      <c r="AR348" s="438"/>
      <c r="AS348" s="438"/>
      <c r="AT348" s="438"/>
      <c r="AU348" s="438"/>
      <c r="AV348" s="438"/>
      <c r="AW348" s="438"/>
      <c r="AX348" s="438"/>
      <c r="AY348" s="438"/>
      <c r="AZ348" s="438"/>
      <c r="BA348" s="438"/>
      <c r="BB348" s="438"/>
      <c r="BC348" s="438"/>
      <c r="BD348" s="438"/>
      <c r="BE348" s="438"/>
      <c r="BF348" s="438"/>
      <c r="BG348" s="438"/>
      <c r="BH348" s="438"/>
    </row>
    <row r="349">
      <c r="A349" s="140"/>
      <c r="B349" s="456"/>
      <c r="C349" s="142"/>
      <c r="D349" s="142"/>
      <c r="E349" s="142"/>
      <c r="F349" s="140"/>
      <c r="G349" s="456"/>
      <c r="H349" s="142"/>
      <c r="I349" s="142"/>
      <c r="J349" s="142"/>
      <c r="K349" s="125"/>
      <c r="L349" s="456"/>
      <c r="M349" s="142"/>
      <c r="N349" s="142"/>
      <c r="O349" s="142"/>
      <c r="P349" s="125"/>
      <c r="Q349" s="450"/>
      <c r="R349" s="142"/>
      <c r="S349" s="142"/>
      <c r="T349" s="142"/>
      <c r="U349" s="140"/>
      <c r="V349" s="456"/>
      <c r="W349" s="142"/>
      <c r="X349" s="142"/>
      <c r="Y349" s="142"/>
      <c r="Z349" s="140"/>
      <c r="AA349" s="456"/>
      <c r="AB349" s="142"/>
      <c r="AC349" s="142"/>
      <c r="AD349" s="142"/>
      <c r="AE349" s="140"/>
      <c r="AF349" s="456"/>
      <c r="AG349" s="142"/>
      <c r="AH349" s="142"/>
      <c r="AI349" s="142"/>
      <c r="AJ349" s="140"/>
      <c r="AK349" s="456"/>
      <c r="AL349" s="142"/>
      <c r="AM349" s="142"/>
      <c r="AN349" s="142"/>
      <c r="AO349" s="438"/>
      <c r="AP349" s="438"/>
      <c r="AQ349" s="438"/>
      <c r="AR349" s="438"/>
      <c r="AS349" s="438"/>
      <c r="AT349" s="438"/>
      <c r="AU349" s="438"/>
      <c r="AV349" s="438"/>
      <c r="AW349" s="438"/>
      <c r="AX349" s="438"/>
      <c r="AY349" s="438"/>
      <c r="AZ349" s="438"/>
      <c r="BA349" s="438"/>
      <c r="BB349" s="438"/>
      <c r="BC349" s="438"/>
      <c r="BD349" s="438"/>
      <c r="BE349" s="438"/>
      <c r="BF349" s="438"/>
      <c r="BG349" s="438"/>
      <c r="BH349" s="438"/>
    </row>
    <row r="350">
      <c r="A350" s="140"/>
      <c r="B350" s="456"/>
      <c r="C350" s="142"/>
      <c r="D350" s="142"/>
      <c r="E350" s="142"/>
      <c r="F350" s="140"/>
      <c r="G350" s="456"/>
      <c r="H350" s="142"/>
      <c r="I350" s="142"/>
      <c r="J350" s="142"/>
      <c r="K350" s="125"/>
      <c r="L350" s="456"/>
      <c r="M350" s="142"/>
      <c r="N350" s="142"/>
      <c r="O350" s="142"/>
      <c r="P350" s="125"/>
      <c r="Q350" s="450"/>
      <c r="R350" s="142"/>
      <c r="S350" s="142"/>
      <c r="T350" s="142"/>
      <c r="U350" s="140"/>
      <c r="V350" s="456"/>
      <c r="W350" s="142"/>
      <c r="X350" s="142"/>
      <c r="Y350" s="142"/>
      <c r="Z350" s="140"/>
      <c r="AA350" s="456"/>
      <c r="AB350" s="142"/>
      <c r="AC350" s="142"/>
      <c r="AD350" s="142"/>
      <c r="AE350" s="140"/>
      <c r="AF350" s="456"/>
      <c r="AG350" s="142"/>
      <c r="AH350" s="142"/>
      <c r="AI350" s="142"/>
      <c r="AJ350" s="140"/>
      <c r="AK350" s="456"/>
      <c r="AL350" s="142"/>
      <c r="AM350" s="142"/>
      <c r="AN350" s="142"/>
      <c r="AO350" s="438"/>
      <c r="AP350" s="438"/>
      <c r="AQ350" s="438"/>
      <c r="AR350" s="438"/>
      <c r="AS350" s="438"/>
      <c r="AT350" s="438"/>
      <c r="AU350" s="438"/>
      <c r="AV350" s="438"/>
      <c r="AW350" s="438"/>
      <c r="AX350" s="438"/>
      <c r="AY350" s="438"/>
      <c r="AZ350" s="438"/>
      <c r="BA350" s="438"/>
      <c r="BB350" s="438"/>
      <c r="BC350" s="438"/>
      <c r="BD350" s="438"/>
      <c r="BE350" s="438"/>
      <c r="BF350" s="438"/>
      <c r="BG350" s="438"/>
      <c r="BH350" s="438"/>
    </row>
    <row r="351">
      <c r="A351" s="140"/>
      <c r="B351" s="456"/>
      <c r="C351" s="142"/>
      <c r="D351" s="142"/>
      <c r="E351" s="142"/>
      <c r="F351" s="140"/>
      <c r="G351" s="456"/>
      <c r="H351" s="142"/>
      <c r="I351" s="142"/>
      <c r="J351" s="142"/>
      <c r="K351" s="125"/>
      <c r="L351" s="456"/>
      <c r="M351" s="142"/>
      <c r="N351" s="142"/>
      <c r="O351" s="142"/>
      <c r="P351" s="125"/>
      <c r="Q351" s="450"/>
      <c r="R351" s="142"/>
      <c r="S351" s="142"/>
      <c r="T351" s="142"/>
      <c r="U351" s="140"/>
      <c r="V351" s="456"/>
      <c r="W351" s="142"/>
      <c r="X351" s="142"/>
      <c r="Y351" s="142"/>
      <c r="Z351" s="140"/>
      <c r="AA351" s="456"/>
      <c r="AB351" s="142"/>
      <c r="AC351" s="142"/>
      <c r="AD351" s="142"/>
      <c r="AE351" s="140"/>
      <c r="AF351" s="456"/>
      <c r="AG351" s="142"/>
      <c r="AH351" s="142"/>
      <c r="AI351" s="142"/>
      <c r="AJ351" s="140"/>
      <c r="AK351" s="456"/>
      <c r="AL351" s="142"/>
      <c r="AM351" s="142"/>
      <c r="AN351" s="142"/>
      <c r="AO351" s="438"/>
      <c r="AP351" s="438"/>
      <c r="AQ351" s="438"/>
      <c r="AR351" s="438"/>
      <c r="AS351" s="438"/>
      <c r="AT351" s="438"/>
      <c r="AU351" s="438"/>
      <c r="AV351" s="438"/>
      <c r="AW351" s="438"/>
      <c r="AX351" s="438"/>
      <c r="AY351" s="438"/>
      <c r="AZ351" s="438"/>
      <c r="BA351" s="438"/>
      <c r="BB351" s="438"/>
      <c r="BC351" s="438"/>
      <c r="BD351" s="438"/>
      <c r="BE351" s="438"/>
      <c r="BF351" s="438"/>
      <c r="BG351" s="438"/>
      <c r="BH351" s="438"/>
    </row>
    <row r="352">
      <c r="A352" s="140"/>
      <c r="B352" s="456"/>
      <c r="C352" s="142"/>
      <c r="D352" s="142"/>
      <c r="E352" s="142"/>
      <c r="F352" s="140"/>
      <c r="G352" s="456"/>
      <c r="H352" s="142"/>
      <c r="I352" s="142"/>
      <c r="J352" s="142"/>
      <c r="K352" s="125"/>
      <c r="L352" s="456"/>
      <c r="M352" s="142"/>
      <c r="N352" s="142"/>
      <c r="O352" s="142"/>
      <c r="P352" s="125"/>
      <c r="Q352" s="450"/>
      <c r="R352" s="142"/>
      <c r="S352" s="142"/>
      <c r="T352" s="142"/>
      <c r="U352" s="140"/>
      <c r="V352" s="456"/>
      <c r="W352" s="142"/>
      <c r="X352" s="142"/>
      <c r="Y352" s="142"/>
      <c r="Z352" s="140"/>
      <c r="AA352" s="456"/>
      <c r="AB352" s="142"/>
      <c r="AC352" s="142"/>
      <c r="AD352" s="142"/>
      <c r="AE352" s="140"/>
      <c r="AF352" s="456"/>
      <c r="AG352" s="142"/>
      <c r="AH352" s="142"/>
      <c r="AI352" s="142"/>
      <c r="AJ352" s="140"/>
      <c r="AK352" s="456"/>
      <c r="AL352" s="142"/>
      <c r="AM352" s="142"/>
      <c r="AN352" s="142"/>
      <c r="AO352" s="438"/>
      <c r="AP352" s="438"/>
      <c r="AQ352" s="438"/>
      <c r="AR352" s="438"/>
      <c r="AS352" s="438"/>
      <c r="AT352" s="438"/>
      <c r="AU352" s="438"/>
      <c r="AV352" s="438"/>
      <c r="AW352" s="438"/>
      <c r="AX352" s="438"/>
      <c r="AY352" s="438"/>
      <c r="AZ352" s="438"/>
      <c r="BA352" s="438"/>
      <c r="BB352" s="438"/>
      <c r="BC352" s="438"/>
      <c r="BD352" s="438"/>
      <c r="BE352" s="438"/>
      <c r="BF352" s="438"/>
      <c r="BG352" s="438"/>
      <c r="BH352" s="438"/>
    </row>
    <row r="353">
      <c r="A353" s="140"/>
      <c r="B353" s="456"/>
      <c r="C353" s="142"/>
      <c r="D353" s="142"/>
      <c r="E353" s="142"/>
      <c r="F353" s="140"/>
      <c r="G353" s="456"/>
      <c r="H353" s="142"/>
      <c r="I353" s="142"/>
      <c r="J353" s="142"/>
      <c r="K353" s="125"/>
      <c r="L353" s="456"/>
      <c r="M353" s="142"/>
      <c r="N353" s="142"/>
      <c r="O353" s="142"/>
      <c r="P353" s="125"/>
      <c r="Q353" s="450"/>
      <c r="R353" s="142"/>
      <c r="S353" s="142"/>
      <c r="T353" s="142"/>
      <c r="U353" s="140"/>
      <c r="V353" s="456"/>
      <c r="W353" s="142"/>
      <c r="X353" s="142"/>
      <c r="Y353" s="142"/>
      <c r="Z353" s="140"/>
      <c r="AA353" s="456"/>
      <c r="AB353" s="142"/>
      <c r="AC353" s="142"/>
      <c r="AD353" s="142"/>
      <c r="AE353" s="140"/>
      <c r="AF353" s="456"/>
      <c r="AG353" s="142"/>
      <c r="AH353" s="142"/>
      <c r="AI353" s="142"/>
      <c r="AJ353" s="140"/>
      <c r="AK353" s="456"/>
      <c r="AL353" s="142"/>
      <c r="AM353" s="142"/>
      <c r="AN353" s="142"/>
      <c r="AO353" s="438"/>
      <c r="AP353" s="438"/>
      <c r="AQ353" s="438"/>
      <c r="AR353" s="438"/>
      <c r="AS353" s="438"/>
      <c r="AT353" s="438"/>
      <c r="AU353" s="438"/>
      <c r="AV353" s="438"/>
      <c r="AW353" s="438"/>
      <c r="AX353" s="438"/>
      <c r="AY353" s="438"/>
      <c r="AZ353" s="438"/>
      <c r="BA353" s="438"/>
      <c r="BB353" s="438"/>
      <c r="BC353" s="438"/>
      <c r="BD353" s="438"/>
      <c r="BE353" s="438"/>
      <c r="BF353" s="438"/>
      <c r="BG353" s="438"/>
      <c r="BH353" s="438"/>
    </row>
    <row r="354">
      <c r="A354" s="140"/>
      <c r="B354" s="456"/>
      <c r="C354" s="142"/>
      <c r="D354" s="142"/>
      <c r="E354" s="142"/>
      <c r="F354" s="140"/>
      <c r="G354" s="456"/>
      <c r="H354" s="142"/>
      <c r="I354" s="142"/>
      <c r="J354" s="142"/>
      <c r="K354" s="125"/>
      <c r="L354" s="456"/>
      <c r="M354" s="142"/>
      <c r="N354" s="142"/>
      <c r="O354" s="142"/>
      <c r="P354" s="125"/>
      <c r="Q354" s="450"/>
      <c r="R354" s="142"/>
      <c r="S354" s="142"/>
      <c r="T354" s="142"/>
      <c r="U354" s="140"/>
      <c r="V354" s="456"/>
      <c r="W354" s="142"/>
      <c r="X354" s="142"/>
      <c r="Y354" s="142"/>
      <c r="Z354" s="140"/>
      <c r="AA354" s="456"/>
      <c r="AB354" s="142"/>
      <c r="AC354" s="142"/>
      <c r="AD354" s="142"/>
      <c r="AE354" s="140"/>
      <c r="AF354" s="456"/>
      <c r="AG354" s="142"/>
      <c r="AH354" s="142"/>
      <c r="AI354" s="142"/>
      <c r="AJ354" s="140"/>
      <c r="AK354" s="456"/>
      <c r="AL354" s="142"/>
      <c r="AM354" s="142"/>
      <c r="AN354" s="142"/>
      <c r="AO354" s="438"/>
      <c r="AP354" s="438"/>
      <c r="AQ354" s="438"/>
      <c r="AR354" s="438"/>
      <c r="AS354" s="438"/>
      <c r="AT354" s="438"/>
      <c r="AU354" s="438"/>
      <c r="AV354" s="438"/>
      <c r="AW354" s="438"/>
      <c r="AX354" s="438"/>
      <c r="AY354" s="438"/>
      <c r="AZ354" s="438"/>
      <c r="BA354" s="438"/>
      <c r="BB354" s="438"/>
      <c r="BC354" s="438"/>
      <c r="BD354" s="438"/>
      <c r="BE354" s="438"/>
      <c r="BF354" s="438"/>
      <c r="BG354" s="438"/>
      <c r="BH354" s="438"/>
    </row>
    <row r="355">
      <c r="A355" s="140"/>
      <c r="B355" s="456"/>
      <c r="C355" s="142"/>
      <c r="D355" s="142"/>
      <c r="E355" s="142"/>
      <c r="F355" s="140"/>
      <c r="G355" s="456"/>
      <c r="H355" s="142"/>
      <c r="I355" s="142"/>
      <c r="J355" s="142"/>
      <c r="K355" s="125"/>
      <c r="L355" s="456"/>
      <c r="M355" s="142"/>
      <c r="N355" s="142"/>
      <c r="O355" s="142"/>
      <c r="P355" s="125"/>
      <c r="Q355" s="450"/>
      <c r="R355" s="142"/>
      <c r="S355" s="142"/>
      <c r="T355" s="142"/>
      <c r="U355" s="140"/>
      <c r="V355" s="456"/>
      <c r="W355" s="142"/>
      <c r="X355" s="142"/>
      <c r="Y355" s="142"/>
      <c r="Z355" s="140"/>
      <c r="AA355" s="456"/>
      <c r="AB355" s="142"/>
      <c r="AC355" s="142"/>
      <c r="AD355" s="142"/>
      <c r="AE355" s="140"/>
      <c r="AF355" s="456"/>
      <c r="AG355" s="142"/>
      <c r="AH355" s="142"/>
      <c r="AI355" s="142"/>
      <c r="AJ355" s="140"/>
      <c r="AK355" s="456"/>
      <c r="AL355" s="142"/>
      <c r="AM355" s="142"/>
      <c r="AN355" s="142"/>
      <c r="AO355" s="438"/>
      <c r="AP355" s="438"/>
      <c r="AQ355" s="438"/>
      <c r="AR355" s="438"/>
      <c r="AS355" s="438"/>
      <c r="AT355" s="438"/>
      <c r="AU355" s="438"/>
      <c r="AV355" s="438"/>
      <c r="AW355" s="438"/>
      <c r="AX355" s="438"/>
      <c r="AY355" s="438"/>
      <c r="AZ355" s="438"/>
      <c r="BA355" s="438"/>
      <c r="BB355" s="438"/>
      <c r="BC355" s="438"/>
      <c r="BD355" s="438"/>
      <c r="BE355" s="438"/>
      <c r="BF355" s="438"/>
      <c r="BG355" s="438"/>
      <c r="BH355" s="438"/>
    </row>
    <row r="356">
      <c r="A356" s="140"/>
      <c r="B356" s="456"/>
      <c r="C356" s="142"/>
      <c r="D356" s="142"/>
      <c r="E356" s="142"/>
      <c r="F356" s="140"/>
      <c r="G356" s="456"/>
      <c r="H356" s="142"/>
      <c r="I356" s="142"/>
      <c r="J356" s="142"/>
      <c r="K356" s="125"/>
      <c r="L356" s="456"/>
      <c r="M356" s="142"/>
      <c r="N356" s="142"/>
      <c r="O356" s="142"/>
      <c r="P356" s="125"/>
      <c r="Q356" s="450"/>
      <c r="R356" s="142"/>
      <c r="S356" s="142"/>
      <c r="T356" s="142"/>
      <c r="U356" s="140"/>
      <c r="V356" s="456"/>
      <c r="W356" s="142"/>
      <c r="X356" s="142"/>
      <c r="Y356" s="142"/>
      <c r="Z356" s="140"/>
      <c r="AA356" s="456"/>
      <c r="AB356" s="142"/>
      <c r="AC356" s="142"/>
      <c r="AD356" s="142"/>
      <c r="AE356" s="140"/>
      <c r="AF356" s="456"/>
      <c r="AG356" s="142"/>
      <c r="AH356" s="142"/>
      <c r="AI356" s="142"/>
      <c r="AJ356" s="140"/>
      <c r="AK356" s="456"/>
      <c r="AL356" s="142"/>
      <c r="AM356" s="142"/>
      <c r="AN356" s="142"/>
      <c r="AO356" s="438"/>
      <c r="AP356" s="438"/>
      <c r="AQ356" s="438"/>
      <c r="AR356" s="438"/>
      <c r="AS356" s="438"/>
      <c r="AT356" s="438"/>
      <c r="AU356" s="438"/>
      <c r="AV356" s="438"/>
      <c r="AW356" s="438"/>
      <c r="AX356" s="438"/>
      <c r="AY356" s="438"/>
      <c r="AZ356" s="438"/>
      <c r="BA356" s="438"/>
      <c r="BB356" s="438"/>
      <c r="BC356" s="438"/>
      <c r="BD356" s="438"/>
      <c r="BE356" s="438"/>
      <c r="BF356" s="438"/>
      <c r="BG356" s="438"/>
      <c r="BH356" s="438"/>
    </row>
    <row r="357">
      <c r="A357" s="140"/>
      <c r="B357" s="456"/>
      <c r="C357" s="142"/>
      <c r="D357" s="142"/>
      <c r="E357" s="142"/>
      <c r="F357" s="140"/>
      <c r="G357" s="456"/>
      <c r="H357" s="142"/>
      <c r="I357" s="142"/>
      <c r="J357" s="142"/>
      <c r="K357" s="125"/>
      <c r="L357" s="456"/>
      <c r="M357" s="142"/>
      <c r="N357" s="142"/>
      <c r="O357" s="142"/>
      <c r="P357" s="125"/>
      <c r="Q357" s="450"/>
      <c r="R357" s="142"/>
      <c r="S357" s="142"/>
      <c r="T357" s="142"/>
      <c r="U357" s="140"/>
      <c r="V357" s="456"/>
      <c r="W357" s="142"/>
      <c r="X357" s="142"/>
      <c r="Y357" s="142"/>
      <c r="Z357" s="140"/>
      <c r="AA357" s="456"/>
      <c r="AB357" s="142"/>
      <c r="AC357" s="142"/>
      <c r="AD357" s="142"/>
      <c r="AE357" s="140"/>
      <c r="AF357" s="456"/>
      <c r="AG357" s="142"/>
      <c r="AH357" s="142"/>
      <c r="AI357" s="142"/>
      <c r="AJ357" s="140"/>
      <c r="AK357" s="456"/>
      <c r="AL357" s="142"/>
      <c r="AM357" s="142"/>
      <c r="AN357" s="142"/>
      <c r="AO357" s="438"/>
      <c r="AP357" s="438"/>
      <c r="AQ357" s="438"/>
      <c r="AR357" s="438"/>
      <c r="AS357" s="438"/>
      <c r="AT357" s="438"/>
      <c r="AU357" s="438"/>
      <c r="AV357" s="438"/>
      <c r="AW357" s="438"/>
      <c r="AX357" s="438"/>
      <c r="AY357" s="438"/>
      <c r="AZ357" s="438"/>
      <c r="BA357" s="438"/>
      <c r="BB357" s="438"/>
      <c r="BC357" s="438"/>
      <c r="BD357" s="438"/>
      <c r="BE357" s="438"/>
      <c r="BF357" s="438"/>
      <c r="BG357" s="438"/>
      <c r="BH357" s="438"/>
    </row>
    <row r="358">
      <c r="A358" s="140"/>
      <c r="B358" s="456"/>
      <c r="C358" s="142"/>
      <c r="D358" s="142"/>
      <c r="E358" s="142"/>
      <c r="F358" s="140"/>
      <c r="G358" s="456"/>
      <c r="H358" s="142"/>
      <c r="I358" s="142"/>
      <c r="J358" s="142"/>
      <c r="K358" s="125"/>
      <c r="L358" s="456"/>
      <c r="M358" s="142"/>
      <c r="N358" s="142"/>
      <c r="O358" s="142"/>
      <c r="P358" s="125"/>
      <c r="Q358" s="450"/>
      <c r="R358" s="142"/>
      <c r="S358" s="142"/>
      <c r="T358" s="142"/>
      <c r="U358" s="140"/>
      <c r="V358" s="456"/>
      <c r="W358" s="142"/>
      <c r="X358" s="142"/>
      <c r="Y358" s="142"/>
      <c r="Z358" s="140"/>
      <c r="AA358" s="456"/>
      <c r="AB358" s="142"/>
      <c r="AC358" s="142"/>
      <c r="AD358" s="142"/>
      <c r="AE358" s="140"/>
      <c r="AF358" s="456"/>
      <c r="AG358" s="142"/>
      <c r="AH358" s="142"/>
      <c r="AI358" s="142"/>
      <c r="AJ358" s="140"/>
      <c r="AK358" s="456"/>
      <c r="AL358" s="142"/>
      <c r="AM358" s="142"/>
      <c r="AN358" s="142"/>
      <c r="AO358" s="438"/>
      <c r="AP358" s="438"/>
      <c r="AQ358" s="438"/>
      <c r="AR358" s="438"/>
      <c r="AS358" s="438"/>
      <c r="AT358" s="438"/>
      <c r="AU358" s="438"/>
      <c r="AV358" s="438"/>
      <c r="AW358" s="438"/>
      <c r="AX358" s="438"/>
      <c r="AY358" s="438"/>
      <c r="AZ358" s="438"/>
      <c r="BA358" s="438"/>
      <c r="BB358" s="438"/>
      <c r="BC358" s="438"/>
      <c r="BD358" s="438"/>
      <c r="BE358" s="438"/>
      <c r="BF358" s="438"/>
      <c r="BG358" s="438"/>
      <c r="BH358" s="438"/>
    </row>
    <row r="359">
      <c r="A359" s="140"/>
      <c r="B359" s="456"/>
      <c r="C359" s="142"/>
      <c r="D359" s="142"/>
      <c r="E359" s="142"/>
      <c r="F359" s="140"/>
      <c r="G359" s="456"/>
      <c r="H359" s="142"/>
      <c r="I359" s="142"/>
      <c r="J359" s="142"/>
      <c r="K359" s="125"/>
      <c r="L359" s="456"/>
      <c r="M359" s="142"/>
      <c r="N359" s="142"/>
      <c r="O359" s="142"/>
      <c r="P359" s="125"/>
      <c r="Q359" s="450"/>
      <c r="R359" s="142"/>
      <c r="S359" s="142"/>
      <c r="T359" s="142"/>
      <c r="U359" s="140"/>
      <c r="V359" s="456"/>
      <c r="W359" s="142"/>
      <c r="X359" s="142"/>
      <c r="Y359" s="142"/>
      <c r="Z359" s="140"/>
      <c r="AA359" s="456"/>
      <c r="AB359" s="142"/>
      <c r="AC359" s="142"/>
      <c r="AD359" s="142"/>
      <c r="AE359" s="140"/>
      <c r="AF359" s="456"/>
      <c r="AG359" s="142"/>
      <c r="AH359" s="142"/>
      <c r="AI359" s="142"/>
      <c r="AJ359" s="140"/>
      <c r="AK359" s="456"/>
      <c r="AL359" s="142"/>
      <c r="AM359" s="142"/>
      <c r="AN359" s="142"/>
      <c r="AO359" s="438"/>
      <c r="AP359" s="438"/>
      <c r="AQ359" s="438"/>
      <c r="AR359" s="438"/>
      <c r="AS359" s="438"/>
      <c r="AT359" s="438"/>
      <c r="AU359" s="438"/>
      <c r="AV359" s="438"/>
      <c r="AW359" s="438"/>
      <c r="AX359" s="438"/>
      <c r="AY359" s="438"/>
      <c r="AZ359" s="438"/>
      <c r="BA359" s="438"/>
      <c r="BB359" s="438"/>
      <c r="BC359" s="438"/>
      <c r="BD359" s="438"/>
      <c r="BE359" s="438"/>
      <c r="BF359" s="438"/>
      <c r="BG359" s="438"/>
      <c r="BH359" s="438"/>
    </row>
    <row r="360">
      <c r="A360" s="140"/>
      <c r="B360" s="456"/>
      <c r="C360" s="142"/>
      <c r="D360" s="142"/>
      <c r="E360" s="142"/>
      <c r="F360" s="140"/>
      <c r="G360" s="456"/>
      <c r="H360" s="142"/>
      <c r="I360" s="142"/>
      <c r="J360" s="142"/>
      <c r="K360" s="125"/>
      <c r="L360" s="456"/>
      <c r="M360" s="142"/>
      <c r="N360" s="142"/>
      <c r="O360" s="142"/>
      <c r="P360" s="125"/>
      <c r="Q360" s="450"/>
      <c r="R360" s="142"/>
      <c r="S360" s="142"/>
      <c r="T360" s="142"/>
      <c r="U360" s="140"/>
      <c r="V360" s="456"/>
      <c r="W360" s="142"/>
      <c r="X360" s="142"/>
      <c r="Y360" s="142"/>
      <c r="Z360" s="140"/>
      <c r="AA360" s="456"/>
      <c r="AB360" s="142"/>
      <c r="AC360" s="142"/>
      <c r="AD360" s="142"/>
      <c r="AE360" s="140"/>
      <c r="AF360" s="456"/>
      <c r="AG360" s="142"/>
      <c r="AH360" s="142"/>
      <c r="AI360" s="142"/>
      <c r="AJ360" s="140"/>
      <c r="AK360" s="456"/>
      <c r="AL360" s="142"/>
      <c r="AM360" s="142"/>
      <c r="AN360" s="142"/>
      <c r="AO360" s="438"/>
      <c r="AP360" s="438"/>
      <c r="AQ360" s="438"/>
      <c r="AR360" s="438"/>
      <c r="AS360" s="438"/>
      <c r="AT360" s="438"/>
      <c r="AU360" s="438"/>
      <c r="AV360" s="438"/>
      <c r="AW360" s="438"/>
      <c r="AX360" s="438"/>
      <c r="AY360" s="438"/>
      <c r="AZ360" s="438"/>
      <c r="BA360" s="438"/>
      <c r="BB360" s="438"/>
      <c r="BC360" s="438"/>
      <c r="BD360" s="438"/>
      <c r="BE360" s="438"/>
      <c r="BF360" s="438"/>
      <c r="BG360" s="438"/>
      <c r="BH360" s="438"/>
    </row>
    <row r="361">
      <c r="A361" s="140"/>
      <c r="B361" s="456"/>
      <c r="C361" s="142"/>
      <c r="D361" s="142"/>
      <c r="E361" s="142"/>
      <c r="F361" s="140"/>
      <c r="G361" s="456"/>
      <c r="H361" s="142"/>
      <c r="I361" s="142"/>
      <c r="J361" s="142"/>
      <c r="K361" s="125"/>
      <c r="L361" s="456"/>
      <c r="M361" s="142"/>
      <c r="N361" s="142"/>
      <c r="O361" s="142"/>
      <c r="P361" s="125"/>
      <c r="Q361" s="450"/>
      <c r="R361" s="142"/>
      <c r="S361" s="142"/>
      <c r="T361" s="142"/>
      <c r="U361" s="140"/>
      <c r="V361" s="456"/>
      <c r="W361" s="142"/>
      <c r="X361" s="142"/>
      <c r="Y361" s="142"/>
      <c r="Z361" s="140"/>
      <c r="AA361" s="456"/>
      <c r="AB361" s="142"/>
      <c r="AC361" s="142"/>
      <c r="AD361" s="142"/>
      <c r="AE361" s="140"/>
      <c r="AF361" s="456"/>
      <c r="AG361" s="142"/>
      <c r="AH361" s="142"/>
      <c r="AI361" s="142"/>
      <c r="AJ361" s="140"/>
      <c r="AK361" s="456"/>
      <c r="AL361" s="142"/>
      <c r="AM361" s="142"/>
      <c r="AN361" s="142"/>
      <c r="AO361" s="438"/>
      <c r="AP361" s="438"/>
      <c r="AQ361" s="438"/>
      <c r="AR361" s="438"/>
      <c r="AS361" s="438"/>
      <c r="AT361" s="438"/>
      <c r="AU361" s="438"/>
      <c r="AV361" s="438"/>
      <c r="AW361" s="438"/>
      <c r="AX361" s="438"/>
      <c r="AY361" s="438"/>
      <c r="AZ361" s="438"/>
      <c r="BA361" s="438"/>
      <c r="BB361" s="438"/>
      <c r="BC361" s="438"/>
      <c r="BD361" s="438"/>
      <c r="BE361" s="438"/>
      <c r="BF361" s="438"/>
      <c r="BG361" s="438"/>
      <c r="BH361" s="438"/>
    </row>
    <row r="362">
      <c r="A362" s="140"/>
      <c r="B362" s="456"/>
      <c r="C362" s="142"/>
      <c r="D362" s="142"/>
      <c r="E362" s="142"/>
      <c r="F362" s="140"/>
      <c r="G362" s="456"/>
      <c r="H362" s="142"/>
      <c r="I362" s="142"/>
      <c r="J362" s="142"/>
      <c r="K362" s="125"/>
      <c r="L362" s="456"/>
      <c r="M362" s="142"/>
      <c r="N362" s="142"/>
      <c r="O362" s="142"/>
      <c r="P362" s="125"/>
      <c r="Q362" s="450"/>
      <c r="R362" s="142"/>
      <c r="S362" s="142"/>
      <c r="T362" s="142"/>
      <c r="U362" s="140"/>
      <c r="V362" s="456"/>
      <c r="W362" s="142"/>
      <c r="X362" s="142"/>
      <c r="Y362" s="142"/>
      <c r="Z362" s="140"/>
      <c r="AA362" s="456"/>
      <c r="AB362" s="142"/>
      <c r="AC362" s="142"/>
      <c r="AD362" s="142"/>
      <c r="AE362" s="140"/>
      <c r="AF362" s="456"/>
      <c r="AG362" s="142"/>
      <c r="AH362" s="142"/>
      <c r="AI362" s="142"/>
      <c r="AJ362" s="140"/>
      <c r="AK362" s="456"/>
      <c r="AL362" s="142"/>
      <c r="AM362" s="142"/>
      <c r="AN362" s="142"/>
      <c r="AO362" s="438"/>
      <c r="AP362" s="438"/>
      <c r="AQ362" s="438"/>
      <c r="AR362" s="438"/>
      <c r="AS362" s="438"/>
      <c r="AT362" s="438"/>
      <c r="AU362" s="438"/>
      <c r="AV362" s="438"/>
      <c r="AW362" s="438"/>
      <c r="AX362" s="438"/>
      <c r="AY362" s="438"/>
      <c r="AZ362" s="438"/>
      <c r="BA362" s="438"/>
      <c r="BB362" s="438"/>
      <c r="BC362" s="438"/>
      <c r="BD362" s="438"/>
      <c r="BE362" s="438"/>
      <c r="BF362" s="438"/>
      <c r="BG362" s="438"/>
      <c r="BH362" s="438"/>
    </row>
    <row r="363">
      <c r="A363" s="140"/>
      <c r="B363" s="456"/>
      <c r="C363" s="142"/>
      <c r="D363" s="142"/>
      <c r="E363" s="142"/>
      <c r="F363" s="140"/>
      <c r="G363" s="456"/>
      <c r="H363" s="142"/>
      <c r="I363" s="142"/>
      <c r="J363" s="142"/>
      <c r="K363" s="125"/>
      <c r="L363" s="456"/>
      <c r="M363" s="142"/>
      <c r="N363" s="142"/>
      <c r="O363" s="142"/>
      <c r="P363" s="125"/>
      <c r="Q363" s="450"/>
      <c r="R363" s="142"/>
      <c r="S363" s="142"/>
      <c r="T363" s="142"/>
      <c r="U363" s="140"/>
      <c r="V363" s="456"/>
      <c r="W363" s="142"/>
      <c r="X363" s="142"/>
      <c r="Y363" s="142"/>
      <c r="Z363" s="140"/>
      <c r="AA363" s="456"/>
      <c r="AB363" s="142"/>
      <c r="AC363" s="142"/>
      <c r="AD363" s="142"/>
      <c r="AE363" s="140"/>
      <c r="AF363" s="456"/>
      <c r="AG363" s="142"/>
      <c r="AH363" s="142"/>
      <c r="AI363" s="142"/>
      <c r="AJ363" s="140"/>
      <c r="AK363" s="456"/>
      <c r="AL363" s="142"/>
      <c r="AM363" s="142"/>
      <c r="AN363" s="142"/>
      <c r="AO363" s="438"/>
      <c r="AP363" s="438"/>
      <c r="AQ363" s="438"/>
      <c r="AR363" s="438"/>
      <c r="AS363" s="438"/>
      <c r="AT363" s="438"/>
      <c r="AU363" s="438"/>
      <c r="AV363" s="438"/>
      <c r="AW363" s="438"/>
      <c r="AX363" s="438"/>
      <c r="AY363" s="438"/>
      <c r="AZ363" s="438"/>
      <c r="BA363" s="438"/>
      <c r="BB363" s="438"/>
      <c r="BC363" s="438"/>
      <c r="BD363" s="438"/>
      <c r="BE363" s="438"/>
      <c r="BF363" s="438"/>
      <c r="BG363" s="438"/>
      <c r="BH363" s="438"/>
    </row>
    <row r="364">
      <c r="A364" s="140"/>
      <c r="B364" s="456"/>
      <c r="C364" s="142"/>
      <c r="D364" s="142"/>
      <c r="E364" s="142"/>
      <c r="F364" s="140"/>
      <c r="G364" s="456"/>
      <c r="H364" s="142"/>
      <c r="I364" s="142"/>
      <c r="J364" s="142"/>
      <c r="K364" s="125"/>
      <c r="L364" s="456"/>
      <c r="M364" s="142"/>
      <c r="N364" s="142"/>
      <c r="O364" s="142"/>
      <c r="P364" s="125"/>
      <c r="Q364" s="450"/>
      <c r="R364" s="142"/>
      <c r="S364" s="142"/>
      <c r="T364" s="142"/>
      <c r="U364" s="140"/>
      <c r="V364" s="456"/>
      <c r="W364" s="142"/>
      <c r="X364" s="142"/>
      <c r="Y364" s="142"/>
      <c r="Z364" s="140"/>
      <c r="AA364" s="456"/>
      <c r="AB364" s="142"/>
      <c r="AC364" s="142"/>
      <c r="AD364" s="142"/>
      <c r="AE364" s="140"/>
      <c r="AF364" s="456"/>
      <c r="AG364" s="142"/>
      <c r="AH364" s="142"/>
      <c r="AI364" s="142"/>
      <c r="AJ364" s="140"/>
      <c r="AK364" s="456"/>
      <c r="AL364" s="142"/>
      <c r="AM364" s="142"/>
      <c r="AN364" s="142"/>
      <c r="AO364" s="438"/>
      <c r="AP364" s="438"/>
      <c r="AQ364" s="438"/>
      <c r="AR364" s="438"/>
      <c r="AS364" s="438"/>
      <c r="AT364" s="438"/>
      <c r="AU364" s="438"/>
      <c r="AV364" s="438"/>
      <c r="AW364" s="438"/>
      <c r="AX364" s="438"/>
      <c r="AY364" s="438"/>
      <c r="AZ364" s="438"/>
      <c r="BA364" s="438"/>
      <c r="BB364" s="438"/>
      <c r="BC364" s="438"/>
      <c r="BD364" s="438"/>
      <c r="BE364" s="438"/>
      <c r="BF364" s="438"/>
      <c r="BG364" s="438"/>
      <c r="BH364" s="438"/>
    </row>
    <row r="365">
      <c r="A365" s="140"/>
      <c r="B365" s="456"/>
      <c r="C365" s="142"/>
      <c r="D365" s="142"/>
      <c r="E365" s="142"/>
      <c r="F365" s="140"/>
      <c r="G365" s="456"/>
      <c r="H365" s="142"/>
      <c r="I365" s="142"/>
      <c r="J365" s="142"/>
      <c r="K365" s="125"/>
      <c r="L365" s="456"/>
      <c r="M365" s="142"/>
      <c r="N365" s="142"/>
      <c r="O365" s="142"/>
      <c r="P365" s="125"/>
      <c r="Q365" s="450"/>
      <c r="R365" s="142"/>
      <c r="S365" s="142"/>
      <c r="T365" s="142"/>
      <c r="U365" s="140"/>
      <c r="V365" s="456"/>
      <c r="W365" s="142"/>
      <c r="X365" s="142"/>
      <c r="Y365" s="142"/>
      <c r="Z365" s="140"/>
      <c r="AA365" s="456"/>
      <c r="AB365" s="142"/>
      <c r="AC365" s="142"/>
      <c r="AD365" s="142"/>
      <c r="AE365" s="140"/>
      <c r="AF365" s="456"/>
      <c r="AG365" s="142"/>
      <c r="AH365" s="142"/>
      <c r="AI365" s="142"/>
      <c r="AJ365" s="140"/>
      <c r="AK365" s="456"/>
      <c r="AL365" s="142"/>
      <c r="AM365" s="142"/>
      <c r="AN365" s="142"/>
      <c r="AO365" s="438"/>
      <c r="AP365" s="438"/>
      <c r="AQ365" s="438"/>
      <c r="AR365" s="438"/>
      <c r="AS365" s="438"/>
      <c r="AT365" s="438"/>
      <c r="AU365" s="438"/>
      <c r="AV365" s="438"/>
      <c r="AW365" s="438"/>
      <c r="AX365" s="438"/>
      <c r="AY365" s="438"/>
      <c r="AZ365" s="438"/>
      <c r="BA365" s="438"/>
      <c r="BB365" s="438"/>
      <c r="BC365" s="438"/>
      <c r="BD365" s="438"/>
      <c r="BE365" s="438"/>
      <c r="BF365" s="438"/>
      <c r="BG365" s="438"/>
      <c r="BH365" s="438"/>
    </row>
    <row r="366">
      <c r="A366" s="140"/>
      <c r="B366" s="456"/>
      <c r="C366" s="142"/>
      <c r="D366" s="142"/>
      <c r="E366" s="142"/>
      <c r="F366" s="140"/>
      <c r="G366" s="456"/>
      <c r="H366" s="142"/>
      <c r="I366" s="142"/>
      <c r="J366" s="142"/>
      <c r="K366" s="125"/>
      <c r="L366" s="456"/>
      <c r="M366" s="142"/>
      <c r="N366" s="142"/>
      <c r="O366" s="142"/>
      <c r="P366" s="125"/>
      <c r="Q366" s="450"/>
      <c r="R366" s="142"/>
      <c r="S366" s="142"/>
      <c r="T366" s="142"/>
      <c r="U366" s="140"/>
      <c r="V366" s="456"/>
      <c r="W366" s="142"/>
      <c r="X366" s="142"/>
      <c r="Y366" s="142"/>
      <c r="Z366" s="140"/>
      <c r="AA366" s="456"/>
      <c r="AB366" s="142"/>
      <c r="AC366" s="142"/>
      <c r="AD366" s="142"/>
      <c r="AE366" s="140"/>
      <c r="AF366" s="456"/>
      <c r="AG366" s="142"/>
      <c r="AH366" s="142"/>
      <c r="AI366" s="142"/>
      <c r="AJ366" s="140"/>
      <c r="AK366" s="456"/>
      <c r="AL366" s="142"/>
      <c r="AM366" s="142"/>
      <c r="AN366" s="142"/>
      <c r="AO366" s="438"/>
      <c r="AP366" s="438"/>
      <c r="AQ366" s="438"/>
      <c r="AR366" s="438"/>
      <c r="AS366" s="438"/>
      <c r="AT366" s="438"/>
      <c r="AU366" s="438"/>
      <c r="AV366" s="438"/>
      <c r="AW366" s="438"/>
      <c r="AX366" s="438"/>
      <c r="AY366" s="438"/>
      <c r="AZ366" s="438"/>
      <c r="BA366" s="438"/>
      <c r="BB366" s="438"/>
      <c r="BC366" s="438"/>
      <c r="BD366" s="438"/>
      <c r="BE366" s="438"/>
      <c r="BF366" s="438"/>
      <c r="BG366" s="438"/>
      <c r="BH366" s="438"/>
    </row>
    <row r="367">
      <c r="A367" s="140"/>
      <c r="B367" s="456"/>
      <c r="C367" s="142"/>
      <c r="D367" s="142"/>
      <c r="E367" s="142"/>
      <c r="F367" s="140"/>
      <c r="G367" s="456"/>
      <c r="H367" s="142"/>
      <c r="I367" s="142"/>
      <c r="J367" s="142"/>
      <c r="K367" s="125"/>
      <c r="L367" s="456"/>
      <c r="M367" s="142"/>
      <c r="N367" s="142"/>
      <c r="O367" s="142"/>
      <c r="P367" s="125"/>
      <c r="Q367" s="450"/>
      <c r="R367" s="142"/>
      <c r="S367" s="142"/>
      <c r="T367" s="142"/>
      <c r="U367" s="140"/>
      <c r="V367" s="456"/>
      <c r="W367" s="142"/>
      <c r="X367" s="142"/>
      <c r="Y367" s="142"/>
      <c r="Z367" s="140"/>
      <c r="AA367" s="456"/>
      <c r="AB367" s="142"/>
      <c r="AC367" s="142"/>
      <c r="AD367" s="142"/>
      <c r="AE367" s="140"/>
      <c r="AF367" s="456"/>
      <c r="AG367" s="142"/>
      <c r="AH367" s="142"/>
      <c r="AI367" s="142"/>
      <c r="AJ367" s="140"/>
      <c r="AK367" s="456"/>
      <c r="AL367" s="142"/>
      <c r="AM367" s="142"/>
      <c r="AN367" s="142"/>
      <c r="AO367" s="438"/>
      <c r="AP367" s="438"/>
      <c r="AQ367" s="438"/>
      <c r="AR367" s="438"/>
      <c r="AS367" s="438"/>
      <c r="AT367" s="438"/>
      <c r="AU367" s="438"/>
      <c r="AV367" s="438"/>
      <c r="AW367" s="438"/>
      <c r="AX367" s="438"/>
      <c r="AY367" s="438"/>
      <c r="AZ367" s="438"/>
      <c r="BA367" s="438"/>
      <c r="BB367" s="438"/>
      <c r="BC367" s="438"/>
      <c r="BD367" s="438"/>
      <c r="BE367" s="438"/>
      <c r="BF367" s="438"/>
      <c r="BG367" s="438"/>
      <c r="BH367" s="438"/>
    </row>
    <row r="368">
      <c r="A368" s="140"/>
      <c r="B368" s="456"/>
      <c r="C368" s="142"/>
      <c r="D368" s="142"/>
      <c r="E368" s="142"/>
      <c r="F368" s="140"/>
      <c r="G368" s="456"/>
      <c r="H368" s="142"/>
      <c r="I368" s="142"/>
      <c r="J368" s="142"/>
      <c r="K368" s="125"/>
      <c r="L368" s="456"/>
      <c r="M368" s="142"/>
      <c r="N368" s="142"/>
      <c r="O368" s="142"/>
      <c r="P368" s="125"/>
      <c r="Q368" s="450"/>
      <c r="R368" s="142"/>
      <c r="S368" s="142"/>
      <c r="T368" s="142"/>
      <c r="U368" s="140"/>
      <c r="V368" s="456"/>
      <c r="W368" s="142"/>
      <c r="X368" s="142"/>
      <c r="Y368" s="142"/>
      <c r="Z368" s="140"/>
      <c r="AA368" s="456"/>
      <c r="AB368" s="142"/>
      <c r="AC368" s="142"/>
      <c r="AD368" s="142"/>
      <c r="AE368" s="140"/>
      <c r="AF368" s="456"/>
      <c r="AG368" s="142"/>
      <c r="AH368" s="142"/>
      <c r="AI368" s="142"/>
      <c r="AJ368" s="140"/>
      <c r="AK368" s="456"/>
      <c r="AL368" s="142"/>
      <c r="AM368" s="142"/>
      <c r="AN368" s="142"/>
      <c r="AO368" s="438"/>
      <c r="AP368" s="438"/>
      <c r="AQ368" s="438"/>
      <c r="AR368" s="438"/>
      <c r="AS368" s="438"/>
      <c r="AT368" s="438"/>
      <c r="AU368" s="438"/>
      <c r="AV368" s="438"/>
      <c r="AW368" s="438"/>
      <c r="AX368" s="438"/>
      <c r="AY368" s="438"/>
      <c r="AZ368" s="438"/>
      <c r="BA368" s="438"/>
      <c r="BB368" s="438"/>
      <c r="BC368" s="438"/>
      <c r="BD368" s="438"/>
      <c r="BE368" s="438"/>
      <c r="BF368" s="438"/>
      <c r="BG368" s="438"/>
      <c r="BH368" s="438"/>
    </row>
    <row r="369">
      <c r="A369" s="140"/>
      <c r="B369" s="456"/>
      <c r="C369" s="142"/>
      <c r="D369" s="142"/>
      <c r="E369" s="142"/>
      <c r="F369" s="140"/>
      <c r="G369" s="456"/>
      <c r="H369" s="142"/>
      <c r="I369" s="142"/>
      <c r="J369" s="142"/>
      <c r="K369" s="125"/>
      <c r="L369" s="456"/>
      <c r="M369" s="142"/>
      <c r="N369" s="142"/>
      <c r="O369" s="142"/>
      <c r="P369" s="125"/>
      <c r="Q369" s="450"/>
      <c r="R369" s="142"/>
      <c r="S369" s="142"/>
      <c r="T369" s="142"/>
      <c r="U369" s="140"/>
      <c r="V369" s="456"/>
      <c r="W369" s="142"/>
      <c r="X369" s="142"/>
      <c r="Y369" s="142"/>
      <c r="Z369" s="140"/>
      <c r="AA369" s="456"/>
      <c r="AB369" s="142"/>
      <c r="AC369" s="142"/>
      <c r="AD369" s="142"/>
      <c r="AE369" s="140"/>
      <c r="AF369" s="456"/>
      <c r="AG369" s="142"/>
      <c r="AH369" s="142"/>
      <c r="AI369" s="142"/>
      <c r="AJ369" s="140"/>
      <c r="AK369" s="456"/>
      <c r="AL369" s="142"/>
      <c r="AM369" s="142"/>
      <c r="AN369" s="142"/>
      <c r="AO369" s="438"/>
      <c r="AP369" s="438"/>
      <c r="AQ369" s="438"/>
      <c r="AR369" s="438"/>
      <c r="AS369" s="438"/>
      <c r="AT369" s="438"/>
      <c r="AU369" s="438"/>
      <c r="AV369" s="438"/>
      <c r="AW369" s="438"/>
      <c r="AX369" s="438"/>
      <c r="AY369" s="438"/>
      <c r="AZ369" s="438"/>
      <c r="BA369" s="438"/>
      <c r="BB369" s="438"/>
      <c r="BC369" s="438"/>
      <c r="BD369" s="438"/>
      <c r="BE369" s="438"/>
      <c r="BF369" s="438"/>
      <c r="BG369" s="438"/>
      <c r="BH369" s="438"/>
    </row>
    <row r="370">
      <c r="A370" s="140"/>
      <c r="B370" s="456"/>
      <c r="C370" s="142"/>
      <c r="D370" s="142"/>
      <c r="E370" s="142"/>
      <c r="F370" s="140"/>
      <c r="G370" s="456"/>
      <c r="H370" s="142"/>
      <c r="I370" s="142"/>
      <c r="J370" s="142"/>
      <c r="K370" s="125"/>
      <c r="L370" s="456"/>
      <c r="M370" s="142"/>
      <c r="N370" s="142"/>
      <c r="O370" s="142"/>
      <c r="P370" s="125"/>
      <c r="Q370" s="450"/>
      <c r="R370" s="142"/>
      <c r="S370" s="142"/>
      <c r="T370" s="142"/>
      <c r="U370" s="140"/>
      <c r="V370" s="456"/>
      <c r="W370" s="142"/>
      <c r="X370" s="142"/>
      <c r="Y370" s="142"/>
      <c r="Z370" s="140"/>
      <c r="AA370" s="456"/>
      <c r="AB370" s="142"/>
      <c r="AC370" s="142"/>
      <c r="AD370" s="142"/>
      <c r="AE370" s="140"/>
      <c r="AF370" s="456"/>
      <c r="AG370" s="142"/>
      <c r="AH370" s="142"/>
      <c r="AI370" s="142"/>
      <c r="AJ370" s="140"/>
      <c r="AK370" s="456"/>
      <c r="AL370" s="142"/>
      <c r="AM370" s="142"/>
      <c r="AN370" s="142"/>
      <c r="AO370" s="438"/>
      <c r="AP370" s="438"/>
      <c r="AQ370" s="438"/>
      <c r="AR370" s="438"/>
      <c r="AS370" s="438"/>
      <c r="AT370" s="438"/>
      <c r="AU370" s="438"/>
      <c r="AV370" s="438"/>
      <c r="AW370" s="438"/>
      <c r="AX370" s="438"/>
      <c r="AY370" s="438"/>
      <c r="AZ370" s="438"/>
      <c r="BA370" s="438"/>
      <c r="BB370" s="438"/>
      <c r="BC370" s="438"/>
      <c r="BD370" s="438"/>
      <c r="BE370" s="438"/>
      <c r="BF370" s="438"/>
      <c r="BG370" s="438"/>
      <c r="BH370" s="438"/>
    </row>
    <row r="371">
      <c r="A371" s="140"/>
      <c r="B371" s="456"/>
      <c r="C371" s="142"/>
      <c r="D371" s="142"/>
      <c r="E371" s="142"/>
      <c r="F371" s="140"/>
      <c r="G371" s="456"/>
      <c r="H371" s="142"/>
      <c r="I371" s="142"/>
      <c r="J371" s="142"/>
      <c r="K371" s="125"/>
      <c r="L371" s="456"/>
      <c r="M371" s="142"/>
      <c r="N371" s="142"/>
      <c r="O371" s="142"/>
      <c r="P371" s="125"/>
      <c r="Q371" s="450"/>
      <c r="R371" s="142"/>
      <c r="S371" s="142"/>
      <c r="T371" s="142"/>
      <c r="U371" s="140"/>
      <c r="V371" s="456"/>
      <c r="W371" s="142"/>
      <c r="X371" s="142"/>
      <c r="Y371" s="142"/>
      <c r="Z371" s="140"/>
      <c r="AA371" s="456"/>
      <c r="AB371" s="142"/>
      <c r="AC371" s="142"/>
      <c r="AD371" s="142"/>
      <c r="AE371" s="140"/>
      <c r="AF371" s="456"/>
      <c r="AG371" s="142"/>
      <c r="AH371" s="142"/>
      <c r="AI371" s="142"/>
      <c r="AJ371" s="140"/>
      <c r="AK371" s="456"/>
      <c r="AL371" s="142"/>
      <c r="AM371" s="142"/>
      <c r="AN371" s="142"/>
      <c r="AO371" s="438"/>
      <c r="AP371" s="438"/>
      <c r="AQ371" s="438"/>
      <c r="AR371" s="438"/>
      <c r="AS371" s="438"/>
      <c r="AT371" s="438"/>
      <c r="AU371" s="438"/>
      <c r="AV371" s="438"/>
      <c r="AW371" s="438"/>
      <c r="AX371" s="438"/>
      <c r="AY371" s="438"/>
      <c r="AZ371" s="438"/>
      <c r="BA371" s="438"/>
      <c r="BB371" s="438"/>
      <c r="BC371" s="438"/>
      <c r="BD371" s="438"/>
      <c r="BE371" s="438"/>
      <c r="BF371" s="438"/>
      <c r="BG371" s="438"/>
      <c r="BH371" s="438"/>
    </row>
    <row r="372">
      <c r="A372" s="140"/>
      <c r="B372" s="456"/>
      <c r="C372" s="142"/>
      <c r="D372" s="142"/>
      <c r="E372" s="142"/>
      <c r="F372" s="140"/>
      <c r="G372" s="456"/>
      <c r="H372" s="142"/>
      <c r="I372" s="142"/>
      <c r="J372" s="142"/>
      <c r="K372" s="125"/>
      <c r="L372" s="456"/>
      <c r="M372" s="142"/>
      <c r="N372" s="142"/>
      <c r="O372" s="142"/>
      <c r="P372" s="125"/>
      <c r="Q372" s="450"/>
      <c r="R372" s="142"/>
      <c r="S372" s="142"/>
      <c r="T372" s="142"/>
      <c r="U372" s="140"/>
      <c r="V372" s="456"/>
      <c r="W372" s="142"/>
      <c r="X372" s="142"/>
      <c r="Y372" s="142"/>
      <c r="Z372" s="140"/>
      <c r="AA372" s="456"/>
      <c r="AB372" s="142"/>
      <c r="AC372" s="142"/>
      <c r="AD372" s="142"/>
      <c r="AE372" s="140"/>
      <c r="AF372" s="456"/>
      <c r="AG372" s="142"/>
      <c r="AH372" s="142"/>
      <c r="AI372" s="142"/>
      <c r="AJ372" s="140"/>
      <c r="AK372" s="456"/>
      <c r="AL372" s="142"/>
      <c r="AM372" s="142"/>
      <c r="AN372" s="142"/>
      <c r="AO372" s="438"/>
      <c r="AP372" s="438"/>
      <c r="AQ372" s="438"/>
      <c r="AR372" s="438"/>
      <c r="AS372" s="438"/>
      <c r="AT372" s="438"/>
      <c r="AU372" s="438"/>
      <c r="AV372" s="438"/>
      <c r="AW372" s="438"/>
      <c r="AX372" s="438"/>
      <c r="AY372" s="438"/>
      <c r="AZ372" s="438"/>
      <c r="BA372" s="438"/>
      <c r="BB372" s="438"/>
      <c r="BC372" s="438"/>
      <c r="BD372" s="438"/>
      <c r="BE372" s="438"/>
      <c r="BF372" s="438"/>
      <c r="BG372" s="438"/>
      <c r="BH372" s="438"/>
    </row>
    <row r="373">
      <c r="A373" s="140"/>
      <c r="B373" s="456"/>
      <c r="C373" s="142"/>
      <c r="D373" s="142"/>
      <c r="E373" s="142"/>
      <c r="F373" s="140"/>
      <c r="G373" s="456"/>
      <c r="H373" s="142"/>
      <c r="I373" s="142"/>
      <c r="J373" s="142"/>
      <c r="K373" s="125"/>
      <c r="L373" s="456"/>
      <c r="M373" s="142"/>
      <c r="N373" s="142"/>
      <c r="O373" s="142"/>
      <c r="P373" s="125"/>
      <c r="Q373" s="450"/>
      <c r="R373" s="142"/>
      <c r="S373" s="142"/>
      <c r="T373" s="142"/>
      <c r="U373" s="140"/>
      <c r="V373" s="456"/>
      <c r="W373" s="142"/>
      <c r="X373" s="142"/>
      <c r="Y373" s="142"/>
      <c r="Z373" s="140"/>
      <c r="AA373" s="456"/>
      <c r="AB373" s="142"/>
      <c r="AC373" s="142"/>
      <c r="AD373" s="142"/>
      <c r="AE373" s="140"/>
      <c r="AF373" s="456"/>
      <c r="AG373" s="142"/>
      <c r="AH373" s="142"/>
      <c r="AI373" s="142"/>
      <c r="AJ373" s="140"/>
      <c r="AK373" s="456"/>
      <c r="AL373" s="142"/>
      <c r="AM373" s="142"/>
      <c r="AN373" s="142"/>
      <c r="AO373" s="438"/>
      <c r="AP373" s="438"/>
      <c r="AQ373" s="438"/>
      <c r="AR373" s="438"/>
      <c r="AS373" s="438"/>
      <c r="AT373" s="438"/>
      <c r="AU373" s="438"/>
      <c r="AV373" s="438"/>
      <c r="AW373" s="438"/>
      <c r="AX373" s="438"/>
      <c r="AY373" s="438"/>
      <c r="AZ373" s="438"/>
      <c r="BA373" s="438"/>
      <c r="BB373" s="438"/>
      <c r="BC373" s="438"/>
      <c r="BD373" s="438"/>
      <c r="BE373" s="438"/>
      <c r="BF373" s="438"/>
      <c r="BG373" s="438"/>
      <c r="BH373" s="438"/>
    </row>
    <row r="374">
      <c r="A374" s="140"/>
      <c r="B374" s="456"/>
      <c r="C374" s="142"/>
      <c r="D374" s="142"/>
      <c r="E374" s="142"/>
      <c r="F374" s="140"/>
      <c r="G374" s="456"/>
      <c r="H374" s="142"/>
      <c r="I374" s="142"/>
      <c r="J374" s="142"/>
      <c r="K374" s="125"/>
      <c r="L374" s="456"/>
      <c r="M374" s="142"/>
      <c r="N374" s="142"/>
      <c r="O374" s="142"/>
      <c r="P374" s="125"/>
      <c r="Q374" s="450"/>
      <c r="R374" s="142"/>
      <c r="S374" s="142"/>
      <c r="T374" s="142"/>
      <c r="U374" s="140"/>
      <c r="V374" s="456"/>
      <c r="W374" s="142"/>
      <c r="X374" s="142"/>
      <c r="Y374" s="142"/>
      <c r="Z374" s="140"/>
      <c r="AA374" s="456"/>
      <c r="AB374" s="142"/>
      <c r="AC374" s="142"/>
      <c r="AD374" s="142"/>
      <c r="AE374" s="140"/>
      <c r="AF374" s="456"/>
      <c r="AG374" s="142"/>
      <c r="AH374" s="142"/>
      <c r="AI374" s="142"/>
      <c r="AJ374" s="140"/>
      <c r="AK374" s="456"/>
      <c r="AL374" s="142"/>
      <c r="AM374" s="142"/>
      <c r="AN374" s="142"/>
      <c r="AO374" s="438"/>
      <c r="AP374" s="438"/>
      <c r="AQ374" s="438"/>
      <c r="AR374" s="438"/>
      <c r="AS374" s="438"/>
      <c r="AT374" s="438"/>
      <c r="AU374" s="438"/>
      <c r="AV374" s="438"/>
      <c r="AW374" s="438"/>
      <c r="AX374" s="438"/>
      <c r="AY374" s="438"/>
      <c r="AZ374" s="438"/>
      <c r="BA374" s="438"/>
      <c r="BB374" s="438"/>
      <c r="BC374" s="438"/>
      <c r="BD374" s="438"/>
      <c r="BE374" s="438"/>
      <c r="BF374" s="438"/>
      <c r="BG374" s="438"/>
      <c r="BH374" s="438"/>
    </row>
    <row r="375">
      <c r="A375" s="140"/>
      <c r="B375" s="456"/>
      <c r="C375" s="142"/>
      <c r="D375" s="142"/>
      <c r="E375" s="142"/>
      <c r="F375" s="140"/>
      <c r="G375" s="456"/>
      <c r="H375" s="142"/>
      <c r="I375" s="142"/>
      <c r="J375" s="142"/>
      <c r="K375" s="125"/>
      <c r="L375" s="456"/>
      <c r="M375" s="142"/>
      <c r="N375" s="142"/>
      <c r="O375" s="142"/>
      <c r="P375" s="125"/>
      <c r="Q375" s="450"/>
      <c r="R375" s="142"/>
      <c r="S375" s="142"/>
      <c r="T375" s="142"/>
      <c r="U375" s="140"/>
      <c r="V375" s="456"/>
      <c r="W375" s="142"/>
      <c r="X375" s="142"/>
      <c r="Y375" s="142"/>
      <c r="Z375" s="140"/>
      <c r="AA375" s="456"/>
      <c r="AB375" s="142"/>
      <c r="AC375" s="142"/>
      <c r="AD375" s="142"/>
      <c r="AE375" s="140"/>
      <c r="AF375" s="456"/>
      <c r="AG375" s="142"/>
      <c r="AH375" s="142"/>
      <c r="AI375" s="142"/>
      <c r="AJ375" s="140"/>
      <c r="AK375" s="456"/>
      <c r="AL375" s="142"/>
      <c r="AM375" s="142"/>
      <c r="AN375" s="142"/>
      <c r="AO375" s="438"/>
      <c r="AP375" s="438"/>
      <c r="AQ375" s="438"/>
      <c r="AR375" s="438"/>
      <c r="AS375" s="438"/>
      <c r="AT375" s="438"/>
      <c r="AU375" s="438"/>
      <c r="AV375" s="438"/>
      <c r="AW375" s="438"/>
      <c r="AX375" s="438"/>
      <c r="AY375" s="438"/>
      <c r="AZ375" s="438"/>
      <c r="BA375" s="438"/>
      <c r="BB375" s="438"/>
      <c r="BC375" s="438"/>
      <c r="BD375" s="438"/>
      <c r="BE375" s="438"/>
      <c r="BF375" s="438"/>
      <c r="BG375" s="438"/>
      <c r="BH375" s="438"/>
    </row>
    <row r="376">
      <c r="A376" s="140"/>
      <c r="B376" s="456"/>
      <c r="C376" s="142"/>
      <c r="D376" s="142"/>
      <c r="E376" s="142"/>
      <c r="F376" s="140"/>
      <c r="G376" s="456"/>
      <c r="H376" s="142"/>
      <c r="I376" s="142"/>
      <c r="J376" s="142"/>
      <c r="K376" s="125"/>
      <c r="L376" s="456"/>
      <c r="M376" s="142"/>
      <c r="N376" s="142"/>
      <c r="O376" s="142"/>
      <c r="P376" s="125"/>
      <c r="Q376" s="450"/>
      <c r="R376" s="142"/>
      <c r="S376" s="142"/>
      <c r="T376" s="142"/>
      <c r="U376" s="140"/>
      <c r="V376" s="456"/>
      <c r="W376" s="142"/>
      <c r="X376" s="142"/>
      <c r="Y376" s="142"/>
      <c r="Z376" s="140"/>
      <c r="AA376" s="456"/>
      <c r="AB376" s="142"/>
      <c r="AC376" s="142"/>
      <c r="AD376" s="142"/>
      <c r="AE376" s="140"/>
      <c r="AF376" s="456"/>
      <c r="AG376" s="142"/>
      <c r="AH376" s="142"/>
      <c r="AI376" s="142"/>
      <c r="AJ376" s="140"/>
      <c r="AK376" s="456"/>
      <c r="AL376" s="142"/>
      <c r="AM376" s="142"/>
      <c r="AN376" s="142"/>
      <c r="AO376" s="438"/>
      <c r="AP376" s="438"/>
      <c r="AQ376" s="438"/>
      <c r="AR376" s="438"/>
      <c r="AS376" s="438"/>
      <c r="AT376" s="438"/>
      <c r="AU376" s="438"/>
      <c r="AV376" s="438"/>
      <c r="AW376" s="438"/>
      <c r="AX376" s="438"/>
      <c r="AY376" s="438"/>
      <c r="AZ376" s="438"/>
      <c r="BA376" s="438"/>
      <c r="BB376" s="438"/>
      <c r="BC376" s="438"/>
      <c r="BD376" s="438"/>
      <c r="BE376" s="438"/>
      <c r="BF376" s="438"/>
      <c r="BG376" s="438"/>
      <c r="BH376" s="438"/>
    </row>
    <row r="377">
      <c r="A377" s="140"/>
      <c r="B377" s="456"/>
      <c r="C377" s="142"/>
      <c r="D377" s="142"/>
      <c r="E377" s="142"/>
      <c r="F377" s="140"/>
      <c r="G377" s="456"/>
      <c r="H377" s="142"/>
      <c r="I377" s="142"/>
      <c r="J377" s="142"/>
      <c r="K377" s="125"/>
      <c r="L377" s="456"/>
      <c r="M377" s="142"/>
      <c r="N377" s="142"/>
      <c r="O377" s="142"/>
      <c r="P377" s="125"/>
      <c r="Q377" s="450"/>
      <c r="R377" s="142"/>
      <c r="S377" s="142"/>
      <c r="T377" s="142"/>
      <c r="U377" s="140"/>
      <c r="V377" s="456"/>
      <c r="W377" s="142"/>
      <c r="X377" s="142"/>
      <c r="Y377" s="142"/>
      <c r="Z377" s="140"/>
      <c r="AA377" s="456"/>
      <c r="AB377" s="142"/>
      <c r="AC377" s="142"/>
      <c r="AD377" s="142"/>
      <c r="AE377" s="140"/>
      <c r="AF377" s="456"/>
      <c r="AG377" s="142"/>
      <c r="AH377" s="142"/>
      <c r="AI377" s="142"/>
      <c r="AJ377" s="140"/>
      <c r="AK377" s="456"/>
      <c r="AL377" s="142"/>
      <c r="AM377" s="142"/>
      <c r="AN377" s="142"/>
      <c r="AO377" s="438"/>
      <c r="AP377" s="438"/>
      <c r="AQ377" s="438"/>
      <c r="AR377" s="438"/>
      <c r="AS377" s="438"/>
      <c r="AT377" s="438"/>
      <c r="AU377" s="438"/>
      <c r="AV377" s="438"/>
      <c r="AW377" s="438"/>
      <c r="AX377" s="438"/>
      <c r="AY377" s="438"/>
      <c r="AZ377" s="438"/>
      <c r="BA377" s="438"/>
      <c r="BB377" s="438"/>
      <c r="BC377" s="438"/>
      <c r="BD377" s="438"/>
      <c r="BE377" s="438"/>
      <c r="BF377" s="438"/>
      <c r="BG377" s="438"/>
      <c r="BH377" s="438"/>
    </row>
    <row r="378">
      <c r="A378" s="140"/>
      <c r="B378" s="456"/>
      <c r="C378" s="142"/>
      <c r="D378" s="142"/>
      <c r="E378" s="142"/>
      <c r="F378" s="140"/>
      <c r="G378" s="456"/>
      <c r="H378" s="142"/>
      <c r="I378" s="142"/>
      <c r="J378" s="142"/>
      <c r="K378" s="125"/>
      <c r="L378" s="456"/>
      <c r="M378" s="142"/>
      <c r="N378" s="142"/>
      <c r="O378" s="142"/>
      <c r="P378" s="125"/>
      <c r="Q378" s="450"/>
      <c r="R378" s="142"/>
      <c r="S378" s="142"/>
      <c r="T378" s="142"/>
      <c r="U378" s="140"/>
      <c r="V378" s="456"/>
      <c r="W378" s="142"/>
      <c r="X378" s="142"/>
      <c r="Y378" s="142"/>
      <c r="Z378" s="140"/>
      <c r="AA378" s="456"/>
      <c r="AB378" s="142"/>
      <c r="AC378" s="142"/>
      <c r="AD378" s="142"/>
      <c r="AE378" s="140"/>
      <c r="AF378" s="456"/>
      <c r="AG378" s="142"/>
      <c r="AH378" s="142"/>
      <c r="AI378" s="142"/>
      <c r="AJ378" s="140"/>
      <c r="AK378" s="456"/>
      <c r="AL378" s="142"/>
      <c r="AM378" s="142"/>
      <c r="AN378" s="142"/>
      <c r="AO378" s="438"/>
      <c r="AP378" s="438"/>
      <c r="AQ378" s="438"/>
      <c r="AR378" s="438"/>
      <c r="AS378" s="438"/>
      <c r="AT378" s="438"/>
      <c r="AU378" s="438"/>
      <c r="AV378" s="438"/>
      <c r="AW378" s="438"/>
      <c r="AX378" s="438"/>
      <c r="AY378" s="438"/>
      <c r="AZ378" s="438"/>
      <c r="BA378" s="438"/>
      <c r="BB378" s="438"/>
      <c r="BC378" s="438"/>
      <c r="BD378" s="438"/>
      <c r="BE378" s="438"/>
      <c r="BF378" s="438"/>
      <c r="BG378" s="438"/>
      <c r="BH378" s="438"/>
    </row>
    <row r="379">
      <c r="A379" s="140"/>
      <c r="B379" s="456"/>
      <c r="C379" s="142"/>
      <c r="D379" s="142"/>
      <c r="E379" s="142"/>
      <c r="F379" s="140"/>
      <c r="G379" s="456"/>
      <c r="H379" s="142"/>
      <c r="I379" s="142"/>
      <c r="J379" s="142"/>
      <c r="K379" s="125"/>
      <c r="L379" s="456"/>
      <c r="M379" s="142"/>
      <c r="N379" s="142"/>
      <c r="O379" s="142"/>
      <c r="P379" s="125"/>
      <c r="Q379" s="450"/>
      <c r="R379" s="142"/>
      <c r="S379" s="142"/>
      <c r="T379" s="142"/>
      <c r="U379" s="140"/>
      <c r="V379" s="456"/>
      <c r="W379" s="142"/>
      <c r="X379" s="142"/>
      <c r="Y379" s="142"/>
      <c r="Z379" s="140"/>
      <c r="AA379" s="456"/>
      <c r="AB379" s="142"/>
      <c r="AC379" s="142"/>
      <c r="AD379" s="142"/>
      <c r="AE379" s="140"/>
      <c r="AF379" s="456"/>
      <c r="AG379" s="142"/>
      <c r="AH379" s="142"/>
      <c r="AI379" s="142"/>
      <c r="AJ379" s="140"/>
      <c r="AK379" s="456"/>
      <c r="AL379" s="142"/>
      <c r="AM379" s="142"/>
      <c r="AN379" s="142"/>
      <c r="AO379" s="438"/>
      <c r="AP379" s="438"/>
      <c r="AQ379" s="438"/>
      <c r="AR379" s="438"/>
      <c r="AS379" s="438"/>
      <c r="AT379" s="438"/>
      <c r="AU379" s="438"/>
      <c r="AV379" s="438"/>
      <c r="AW379" s="438"/>
      <c r="AX379" s="438"/>
      <c r="AY379" s="438"/>
      <c r="AZ379" s="438"/>
      <c r="BA379" s="438"/>
      <c r="BB379" s="438"/>
      <c r="BC379" s="438"/>
      <c r="BD379" s="438"/>
      <c r="BE379" s="438"/>
      <c r="BF379" s="438"/>
      <c r="BG379" s="438"/>
      <c r="BH379" s="438"/>
    </row>
    <row r="380">
      <c r="A380" s="140"/>
      <c r="B380" s="456"/>
      <c r="C380" s="142"/>
      <c r="D380" s="142"/>
      <c r="E380" s="142"/>
      <c r="F380" s="140"/>
      <c r="G380" s="456"/>
      <c r="H380" s="142"/>
      <c r="I380" s="142"/>
      <c r="J380" s="142"/>
      <c r="K380" s="125"/>
      <c r="L380" s="456"/>
      <c r="M380" s="142"/>
      <c r="N380" s="142"/>
      <c r="O380" s="142"/>
      <c r="P380" s="125"/>
      <c r="Q380" s="450"/>
      <c r="R380" s="142"/>
      <c r="S380" s="142"/>
      <c r="T380" s="142"/>
      <c r="U380" s="140"/>
      <c r="V380" s="456"/>
      <c r="W380" s="142"/>
      <c r="X380" s="142"/>
      <c r="Y380" s="142"/>
      <c r="Z380" s="140"/>
      <c r="AA380" s="456"/>
      <c r="AB380" s="142"/>
      <c r="AC380" s="142"/>
      <c r="AD380" s="142"/>
      <c r="AE380" s="140"/>
      <c r="AF380" s="456"/>
      <c r="AG380" s="142"/>
      <c r="AH380" s="142"/>
      <c r="AI380" s="142"/>
      <c r="AJ380" s="140"/>
      <c r="AK380" s="456"/>
      <c r="AL380" s="142"/>
      <c r="AM380" s="142"/>
      <c r="AN380" s="142"/>
      <c r="AO380" s="438"/>
      <c r="AP380" s="438"/>
      <c r="AQ380" s="438"/>
      <c r="AR380" s="438"/>
      <c r="AS380" s="438"/>
      <c r="AT380" s="438"/>
      <c r="AU380" s="438"/>
      <c r="AV380" s="438"/>
      <c r="AW380" s="438"/>
      <c r="AX380" s="438"/>
      <c r="AY380" s="438"/>
      <c r="AZ380" s="438"/>
      <c r="BA380" s="438"/>
      <c r="BB380" s="438"/>
      <c r="BC380" s="438"/>
      <c r="BD380" s="438"/>
      <c r="BE380" s="438"/>
      <c r="BF380" s="438"/>
      <c r="BG380" s="438"/>
      <c r="BH380" s="438"/>
    </row>
    <row r="381">
      <c r="A381" s="140"/>
      <c r="B381" s="456"/>
      <c r="C381" s="142"/>
      <c r="D381" s="142"/>
      <c r="E381" s="142"/>
      <c r="F381" s="140"/>
      <c r="G381" s="456"/>
      <c r="H381" s="142"/>
      <c r="I381" s="142"/>
      <c r="J381" s="142"/>
      <c r="K381" s="125"/>
      <c r="L381" s="456"/>
      <c r="M381" s="142"/>
      <c r="N381" s="142"/>
      <c r="O381" s="142"/>
      <c r="P381" s="125"/>
      <c r="Q381" s="450"/>
      <c r="R381" s="142"/>
      <c r="S381" s="142"/>
      <c r="T381" s="142"/>
      <c r="U381" s="140"/>
      <c r="V381" s="456"/>
      <c r="W381" s="142"/>
      <c r="X381" s="142"/>
      <c r="Y381" s="142"/>
      <c r="Z381" s="140"/>
      <c r="AA381" s="456"/>
      <c r="AB381" s="142"/>
      <c r="AC381" s="142"/>
      <c r="AD381" s="142"/>
      <c r="AE381" s="140"/>
      <c r="AF381" s="456"/>
      <c r="AG381" s="142"/>
      <c r="AH381" s="142"/>
      <c r="AI381" s="142"/>
      <c r="AJ381" s="140"/>
      <c r="AK381" s="456"/>
      <c r="AL381" s="142"/>
      <c r="AM381" s="142"/>
      <c r="AN381" s="142"/>
      <c r="AO381" s="438"/>
      <c r="AP381" s="438"/>
      <c r="AQ381" s="438"/>
      <c r="AR381" s="438"/>
      <c r="AS381" s="438"/>
      <c r="AT381" s="438"/>
      <c r="AU381" s="438"/>
      <c r="AV381" s="438"/>
      <c r="AW381" s="438"/>
      <c r="AX381" s="438"/>
      <c r="AY381" s="438"/>
      <c r="AZ381" s="438"/>
      <c r="BA381" s="438"/>
      <c r="BB381" s="438"/>
      <c r="BC381" s="438"/>
      <c r="BD381" s="438"/>
      <c r="BE381" s="438"/>
      <c r="BF381" s="438"/>
      <c r="BG381" s="438"/>
      <c r="BH381" s="438"/>
    </row>
    <row r="382">
      <c r="A382" s="140"/>
      <c r="B382" s="456"/>
      <c r="C382" s="142"/>
      <c r="D382" s="142"/>
      <c r="E382" s="142"/>
      <c r="F382" s="140"/>
      <c r="G382" s="456"/>
      <c r="H382" s="142"/>
      <c r="I382" s="142"/>
      <c r="J382" s="142"/>
      <c r="K382" s="125"/>
      <c r="L382" s="456"/>
      <c r="M382" s="142"/>
      <c r="N382" s="142"/>
      <c r="O382" s="142"/>
      <c r="P382" s="125"/>
      <c r="Q382" s="450"/>
      <c r="R382" s="142"/>
      <c r="S382" s="142"/>
      <c r="T382" s="142"/>
      <c r="U382" s="140"/>
      <c r="V382" s="456"/>
      <c r="W382" s="142"/>
      <c r="X382" s="142"/>
      <c r="Y382" s="142"/>
      <c r="Z382" s="140"/>
      <c r="AA382" s="456"/>
      <c r="AB382" s="142"/>
      <c r="AC382" s="142"/>
      <c r="AD382" s="142"/>
      <c r="AE382" s="140"/>
      <c r="AF382" s="456"/>
      <c r="AG382" s="142"/>
      <c r="AH382" s="142"/>
      <c r="AI382" s="142"/>
      <c r="AJ382" s="140"/>
      <c r="AK382" s="456"/>
      <c r="AL382" s="142"/>
      <c r="AM382" s="142"/>
      <c r="AN382" s="142"/>
      <c r="AO382" s="438"/>
      <c r="AP382" s="438"/>
      <c r="AQ382" s="438"/>
      <c r="AR382" s="438"/>
      <c r="AS382" s="438"/>
      <c r="AT382" s="438"/>
      <c r="AU382" s="438"/>
      <c r="AV382" s="438"/>
      <c r="AW382" s="438"/>
      <c r="AX382" s="438"/>
      <c r="AY382" s="438"/>
      <c r="AZ382" s="438"/>
      <c r="BA382" s="438"/>
      <c r="BB382" s="438"/>
      <c r="BC382" s="438"/>
      <c r="BD382" s="438"/>
      <c r="BE382" s="438"/>
      <c r="BF382" s="438"/>
      <c r="BG382" s="438"/>
      <c r="BH382" s="438"/>
    </row>
    <row r="383">
      <c r="A383" s="140"/>
      <c r="B383" s="456"/>
      <c r="C383" s="142"/>
      <c r="D383" s="142"/>
      <c r="E383" s="142"/>
      <c r="F383" s="140"/>
      <c r="G383" s="456"/>
      <c r="H383" s="142"/>
      <c r="I383" s="142"/>
      <c r="J383" s="142"/>
      <c r="K383" s="125"/>
      <c r="L383" s="456"/>
      <c r="M383" s="142"/>
      <c r="N383" s="142"/>
      <c r="O383" s="142"/>
      <c r="P383" s="125"/>
      <c r="Q383" s="450"/>
      <c r="R383" s="142"/>
      <c r="S383" s="142"/>
      <c r="T383" s="142"/>
      <c r="U383" s="140"/>
      <c r="V383" s="456"/>
      <c r="W383" s="142"/>
      <c r="X383" s="142"/>
      <c r="Y383" s="142"/>
      <c r="Z383" s="140"/>
      <c r="AA383" s="456"/>
      <c r="AB383" s="142"/>
      <c r="AC383" s="142"/>
      <c r="AD383" s="142"/>
      <c r="AE383" s="140"/>
      <c r="AF383" s="456"/>
      <c r="AG383" s="142"/>
      <c r="AH383" s="142"/>
      <c r="AI383" s="142"/>
      <c r="AJ383" s="140"/>
      <c r="AK383" s="456"/>
      <c r="AL383" s="142"/>
      <c r="AM383" s="142"/>
      <c r="AN383" s="142"/>
      <c r="AO383" s="438"/>
      <c r="AP383" s="438"/>
      <c r="AQ383" s="438"/>
      <c r="AR383" s="438"/>
      <c r="AS383" s="438"/>
      <c r="AT383" s="438"/>
      <c r="AU383" s="438"/>
      <c r="AV383" s="438"/>
      <c r="AW383" s="438"/>
      <c r="AX383" s="438"/>
      <c r="AY383" s="438"/>
      <c r="AZ383" s="438"/>
      <c r="BA383" s="438"/>
      <c r="BB383" s="438"/>
      <c r="BC383" s="438"/>
      <c r="BD383" s="438"/>
      <c r="BE383" s="438"/>
      <c r="BF383" s="438"/>
      <c r="BG383" s="438"/>
      <c r="BH383" s="438"/>
    </row>
    <row r="384">
      <c r="A384" s="140"/>
      <c r="B384" s="456"/>
      <c r="C384" s="142"/>
      <c r="D384" s="142"/>
      <c r="E384" s="142"/>
      <c r="F384" s="140"/>
      <c r="G384" s="456"/>
      <c r="H384" s="142"/>
      <c r="I384" s="142"/>
      <c r="J384" s="142"/>
      <c r="K384" s="125"/>
      <c r="L384" s="456"/>
      <c r="M384" s="142"/>
      <c r="N384" s="142"/>
      <c r="O384" s="142"/>
      <c r="P384" s="125"/>
      <c r="Q384" s="450"/>
      <c r="R384" s="142"/>
      <c r="S384" s="142"/>
      <c r="T384" s="142"/>
      <c r="U384" s="140"/>
      <c r="V384" s="456"/>
      <c r="W384" s="142"/>
      <c r="X384" s="142"/>
      <c r="Y384" s="142"/>
      <c r="Z384" s="140"/>
      <c r="AA384" s="456"/>
      <c r="AB384" s="142"/>
      <c r="AC384" s="142"/>
      <c r="AD384" s="142"/>
      <c r="AE384" s="140"/>
      <c r="AF384" s="456"/>
      <c r="AG384" s="142"/>
      <c r="AH384" s="142"/>
      <c r="AI384" s="142"/>
      <c r="AJ384" s="140"/>
      <c r="AK384" s="456"/>
      <c r="AL384" s="142"/>
      <c r="AM384" s="142"/>
      <c r="AN384" s="142"/>
      <c r="AO384" s="438"/>
      <c r="AP384" s="438"/>
      <c r="AQ384" s="438"/>
      <c r="AR384" s="438"/>
      <c r="AS384" s="438"/>
      <c r="AT384" s="438"/>
      <c r="AU384" s="438"/>
      <c r="AV384" s="438"/>
      <c r="AW384" s="438"/>
      <c r="AX384" s="438"/>
      <c r="AY384" s="438"/>
      <c r="AZ384" s="438"/>
      <c r="BA384" s="438"/>
      <c r="BB384" s="438"/>
      <c r="BC384" s="438"/>
      <c r="BD384" s="438"/>
      <c r="BE384" s="438"/>
      <c r="BF384" s="438"/>
      <c r="BG384" s="438"/>
      <c r="BH384" s="438"/>
    </row>
    <row r="385">
      <c r="A385" s="140"/>
      <c r="B385" s="456"/>
      <c r="C385" s="142"/>
      <c r="D385" s="142"/>
      <c r="E385" s="142"/>
      <c r="F385" s="140"/>
      <c r="G385" s="456"/>
      <c r="H385" s="142"/>
      <c r="I385" s="142"/>
      <c r="J385" s="142"/>
      <c r="K385" s="125"/>
      <c r="L385" s="456"/>
      <c r="M385" s="142"/>
      <c r="N385" s="142"/>
      <c r="O385" s="142"/>
      <c r="P385" s="125"/>
      <c r="Q385" s="450"/>
      <c r="R385" s="142"/>
      <c r="S385" s="142"/>
      <c r="T385" s="142"/>
      <c r="U385" s="140"/>
      <c r="V385" s="456"/>
      <c r="W385" s="142"/>
      <c r="X385" s="142"/>
      <c r="Y385" s="142"/>
      <c r="Z385" s="140"/>
      <c r="AA385" s="456"/>
      <c r="AB385" s="142"/>
      <c r="AC385" s="142"/>
      <c r="AD385" s="142"/>
      <c r="AE385" s="140"/>
      <c r="AF385" s="456"/>
      <c r="AG385" s="142"/>
      <c r="AH385" s="142"/>
      <c r="AI385" s="142"/>
      <c r="AJ385" s="140"/>
      <c r="AK385" s="456"/>
      <c r="AL385" s="142"/>
      <c r="AM385" s="142"/>
      <c r="AN385" s="142"/>
      <c r="AO385" s="438"/>
      <c r="AP385" s="438"/>
      <c r="AQ385" s="438"/>
      <c r="AR385" s="438"/>
      <c r="AS385" s="438"/>
      <c r="AT385" s="438"/>
      <c r="AU385" s="438"/>
      <c r="AV385" s="438"/>
      <c r="AW385" s="438"/>
      <c r="AX385" s="438"/>
      <c r="AY385" s="438"/>
      <c r="AZ385" s="438"/>
      <c r="BA385" s="438"/>
      <c r="BB385" s="438"/>
      <c r="BC385" s="438"/>
      <c r="BD385" s="438"/>
      <c r="BE385" s="438"/>
      <c r="BF385" s="438"/>
      <c r="BG385" s="438"/>
      <c r="BH385" s="438"/>
    </row>
    <row r="386">
      <c r="A386" s="140"/>
      <c r="B386" s="456"/>
      <c r="C386" s="142"/>
      <c r="D386" s="142"/>
      <c r="E386" s="142"/>
      <c r="F386" s="140"/>
      <c r="G386" s="456"/>
      <c r="H386" s="142"/>
      <c r="I386" s="142"/>
      <c r="J386" s="142"/>
      <c r="K386" s="125"/>
      <c r="L386" s="456"/>
      <c r="M386" s="142"/>
      <c r="N386" s="142"/>
      <c r="O386" s="142"/>
      <c r="P386" s="125"/>
      <c r="Q386" s="450"/>
      <c r="R386" s="142"/>
      <c r="S386" s="142"/>
      <c r="T386" s="142"/>
      <c r="U386" s="140"/>
      <c r="V386" s="456"/>
      <c r="W386" s="142"/>
      <c r="X386" s="142"/>
      <c r="Y386" s="142"/>
      <c r="Z386" s="140"/>
      <c r="AA386" s="456"/>
      <c r="AB386" s="142"/>
      <c r="AC386" s="142"/>
      <c r="AD386" s="142"/>
      <c r="AE386" s="140"/>
      <c r="AF386" s="456"/>
      <c r="AG386" s="142"/>
      <c r="AH386" s="142"/>
      <c r="AI386" s="142"/>
      <c r="AJ386" s="140"/>
      <c r="AK386" s="456"/>
      <c r="AL386" s="142"/>
      <c r="AM386" s="142"/>
      <c r="AN386" s="142"/>
      <c r="AO386" s="438"/>
      <c r="AP386" s="438"/>
      <c r="AQ386" s="438"/>
      <c r="AR386" s="438"/>
      <c r="AS386" s="438"/>
      <c r="AT386" s="438"/>
      <c r="AU386" s="438"/>
      <c r="AV386" s="438"/>
      <c r="AW386" s="438"/>
      <c r="AX386" s="438"/>
      <c r="AY386" s="438"/>
      <c r="AZ386" s="438"/>
      <c r="BA386" s="438"/>
      <c r="BB386" s="438"/>
      <c r="BC386" s="438"/>
      <c r="BD386" s="438"/>
      <c r="BE386" s="438"/>
      <c r="BF386" s="438"/>
      <c r="BG386" s="438"/>
      <c r="BH386" s="438"/>
    </row>
    <row r="387">
      <c r="A387" s="140"/>
      <c r="B387" s="456"/>
      <c r="C387" s="142"/>
      <c r="D387" s="142"/>
      <c r="E387" s="142"/>
      <c r="F387" s="140"/>
      <c r="G387" s="456"/>
      <c r="H387" s="142"/>
      <c r="I387" s="142"/>
      <c r="J387" s="142"/>
      <c r="K387" s="125"/>
      <c r="L387" s="456"/>
      <c r="M387" s="142"/>
      <c r="N387" s="142"/>
      <c r="O387" s="142"/>
      <c r="P387" s="125"/>
      <c r="Q387" s="450"/>
      <c r="R387" s="142"/>
      <c r="S387" s="142"/>
      <c r="T387" s="142"/>
      <c r="U387" s="140"/>
      <c r="V387" s="456"/>
      <c r="W387" s="142"/>
      <c r="X387" s="142"/>
      <c r="Y387" s="142"/>
      <c r="Z387" s="140"/>
      <c r="AA387" s="456"/>
      <c r="AB387" s="142"/>
      <c r="AC387" s="142"/>
      <c r="AD387" s="142"/>
      <c r="AE387" s="140"/>
      <c r="AF387" s="456"/>
      <c r="AG387" s="142"/>
      <c r="AH387" s="142"/>
      <c r="AI387" s="142"/>
      <c r="AJ387" s="140"/>
      <c r="AK387" s="456"/>
      <c r="AL387" s="142"/>
      <c r="AM387" s="142"/>
      <c r="AN387" s="142"/>
      <c r="AO387" s="438"/>
      <c r="AP387" s="438"/>
      <c r="AQ387" s="438"/>
      <c r="AR387" s="438"/>
      <c r="AS387" s="438"/>
      <c r="AT387" s="438"/>
      <c r="AU387" s="438"/>
      <c r="AV387" s="438"/>
      <c r="AW387" s="438"/>
      <c r="AX387" s="438"/>
      <c r="AY387" s="438"/>
      <c r="AZ387" s="438"/>
      <c r="BA387" s="438"/>
      <c r="BB387" s="438"/>
      <c r="BC387" s="438"/>
      <c r="BD387" s="438"/>
      <c r="BE387" s="438"/>
      <c r="BF387" s="438"/>
      <c r="BG387" s="438"/>
      <c r="BH387" s="438"/>
    </row>
    <row r="388">
      <c r="A388" s="140"/>
      <c r="B388" s="456"/>
      <c r="C388" s="142"/>
      <c r="D388" s="142"/>
      <c r="E388" s="142"/>
      <c r="F388" s="140"/>
      <c r="G388" s="456"/>
      <c r="H388" s="142"/>
      <c r="I388" s="142"/>
      <c r="J388" s="142"/>
      <c r="K388" s="125"/>
      <c r="L388" s="456"/>
      <c r="M388" s="142"/>
      <c r="N388" s="142"/>
      <c r="O388" s="142"/>
      <c r="P388" s="125"/>
      <c r="Q388" s="450"/>
      <c r="R388" s="142"/>
      <c r="S388" s="142"/>
      <c r="T388" s="142"/>
      <c r="U388" s="140"/>
      <c r="V388" s="456"/>
      <c r="W388" s="142"/>
      <c r="X388" s="142"/>
      <c r="Y388" s="142"/>
      <c r="Z388" s="140"/>
      <c r="AA388" s="456"/>
      <c r="AB388" s="142"/>
      <c r="AC388" s="142"/>
      <c r="AD388" s="142"/>
      <c r="AE388" s="140"/>
      <c r="AF388" s="456"/>
      <c r="AG388" s="142"/>
      <c r="AH388" s="142"/>
      <c r="AI388" s="142"/>
      <c r="AJ388" s="140"/>
      <c r="AK388" s="456"/>
      <c r="AL388" s="142"/>
      <c r="AM388" s="142"/>
      <c r="AN388" s="142"/>
      <c r="AO388" s="438"/>
      <c r="AP388" s="438"/>
      <c r="AQ388" s="438"/>
      <c r="AR388" s="438"/>
      <c r="AS388" s="438"/>
      <c r="AT388" s="438"/>
      <c r="AU388" s="438"/>
      <c r="AV388" s="438"/>
      <c r="AW388" s="438"/>
      <c r="AX388" s="438"/>
      <c r="AY388" s="438"/>
      <c r="AZ388" s="438"/>
      <c r="BA388" s="438"/>
      <c r="BB388" s="438"/>
      <c r="BC388" s="438"/>
      <c r="BD388" s="438"/>
      <c r="BE388" s="438"/>
      <c r="BF388" s="438"/>
      <c r="BG388" s="438"/>
      <c r="BH388" s="438"/>
    </row>
    <row r="389">
      <c r="A389" s="140"/>
      <c r="B389" s="456"/>
      <c r="C389" s="142"/>
      <c r="D389" s="142"/>
      <c r="E389" s="142"/>
      <c r="F389" s="140"/>
      <c r="G389" s="456"/>
      <c r="H389" s="142"/>
      <c r="I389" s="142"/>
      <c r="J389" s="142"/>
      <c r="K389" s="125"/>
      <c r="L389" s="456"/>
      <c r="M389" s="142"/>
      <c r="N389" s="142"/>
      <c r="O389" s="142"/>
      <c r="P389" s="125"/>
      <c r="Q389" s="450"/>
      <c r="R389" s="142"/>
      <c r="S389" s="142"/>
      <c r="T389" s="142"/>
      <c r="U389" s="140"/>
      <c r="V389" s="456"/>
      <c r="W389" s="142"/>
      <c r="X389" s="142"/>
      <c r="Y389" s="142"/>
      <c r="Z389" s="140"/>
      <c r="AA389" s="456"/>
      <c r="AB389" s="142"/>
      <c r="AC389" s="142"/>
      <c r="AD389" s="142"/>
      <c r="AE389" s="140"/>
      <c r="AF389" s="456"/>
      <c r="AG389" s="142"/>
      <c r="AH389" s="142"/>
      <c r="AI389" s="142"/>
      <c r="AJ389" s="140"/>
      <c r="AK389" s="456"/>
      <c r="AL389" s="142"/>
      <c r="AM389" s="142"/>
      <c r="AN389" s="142"/>
      <c r="AO389" s="438"/>
      <c r="AP389" s="438"/>
      <c r="AQ389" s="438"/>
      <c r="AR389" s="438"/>
      <c r="AS389" s="438"/>
      <c r="AT389" s="438"/>
      <c r="AU389" s="438"/>
      <c r="AV389" s="438"/>
      <c r="AW389" s="438"/>
      <c r="AX389" s="438"/>
      <c r="AY389" s="438"/>
      <c r="AZ389" s="438"/>
      <c r="BA389" s="438"/>
      <c r="BB389" s="438"/>
      <c r="BC389" s="438"/>
      <c r="BD389" s="438"/>
      <c r="BE389" s="438"/>
      <c r="BF389" s="438"/>
      <c r="BG389" s="438"/>
      <c r="BH389" s="438"/>
    </row>
    <row r="390">
      <c r="A390" s="140"/>
      <c r="B390" s="456"/>
      <c r="C390" s="142"/>
      <c r="D390" s="142"/>
      <c r="E390" s="142"/>
      <c r="F390" s="140"/>
      <c r="G390" s="456"/>
      <c r="H390" s="142"/>
      <c r="I390" s="142"/>
      <c r="J390" s="142"/>
      <c r="K390" s="125"/>
      <c r="L390" s="456"/>
      <c r="M390" s="142"/>
      <c r="N390" s="142"/>
      <c r="O390" s="142"/>
      <c r="P390" s="125"/>
      <c r="Q390" s="450"/>
      <c r="R390" s="142"/>
      <c r="S390" s="142"/>
      <c r="T390" s="142"/>
      <c r="U390" s="140"/>
      <c r="V390" s="456"/>
      <c r="W390" s="142"/>
      <c r="X390" s="142"/>
      <c r="Y390" s="142"/>
      <c r="Z390" s="140"/>
      <c r="AA390" s="456"/>
      <c r="AB390" s="142"/>
      <c r="AC390" s="142"/>
      <c r="AD390" s="142"/>
      <c r="AE390" s="140"/>
      <c r="AF390" s="456"/>
      <c r="AG390" s="142"/>
      <c r="AH390" s="142"/>
      <c r="AI390" s="142"/>
      <c r="AJ390" s="140"/>
      <c r="AK390" s="456"/>
      <c r="AL390" s="142"/>
      <c r="AM390" s="142"/>
      <c r="AN390" s="142"/>
      <c r="AO390" s="438"/>
      <c r="AP390" s="438"/>
      <c r="AQ390" s="438"/>
      <c r="AR390" s="438"/>
      <c r="AS390" s="438"/>
      <c r="AT390" s="438"/>
      <c r="AU390" s="438"/>
      <c r="AV390" s="438"/>
      <c r="AW390" s="438"/>
      <c r="AX390" s="438"/>
      <c r="AY390" s="438"/>
      <c r="AZ390" s="438"/>
      <c r="BA390" s="438"/>
      <c r="BB390" s="438"/>
      <c r="BC390" s="438"/>
      <c r="BD390" s="438"/>
      <c r="BE390" s="438"/>
      <c r="BF390" s="438"/>
      <c r="BG390" s="438"/>
      <c r="BH390" s="438"/>
    </row>
    <row r="391">
      <c r="A391" s="140"/>
      <c r="B391" s="456"/>
      <c r="C391" s="142"/>
      <c r="D391" s="142"/>
      <c r="E391" s="142"/>
      <c r="F391" s="140"/>
      <c r="G391" s="456"/>
      <c r="H391" s="142"/>
      <c r="I391" s="142"/>
      <c r="J391" s="142"/>
      <c r="K391" s="125"/>
      <c r="L391" s="456"/>
      <c r="M391" s="142"/>
      <c r="N391" s="142"/>
      <c r="O391" s="142"/>
      <c r="P391" s="125"/>
      <c r="Q391" s="450"/>
      <c r="R391" s="142"/>
      <c r="S391" s="142"/>
      <c r="T391" s="142"/>
      <c r="U391" s="140"/>
      <c r="V391" s="456"/>
      <c r="W391" s="142"/>
      <c r="X391" s="142"/>
      <c r="Y391" s="142"/>
      <c r="Z391" s="140"/>
      <c r="AA391" s="456"/>
      <c r="AB391" s="142"/>
      <c r="AC391" s="142"/>
      <c r="AD391" s="142"/>
      <c r="AE391" s="140"/>
      <c r="AF391" s="456"/>
      <c r="AG391" s="142"/>
      <c r="AH391" s="142"/>
      <c r="AI391" s="142"/>
      <c r="AJ391" s="140"/>
      <c r="AK391" s="456"/>
      <c r="AL391" s="142"/>
      <c r="AM391" s="142"/>
      <c r="AN391" s="142"/>
      <c r="AO391" s="438"/>
      <c r="AP391" s="438"/>
      <c r="AQ391" s="438"/>
      <c r="AR391" s="438"/>
      <c r="AS391" s="438"/>
      <c r="AT391" s="438"/>
      <c r="AU391" s="438"/>
      <c r="AV391" s="438"/>
      <c r="AW391" s="438"/>
      <c r="AX391" s="438"/>
      <c r="AY391" s="438"/>
      <c r="AZ391" s="438"/>
      <c r="BA391" s="438"/>
      <c r="BB391" s="438"/>
      <c r="BC391" s="438"/>
      <c r="BD391" s="438"/>
      <c r="BE391" s="438"/>
      <c r="BF391" s="438"/>
      <c r="BG391" s="438"/>
      <c r="BH391" s="438"/>
    </row>
    <row r="392">
      <c r="A392" s="140"/>
      <c r="B392" s="456"/>
      <c r="C392" s="142"/>
      <c r="D392" s="142"/>
      <c r="E392" s="142"/>
      <c r="F392" s="140"/>
      <c r="G392" s="456"/>
      <c r="H392" s="142"/>
      <c r="I392" s="142"/>
      <c r="J392" s="142"/>
      <c r="K392" s="125"/>
      <c r="L392" s="456"/>
      <c r="M392" s="142"/>
      <c r="N392" s="142"/>
      <c r="O392" s="142"/>
      <c r="P392" s="125"/>
      <c r="Q392" s="450"/>
      <c r="R392" s="142"/>
      <c r="S392" s="142"/>
      <c r="T392" s="142"/>
      <c r="U392" s="140"/>
      <c r="V392" s="456"/>
      <c r="W392" s="142"/>
      <c r="X392" s="142"/>
      <c r="Y392" s="142"/>
      <c r="Z392" s="140"/>
      <c r="AA392" s="456"/>
      <c r="AB392" s="142"/>
      <c r="AC392" s="142"/>
      <c r="AD392" s="142"/>
      <c r="AE392" s="140"/>
      <c r="AF392" s="456"/>
      <c r="AG392" s="142"/>
      <c r="AH392" s="142"/>
      <c r="AI392" s="142"/>
      <c r="AJ392" s="140"/>
      <c r="AK392" s="456"/>
      <c r="AL392" s="142"/>
      <c r="AM392" s="142"/>
      <c r="AN392" s="142"/>
      <c r="AO392" s="438"/>
      <c r="AP392" s="438"/>
      <c r="AQ392" s="438"/>
      <c r="AR392" s="438"/>
      <c r="AS392" s="438"/>
      <c r="AT392" s="438"/>
      <c r="AU392" s="438"/>
      <c r="AV392" s="438"/>
      <c r="AW392" s="438"/>
      <c r="AX392" s="438"/>
      <c r="AY392" s="438"/>
      <c r="AZ392" s="438"/>
      <c r="BA392" s="438"/>
      <c r="BB392" s="438"/>
      <c r="BC392" s="438"/>
      <c r="BD392" s="438"/>
      <c r="BE392" s="438"/>
      <c r="BF392" s="438"/>
      <c r="BG392" s="438"/>
      <c r="BH392" s="438"/>
    </row>
    <row r="393">
      <c r="A393" s="140"/>
      <c r="B393" s="456"/>
      <c r="C393" s="142"/>
      <c r="D393" s="142"/>
      <c r="E393" s="142"/>
      <c r="F393" s="140"/>
      <c r="G393" s="456"/>
      <c r="H393" s="142"/>
      <c r="I393" s="142"/>
      <c r="J393" s="142"/>
      <c r="K393" s="125"/>
      <c r="L393" s="456"/>
      <c r="M393" s="142"/>
      <c r="N393" s="142"/>
      <c r="O393" s="142"/>
      <c r="P393" s="125"/>
      <c r="Q393" s="450"/>
      <c r="R393" s="142"/>
      <c r="S393" s="142"/>
      <c r="T393" s="142"/>
      <c r="U393" s="140"/>
      <c r="V393" s="456"/>
      <c r="W393" s="142"/>
      <c r="X393" s="142"/>
      <c r="Y393" s="142"/>
      <c r="Z393" s="140"/>
      <c r="AA393" s="456"/>
      <c r="AB393" s="142"/>
      <c r="AC393" s="142"/>
      <c r="AD393" s="142"/>
      <c r="AE393" s="140"/>
      <c r="AF393" s="456"/>
      <c r="AG393" s="142"/>
      <c r="AH393" s="142"/>
      <c r="AI393" s="142"/>
      <c r="AJ393" s="140"/>
      <c r="AK393" s="456"/>
      <c r="AL393" s="142"/>
      <c r="AM393" s="142"/>
      <c r="AN393" s="142"/>
      <c r="AO393" s="438"/>
      <c r="AP393" s="438"/>
      <c r="AQ393" s="438"/>
      <c r="AR393" s="438"/>
      <c r="AS393" s="438"/>
      <c r="AT393" s="438"/>
      <c r="AU393" s="438"/>
      <c r="AV393" s="438"/>
      <c r="AW393" s="438"/>
      <c r="AX393" s="438"/>
      <c r="AY393" s="438"/>
      <c r="AZ393" s="438"/>
      <c r="BA393" s="438"/>
      <c r="BB393" s="438"/>
      <c r="BC393" s="438"/>
      <c r="BD393" s="438"/>
      <c r="BE393" s="438"/>
      <c r="BF393" s="438"/>
      <c r="BG393" s="438"/>
      <c r="BH393" s="438"/>
    </row>
    <row r="394">
      <c r="A394" s="140"/>
      <c r="B394" s="456"/>
      <c r="C394" s="142"/>
      <c r="D394" s="142"/>
      <c r="E394" s="142"/>
      <c r="F394" s="140"/>
      <c r="G394" s="456"/>
      <c r="H394" s="142"/>
      <c r="I394" s="142"/>
      <c r="J394" s="142"/>
      <c r="K394" s="125"/>
      <c r="L394" s="456"/>
      <c r="M394" s="142"/>
      <c r="N394" s="142"/>
      <c r="O394" s="142"/>
      <c r="P394" s="125"/>
      <c r="Q394" s="450"/>
      <c r="R394" s="142"/>
      <c r="S394" s="142"/>
      <c r="T394" s="142"/>
      <c r="U394" s="140"/>
      <c r="V394" s="456"/>
      <c r="W394" s="142"/>
      <c r="X394" s="142"/>
      <c r="Y394" s="142"/>
      <c r="Z394" s="140"/>
      <c r="AA394" s="456"/>
      <c r="AB394" s="142"/>
      <c r="AC394" s="142"/>
      <c r="AD394" s="142"/>
      <c r="AE394" s="140"/>
      <c r="AF394" s="456"/>
      <c r="AG394" s="142"/>
      <c r="AH394" s="142"/>
      <c r="AI394" s="142"/>
      <c r="AJ394" s="140"/>
      <c r="AK394" s="456"/>
      <c r="AL394" s="142"/>
      <c r="AM394" s="142"/>
      <c r="AN394" s="142"/>
      <c r="AO394" s="438"/>
      <c r="AP394" s="438"/>
      <c r="AQ394" s="438"/>
      <c r="AR394" s="438"/>
      <c r="AS394" s="438"/>
      <c r="AT394" s="438"/>
      <c r="AU394" s="438"/>
      <c r="AV394" s="438"/>
      <c r="AW394" s="438"/>
      <c r="AX394" s="438"/>
      <c r="AY394" s="438"/>
      <c r="AZ394" s="438"/>
      <c r="BA394" s="438"/>
      <c r="BB394" s="438"/>
      <c r="BC394" s="438"/>
      <c r="BD394" s="438"/>
      <c r="BE394" s="438"/>
      <c r="BF394" s="438"/>
      <c r="BG394" s="438"/>
      <c r="BH394" s="438"/>
    </row>
    <row r="395">
      <c r="A395" s="140"/>
      <c r="B395" s="456"/>
      <c r="C395" s="142"/>
      <c r="D395" s="142"/>
      <c r="E395" s="142"/>
      <c r="F395" s="140"/>
      <c r="G395" s="456"/>
      <c r="H395" s="142"/>
      <c r="I395" s="142"/>
      <c r="J395" s="142"/>
      <c r="K395" s="125"/>
      <c r="L395" s="456"/>
      <c r="M395" s="142"/>
      <c r="N395" s="142"/>
      <c r="O395" s="142"/>
      <c r="P395" s="125"/>
      <c r="Q395" s="450"/>
      <c r="R395" s="142"/>
      <c r="S395" s="142"/>
      <c r="T395" s="142"/>
      <c r="U395" s="140"/>
      <c r="V395" s="456"/>
      <c r="W395" s="142"/>
      <c r="X395" s="142"/>
      <c r="Y395" s="142"/>
      <c r="Z395" s="140"/>
      <c r="AA395" s="456"/>
      <c r="AB395" s="142"/>
      <c r="AC395" s="142"/>
      <c r="AD395" s="142"/>
      <c r="AE395" s="140"/>
      <c r="AF395" s="456"/>
      <c r="AG395" s="142"/>
      <c r="AH395" s="142"/>
      <c r="AI395" s="142"/>
      <c r="AJ395" s="140"/>
      <c r="AK395" s="456"/>
      <c r="AL395" s="142"/>
      <c r="AM395" s="142"/>
      <c r="AN395" s="142"/>
      <c r="AO395" s="438"/>
      <c r="AP395" s="438"/>
      <c r="AQ395" s="438"/>
      <c r="AR395" s="438"/>
      <c r="AS395" s="438"/>
      <c r="AT395" s="438"/>
      <c r="AU395" s="438"/>
      <c r="AV395" s="438"/>
      <c r="AW395" s="438"/>
      <c r="AX395" s="438"/>
      <c r="AY395" s="438"/>
      <c r="AZ395" s="438"/>
      <c r="BA395" s="438"/>
      <c r="BB395" s="438"/>
      <c r="BC395" s="438"/>
      <c r="BD395" s="438"/>
      <c r="BE395" s="438"/>
      <c r="BF395" s="438"/>
      <c r="BG395" s="438"/>
      <c r="BH395" s="438"/>
    </row>
    <row r="396">
      <c r="A396" s="140"/>
      <c r="B396" s="456"/>
      <c r="C396" s="142"/>
      <c r="D396" s="142"/>
      <c r="E396" s="142"/>
      <c r="F396" s="140"/>
      <c r="G396" s="456"/>
      <c r="H396" s="142"/>
      <c r="I396" s="142"/>
      <c r="J396" s="142"/>
      <c r="K396" s="125"/>
      <c r="L396" s="456"/>
      <c r="M396" s="142"/>
      <c r="N396" s="142"/>
      <c r="O396" s="142"/>
      <c r="P396" s="125"/>
      <c r="Q396" s="450"/>
      <c r="R396" s="142"/>
      <c r="S396" s="142"/>
      <c r="T396" s="142"/>
      <c r="U396" s="140"/>
      <c r="V396" s="456"/>
      <c r="W396" s="142"/>
      <c r="X396" s="142"/>
      <c r="Y396" s="142"/>
      <c r="Z396" s="140"/>
      <c r="AA396" s="456"/>
      <c r="AB396" s="142"/>
      <c r="AC396" s="142"/>
      <c r="AD396" s="142"/>
      <c r="AE396" s="140"/>
      <c r="AF396" s="456"/>
      <c r="AG396" s="142"/>
      <c r="AH396" s="142"/>
      <c r="AI396" s="142"/>
      <c r="AJ396" s="140"/>
      <c r="AK396" s="456"/>
      <c r="AL396" s="142"/>
      <c r="AM396" s="142"/>
      <c r="AN396" s="142"/>
      <c r="AO396" s="438"/>
      <c r="AP396" s="438"/>
      <c r="AQ396" s="438"/>
      <c r="AR396" s="438"/>
      <c r="AS396" s="438"/>
      <c r="AT396" s="438"/>
      <c r="AU396" s="438"/>
      <c r="AV396" s="438"/>
      <c r="AW396" s="438"/>
      <c r="AX396" s="438"/>
      <c r="AY396" s="438"/>
      <c r="AZ396" s="438"/>
      <c r="BA396" s="438"/>
      <c r="BB396" s="438"/>
      <c r="BC396" s="438"/>
      <c r="BD396" s="438"/>
      <c r="BE396" s="438"/>
      <c r="BF396" s="438"/>
      <c r="BG396" s="438"/>
      <c r="BH396" s="438"/>
    </row>
    <row r="397">
      <c r="A397" s="140"/>
      <c r="B397" s="456"/>
      <c r="C397" s="142"/>
      <c r="D397" s="142"/>
      <c r="E397" s="142"/>
      <c r="F397" s="140"/>
      <c r="G397" s="456"/>
      <c r="H397" s="142"/>
      <c r="I397" s="142"/>
      <c r="J397" s="142"/>
      <c r="K397" s="125"/>
      <c r="L397" s="456"/>
      <c r="M397" s="142"/>
      <c r="N397" s="142"/>
      <c r="O397" s="142"/>
      <c r="P397" s="125"/>
      <c r="Q397" s="450"/>
      <c r="R397" s="142"/>
      <c r="S397" s="142"/>
      <c r="T397" s="142"/>
      <c r="U397" s="140"/>
      <c r="V397" s="456"/>
      <c r="W397" s="142"/>
      <c r="X397" s="142"/>
      <c r="Y397" s="142"/>
      <c r="Z397" s="140"/>
      <c r="AA397" s="456"/>
      <c r="AB397" s="142"/>
      <c r="AC397" s="142"/>
      <c r="AD397" s="142"/>
      <c r="AE397" s="140"/>
      <c r="AF397" s="456"/>
      <c r="AG397" s="142"/>
      <c r="AH397" s="142"/>
      <c r="AI397" s="142"/>
      <c r="AJ397" s="140"/>
      <c r="AK397" s="456"/>
      <c r="AL397" s="142"/>
      <c r="AM397" s="142"/>
      <c r="AN397" s="142"/>
      <c r="AO397" s="438"/>
      <c r="AP397" s="438"/>
      <c r="AQ397" s="438"/>
      <c r="AR397" s="438"/>
      <c r="AS397" s="438"/>
      <c r="AT397" s="438"/>
      <c r="AU397" s="438"/>
      <c r="AV397" s="438"/>
      <c r="AW397" s="438"/>
      <c r="AX397" s="438"/>
      <c r="AY397" s="438"/>
      <c r="AZ397" s="438"/>
      <c r="BA397" s="438"/>
      <c r="BB397" s="438"/>
      <c r="BC397" s="438"/>
      <c r="BD397" s="438"/>
      <c r="BE397" s="438"/>
      <c r="BF397" s="438"/>
      <c r="BG397" s="438"/>
      <c r="BH397" s="438"/>
    </row>
    <row r="398">
      <c r="A398" s="140"/>
      <c r="B398" s="456"/>
      <c r="C398" s="142"/>
      <c r="D398" s="142"/>
      <c r="E398" s="142"/>
      <c r="F398" s="140"/>
      <c r="G398" s="456"/>
      <c r="H398" s="142"/>
      <c r="I398" s="142"/>
      <c r="J398" s="142"/>
      <c r="K398" s="125"/>
      <c r="L398" s="456"/>
      <c r="M398" s="142"/>
      <c r="N398" s="142"/>
      <c r="O398" s="142"/>
      <c r="P398" s="125"/>
      <c r="Q398" s="450"/>
      <c r="R398" s="142"/>
      <c r="S398" s="142"/>
      <c r="T398" s="142"/>
      <c r="U398" s="140"/>
      <c r="V398" s="456"/>
      <c r="W398" s="142"/>
      <c r="X398" s="142"/>
      <c r="Y398" s="142"/>
      <c r="Z398" s="140"/>
      <c r="AA398" s="456"/>
      <c r="AB398" s="142"/>
      <c r="AC398" s="142"/>
      <c r="AD398" s="142"/>
      <c r="AE398" s="140"/>
      <c r="AF398" s="456"/>
      <c r="AG398" s="142"/>
      <c r="AH398" s="142"/>
      <c r="AI398" s="142"/>
      <c r="AJ398" s="140"/>
      <c r="AK398" s="456"/>
      <c r="AL398" s="142"/>
      <c r="AM398" s="142"/>
      <c r="AN398" s="142"/>
      <c r="AO398" s="438"/>
      <c r="AP398" s="438"/>
      <c r="AQ398" s="438"/>
      <c r="AR398" s="438"/>
      <c r="AS398" s="438"/>
      <c r="AT398" s="438"/>
      <c r="AU398" s="438"/>
      <c r="AV398" s="438"/>
      <c r="AW398" s="438"/>
      <c r="AX398" s="438"/>
      <c r="AY398" s="438"/>
      <c r="AZ398" s="438"/>
      <c r="BA398" s="438"/>
      <c r="BB398" s="438"/>
      <c r="BC398" s="438"/>
      <c r="BD398" s="438"/>
      <c r="BE398" s="438"/>
      <c r="BF398" s="438"/>
      <c r="BG398" s="438"/>
      <c r="BH398" s="438"/>
    </row>
    <row r="399">
      <c r="A399" s="140"/>
      <c r="B399" s="456"/>
      <c r="C399" s="142"/>
      <c r="D399" s="142"/>
      <c r="E399" s="142"/>
      <c r="F399" s="140"/>
      <c r="G399" s="456"/>
      <c r="H399" s="142"/>
      <c r="I399" s="142"/>
      <c r="J399" s="142"/>
      <c r="K399" s="125"/>
      <c r="L399" s="456"/>
      <c r="M399" s="142"/>
      <c r="N399" s="142"/>
      <c r="O399" s="142"/>
      <c r="P399" s="125"/>
      <c r="Q399" s="450"/>
      <c r="R399" s="142"/>
      <c r="S399" s="142"/>
      <c r="T399" s="142"/>
      <c r="U399" s="140"/>
      <c r="V399" s="456"/>
      <c r="W399" s="142"/>
      <c r="X399" s="142"/>
      <c r="Y399" s="142"/>
      <c r="Z399" s="140"/>
      <c r="AA399" s="456"/>
      <c r="AB399" s="142"/>
      <c r="AC399" s="142"/>
      <c r="AD399" s="142"/>
      <c r="AE399" s="140"/>
      <c r="AF399" s="456"/>
      <c r="AG399" s="142"/>
      <c r="AH399" s="142"/>
      <c r="AI399" s="142"/>
      <c r="AJ399" s="140"/>
      <c r="AK399" s="456"/>
      <c r="AL399" s="142"/>
      <c r="AM399" s="142"/>
      <c r="AN399" s="142"/>
      <c r="AO399" s="438"/>
      <c r="AP399" s="438"/>
      <c r="AQ399" s="438"/>
      <c r="AR399" s="438"/>
      <c r="AS399" s="438"/>
      <c r="AT399" s="438"/>
      <c r="AU399" s="438"/>
      <c r="AV399" s="438"/>
      <c r="AW399" s="438"/>
      <c r="AX399" s="438"/>
      <c r="AY399" s="438"/>
      <c r="AZ399" s="438"/>
      <c r="BA399" s="438"/>
      <c r="BB399" s="438"/>
      <c r="BC399" s="438"/>
      <c r="BD399" s="438"/>
      <c r="BE399" s="438"/>
      <c r="BF399" s="438"/>
      <c r="BG399" s="438"/>
      <c r="BH399" s="438"/>
    </row>
    <row r="400">
      <c r="A400" s="140"/>
      <c r="B400" s="456"/>
      <c r="C400" s="142"/>
      <c r="D400" s="142"/>
      <c r="E400" s="142"/>
      <c r="F400" s="140"/>
      <c r="G400" s="456"/>
      <c r="H400" s="142"/>
      <c r="I400" s="142"/>
      <c r="J400" s="142"/>
      <c r="K400" s="125"/>
      <c r="L400" s="456"/>
      <c r="M400" s="142"/>
      <c r="N400" s="142"/>
      <c r="O400" s="142"/>
      <c r="P400" s="125"/>
      <c r="Q400" s="450"/>
      <c r="R400" s="142"/>
      <c r="S400" s="142"/>
      <c r="T400" s="142"/>
      <c r="U400" s="140"/>
      <c r="V400" s="456"/>
      <c r="W400" s="142"/>
      <c r="X400" s="142"/>
      <c r="Y400" s="142"/>
      <c r="Z400" s="140"/>
      <c r="AA400" s="456"/>
      <c r="AB400" s="142"/>
      <c r="AC400" s="142"/>
      <c r="AD400" s="142"/>
      <c r="AE400" s="140"/>
      <c r="AF400" s="456"/>
      <c r="AG400" s="142"/>
      <c r="AH400" s="142"/>
      <c r="AI400" s="142"/>
      <c r="AJ400" s="140"/>
      <c r="AK400" s="456"/>
      <c r="AL400" s="142"/>
      <c r="AM400" s="142"/>
      <c r="AN400" s="142"/>
      <c r="AO400" s="438"/>
      <c r="AP400" s="438"/>
      <c r="AQ400" s="438"/>
      <c r="AR400" s="438"/>
      <c r="AS400" s="438"/>
      <c r="AT400" s="438"/>
      <c r="AU400" s="438"/>
      <c r="AV400" s="438"/>
      <c r="AW400" s="438"/>
      <c r="AX400" s="438"/>
      <c r="AY400" s="438"/>
      <c r="AZ400" s="438"/>
      <c r="BA400" s="438"/>
      <c r="BB400" s="438"/>
      <c r="BC400" s="438"/>
      <c r="BD400" s="438"/>
      <c r="BE400" s="438"/>
      <c r="BF400" s="438"/>
      <c r="BG400" s="438"/>
      <c r="BH400" s="438"/>
    </row>
    <row r="401">
      <c r="A401" s="140"/>
      <c r="B401" s="456"/>
      <c r="C401" s="142"/>
      <c r="D401" s="142"/>
      <c r="E401" s="142"/>
      <c r="F401" s="140"/>
      <c r="G401" s="456"/>
      <c r="H401" s="142"/>
      <c r="I401" s="142"/>
      <c r="J401" s="142"/>
      <c r="K401" s="125"/>
      <c r="L401" s="456"/>
      <c r="M401" s="142"/>
      <c r="N401" s="142"/>
      <c r="O401" s="142"/>
      <c r="P401" s="125"/>
      <c r="Q401" s="450"/>
      <c r="R401" s="142"/>
      <c r="S401" s="142"/>
      <c r="T401" s="142"/>
      <c r="U401" s="140"/>
      <c r="V401" s="456"/>
      <c r="W401" s="142"/>
      <c r="X401" s="142"/>
      <c r="Y401" s="142"/>
      <c r="Z401" s="140"/>
      <c r="AA401" s="456"/>
      <c r="AB401" s="142"/>
      <c r="AC401" s="142"/>
      <c r="AD401" s="142"/>
      <c r="AE401" s="140"/>
      <c r="AF401" s="456"/>
      <c r="AG401" s="142"/>
      <c r="AH401" s="142"/>
      <c r="AI401" s="142"/>
      <c r="AJ401" s="140"/>
      <c r="AK401" s="456"/>
      <c r="AL401" s="142"/>
      <c r="AM401" s="142"/>
      <c r="AN401" s="142"/>
      <c r="AO401" s="438"/>
      <c r="AP401" s="438"/>
      <c r="AQ401" s="438"/>
      <c r="AR401" s="438"/>
      <c r="AS401" s="438"/>
      <c r="AT401" s="438"/>
      <c r="AU401" s="438"/>
      <c r="AV401" s="438"/>
      <c r="AW401" s="438"/>
      <c r="AX401" s="438"/>
      <c r="AY401" s="438"/>
      <c r="AZ401" s="438"/>
      <c r="BA401" s="438"/>
      <c r="BB401" s="438"/>
      <c r="BC401" s="438"/>
      <c r="BD401" s="438"/>
      <c r="BE401" s="438"/>
      <c r="BF401" s="438"/>
      <c r="BG401" s="438"/>
      <c r="BH401" s="438"/>
    </row>
    <row r="402">
      <c r="A402" s="140"/>
      <c r="B402" s="456"/>
      <c r="C402" s="142"/>
      <c r="D402" s="142"/>
      <c r="E402" s="142"/>
      <c r="F402" s="140"/>
      <c r="G402" s="456"/>
      <c r="H402" s="142"/>
      <c r="I402" s="142"/>
      <c r="J402" s="142"/>
      <c r="K402" s="125"/>
      <c r="L402" s="456"/>
      <c r="M402" s="142"/>
      <c r="N402" s="142"/>
      <c r="O402" s="142"/>
      <c r="P402" s="125"/>
      <c r="Q402" s="450"/>
      <c r="R402" s="142"/>
      <c r="S402" s="142"/>
      <c r="T402" s="142"/>
      <c r="U402" s="140"/>
      <c r="V402" s="456"/>
      <c r="W402" s="142"/>
      <c r="X402" s="142"/>
      <c r="Y402" s="142"/>
      <c r="Z402" s="140"/>
      <c r="AA402" s="456"/>
      <c r="AB402" s="142"/>
      <c r="AC402" s="142"/>
      <c r="AD402" s="142"/>
      <c r="AE402" s="140"/>
      <c r="AF402" s="456"/>
      <c r="AG402" s="142"/>
      <c r="AH402" s="142"/>
      <c r="AI402" s="142"/>
      <c r="AJ402" s="140"/>
      <c r="AK402" s="456"/>
      <c r="AL402" s="142"/>
      <c r="AM402" s="142"/>
      <c r="AN402" s="142"/>
      <c r="AO402" s="438"/>
      <c r="AP402" s="438"/>
      <c r="AQ402" s="438"/>
      <c r="AR402" s="438"/>
      <c r="AS402" s="438"/>
      <c r="AT402" s="438"/>
      <c r="AU402" s="438"/>
      <c r="AV402" s="438"/>
      <c r="AW402" s="438"/>
      <c r="AX402" s="438"/>
      <c r="AY402" s="438"/>
      <c r="AZ402" s="438"/>
      <c r="BA402" s="438"/>
      <c r="BB402" s="438"/>
      <c r="BC402" s="438"/>
      <c r="BD402" s="438"/>
      <c r="BE402" s="438"/>
      <c r="BF402" s="438"/>
      <c r="BG402" s="438"/>
      <c r="BH402" s="438"/>
    </row>
    <row r="403">
      <c r="A403" s="140"/>
      <c r="B403" s="456"/>
      <c r="C403" s="142"/>
      <c r="D403" s="142"/>
      <c r="E403" s="142"/>
      <c r="F403" s="140"/>
      <c r="G403" s="456"/>
      <c r="H403" s="142"/>
      <c r="I403" s="142"/>
      <c r="J403" s="142"/>
      <c r="K403" s="125"/>
      <c r="L403" s="456"/>
      <c r="M403" s="142"/>
      <c r="N403" s="142"/>
      <c r="O403" s="142"/>
      <c r="P403" s="125"/>
      <c r="Q403" s="450"/>
      <c r="R403" s="142"/>
      <c r="S403" s="142"/>
      <c r="T403" s="142"/>
      <c r="U403" s="140"/>
      <c r="V403" s="456"/>
      <c r="W403" s="142"/>
      <c r="X403" s="142"/>
      <c r="Y403" s="142"/>
      <c r="Z403" s="140"/>
      <c r="AA403" s="456"/>
      <c r="AB403" s="142"/>
      <c r="AC403" s="142"/>
      <c r="AD403" s="142"/>
      <c r="AE403" s="140"/>
      <c r="AF403" s="456"/>
      <c r="AG403" s="142"/>
      <c r="AH403" s="142"/>
      <c r="AI403" s="142"/>
      <c r="AJ403" s="140"/>
      <c r="AK403" s="456"/>
      <c r="AL403" s="142"/>
      <c r="AM403" s="142"/>
      <c r="AN403" s="142"/>
      <c r="AO403" s="438"/>
      <c r="AP403" s="438"/>
      <c r="AQ403" s="438"/>
      <c r="AR403" s="438"/>
      <c r="AS403" s="438"/>
      <c r="AT403" s="438"/>
      <c r="AU403" s="438"/>
      <c r="AV403" s="438"/>
      <c r="AW403" s="438"/>
      <c r="AX403" s="438"/>
      <c r="AY403" s="438"/>
      <c r="AZ403" s="438"/>
      <c r="BA403" s="438"/>
      <c r="BB403" s="438"/>
      <c r="BC403" s="438"/>
      <c r="BD403" s="438"/>
      <c r="BE403" s="438"/>
      <c r="BF403" s="438"/>
      <c r="BG403" s="438"/>
      <c r="BH403" s="438"/>
    </row>
    <row r="404">
      <c r="A404" s="140"/>
      <c r="B404" s="456"/>
      <c r="C404" s="142"/>
      <c r="D404" s="142"/>
      <c r="E404" s="142"/>
      <c r="F404" s="140"/>
      <c r="G404" s="456"/>
      <c r="H404" s="142"/>
      <c r="I404" s="142"/>
      <c r="J404" s="142"/>
      <c r="K404" s="125"/>
      <c r="L404" s="456"/>
      <c r="M404" s="142"/>
      <c r="N404" s="142"/>
      <c r="O404" s="142"/>
      <c r="P404" s="125"/>
      <c r="Q404" s="450"/>
      <c r="R404" s="142"/>
      <c r="S404" s="142"/>
      <c r="T404" s="142"/>
      <c r="U404" s="140"/>
      <c r="V404" s="456"/>
      <c r="W404" s="142"/>
      <c r="X404" s="142"/>
      <c r="Y404" s="142"/>
      <c r="Z404" s="140"/>
      <c r="AA404" s="456"/>
      <c r="AB404" s="142"/>
      <c r="AC404" s="142"/>
      <c r="AD404" s="142"/>
      <c r="AE404" s="140"/>
      <c r="AF404" s="456"/>
      <c r="AG404" s="142"/>
      <c r="AH404" s="142"/>
      <c r="AI404" s="142"/>
      <c r="AJ404" s="140"/>
      <c r="AK404" s="456"/>
      <c r="AL404" s="142"/>
      <c r="AM404" s="142"/>
      <c r="AN404" s="142"/>
      <c r="AO404" s="438"/>
      <c r="AP404" s="438"/>
      <c r="AQ404" s="438"/>
      <c r="AR404" s="438"/>
      <c r="AS404" s="438"/>
      <c r="AT404" s="438"/>
      <c r="AU404" s="438"/>
      <c r="AV404" s="438"/>
      <c r="AW404" s="438"/>
      <c r="AX404" s="438"/>
      <c r="AY404" s="438"/>
      <c r="AZ404" s="438"/>
      <c r="BA404" s="438"/>
      <c r="BB404" s="438"/>
      <c r="BC404" s="438"/>
      <c r="BD404" s="438"/>
      <c r="BE404" s="438"/>
      <c r="BF404" s="438"/>
      <c r="BG404" s="438"/>
      <c r="BH404" s="438"/>
    </row>
    <row r="405">
      <c r="A405" s="140"/>
      <c r="B405" s="456"/>
      <c r="C405" s="142"/>
      <c r="D405" s="142"/>
      <c r="E405" s="142"/>
      <c r="F405" s="140"/>
      <c r="G405" s="456"/>
      <c r="H405" s="142"/>
      <c r="I405" s="142"/>
      <c r="J405" s="142"/>
      <c r="K405" s="125"/>
      <c r="L405" s="456"/>
      <c r="M405" s="142"/>
      <c r="N405" s="142"/>
      <c r="O405" s="142"/>
      <c r="P405" s="125"/>
      <c r="Q405" s="450"/>
      <c r="R405" s="142"/>
      <c r="S405" s="142"/>
      <c r="T405" s="142"/>
      <c r="U405" s="140"/>
      <c r="V405" s="456"/>
      <c r="W405" s="142"/>
      <c r="X405" s="142"/>
      <c r="Y405" s="142"/>
      <c r="Z405" s="140"/>
      <c r="AA405" s="456"/>
      <c r="AB405" s="142"/>
      <c r="AC405" s="142"/>
      <c r="AD405" s="142"/>
      <c r="AE405" s="140"/>
      <c r="AF405" s="456"/>
      <c r="AG405" s="142"/>
      <c r="AH405" s="142"/>
      <c r="AI405" s="142"/>
      <c r="AJ405" s="140"/>
      <c r="AK405" s="456"/>
      <c r="AL405" s="142"/>
      <c r="AM405" s="142"/>
      <c r="AN405" s="142"/>
      <c r="AO405" s="438"/>
      <c r="AP405" s="438"/>
      <c r="AQ405" s="438"/>
      <c r="AR405" s="438"/>
      <c r="AS405" s="438"/>
      <c r="AT405" s="438"/>
      <c r="AU405" s="438"/>
      <c r="AV405" s="438"/>
      <c r="AW405" s="438"/>
      <c r="AX405" s="438"/>
      <c r="AY405" s="438"/>
      <c r="AZ405" s="438"/>
      <c r="BA405" s="438"/>
      <c r="BB405" s="438"/>
      <c r="BC405" s="438"/>
      <c r="BD405" s="438"/>
      <c r="BE405" s="438"/>
      <c r="BF405" s="438"/>
      <c r="BG405" s="438"/>
      <c r="BH405" s="438"/>
    </row>
    <row r="406">
      <c r="A406" s="140"/>
      <c r="B406" s="456"/>
      <c r="C406" s="142"/>
      <c r="D406" s="142"/>
      <c r="E406" s="142"/>
      <c r="F406" s="140"/>
      <c r="G406" s="456"/>
      <c r="H406" s="142"/>
      <c r="I406" s="142"/>
      <c r="J406" s="142"/>
      <c r="K406" s="125"/>
      <c r="L406" s="456"/>
      <c r="M406" s="142"/>
      <c r="N406" s="142"/>
      <c r="O406" s="142"/>
      <c r="P406" s="125"/>
      <c r="Q406" s="450"/>
      <c r="R406" s="142"/>
      <c r="S406" s="142"/>
      <c r="T406" s="142"/>
      <c r="U406" s="140"/>
      <c r="V406" s="456"/>
      <c r="W406" s="142"/>
      <c r="X406" s="142"/>
      <c r="Y406" s="142"/>
      <c r="Z406" s="140"/>
      <c r="AA406" s="456"/>
      <c r="AB406" s="142"/>
      <c r="AC406" s="142"/>
      <c r="AD406" s="142"/>
      <c r="AE406" s="140"/>
      <c r="AF406" s="456"/>
      <c r="AG406" s="142"/>
      <c r="AH406" s="142"/>
      <c r="AI406" s="142"/>
      <c r="AJ406" s="140"/>
      <c r="AK406" s="456"/>
      <c r="AL406" s="142"/>
      <c r="AM406" s="142"/>
      <c r="AN406" s="142"/>
      <c r="AO406" s="438"/>
      <c r="AP406" s="438"/>
      <c r="AQ406" s="438"/>
      <c r="AR406" s="438"/>
      <c r="AS406" s="438"/>
      <c r="AT406" s="438"/>
      <c r="AU406" s="438"/>
      <c r="AV406" s="438"/>
      <c r="AW406" s="438"/>
      <c r="AX406" s="438"/>
      <c r="AY406" s="438"/>
      <c r="AZ406" s="438"/>
      <c r="BA406" s="438"/>
      <c r="BB406" s="438"/>
      <c r="BC406" s="438"/>
      <c r="BD406" s="438"/>
      <c r="BE406" s="438"/>
      <c r="BF406" s="438"/>
      <c r="BG406" s="438"/>
      <c r="BH406" s="438"/>
    </row>
    <row r="407">
      <c r="A407" s="140"/>
      <c r="B407" s="456"/>
      <c r="C407" s="142"/>
      <c r="D407" s="142"/>
      <c r="E407" s="142"/>
      <c r="F407" s="140"/>
      <c r="G407" s="456"/>
      <c r="H407" s="142"/>
      <c r="I407" s="142"/>
      <c r="J407" s="142"/>
      <c r="K407" s="125"/>
      <c r="L407" s="456"/>
      <c r="M407" s="142"/>
      <c r="N407" s="142"/>
      <c r="O407" s="142"/>
      <c r="P407" s="125"/>
      <c r="Q407" s="450"/>
      <c r="R407" s="142"/>
      <c r="S407" s="142"/>
      <c r="T407" s="142"/>
      <c r="U407" s="140"/>
      <c r="V407" s="456"/>
      <c r="W407" s="142"/>
      <c r="X407" s="142"/>
      <c r="Y407" s="142"/>
      <c r="Z407" s="140"/>
      <c r="AA407" s="456"/>
      <c r="AB407" s="142"/>
      <c r="AC407" s="142"/>
      <c r="AD407" s="142"/>
      <c r="AE407" s="140"/>
      <c r="AF407" s="456"/>
      <c r="AG407" s="142"/>
      <c r="AH407" s="142"/>
      <c r="AI407" s="142"/>
      <c r="AJ407" s="140"/>
      <c r="AK407" s="456"/>
      <c r="AL407" s="142"/>
      <c r="AM407" s="142"/>
      <c r="AN407" s="142"/>
      <c r="AO407" s="438"/>
      <c r="AP407" s="438"/>
      <c r="AQ407" s="438"/>
      <c r="AR407" s="438"/>
      <c r="AS407" s="438"/>
      <c r="AT407" s="438"/>
      <c r="AU407" s="438"/>
      <c r="AV407" s="438"/>
      <c r="AW407" s="438"/>
      <c r="AX407" s="438"/>
      <c r="AY407" s="438"/>
      <c r="AZ407" s="438"/>
      <c r="BA407" s="438"/>
      <c r="BB407" s="438"/>
      <c r="BC407" s="438"/>
      <c r="BD407" s="438"/>
      <c r="BE407" s="438"/>
      <c r="BF407" s="438"/>
      <c r="BG407" s="438"/>
      <c r="BH407" s="438"/>
    </row>
    <row r="408">
      <c r="A408" s="140"/>
      <c r="B408" s="456"/>
      <c r="C408" s="142"/>
      <c r="D408" s="142"/>
      <c r="E408" s="142"/>
      <c r="F408" s="140"/>
      <c r="G408" s="456"/>
      <c r="H408" s="142"/>
      <c r="I408" s="142"/>
      <c r="J408" s="142"/>
      <c r="K408" s="125"/>
      <c r="L408" s="456"/>
      <c r="M408" s="142"/>
      <c r="N408" s="142"/>
      <c r="O408" s="142"/>
      <c r="P408" s="125"/>
      <c r="Q408" s="450"/>
      <c r="R408" s="142"/>
      <c r="S408" s="142"/>
      <c r="T408" s="142"/>
      <c r="U408" s="140"/>
      <c r="V408" s="456"/>
      <c r="W408" s="142"/>
      <c r="X408" s="142"/>
      <c r="Y408" s="142"/>
      <c r="Z408" s="140"/>
      <c r="AA408" s="456"/>
      <c r="AB408" s="142"/>
      <c r="AC408" s="142"/>
      <c r="AD408" s="142"/>
      <c r="AE408" s="140"/>
      <c r="AF408" s="456"/>
      <c r="AG408" s="142"/>
      <c r="AH408" s="142"/>
      <c r="AI408" s="142"/>
      <c r="AJ408" s="140"/>
      <c r="AK408" s="456"/>
      <c r="AL408" s="142"/>
      <c r="AM408" s="142"/>
      <c r="AN408" s="142"/>
      <c r="AO408" s="438"/>
      <c r="AP408" s="438"/>
      <c r="AQ408" s="438"/>
      <c r="AR408" s="438"/>
      <c r="AS408" s="438"/>
      <c r="AT408" s="438"/>
      <c r="AU408" s="438"/>
      <c r="AV408" s="438"/>
      <c r="AW408" s="438"/>
      <c r="AX408" s="438"/>
      <c r="AY408" s="438"/>
      <c r="AZ408" s="438"/>
      <c r="BA408" s="438"/>
      <c r="BB408" s="438"/>
      <c r="BC408" s="438"/>
      <c r="BD408" s="438"/>
      <c r="BE408" s="438"/>
      <c r="BF408" s="438"/>
      <c r="BG408" s="438"/>
      <c r="BH408" s="438"/>
    </row>
    <row r="409">
      <c r="A409" s="140"/>
      <c r="B409" s="456"/>
      <c r="C409" s="142"/>
      <c r="D409" s="142"/>
      <c r="E409" s="142"/>
      <c r="F409" s="140"/>
      <c r="G409" s="456"/>
      <c r="H409" s="142"/>
      <c r="I409" s="142"/>
      <c r="J409" s="142"/>
      <c r="K409" s="125"/>
      <c r="L409" s="456"/>
      <c r="M409" s="142"/>
      <c r="N409" s="142"/>
      <c r="O409" s="142"/>
      <c r="P409" s="125"/>
      <c r="Q409" s="450"/>
      <c r="R409" s="142"/>
      <c r="S409" s="142"/>
      <c r="T409" s="142"/>
      <c r="U409" s="140"/>
      <c r="V409" s="456"/>
      <c r="W409" s="142"/>
      <c r="X409" s="142"/>
      <c r="Y409" s="142"/>
      <c r="Z409" s="140"/>
      <c r="AA409" s="456"/>
      <c r="AB409" s="142"/>
      <c r="AC409" s="142"/>
      <c r="AD409" s="142"/>
      <c r="AE409" s="140"/>
      <c r="AF409" s="456"/>
      <c r="AG409" s="142"/>
      <c r="AH409" s="142"/>
      <c r="AI409" s="142"/>
      <c r="AJ409" s="140"/>
      <c r="AK409" s="456"/>
      <c r="AL409" s="142"/>
      <c r="AM409" s="142"/>
      <c r="AN409" s="142"/>
      <c r="AO409" s="438"/>
      <c r="AP409" s="438"/>
      <c r="AQ409" s="438"/>
      <c r="AR409" s="438"/>
      <c r="AS409" s="438"/>
      <c r="AT409" s="438"/>
      <c r="AU409" s="438"/>
      <c r="AV409" s="438"/>
      <c r="AW409" s="438"/>
      <c r="AX409" s="438"/>
      <c r="AY409" s="438"/>
      <c r="AZ409" s="438"/>
      <c r="BA409" s="438"/>
      <c r="BB409" s="438"/>
      <c r="BC409" s="438"/>
      <c r="BD409" s="438"/>
      <c r="BE409" s="438"/>
      <c r="BF409" s="438"/>
      <c r="BG409" s="438"/>
      <c r="BH409" s="438"/>
    </row>
    <row r="410">
      <c r="A410" s="140"/>
      <c r="B410" s="456"/>
      <c r="C410" s="142"/>
      <c r="D410" s="142"/>
      <c r="E410" s="142"/>
      <c r="F410" s="140"/>
      <c r="G410" s="456"/>
      <c r="H410" s="142"/>
      <c r="I410" s="142"/>
      <c r="J410" s="142"/>
      <c r="K410" s="125"/>
      <c r="L410" s="456"/>
      <c r="M410" s="142"/>
      <c r="N410" s="142"/>
      <c r="O410" s="142"/>
      <c r="P410" s="125"/>
      <c r="Q410" s="450"/>
      <c r="R410" s="142"/>
      <c r="S410" s="142"/>
      <c r="T410" s="142"/>
      <c r="U410" s="140"/>
      <c r="V410" s="456"/>
      <c r="W410" s="142"/>
      <c r="X410" s="142"/>
      <c r="Y410" s="142"/>
      <c r="Z410" s="140"/>
      <c r="AA410" s="456"/>
      <c r="AB410" s="142"/>
      <c r="AC410" s="142"/>
      <c r="AD410" s="142"/>
      <c r="AE410" s="140"/>
      <c r="AF410" s="456"/>
      <c r="AG410" s="142"/>
      <c r="AH410" s="142"/>
      <c r="AI410" s="142"/>
      <c r="AJ410" s="140"/>
      <c r="AK410" s="456"/>
      <c r="AL410" s="142"/>
      <c r="AM410" s="142"/>
      <c r="AN410" s="142"/>
      <c r="AO410" s="438"/>
      <c r="AP410" s="438"/>
      <c r="AQ410" s="438"/>
      <c r="AR410" s="438"/>
      <c r="AS410" s="438"/>
      <c r="AT410" s="438"/>
      <c r="AU410" s="438"/>
      <c r="AV410" s="438"/>
      <c r="AW410" s="438"/>
      <c r="AX410" s="438"/>
      <c r="AY410" s="438"/>
      <c r="AZ410" s="438"/>
      <c r="BA410" s="438"/>
      <c r="BB410" s="438"/>
      <c r="BC410" s="438"/>
      <c r="BD410" s="438"/>
      <c r="BE410" s="438"/>
      <c r="BF410" s="438"/>
      <c r="BG410" s="438"/>
      <c r="BH410" s="438"/>
    </row>
    <row r="411">
      <c r="A411" s="140"/>
      <c r="B411" s="456"/>
      <c r="C411" s="142"/>
      <c r="D411" s="142"/>
      <c r="E411" s="142"/>
      <c r="F411" s="140"/>
      <c r="G411" s="456"/>
      <c r="H411" s="142"/>
      <c r="I411" s="142"/>
      <c r="J411" s="142"/>
      <c r="K411" s="125"/>
      <c r="L411" s="456"/>
      <c r="M411" s="142"/>
      <c r="N411" s="142"/>
      <c r="O411" s="142"/>
      <c r="P411" s="125"/>
      <c r="Q411" s="450"/>
      <c r="R411" s="142"/>
      <c r="S411" s="142"/>
      <c r="T411" s="142"/>
      <c r="U411" s="140"/>
      <c r="V411" s="456"/>
      <c r="W411" s="142"/>
      <c r="X411" s="142"/>
      <c r="Y411" s="142"/>
      <c r="Z411" s="140"/>
      <c r="AA411" s="456"/>
      <c r="AB411" s="142"/>
      <c r="AC411" s="142"/>
      <c r="AD411" s="142"/>
      <c r="AE411" s="140"/>
      <c r="AF411" s="456"/>
      <c r="AG411" s="142"/>
      <c r="AH411" s="142"/>
      <c r="AI411" s="142"/>
      <c r="AJ411" s="140"/>
      <c r="AK411" s="456"/>
      <c r="AL411" s="142"/>
      <c r="AM411" s="142"/>
      <c r="AN411" s="142"/>
      <c r="AO411" s="438"/>
      <c r="AP411" s="438"/>
      <c r="AQ411" s="438"/>
      <c r="AR411" s="438"/>
      <c r="AS411" s="438"/>
      <c r="AT411" s="438"/>
      <c r="AU411" s="438"/>
      <c r="AV411" s="438"/>
      <c r="AW411" s="438"/>
      <c r="AX411" s="438"/>
      <c r="AY411" s="438"/>
      <c r="AZ411" s="438"/>
      <c r="BA411" s="438"/>
      <c r="BB411" s="438"/>
      <c r="BC411" s="438"/>
      <c r="BD411" s="438"/>
      <c r="BE411" s="438"/>
      <c r="BF411" s="438"/>
      <c r="BG411" s="438"/>
      <c r="BH411" s="438"/>
    </row>
    <row r="412">
      <c r="A412" s="140"/>
      <c r="B412" s="456"/>
      <c r="C412" s="142"/>
      <c r="D412" s="142"/>
      <c r="E412" s="142"/>
      <c r="F412" s="140"/>
      <c r="G412" s="456"/>
      <c r="H412" s="142"/>
      <c r="I412" s="142"/>
      <c r="J412" s="142"/>
      <c r="K412" s="125"/>
      <c r="L412" s="456"/>
      <c r="M412" s="142"/>
      <c r="N412" s="142"/>
      <c r="O412" s="142"/>
      <c r="P412" s="125"/>
      <c r="Q412" s="450"/>
      <c r="R412" s="142"/>
      <c r="S412" s="142"/>
      <c r="T412" s="142"/>
      <c r="U412" s="140"/>
      <c r="V412" s="456"/>
      <c r="W412" s="142"/>
      <c r="X412" s="142"/>
      <c r="Y412" s="142"/>
      <c r="Z412" s="140"/>
      <c r="AA412" s="456"/>
      <c r="AB412" s="142"/>
      <c r="AC412" s="142"/>
      <c r="AD412" s="142"/>
      <c r="AE412" s="140"/>
      <c r="AF412" s="456"/>
      <c r="AG412" s="142"/>
      <c r="AH412" s="142"/>
      <c r="AI412" s="142"/>
      <c r="AJ412" s="140"/>
      <c r="AK412" s="456"/>
      <c r="AL412" s="142"/>
      <c r="AM412" s="142"/>
      <c r="AN412" s="142"/>
      <c r="AO412" s="438"/>
      <c r="AP412" s="438"/>
      <c r="AQ412" s="438"/>
      <c r="AR412" s="438"/>
      <c r="AS412" s="438"/>
      <c r="AT412" s="438"/>
      <c r="AU412" s="438"/>
      <c r="AV412" s="438"/>
      <c r="AW412" s="438"/>
      <c r="AX412" s="438"/>
      <c r="AY412" s="438"/>
      <c r="AZ412" s="438"/>
      <c r="BA412" s="438"/>
      <c r="BB412" s="438"/>
      <c r="BC412" s="438"/>
      <c r="BD412" s="438"/>
      <c r="BE412" s="438"/>
      <c r="BF412" s="438"/>
      <c r="BG412" s="438"/>
      <c r="BH412" s="438"/>
    </row>
    <row r="413">
      <c r="A413" s="140"/>
      <c r="B413" s="456"/>
      <c r="C413" s="142"/>
      <c r="D413" s="142"/>
      <c r="E413" s="142"/>
      <c r="F413" s="140"/>
      <c r="G413" s="456"/>
      <c r="H413" s="142"/>
      <c r="I413" s="142"/>
      <c r="J413" s="142"/>
      <c r="K413" s="125"/>
      <c r="L413" s="456"/>
      <c r="M413" s="142"/>
      <c r="N413" s="142"/>
      <c r="O413" s="142"/>
      <c r="P413" s="125"/>
      <c r="Q413" s="450"/>
      <c r="R413" s="142"/>
      <c r="S413" s="142"/>
      <c r="T413" s="142"/>
      <c r="U413" s="140"/>
      <c r="V413" s="456"/>
      <c r="W413" s="142"/>
      <c r="X413" s="142"/>
      <c r="Y413" s="142"/>
      <c r="Z413" s="140"/>
      <c r="AA413" s="456"/>
      <c r="AB413" s="142"/>
      <c r="AC413" s="142"/>
      <c r="AD413" s="142"/>
      <c r="AE413" s="140"/>
      <c r="AF413" s="456"/>
      <c r="AG413" s="142"/>
      <c r="AH413" s="142"/>
      <c r="AI413" s="142"/>
      <c r="AJ413" s="140"/>
      <c r="AK413" s="456"/>
      <c r="AL413" s="142"/>
      <c r="AM413" s="142"/>
      <c r="AN413" s="142"/>
      <c r="AO413" s="438"/>
      <c r="AP413" s="438"/>
      <c r="AQ413" s="438"/>
      <c r="AR413" s="438"/>
      <c r="AS413" s="438"/>
      <c r="AT413" s="438"/>
      <c r="AU413" s="438"/>
      <c r="AV413" s="438"/>
      <c r="AW413" s="438"/>
      <c r="AX413" s="438"/>
      <c r="AY413" s="438"/>
      <c r="AZ413" s="438"/>
      <c r="BA413" s="438"/>
      <c r="BB413" s="438"/>
      <c r="BC413" s="438"/>
      <c r="BD413" s="438"/>
      <c r="BE413" s="438"/>
      <c r="BF413" s="438"/>
      <c r="BG413" s="438"/>
      <c r="BH413" s="438"/>
    </row>
    <row r="414">
      <c r="A414" s="140"/>
      <c r="B414" s="456"/>
      <c r="C414" s="142"/>
      <c r="D414" s="142"/>
      <c r="E414" s="142"/>
      <c r="F414" s="140"/>
      <c r="G414" s="456"/>
      <c r="H414" s="142"/>
      <c r="I414" s="142"/>
      <c r="J414" s="142"/>
      <c r="K414" s="125"/>
      <c r="L414" s="456"/>
      <c r="M414" s="142"/>
      <c r="N414" s="142"/>
      <c r="O414" s="142"/>
      <c r="P414" s="125"/>
      <c r="Q414" s="450"/>
      <c r="R414" s="142"/>
      <c r="S414" s="142"/>
      <c r="T414" s="142"/>
      <c r="U414" s="140"/>
      <c r="V414" s="456"/>
      <c r="W414" s="142"/>
      <c r="X414" s="142"/>
      <c r="Y414" s="142"/>
      <c r="Z414" s="140"/>
      <c r="AA414" s="456"/>
      <c r="AB414" s="142"/>
      <c r="AC414" s="142"/>
      <c r="AD414" s="142"/>
      <c r="AE414" s="140"/>
      <c r="AF414" s="456"/>
      <c r="AG414" s="142"/>
      <c r="AH414" s="142"/>
      <c r="AI414" s="142"/>
      <c r="AJ414" s="140"/>
      <c r="AK414" s="456"/>
      <c r="AL414" s="142"/>
      <c r="AM414" s="142"/>
      <c r="AN414" s="142"/>
      <c r="AO414" s="438"/>
      <c r="AP414" s="438"/>
      <c r="AQ414" s="438"/>
      <c r="AR414" s="438"/>
      <c r="AS414" s="438"/>
      <c r="AT414" s="438"/>
      <c r="AU414" s="438"/>
      <c r="AV414" s="438"/>
      <c r="AW414" s="438"/>
      <c r="AX414" s="438"/>
      <c r="AY414" s="438"/>
      <c r="AZ414" s="438"/>
      <c r="BA414" s="438"/>
      <c r="BB414" s="438"/>
      <c r="BC414" s="438"/>
      <c r="BD414" s="438"/>
      <c r="BE414" s="438"/>
      <c r="BF414" s="438"/>
      <c r="BG414" s="438"/>
      <c r="BH414" s="438"/>
    </row>
    <row r="415">
      <c r="A415" s="140"/>
      <c r="B415" s="456"/>
      <c r="C415" s="142"/>
      <c r="D415" s="142"/>
      <c r="E415" s="142"/>
      <c r="F415" s="140"/>
      <c r="G415" s="456"/>
      <c r="H415" s="142"/>
      <c r="I415" s="142"/>
      <c r="J415" s="142"/>
      <c r="K415" s="125"/>
      <c r="L415" s="456"/>
      <c r="M415" s="142"/>
      <c r="N415" s="142"/>
      <c r="O415" s="142"/>
      <c r="P415" s="125"/>
      <c r="Q415" s="450"/>
      <c r="R415" s="142"/>
      <c r="S415" s="142"/>
      <c r="T415" s="142"/>
      <c r="U415" s="140"/>
      <c r="V415" s="456"/>
      <c r="W415" s="142"/>
      <c r="X415" s="142"/>
      <c r="Y415" s="142"/>
      <c r="Z415" s="140"/>
      <c r="AA415" s="456"/>
      <c r="AB415" s="142"/>
      <c r="AC415" s="142"/>
      <c r="AD415" s="142"/>
      <c r="AE415" s="140"/>
      <c r="AF415" s="456"/>
      <c r="AG415" s="142"/>
      <c r="AH415" s="142"/>
      <c r="AI415" s="142"/>
      <c r="AJ415" s="140"/>
      <c r="AK415" s="456"/>
      <c r="AL415" s="142"/>
      <c r="AM415" s="142"/>
      <c r="AN415" s="142"/>
      <c r="AO415" s="438"/>
      <c r="AP415" s="438"/>
      <c r="AQ415" s="438"/>
      <c r="AR415" s="438"/>
      <c r="AS415" s="438"/>
      <c r="AT415" s="438"/>
      <c r="AU415" s="438"/>
      <c r="AV415" s="438"/>
      <c r="AW415" s="438"/>
      <c r="AX415" s="438"/>
      <c r="AY415" s="438"/>
      <c r="AZ415" s="438"/>
      <c r="BA415" s="438"/>
      <c r="BB415" s="438"/>
      <c r="BC415" s="438"/>
      <c r="BD415" s="438"/>
      <c r="BE415" s="438"/>
      <c r="BF415" s="438"/>
      <c r="BG415" s="438"/>
      <c r="BH415" s="438"/>
    </row>
    <row r="416">
      <c r="A416" s="140"/>
      <c r="B416" s="456"/>
      <c r="C416" s="142"/>
      <c r="D416" s="142"/>
      <c r="E416" s="142"/>
      <c r="F416" s="140"/>
      <c r="G416" s="456"/>
      <c r="H416" s="142"/>
      <c r="I416" s="142"/>
      <c r="J416" s="142"/>
      <c r="K416" s="125"/>
      <c r="L416" s="456"/>
      <c r="M416" s="142"/>
      <c r="N416" s="142"/>
      <c r="O416" s="142"/>
      <c r="P416" s="125"/>
      <c r="Q416" s="450"/>
      <c r="R416" s="142"/>
      <c r="S416" s="142"/>
      <c r="T416" s="142"/>
      <c r="U416" s="140"/>
      <c r="V416" s="456"/>
      <c r="W416" s="142"/>
      <c r="X416" s="142"/>
      <c r="Y416" s="142"/>
      <c r="Z416" s="140"/>
      <c r="AA416" s="456"/>
      <c r="AB416" s="142"/>
      <c r="AC416" s="142"/>
      <c r="AD416" s="142"/>
      <c r="AE416" s="140"/>
      <c r="AF416" s="456"/>
      <c r="AG416" s="142"/>
      <c r="AH416" s="142"/>
      <c r="AI416" s="142"/>
      <c r="AJ416" s="140"/>
      <c r="AK416" s="456"/>
      <c r="AL416" s="142"/>
      <c r="AM416" s="142"/>
      <c r="AN416" s="142"/>
      <c r="AO416" s="438"/>
      <c r="AP416" s="438"/>
      <c r="AQ416" s="438"/>
      <c r="AR416" s="438"/>
      <c r="AS416" s="438"/>
      <c r="AT416" s="438"/>
      <c r="AU416" s="438"/>
      <c r="AV416" s="438"/>
      <c r="AW416" s="438"/>
      <c r="AX416" s="438"/>
      <c r="AY416" s="438"/>
      <c r="AZ416" s="438"/>
      <c r="BA416" s="438"/>
      <c r="BB416" s="438"/>
      <c r="BC416" s="438"/>
      <c r="BD416" s="438"/>
      <c r="BE416" s="438"/>
      <c r="BF416" s="438"/>
      <c r="BG416" s="438"/>
      <c r="BH416" s="438"/>
    </row>
    <row r="417">
      <c r="A417" s="140"/>
      <c r="B417" s="456"/>
      <c r="C417" s="142"/>
      <c r="D417" s="142"/>
      <c r="E417" s="142"/>
      <c r="F417" s="140"/>
      <c r="G417" s="456"/>
      <c r="H417" s="142"/>
      <c r="I417" s="142"/>
      <c r="J417" s="142"/>
      <c r="K417" s="125"/>
      <c r="L417" s="456"/>
      <c r="M417" s="142"/>
      <c r="N417" s="142"/>
      <c r="O417" s="142"/>
      <c r="P417" s="125"/>
      <c r="Q417" s="450"/>
      <c r="R417" s="142"/>
      <c r="S417" s="142"/>
      <c r="T417" s="142"/>
      <c r="U417" s="140"/>
      <c r="V417" s="456"/>
      <c r="W417" s="142"/>
      <c r="X417" s="142"/>
      <c r="Y417" s="142"/>
      <c r="Z417" s="140"/>
      <c r="AA417" s="456"/>
      <c r="AB417" s="142"/>
      <c r="AC417" s="142"/>
      <c r="AD417" s="142"/>
      <c r="AE417" s="140"/>
      <c r="AF417" s="456"/>
      <c r="AG417" s="142"/>
      <c r="AH417" s="142"/>
      <c r="AI417" s="142"/>
      <c r="AJ417" s="140"/>
      <c r="AK417" s="456"/>
      <c r="AL417" s="142"/>
      <c r="AM417" s="142"/>
      <c r="AN417" s="142"/>
      <c r="AO417" s="438"/>
      <c r="AP417" s="438"/>
      <c r="AQ417" s="438"/>
      <c r="AR417" s="438"/>
      <c r="AS417" s="438"/>
      <c r="AT417" s="438"/>
      <c r="AU417" s="438"/>
      <c r="AV417" s="438"/>
      <c r="AW417" s="438"/>
      <c r="AX417" s="438"/>
      <c r="AY417" s="438"/>
      <c r="AZ417" s="438"/>
      <c r="BA417" s="438"/>
      <c r="BB417" s="438"/>
      <c r="BC417" s="438"/>
      <c r="BD417" s="438"/>
      <c r="BE417" s="438"/>
      <c r="BF417" s="438"/>
      <c r="BG417" s="438"/>
      <c r="BH417" s="438"/>
    </row>
    <row r="418">
      <c r="A418" s="140"/>
      <c r="B418" s="456"/>
      <c r="C418" s="142"/>
      <c r="D418" s="142"/>
      <c r="E418" s="142"/>
      <c r="F418" s="140"/>
      <c r="G418" s="456"/>
      <c r="H418" s="142"/>
      <c r="I418" s="142"/>
      <c r="J418" s="142"/>
      <c r="K418" s="125"/>
      <c r="L418" s="456"/>
      <c r="M418" s="142"/>
      <c r="N418" s="142"/>
      <c r="O418" s="142"/>
      <c r="P418" s="125"/>
      <c r="Q418" s="450"/>
      <c r="R418" s="142"/>
      <c r="S418" s="142"/>
      <c r="T418" s="142"/>
      <c r="U418" s="140"/>
      <c r="V418" s="456"/>
      <c r="W418" s="142"/>
      <c r="X418" s="142"/>
      <c r="Y418" s="142"/>
      <c r="Z418" s="140"/>
      <c r="AA418" s="456"/>
      <c r="AB418" s="142"/>
      <c r="AC418" s="142"/>
      <c r="AD418" s="142"/>
      <c r="AE418" s="140"/>
      <c r="AF418" s="456"/>
      <c r="AG418" s="142"/>
      <c r="AH418" s="142"/>
      <c r="AI418" s="142"/>
      <c r="AJ418" s="140"/>
      <c r="AK418" s="456"/>
      <c r="AL418" s="142"/>
      <c r="AM418" s="142"/>
      <c r="AN418" s="142"/>
      <c r="AO418" s="438"/>
      <c r="AP418" s="438"/>
      <c r="AQ418" s="438"/>
      <c r="AR418" s="438"/>
      <c r="AS418" s="438"/>
      <c r="AT418" s="438"/>
      <c r="AU418" s="438"/>
      <c r="AV418" s="438"/>
      <c r="AW418" s="438"/>
      <c r="AX418" s="438"/>
      <c r="AY418" s="438"/>
      <c r="AZ418" s="438"/>
      <c r="BA418" s="438"/>
      <c r="BB418" s="438"/>
      <c r="BC418" s="438"/>
      <c r="BD418" s="438"/>
      <c r="BE418" s="438"/>
      <c r="BF418" s="438"/>
      <c r="BG418" s="438"/>
      <c r="BH418" s="438"/>
    </row>
    <row r="419">
      <c r="A419" s="140"/>
      <c r="B419" s="456"/>
      <c r="C419" s="142"/>
      <c r="D419" s="142"/>
      <c r="E419" s="142"/>
      <c r="F419" s="140"/>
      <c r="G419" s="456"/>
      <c r="H419" s="142"/>
      <c r="I419" s="142"/>
      <c r="J419" s="142"/>
      <c r="K419" s="125"/>
      <c r="L419" s="456"/>
      <c r="M419" s="142"/>
      <c r="N419" s="142"/>
      <c r="O419" s="142"/>
      <c r="P419" s="125"/>
      <c r="Q419" s="450"/>
      <c r="R419" s="142"/>
      <c r="S419" s="142"/>
      <c r="T419" s="142"/>
      <c r="U419" s="140"/>
      <c r="V419" s="456"/>
      <c r="W419" s="142"/>
      <c r="X419" s="142"/>
      <c r="Y419" s="142"/>
      <c r="Z419" s="140"/>
      <c r="AA419" s="456"/>
      <c r="AB419" s="142"/>
      <c r="AC419" s="142"/>
      <c r="AD419" s="142"/>
      <c r="AE419" s="140"/>
      <c r="AF419" s="456"/>
      <c r="AG419" s="142"/>
      <c r="AH419" s="142"/>
      <c r="AI419" s="142"/>
      <c r="AJ419" s="140"/>
      <c r="AK419" s="456"/>
      <c r="AL419" s="142"/>
      <c r="AM419" s="142"/>
      <c r="AN419" s="142"/>
      <c r="AO419" s="438"/>
      <c r="AP419" s="438"/>
      <c r="AQ419" s="438"/>
      <c r="AR419" s="438"/>
      <c r="AS419" s="438"/>
      <c r="AT419" s="438"/>
      <c r="AU419" s="438"/>
      <c r="AV419" s="438"/>
      <c r="AW419" s="438"/>
      <c r="AX419" s="438"/>
      <c r="AY419" s="438"/>
      <c r="AZ419" s="438"/>
      <c r="BA419" s="438"/>
      <c r="BB419" s="438"/>
      <c r="BC419" s="438"/>
      <c r="BD419" s="438"/>
      <c r="BE419" s="438"/>
      <c r="BF419" s="438"/>
      <c r="BG419" s="438"/>
      <c r="BH419" s="438"/>
    </row>
    <row r="420">
      <c r="A420" s="140"/>
      <c r="B420" s="456"/>
      <c r="C420" s="142"/>
      <c r="D420" s="142"/>
      <c r="E420" s="142"/>
      <c r="F420" s="140"/>
      <c r="G420" s="456"/>
      <c r="H420" s="142"/>
      <c r="I420" s="142"/>
      <c r="J420" s="142"/>
      <c r="K420" s="125"/>
      <c r="L420" s="456"/>
      <c r="M420" s="142"/>
      <c r="N420" s="142"/>
      <c r="O420" s="142"/>
      <c r="P420" s="125"/>
      <c r="Q420" s="450"/>
      <c r="R420" s="142"/>
      <c r="S420" s="142"/>
      <c r="T420" s="142"/>
      <c r="U420" s="140"/>
      <c r="V420" s="456"/>
      <c r="W420" s="142"/>
      <c r="X420" s="142"/>
      <c r="Y420" s="142"/>
      <c r="Z420" s="140"/>
      <c r="AA420" s="456"/>
      <c r="AB420" s="142"/>
      <c r="AC420" s="142"/>
      <c r="AD420" s="142"/>
      <c r="AE420" s="140"/>
      <c r="AF420" s="456"/>
      <c r="AG420" s="142"/>
      <c r="AH420" s="142"/>
      <c r="AI420" s="142"/>
      <c r="AJ420" s="140"/>
      <c r="AK420" s="456"/>
      <c r="AL420" s="142"/>
      <c r="AM420" s="142"/>
      <c r="AN420" s="142"/>
      <c r="AO420" s="438"/>
      <c r="AP420" s="438"/>
      <c r="AQ420" s="438"/>
      <c r="AR420" s="438"/>
      <c r="AS420" s="438"/>
      <c r="AT420" s="438"/>
      <c r="AU420" s="438"/>
      <c r="AV420" s="438"/>
      <c r="AW420" s="438"/>
      <c r="AX420" s="438"/>
      <c r="AY420" s="438"/>
      <c r="AZ420" s="438"/>
      <c r="BA420" s="438"/>
      <c r="BB420" s="438"/>
      <c r="BC420" s="438"/>
      <c r="BD420" s="438"/>
      <c r="BE420" s="438"/>
      <c r="BF420" s="438"/>
      <c r="BG420" s="438"/>
      <c r="BH420" s="438"/>
    </row>
    <row r="421">
      <c r="A421" s="140"/>
      <c r="B421" s="456"/>
      <c r="C421" s="142"/>
      <c r="D421" s="142"/>
      <c r="E421" s="142"/>
      <c r="F421" s="140"/>
      <c r="G421" s="456"/>
      <c r="H421" s="142"/>
      <c r="I421" s="142"/>
      <c r="J421" s="142"/>
      <c r="K421" s="125"/>
      <c r="L421" s="456"/>
      <c r="M421" s="142"/>
      <c r="N421" s="142"/>
      <c r="O421" s="142"/>
      <c r="P421" s="125"/>
      <c r="Q421" s="450"/>
      <c r="R421" s="142"/>
      <c r="S421" s="142"/>
      <c r="T421" s="142"/>
      <c r="U421" s="140"/>
      <c r="V421" s="456"/>
      <c r="W421" s="142"/>
      <c r="X421" s="142"/>
      <c r="Y421" s="142"/>
      <c r="Z421" s="140"/>
      <c r="AA421" s="456"/>
      <c r="AB421" s="142"/>
      <c r="AC421" s="142"/>
      <c r="AD421" s="142"/>
      <c r="AE421" s="140"/>
      <c r="AF421" s="456"/>
      <c r="AG421" s="142"/>
      <c r="AH421" s="142"/>
      <c r="AI421" s="142"/>
      <c r="AJ421" s="140"/>
      <c r="AK421" s="456"/>
      <c r="AL421" s="142"/>
      <c r="AM421" s="142"/>
      <c r="AN421" s="142"/>
      <c r="AO421" s="438"/>
      <c r="AP421" s="438"/>
      <c r="AQ421" s="438"/>
      <c r="AR421" s="438"/>
      <c r="AS421" s="438"/>
      <c r="AT421" s="438"/>
      <c r="AU421" s="438"/>
      <c r="AV421" s="438"/>
      <c r="AW421" s="438"/>
      <c r="AX421" s="438"/>
      <c r="AY421" s="438"/>
      <c r="AZ421" s="438"/>
      <c r="BA421" s="438"/>
      <c r="BB421" s="438"/>
      <c r="BC421" s="438"/>
      <c r="BD421" s="438"/>
      <c r="BE421" s="438"/>
      <c r="BF421" s="438"/>
      <c r="BG421" s="438"/>
      <c r="BH421" s="438"/>
    </row>
    <row r="422">
      <c r="A422" s="140"/>
      <c r="B422" s="456"/>
      <c r="C422" s="142"/>
      <c r="D422" s="142"/>
      <c r="E422" s="142"/>
      <c r="F422" s="140"/>
      <c r="G422" s="456"/>
      <c r="H422" s="142"/>
      <c r="I422" s="142"/>
      <c r="J422" s="142"/>
      <c r="K422" s="125"/>
      <c r="L422" s="456"/>
      <c r="M422" s="142"/>
      <c r="N422" s="142"/>
      <c r="O422" s="142"/>
      <c r="P422" s="125"/>
      <c r="Q422" s="450"/>
      <c r="R422" s="142"/>
      <c r="S422" s="142"/>
      <c r="T422" s="142"/>
      <c r="U422" s="140"/>
      <c r="V422" s="456"/>
      <c r="W422" s="142"/>
      <c r="X422" s="142"/>
      <c r="Y422" s="142"/>
      <c r="Z422" s="140"/>
      <c r="AA422" s="456"/>
      <c r="AB422" s="142"/>
      <c r="AC422" s="142"/>
      <c r="AD422" s="142"/>
      <c r="AE422" s="140"/>
      <c r="AF422" s="456"/>
      <c r="AG422" s="142"/>
      <c r="AH422" s="142"/>
      <c r="AI422" s="142"/>
      <c r="AJ422" s="140"/>
      <c r="AK422" s="456"/>
      <c r="AL422" s="142"/>
      <c r="AM422" s="142"/>
      <c r="AN422" s="142"/>
      <c r="AO422" s="438"/>
      <c r="AP422" s="438"/>
      <c r="AQ422" s="438"/>
      <c r="AR422" s="438"/>
      <c r="AS422" s="438"/>
      <c r="AT422" s="438"/>
      <c r="AU422" s="438"/>
      <c r="AV422" s="438"/>
      <c r="AW422" s="438"/>
      <c r="AX422" s="438"/>
      <c r="AY422" s="438"/>
      <c r="AZ422" s="438"/>
      <c r="BA422" s="438"/>
      <c r="BB422" s="438"/>
      <c r="BC422" s="438"/>
      <c r="BD422" s="438"/>
      <c r="BE422" s="438"/>
      <c r="BF422" s="438"/>
      <c r="BG422" s="438"/>
      <c r="BH422" s="438"/>
    </row>
    <row r="423">
      <c r="A423" s="140"/>
      <c r="B423" s="456"/>
      <c r="C423" s="142"/>
      <c r="D423" s="142"/>
      <c r="E423" s="142"/>
      <c r="F423" s="140"/>
      <c r="G423" s="456"/>
      <c r="H423" s="142"/>
      <c r="I423" s="142"/>
      <c r="J423" s="142"/>
      <c r="K423" s="125"/>
      <c r="L423" s="456"/>
      <c r="M423" s="142"/>
      <c r="N423" s="142"/>
      <c r="O423" s="142"/>
      <c r="P423" s="125"/>
      <c r="Q423" s="450"/>
      <c r="R423" s="142"/>
      <c r="S423" s="142"/>
      <c r="T423" s="142"/>
      <c r="U423" s="140"/>
      <c r="V423" s="456"/>
      <c r="W423" s="142"/>
      <c r="X423" s="142"/>
      <c r="Y423" s="142"/>
      <c r="Z423" s="140"/>
      <c r="AA423" s="456"/>
      <c r="AB423" s="142"/>
      <c r="AC423" s="142"/>
      <c r="AD423" s="142"/>
      <c r="AE423" s="140"/>
      <c r="AF423" s="456"/>
      <c r="AG423" s="142"/>
      <c r="AH423" s="142"/>
      <c r="AI423" s="142"/>
      <c r="AJ423" s="140"/>
      <c r="AK423" s="456"/>
      <c r="AL423" s="142"/>
      <c r="AM423" s="142"/>
      <c r="AN423" s="142"/>
      <c r="AO423" s="438"/>
      <c r="AP423" s="438"/>
      <c r="AQ423" s="438"/>
      <c r="AR423" s="438"/>
      <c r="AS423" s="438"/>
      <c r="AT423" s="438"/>
      <c r="AU423" s="438"/>
      <c r="AV423" s="438"/>
      <c r="AW423" s="438"/>
      <c r="AX423" s="438"/>
      <c r="AY423" s="438"/>
      <c r="AZ423" s="438"/>
      <c r="BA423" s="438"/>
      <c r="BB423" s="438"/>
      <c r="BC423" s="438"/>
      <c r="BD423" s="438"/>
      <c r="BE423" s="438"/>
      <c r="BF423" s="438"/>
      <c r="BG423" s="438"/>
      <c r="BH423" s="438"/>
    </row>
    <row r="424">
      <c r="A424" s="140"/>
      <c r="B424" s="456"/>
      <c r="C424" s="142"/>
      <c r="D424" s="142"/>
      <c r="E424" s="142"/>
      <c r="F424" s="140"/>
      <c r="G424" s="456"/>
      <c r="H424" s="142"/>
      <c r="I424" s="142"/>
      <c r="J424" s="142"/>
      <c r="K424" s="125"/>
      <c r="L424" s="456"/>
      <c r="M424" s="142"/>
      <c r="N424" s="142"/>
      <c r="O424" s="142"/>
      <c r="P424" s="125"/>
      <c r="Q424" s="450"/>
      <c r="R424" s="142"/>
      <c r="S424" s="142"/>
      <c r="T424" s="142"/>
      <c r="U424" s="140"/>
      <c r="V424" s="456"/>
      <c r="W424" s="142"/>
      <c r="X424" s="142"/>
      <c r="Y424" s="142"/>
      <c r="Z424" s="140"/>
      <c r="AA424" s="456"/>
      <c r="AB424" s="142"/>
      <c r="AC424" s="142"/>
      <c r="AD424" s="142"/>
      <c r="AE424" s="140"/>
      <c r="AF424" s="456"/>
      <c r="AG424" s="142"/>
      <c r="AH424" s="142"/>
      <c r="AI424" s="142"/>
      <c r="AJ424" s="140"/>
      <c r="AK424" s="456"/>
      <c r="AL424" s="142"/>
      <c r="AM424" s="142"/>
      <c r="AN424" s="142"/>
      <c r="AO424" s="438"/>
      <c r="AP424" s="438"/>
      <c r="AQ424" s="438"/>
      <c r="AR424" s="438"/>
      <c r="AS424" s="438"/>
      <c r="AT424" s="438"/>
      <c r="AU424" s="438"/>
      <c r="AV424" s="438"/>
      <c r="AW424" s="438"/>
      <c r="AX424" s="438"/>
      <c r="AY424" s="438"/>
      <c r="AZ424" s="438"/>
      <c r="BA424" s="438"/>
      <c r="BB424" s="438"/>
      <c r="BC424" s="438"/>
      <c r="BD424" s="438"/>
      <c r="BE424" s="438"/>
      <c r="BF424" s="438"/>
      <c r="BG424" s="438"/>
      <c r="BH424" s="438"/>
    </row>
    <row r="425">
      <c r="A425" s="140"/>
      <c r="B425" s="456"/>
      <c r="C425" s="142"/>
      <c r="D425" s="142"/>
      <c r="E425" s="142"/>
      <c r="F425" s="140"/>
      <c r="G425" s="456"/>
      <c r="H425" s="142"/>
      <c r="I425" s="142"/>
      <c r="J425" s="142"/>
      <c r="K425" s="125"/>
      <c r="L425" s="456"/>
      <c r="M425" s="142"/>
      <c r="N425" s="142"/>
      <c r="O425" s="142"/>
      <c r="P425" s="125"/>
      <c r="Q425" s="450"/>
      <c r="R425" s="142"/>
      <c r="S425" s="142"/>
      <c r="T425" s="142"/>
      <c r="U425" s="140"/>
      <c r="V425" s="456"/>
      <c r="W425" s="142"/>
      <c r="X425" s="142"/>
      <c r="Y425" s="142"/>
      <c r="Z425" s="140"/>
      <c r="AA425" s="456"/>
      <c r="AB425" s="142"/>
      <c r="AC425" s="142"/>
      <c r="AD425" s="142"/>
      <c r="AE425" s="140"/>
      <c r="AF425" s="456"/>
      <c r="AG425" s="142"/>
      <c r="AH425" s="142"/>
      <c r="AI425" s="142"/>
      <c r="AJ425" s="140"/>
      <c r="AK425" s="456"/>
      <c r="AL425" s="142"/>
      <c r="AM425" s="142"/>
      <c r="AN425" s="142"/>
      <c r="AO425" s="438"/>
      <c r="AP425" s="438"/>
      <c r="AQ425" s="438"/>
      <c r="AR425" s="438"/>
      <c r="AS425" s="438"/>
      <c r="AT425" s="438"/>
      <c r="AU425" s="438"/>
      <c r="AV425" s="438"/>
      <c r="AW425" s="438"/>
      <c r="AX425" s="438"/>
      <c r="AY425" s="438"/>
      <c r="AZ425" s="438"/>
      <c r="BA425" s="438"/>
      <c r="BB425" s="438"/>
      <c r="BC425" s="438"/>
      <c r="BD425" s="438"/>
      <c r="BE425" s="438"/>
      <c r="BF425" s="438"/>
      <c r="BG425" s="438"/>
      <c r="BH425" s="438"/>
    </row>
    <row r="426">
      <c r="A426" s="140"/>
      <c r="B426" s="456"/>
      <c r="C426" s="142"/>
      <c r="D426" s="142"/>
      <c r="E426" s="142"/>
      <c r="F426" s="140"/>
      <c r="G426" s="456"/>
      <c r="H426" s="142"/>
      <c r="I426" s="142"/>
      <c r="J426" s="142"/>
      <c r="K426" s="125"/>
      <c r="L426" s="456"/>
      <c r="M426" s="142"/>
      <c r="N426" s="142"/>
      <c r="O426" s="142"/>
      <c r="P426" s="125"/>
      <c r="Q426" s="450"/>
      <c r="R426" s="142"/>
      <c r="S426" s="142"/>
      <c r="T426" s="142"/>
      <c r="U426" s="140"/>
      <c r="V426" s="456"/>
      <c r="W426" s="142"/>
      <c r="X426" s="142"/>
      <c r="Y426" s="142"/>
      <c r="Z426" s="140"/>
      <c r="AA426" s="456"/>
      <c r="AB426" s="142"/>
      <c r="AC426" s="142"/>
      <c r="AD426" s="142"/>
      <c r="AE426" s="140"/>
      <c r="AF426" s="456"/>
      <c r="AG426" s="142"/>
      <c r="AH426" s="142"/>
      <c r="AI426" s="142"/>
      <c r="AJ426" s="140"/>
      <c r="AK426" s="456"/>
      <c r="AL426" s="142"/>
      <c r="AM426" s="142"/>
      <c r="AN426" s="142"/>
      <c r="AO426" s="438"/>
      <c r="AP426" s="438"/>
      <c r="AQ426" s="438"/>
      <c r="AR426" s="438"/>
      <c r="AS426" s="438"/>
      <c r="AT426" s="438"/>
      <c r="AU426" s="438"/>
      <c r="AV426" s="438"/>
      <c r="AW426" s="438"/>
      <c r="AX426" s="438"/>
      <c r="AY426" s="438"/>
      <c r="AZ426" s="438"/>
      <c r="BA426" s="438"/>
      <c r="BB426" s="438"/>
      <c r="BC426" s="438"/>
      <c r="BD426" s="438"/>
      <c r="BE426" s="438"/>
      <c r="BF426" s="438"/>
      <c r="BG426" s="438"/>
      <c r="BH426" s="438"/>
    </row>
    <row r="427">
      <c r="A427" s="140"/>
      <c r="B427" s="456"/>
      <c r="C427" s="142"/>
      <c r="D427" s="142"/>
      <c r="E427" s="142"/>
      <c r="F427" s="140"/>
      <c r="G427" s="456"/>
      <c r="H427" s="142"/>
      <c r="I427" s="142"/>
      <c r="J427" s="142"/>
      <c r="K427" s="125"/>
      <c r="L427" s="456"/>
      <c r="M427" s="142"/>
      <c r="N427" s="142"/>
      <c r="O427" s="142"/>
      <c r="P427" s="125"/>
      <c r="Q427" s="450"/>
      <c r="R427" s="142"/>
      <c r="S427" s="142"/>
      <c r="T427" s="142"/>
      <c r="U427" s="140"/>
      <c r="V427" s="456"/>
      <c r="W427" s="142"/>
      <c r="X427" s="142"/>
      <c r="Y427" s="142"/>
      <c r="Z427" s="140"/>
      <c r="AA427" s="456"/>
      <c r="AB427" s="142"/>
      <c r="AC427" s="142"/>
      <c r="AD427" s="142"/>
      <c r="AE427" s="140"/>
      <c r="AF427" s="456"/>
      <c r="AG427" s="142"/>
      <c r="AH427" s="142"/>
      <c r="AI427" s="142"/>
      <c r="AJ427" s="140"/>
      <c r="AK427" s="456"/>
      <c r="AL427" s="142"/>
      <c r="AM427" s="142"/>
      <c r="AN427" s="142"/>
      <c r="AO427" s="438"/>
      <c r="AP427" s="438"/>
      <c r="AQ427" s="438"/>
      <c r="AR427" s="438"/>
      <c r="AS427" s="438"/>
      <c r="AT427" s="438"/>
      <c r="AU427" s="438"/>
      <c r="AV427" s="438"/>
      <c r="AW427" s="438"/>
      <c r="AX427" s="438"/>
      <c r="AY427" s="438"/>
      <c r="AZ427" s="438"/>
      <c r="BA427" s="438"/>
      <c r="BB427" s="438"/>
      <c r="BC427" s="438"/>
      <c r="BD427" s="438"/>
      <c r="BE427" s="438"/>
      <c r="BF427" s="438"/>
      <c r="BG427" s="438"/>
      <c r="BH427" s="438"/>
    </row>
    <row r="428">
      <c r="A428" s="140"/>
      <c r="B428" s="456"/>
      <c r="C428" s="142"/>
      <c r="D428" s="142"/>
      <c r="E428" s="142"/>
      <c r="F428" s="140"/>
      <c r="G428" s="456"/>
      <c r="H428" s="142"/>
      <c r="I428" s="142"/>
      <c r="J428" s="142"/>
      <c r="K428" s="125"/>
      <c r="L428" s="456"/>
      <c r="M428" s="142"/>
      <c r="N428" s="142"/>
      <c r="O428" s="142"/>
      <c r="P428" s="125"/>
      <c r="Q428" s="450"/>
      <c r="R428" s="142"/>
      <c r="S428" s="142"/>
      <c r="T428" s="142"/>
      <c r="U428" s="140"/>
      <c r="V428" s="456"/>
      <c r="W428" s="142"/>
      <c r="X428" s="142"/>
      <c r="Y428" s="142"/>
      <c r="Z428" s="140"/>
      <c r="AA428" s="456"/>
      <c r="AB428" s="142"/>
      <c r="AC428" s="142"/>
      <c r="AD428" s="142"/>
      <c r="AE428" s="140"/>
      <c r="AF428" s="456"/>
      <c r="AG428" s="142"/>
      <c r="AH428" s="142"/>
      <c r="AI428" s="142"/>
      <c r="AJ428" s="140"/>
      <c r="AK428" s="456"/>
      <c r="AL428" s="142"/>
      <c r="AM428" s="142"/>
      <c r="AN428" s="142"/>
      <c r="AO428" s="438"/>
      <c r="AP428" s="438"/>
      <c r="AQ428" s="438"/>
      <c r="AR428" s="438"/>
      <c r="AS428" s="438"/>
      <c r="AT428" s="438"/>
      <c r="AU428" s="438"/>
      <c r="AV428" s="438"/>
      <c r="AW428" s="438"/>
      <c r="AX428" s="438"/>
      <c r="AY428" s="438"/>
      <c r="AZ428" s="438"/>
      <c r="BA428" s="438"/>
      <c r="BB428" s="438"/>
      <c r="BC428" s="438"/>
      <c r="BD428" s="438"/>
      <c r="BE428" s="438"/>
      <c r="BF428" s="438"/>
      <c r="BG428" s="438"/>
      <c r="BH428" s="438"/>
    </row>
    <row r="429">
      <c r="A429" s="140"/>
      <c r="B429" s="456"/>
      <c r="C429" s="142"/>
      <c r="D429" s="142"/>
      <c r="E429" s="142"/>
      <c r="F429" s="140"/>
      <c r="G429" s="456"/>
      <c r="H429" s="142"/>
      <c r="I429" s="142"/>
      <c r="J429" s="142"/>
      <c r="K429" s="125"/>
      <c r="L429" s="456"/>
      <c r="M429" s="142"/>
      <c r="N429" s="142"/>
      <c r="O429" s="142"/>
      <c r="P429" s="125"/>
      <c r="Q429" s="450"/>
      <c r="R429" s="142"/>
      <c r="S429" s="142"/>
      <c r="T429" s="142"/>
      <c r="U429" s="140"/>
      <c r="V429" s="456"/>
      <c r="W429" s="142"/>
      <c r="X429" s="142"/>
      <c r="Y429" s="142"/>
      <c r="Z429" s="140"/>
      <c r="AA429" s="456"/>
      <c r="AB429" s="142"/>
      <c r="AC429" s="142"/>
      <c r="AD429" s="142"/>
      <c r="AE429" s="140"/>
      <c r="AF429" s="456"/>
      <c r="AG429" s="142"/>
      <c r="AH429" s="142"/>
      <c r="AI429" s="142"/>
      <c r="AJ429" s="140"/>
      <c r="AK429" s="456"/>
      <c r="AL429" s="142"/>
      <c r="AM429" s="142"/>
      <c r="AN429" s="142"/>
      <c r="AO429" s="438"/>
      <c r="AP429" s="438"/>
      <c r="AQ429" s="438"/>
      <c r="AR429" s="438"/>
      <c r="AS429" s="438"/>
      <c r="AT429" s="438"/>
      <c r="AU429" s="438"/>
      <c r="AV429" s="438"/>
      <c r="AW429" s="438"/>
      <c r="AX429" s="438"/>
      <c r="AY429" s="438"/>
      <c r="AZ429" s="438"/>
      <c r="BA429" s="438"/>
      <c r="BB429" s="438"/>
      <c r="BC429" s="438"/>
      <c r="BD429" s="438"/>
      <c r="BE429" s="438"/>
      <c r="BF429" s="438"/>
      <c r="BG429" s="438"/>
      <c r="BH429" s="438"/>
    </row>
    <row r="430">
      <c r="A430" s="140"/>
      <c r="B430" s="456"/>
      <c r="C430" s="142"/>
      <c r="D430" s="142"/>
      <c r="E430" s="142"/>
      <c r="F430" s="140"/>
      <c r="G430" s="456"/>
      <c r="H430" s="142"/>
      <c r="I430" s="142"/>
      <c r="J430" s="142"/>
      <c r="K430" s="125"/>
      <c r="L430" s="456"/>
      <c r="M430" s="142"/>
      <c r="N430" s="142"/>
      <c r="O430" s="142"/>
      <c r="P430" s="125"/>
      <c r="Q430" s="450"/>
      <c r="R430" s="142"/>
      <c r="S430" s="142"/>
      <c r="T430" s="142"/>
      <c r="U430" s="140"/>
      <c r="V430" s="456"/>
      <c r="W430" s="142"/>
      <c r="X430" s="142"/>
      <c r="Y430" s="142"/>
      <c r="Z430" s="140"/>
      <c r="AA430" s="456"/>
      <c r="AB430" s="142"/>
      <c r="AC430" s="142"/>
      <c r="AD430" s="142"/>
      <c r="AE430" s="140"/>
      <c r="AF430" s="456"/>
      <c r="AG430" s="142"/>
      <c r="AH430" s="142"/>
      <c r="AI430" s="142"/>
      <c r="AJ430" s="140"/>
      <c r="AK430" s="456"/>
      <c r="AL430" s="142"/>
      <c r="AM430" s="142"/>
      <c r="AN430" s="142"/>
      <c r="AO430" s="438"/>
      <c r="AP430" s="438"/>
      <c r="AQ430" s="438"/>
      <c r="AR430" s="438"/>
      <c r="AS430" s="438"/>
      <c r="AT430" s="438"/>
      <c r="AU430" s="438"/>
      <c r="AV430" s="438"/>
      <c r="AW430" s="438"/>
      <c r="AX430" s="438"/>
      <c r="AY430" s="438"/>
      <c r="AZ430" s="438"/>
      <c r="BA430" s="438"/>
      <c r="BB430" s="438"/>
      <c r="BC430" s="438"/>
      <c r="BD430" s="438"/>
      <c r="BE430" s="438"/>
      <c r="BF430" s="438"/>
      <c r="BG430" s="438"/>
      <c r="BH430" s="438"/>
    </row>
    <row r="431">
      <c r="A431" s="140"/>
      <c r="B431" s="456"/>
      <c r="C431" s="142"/>
      <c r="D431" s="142"/>
      <c r="E431" s="142"/>
      <c r="F431" s="140"/>
      <c r="G431" s="456"/>
      <c r="H431" s="142"/>
      <c r="I431" s="142"/>
      <c r="J431" s="142"/>
      <c r="K431" s="125"/>
      <c r="L431" s="456"/>
      <c r="M431" s="142"/>
      <c r="N431" s="142"/>
      <c r="O431" s="142"/>
      <c r="P431" s="125"/>
      <c r="Q431" s="450"/>
      <c r="R431" s="142"/>
      <c r="S431" s="142"/>
      <c r="T431" s="142"/>
      <c r="U431" s="140"/>
      <c r="V431" s="456"/>
      <c r="W431" s="142"/>
      <c r="X431" s="142"/>
      <c r="Y431" s="142"/>
      <c r="Z431" s="140"/>
      <c r="AA431" s="456"/>
      <c r="AB431" s="142"/>
      <c r="AC431" s="142"/>
      <c r="AD431" s="142"/>
      <c r="AE431" s="140"/>
      <c r="AF431" s="456"/>
      <c r="AG431" s="142"/>
      <c r="AH431" s="142"/>
      <c r="AI431" s="142"/>
      <c r="AJ431" s="140"/>
      <c r="AK431" s="456"/>
      <c r="AL431" s="142"/>
      <c r="AM431" s="142"/>
      <c r="AN431" s="142"/>
      <c r="AO431" s="438"/>
      <c r="AP431" s="438"/>
      <c r="AQ431" s="438"/>
      <c r="AR431" s="438"/>
      <c r="AS431" s="438"/>
      <c r="AT431" s="438"/>
      <c r="AU431" s="438"/>
      <c r="AV431" s="438"/>
      <c r="AW431" s="438"/>
      <c r="AX431" s="438"/>
      <c r="AY431" s="438"/>
      <c r="AZ431" s="438"/>
      <c r="BA431" s="438"/>
      <c r="BB431" s="438"/>
      <c r="BC431" s="438"/>
      <c r="BD431" s="438"/>
      <c r="BE431" s="438"/>
      <c r="BF431" s="438"/>
      <c r="BG431" s="438"/>
      <c r="BH431" s="438"/>
    </row>
    <row r="432">
      <c r="A432" s="140"/>
      <c r="B432" s="456"/>
      <c r="C432" s="142"/>
      <c r="D432" s="142"/>
      <c r="E432" s="142"/>
      <c r="F432" s="140"/>
      <c r="G432" s="456"/>
      <c r="H432" s="142"/>
      <c r="I432" s="142"/>
      <c r="J432" s="142"/>
      <c r="K432" s="125"/>
      <c r="L432" s="456"/>
      <c r="M432" s="142"/>
      <c r="N432" s="142"/>
      <c r="O432" s="142"/>
      <c r="P432" s="125"/>
      <c r="Q432" s="450"/>
      <c r="R432" s="142"/>
      <c r="S432" s="142"/>
      <c r="T432" s="142"/>
      <c r="U432" s="140"/>
      <c r="V432" s="456"/>
      <c r="W432" s="142"/>
      <c r="X432" s="142"/>
      <c r="Y432" s="142"/>
      <c r="Z432" s="140"/>
      <c r="AA432" s="456"/>
      <c r="AB432" s="142"/>
      <c r="AC432" s="142"/>
      <c r="AD432" s="142"/>
      <c r="AE432" s="140"/>
      <c r="AF432" s="456"/>
      <c r="AG432" s="142"/>
      <c r="AH432" s="142"/>
      <c r="AI432" s="142"/>
      <c r="AJ432" s="140"/>
      <c r="AK432" s="456"/>
      <c r="AL432" s="142"/>
      <c r="AM432" s="142"/>
      <c r="AN432" s="142"/>
      <c r="AO432" s="438"/>
      <c r="AP432" s="438"/>
      <c r="AQ432" s="438"/>
      <c r="AR432" s="438"/>
      <c r="AS432" s="438"/>
      <c r="AT432" s="438"/>
      <c r="AU432" s="438"/>
      <c r="AV432" s="438"/>
      <c r="AW432" s="438"/>
      <c r="AX432" s="438"/>
      <c r="AY432" s="438"/>
      <c r="AZ432" s="438"/>
      <c r="BA432" s="438"/>
      <c r="BB432" s="438"/>
      <c r="BC432" s="438"/>
      <c r="BD432" s="438"/>
      <c r="BE432" s="438"/>
      <c r="BF432" s="438"/>
      <c r="BG432" s="438"/>
      <c r="BH432" s="438"/>
    </row>
    <row r="433">
      <c r="A433" s="140"/>
      <c r="B433" s="456"/>
      <c r="C433" s="142"/>
      <c r="D433" s="142"/>
      <c r="E433" s="142"/>
      <c r="F433" s="140"/>
      <c r="G433" s="456"/>
      <c r="H433" s="142"/>
      <c r="I433" s="142"/>
      <c r="J433" s="142"/>
      <c r="K433" s="125"/>
      <c r="L433" s="456"/>
      <c r="M433" s="142"/>
      <c r="N433" s="142"/>
      <c r="O433" s="142"/>
      <c r="P433" s="125"/>
      <c r="Q433" s="450"/>
      <c r="R433" s="142"/>
      <c r="S433" s="142"/>
      <c r="T433" s="142"/>
      <c r="U433" s="140"/>
      <c r="V433" s="456"/>
      <c r="W433" s="142"/>
      <c r="X433" s="142"/>
      <c r="Y433" s="142"/>
      <c r="Z433" s="140"/>
      <c r="AA433" s="456"/>
      <c r="AB433" s="142"/>
      <c r="AC433" s="142"/>
      <c r="AD433" s="142"/>
      <c r="AE433" s="140"/>
      <c r="AF433" s="456"/>
      <c r="AG433" s="142"/>
      <c r="AH433" s="142"/>
      <c r="AI433" s="142"/>
      <c r="AJ433" s="140"/>
      <c r="AK433" s="456"/>
      <c r="AL433" s="142"/>
      <c r="AM433" s="142"/>
      <c r="AN433" s="142"/>
      <c r="AO433" s="438"/>
      <c r="AP433" s="438"/>
      <c r="AQ433" s="438"/>
      <c r="AR433" s="438"/>
      <c r="AS433" s="438"/>
      <c r="AT433" s="438"/>
      <c r="AU433" s="438"/>
      <c r="AV433" s="438"/>
      <c r="AW433" s="438"/>
      <c r="AX433" s="438"/>
      <c r="AY433" s="438"/>
      <c r="AZ433" s="438"/>
      <c r="BA433" s="438"/>
      <c r="BB433" s="438"/>
      <c r="BC433" s="438"/>
      <c r="BD433" s="438"/>
      <c r="BE433" s="438"/>
      <c r="BF433" s="438"/>
      <c r="BG433" s="438"/>
      <c r="BH433" s="438"/>
    </row>
    <row r="434">
      <c r="A434" s="140"/>
      <c r="B434" s="456"/>
      <c r="C434" s="142"/>
      <c r="D434" s="142"/>
      <c r="E434" s="142"/>
      <c r="F434" s="140"/>
      <c r="G434" s="456"/>
      <c r="H434" s="142"/>
      <c r="I434" s="142"/>
      <c r="J434" s="142"/>
      <c r="K434" s="125"/>
      <c r="L434" s="456"/>
      <c r="M434" s="142"/>
      <c r="N434" s="142"/>
      <c r="O434" s="142"/>
      <c r="P434" s="125"/>
      <c r="Q434" s="450"/>
      <c r="R434" s="142"/>
      <c r="S434" s="142"/>
      <c r="T434" s="142"/>
      <c r="U434" s="140"/>
      <c r="V434" s="456"/>
      <c r="W434" s="142"/>
      <c r="X434" s="142"/>
      <c r="Y434" s="142"/>
      <c r="Z434" s="140"/>
      <c r="AA434" s="456"/>
      <c r="AB434" s="142"/>
      <c r="AC434" s="142"/>
      <c r="AD434" s="142"/>
      <c r="AE434" s="140"/>
      <c r="AF434" s="456"/>
      <c r="AG434" s="142"/>
      <c r="AH434" s="142"/>
      <c r="AI434" s="142"/>
      <c r="AJ434" s="140"/>
      <c r="AK434" s="456"/>
      <c r="AL434" s="142"/>
      <c r="AM434" s="142"/>
      <c r="AN434" s="142"/>
      <c r="AO434" s="438"/>
      <c r="AP434" s="438"/>
      <c r="AQ434" s="438"/>
      <c r="AR434" s="438"/>
      <c r="AS434" s="438"/>
      <c r="AT434" s="438"/>
      <c r="AU434" s="438"/>
      <c r="AV434" s="438"/>
      <c r="AW434" s="438"/>
      <c r="AX434" s="438"/>
      <c r="AY434" s="438"/>
      <c r="AZ434" s="438"/>
      <c r="BA434" s="438"/>
      <c r="BB434" s="438"/>
      <c r="BC434" s="438"/>
      <c r="BD434" s="438"/>
      <c r="BE434" s="438"/>
      <c r="BF434" s="438"/>
      <c r="BG434" s="438"/>
      <c r="BH434" s="438"/>
    </row>
    <row r="435">
      <c r="A435" s="140"/>
      <c r="B435" s="456"/>
      <c r="C435" s="142"/>
      <c r="D435" s="142"/>
      <c r="E435" s="142"/>
      <c r="F435" s="140"/>
      <c r="G435" s="456"/>
      <c r="H435" s="142"/>
      <c r="I435" s="142"/>
      <c r="J435" s="142"/>
      <c r="K435" s="125"/>
      <c r="L435" s="456"/>
      <c r="M435" s="142"/>
      <c r="N435" s="142"/>
      <c r="O435" s="142"/>
      <c r="P435" s="125"/>
      <c r="Q435" s="450"/>
      <c r="R435" s="142"/>
      <c r="S435" s="142"/>
      <c r="T435" s="142"/>
      <c r="U435" s="140"/>
      <c r="V435" s="456"/>
      <c r="W435" s="142"/>
      <c r="X435" s="142"/>
      <c r="Y435" s="142"/>
      <c r="Z435" s="140"/>
      <c r="AA435" s="456"/>
      <c r="AB435" s="142"/>
      <c r="AC435" s="142"/>
      <c r="AD435" s="142"/>
      <c r="AE435" s="140"/>
      <c r="AF435" s="456"/>
      <c r="AG435" s="142"/>
      <c r="AH435" s="142"/>
      <c r="AI435" s="142"/>
      <c r="AJ435" s="140"/>
      <c r="AK435" s="456"/>
      <c r="AL435" s="142"/>
      <c r="AM435" s="142"/>
      <c r="AN435" s="142"/>
      <c r="AO435" s="438"/>
      <c r="AP435" s="438"/>
      <c r="AQ435" s="438"/>
      <c r="AR435" s="438"/>
      <c r="AS435" s="438"/>
      <c r="AT435" s="438"/>
      <c r="AU435" s="438"/>
      <c r="AV435" s="438"/>
      <c r="AW435" s="438"/>
      <c r="AX435" s="438"/>
      <c r="AY435" s="438"/>
      <c r="AZ435" s="438"/>
      <c r="BA435" s="438"/>
      <c r="BB435" s="438"/>
      <c r="BC435" s="438"/>
      <c r="BD435" s="438"/>
      <c r="BE435" s="438"/>
      <c r="BF435" s="438"/>
      <c r="BG435" s="438"/>
      <c r="BH435" s="438"/>
    </row>
    <row r="436">
      <c r="A436" s="140"/>
      <c r="B436" s="456"/>
      <c r="C436" s="142"/>
      <c r="D436" s="142"/>
      <c r="E436" s="142"/>
      <c r="F436" s="140"/>
      <c r="G436" s="456"/>
      <c r="H436" s="142"/>
      <c r="I436" s="142"/>
      <c r="J436" s="142"/>
      <c r="K436" s="125"/>
      <c r="L436" s="456"/>
      <c r="M436" s="142"/>
      <c r="N436" s="142"/>
      <c r="O436" s="142"/>
      <c r="P436" s="125"/>
      <c r="Q436" s="450"/>
      <c r="R436" s="142"/>
      <c r="S436" s="142"/>
      <c r="T436" s="142"/>
      <c r="U436" s="140"/>
      <c r="V436" s="456"/>
      <c r="W436" s="142"/>
      <c r="X436" s="142"/>
      <c r="Y436" s="142"/>
      <c r="Z436" s="140"/>
      <c r="AA436" s="456"/>
      <c r="AB436" s="142"/>
      <c r="AC436" s="142"/>
      <c r="AD436" s="142"/>
      <c r="AE436" s="140"/>
      <c r="AF436" s="456"/>
      <c r="AG436" s="142"/>
      <c r="AH436" s="142"/>
      <c r="AI436" s="142"/>
      <c r="AJ436" s="140"/>
      <c r="AK436" s="456"/>
      <c r="AL436" s="142"/>
      <c r="AM436" s="142"/>
      <c r="AN436" s="142"/>
      <c r="AO436" s="438"/>
      <c r="AP436" s="438"/>
      <c r="AQ436" s="438"/>
      <c r="AR436" s="438"/>
      <c r="AS436" s="438"/>
      <c r="AT436" s="438"/>
      <c r="AU436" s="438"/>
      <c r="AV436" s="438"/>
      <c r="AW436" s="438"/>
      <c r="AX436" s="438"/>
      <c r="AY436" s="438"/>
      <c r="AZ436" s="438"/>
      <c r="BA436" s="438"/>
      <c r="BB436" s="438"/>
      <c r="BC436" s="438"/>
      <c r="BD436" s="438"/>
      <c r="BE436" s="438"/>
      <c r="BF436" s="438"/>
      <c r="BG436" s="438"/>
      <c r="BH436" s="438"/>
    </row>
    <row r="437">
      <c r="A437" s="140"/>
      <c r="B437" s="456"/>
      <c r="C437" s="142"/>
      <c r="D437" s="142"/>
      <c r="E437" s="142"/>
      <c r="F437" s="140"/>
      <c r="G437" s="456"/>
      <c r="H437" s="142"/>
      <c r="I437" s="142"/>
      <c r="J437" s="142"/>
      <c r="K437" s="125"/>
      <c r="L437" s="456"/>
      <c r="M437" s="142"/>
      <c r="N437" s="142"/>
      <c r="O437" s="142"/>
      <c r="P437" s="125"/>
      <c r="Q437" s="450"/>
      <c r="R437" s="142"/>
      <c r="S437" s="142"/>
      <c r="T437" s="142"/>
      <c r="U437" s="140"/>
      <c r="V437" s="456"/>
      <c r="W437" s="142"/>
      <c r="X437" s="142"/>
      <c r="Y437" s="142"/>
      <c r="Z437" s="140"/>
      <c r="AA437" s="456"/>
      <c r="AB437" s="142"/>
      <c r="AC437" s="142"/>
      <c r="AD437" s="142"/>
      <c r="AE437" s="140"/>
      <c r="AF437" s="456"/>
      <c r="AG437" s="142"/>
      <c r="AH437" s="142"/>
      <c r="AI437" s="142"/>
      <c r="AJ437" s="140"/>
      <c r="AK437" s="456"/>
      <c r="AL437" s="142"/>
      <c r="AM437" s="142"/>
      <c r="AN437" s="142"/>
      <c r="AO437" s="438"/>
      <c r="AP437" s="438"/>
      <c r="AQ437" s="438"/>
      <c r="AR437" s="438"/>
      <c r="AS437" s="438"/>
      <c r="AT437" s="438"/>
      <c r="AU437" s="438"/>
      <c r="AV437" s="438"/>
      <c r="AW437" s="438"/>
      <c r="AX437" s="438"/>
      <c r="AY437" s="438"/>
      <c r="AZ437" s="438"/>
      <c r="BA437" s="438"/>
      <c r="BB437" s="438"/>
      <c r="BC437" s="438"/>
      <c r="BD437" s="438"/>
      <c r="BE437" s="438"/>
      <c r="BF437" s="438"/>
      <c r="BG437" s="438"/>
      <c r="BH437" s="438"/>
    </row>
    <row r="438">
      <c r="A438" s="140"/>
      <c r="B438" s="456"/>
      <c r="C438" s="142"/>
      <c r="D438" s="142"/>
      <c r="E438" s="142"/>
      <c r="F438" s="140"/>
      <c r="G438" s="456"/>
      <c r="H438" s="142"/>
      <c r="I438" s="142"/>
      <c r="J438" s="142"/>
      <c r="K438" s="125"/>
      <c r="L438" s="456"/>
      <c r="M438" s="142"/>
      <c r="N438" s="142"/>
      <c r="O438" s="142"/>
      <c r="P438" s="125"/>
      <c r="Q438" s="450"/>
      <c r="R438" s="142"/>
      <c r="S438" s="142"/>
      <c r="T438" s="142"/>
      <c r="U438" s="140"/>
      <c r="V438" s="456"/>
      <c r="W438" s="142"/>
      <c r="X438" s="142"/>
      <c r="Y438" s="142"/>
      <c r="Z438" s="140"/>
      <c r="AA438" s="456"/>
      <c r="AB438" s="142"/>
      <c r="AC438" s="142"/>
      <c r="AD438" s="142"/>
      <c r="AE438" s="140"/>
      <c r="AF438" s="456"/>
      <c r="AG438" s="142"/>
      <c r="AH438" s="142"/>
      <c r="AI438" s="142"/>
      <c r="AJ438" s="140"/>
      <c r="AK438" s="456"/>
      <c r="AL438" s="142"/>
      <c r="AM438" s="142"/>
      <c r="AN438" s="142"/>
      <c r="AO438" s="438"/>
      <c r="AP438" s="438"/>
      <c r="AQ438" s="438"/>
      <c r="AR438" s="438"/>
      <c r="AS438" s="438"/>
      <c r="AT438" s="438"/>
      <c r="AU438" s="438"/>
      <c r="AV438" s="438"/>
      <c r="AW438" s="438"/>
      <c r="AX438" s="438"/>
      <c r="AY438" s="438"/>
      <c r="AZ438" s="438"/>
      <c r="BA438" s="438"/>
      <c r="BB438" s="438"/>
      <c r="BC438" s="438"/>
      <c r="BD438" s="438"/>
      <c r="BE438" s="438"/>
      <c r="BF438" s="438"/>
      <c r="BG438" s="438"/>
      <c r="BH438" s="438"/>
    </row>
    <row r="439">
      <c r="A439" s="140"/>
      <c r="B439" s="456"/>
      <c r="C439" s="142"/>
      <c r="D439" s="142"/>
      <c r="E439" s="142"/>
      <c r="F439" s="140"/>
      <c r="G439" s="456"/>
      <c r="H439" s="142"/>
      <c r="I439" s="142"/>
      <c r="J439" s="142"/>
      <c r="K439" s="125"/>
      <c r="L439" s="456"/>
      <c r="M439" s="142"/>
      <c r="N439" s="142"/>
      <c r="O439" s="142"/>
      <c r="P439" s="125"/>
      <c r="Q439" s="450"/>
      <c r="R439" s="142"/>
      <c r="S439" s="142"/>
      <c r="T439" s="142"/>
      <c r="U439" s="140"/>
      <c r="V439" s="456"/>
      <c r="W439" s="142"/>
      <c r="X439" s="142"/>
      <c r="Y439" s="142"/>
      <c r="Z439" s="140"/>
      <c r="AA439" s="456"/>
      <c r="AB439" s="142"/>
      <c r="AC439" s="142"/>
      <c r="AD439" s="142"/>
      <c r="AE439" s="140"/>
      <c r="AF439" s="456"/>
      <c r="AG439" s="142"/>
      <c r="AH439" s="142"/>
      <c r="AI439" s="142"/>
      <c r="AJ439" s="140"/>
      <c r="AK439" s="456"/>
      <c r="AL439" s="142"/>
      <c r="AM439" s="142"/>
      <c r="AN439" s="142"/>
      <c r="AO439" s="438"/>
      <c r="AP439" s="438"/>
      <c r="AQ439" s="438"/>
      <c r="AR439" s="438"/>
      <c r="AS439" s="438"/>
      <c r="AT439" s="438"/>
      <c r="AU439" s="438"/>
      <c r="AV439" s="438"/>
      <c r="AW439" s="438"/>
      <c r="AX439" s="438"/>
      <c r="AY439" s="438"/>
      <c r="AZ439" s="438"/>
      <c r="BA439" s="438"/>
      <c r="BB439" s="438"/>
      <c r="BC439" s="438"/>
      <c r="BD439" s="438"/>
      <c r="BE439" s="438"/>
      <c r="BF439" s="438"/>
      <c r="BG439" s="438"/>
      <c r="BH439" s="438"/>
    </row>
    <row r="440">
      <c r="A440" s="140"/>
      <c r="B440" s="456"/>
      <c r="C440" s="142"/>
      <c r="D440" s="142"/>
      <c r="E440" s="142"/>
      <c r="F440" s="140"/>
      <c r="G440" s="456"/>
      <c r="H440" s="142"/>
      <c r="I440" s="142"/>
      <c r="J440" s="142"/>
      <c r="K440" s="125"/>
      <c r="L440" s="456"/>
      <c r="M440" s="142"/>
      <c r="N440" s="142"/>
      <c r="O440" s="142"/>
      <c r="P440" s="125"/>
      <c r="Q440" s="450"/>
      <c r="R440" s="142"/>
      <c r="S440" s="142"/>
      <c r="T440" s="142"/>
      <c r="U440" s="140"/>
      <c r="V440" s="456"/>
      <c r="W440" s="142"/>
      <c r="X440" s="142"/>
      <c r="Y440" s="142"/>
      <c r="Z440" s="140"/>
      <c r="AA440" s="456"/>
      <c r="AB440" s="142"/>
      <c r="AC440" s="142"/>
      <c r="AD440" s="142"/>
      <c r="AE440" s="140"/>
      <c r="AF440" s="456"/>
      <c r="AG440" s="142"/>
      <c r="AH440" s="142"/>
      <c r="AI440" s="142"/>
      <c r="AJ440" s="140"/>
      <c r="AK440" s="456"/>
      <c r="AL440" s="142"/>
      <c r="AM440" s="142"/>
      <c r="AN440" s="142"/>
      <c r="AO440" s="438"/>
      <c r="AP440" s="438"/>
      <c r="AQ440" s="438"/>
      <c r="AR440" s="438"/>
      <c r="AS440" s="438"/>
      <c r="AT440" s="438"/>
      <c r="AU440" s="438"/>
      <c r="AV440" s="438"/>
      <c r="AW440" s="438"/>
      <c r="AX440" s="438"/>
      <c r="AY440" s="438"/>
      <c r="AZ440" s="438"/>
      <c r="BA440" s="438"/>
      <c r="BB440" s="438"/>
      <c r="BC440" s="438"/>
      <c r="BD440" s="438"/>
      <c r="BE440" s="438"/>
      <c r="BF440" s="438"/>
      <c r="BG440" s="438"/>
      <c r="BH440" s="438"/>
    </row>
    <row r="441">
      <c r="A441" s="140"/>
      <c r="B441" s="456"/>
      <c r="C441" s="142"/>
      <c r="D441" s="142"/>
      <c r="E441" s="142"/>
      <c r="F441" s="140"/>
      <c r="G441" s="456"/>
      <c r="H441" s="142"/>
      <c r="I441" s="142"/>
      <c r="J441" s="142"/>
      <c r="K441" s="125"/>
      <c r="L441" s="456"/>
      <c r="M441" s="142"/>
      <c r="N441" s="142"/>
      <c r="O441" s="142"/>
      <c r="P441" s="125"/>
      <c r="Q441" s="450"/>
      <c r="R441" s="142"/>
      <c r="S441" s="142"/>
      <c r="T441" s="142"/>
      <c r="U441" s="140"/>
      <c r="V441" s="456"/>
      <c r="W441" s="142"/>
      <c r="X441" s="142"/>
      <c r="Y441" s="142"/>
      <c r="Z441" s="140"/>
      <c r="AA441" s="456"/>
      <c r="AB441" s="142"/>
      <c r="AC441" s="142"/>
      <c r="AD441" s="142"/>
      <c r="AE441" s="140"/>
      <c r="AF441" s="456"/>
      <c r="AG441" s="142"/>
      <c r="AH441" s="142"/>
      <c r="AI441" s="142"/>
      <c r="AJ441" s="140"/>
      <c r="AK441" s="456"/>
      <c r="AL441" s="142"/>
      <c r="AM441" s="142"/>
      <c r="AN441" s="142"/>
      <c r="AO441" s="438"/>
      <c r="AP441" s="438"/>
      <c r="AQ441" s="438"/>
      <c r="AR441" s="438"/>
      <c r="AS441" s="438"/>
      <c r="AT441" s="438"/>
      <c r="AU441" s="438"/>
      <c r="AV441" s="438"/>
      <c r="AW441" s="438"/>
      <c r="AX441" s="438"/>
      <c r="AY441" s="438"/>
      <c r="AZ441" s="438"/>
      <c r="BA441" s="438"/>
      <c r="BB441" s="438"/>
      <c r="BC441" s="438"/>
      <c r="BD441" s="438"/>
      <c r="BE441" s="438"/>
      <c r="BF441" s="438"/>
      <c r="BG441" s="438"/>
      <c r="BH441" s="438"/>
    </row>
    <row r="442">
      <c r="A442" s="140"/>
      <c r="B442" s="456"/>
      <c r="C442" s="142"/>
      <c r="D442" s="142"/>
      <c r="E442" s="142"/>
      <c r="F442" s="140"/>
      <c r="G442" s="456"/>
      <c r="H442" s="142"/>
      <c r="I442" s="142"/>
      <c r="J442" s="142"/>
      <c r="K442" s="125"/>
      <c r="L442" s="456"/>
      <c r="M442" s="142"/>
      <c r="N442" s="142"/>
      <c r="O442" s="142"/>
      <c r="P442" s="125"/>
      <c r="Q442" s="450"/>
      <c r="R442" s="142"/>
      <c r="S442" s="142"/>
      <c r="T442" s="142"/>
      <c r="U442" s="140"/>
      <c r="V442" s="456"/>
      <c r="W442" s="142"/>
      <c r="X442" s="142"/>
      <c r="Y442" s="142"/>
      <c r="Z442" s="140"/>
      <c r="AA442" s="456"/>
      <c r="AB442" s="142"/>
      <c r="AC442" s="142"/>
      <c r="AD442" s="142"/>
      <c r="AE442" s="140"/>
      <c r="AF442" s="456"/>
      <c r="AG442" s="142"/>
      <c r="AH442" s="142"/>
      <c r="AI442" s="142"/>
      <c r="AJ442" s="140"/>
      <c r="AK442" s="456"/>
      <c r="AL442" s="142"/>
      <c r="AM442" s="142"/>
      <c r="AN442" s="142"/>
      <c r="AO442" s="438"/>
      <c r="AP442" s="438"/>
      <c r="AQ442" s="438"/>
      <c r="AR442" s="438"/>
      <c r="AS442" s="438"/>
      <c r="AT442" s="438"/>
      <c r="AU442" s="438"/>
      <c r="AV442" s="438"/>
      <c r="AW442" s="438"/>
      <c r="AX442" s="438"/>
      <c r="AY442" s="438"/>
      <c r="AZ442" s="438"/>
      <c r="BA442" s="438"/>
      <c r="BB442" s="438"/>
      <c r="BC442" s="438"/>
      <c r="BD442" s="438"/>
      <c r="BE442" s="438"/>
      <c r="BF442" s="438"/>
      <c r="BG442" s="438"/>
      <c r="BH442" s="438"/>
    </row>
    <row r="443">
      <c r="A443" s="140"/>
      <c r="B443" s="456"/>
      <c r="C443" s="142"/>
      <c r="D443" s="142"/>
      <c r="E443" s="142"/>
      <c r="F443" s="140"/>
      <c r="G443" s="456"/>
      <c r="H443" s="142"/>
      <c r="I443" s="142"/>
      <c r="J443" s="142"/>
      <c r="K443" s="125"/>
      <c r="L443" s="456"/>
      <c r="M443" s="142"/>
      <c r="N443" s="142"/>
      <c r="O443" s="142"/>
      <c r="P443" s="125"/>
      <c r="Q443" s="450"/>
      <c r="R443" s="142"/>
      <c r="S443" s="142"/>
      <c r="T443" s="142"/>
      <c r="U443" s="140"/>
      <c r="V443" s="456"/>
      <c r="W443" s="142"/>
      <c r="X443" s="142"/>
      <c r="Y443" s="142"/>
      <c r="Z443" s="140"/>
      <c r="AA443" s="456"/>
      <c r="AB443" s="142"/>
      <c r="AC443" s="142"/>
      <c r="AD443" s="142"/>
      <c r="AE443" s="140"/>
      <c r="AF443" s="456"/>
      <c r="AG443" s="142"/>
      <c r="AH443" s="142"/>
      <c r="AI443" s="142"/>
      <c r="AJ443" s="140"/>
      <c r="AK443" s="456"/>
      <c r="AL443" s="142"/>
      <c r="AM443" s="142"/>
      <c r="AN443" s="142"/>
      <c r="AO443" s="438"/>
      <c r="AP443" s="438"/>
      <c r="AQ443" s="438"/>
      <c r="AR443" s="438"/>
      <c r="AS443" s="438"/>
      <c r="AT443" s="438"/>
      <c r="AU443" s="438"/>
      <c r="AV443" s="438"/>
      <c r="AW443" s="438"/>
      <c r="AX443" s="438"/>
      <c r="AY443" s="438"/>
      <c r="AZ443" s="438"/>
      <c r="BA443" s="438"/>
      <c r="BB443" s="438"/>
      <c r="BC443" s="438"/>
      <c r="BD443" s="438"/>
      <c r="BE443" s="438"/>
      <c r="BF443" s="438"/>
      <c r="BG443" s="438"/>
      <c r="BH443" s="438"/>
    </row>
    <row r="444">
      <c r="A444" s="140"/>
      <c r="B444" s="456"/>
      <c r="C444" s="142"/>
      <c r="D444" s="142"/>
      <c r="E444" s="142"/>
      <c r="F444" s="140"/>
      <c r="G444" s="456"/>
      <c r="H444" s="142"/>
      <c r="I444" s="142"/>
      <c r="J444" s="142"/>
      <c r="K444" s="125"/>
      <c r="L444" s="456"/>
      <c r="M444" s="142"/>
      <c r="N444" s="142"/>
      <c r="O444" s="142"/>
      <c r="P444" s="125"/>
      <c r="Q444" s="450"/>
      <c r="R444" s="142"/>
      <c r="S444" s="142"/>
      <c r="T444" s="142"/>
      <c r="U444" s="140"/>
      <c r="V444" s="456"/>
      <c r="W444" s="142"/>
      <c r="X444" s="142"/>
      <c r="Y444" s="142"/>
      <c r="Z444" s="140"/>
      <c r="AA444" s="456"/>
      <c r="AB444" s="142"/>
      <c r="AC444" s="142"/>
      <c r="AD444" s="142"/>
      <c r="AE444" s="140"/>
      <c r="AF444" s="456"/>
      <c r="AG444" s="142"/>
      <c r="AH444" s="142"/>
      <c r="AI444" s="142"/>
      <c r="AJ444" s="140"/>
      <c r="AK444" s="456"/>
      <c r="AL444" s="142"/>
      <c r="AM444" s="142"/>
      <c r="AN444" s="142"/>
      <c r="AO444" s="438"/>
      <c r="AP444" s="438"/>
      <c r="AQ444" s="438"/>
      <c r="AR444" s="438"/>
      <c r="AS444" s="438"/>
      <c r="AT444" s="438"/>
      <c r="AU444" s="438"/>
      <c r="AV444" s="438"/>
      <c r="AW444" s="438"/>
      <c r="AX444" s="438"/>
      <c r="AY444" s="438"/>
      <c r="AZ444" s="438"/>
      <c r="BA444" s="438"/>
      <c r="BB444" s="438"/>
      <c r="BC444" s="438"/>
      <c r="BD444" s="438"/>
      <c r="BE444" s="438"/>
      <c r="BF444" s="438"/>
      <c r="BG444" s="438"/>
      <c r="BH444" s="438"/>
    </row>
    <row r="445">
      <c r="A445" s="140"/>
      <c r="B445" s="456"/>
      <c r="C445" s="142"/>
      <c r="D445" s="142"/>
      <c r="E445" s="142"/>
      <c r="F445" s="140"/>
      <c r="G445" s="456"/>
      <c r="H445" s="142"/>
      <c r="I445" s="142"/>
      <c r="J445" s="142"/>
      <c r="K445" s="125"/>
      <c r="L445" s="456"/>
      <c r="M445" s="142"/>
      <c r="N445" s="142"/>
      <c r="O445" s="142"/>
      <c r="P445" s="125"/>
      <c r="Q445" s="450"/>
      <c r="R445" s="142"/>
      <c r="S445" s="142"/>
      <c r="T445" s="142"/>
      <c r="U445" s="140"/>
      <c r="V445" s="456"/>
      <c r="W445" s="142"/>
      <c r="X445" s="142"/>
      <c r="Y445" s="142"/>
      <c r="Z445" s="140"/>
      <c r="AA445" s="456"/>
      <c r="AB445" s="142"/>
      <c r="AC445" s="142"/>
      <c r="AD445" s="142"/>
      <c r="AE445" s="140"/>
      <c r="AF445" s="456"/>
      <c r="AG445" s="142"/>
      <c r="AH445" s="142"/>
      <c r="AI445" s="142"/>
      <c r="AJ445" s="140"/>
      <c r="AK445" s="456"/>
      <c r="AL445" s="142"/>
      <c r="AM445" s="142"/>
      <c r="AN445" s="142"/>
      <c r="AO445" s="438"/>
      <c r="AP445" s="438"/>
      <c r="AQ445" s="438"/>
      <c r="AR445" s="438"/>
      <c r="AS445" s="438"/>
      <c r="AT445" s="438"/>
      <c r="AU445" s="438"/>
      <c r="AV445" s="438"/>
      <c r="AW445" s="438"/>
      <c r="AX445" s="438"/>
      <c r="AY445" s="438"/>
      <c r="AZ445" s="438"/>
      <c r="BA445" s="438"/>
      <c r="BB445" s="438"/>
      <c r="BC445" s="438"/>
      <c r="BD445" s="438"/>
      <c r="BE445" s="438"/>
      <c r="BF445" s="438"/>
      <c r="BG445" s="438"/>
      <c r="BH445" s="438"/>
    </row>
    <row r="446">
      <c r="A446" s="140"/>
      <c r="B446" s="456"/>
      <c r="C446" s="142"/>
      <c r="D446" s="142"/>
      <c r="E446" s="142"/>
      <c r="F446" s="140"/>
      <c r="G446" s="456"/>
      <c r="H446" s="142"/>
      <c r="I446" s="142"/>
      <c r="J446" s="142"/>
      <c r="K446" s="125"/>
      <c r="L446" s="456"/>
      <c r="M446" s="142"/>
      <c r="N446" s="142"/>
      <c r="O446" s="142"/>
      <c r="P446" s="125"/>
      <c r="Q446" s="450"/>
      <c r="R446" s="142"/>
      <c r="S446" s="142"/>
      <c r="T446" s="142"/>
      <c r="U446" s="140"/>
      <c r="V446" s="456"/>
      <c r="W446" s="142"/>
      <c r="X446" s="142"/>
      <c r="Y446" s="142"/>
      <c r="Z446" s="140"/>
      <c r="AA446" s="456"/>
      <c r="AB446" s="142"/>
      <c r="AC446" s="142"/>
      <c r="AD446" s="142"/>
      <c r="AE446" s="140"/>
      <c r="AF446" s="456"/>
      <c r="AG446" s="142"/>
      <c r="AH446" s="142"/>
      <c r="AI446" s="142"/>
      <c r="AJ446" s="140"/>
      <c r="AK446" s="456"/>
      <c r="AL446" s="142"/>
      <c r="AM446" s="142"/>
      <c r="AN446" s="142"/>
      <c r="AO446" s="438"/>
      <c r="AP446" s="438"/>
      <c r="AQ446" s="438"/>
      <c r="AR446" s="438"/>
      <c r="AS446" s="438"/>
      <c r="AT446" s="438"/>
      <c r="AU446" s="438"/>
      <c r="AV446" s="438"/>
      <c r="AW446" s="438"/>
      <c r="AX446" s="438"/>
      <c r="AY446" s="438"/>
      <c r="AZ446" s="438"/>
      <c r="BA446" s="438"/>
      <c r="BB446" s="438"/>
      <c r="BC446" s="438"/>
      <c r="BD446" s="438"/>
      <c r="BE446" s="438"/>
      <c r="BF446" s="438"/>
      <c r="BG446" s="438"/>
      <c r="BH446" s="438"/>
    </row>
    <row r="447">
      <c r="A447" s="140"/>
      <c r="B447" s="456"/>
      <c r="C447" s="142"/>
      <c r="D447" s="142"/>
      <c r="E447" s="142"/>
      <c r="F447" s="140"/>
      <c r="G447" s="456"/>
      <c r="H447" s="142"/>
      <c r="I447" s="142"/>
      <c r="J447" s="142"/>
      <c r="K447" s="125"/>
      <c r="L447" s="456"/>
      <c r="M447" s="142"/>
      <c r="N447" s="142"/>
      <c r="O447" s="142"/>
      <c r="P447" s="125"/>
      <c r="Q447" s="450"/>
      <c r="R447" s="142"/>
      <c r="S447" s="142"/>
      <c r="T447" s="142"/>
      <c r="U447" s="140"/>
      <c r="V447" s="456"/>
      <c r="W447" s="142"/>
      <c r="X447" s="142"/>
      <c r="Y447" s="142"/>
      <c r="Z447" s="140"/>
      <c r="AA447" s="456"/>
      <c r="AB447" s="142"/>
      <c r="AC447" s="142"/>
      <c r="AD447" s="142"/>
      <c r="AE447" s="140"/>
      <c r="AF447" s="456"/>
      <c r="AG447" s="142"/>
      <c r="AH447" s="142"/>
      <c r="AI447" s="142"/>
      <c r="AJ447" s="140"/>
      <c r="AK447" s="456"/>
      <c r="AL447" s="142"/>
      <c r="AM447" s="142"/>
      <c r="AN447" s="142"/>
      <c r="AO447" s="438"/>
      <c r="AP447" s="438"/>
      <c r="AQ447" s="438"/>
      <c r="AR447" s="438"/>
      <c r="AS447" s="438"/>
      <c r="AT447" s="438"/>
      <c r="AU447" s="438"/>
      <c r="AV447" s="438"/>
      <c r="AW447" s="438"/>
      <c r="AX447" s="438"/>
      <c r="AY447" s="438"/>
      <c r="AZ447" s="438"/>
      <c r="BA447" s="438"/>
      <c r="BB447" s="438"/>
      <c r="BC447" s="438"/>
      <c r="BD447" s="438"/>
      <c r="BE447" s="438"/>
      <c r="BF447" s="438"/>
      <c r="BG447" s="438"/>
      <c r="BH447" s="438"/>
    </row>
    <row r="448">
      <c r="A448" s="140"/>
      <c r="B448" s="456"/>
      <c r="C448" s="142"/>
      <c r="D448" s="142"/>
      <c r="E448" s="142"/>
      <c r="F448" s="140"/>
      <c r="G448" s="456"/>
      <c r="H448" s="142"/>
      <c r="I448" s="142"/>
      <c r="J448" s="142"/>
      <c r="K448" s="125"/>
      <c r="L448" s="456"/>
      <c r="M448" s="142"/>
      <c r="N448" s="142"/>
      <c r="O448" s="142"/>
      <c r="P448" s="125"/>
      <c r="Q448" s="450"/>
      <c r="R448" s="142"/>
      <c r="S448" s="142"/>
      <c r="T448" s="142"/>
      <c r="U448" s="140"/>
      <c r="V448" s="456"/>
      <c r="W448" s="142"/>
      <c r="X448" s="142"/>
      <c r="Y448" s="142"/>
      <c r="Z448" s="140"/>
      <c r="AA448" s="456"/>
      <c r="AB448" s="142"/>
      <c r="AC448" s="142"/>
      <c r="AD448" s="142"/>
      <c r="AE448" s="140"/>
      <c r="AF448" s="456"/>
      <c r="AG448" s="142"/>
      <c r="AH448" s="142"/>
      <c r="AI448" s="142"/>
      <c r="AJ448" s="140"/>
      <c r="AK448" s="456"/>
      <c r="AL448" s="142"/>
      <c r="AM448" s="142"/>
      <c r="AN448" s="142"/>
      <c r="AO448" s="438"/>
      <c r="AP448" s="438"/>
      <c r="AQ448" s="438"/>
      <c r="AR448" s="438"/>
      <c r="AS448" s="438"/>
      <c r="AT448" s="438"/>
      <c r="AU448" s="438"/>
      <c r="AV448" s="438"/>
      <c r="AW448" s="438"/>
      <c r="AX448" s="438"/>
      <c r="AY448" s="438"/>
      <c r="AZ448" s="438"/>
      <c r="BA448" s="438"/>
      <c r="BB448" s="438"/>
      <c r="BC448" s="438"/>
      <c r="BD448" s="438"/>
      <c r="BE448" s="438"/>
      <c r="BF448" s="438"/>
      <c r="BG448" s="438"/>
      <c r="BH448" s="438"/>
    </row>
    <row r="449">
      <c r="A449" s="140"/>
      <c r="B449" s="456"/>
      <c r="C449" s="142"/>
      <c r="D449" s="142"/>
      <c r="E449" s="142"/>
      <c r="F449" s="140"/>
      <c r="G449" s="456"/>
      <c r="H449" s="142"/>
      <c r="I449" s="142"/>
      <c r="J449" s="142"/>
      <c r="K449" s="125"/>
      <c r="L449" s="456"/>
      <c r="M449" s="142"/>
      <c r="N449" s="142"/>
      <c r="O449" s="142"/>
      <c r="P449" s="125"/>
      <c r="Q449" s="450"/>
      <c r="R449" s="142"/>
      <c r="S449" s="142"/>
      <c r="T449" s="142"/>
      <c r="U449" s="140"/>
      <c r="V449" s="456"/>
      <c r="W449" s="142"/>
      <c r="X449" s="142"/>
      <c r="Y449" s="142"/>
      <c r="Z449" s="140"/>
      <c r="AA449" s="456"/>
      <c r="AB449" s="142"/>
      <c r="AC449" s="142"/>
      <c r="AD449" s="142"/>
      <c r="AE449" s="140"/>
      <c r="AF449" s="456"/>
      <c r="AG449" s="142"/>
      <c r="AH449" s="142"/>
      <c r="AI449" s="142"/>
      <c r="AJ449" s="140"/>
      <c r="AK449" s="456"/>
      <c r="AL449" s="142"/>
      <c r="AM449" s="142"/>
      <c r="AN449" s="142"/>
      <c r="AO449" s="438"/>
      <c r="AP449" s="438"/>
      <c r="AQ449" s="438"/>
      <c r="AR449" s="438"/>
      <c r="AS449" s="438"/>
      <c r="AT449" s="438"/>
      <c r="AU449" s="438"/>
      <c r="AV449" s="438"/>
      <c r="AW449" s="438"/>
      <c r="AX449" s="438"/>
      <c r="AY449" s="438"/>
      <c r="AZ449" s="438"/>
      <c r="BA449" s="438"/>
      <c r="BB449" s="438"/>
      <c r="BC449" s="438"/>
      <c r="BD449" s="438"/>
      <c r="BE449" s="438"/>
      <c r="BF449" s="438"/>
      <c r="BG449" s="438"/>
      <c r="BH449" s="438"/>
    </row>
    <row r="450">
      <c r="A450" s="140"/>
      <c r="B450" s="456"/>
      <c r="C450" s="142"/>
      <c r="D450" s="142"/>
      <c r="E450" s="142"/>
      <c r="F450" s="140"/>
      <c r="G450" s="456"/>
      <c r="H450" s="142"/>
      <c r="I450" s="142"/>
      <c r="J450" s="142"/>
      <c r="K450" s="125"/>
      <c r="L450" s="456"/>
      <c r="M450" s="142"/>
      <c r="N450" s="142"/>
      <c r="O450" s="142"/>
      <c r="P450" s="125"/>
      <c r="Q450" s="450"/>
      <c r="R450" s="142"/>
      <c r="S450" s="142"/>
      <c r="T450" s="142"/>
      <c r="U450" s="140"/>
      <c r="V450" s="456"/>
      <c r="W450" s="142"/>
      <c r="X450" s="142"/>
      <c r="Y450" s="142"/>
      <c r="Z450" s="140"/>
      <c r="AA450" s="456"/>
      <c r="AB450" s="142"/>
      <c r="AC450" s="142"/>
      <c r="AD450" s="142"/>
      <c r="AE450" s="140"/>
      <c r="AF450" s="456"/>
      <c r="AG450" s="142"/>
      <c r="AH450" s="142"/>
      <c r="AI450" s="142"/>
      <c r="AJ450" s="140"/>
      <c r="AK450" s="456"/>
      <c r="AL450" s="142"/>
      <c r="AM450" s="142"/>
      <c r="AN450" s="142"/>
      <c r="AO450" s="438"/>
      <c r="AP450" s="438"/>
      <c r="AQ450" s="438"/>
      <c r="AR450" s="438"/>
      <c r="AS450" s="438"/>
      <c r="AT450" s="438"/>
      <c r="AU450" s="438"/>
      <c r="AV450" s="438"/>
      <c r="AW450" s="438"/>
      <c r="AX450" s="438"/>
      <c r="AY450" s="438"/>
      <c r="AZ450" s="438"/>
      <c r="BA450" s="438"/>
      <c r="BB450" s="438"/>
      <c r="BC450" s="438"/>
      <c r="BD450" s="438"/>
      <c r="BE450" s="438"/>
      <c r="BF450" s="438"/>
      <c r="BG450" s="438"/>
      <c r="BH450" s="438"/>
    </row>
    <row r="451">
      <c r="A451" s="140"/>
      <c r="B451" s="456"/>
      <c r="C451" s="142"/>
      <c r="D451" s="142"/>
      <c r="E451" s="142"/>
      <c r="F451" s="140"/>
      <c r="G451" s="456"/>
      <c r="H451" s="142"/>
      <c r="I451" s="142"/>
      <c r="J451" s="142"/>
      <c r="K451" s="125"/>
      <c r="L451" s="456"/>
      <c r="M451" s="142"/>
      <c r="N451" s="142"/>
      <c r="O451" s="142"/>
      <c r="P451" s="125"/>
      <c r="Q451" s="450"/>
      <c r="R451" s="142"/>
      <c r="S451" s="142"/>
      <c r="T451" s="142"/>
      <c r="U451" s="140"/>
      <c r="V451" s="456"/>
      <c r="W451" s="142"/>
      <c r="X451" s="142"/>
      <c r="Y451" s="142"/>
      <c r="Z451" s="140"/>
      <c r="AA451" s="456"/>
      <c r="AB451" s="142"/>
      <c r="AC451" s="142"/>
      <c r="AD451" s="142"/>
      <c r="AE451" s="140"/>
      <c r="AF451" s="456"/>
      <c r="AG451" s="142"/>
      <c r="AH451" s="142"/>
      <c r="AI451" s="142"/>
      <c r="AJ451" s="140"/>
      <c r="AK451" s="456"/>
      <c r="AL451" s="142"/>
      <c r="AM451" s="142"/>
      <c r="AN451" s="142"/>
      <c r="AO451" s="438"/>
      <c r="AP451" s="438"/>
      <c r="AQ451" s="438"/>
      <c r="AR451" s="438"/>
      <c r="AS451" s="438"/>
      <c r="AT451" s="438"/>
      <c r="AU451" s="438"/>
      <c r="AV451" s="438"/>
      <c r="AW451" s="438"/>
      <c r="AX451" s="438"/>
      <c r="AY451" s="438"/>
      <c r="AZ451" s="438"/>
      <c r="BA451" s="438"/>
      <c r="BB451" s="438"/>
      <c r="BC451" s="438"/>
      <c r="BD451" s="438"/>
      <c r="BE451" s="438"/>
      <c r="BF451" s="438"/>
      <c r="BG451" s="438"/>
      <c r="BH451" s="438"/>
    </row>
    <row r="452">
      <c r="A452" s="140"/>
      <c r="B452" s="456"/>
      <c r="C452" s="142"/>
      <c r="D452" s="142"/>
      <c r="E452" s="142"/>
      <c r="F452" s="140"/>
      <c r="G452" s="456"/>
      <c r="H452" s="142"/>
      <c r="I452" s="142"/>
      <c r="J452" s="142"/>
      <c r="K452" s="125"/>
      <c r="L452" s="456"/>
      <c r="M452" s="142"/>
      <c r="N452" s="142"/>
      <c r="O452" s="142"/>
      <c r="P452" s="125"/>
      <c r="Q452" s="450"/>
      <c r="R452" s="142"/>
      <c r="S452" s="142"/>
      <c r="T452" s="142"/>
      <c r="U452" s="140"/>
      <c r="V452" s="456"/>
      <c r="W452" s="142"/>
      <c r="X452" s="142"/>
      <c r="Y452" s="142"/>
      <c r="Z452" s="140"/>
      <c r="AA452" s="456"/>
      <c r="AB452" s="142"/>
      <c r="AC452" s="142"/>
      <c r="AD452" s="142"/>
      <c r="AE452" s="140"/>
      <c r="AF452" s="456"/>
      <c r="AG452" s="142"/>
      <c r="AH452" s="142"/>
      <c r="AI452" s="142"/>
      <c r="AJ452" s="140"/>
      <c r="AK452" s="456"/>
      <c r="AL452" s="142"/>
      <c r="AM452" s="142"/>
      <c r="AN452" s="142"/>
      <c r="AO452" s="438"/>
      <c r="AP452" s="438"/>
      <c r="AQ452" s="438"/>
      <c r="AR452" s="438"/>
      <c r="AS452" s="438"/>
      <c r="AT452" s="438"/>
      <c r="AU452" s="438"/>
      <c r="AV452" s="438"/>
      <c r="AW452" s="438"/>
      <c r="AX452" s="438"/>
      <c r="AY452" s="438"/>
      <c r="AZ452" s="438"/>
      <c r="BA452" s="438"/>
      <c r="BB452" s="438"/>
      <c r="BC452" s="438"/>
      <c r="BD452" s="438"/>
      <c r="BE452" s="438"/>
      <c r="BF452" s="438"/>
      <c r="BG452" s="438"/>
      <c r="BH452" s="438"/>
    </row>
    <row r="453">
      <c r="A453" s="140"/>
      <c r="B453" s="456"/>
      <c r="C453" s="142"/>
      <c r="D453" s="142"/>
      <c r="E453" s="142"/>
      <c r="F453" s="140"/>
      <c r="G453" s="456"/>
      <c r="H453" s="142"/>
      <c r="I453" s="142"/>
      <c r="J453" s="142"/>
      <c r="K453" s="125"/>
      <c r="L453" s="456"/>
      <c r="M453" s="142"/>
      <c r="N453" s="142"/>
      <c r="O453" s="142"/>
      <c r="P453" s="125"/>
      <c r="Q453" s="450"/>
      <c r="R453" s="142"/>
      <c r="S453" s="142"/>
      <c r="T453" s="142"/>
      <c r="U453" s="140"/>
      <c r="V453" s="456"/>
      <c r="W453" s="142"/>
      <c r="X453" s="142"/>
      <c r="Y453" s="142"/>
      <c r="Z453" s="140"/>
      <c r="AA453" s="456"/>
      <c r="AB453" s="142"/>
      <c r="AC453" s="142"/>
      <c r="AD453" s="142"/>
      <c r="AE453" s="140"/>
      <c r="AF453" s="456"/>
      <c r="AG453" s="142"/>
      <c r="AH453" s="142"/>
      <c r="AI453" s="142"/>
      <c r="AJ453" s="140"/>
      <c r="AK453" s="456"/>
      <c r="AL453" s="142"/>
      <c r="AM453" s="142"/>
      <c r="AN453" s="142"/>
      <c r="AO453" s="438"/>
      <c r="AP453" s="438"/>
      <c r="AQ453" s="438"/>
      <c r="AR453" s="438"/>
      <c r="AS453" s="438"/>
      <c r="AT453" s="438"/>
      <c r="AU453" s="438"/>
      <c r="AV453" s="438"/>
      <c r="AW453" s="438"/>
      <c r="AX453" s="438"/>
      <c r="AY453" s="438"/>
      <c r="AZ453" s="438"/>
      <c r="BA453" s="438"/>
      <c r="BB453" s="438"/>
      <c r="BC453" s="438"/>
      <c r="BD453" s="438"/>
      <c r="BE453" s="438"/>
      <c r="BF453" s="438"/>
      <c r="BG453" s="438"/>
      <c r="BH453" s="438"/>
    </row>
    <row r="454">
      <c r="A454" s="140"/>
      <c r="B454" s="456"/>
      <c r="C454" s="142"/>
      <c r="D454" s="142"/>
      <c r="E454" s="142"/>
      <c r="F454" s="140"/>
      <c r="G454" s="456"/>
      <c r="H454" s="142"/>
      <c r="I454" s="142"/>
      <c r="J454" s="142"/>
      <c r="K454" s="125"/>
      <c r="L454" s="456"/>
      <c r="M454" s="142"/>
      <c r="N454" s="142"/>
      <c r="O454" s="142"/>
      <c r="P454" s="125"/>
      <c r="Q454" s="450"/>
      <c r="R454" s="142"/>
      <c r="S454" s="142"/>
      <c r="T454" s="142"/>
      <c r="U454" s="140"/>
      <c r="V454" s="456"/>
      <c r="W454" s="142"/>
      <c r="X454" s="142"/>
      <c r="Y454" s="142"/>
      <c r="Z454" s="140"/>
      <c r="AA454" s="456"/>
      <c r="AB454" s="142"/>
      <c r="AC454" s="142"/>
      <c r="AD454" s="142"/>
      <c r="AE454" s="140"/>
      <c r="AF454" s="456"/>
      <c r="AG454" s="142"/>
      <c r="AH454" s="142"/>
      <c r="AI454" s="142"/>
      <c r="AJ454" s="140"/>
      <c r="AK454" s="456"/>
      <c r="AL454" s="142"/>
      <c r="AM454" s="142"/>
      <c r="AN454" s="142"/>
      <c r="AO454" s="438"/>
      <c r="AP454" s="438"/>
      <c r="AQ454" s="438"/>
      <c r="AR454" s="438"/>
      <c r="AS454" s="438"/>
      <c r="AT454" s="438"/>
      <c r="AU454" s="438"/>
      <c r="AV454" s="438"/>
      <c r="AW454" s="438"/>
      <c r="AX454" s="438"/>
      <c r="AY454" s="438"/>
      <c r="AZ454" s="438"/>
      <c r="BA454" s="438"/>
      <c r="BB454" s="438"/>
      <c r="BC454" s="438"/>
      <c r="BD454" s="438"/>
      <c r="BE454" s="438"/>
      <c r="BF454" s="438"/>
      <c r="BG454" s="438"/>
      <c r="BH454" s="438"/>
    </row>
    <row r="455">
      <c r="A455" s="140"/>
      <c r="B455" s="456"/>
      <c r="C455" s="142"/>
      <c r="D455" s="142"/>
      <c r="E455" s="142"/>
      <c r="F455" s="140"/>
      <c r="G455" s="456"/>
      <c r="H455" s="142"/>
      <c r="I455" s="142"/>
      <c r="J455" s="142"/>
      <c r="K455" s="125"/>
      <c r="L455" s="456"/>
      <c r="M455" s="142"/>
      <c r="N455" s="142"/>
      <c r="O455" s="142"/>
      <c r="P455" s="125"/>
      <c r="Q455" s="450"/>
      <c r="R455" s="142"/>
      <c r="S455" s="142"/>
      <c r="T455" s="142"/>
      <c r="U455" s="140"/>
      <c r="V455" s="456"/>
      <c r="W455" s="142"/>
      <c r="X455" s="142"/>
      <c r="Y455" s="142"/>
      <c r="Z455" s="140"/>
      <c r="AA455" s="456"/>
      <c r="AB455" s="142"/>
      <c r="AC455" s="142"/>
      <c r="AD455" s="142"/>
      <c r="AE455" s="140"/>
      <c r="AF455" s="456"/>
      <c r="AG455" s="142"/>
      <c r="AH455" s="142"/>
      <c r="AI455" s="142"/>
      <c r="AJ455" s="140"/>
      <c r="AK455" s="456"/>
      <c r="AL455" s="142"/>
      <c r="AM455" s="142"/>
      <c r="AN455" s="142"/>
      <c r="AO455" s="438"/>
      <c r="AP455" s="438"/>
      <c r="AQ455" s="438"/>
      <c r="AR455" s="438"/>
      <c r="AS455" s="438"/>
      <c r="AT455" s="438"/>
      <c r="AU455" s="438"/>
      <c r="AV455" s="438"/>
      <c r="AW455" s="438"/>
      <c r="AX455" s="438"/>
      <c r="AY455" s="438"/>
      <c r="AZ455" s="438"/>
      <c r="BA455" s="438"/>
      <c r="BB455" s="438"/>
      <c r="BC455" s="438"/>
      <c r="BD455" s="438"/>
      <c r="BE455" s="438"/>
      <c r="BF455" s="438"/>
      <c r="BG455" s="438"/>
      <c r="BH455" s="438"/>
    </row>
    <row r="456">
      <c r="A456" s="140"/>
      <c r="B456" s="456"/>
      <c r="C456" s="142"/>
      <c r="D456" s="142"/>
      <c r="E456" s="142"/>
      <c r="F456" s="140"/>
      <c r="G456" s="456"/>
      <c r="H456" s="142"/>
      <c r="I456" s="142"/>
      <c r="J456" s="142"/>
      <c r="K456" s="125"/>
      <c r="L456" s="456"/>
      <c r="M456" s="142"/>
      <c r="N456" s="142"/>
      <c r="O456" s="142"/>
      <c r="P456" s="125"/>
      <c r="Q456" s="450"/>
      <c r="R456" s="142"/>
      <c r="S456" s="142"/>
      <c r="T456" s="142"/>
      <c r="U456" s="140"/>
      <c r="V456" s="456"/>
      <c r="W456" s="142"/>
      <c r="X456" s="142"/>
      <c r="Y456" s="142"/>
      <c r="Z456" s="140"/>
      <c r="AA456" s="456"/>
      <c r="AB456" s="142"/>
      <c r="AC456" s="142"/>
      <c r="AD456" s="142"/>
      <c r="AE456" s="140"/>
      <c r="AF456" s="456"/>
      <c r="AG456" s="142"/>
      <c r="AH456" s="142"/>
      <c r="AI456" s="142"/>
      <c r="AJ456" s="140"/>
      <c r="AK456" s="456"/>
      <c r="AL456" s="142"/>
      <c r="AM456" s="142"/>
      <c r="AN456" s="142"/>
      <c r="AO456" s="438"/>
      <c r="AP456" s="438"/>
      <c r="AQ456" s="438"/>
      <c r="AR456" s="438"/>
      <c r="AS456" s="438"/>
      <c r="AT456" s="438"/>
      <c r="AU456" s="438"/>
      <c r="AV456" s="438"/>
      <c r="AW456" s="438"/>
      <c r="AX456" s="438"/>
      <c r="AY456" s="438"/>
      <c r="AZ456" s="438"/>
      <c r="BA456" s="438"/>
      <c r="BB456" s="438"/>
      <c r="BC456" s="438"/>
      <c r="BD456" s="438"/>
      <c r="BE456" s="438"/>
      <c r="BF456" s="438"/>
      <c r="BG456" s="438"/>
      <c r="BH456" s="438"/>
    </row>
    <row r="457">
      <c r="A457" s="140"/>
      <c r="B457" s="456"/>
      <c r="C457" s="142"/>
      <c r="D457" s="142"/>
      <c r="E457" s="142"/>
      <c r="F457" s="140"/>
      <c r="G457" s="456"/>
      <c r="H457" s="142"/>
      <c r="I457" s="142"/>
      <c r="J457" s="142"/>
      <c r="K457" s="125"/>
      <c r="L457" s="456"/>
      <c r="M457" s="142"/>
      <c r="N457" s="142"/>
      <c r="O457" s="142"/>
      <c r="P457" s="125"/>
      <c r="Q457" s="450"/>
      <c r="R457" s="142"/>
      <c r="S457" s="142"/>
      <c r="T457" s="142"/>
      <c r="U457" s="140"/>
      <c r="V457" s="456"/>
      <c r="W457" s="142"/>
      <c r="X457" s="142"/>
      <c r="Y457" s="142"/>
      <c r="Z457" s="140"/>
      <c r="AA457" s="456"/>
      <c r="AB457" s="142"/>
      <c r="AC457" s="142"/>
      <c r="AD457" s="142"/>
      <c r="AE457" s="140"/>
      <c r="AF457" s="456"/>
      <c r="AG457" s="142"/>
      <c r="AH457" s="142"/>
      <c r="AI457" s="142"/>
      <c r="AJ457" s="140"/>
      <c r="AK457" s="456"/>
      <c r="AL457" s="142"/>
      <c r="AM457" s="142"/>
      <c r="AN457" s="142"/>
      <c r="AO457" s="438"/>
      <c r="AP457" s="438"/>
      <c r="AQ457" s="438"/>
      <c r="AR457" s="438"/>
      <c r="AS457" s="438"/>
      <c r="AT457" s="438"/>
      <c r="AU457" s="438"/>
      <c r="AV457" s="438"/>
      <c r="AW457" s="438"/>
      <c r="AX457" s="438"/>
      <c r="AY457" s="438"/>
      <c r="AZ457" s="438"/>
      <c r="BA457" s="438"/>
      <c r="BB457" s="438"/>
      <c r="BC457" s="438"/>
      <c r="BD457" s="438"/>
      <c r="BE457" s="438"/>
      <c r="BF457" s="438"/>
      <c r="BG457" s="438"/>
      <c r="BH457" s="438"/>
    </row>
    <row r="458">
      <c r="A458" s="140"/>
      <c r="B458" s="456"/>
      <c r="C458" s="142"/>
      <c r="D458" s="142"/>
      <c r="E458" s="142"/>
      <c r="F458" s="140"/>
      <c r="G458" s="456"/>
      <c r="H458" s="142"/>
      <c r="I458" s="142"/>
      <c r="J458" s="142"/>
      <c r="K458" s="125"/>
      <c r="L458" s="456"/>
      <c r="M458" s="142"/>
      <c r="N458" s="142"/>
      <c r="O458" s="142"/>
      <c r="P458" s="125"/>
      <c r="Q458" s="450"/>
      <c r="R458" s="142"/>
      <c r="S458" s="142"/>
      <c r="T458" s="142"/>
      <c r="U458" s="140"/>
      <c r="V458" s="456"/>
      <c r="W458" s="142"/>
      <c r="X458" s="142"/>
      <c r="Y458" s="142"/>
      <c r="Z458" s="140"/>
      <c r="AA458" s="456"/>
      <c r="AB458" s="142"/>
      <c r="AC458" s="142"/>
      <c r="AD458" s="142"/>
      <c r="AE458" s="140"/>
      <c r="AF458" s="456"/>
      <c r="AG458" s="142"/>
      <c r="AH458" s="142"/>
      <c r="AI458" s="142"/>
      <c r="AJ458" s="140"/>
      <c r="AK458" s="456"/>
      <c r="AL458" s="142"/>
      <c r="AM458" s="142"/>
      <c r="AN458" s="142"/>
      <c r="AO458" s="438"/>
      <c r="AP458" s="438"/>
      <c r="AQ458" s="438"/>
      <c r="AR458" s="438"/>
      <c r="AS458" s="438"/>
      <c r="AT458" s="438"/>
      <c r="AU458" s="438"/>
      <c r="AV458" s="438"/>
      <c r="AW458" s="438"/>
      <c r="AX458" s="438"/>
      <c r="AY458" s="438"/>
      <c r="AZ458" s="438"/>
      <c r="BA458" s="438"/>
      <c r="BB458" s="438"/>
      <c r="BC458" s="438"/>
      <c r="BD458" s="438"/>
      <c r="BE458" s="438"/>
      <c r="BF458" s="438"/>
      <c r="BG458" s="438"/>
      <c r="BH458" s="438"/>
    </row>
    <row r="459">
      <c r="A459" s="140"/>
      <c r="B459" s="456"/>
      <c r="C459" s="142"/>
      <c r="D459" s="142"/>
      <c r="E459" s="142"/>
      <c r="F459" s="140"/>
      <c r="G459" s="456"/>
      <c r="H459" s="142"/>
      <c r="I459" s="142"/>
      <c r="J459" s="142"/>
      <c r="K459" s="125"/>
      <c r="L459" s="456"/>
      <c r="M459" s="142"/>
      <c r="N459" s="142"/>
      <c r="O459" s="142"/>
      <c r="P459" s="125"/>
      <c r="Q459" s="450"/>
      <c r="R459" s="142"/>
      <c r="S459" s="142"/>
      <c r="T459" s="142"/>
      <c r="U459" s="140"/>
      <c r="V459" s="456"/>
      <c r="W459" s="142"/>
      <c r="X459" s="142"/>
      <c r="Y459" s="142"/>
      <c r="Z459" s="140"/>
      <c r="AA459" s="456"/>
      <c r="AB459" s="142"/>
      <c r="AC459" s="142"/>
      <c r="AD459" s="142"/>
      <c r="AE459" s="140"/>
      <c r="AF459" s="456"/>
      <c r="AG459" s="142"/>
      <c r="AH459" s="142"/>
      <c r="AI459" s="142"/>
      <c r="AJ459" s="140"/>
      <c r="AK459" s="456"/>
      <c r="AL459" s="142"/>
      <c r="AM459" s="142"/>
      <c r="AN459" s="142"/>
      <c r="AO459" s="438"/>
      <c r="AP459" s="438"/>
      <c r="AQ459" s="438"/>
      <c r="AR459" s="438"/>
      <c r="AS459" s="438"/>
      <c r="AT459" s="438"/>
      <c r="AU459" s="438"/>
      <c r="AV459" s="438"/>
      <c r="AW459" s="438"/>
      <c r="AX459" s="438"/>
      <c r="AY459" s="438"/>
      <c r="AZ459" s="438"/>
      <c r="BA459" s="438"/>
      <c r="BB459" s="438"/>
      <c r="BC459" s="438"/>
      <c r="BD459" s="438"/>
      <c r="BE459" s="438"/>
      <c r="BF459" s="438"/>
      <c r="BG459" s="438"/>
      <c r="BH459" s="438"/>
    </row>
    <row r="460">
      <c r="A460" s="140"/>
      <c r="B460" s="456"/>
      <c r="C460" s="142"/>
      <c r="D460" s="142"/>
      <c r="E460" s="142"/>
      <c r="F460" s="140"/>
      <c r="G460" s="456"/>
      <c r="H460" s="142"/>
      <c r="I460" s="142"/>
      <c r="J460" s="142"/>
      <c r="K460" s="125"/>
      <c r="L460" s="456"/>
      <c r="M460" s="142"/>
      <c r="N460" s="142"/>
      <c r="O460" s="142"/>
      <c r="P460" s="125"/>
      <c r="Q460" s="450"/>
      <c r="R460" s="142"/>
      <c r="S460" s="142"/>
      <c r="T460" s="142"/>
      <c r="U460" s="140"/>
      <c r="V460" s="456"/>
      <c r="W460" s="142"/>
      <c r="X460" s="142"/>
      <c r="Y460" s="142"/>
      <c r="Z460" s="140"/>
      <c r="AA460" s="456"/>
      <c r="AB460" s="142"/>
      <c r="AC460" s="142"/>
      <c r="AD460" s="142"/>
      <c r="AE460" s="140"/>
      <c r="AF460" s="456"/>
      <c r="AG460" s="142"/>
      <c r="AH460" s="142"/>
      <c r="AI460" s="142"/>
      <c r="AJ460" s="140"/>
      <c r="AK460" s="456"/>
      <c r="AL460" s="142"/>
      <c r="AM460" s="142"/>
      <c r="AN460" s="142"/>
      <c r="AO460" s="438"/>
      <c r="AP460" s="438"/>
      <c r="AQ460" s="438"/>
      <c r="AR460" s="438"/>
      <c r="AS460" s="438"/>
      <c r="AT460" s="438"/>
      <c r="AU460" s="438"/>
      <c r="AV460" s="438"/>
      <c r="AW460" s="438"/>
      <c r="AX460" s="438"/>
      <c r="AY460" s="438"/>
      <c r="AZ460" s="438"/>
      <c r="BA460" s="438"/>
      <c r="BB460" s="438"/>
      <c r="BC460" s="438"/>
      <c r="BD460" s="438"/>
      <c r="BE460" s="438"/>
      <c r="BF460" s="438"/>
      <c r="BG460" s="438"/>
      <c r="BH460" s="438"/>
    </row>
    <row r="461">
      <c r="A461" s="140"/>
      <c r="B461" s="456"/>
      <c r="C461" s="142"/>
      <c r="D461" s="142"/>
      <c r="E461" s="142"/>
      <c r="F461" s="140"/>
      <c r="G461" s="456"/>
      <c r="H461" s="142"/>
      <c r="I461" s="142"/>
      <c r="J461" s="142"/>
      <c r="K461" s="125"/>
      <c r="L461" s="456"/>
      <c r="M461" s="142"/>
      <c r="N461" s="142"/>
      <c r="O461" s="142"/>
      <c r="P461" s="125"/>
      <c r="Q461" s="450"/>
      <c r="R461" s="142"/>
      <c r="S461" s="142"/>
      <c r="T461" s="142"/>
      <c r="U461" s="140"/>
      <c r="V461" s="456"/>
      <c r="W461" s="142"/>
      <c r="X461" s="142"/>
      <c r="Y461" s="142"/>
      <c r="Z461" s="140"/>
      <c r="AA461" s="456"/>
      <c r="AB461" s="142"/>
      <c r="AC461" s="142"/>
      <c r="AD461" s="142"/>
      <c r="AE461" s="140"/>
      <c r="AF461" s="456"/>
      <c r="AG461" s="142"/>
      <c r="AH461" s="142"/>
      <c r="AI461" s="142"/>
      <c r="AJ461" s="140"/>
      <c r="AK461" s="456"/>
      <c r="AL461" s="142"/>
      <c r="AM461" s="142"/>
      <c r="AN461" s="142"/>
      <c r="AO461" s="438"/>
      <c r="AP461" s="438"/>
      <c r="AQ461" s="438"/>
      <c r="AR461" s="438"/>
      <c r="AS461" s="438"/>
      <c r="AT461" s="438"/>
      <c r="AU461" s="438"/>
      <c r="AV461" s="438"/>
      <c r="AW461" s="438"/>
      <c r="AX461" s="438"/>
      <c r="AY461" s="438"/>
      <c r="AZ461" s="438"/>
      <c r="BA461" s="438"/>
      <c r="BB461" s="438"/>
      <c r="BC461" s="438"/>
      <c r="BD461" s="438"/>
      <c r="BE461" s="438"/>
      <c r="BF461" s="438"/>
      <c r="BG461" s="438"/>
      <c r="BH461" s="438"/>
    </row>
    <row r="462">
      <c r="A462" s="140"/>
      <c r="B462" s="456"/>
      <c r="C462" s="142"/>
      <c r="D462" s="142"/>
      <c r="E462" s="142"/>
      <c r="F462" s="140"/>
      <c r="G462" s="456"/>
      <c r="H462" s="142"/>
      <c r="I462" s="142"/>
      <c r="J462" s="142"/>
      <c r="K462" s="125"/>
      <c r="L462" s="456"/>
      <c r="M462" s="142"/>
      <c r="N462" s="142"/>
      <c r="O462" s="142"/>
      <c r="P462" s="125"/>
      <c r="Q462" s="450"/>
      <c r="R462" s="142"/>
      <c r="S462" s="142"/>
      <c r="T462" s="142"/>
      <c r="U462" s="140"/>
      <c r="V462" s="456"/>
      <c r="W462" s="142"/>
      <c r="X462" s="142"/>
      <c r="Y462" s="142"/>
      <c r="Z462" s="140"/>
      <c r="AA462" s="456"/>
      <c r="AB462" s="142"/>
      <c r="AC462" s="142"/>
      <c r="AD462" s="142"/>
      <c r="AE462" s="140"/>
      <c r="AF462" s="456"/>
      <c r="AG462" s="142"/>
      <c r="AH462" s="142"/>
      <c r="AI462" s="142"/>
      <c r="AJ462" s="140"/>
      <c r="AK462" s="456"/>
      <c r="AL462" s="142"/>
      <c r="AM462" s="142"/>
      <c r="AN462" s="142"/>
      <c r="AO462" s="438"/>
      <c r="AP462" s="438"/>
      <c r="AQ462" s="438"/>
      <c r="AR462" s="438"/>
      <c r="AS462" s="438"/>
      <c r="AT462" s="438"/>
      <c r="AU462" s="438"/>
      <c r="AV462" s="438"/>
      <c r="AW462" s="438"/>
      <c r="AX462" s="438"/>
      <c r="AY462" s="438"/>
      <c r="AZ462" s="438"/>
      <c r="BA462" s="438"/>
      <c r="BB462" s="438"/>
      <c r="BC462" s="438"/>
      <c r="BD462" s="438"/>
      <c r="BE462" s="438"/>
      <c r="BF462" s="438"/>
      <c r="BG462" s="438"/>
      <c r="BH462" s="438"/>
    </row>
    <row r="463">
      <c r="A463" s="140"/>
      <c r="B463" s="456"/>
      <c r="C463" s="142"/>
      <c r="D463" s="142"/>
      <c r="E463" s="142"/>
      <c r="F463" s="140"/>
      <c r="G463" s="456"/>
      <c r="H463" s="142"/>
      <c r="I463" s="142"/>
      <c r="J463" s="142"/>
      <c r="K463" s="125"/>
      <c r="L463" s="456"/>
      <c r="M463" s="142"/>
      <c r="N463" s="142"/>
      <c r="O463" s="142"/>
      <c r="P463" s="125"/>
      <c r="Q463" s="450"/>
      <c r="R463" s="142"/>
      <c r="S463" s="142"/>
      <c r="T463" s="142"/>
      <c r="U463" s="140"/>
      <c r="V463" s="456"/>
      <c r="W463" s="142"/>
      <c r="X463" s="142"/>
      <c r="Y463" s="142"/>
      <c r="Z463" s="140"/>
      <c r="AA463" s="456"/>
      <c r="AB463" s="142"/>
      <c r="AC463" s="142"/>
      <c r="AD463" s="142"/>
      <c r="AE463" s="140"/>
      <c r="AF463" s="456"/>
      <c r="AG463" s="142"/>
      <c r="AH463" s="142"/>
      <c r="AI463" s="142"/>
      <c r="AJ463" s="140"/>
      <c r="AK463" s="456"/>
      <c r="AL463" s="142"/>
      <c r="AM463" s="142"/>
      <c r="AN463" s="142"/>
      <c r="AO463" s="438"/>
      <c r="AP463" s="438"/>
      <c r="AQ463" s="438"/>
      <c r="AR463" s="438"/>
      <c r="AS463" s="438"/>
      <c r="AT463" s="438"/>
      <c r="AU463" s="438"/>
      <c r="AV463" s="438"/>
      <c r="AW463" s="438"/>
      <c r="AX463" s="438"/>
      <c r="AY463" s="438"/>
      <c r="AZ463" s="438"/>
      <c r="BA463" s="438"/>
      <c r="BB463" s="438"/>
      <c r="BC463" s="438"/>
      <c r="BD463" s="438"/>
      <c r="BE463" s="438"/>
      <c r="BF463" s="438"/>
      <c r="BG463" s="438"/>
      <c r="BH463" s="438"/>
    </row>
    <row r="464">
      <c r="A464" s="140"/>
      <c r="B464" s="456"/>
      <c r="C464" s="142"/>
      <c r="D464" s="142"/>
      <c r="E464" s="142"/>
      <c r="F464" s="140"/>
      <c r="G464" s="456"/>
      <c r="H464" s="142"/>
      <c r="I464" s="142"/>
      <c r="J464" s="142"/>
      <c r="K464" s="125"/>
      <c r="L464" s="456"/>
      <c r="M464" s="142"/>
      <c r="N464" s="142"/>
      <c r="O464" s="142"/>
      <c r="P464" s="125"/>
      <c r="Q464" s="450"/>
      <c r="R464" s="142"/>
      <c r="S464" s="142"/>
      <c r="T464" s="142"/>
      <c r="U464" s="140"/>
      <c r="V464" s="456"/>
      <c r="W464" s="142"/>
      <c r="X464" s="142"/>
      <c r="Y464" s="142"/>
      <c r="Z464" s="140"/>
      <c r="AA464" s="456"/>
      <c r="AB464" s="142"/>
      <c r="AC464" s="142"/>
      <c r="AD464" s="142"/>
      <c r="AE464" s="140"/>
      <c r="AF464" s="456"/>
      <c r="AG464" s="142"/>
      <c r="AH464" s="142"/>
      <c r="AI464" s="142"/>
      <c r="AJ464" s="140"/>
      <c r="AK464" s="456"/>
      <c r="AL464" s="142"/>
      <c r="AM464" s="142"/>
      <c r="AN464" s="142"/>
      <c r="AO464" s="438"/>
      <c r="AP464" s="438"/>
      <c r="AQ464" s="438"/>
      <c r="AR464" s="438"/>
      <c r="AS464" s="438"/>
      <c r="AT464" s="438"/>
      <c r="AU464" s="438"/>
      <c r="AV464" s="438"/>
      <c r="AW464" s="438"/>
      <c r="AX464" s="438"/>
      <c r="AY464" s="438"/>
      <c r="AZ464" s="438"/>
      <c r="BA464" s="438"/>
      <c r="BB464" s="438"/>
      <c r="BC464" s="438"/>
      <c r="BD464" s="438"/>
      <c r="BE464" s="438"/>
      <c r="BF464" s="438"/>
      <c r="BG464" s="438"/>
      <c r="BH464" s="438"/>
    </row>
    <row r="465">
      <c r="A465" s="140"/>
      <c r="B465" s="456"/>
      <c r="C465" s="142"/>
      <c r="D465" s="142"/>
      <c r="E465" s="142"/>
      <c r="F465" s="140"/>
      <c r="G465" s="456"/>
      <c r="H465" s="142"/>
      <c r="I465" s="142"/>
      <c r="J465" s="142"/>
      <c r="K465" s="125"/>
      <c r="L465" s="456"/>
      <c r="M465" s="142"/>
      <c r="N465" s="142"/>
      <c r="O465" s="142"/>
      <c r="P465" s="125"/>
      <c r="Q465" s="450"/>
      <c r="R465" s="142"/>
      <c r="S465" s="142"/>
      <c r="T465" s="142"/>
      <c r="U465" s="140"/>
      <c r="V465" s="456"/>
      <c r="W465" s="142"/>
      <c r="X465" s="142"/>
      <c r="Y465" s="142"/>
      <c r="Z465" s="140"/>
      <c r="AA465" s="456"/>
      <c r="AB465" s="142"/>
      <c r="AC465" s="142"/>
      <c r="AD465" s="142"/>
      <c r="AE465" s="140"/>
      <c r="AF465" s="456"/>
      <c r="AG465" s="142"/>
      <c r="AH465" s="142"/>
      <c r="AI465" s="142"/>
      <c r="AJ465" s="140"/>
      <c r="AK465" s="456"/>
      <c r="AL465" s="142"/>
      <c r="AM465" s="142"/>
      <c r="AN465" s="142"/>
      <c r="AO465" s="438"/>
      <c r="AP465" s="438"/>
      <c r="AQ465" s="438"/>
      <c r="AR465" s="438"/>
      <c r="AS465" s="438"/>
      <c r="AT465" s="438"/>
      <c r="AU465" s="438"/>
      <c r="AV465" s="438"/>
      <c r="AW465" s="438"/>
      <c r="AX465" s="438"/>
      <c r="AY465" s="438"/>
      <c r="AZ465" s="438"/>
      <c r="BA465" s="438"/>
      <c r="BB465" s="438"/>
      <c r="BC465" s="438"/>
      <c r="BD465" s="438"/>
      <c r="BE465" s="438"/>
      <c r="BF465" s="438"/>
      <c r="BG465" s="438"/>
      <c r="BH465" s="438"/>
    </row>
    <row r="466">
      <c r="A466" s="140"/>
      <c r="B466" s="456"/>
      <c r="C466" s="142"/>
      <c r="D466" s="142"/>
      <c r="E466" s="142"/>
      <c r="F466" s="140"/>
      <c r="G466" s="456"/>
      <c r="H466" s="142"/>
      <c r="I466" s="142"/>
      <c r="J466" s="142"/>
      <c r="K466" s="125"/>
      <c r="L466" s="456"/>
      <c r="M466" s="142"/>
      <c r="N466" s="142"/>
      <c r="O466" s="142"/>
      <c r="P466" s="125"/>
      <c r="Q466" s="450"/>
      <c r="R466" s="142"/>
      <c r="S466" s="142"/>
      <c r="T466" s="142"/>
      <c r="U466" s="140"/>
      <c r="V466" s="456"/>
      <c r="W466" s="142"/>
      <c r="X466" s="142"/>
      <c r="Y466" s="142"/>
      <c r="Z466" s="140"/>
      <c r="AA466" s="456"/>
      <c r="AB466" s="142"/>
      <c r="AC466" s="142"/>
      <c r="AD466" s="142"/>
      <c r="AE466" s="140"/>
      <c r="AF466" s="456"/>
      <c r="AG466" s="142"/>
      <c r="AH466" s="142"/>
      <c r="AI466" s="142"/>
      <c r="AJ466" s="140"/>
      <c r="AK466" s="456"/>
      <c r="AL466" s="142"/>
      <c r="AM466" s="142"/>
      <c r="AN466" s="142"/>
      <c r="AO466" s="438"/>
      <c r="AP466" s="438"/>
      <c r="AQ466" s="438"/>
      <c r="AR466" s="438"/>
      <c r="AS466" s="438"/>
      <c r="AT466" s="438"/>
      <c r="AU466" s="438"/>
      <c r="AV466" s="438"/>
      <c r="AW466" s="438"/>
      <c r="AX466" s="438"/>
      <c r="AY466" s="438"/>
      <c r="AZ466" s="438"/>
      <c r="BA466" s="438"/>
      <c r="BB466" s="438"/>
      <c r="BC466" s="438"/>
      <c r="BD466" s="438"/>
      <c r="BE466" s="438"/>
      <c r="BF466" s="438"/>
      <c r="BG466" s="438"/>
      <c r="BH466" s="438"/>
    </row>
    <row r="467">
      <c r="A467" s="140"/>
      <c r="B467" s="456"/>
      <c r="C467" s="142"/>
      <c r="D467" s="142"/>
      <c r="E467" s="142"/>
      <c r="F467" s="140"/>
      <c r="G467" s="456"/>
      <c r="H467" s="142"/>
      <c r="I467" s="142"/>
      <c r="J467" s="142"/>
      <c r="K467" s="125"/>
      <c r="L467" s="456"/>
      <c r="M467" s="142"/>
      <c r="N467" s="142"/>
      <c r="O467" s="142"/>
      <c r="P467" s="125"/>
      <c r="Q467" s="450"/>
      <c r="R467" s="142"/>
      <c r="S467" s="142"/>
      <c r="T467" s="142"/>
      <c r="U467" s="140"/>
      <c r="V467" s="456"/>
      <c r="W467" s="142"/>
      <c r="X467" s="142"/>
      <c r="Y467" s="142"/>
      <c r="Z467" s="140"/>
      <c r="AA467" s="456"/>
      <c r="AB467" s="142"/>
      <c r="AC467" s="142"/>
      <c r="AD467" s="142"/>
      <c r="AE467" s="140"/>
      <c r="AF467" s="456"/>
      <c r="AG467" s="142"/>
      <c r="AH467" s="142"/>
      <c r="AI467" s="142"/>
      <c r="AJ467" s="140"/>
      <c r="AK467" s="456"/>
      <c r="AL467" s="142"/>
      <c r="AM467" s="142"/>
      <c r="AN467" s="142"/>
      <c r="AO467" s="438"/>
      <c r="AP467" s="438"/>
      <c r="AQ467" s="438"/>
      <c r="AR467" s="438"/>
      <c r="AS467" s="438"/>
      <c r="AT467" s="438"/>
      <c r="AU467" s="438"/>
      <c r="AV467" s="438"/>
      <c r="AW467" s="438"/>
      <c r="AX467" s="438"/>
      <c r="AY467" s="438"/>
      <c r="AZ467" s="438"/>
      <c r="BA467" s="438"/>
      <c r="BB467" s="438"/>
      <c r="BC467" s="438"/>
      <c r="BD467" s="438"/>
      <c r="BE467" s="438"/>
      <c r="BF467" s="438"/>
      <c r="BG467" s="438"/>
      <c r="BH467" s="438"/>
    </row>
    <row r="468">
      <c r="A468" s="140"/>
      <c r="B468" s="456"/>
      <c r="C468" s="142"/>
      <c r="D468" s="142"/>
      <c r="E468" s="142"/>
      <c r="F468" s="140"/>
      <c r="G468" s="456"/>
      <c r="H468" s="142"/>
      <c r="I468" s="142"/>
      <c r="J468" s="142"/>
      <c r="K468" s="125"/>
      <c r="L468" s="456"/>
      <c r="M468" s="142"/>
      <c r="N468" s="142"/>
      <c r="O468" s="142"/>
      <c r="P468" s="125"/>
      <c r="Q468" s="450"/>
      <c r="R468" s="142"/>
      <c r="S468" s="142"/>
      <c r="T468" s="142"/>
      <c r="U468" s="140"/>
      <c r="V468" s="456"/>
      <c r="W468" s="142"/>
      <c r="X468" s="142"/>
      <c r="Y468" s="142"/>
      <c r="Z468" s="140"/>
      <c r="AA468" s="456"/>
      <c r="AB468" s="142"/>
      <c r="AC468" s="142"/>
      <c r="AD468" s="142"/>
      <c r="AE468" s="140"/>
      <c r="AF468" s="456"/>
      <c r="AG468" s="142"/>
      <c r="AH468" s="142"/>
      <c r="AI468" s="142"/>
      <c r="AJ468" s="140"/>
      <c r="AK468" s="456"/>
      <c r="AL468" s="142"/>
      <c r="AM468" s="142"/>
      <c r="AN468" s="142"/>
      <c r="AO468" s="438"/>
      <c r="AP468" s="438"/>
      <c r="AQ468" s="438"/>
      <c r="AR468" s="438"/>
      <c r="AS468" s="438"/>
      <c r="AT468" s="438"/>
      <c r="AU468" s="438"/>
      <c r="AV468" s="438"/>
      <c r="AW468" s="438"/>
      <c r="AX468" s="438"/>
      <c r="AY468" s="438"/>
      <c r="AZ468" s="438"/>
      <c r="BA468" s="438"/>
      <c r="BB468" s="438"/>
      <c r="BC468" s="438"/>
      <c r="BD468" s="438"/>
      <c r="BE468" s="438"/>
      <c r="BF468" s="438"/>
      <c r="BG468" s="438"/>
      <c r="BH468" s="438"/>
    </row>
    <row r="469">
      <c r="A469" s="140"/>
      <c r="B469" s="456"/>
      <c r="C469" s="142"/>
      <c r="D469" s="142"/>
      <c r="E469" s="142"/>
      <c r="F469" s="140"/>
      <c r="G469" s="456"/>
      <c r="H469" s="142"/>
      <c r="I469" s="142"/>
      <c r="J469" s="142"/>
      <c r="K469" s="125"/>
      <c r="L469" s="456"/>
      <c r="M469" s="142"/>
      <c r="N469" s="142"/>
      <c r="O469" s="142"/>
      <c r="P469" s="125"/>
      <c r="Q469" s="450"/>
      <c r="R469" s="142"/>
      <c r="S469" s="142"/>
      <c r="T469" s="142"/>
      <c r="U469" s="140"/>
      <c r="V469" s="456"/>
      <c r="W469" s="142"/>
      <c r="X469" s="142"/>
      <c r="Y469" s="142"/>
      <c r="Z469" s="140"/>
      <c r="AA469" s="456"/>
      <c r="AB469" s="142"/>
      <c r="AC469" s="142"/>
      <c r="AD469" s="142"/>
      <c r="AE469" s="140"/>
      <c r="AF469" s="456"/>
      <c r="AG469" s="142"/>
      <c r="AH469" s="142"/>
      <c r="AI469" s="142"/>
      <c r="AJ469" s="140"/>
      <c r="AK469" s="456"/>
      <c r="AL469" s="142"/>
      <c r="AM469" s="142"/>
      <c r="AN469" s="142"/>
      <c r="AO469" s="438"/>
      <c r="AP469" s="438"/>
      <c r="AQ469" s="438"/>
      <c r="AR469" s="438"/>
      <c r="AS469" s="438"/>
      <c r="AT469" s="438"/>
      <c r="AU469" s="438"/>
      <c r="AV469" s="438"/>
      <c r="AW469" s="438"/>
      <c r="AX469" s="438"/>
      <c r="AY469" s="438"/>
      <c r="AZ469" s="438"/>
      <c r="BA469" s="438"/>
      <c r="BB469" s="438"/>
      <c r="BC469" s="438"/>
      <c r="BD469" s="438"/>
      <c r="BE469" s="438"/>
      <c r="BF469" s="438"/>
      <c r="BG469" s="438"/>
      <c r="BH469" s="438"/>
    </row>
    <row r="470">
      <c r="A470" s="140"/>
      <c r="B470" s="456"/>
      <c r="C470" s="142"/>
      <c r="D470" s="142"/>
      <c r="E470" s="142"/>
      <c r="F470" s="140"/>
      <c r="G470" s="456"/>
      <c r="H470" s="142"/>
      <c r="I470" s="142"/>
      <c r="J470" s="142"/>
      <c r="K470" s="125"/>
      <c r="L470" s="456"/>
      <c r="M470" s="142"/>
      <c r="N470" s="142"/>
      <c r="O470" s="142"/>
      <c r="P470" s="125"/>
      <c r="Q470" s="450"/>
      <c r="R470" s="142"/>
      <c r="S470" s="142"/>
      <c r="T470" s="142"/>
      <c r="U470" s="140"/>
      <c r="V470" s="456"/>
      <c r="W470" s="142"/>
      <c r="X470" s="142"/>
      <c r="Y470" s="142"/>
      <c r="Z470" s="140"/>
      <c r="AA470" s="456"/>
      <c r="AB470" s="142"/>
      <c r="AC470" s="142"/>
      <c r="AD470" s="142"/>
      <c r="AE470" s="140"/>
      <c r="AF470" s="456"/>
      <c r="AG470" s="142"/>
      <c r="AH470" s="142"/>
      <c r="AI470" s="142"/>
      <c r="AJ470" s="140"/>
      <c r="AK470" s="456"/>
      <c r="AL470" s="142"/>
      <c r="AM470" s="142"/>
      <c r="AN470" s="142"/>
      <c r="AO470" s="438"/>
      <c r="AP470" s="438"/>
      <c r="AQ470" s="438"/>
      <c r="AR470" s="438"/>
      <c r="AS470" s="438"/>
      <c r="AT470" s="438"/>
      <c r="AU470" s="438"/>
      <c r="AV470" s="438"/>
      <c r="AW470" s="438"/>
      <c r="AX470" s="438"/>
      <c r="AY470" s="438"/>
      <c r="AZ470" s="438"/>
      <c r="BA470" s="438"/>
      <c r="BB470" s="438"/>
      <c r="BC470" s="438"/>
      <c r="BD470" s="438"/>
      <c r="BE470" s="438"/>
      <c r="BF470" s="438"/>
      <c r="BG470" s="438"/>
      <c r="BH470" s="438"/>
    </row>
    <row r="471">
      <c r="A471" s="140"/>
      <c r="B471" s="456"/>
      <c r="C471" s="142"/>
      <c r="D471" s="142"/>
      <c r="E471" s="142"/>
      <c r="F471" s="140"/>
      <c r="G471" s="456"/>
      <c r="H471" s="142"/>
      <c r="I471" s="142"/>
      <c r="J471" s="142"/>
      <c r="K471" s="125"/>
      <c r="L471" s="456"/>
      <c r="M471" s="142"/>
      <c r="N471" s="142"/>
      <c r="O471" s="142"/>
      <c r="P471" s="125"/>
      <c r="Q471" s="450"/>
      <c r="R471" s="142"/>
      <c r="S471" s="142"/>
      <c r="T471" s="142"/>
      <c r="U471" s="140"/>
      <c r="V471" s="456"/>
      <c r="W471" s="142"/>
      <c r="X471" s="142"/>
      <c r="Y471" s="142"/>
      <c r="Z471" s="140"/>
      <c r="AA471" s="456"/>
      <c r="AB471" s="142"/>
      <c r="AC471" s="142"/>
      <c r="AD471" s="142"/>
      <c r="AE471" s="140"/>
      <c r="AF471" s="456"/>
      <c r="AG471" s="142"/>
      <c r="AH471" s="142"/>
      <c r="AI471" s="142"/>
      <c r="AJ471" s="140"/>
      <c r="AK471" s="456"/>
      <c r="AL471" s="142"/>
      <c r="AM471" s="142"/>
      <c r="AN471" s="142"/>
      <c r="AO471" s="438"/>
      <c r="AP471" s="438"/>
      <c r="AQ471" s="438"/>
      <c r="AR471" s="438"/>
      <c r="AS471" s="438"/>
      <c r="AT471" s="438"/>
      <c r="AU471" s="438"/>
      <c r="AV471" s="438"/>
      <c r="AW471" s="438"/>
      <c r="AX471" s="438"/>
      <c r="AY471" s="438"/>
      <c r="AZ471" s="438"/>
      <c r="BA471" s="438"/>
      <c r="BB471" s="438"/>
      <c r="BC471" s="438"/>
      <c r="BD471" s="438"/>
      <c r="BE471" s="438"/>
      <c r="BF471" s="438"/>
      <c r="BG471" s="438"/>
      <c r="BH471" s="438"/>
    </row>
    <row r="472">
      <c r="A472" s="140"/>
      <c r="B472" s="456"/>
      <c r="C472" s="142"/>
      <c r="D472" s="142"/>
      <c r="E472" s="142"/>
      <c r="F472" s="140"/>
      <c r="G472" s="456"/>
      <c r="H472" s="142"/>
      <c r="I472" s="142"/>
      <c r="J472" s="142"/>
      <c r="K472" s="125"/>
      <c r="L472" s="456"/>
      <c r="M472" s="142"/>
      <c r="N472" s="142"/>
      <c r="O472" s="142"/>
      <c r="P472" s="125"/>
      <c r="Q472" s="450"/>
      <c r="R472" s="142"/>
      <c r="S472" s="142"/>
      <c r="T472" s="142"/>
      <c r="U472" s="140"/>
      <c r="V472" s="456"/>
      <c r="W472" s="142"/>
      <c r="X472" s="142"/>
      <c r="Y472" s="142"/>
      <c r="Z472" s="140"/>
      <c r="AA472" s="456"/>
      <c r="AB472" s="142"/>
      <c r="AC472" s="142"/>
      <c r="AD472" s="142"/>
      <c r="AE472" s="140"/>
      <c r="AF472" s="456"/>
      <c r="AG472" s="142"/>
      <c r="AH472" s="142"/>
      <c r="AI472" s="142"/>
      <c r="AJ472" s="140"/>
      <c r="AK472" s="456"/>
      <c r="AL472" s="142"/>
      <c r="AM472" s="142"/>
      <c r="AN472" s="142"/>
      <c r="AO472" s="438"/>
      <c r="AP472" s="438"/>
      <c r="AQ472" s="438"/>
      <c r="AR472" s="438"/>
      <c r="AS472" s="438"/>
      <c r="AT472" s="438"/>
      <c r="AU472" s="438"/>
      <c r="AV472" s="438"/>
      <c r="AW472" s="438"/>
      <c r="AX472" s="438"/>
      <c r="AY472" s="438"/>
      <c r="AZ472" s="438"/>
      <c r="BA472" s="438"/>
      <c r="BB472" s="438"/>
      <c r="BC472" s="438"/>
      <c r="BD472" s="438"/>
      <c r="BE472" s="438"/>
      <c r="BF472" s="438"/>
      <c r="BG472" s="438"/>
      <c r="BH472" s="438"/>
    </row>
    <row r="473">
      <c r="A473" s="140"/>
      <c r="B473" s="456"/>
      <c r="C473" s="142"/>
      <c r="D473" s="142"/>
      <c r="E473" s="142"/>
      <c r="F473" s="140"/>
      <c r="G473" s="456"/>
      <c r="H473" s="142"/>
      <c r="I473" s="142"/>
      <c r="J473" s="142"/>
      <c r="K473" s="125"/>
      <c r="L473" s="456"/>
      <c r="M473" s="142"/>
      <c r="N473" s="142"/>
      <c r="O473" s="142"/>
      <c r="P473" s="125"/>
      <c r="Q473" s="450"/>
      <c r="R473" s="142"/>
      <c r="S473" s="142"/>
      <c r="T473" s="142"/>
      <c r="U473" s="140"/>
      <c r="V473" s="456"/>
      <c r="W473" s="142"/>
      <c r="X473" s="142"/>
      <c r="Y473" s="142"/>
      <c r="Z473" s="140"/>
      <c r="AA473" s="456"/>
      <c r="AB473" s="142"/>
      <c r="AC473" s="142"/>
      <c r="AD473" s="142"/>
      <c r="AE473" s="140"/>
      <c r="AF473" s="456"/>
      <c r="AG473" s="142"/>
      <c r="AH473" s="142"/>
      <c r="AI473" s="142"/>
      <c r="AJ473" s="140"/>
      <c r="AK473" s="456"/>
      <c r="AL473" s="142"/>
      <c r="AM473" s="142"/>
      <c r="AN473" s="142"/>
      <c r="AO473" s="438"/>
      <c r="AP473" s="438"/>
      <c r="AQ473" s="438"/>
      <c r="AR473" s="438"/>
      <c r="AS473" s="438"/>
      <c r="AT473" s="438"/>
      <c r="AU473" s="438"/>
      <c r="AV473" s="438"/>
      <c r="AW473" s="438"/>
      <c r="AX473" s="438"/>
      <c r="AY473" s="438"/>
      <c r="AZ473" s="438"/>
      <c r="BA473" s="438"/>
      <c r="BB473" s="438"/>
      <c r="BC473" s="438"/>
      <c r="BD473" s="438"/>
      <c r="BE473" s="438"/>
      <c r="BF473" s="438"/>
      <c r="BG473" s="438"/>
      <c r="BH473" s="438"/>
    </row>
    <row r="474">
      <c r="A474" s="140"/>
      <c r="B474" s="456"/>
      <c r="C474" s="142"/>
      <c r="D474" s="142"/>
      <c r="E474" s="142"/>
      <c r="F474" s="140"/>
      <c r="G474" s="456"/>
      <c r="H474" s="142"/>
      <c r="I474" s="142"/>
      <c r="J474" s="142"/>
      <c r="K474" s="125"/>
      <c r="L474" s="456"/>
      <c r="M474" s="142"/>
      <c r="N474" s="142"/>
      <c r="O474" s="142"/>
      <c r="P474" s="125"/>
      <c r="Q474" s="450"/>
      <c r="R474" s="142"/>
      <c r="S474" s="142"/>
      <c r="T474" s="142"/>
      <c r="U474" s="140"/>
      <c r="V474" s="456"/>
      <c r="W474" s="142"/>
      <c r="X474" s="142"/>
      <c r="Y474" s="142"/>
      <c r="Z474" s="140"/>
      <c r="AA474" s="456"/>
      <c r="AB474" s="142"/>
      <c r="AC474" s="142"/>
      <c r="AD474" s="142"/>
      <c r="AE474" s="140"/>
      <c r="AF474" s="456"/>
      <c r="AG474" s="142"/>
      <c r="AH474" s="142"/>
      <c r="AI474" s="142"/>
      <c r="AJ474" s="140"/>
      <c r="AK474" s="456"/>
      <c r="AL474" s="142"/>
      <c r="AM474" s="142"/>
      <c r="AN474" s="142"/>
      <c r="AO474" s="438"/>
      <c r="AP474" s="438"/>
      <c r="AQ474" s="438"/>
      <c r="AR474" s="438"/>
      <c r="AS474" s="438"/>
      <c r="AT474" s="438"/>
      <c r="AU474" s="438"/>
      <c r="AV474" s="438"/>
      <c r="AW474" s="438"/>
      <c r="AX474" s="438"/>
      <c r="AY474" s="438"/>
      <c r="AZ474" s="438"/>
      <c r="BA474" s="438"/>
      <c r="BB474" s="438"/>
      <c r="BC474" s="438"/>
      <c r="BD474" s="438"/>
      <c r="BE474" s="438"/>
      <c r="BF474" s="438"/>
      <c r="BG474" s="438"/>
      <c r="BH474" s="438"/>
    </row>
    <row r="475">
      <c r="A475" s="140"/>
      <c r="B475" s="456"/>
      <c r="C475" s="142"/>
      <c r="D475" s="142"/>
      <c r="E475" s="142"/>
      <c r="F475" s="140"/>
      <c r="G475" s="456"/>
      <c r="H475" s="142"/>
      <c r="I475" s="142"/>
      <c r="J475" s="142"/>
      <c r="K475" s="125"/>
      <c r="L475" s="456"/>
      <c r="M475" s="142"/>
      <c r="N475" s="142"/>
      <c r="O475" s="142"/>
      <c r="P475" s="125"/>
      <c r="Q475" s="450"/>
      <c r="R475" s="142"/>
      <c r="S475" s="142"/>
      <c r="T475" s="142"/>
      <c r="U475" s="140"/>
      <c r="V475" s="456"/>
      <c r="W475" s="142"/>
      <c r="X475" s="142"/>
      <c r="Y475" s="142"/>
      <c r="Z475" s="140"/>
      <c r="AA475" s="456"/>
      <c r="AB475" s="142"/>
      <c r="AC475" s="142"/>
      <c r="AD475" s="142"/>
      <c r="AE475" s="140"/>
      <c r="AF475" s="456"/>
      <c r="AG475" s="142"/>
      <c r="AH475" s="142"/>
      <c r="AI475" s="142"/>
      <c r="AJ475" s="140"/>
      <c r="AK475" s="456"/>
      <c r="AL475" s="142"/>
      <c r="AM475" s="142"/>
      <c r="AN475" s="142"/>
      <c r="AO475" s="438"/>
      <c r="AP475" s="438"/>
      <c r="AQ475" s="438"/>
      <c r="AR475" s="438"/>
      <c r="AS475" s="438"/>
      <c r="AT475" s="438"/>
      <c r="AU475" s="438"/>
      <c r="AV475" s="438"/>
      <c r="AW475" s="438"/>
      <c r="AX475" s="438"/>
      <c r="AY475" s="438"/>
      <c r="AZ475" s="438"/>
      <c r="BA475" s="438"/>
      <c r="BB475" s="438"/>
      <c r="BC475" s="438"/>
      <c r="BD475" s="438"/>
      <c r="BE475" s="438"/>
      <c r="BF475" s="438"/>
      <c r="BG475" s="438"/>
      <c r="BH475" s="438"/>
    </row>
    <row r="476">
      <c r="A476" s="140"/>
      <c r="B476" s="456"/>
      <c r="C476" s="142"/>
      <c r="D476" s="142"/>
      <c r="E476" s="142"/>
      <c r="F476" s="140"/>
      <c r="G476" s="456"/>
      <c r="H476" s="142"/>
      <c r="I476" s="142"/>
      <c r="J476" s="142"/>
      <c r="K476" s="125"/>
      <c r="L476" s="456"/>
      <c r="M476" s="142"/>
      <c r="N476" s="142"/>
      <c r="O476" s="142"/>
      <c r="P476" s="125"/>
      <c r="Q476" s="450"/>
      <c r="R476" s="142"/>
      <c r="S476" s="142"/>
      <c r="T476" s="142"/>
      <c r="U476" s="140"/>
      <c r="V476" s="456"/>
      <c r="W476" s="142"/>
      <c r="X476" s="142"/>
      <c r="Y476" s="142"/>
      <c r="Z476" s="140"/>
      <c r="AA476" s="456"/>
      <c r="AB476" s="142"/>
      <c r="AC476" s="142"/>
      <c r="AD476" s="142"/>
      <c r="AE476" s="140"/>
      <c r="AF476" s="456"/>
      <c r="AG476" s="142"/>
      <c r="AH476" s="142"/>
      <c r="AI476" s="142"/>
      <c r="AJ476" s="140"/>
      <c r="AK476" s="456"/>
      <c r="AL476" s="142"/>
      <c r="AM476" s="142"/>
      <c r="AN476" s="142"/>
      <c r="AO476" s="438"/>
      <c r="AP476" s="438"/>
      <c r="AQ476" s="438"/>
      <c r="AR476" s="438"/>
      <c r="AS476" s="438"/>
      <c r="AT476" s="438"/>
      <c r="AU476" s="438"/>
      <c r="AV476" s="438"/>
      <c r="AW476" s="438"/>
      <c r="AX476" s="438"/>
      <c r="AY476" s="438"/>
      <c r="AZ476" s="438"/>
      <c r="BA476" s="438"/>
      <c r="BB476" s="438"/>
      <c r="BC476" s="438"/>
      <c r="BD476" s="438"/>
      <c r="BE476" s="438"/>
      <c r="BF476" s="438"/>
      <c r="BG476" s="438"/>
      <c r="BH476" s="438"/>
    </row>
    <row r="477">
      <c r="A477" s="140"/>
      <c r="B477" s="456"/>
      <c r="C477" s="142"/>
      <c r="D477" s="142"/>
      <c r="E477" s="142"/>
      <c r="F477" s="140"/>
      <c r="G477" s="456"/>
      <c r="H477" s="142"/>
      <c r="I477" s="142"/>
      <c r="J477" s="142"/>
      <c r="K477" s="125"/>
      <c r="L477" s="456"/>
      <c r="M477" s="142"/>
      <c r="N477" s="142"/>
      <c r="O477" s="142"/>
      <c r="P477" s="125"/>
      <c r="Q477" s="450"/>
      <c r="R477" s="142"/>
      <c r="S477" s="142"/>
      <c r="T477" s="142"/>
      <c r="U477" s="140"/>
      <c r="V477" s="456"/>
      <c r="W477" s="142"/>
      <c r="X477" s="142"/>
      <c r="Y477" s="142"/>
      <c r="Z477" s="140"/>
      <c r="AA477" s="456"/>
      <c r="AB477" s="142"/>
      <c r="AC477" s="142"/>
      <c r="AD477" s="142"/>
      <c r="AE477" s="140"/>
      <c r="AF477" s="456"/>
      <c r="AG477" s="142"/>
      <c r="AH477" s="142"/>
      <c r="AI477" s="142"/>
      <c r="AJ477" s="140"/>
      <c r="AK477" s="456"/>
      <c r="AL477" s="142"/>
      <c r="AM477" s="142"/>
      <c r="AN477" s="142"/>
      <c r="AO477" s="438"/>
      <c r="AP477" s="438"/>
      <c r="AQ477" s="438"/>
      <c r="AR477" s="438"/>
      <c r="AS477" s="438"/>
      <c r="AT477" s="438"/>
      <c r="AU477" s="438"/>
      <c r="AV477" s="438"/>
      <c r="AW477" s="438"/>
      <c r="AX477" s="438"/>
      <c r="AY477" s="438"/>
      <c r="AZ477" s="438"/>
      <c r="BA477" s="438"/>
      <c r="BB477" s="438"/>
      <c r="BC477" s="438"/>
      <c r="BD477" s="438"/>
      <c r="BE477" s="438"/>
      <c r="BF477" s="438"/>
      <c r="BG477" s="438"/>
      <c r="BH477" s="438"/>
    </row>
    <row r="478">
      <c r="A478" s="140"/>
      <c r="B478" s="456"/>
      <c r="C478" s="142"/>
      <c r="D478" s="142"/>
      <c r="E478" s="142"/>
      <c r="F478" s="140"/>
      <c r="G478" s="456"/>
      <c r="H478" s="142"/>
      <c r="I478" s="142"/>
      <c r="J478" s="142"/>
      <c r="K478" s="125"/>
      <c r="L478" s="456"/>
      <c r="M478" s="142"/>
      <c r="N478" s="142"/>
      <c r="O478" s="142"/>
      <c r="P478" s="125"/>
      <c r="Q478" s="450"/>
      <c r="R478" s="142"/>
      <c r="S478" s="142"/>
      <c r="T478" s="142"/>
      <c r="U478" s="140"/>
      <c r="V478" s="456"/>
      <c r="W478" s="142"/>
      <c r="X478" s="142"/>
      <c r="Y478" s="142"/>
      <c r="Z478" s="140"/>
      <c r="AA478" s="456"/>
      <c r="AB478" s="142"/>
      <c r="AC478" s="142"/>
      <c r="AD478" s="142"/>
      <c r="AE478" s="140"/>
      <c r="AF478" s="456"/>
      <c r="AG478" s="142"/>
      <c r="AH478" s="142"/>
      <c r="AI478" s="142"/>
      <c r="AJ478" s="140"/>
      <c r="AK478" s="456"/>
      <c r="AL478" s="142"/>
      <c r="AM478" s="142"/>
      <c r="AN478" s="142"/>
      <c r="AO478" s="438"/>
      <c r="AP478" s="438"/>
      <c r="AQ478" s="438"/>
      <c r="AR478" s="438"/>
      <c r="AS478" s="438"/>
      <c r="AT478" s="438"/>
      <c r="AU478" s="438"/>
      <c r="AV478" s="438"/>
      <c r="AW478" s="438"/>
      <c r="AX478" s="438"/>
      <c r="AY478" s="438"/>
      <c r="AZ478" s="438"/>
      <c r="BA478" s="438"/>
      <c r="BB478" s="438"/>
      <c r="BC478" s="438"/>
      <c r="BD478" s="438"/>
      <c r="BE478" s="438"/>
      <c r="BF478" s="438"/>
      <c r="BG478" s="438"/>
      <c r="BH478" s="438"/>
    </row>
    <row r="479">
      <c r="A479" s="140"/>
      <c r="B479" s="456"/>
      <c r="C479" s="142"/>
      <c r="D479" s="142"/>
      <c r="E479" s="142"/>
      <c r="F479" s="140"/>
      <c r="G479" s="456"/>
      <c r="H479" s="142"/>
      <c r="I479" s="142"/>
      <c r="J479" s="142"/>
      <c r="K479" s="125"/>
      <c r="L479" s="456"/>
      <c r="M479" s="142"/>
      <c r="N479" s="142"/>
      <c r="O479" s="142"/>
      <c r="P479" s="125"/>
      <c r="Q479" s="450"/>
      <c r="R479" s="142"/>
      <c r="S479" s="142"/>
      <c r="T479" s="142"/>
      <c r="U479" s="140"/>
      <c r="V479" s="456"/>
      <c r="W479" s="142"/>
      <c r="X479" s="142"/>
      <c r="Y479" s="142"/>
      <c r="Z479" s="140"/>
      <c r="AA479" s="456"/>
      <c r="AB479" s="142"/>
      <c r="AC479" s="142"/>
      <c r="AD479" s="142"/>
      <c r="AE479" s="140"/>
      <c r="AF479" s="456"/>
      <c r="AG479" s="142"/>
      <c r="AH479" s="142"/>
      <c r="AI479" s="142"/>
      <c r="AJ479" s="140"/>
      <c r="AK479" s="456"/>
      <c r="AL479" s="142"/>
      <c r="AM479" s="142"/>
      <c r="AN479" s="142"/>
      <c r="AO479" s="438"/>
      <c r="AP479" s="438"/>
      <c r="AQ479" s="438"/>
      <c r="AR479" s="438"/>
      <c r="AS479" s="438"/>
      <c r="AT479" s="438"/>
      <c r="AU479" s="438"/>
      <c r="AV479" s="438"/>
      <c r="AW479" s="438"/>
      <c r="AX479" s="438"/>
      <c r="AY479" s="438"/>
      <c r="AZ479" s="438"/>
      <c r="BA479" s="438"/>
      <c r="BB479" s="438"/>
      <c r="BC479" s="438"/>
      <c r="BD479" s="438"/>
      <c r="BE479" s="438"/>
      <c r="BF479" s="438"/>
      <c r="BG479" s="438"/>
      <c r="BH479" s="438"/>
    </row>
    <row r="480">
      <c r="A480" s="140"/>
      <c r="B480" s="456"/>
      <c r="C480" s="142"/>
      <c r="D480" s="142"/>
      <c r="E480" s="142"/>
      <c r="F480" s="140"/>
      <c r="G480" s="456"/>
      <c r="H480" s="142"/>
      <c r="I480" s="142"/>
      <c r="J480" s="142"/>
      <c r="K480" s="125"/>
      <c r="L480" s="456"/>
      <c r="M480" s="142"/>
      <c r="N480" s="142"/>
      <c r="O480" s="142"/>
      <c r="P480" s="125"/>
      <c r="Q480" s="450"/>
      <c r="R480" s="142"/>
      <c r="S480" s="142"/>
      <c r="T480" s="142"/>
      <c r="U480" s="140"/>
      <c r="V480" s="456"/>
      <c r="W480" s="142"/>
      <c r="X480" s="142"/>
      <c r="Y480" s="142"/>
      <c r="Z480" s="140"/>
      <c r="AA480" s="456"/>
      <c r="AB480" s="142"/>
      <c r="AC480" s="142"/>
      <c r="AD480" s="142"/>
      <c r="AE480" s="140"/>
      <c r="AF480" s="456"/>
      <c r="AG480" s="142"/>
      <c r="AH480" s="142"/>
      <c r="AI480" s="142"/>
      <c r="AJ480" s="140"/>
      <c r="AK480" s="456"/>
      <c r="AL480" s="142"/>
      <c r="AM480" s="142"/>
      <c r="AN480" s="142"/>
      <c r="AO480" s="438"/>
      <c r="AP480" s="438"/>
      <c r="AQ480" s="438"/>
      <c r="AR480" s="438"/>
      <c r="AS480" s="438"/>
      <c r="AT480" s="438"/>
      <c r="AU480" s="438"/>
      <c r="AV480" s="438"/>
      <c r="AW480" s="438"/>
      <c r="AX480" s="438"/>
      <c r="AY480" s="438"/>
      <c r="AZ480" s="438"/>
      <c r="BA480" s="438"/>
      <c r="BB480" s="438"/>
      <c r="BC480" s="438"/>
      <c r="BD480" s="438"/>
      <c r="BE480" s="438"/>
      <c r="BF480" s="438"/>
      <c r="BG480" s="438"/>
      <c r="BH480" s="438"/>
    </row>
    <row r="481">
      <c r="A481" s="140"/>
      <c r="B481" s="456"/>
      <c r="C481" s="142"/>
      <c r="D481" s="142"/>
      <c r="E481" s="142"/>
      <c r="F481" s="140"/>
      <c r="G481" s="456"/>
      <c r="H481" s="142"/>
      <c r="I481" s="142"/>
      <c r="J481" s="142"/>
      <c r="K481" s="125"/>
      <c r="L481" s="456"/>
      <c r="M481" s="142"/>
      <c r="N481" s="142"/>
      <c r="O481" s="142"/>
      <c r="P481" s="125"/>
      <c r="Q481" s="450"/>
      <c r="R481" s="142"/>
      <c r="S481" s="142"/>
      <c r="T481" s="142"/>
      <c r="U481" s="140"/>
      <c r="V481" s="456"/>
      <c r="W481" s="142"/>
      <c r="X481" s="142"/>
      <c r="Y481" s="142"/>
      <c r="Z481" s="140"/>
      <c r="AA481" s="456"/>
      <c r="AB481" s="142"/>
      <c r="AC481" s="142"/>
      <c r="AD481" s="142"/>
      <c r="AE481" s="140"/>
      <c r="AF481" s="456"/>
      <c r="AG481" s="142"/>
      <c r="AH481" s="142"/>
      <c r="AI481" s="142"/>
      <c r="AJ481" s="140"/>
      <c r="AK481" s="456"/>
      <c r="AL481" s="142"/>
      <c r="AM481" s="142"/>
      <c r="AN481" s="142"/>
      <c r="AO481" s="438"/>
      <c r="AP481" s="438"/>
      <c r="AQ481" s="438"/>
      <c r="AR481" s="438"/>
      <c r="AS481" s="438"/>
      <c r="AT481" s="438"/>
      <c r="AU481" s="438"/>
      <c r="AV481" s="438"/>
      <c r="AW481" s="438"/>
      <c r="AX481" s="438"/>
      <c r="AY481" s="438"/>
      <c r="AZ481" s="438"/>
      <c r="BA481" s="438"/>
      <c r="BB481" s="438"/>
      <c r="BC481" s="438"/>
      <c r="BD481" s="438"/>
      <c r="BE481" s="438"/>
      <c r="BF481" s="438"/>
      <c r="BG481" s="438"/>
      <c r="BH481" s="438"/>
    </row>
    <row r="482">
      <c r="A482" s="140"/>
      <c r="B482" s="456"/>
      <c r="C482" s="142"/>
      <c r="D482" s="142"/>
      <c r="E482" s="142"/>
      <c r="F482" s="140"/>
      <c r="G482" s="456"/>
      <c r="H482" s="142"/>
      <c r="I482" s="142"/>
      <c r="J482" s="142"/>
      <c r="K482" s="125"/>
      <c r="L482" s="456"/>
      <c r="M482" s="142"/>
      <c r="N482" s="142"/>
      <c r="O482" s="142"/>
      <c r="P482" s="125"/>
      <c r="Q482" s="450"/>
      <c r="R482" s="142"/>
      <c r="S482" s="142"/>
      <c r="T482" s="142"/>
      <c r="U482" s="140"/>
      <c r="V482" s="456"/>
      <c r="W482" s="142"/>
      <c r="X482" s="142"/>
      <c r="Y482" s="142"/>
      <c r="Z482" s="140"/>
      <c r="AA482" s="456"/>
      <c r="AB482" s="142"/>
      <c r="AC482" s="142"/>
      <c r="AD482" s="142"/>
      <c r="AE482" s="140"/>
      <c r="AF482" s="456"/>
      <c r="AG482" s="142"/>
      <c r="AH482" s="142"/>
      <c r="AI482" s="142"/>
      <c r="AJ482" s="140"/>
      <c r="AK482" s="456"/>
      <c r="AL482" s="142"/>
      <c r="AM482" s="142"/>
      <c r="AN482" s="142"/>
      <c r="AO482" s="438"/>
      <c r="AP482" s="438"/>
      <c r="AQ482" s="438"/>
      <c r="AR482" s="438"/>
      <c r="AS482" s="438"/>
      <c r="AT482" s="438"/>
      <c r="AU482" s="438"/>
      <c r="AV482" s="438"/>
      <c r="AW482" s="438"/>
      <c r="AX482" s="438"/>
      <c r="AY482" s="438"/>
      <c r="AZ482" s="438"/>
      <c r="BA482" s="438"/>
      <c r="BB482" s="438"/>
      <c r="BC482" s="438"/>
      <c r="BD482" s="438"/>
      <c r="BE482" s="438"/>
      <c r="BF482" s="438"/>
      <c r="BG482" s="438"/>
      <c r="BH482" s="438"/>
    </row>
    <row r="483">
      <c r="A483" s="140"/>
      <c r="B483" s="456"/>
      <c r="C483" s="142"/>
      <c r="D483" s="142"/>
      <c r="E483" s="142"/>
      <c r="F483" s="140"/>
      <c r="G483" s="456"/>
      <c r="H483" s="142"/>
      <c r="I483" s="142"/>
      <c r="J483" s="142"/>
      <c r="K483" s="125"/>
      <c r="L483" s="456"/>
      <c r="M483" s="142"/>
      <c r="N483" s="142"/>
      <c r="O483" s="142"/>
      <c r="P483" s="125"/>
      <c r="Q483" s="450"/>
      <c r="R483" s="142"/>
      <c r="S483" s="142"/>
      <c r="T483" s="142"/>
      <c r="U483" s="140"/>
      <c r="V483" s="456"/>
      <c r="W483" s="142"/>
      <c r="X483" s="142"/>
      <c r="Y483" s="142"/>
      <c r="Z483" s="140"/>
      <c r="AA483" s="456"/>
      <c r="AB483" s="142"/>
      <c r="AC483" s="142"/>
      <c r="AD483" s="142"/>
      <c r="AE483" s="140"/>
      <c r="AF483" s="456"/>
      <c r="AG483" s="142"/>
      <c r="AH483" s="142"/>
      <c r="AI483" s="142"/>
      <c r="AJ483" s="140"/>
      <c r="AK483" s="456"/>
      <c r="AL483" s="142"/>
      <c r="AM483" s="142"/>
      <c r="AN483" s="142"/>
      <c r="AO483" s="438"/>
      <c r="AP483" s="438"/>
      <c r="AQ483" s="438"/>
      <c r="AR483" s="438"/>
      <c r="AS483" s="438"/>
      <c r="AT483" s="438"/>
      <c r="AU483" s="438"/>
      <c r="AV483" s="438"/>
      <c r="AW483" s="438"/>
      <c r="AX483" s="438"/>
      <c r="AY483" s="438"/>
      <c r="AZ483" s="438"/>
      <c r="BA483" s="438"/>
      <c r="BB483" s="438"/>
      <c r="BC483" s="438"/>
      <c r="BD483" s="438"/>
      <c r="BE483" s="438"/>
      <c r="BF483" s="438"/>
      <c r="BG483" s="438"/>
      <c r="BH483" s="438"/>
    </row>
    <row r="484">
      <c r="A484" s="140"/>
      <c r="B484" s="456"/>
      <c r="C484" s="142"/>
      <c r="D484" s="142"/>
      <c r="E484" s="142"/>
      <c r="F484" s="140"/>
      <c r="G484" s="456"/>
      <c r="H484" s="142"/>
      <c r="I484" s="142"/>
      <c r="J484" s="142"/>
      <c r="K484" s="125"/>
      <c r="L484" s="456"/>
      <c r="M484" s="142"/>
      <c r="N484" s="142"/>
      <c r="O484" s="142"/>
      <c r="P484" s="125"/>
      <c r="Q484" s="450"/>
      <c r="R484" s="142"/>
      <c r="S484" s="142"/>
      <c r="T484" s="142"/>
      <c r="U484" s="140"/>
      <c r="V484" s="456"/>
      <c r="W484" s="142"/>
      <c r="X484" s="142"/>
      <c r="Y484" s="142"/>
      <c r="Z484" s="140"/>
      <c r="AA484" s="456"/>
      <c r="AB484" s="142"/>
      <c r="AC484" s="142"/>
      <c r="AD484" s="142"/>
      <c r="AE484" s="140"/>
      <c r="AF484" s="456"/>
      <c r="AG484" s="142"/>
      <c r="AH484" s="142"/>
      <c r="AI484" s="142"/>
      <c r="AJ484" s="140"/>
      <c r="AK484" s="456"/>
      <c r="AL484" s="142"/>
      <c r="AM484" s="142"/>
      <c r="AN484" s="142"/>
      <c r="AO484" s="438"/>
      <c r="AP484" s="438"/>
      <c r="AQ484" s="438"/>
      <c r="AR484" s="438"/>
      <c r="AS484" s="438"/>
      <c r="AT484" s="438"/>
      <c r="AU484" s="438"/>
      <c r="AV484" s="438"/>
      <c r="AW484" s="438"/>
      <c r="AX484" s="438"/>
      <c r="AY484" s="438"/>
      <c r="AZ484" s="438"/>
      <c r="BA484" s="438"/>
      <c r="BB484" s="438"/>
      <c r="BC484" s="438"/>
      <c r="BD484" s="438"/>
      <c r="BE484" s="438"/>
      <c r="BF484" s="438"/>
      <c r="BG484" s="438"/>
      <c r="BH484" s="438"/>
    </row>
    <row r="485">
      <c r="A485" s="140"/>
      <c r="B485" s="456"/>
      <c r="C485" s="142"/>
      <c r="D485" s="142"/>
      <c r="E485" s="142"/>
      <c r="F485" s="140"/>
      <c r="G485" s="456"/>
      <c r="H485" s="142"/>
      <c r="I485" s="142"/>
      <c r="J485" s="142"/>
      <c r="K485" s="125"/>
      <c r="L485" s="456"/>
      <c r="M485" s="142"/>
      <c r="N485" s="142"/>
      <c r="O485" s="142"/>
      <c r="P485" s="125"/>
      <c r="Q485" s="450"/>
      <c r="R485" s="142"/>
      <c r="S485" s="142"/>
      <c r="T485" s="142"/>
      <c r="U485" s="140"/>
      <c r="V485" s="456"/>
      <c r="W485" s="142"/>
      <c r="X485" s="142"/>
      <c r="Y485" s="142"/>
      <c r="Z485" s="140"/>
      <c r="AA485" s="456"/>
      <c r="AB485" s="142"/>
      <c r="AC485" s="142"/>
      <c r="AD485" s="142"/>
      <c r="AE485" s="140"/>
      <c r="AF485" s="456"/>
      <c r="AG485" s="142"/>
      <c r="AH485" s="142"/>
      <c r="AI485" s="142"/>
      <c r="AJ485" s="140"/>
      <c r="AK485" s="456"/>
      <c r="AL485" s="142"/>
      <c r="AM485" s="142"/>
      <c r="AN485" s="142"/>
      <c r="AO485" s="438"/>
      <c r="AP485" s="438"/>
      <c r="AQ485" s="438"/>
      <c r="AR485" s="438"/>
      <c r="AS485" s="438"/>
      <c r="AT485" s="438"/>
      <c r="AU485" s="438"/>
      <c r="AV485" s="438"/>
      <c r="AW485" s="438"/>
      <c r="AX485" s="438"/>
      <c r="AY485" s="438"/>
      <c r="AZ485" s="438"/>
      <c r="BA485" s="438"/>
      <c r="BB485" s="438"/>
      <c r="BC485" s="438"/>
      <c r="BD485" s="438"/>
      <c r="BE485" s="438"/>
      <c r="BF485" s="438"/>
      <c r="BG485" s="438"/>
      <c r="BH485" s="438"/>
    </row>
    <row r="486">
      <c r="A486" s="140"/>
      <c r="B486" s="456"/>
      <c r="C486" s="142"/>
      <c r="D486" s="142"/>
      <c r="E486" s="142"/>
      <c r="F486" s="140"/>
      <c r="G486" s="456"/>
      <c r="H486" s="142"/>
      <c r="I486" s="142"/>
      <c r="J486" s="142"/>
      <c r="K486" s="125"/>
      <c r="L486" s="456"/>
      <c r="M486" s="142"/>
      <c r="N486" s="142"/>
      <c r="O486" s="142"/>
      <c r="P486" s="125"/>
      <c r="Q486" s="450"/>
      <c r="R486" s="142"/>
      <c r="S486" s="142"/>
      <c r="T486" s="142"/>
      <c r="U486" s="140"/>
      <c r="V486" s="456"/>
      <c r="W486" s="142"/>
      <c r="X486" s="142"/>
      <c r="Y486" s="142"/>
      <c r="Z486" s="140"/>
      <c r="AA486" s="456"/>
      <c r="AB486" s="142"/>
      <c r="AC486" s="142"/>
      <c r="AD486" s="142"/>
      <c r="AE486" s="140"/>
      <c r="AF486" s="456"/>
      <c r="AG486" s="142"/>
      <c r="AH486" s="142"/>
      <c r="AI486" s="142"/>
      <c r="AJ486" s="140"/>
      <c r="AK486" s="456"/>
      <c r="AL486" s="142"/>
      <c r="AM486" s="142"/>
      <c r="AN486" s="142"/>
      <c r="AO486" s="438"/>
      <c r="AP486" s="438"/>
      <c r="AQ486" s="438"/>
      <c r="AR486" s="438"/>
      <c r="AS486" s="438"/>
      <c r="AT486" s="438"/>
      <c r="AU486" s="438"/>
      <c r="AV486" s="438"/>
      <c r="AW486" s="438"/>
      <c r="AX486" s="438"/>
      <c r="AY486" s="438"/>
      <c r="AZ486" s="438"/>
      <c r="BA486" s="438"/>
      <c r="BB486" s="438"/>
      <c r="BC486" s="438"/>
      <c r="BD486" s="438"/>
      <c r="BE486" s="438"/>
      <c r="BF486" s="438"/>
      <c r="BG486" s="438"/>
      <c r="BH486" s="438"/>
    </row>
    <row r="487">
      <c r="A487" s="140"/>
      <c r="B487" s="456"/>
      <c r="C487" s="142"/>
      <c r="D487" s="142"/>
      <c r="E487" s="142"/>
      <c r="F487" s="140"/>
      <c r="G487" s="456"/>
      <c r="H487" s="142"/>
      <c r="I487" s="142"/>
      <c r="J487" s="142"/>
      <c r="K487" s="125"/>
      <c r="L487" s="456"/>
      <c r="M487" s="142"/>
      <c r="N487" s="142"/>
      <c r="O487" s="142"/>
      <c r="P487" s="125"/>
      <c r="Q487" s="450"/>
      <c r="R487" s="142"/>
      <c r="S487" s="142"/>
      <c r="T487" s="142"/>
      <c r="U487" s="140"/>
      <c r="V487" s="456"/>
      <c r="W487" s="142"/>
      <c r="X487" s="142"/>
      <c r="Y487" s="142"/>
      <c r="Z487" s="140"/>
      <c r="AA487" s="456"/>
      <c r="AB487" s="142"/>
      <c r="AC487" s="142"/>
      <c r="AD487" s="142"/>
      <c r="AE487" s="140"/>
      <c r="AF487" s="456"/>
      <c r="AG487" s="142"/>
      <c r="AH487" s="142"/>
      <c r="AI487" s="142"/>
      <c r="AJ487" s="140"/>
      <c r="AK487" s="456"/>
      <c r="AL487" s="142"/>
      <c r="AM487" s="142"/>
      <c r="AN487" s="142"/>
      <c r="AO487" s="438"/>
      <c r="AP487" s="438"/>
      <c r="AQ487" s="438"/>
      <c r="AR487" s="438"/>
      <c r="AS487" s="438"/>
      <c r="AT487" s="438"/>
      <c r="AU487" s="438"/>
      <c r="AV487" s="438"/>
      <c r="AW487" s="438"/>
      <c r="AX487" s="438"/>
      <c r="AY487" s="438"/>
      <c r="AZ487" s="438"/>
      <c r="BA487" s="438"/>
      <c r="BB487" s="438"/>
      <c r="BC487" s="438"/>
      <c r="BD487" s="438"/>
      <c r="BE487" s="438"/>
      <c r="BF487" s="438"/>
      <c r="BG487" s="438"/>
      <c r="BH487" s="438"/>
    </row>
    <row r="488">
      <c r="A488" s="140"/>
      <c r="B488" s="456"/>
      <c r="C488" s="142"/>
      <c r="D488" s="142"/>
      <c r="E488" s="142"/>
      <c r="F488" s="140"/>
      <c r="G488" s="456"/>
      <c r="H488" s="142"/>
      <c r="I488" s="142"/>
      <c r="J488" s="142"/>
      <c r="K488" s="125"/>
      <c r="L488" s="456"/>
      <c r="M488" s="142"/>
      <c r="N488" s="142"/>
      <c r="O488" s="142"/>
      <c r="P488" s="125"/>
      <c r="Q488" s="450"/>
      <c r="R488" s="142"/>
      <c r="S488" s="142"/>
      <c r="T488" s="142"/>
      <c r="U488" s="140"/>
      <c r="V488" s="456"/>
      <c r="W488" s="142"/>
      <c r="X488" s="142"/>
      <c r="Y488" s="142"/>
      <c r="Z488" s="140"/>
      <c r="AA488" s="456"/>
      <c r="AB488" s="142"/>
      <c r="AC488" s="142"/>
      <c r="AD488" s="142"/>
      <c r="AE488" s="140"/>
      <c r="AF488" s="456"/>
      <c r="AG488" s="142"/>
      <c r="AH488" s="142"/>
      <c r="AI488" s="142"/>
      <c r="AJ488" s="140"/>
      <c r="AK488" s="456"/>
      <c r="AL488" s="142"/>
      <c r="AM488" s="142"/>
      <c r="AN488" s="142"/>
      <c r="AO488" s="438"/>
      <c r="AP488" s="438"/>
      <c r="AQ488" s="438"/>
      <c r="AR488" s="438"/>
      <c r="AS488" s="438"/>
      <c r="AT488" s="438"/>
      <c r="AU488" s="438"/>
      <c r="AV488" s="438"/>
      <c r="AW488" s="438"/>
      <c r="AX488" s="438"/>
      <c r="AY488" s="438"/>
      <c r="AZ488" s="438"/>
      <c r="BA488" s="438"/>
      <c r="BB488" s="438"/>
      <c r="BC488" s="438"/>
      <c r="BD488" s="438"/>
      <c r="BE488" s="438"/>
      <c r="BF488" s="438"/>
      <c r="BG488" s="438"/>
      <c r="BH488" s="438"/>
    </row>
    <row r="489">
      <c r="A489" s="140"/>
      <c r="B489" s="456"/>
      <c r="C489" s="142"/>
      <c r="D489" s="142"/>
      <c r="E489" s="142"/>
      <c r="F489" s="140"/>
      <c r="G489" s="456"/>
      <c r="H489" s="142"/>
      <c r="I489" s="142"/>
      <c r="J489" s="142"/>
      <c r="K489" s="125"/>
      <c r="L489" s="456"/>
      <c r="M489" s="142"/>
      <c r="N489" s="142"/>
      <c r="O489" s="142"/>
      <c r="P489" s="125"/>
      <c r="Q489" s="450"/>
      <c r="R489" s="142"/>
      <c r="S489" s="142"/>
      <c r="T489" s="142"/>
      <c r="U489" s="140"/>
      <c r="V489" s="456"/>
      <c r="W489" s="142"/>
      <c r="X489" s="142"/>
      <c r="Y489" s="142"/>
      <c r="Z489" s="140"/>
      <c r="AA489" s="456"/>
      <c r="AB489" s="142"/>
      <c r="AC489" s="142"/>
      <c r="AD489" s="142"/>
      <c r="AE489" s="140"/>
      <c r="AF489" s="456"/>
      <c r="AG489" s="142"/>
      <c r="AH489" s="142"/>
      <c r="AI489" s="142"/>
      <c r="AJ489" s="140"/>
      <c r="AK489" s="456"/>
      <c r="AL489" s="142"/>
      <c r="AM489" s="142"/>
      <c r="AN489" s="142"/>
      <c r="AO489" s="438"/>
      <c r="AP489" s="438"/>
      <c r="AQ489" s="438"/>
      <c r="AR489" s="438"/>
      <c r="AS489" s="438"/>
      <c r="AT489" s="438"/>
      <c r="AU489" s="438"/>
      <c r="AV489" s="438"/>
      <c r="AW489" s="438"/>
      <c r="AX489" s="438"/>
      <c r="AY489" s="438"/>
      <c r="AZ489" s="438"/>
      <c r="BA489" s="438"/>
      <c r="BB489" s="438"/>
      <c r="BC489" s="438"/>
      <c r="BD489" s="438"/>
      <c r="BE489" s="438"/>
      <c r="BF489" s="438"/>
      <c r="BG489" s="438"/>
      <c r="BH489" s="438"/>
    </row>
    <row r="490">
      <c r="A490" s="140"/>
      <c r="B490" s="456"/>
      <c r="C490" s="142"/>
      <c r="D490" s="142"/>
      <c r="E490" s="142"/>
      <c r="F490" s="140"/>
      <c r="G490" s="456"/>
      <c r="H490" s="142"/>
      <c r="I490" s="142"/>
      <c r="J490" s="142"/>
      <c r="K490" s="125"/>
      <c r="L490" s="456"/>
      <c r="M490" s="142"/>
      <c r="N490" s="142"/>
      <c r="O490" s="142"/>
      <c r="P490" s="125"/>
      <c r="Q490" s="450"/>
      <c r="R490" s="142"/>
      <c r="S490" s="142"/>
      <c r="T490" s="142"/>
      <c r="U490" s="140"/>
      <c r="V490" s="456"/>
      <c r="W490" s="142"/>
      <c r="X490" s="142"/>
      <c r="Y490" s="142"/>
      <c r="Z490" s="140"/>
      <c r="AA490" s="456"/>
      <c r="AB490" s="142"/>
      <c r="AC490" s="142"/>
      <c r="AD490" s="142"/>
      <c r="AE490" s="140"/>
      <c r="AF490" s="456"/>
      <c r="AG490" s="142"/>
      <c r="AH490" s="142"/>
      <c r="AI490" s="142"/>
      <c r="AJ490" s="140"/>
      <c r="AK490" s="456"/>
      <c r="AL490" s="142"/>
      <c r="AM490" s="142"/>
      <c r="AN490" s="142"/>
      <c r="AO490" s="438"/>
      <c r="AP490" s="438"/>
      <c r="AQ490" s="438"/>
      <c r="AR490" s="438"/>
      <c r="AS490" s="438"/>
      <c r="AT490" s="438"/>
      <c r="AU490" s="438"/>
      <c r="AV490" s="438"/>
      <c r="AW490" s="438"/>
      <c r="AX490" s="438"/>
      <c r="AY490" s="438"/>
      <c r="AZ490" s="438"/>
      <c r="BA490" s="438"/>
      <c r="BB490" s="438"/>
      <c r="BC490" s="438"/>
      <c r="BD490" s="438"/>
      <c r="BE490" s="438"/>
      <c r="BF490" s="438"/>
      <c r="BG490" s="438"/>
      <c r="BH490" s="438"/>
    </row>
    <row r="491">
      <c r="A491" s="140"/>
      <c r="B491" s="456"/>
      <c r="C491" s="142"/>
      <c r="D491" s="142"/>
      <c r="E491" s="142"/>
      <c r="F491" s="140"/>
      <c r="G491" s="456"/>
      <c r="H491" s="142"/>
      <c r="I491" s="142"/>
      <c r="J491" s="142"/>
      <c r="K491" s="125"/>
      <c r="L491" s="456"/>
      <c r="M491" s="142"/>
      <c r="N491" s="142"/>
      <c r="O491" s="142"/>
      <c r="P491" s="125"/>
      <c r="Q491" s="450"/>
      <c r="R491" s="142"/>
      <c r="S491" s="142"/>
      <c r="T491" s="142"/>
      <c r="U491" s="140"/>
      <c r="V491" s="456"/>
      <c r="W491" s="142"/>
      <c r="X491" s="142"/>
      <c r="Y491" s="142"/>
      <c r="Z491" s="140"/>
      <c r="AA491" s="456"/>
      <c r="AB491" s="142"/>
      <c r="AC491" s="142"/>
      <c r="AD491" s="142"/>
      <c r="AE491" s="140"/>
      <c r="AF491" s="456"/>
      <c r="AG491" s="142"/>
      <c r="AH491" s="142"/>
      <c r="AI491" s="142"/>
      <c r="AJ491" s="140"/>
      <c r="AK491" s="456"/>
      <c r="AL491" s="142"/>
      <c r="AM491" s="142"/>
      <c r="AN491" s="142"/>
      <c r="AO491" s="438"/>
      <c r="AP491" s="438"/>
      <c r="AQ491" s="438"/>
      <c r="AR491" s="438"/>
      <c r="AS491" s="438"/>
      <c r="AT491" s="438"/>
      <c r="AU491" s="438"/>
      <c r="AV491" s="438"/>
      <c r="AW491" s="438"/>
      <c r="AX491" s="438"/>
      <c r="AY491" s="438"/>
      <c r="AZ491" s="438"/>
      <c r="BA491" s="438"/>
      <c r="BB491" s="438"/>
      <c r="BC491" s="438"/>
      <c r="BD491" s="438"/>
      <c r="BE491" s="438"/>
      <c r="BF491" s="438"/>
      <c r="BG491" s="438"/>
      <c r="BH491" s="438"/>
    </row>
    <row r="492">
      <c r="A492" s="140"/>
      <c r="B492" s="456"/>
      <c r="C492" s="142"/>
      <c r="D492" s="142"/>
      <c r="E492" s="142"/>
      <c r="F492" s="140"/>
      <c r="G492" s="456"/>
      <c r="H492" s="142"/>
      <c r="I492" s="142"/>
      <c r="J492" s="142"/>
      <c r="K492" s="125"/>
      <c r="L492" s="456"/>
      <c r="M492" s="142"/>
      <c r="N492" s="142"/>
      <c r="O492" s="142"/>
      <c r="P492" s="125"/>
      <c r="Q492" s="450"/>
      <c r="R492" s="142"/>
      <c r="S492" s="142"/>
      <c r="T492" s="142"/>
      <c r="U492" s="140"/>
      <c r="V492" s="456"/>
      <c r="W492" s="142"/>
      <c r="X492" s="142"/>
      <c r="Y492" s="142"/>
      <c r="Z492" s="140"/>
      <c r="AA492" s="456"/>
      <c r="AB492" s="142"/>
      <c r="AC492" s="142"/>
      <c r="AD492" s="142"/>
      <c r="AE492" s="140"/>
      <c r="AF492" s="456"/>
      <c r="AG492" s="142"/>
      <c r="AH492" s="142"/>
      <c r="AI492" s="142"/>
      <c r="AJ492" s="140"/>
      <c r="AK492" s="456"/>
      <c r="AL492" s="142"/>
      <c r="AM492" s="142"/>
      <c r="AN492" s="142"/>
      <c r="AO492" s="438"/>
      <c r="AP492" s="438"/>
      <c r="AQ492" s="438"/>
      <c r="AR492" s="438"/>
      <c r="AS492" s="438"/>
      <c r="AT492" s="438"/>
      <c r="AU492" s="438"/>
      <c r="AV492" s="438"/>
      <c r="AW492" s="438"/>
      <c r="AX492" s="438"/>
      <c r="AY492" s="438"/>
      <c r="AZ492" s="438"/>
      <c r="BA492" s="438"/>
      <c r="BB492" s="438"/>
      <c r="BC492" s="438"/>
      <c r="BD492" s="438"/>
      <c r="BE492" s="438"/>
      <c r="BF492" s="438"/>
      <c r="BG492" s="438"/>
      <c r="BH492" s="438"/>
    </row>
    <row r="493">
      <c r="A493" s="140"/>
      <c r="B493" s="456"/>
      <c r="C493" s="142"/>
      <c r="D493" s="142"/>
      <c r="E493" s="142"/>
      <c r="F493" s="140"/>
      <c r="G493" s="456"/>
      <c r="H493" s="142"/>
      <c r="I493" s="142"/>
      <c r="J493" s="142"/>
      <c r="K493" s="125"/>
      <c r="L493" s="456"/>
      <c r="M493" s="142"/>
      <c r="N493" s="142"/>
      <c r="O493" s="142"/>
      <c r="P493" s="125"/>
      <c r="Q493" s="450"/>
      <c r="R493" s="142"/>
      <c r="S493" s="142"/>
      <c r="T493" s="142"/>
      <c r="U493" s="140"/>
      <c r="V493" s="456"/>
      <c r="W493" s="142"/>
      <c r="X493" s="142"/>
      <c r="Y493" s="142"/>
      <c r="Z493" s="140"/>
      <c r="AA493" s="456"/>
      <c r="AB493" s="142"/>
      <c r="AC493" s="142"/>
      <c r="AD493" s="142"/>
      <c r="AE493" s="140"/>
      <c r="AF493" s="456"/>
      <c r="AG493" s="142"/>
      <c r="AH493" s="142"/>
      <c r="AI493" s="142"/>
      <c r="AJ493" s="140"/>
      <c r="AK493" s="456"/>
      <c r="AL493" s="142"/>
      <c r="AM493" s="142"/>
      <c r="AN493" s="142"/>
      <c r="AO493" s="438"/>
      <c r="AP493" s="438"/>
      <c r="AQ493" s="438"/>
      <c r="AR493" s="438"/>
      <c r="AS493" s="438"/>
      <c r="AT493" s="438"/>
      <c r="AU493" s="438"/>
      <c r="AV493" s="438"/>
      <c r="AW493" s="438"/>
      <c r="AX493" s="438"/>
      <c r="AY493" s="438"/>
      <c r="AZ493" s="438"/>
      <c r="BA493" s="438"/>
      <c r="BB493" s="438"/>
      <c r="BC493" s="438"/>
      <c r="BD493" s="438"/>
      <c r="BE493" s="438"/>
      <c r="BF493" s="438"/>
      <c r="BG493" s="438"/>
      <c r="BH493" s="438"/>
    </row>
    <row r="494">
      <c r="A494" s="140"/>
      <c r="B494" s="456"/>
      <c r="C494" s="142"/>
      <c r="D494" s="142"/>
      <c r="E494" s="142"/>
      <c r="F494" s="140"/>
      <c r="G494" s="456"/>
      <c r="H494" s="142"/>
      <c r="I494" s="142"/>
      <c r="J494" s="142"/>
      <c r="K494" s="125"/>
      <c r="L494" s="456"/>
      <c r="M494" s="142"/>
      <c r="N494" s="142"/>
      <c r="O494" s="142"/>
      <c r="P494" s="125"/>
      <c r="Q494" s="450"/>
      <c r="R494" s="142"/>
      <c r="S494" s="142"/>
      <c r="T494" s="142"/>
      <c r="U494" s="140"/>
      <c r="V494" s="456"/>
      <c r="W494" s="142"/>
      <c r="X494" s="142"/>
      <c r="Y494" s="142"/>
      <c r="Z494" s="140"/>
      <c r="AA494" s="456"/>
      <c r="AB494" s="142"/>
      <c r="AC494" s="142"/>
      <c r="AD494" s="142"/>
      <c r="AE494" s="140"/>
      <c r="AF494" s="456"/>
      <c r="AG494" s="142"/>
      <c r="AH494" s="142"/>
      <c r="AI494" s="142"/>
      <c r="AJ494" s="140"/>
      <c r="AK494" s="456"/>
      <c r="AL494" s="142"/>
      <c r="AM494" s="142"/>
      <c r="AN494" s="142"/>
      <c r="AO494" s="438"/>
      <c r="AP494" s="438"/>
      <c r="AQ494" s="438"/>
      <c r="AR494" s="438"/>
      <c r="AS494" s="438"/>
      <c r="AT494" s="438"/>
      <c r="AU494" s="438"/>
      <c r="AV494" s="438"/>
      <c r="AW494" s="438"/>
      <c r="AX494" s="438"/>
      <c r="AY494" s="438"/>
      <c r="AZ494" s="438"/>
      <c r="BA494" s="438"/>
      <c r="BB494" s="438"/>
      <c r="BC494" s="438"/>
      <c r="BD494" s="438"/>
      <c r="BE494" s="438"/>
      <c r="BF494" s="438"/>
      <c r="BG494" s="438"/>
      <c r="BH494" s="438"/>
    </row>
    <row r="495">
      <c r="A495" s="140"/>
      <c r="B495" s="456"/>
      <c r="C495" s="142"/>
      <c r="D495" s="142"/>
      <c r="E495" s="142"/>
      <c r="F495" s="140"/>
      <c r="G495" s="456"/>
      <c r="H495" s="142"/>
      <c r="I495" s="142"/>
      <c r="J495" s="142"/>
      <c r="K495" s="125"/>
      <c r="L495" s="456"/>
      <c r="M495" s="142"/>
      <c r="N495" s="142"/>
      <c r="O495" s="142"/>
      <c r="P495" s="125"/>
      <c r="Q495" s="450"/>
      <c r="R495" s="142"/>
      <c r="S495" s="142"/>
      <c r="T495" s="142"/>
      <c r="U495" s="140"/>
      <c r="V495" s="456"/>
      <c r="W495" s="142"/>
      <c r="X495" s="142"/>
      <c r="Y495" s="142"/>
      <c r="Z495" s="140"/>
      <c r="AA495" s="456"/>
      <c r="AB495" s="142"/>
      <c r="AC495" s="142"/>
      <c r="AD495" s="142"/>
      <c r="AE495" s="140"/>
      <c r="AF495" s="456"/>
      <c r="AG495" s="142"/>
      <c r="AH495" s="142"/>
      <c r="AI495" s="142"/>
      <c r="AJ495" s="140"/>
      <c r="AK495" s="456"/>
      <c r="AL495" s="142"/>
      <c r="AM495" s="142"/>
      <c r="AN495" s="142"/>
      <c r="AO495" s="438"/>
      <c r="AP495" s="438"/>
      <c r="AQ495" s="438"/>
      <c r="AR495" s="438"/>
      <c r="AS495" s="438"/>
      <c r="AT495" s="438"/>
      <c r="AU495" s="438"/>
      <c r="AV495" s="438"/>
      <c r="AW495" s="438"/>
      <c r="AX495" s="438"/>
      <c r="AY495" s="438"/>
      <c r="AZ495" s="438"/>
      <c r="BA495" s="438"/>
      <c r="BB495" s="438"/>
      <c r="BC495" s="438"/>
      <c r="BD495" s="438"/>
      <c r="BE495" s="438"/>
      <c r="BF495" s="438"/>
      <c r="BG495" s="438"/>
      <c r="BH495" s="438"/>
    </row>
    <row r="496">
      <c r="A496" s="140"/>
      <c r="B496" s="456"/>
      <c r="C496" s="142"/>
      <c r="D496" s="142"/>
      <c r="E496" s="142"/>
      <c r="F496" s="140"/>
      <c r="G496" s="456"/>
      <c r="H496" s="142"/>
      <c r="I496" s="142"/>
      <c r="J496" s="142"/>
      <c r="K496" s="125"/>
      <c r="L496" s="456"/>
      <c r="M496" s="142"/>
      <c r="N496" s="142"/>
      <c r="O496" s="142"/>
      <c r="P496" s="125"/>
      <c r="Q496" s="450"/>
      <c r="R496" s="142"/>
      <c r="S496" s="142"/>
      <c r="T496" s="142"/>
      <c r="U496" s="140"/>
      <c r="V496" s="456"/>
      <c r="W496" s="142"/>
      <c r="X496" s="142"/>
      <c r="Y496" s="142"/>
      <c r="Z496" s="140"/>
      <c r="AA496" s="456"/>
      <c r="AB496" s="142"/>
      <c r="AC496" s="142"/>
      <c r="AD496" s="142"/>
      <c r="AE496" s="140"/>
      <c r="AF496" s="456"/>
      <c r="AG496" s="142"/>
      <c r="AH496" s="142"/>
      <c r="AI496" s="142"/>
      <c r="AJ496" s="140"/>
      <c r="AK496" s="456"/>
      <c r="AL496" s="142"/>
      <c r="AM496" s="142"/>
      <c r="AN496" s="142"/>
      <c r="AO496" s="438"/>
      <c r="AP496" s="438"/>
      <c r="AQ496" s="438"/>
      <c r="AR496" s="438"/>
      <c r="AS496" s="438"/>
      <c r="AT496" s="438"/>
      <c r="AU496" s="438"/>
      <c r="AV496" s="438"/>
      <c r="AW496" s="438"/>
      <c r="AX496" s="438"/>
      <c r="AY496" s="438"/>
      <c r="AZ496" s="438"/>
      <c r="BA496" s="438"/>
      <c r="BB496" s="438"/>
      <c r="BC496" s="438"/>
      <c r="BD496" s="438"/>
      <c r="BE496" s="438"/>
      <c r="BF496" s="438"/>
      <c r="BG496" s="438"/>
      <c r="BH496" s="438"/>
    </row>
    <row r="497">
      <c r="A497" s="140"/>
      <c r="B497" s="456"/>
      <c r="C497" s="142"/>
      <c r="D497" s="142"/>
      <c r="E497" s="142"/>
      <c r="F497" s="140"/>
      <c r="G497" s="456"/>
      <c r="H497" s="142"/>
      <c r="I497" s="142"/>
      <c r="J497" s="142"/>
      <c r="K497" s="125"/>
      <c r="L497" s="456"/>
      <c r="M497" s="142"/>
      <c r="N497" s="142"/>
      <c r="O497" s="142"/>
      <c r="P497" s="125"/>
      <c r="Q497" s="450"/>
      <c r="R497" s="142"/>
      <c r="S497" s="142"/>
      <c r="T497" s="142"/>
      <c r="U497" s="140"/>
      <c r="V497" s="456"/>
      <c r="W497" s="142"/>
      <c r="X497" s="142"/>
      <c r="Y497" s="142"/>
      <c r="Z497" s="140"/>
      <c r="AA497" s="456"/>
      <c r="AB497" s="142"/>
      <c r="AC497" s="142"/>
      <c r="AD497" s="142"/>
      <c r="AE497" s="140"/>
      <c r="AF497" s="456"/>
      <c r="AG497" s="142"/>
      <c r="AH497" s="142"/>
      <c r="AI497" s="142"/>
      <c r="AJ497" s="140"/>
      <c r="AK497" s="456"/>
      <c r="AL497" s="142"/>
      <c r="AM497" s="142"/>
      <c r="AN497" s="142"/>
      <c r="AO497" s="438"/>
      <c r="AP497" s="438"/>
      <c r="AQ497" s="438"/>
      <c r="AR497" s="438"/>
      <c r="AS497" s="438"/>
      <c r="AT497" s="438"/>
      <c r="AU497" s="438"/>
      <c r="AV497" s="438"/>
      <c r="AW497" s="438"/>
      <c r="AX497" s="438"/>
      <c r="AY497" s="438"/>
      <c r="AZ497" s="438"/>
      <c r="BA497" s="438"/>
      <c r="BB497" s="438"/>
      <c r="BC497" s="438"/>
      <c r="BD497" s="438"/>
      <c r="BE497" s="438"/>
      <c r="BF497" s="438"/>
      <c r="BG497" s="438"/>
      <c r="BH497" s="438"/>
    </row>
    <row r="498">
      <c r="A498" s="140"/>
      <c r="B498" s="456"/>
      <c r="C498" s="142"/>
      <c r="D498" s="142"/>
      <c r="E498" s="142"/>
      <c r="F498" s="140"/>
      <c r="G498" s="456"/>
      <c r="H498" s="142"/>
      <c r="I498" s="142"/>
      <c r="J498" s="142"/>
      <c r="K498" s="125"/>
      <c r="L498" s="456"/>
      <c r="M498" s="142"/>
      <c r="N498" s="142"/>
      <c r="O498" s="142"/>
      <c r="P498" s="125"/>
      <c r="Q498" s="450"/>
      <c r="R498" s="142"/>
      <c r="S498" s="142"/>
      <c r="T498" s="142"/>
      <c r="U498" s="140"/>
      <c r="V498" s="456"/>
      <c r="W498" s="142"/>
      <c r="X498" s="142"/>
      <c r="Y498" s="142"/>
      <c r="Z498" s="140"/>
      <c r="AA498" s="456"/>
      <c r="AB498" s="142"/>
      <c r="AC498" s="142"/>
      <c r="AD498" s="142"/>
      <c r="AE498" s="140"/>
      <c r="AF498" s="456"/>
      <c r="AG498" s="142"/>
      <c r="AH498" s="142"/>
      <c r="AI498" s="142"/>
      <c r="AJ498" s="140"/>
      <c r="AK498" s="456"/>
      <c r="AL498" s="142"/>
      <c r="AM498" s="142"/>
      <c r="AN498" s="142"/>
      <c r="AO498" s="438"/>
      <c r="AP498" s="438"/>
      <c r="AQ498" s="438"/>
      <c r="AR498" s="438"/>
      <c r="AS498" s="438"/>
      <c r="AT498" s="438"/>
      <c r="AU498" s="438"/>
      <c r="AV498" s="438"/>
      <c r="AW498" s="438"/>
      <c r="AX498" s="438"/>
      <c r="AY498" s="438"/>
      <c r="AZ498" s="438"/>
      <c r="BA498" s="438"/>
      <c r="BB498" s="438"/>
      <c r="BC498" s="438"/>
      <c r="BD498" s="438"/>
      <c r="BE498" s="438"/>
      <c r="BF498" s="438"/>
      <c r="BG498" s="438"/>
      <c r="BH498" s="438"/>
    </row>
    <row r="499">
      <c r="A499" s="140"/>
      <c r="B499" s="456"/>
      <c r="C499" s="142"/>
      <c r="D499" s="142"/>
      <c r="E499" s="142"/>
      <c r="F499" s="140"/>
      <c r="G499" s="456"/>
      <c r="H499" s="142"/>
      <c r="I499" s="142"/>
      <c r="J499" s="142"/>
      <c r="K499" s="125"/>
      <c r="L499" s="456"/>
      <c r="M499" s="142"/>
      <c r="N499" s="142"/>
      <c r="O499" s="142"/>
      <c r="P499" s="125"/>
      <c r="Q499" s="450"/>
      <c r="R499" s="142"/>
      <c r="S499" s="142"/>
      <c r="T499" s="142"/>
      <c r="U499" s="140"/>
      <c r="V499" s="456"/>
      <c r="W499" s="142"/>
      <c r="X499" s="142"/>
      <c r="Y499" s="142"/>
      <c r="Z499" s="140"/>
      <c r="AA499" s="456"/>
      <c r="AB499" s="142"/>
      <c r="AC499" s="142"/>
      <c r="AD499" s="142"/>
      <c r="AE499" s="140"/>
      <c r="AF499" s="456"/>
      <c r="AG499" s="142"/>
      <c r="AH499" s="142"/>
      <c r="AI499" s="142"/>
      <c r="AJ499" s="140"/>
      <c r="AK499" s="456"/>
      <c r="AL499" s="142"/>
      <c r="AM499" s="142"/>
      <c r="AN499" s="142"/>
      <c r="AO499" s="438"/>
      <c r="AP499" s="438"/>
      <c r="AQ499" s="438"/>
      <c r="AR499" s="438"/>
      <c r="AS499" s="438"/>
      <c r="AT499" s="438"/>
      <c r="AU499" s="438"/>
      <c r="AV499" s="438"/>
      <c r="AW499" s="438"/>
      <c r="AX499" s="438"/>
      <c r="AY499" s="438"/>
      <c r="AZ499" s="438"/>
      <c r="BA499" s="438"/>
      <c r="BB499" s="438"/>
      <c r="BC499" s="438"/>
      <c r="BD499" s="438"/>
      <c r="BE499" s="438"/>
      <c r="BF499" s="438"/>
      <c r="BG499" s="438"/>
      <c r="BH499" s="438"/>
    </row>
    <row r="500">
      <c r="A500" s="140"/>
      <c r="B500" s="456"/>
      <c r="C500" s="142"/>
      <c r="D500" s="142"/>
      <c r="E500" s="142"/>
      <c r="F500" s="140"/>
      <c r="G500" s="456"/>
      <c r="H500" s="142"/>
      <c r="I500" s="142"/>
      <c r="J500" s="142"/>
      <c r="K500" s="125"/>
      <c r="L500" s="456"/>
      <c r="M500" s="142"/>
      <c r="N500" s="142"/>
      <c r="O500" s="142"/>
      <c r="P500" s="125"/>
      <c r="Q500" s="450"/>
      <c r="R500" s="142"/>
      <c r="S500" s="142"/>
      <c r="T500" s="142"/>
      <c r="U500" s="140"/>
      <c r="V500" s="456"/>
      <c r="W500" s="142"/>
      <c r="X500" s="142"/>
      <c r="Y500" s="142"/>
      <c r="Z500" s="140"/>
      <c r="AA500" s="456"/>
      <c r="AB500" s="142"/>
      <c r="AC500" s="142"/>
      <c r="AD500" s="142"/>
      <c r="AE500" s="140"/>
      <c r="AF500" s="456"/>
      <c r="AG500" s="142"/>
      <c r="AH500" s="142"/>
      <c r="AI500" s="142"/>
      <c r="AJ500" s="140"/>
      <c r="AK500" s="456"/>
      <c r="AL500" s="142"/>
      <c r="AM500" s="142"/>
      <c r="AN500" s="142"/>
      <c r="AO500" s="438"/>
      <c r="AP500" s="438"/>
      <c r="AQ500" s="438"/>
      <c r="AR500" s="438"/>
      <c r="AS500" s="438"/>
      <c r="AT500" s="438"/>
      <c r="AU500" s="438"/>
      <c r="AV500" s="438"/>
      <c r="AW500" s="438"/>
      <c r="AX500" s="438"/>
      <c r="AY500" s="438"/>
      <c r="AZ500" s="438"/>
      <c r="BA500" s="438"/>
      <c r="BB500" s="438"/>
      <c r="BC500" s="438"/>
      <c r="BD500" s="438"/>
      <c r="BE500" s="438"/>
      <c r="BF500" s="438"/>
      <c r="BG500" s="438"/>
      <c r="BH500" s="438"/>
    </row>
    <row r="501">
      <c r="A501" s="140"/>
      <c r="B501" s="456"/>
      <c r="C501" s="142"/>
      <c r="D501" s="142"/>
      <c r="E501" s="142"/>
      <c r="F501" s="140"/>
      <c r="G501" s="456"/>
      <c r="H501" s="142"/>
      <c r="I501" s="142"/>
      <c r="J501" s="142"/>
      <c r="K501" s="125"/>
      <c r="L501" s="456"/>
      <c r="M501" s="142"/>
      <c r="N501" s="142"/>
      <c r="O501" s="142"/>
      <c r="P501" s="125"/>
      <c r="Q501" s="450"/>
      <c r="R501" s="142"/>
      <c r="S501" s="142"/>
      <c r="T501" s="142"/>
      <c r="U501" s="140"/>
      <c r="V501" s="456"/>
      <c r="W501" s="142"/>
      <c r="X501" s="142"/>
      <c r="Y501" s="142"/>
      <c r="Z501" s="140"/>
      <c r="AA501" s="456"/>
      <c r="AB501" s="142"/>
      <c r="AC501" s="142"/>
      <c r="AD501" s="142"/>
      <c r="AE501" s="140"/>
      <c r="AF501" s="456"/>
      <c r="AG501" s="142"/>
      <c r="AH501" s="142"/>
      <c r="AI501" s="142"/>
      <c r="AJ501" s="140"/>
      <c r="AK501" s="456"/>
      <c r="AL501" s="142"/>
      <c r="AM501" s="142"/>
      <c r="AN501" s="142"/>
      <c r="AO501" s="438"/>
      <c r="AP501" s="438"/>
      <c r="AQ501" s="438"/>
      <c r="AR501" s="438"/>
      <c r="AS501" s="438"/>
      <c r="AT501" s="438"/>
      <c r="AU501" s="438"/>
      <c r="AV501" s="438"/>
      <c r="AW501" s="438"/>
      <c r="AX501" s="438"/>
      <c r="AY501" s="438"/>
      <c r="AZ501" s="438"/>
      <c r="BA501" s="438"/>
      <c r="BB501" s="438"/>
      <c r="BC501" s="438"/>
      <c r="BD501" s="438"/>
      <c r="BE501" s="438"/>
      <c r="BF501" s="438"/>
      <c r="BG501" s="438"/>
      <c r="BH501" s="438"/>
    </row>
    <row r="502">
      <c r="A502" s="140"/>
      <c r="B502" s="456"/>
      <c r="C502" s="142"/>
      <c r="D502" s="142"/>
      <c r="E502" s="142"/>
      <c r="F502" s="140"/>
      <c r="G502" s="456"/>
      <c r="H502" s="142"/>
      <c r="I502" s="142"/>
      <c r="J502" s="142"/>
      <c r="K502" s="125"/>
      <c r="L502" s="456"/>
      <c r="M502" s="142"/>
      <c r="N502" s="142"/>
      <c r="O502" s="142"/>
      <c r="P502" s="125"/>
      <c r="Q502" s="450"/>
      <c r="R502" s="142"/>
      <c r="S502" s="142"/>
      <c r="T502" s="142"/>
      <c r="U502" s="140"/>
      <c r="V502" s="456"/>
      <c r="W502" s="142"/>
      <c r="X502" s="142"/>
      <c r="Y502" s="142"/>
      <c r="Z502" s="140"/>
      <c r="AA502" s="456"/>
      <c r="AB502" s="142"/>
      <c r="AC502" s="142"/>
      <c r="AD502" s="142"/>
      <c r="AE502" s="140"/>
      <c r="AF502" s="456"/>
      <c r="AG502" s="142"/>
      <c r="AH502" s="142"/>
      <c r="AI502" s="142"/>
      <c r="AJ502" s="140"/>
      <c r="AK502" s="456"/>
      <c r="AL502" s="142"/>
      <c r="AM502" s="142"/>
      <c r="AN502" s="142"/>
      <c r="AO502" s="438"/>
      <c r="AP502" s="438"/>
      <c r="AQ502" s="438"/>
      <c r="AR502" s="438"/>
      <c r="AS502" s="438"/>
      <c r="AT502" s="438"/>
      <c r="AU502" s="438"/>
      <c r="AV502" s="438"/>
      <c r="AW502" s="438"/>
      <c r="AX502" s="438"/>
      <c r="AY502" s="438"/>
      <c r="AZ502" s="438"/>
      <c r="BA502" s="438"/>
      <c r="BB502" s="438"/>
      <c r="BC502" s="438"/>
      <c r="BD502" s="438"/>
      <c r="BE502" s="438"/>
      <c r="BF502" s="438"/>
      <c r="BG502" s="438"/>
      <c r="BH502" s="438"/>
    </row>
    <row r="503">
      <c r="A503" s="140"/>
      <c r="B503" s="456"/>
      <c r="C503" s="142"/>
      <c r="D503" s="142"/>
      <c r="E503" s="142"/>
      <c r="F503" s="140"/>
      <c r="G503" s="456"/>
      <c r="H503" s="142"/>
      <c r="I503" s="142"/>
      <c r="J503" s="142"/>
      <c r="K503" s="125"/>
      <c r="L503" s="456"/>
      <c r="M503" s="142"/>
      <c r="N503" s="142"/>
      <c r="O503" s="142"/>
      <c r="P503" s="125"/>
      <c r="Q503" s="450"/>
      <c r="R503" s="142"/>
      <c r="S503" s="142"/>
      <c r="T503" s="142"/>
      <c r="U503" s="140"/>
      <c r="V503" s="456"/>
      <c r="W503" s="142"/>
      <c r="X503" s="142"/>
      <c r="Y503" s="142"/>
      <c r="Z503" s="140"/>
      <c r="AA503" s="456"/>
      <c r="AB503" s="142"/>
      <c r="AC503" s="142"/>
      <c r="AD503" s="142"/>
      <c r="AE503" s="140"/>
      <c r="AF503" s="456"/>
      <c r="AG503" s="142"/>
      <c r="AH503" s="142"/>
      <c r="AI503" s="142"/>
      <c r="AJ503" s="140"/>
      <c r="AK503" s="456"/>
      <c r="AL503" s="142"/>
      <c r="AM503" s="142"/>
      <c r="AN503" s="142"/>
      <c r="AO503" s="438"/>
      <c r="AP503" s="438"/>
      <c r="AQ503" s="438"/>
      <c r="AR503" s="438"/>
      <c r="AS503" s="438"/>
      <c r="AT503" s="438"/>
      <c r="AU503" s="438"/>
      <c r="AV503" s="438"/>
      <c r="AW503" s="438"/>
      <c r="AX503" s="438"/>
      <c r="AY503" s="438"/>
      <c r="AZ503" s="438"/>
      <c r="BA503" s="438"/>
      <c r="BB503" s="438"/>
      <c r="BC503" s="438"/>
      <c r="BD503" s="438"/>
      <c r="BE503" s="438"/>
      <c r="BF503" s="438"/>
      <c r="BG503" s="438"/>
      <c r="BH503" s="438"/>
    </row>
    <row r="504">
      <c r="A504" s="140"/>
      <c r="B504" s="456"/>
      <c r="C504" s="142"/>
      <c r="D504" s="142"/>
      <c r="E504" s="142"/>
      <c r="F504" s="140"/>
      <c r="G504" s="456"/>
      <c r="H504" s="142"/>
      <c r="I504" s="142"/>
      <c r="J504" s="142"/>
      <c r="K504" s="125"/>
      <c r="L504" s="456"/>
      <c r="M504" s="142"/>
      <c r="N504" s="142"/>
      <c r="O504" s="142"/>
      <c r="P504" s="125"/>
      <c r="Q504" s="450"/>
      <c r="R504" s="142"/>
      <c r="S504" s="142"/>
      <c r="T504" s="142"/>
      <c r="U504" s="140"/>
      <c r="V504" s="456"/>
      <c r="W504" s="142"/>
      <c r="X504" s="142"/>
      <c r="Y504" s="142"/>
      <c r="Z504" s="140"/>
      <c r="AA504" s="456"/>
      <c r="AB504" s="142"/>
      <c r="AC504" s="142"/>
      <c r="AD504" s="142"/>
      <c r="AE504" s="140"/>
      <c r="AF504" s="456"/>
      <c r="AG504" s="142"/>
      <c r="AH504" s="142"/>
      <c r="AI504" s="142"/>
      <c r="AJ504" s="140"/>
      <c r="AK504" s="456"/>
      <c r="AL504" s="142"/>
      <c r="AM504" s="142"/>
      <c r="AN504" s="142"/>
      <c r="AO504" s="438"/>
      <c r="AP504" s="438"/>
      <c r="AQ504" s="438"/>
      <c r="AR504" s="438"/>
      <c r="AS504" s="438"/>
      <c r="AT504" s="438"/>
      <c r="AU504" s="438"/>
      <c r="AV504" s="438"/>
      <c r="AW504" s="438"/>
      <c r="AX504" s="438"/>
      <c r="AY504" s="438"/>
      <c r="AZ504" s="438"/>
      <c r="BA504" s="438"/>
      <c r="BB504" s="438"/>
      <c r="BC504" s="438"/>
      <c r="BD504" s="438"/>
      <c r="BE504" s="438"/>
      <c r="BF504" s="438"/>
      <c r="BG504" s="438"/>
      <c r="BH504" s="438"/>
    </row>
    <row r="505">
      <c r="A505" s="140"/>
      <c r="B505" s="456"/>
      <c r="C505" s="142"/>
      <c r="D505" s="142"/>
      <c r="E505" s="142"/>
      <c r="F505" s="140"/>
      <c r="G505" s="456"/>
      <c r="H505" s="142"/>
      <c r="I505" s="142"/>
      <c r="J505" s="142"/>
      <c r="K505" s="125"/>
      <c r="L505" s="456"/>
      <c r="M505" s="142"/>
      <c r="N505" s="142"/>
      <c r="O505" s="142"/>
      <c r="P505" s="125"/>
      <c r="Q505" s="450"/>
      <c r="R505" s="142"/>
      <c r="S505" s="142"/>
      <c r="T505" s="142"/>
      <c r="U505" s="140"/>
      <c r="V505" s="456"/>
      <c r="W505" s="142"/>
      <c r="X505" s="142"/>
      <c r="Y505" s="142"/>
      <c r="Z505" s="140"/>
      <c r="AA505" s="456"/>
      <c r="AB505" s="142"/>
      <c r="AC505" s="142"/>
      <c r="AD505" s="142"/>
      <c r="AE505" s="140"/>
      <c r="AF505" s="456"/>
      <c r="AG505" s="142"/>
      <c r="AH505" s="142"/>
      <c r="AI505" s="142"/>
      <c r="AJ505" s="140"/>
      <c r="AK505" s="456"/>
      <c r="AL505" s="142"/>
      <c r="AM505" s="142"/>
      <c r="AN505" s="142"/>
      <c r="AO505" s="438"/>
      <c r="AP505" s="438"/>
      <c r="AQ505" s="438"/>
      <c r="AR505" s="438"/>
      <c r="AS505" s="438"/>
      <c r="AT505" s="438"/>
      <c r="AU505" s="438"/>
      <c r="AV505" s="438"/>
      <c r="AW505" s="438"/>
      <c r="AX505" s="438"/>
      <c r="AY505" s="438"/>
      <c r="AZ505" s="438"/>
      <c r="BA505" s="438"/>
      <c r="BB505" s="438"/>
      <c r="BC505" s="438"/>
      <c r="BD505" s="438"/>
      <c r="BE505" s="438"/>
      <c r="BF505" s="438"/>
      <c r="BG505" s="438"/>
      <c r="BH505" s="438"/>
    </row>
    <row r="506">
      <c r="A506" s="140"/>
      <c r="B506" s="456"/>
      <c r="C506" s="142"/>
      <c r="D506" s="142"/>
      <c r="E506" s="142"/>
      <c r="F506" s="140"/>
      <c r="G506" s="456"/>
      <c r="H506" s="142"/>
      <c r="I506" s="142"/>
      <c r="J506" s="142"/>
      <c r="K506" s="125"/>
      <c r="L506" s="456"/>
      <c r="M506" s="142"/>
      <c r="N506" s="142"/>
      <c r="O506" s="142"/>
      <c r="P506" s="125"/>
      <c r="Q506" s="450"/>
      <c r="R506" s="142"/>
      <c r="S506" s="142"/>
      <c r="T506" s="142"/>
      <c r="U506" s="140"/>
      <c r="V506" s="456"/>
      <c r="W506" s="142"/>
      <c r="X506" s="142"/>
      <c r="Y506" s="142"/>
      <c r="Z506" s="140"/>
      <c r="AA506" s="456"/>
      <c r="AB506" s="142"/>
      <c r="AC506" s="142"/>
      <c r="AD506" s="142"/>
      <c r="AE506" s="140"/>
      <c r="AF506" s="456"/>
      <c r="AG506" s="142"/>
      <c r="AH506" s="142"/>
      <c r="AI506" s="142"/>
      <c r="AJ506" s="140"/>
      <c r="AK506" s="456"/>
      <c r="AL506" s="142"/>
      <c r="AM506" s="142"/>
      <c r="AN506" s="142"/>
      <c r="AO506" s="438"/>
      <c r="AP506" s="438"/>
      <c r="AQ506" s="438"/>
      <c r="AR506" s="438"/>
      <c r="AS506" s="438"/>
      <c r="AT506" s="438"/>
      <c r="AU506" s="438"/>
      <c r="AV506" s="438"/>
      <c r="AW506" s="438"/>
      <c r="AX506" s="438"/>
      <c r="AY506" s="438"/>
      <c r="AZ506" s="438"/>
      <c r="BA506" s="438"/>
      <c r="BB506" s="438"/>
      <c r="BC506" s="438"/>
      <c r="BD506" s="438"/>
      <c r="BE506" s="438"/>
      <c r="BF506" s="438"/>
      <c r="BG506" s="438"/>
      <c r="BH506" s="438"/>
    </row>
    <row r="507">
      <c r="A507" s="140"/>
      <c r="B507" s="456"/>
      <c r="C507" s="142"/>
      <c r="D507" s="142"/>
      <c r="E507" s="142"/>
      <c r="F507" s="140"/>
      <c r="G507" s="456"/>
      <c r="H507" s="142"/>
      <c r="I507" s="142"/>
      <c r="J507" s="142"/>
      <c r="K507" s="125"/>
      <c r="L507" s="456"/>
      <c r="M507" s="142"/>
      <c r="N507" s="142"/>
      <c r="O507" s="142"/>
      <c r="P507" s="125"/>
      <c r="Q507" s="450"/>
      <c r="R507" s="142"/>
      <c r="S507" s="142"/>
      <c r="T507" s="142"/>
      <c r="U507" s="140"/>
      <c r="V507" s="456"/>
      <c r="W507" s="142"/>
      <c r="X507" s="142"/>
      <c r="Y507" s="142"/>
      <c r="Z507" s="140"/>
      <c r="AA507" s="456"/>
      <c r="AB507" s="142"/>
      <c r="AC507" s="142"/>
      <c r="AD507" s="142"/>
      <c r="AE507" s="140"/>
      <c r="AF507" s="456"/>
      <c r="AG507" s="142"/>
      <c r="AH507" s="142"/>
      <c r="AI507" s="142"/>
      <c r="AJ507" s="140"/>
      <c r="AK507" s="456"/>
      <c r="AL507" s="142"/>
      <c r="AM507" s="142"/>
      <c r="AN507" s="142"/>
      <c r="AO507" s="438"/>
      <c r="AP507" s="438"/>
      <c r="AQ507" s="438"/>
      <c r="AR507" s="438"/>
      <c r="AS507" s="438"/>
      <c r="AT507" s="438"/>
      <c r="AU507" s="438"/>
      <c r="AV507" s="438"/>
      <c r="AW507" s="438"/>
      <c r="AX507" s="438"/>
      <c r="AY507" s="438"/>
      <c r="AZ507" s="438"/>
      <c r="BA507" s="438"/>
      <c r="BB507" s="438"/>
      <c r="BC507" s="438"/>
      <c r="BD507" s="438"/>
      <c r="BE507" s="438"/>
      <c r="BF507" s="438"/>
      <c r="BG507" s="438"/>
      <c r="BH507" s="438"/>
    </row>
    <row r="508">
      <c r="A508" s="140"/>
      <c r="B508" s="456"/>
      <c r="C508" s="142"/>
      <c r="D508" s="142"/>
      <c r="E508" s="142"/>
      <c r="F508" s="140"/>
      <c r="G508" s="456"/>
      <c r="H508" s="142"/>
      <c r="I508" s="142"/>
      <c r="J508" s="142"/>
      <c r="K508" s="125"/>
      <c r="L508" s="456"/>
      <c r="M508" s="142"/>
      <c r="N508" s="142"/>
      <c r="O508" s="142"/>
      <c r="P508" s="125"/>
      <c r="Q508" s="450"/>
      <c r="R508" s="142"/>
      <c r="S508" s="142"/>
      <c r="T508" s="142"/>
      <c r="U508" s="140"/>
      <c r="V508" s="456"/>
      <c r="W508" s="142"/>
      <c r="X508" s="142"/>
      <c r="Y508" s="142"/>
      <c r="Z508" s="140"/>
      <c r="AA508" s="456"/>
      <c r="AB508" s="142"/>
      <c r="AC508" s="142"/>
      <c r="AD508" s="142"/>
      <c r="AE508" s="140"/>
      <c r="AF508" s="456"/>
      <c r="AG508" s="142"/>
      <c r="AH508" s="142"/>
      <c r="AI508" s="142"/>
      <c r="AJ508" s="140"/>
      <c r="AK508" s="456"/>
      <c r="AL508" s="142"/>
      <c r="AM508" s="142"/>
      <c r="AN508" s="142"/>
      <c r="AO508" s="438"/>
      <c r="AP508" s="438"/>
      <c r="AQ508" s="438"/>
      <c r="AR508" s="438"/>
      <c r="AS508" s="438"/>
      <c r="AT508" s="438"/>
      <c r="AU508" s="438"/>
      <c r="AV508" s="438"/>
      <c r="AW508" s="438"/>
      <c r="AX508" s="438"/>
      <c r="AY508" s="438"/>
      <c r="AZ508" s="438"/>
      <c r="BA508" s="438"/>
      <c r="BB508" s="438"/>
      <c r="BC508" s="438"/>
      <c r="BD508" s="438"/>
      <c r="BE508" s="438"/>
      <c r="BF508" s="438"/>
      <c r="BG508" s="438"/>
      <c r="BH508" s="438"/>
    </row>
    <row r="509">
      <c r="A509" s="140"/>
      <c r="B509" s="456"/>
      <c r="C509" s="142"/>
      <c r="D509" s="142"/>
      <c r="E509" s="142"/>
      <c r="F509" s="140"/>
      <c r="G509" s="456"/>
      <c r="H509" s="142"/>
      <c r="I509" s="142"/>
      <c r="J509" s="142"/>
      <c r="K509" s="125"/>
      <c r="L509" s="456"/>
      <c r="M509" s="142"/>
      <c r="N509" s="142"/>
      <c r="O509" s="142"/>
      <c r="P509" s="125"/>
      <c r="Q509" s="450"/>
      <c r="R509" s="142"/>
      <c r="S509" s="142"/>
      <c r="T509" s="142"/>
      <c r="U509" s="140"/>
      <c r="V509" s="456"/>
      <c r="W509" s="142"/>
      <c r="X509" s="142"/>
      <c r="Y509" s="142"/>
      <c r="Z509" s="140"/>
      <c r="AA509" s="456"/>
      <c r="AB509" s="142"/>
      <c r="AC509" s="142"/>
      <c r="AD509" s="142"/>
      <c r="AE509" s="140"/>
      <c r="AF509" s="456"/>
      <c r="AG509" s="142"/>
      <c r="AH509" s="142"/>
      <c r="AI509" s="142"/>
      <c r="AJ509" s="140"/>
      <c r="AK509" s="456"/>
      <c r="AL509" s="142"/>
      <c r="AM509" s="142"/>
      <c r="AN509" s="142"/>
      <c r="AO509" s="438"/>
      <c r="AP509" s="438"/>
      <c r="AQ509" s="438"/>
      <c r="AR509" s="438"/>
      <c r="AS509" s="438"/>
      <c r="AT509" s="438"/>
      <c r="AU509" s="438"/>
      <c r="AV509" s="438"/>
      <c r="AW509" s="438"/>
      <c r="AX509" s="438"/>
      <c r="AY509" s="438"/>
      <c r="AZ509" s="438"/>
      <c r="BA509" s="438"/>
      <c r="BB509" s="438"/>
      <c r="BC509" s="438"/>
      <c r="BD509" s="438"/>
      <c r="BE509" s="438"/>
      <c r="BF509" s="438"/>
      <c r="BG509" s="438"/>
      <c r="BH509" s="438"/>
    </row>
    <row r="510">
      <c r="A510" s="140"/>
      <c r="B510" s="456"/>
      <c r="C510" s="142"/>
      <c r="D510" s="142"/>
      <c r="E510" s="142"/>
      <c r="F510" s="140"/>
      <c r="G510" s="456"/>
      <c r="H510" s="142"/>
      <c r="I510" s="142"/>
      <c r="J510" s="142"/>
      <c r="K510" s="125"/>
      <c r="L510" s="456"/>
      <c r="M510" s="142"/>
      <c r="N510" s="142"/>
      <c r="O510" s="142"/>
      <c r="P510" s="125"/>
      <c r="Q510" s="450"/>
      <c r="R510" s="142"/>
      <c r="S510" s="142"/>
      <c r="T510" s="142"/>
      <c r="U510" s="140"/>
      <c r="V510" s="456"/>
      <c r="W510" s="142"/>
      <c r="X510" s="142"/>
      <c r="Y510" s="142"/>
      <c r="Z510" s="140"/>
      <c r="AA510" s="456"/>
      <c r="AB510" s="142"/>
      <c r="AC510" s="142"/>
      <c r="AD510" s="142"/>
      <c r="AE510" s="140"/>
      <c r="AF510" s="456"/>
      <c r="AG510" s="142"/>
      <c r="AH510" s="142"/>
      <c r="AI510" s="142"/>
      <c r="AJ510" s="140"/>
      <c r="AK510" s="456"/>
      <c r="AL510" s="142"/>
      <c r="AM510" s="142"/>
      <c r="AN510" s="142"/>
      <c r="AO510" s="438"/>
      <c r="AP510" s="438"/>
      <c r="AQ510" s="438"/>
      <c r="AR510" s="438"/>
      <c r="AS510" s="438"/>
      <c r="AT510" s="438"/>
      <c r="AU510" s="438"/>
      <c r="AV510" s="438"/>
      <c r="AW510" s="438"/>
      <c r="AX510" s="438"/>
      <c r="AY510" s="438"/>
      <c r="AZ510" s="438"/>
      <c r="BA510" s="438"/>
      <c r="BB510" s="438"/>
      <c r="BC510" s="438"/>
      <c r="BD510" s="438"/>
      <c r="BE510" s="438"/>
      <c r="BF510" s="438"/>
      <c r="BG510" s="438"/>
      <c r="BH510" s="438"/>
    </row>
    <row r="511">
      <c r="A511" s="140"/>
      <c r="B511" s="456"/>
      <c r="C511" s="142"/>
      <c r="D511" s="142"/>
      <c r="E511" s="142"/>
      <c r="F511" s="140"/>
      <c r="G511" s="456"/>
      <c r="H511" s="142"/>
      <c r="I511" s="142"/>
      <c r="J511" s="142"/>
      <c r="K511" s="125"/>
      <c r="L511" s="456"/>
      <c r="M511" s="142"/>
      <c r="N511" s="142"/>
      <c r="O511" s="142"/>
      <c r="P511" s="125"/>
      <c r="Q511" s="450"/>
      <c r="R511" s="142"/>
      <c r="S511" s="142"/>
      <c r="T511" s="142"/>
      <c r="U511" s="140"/>
      <c r="V511" s="456"/>
      <c r="W511" s="142"/>
      <c r="X511" s="142"/>
      <c r="Y511" s="142"/>
      <c r="Z511" s="140"/>
      <c r="AA511" s="456"/>
      <c r="AB511" s="142"/>
      <c r="AC511" s="142"/>
      <c r="AD511" s="142"/>
      <c r="AE511" s="140"/>
      <c r="AF511" s="456"/>
      <c r="AG511" s="142"/>
      <c r="AH511" s="142"/>
      <c r="AI511" s="142"/>
      <c r="AJ511" s="140"/>
      <c r="AK511" s="456"/>
      <c r="AL511" s="142"/>
      <c r="AM511" s="142"/>
      <c r="AN511" s="142"/>
      <c r="AO511" s="438"/>
      <c r="AP511" s="438"/>
      <c r="AQ511" s="438"/>
      <c r="AR511" s="438"/>
      <c r="AS511" s="438"/>
      <c r="AT511" s="438"/>
      <c r="AU511" s="438"/>
      <c r="AV511" s="438"/>
      <c r="AW511" s="438"/>
      <c r="AX511" s="438"/>
      <c r="AY511" s="438"/>
      <c r="AZ511" s="438"/>
      <c r="BA511" s="438"/>
      <c r="BB511" s="438"/>
      <c r="BC511" s="438"/>
      <c r="BD511" s="438"/>
      <c r="BE511" s="438"/>
      <c r="BF511" s="438"/>
      <c r="BG511" s="438"/>
      <c r="BH511" s="438"/>
    </row>
    <row r="512">
      <c r="A512" s="140"/>
      <c r="B512" s="456"/>
      <c r="C512" s="142"/>
      <c r="D512" s="142"/>
      <c r="E512" s="142"/>
      <c r="F512" s="140"/>
      <c r="G512" s="456"/>
      <c r="H512" s="142"/>
      <c r="I512" s="142"/>
      <c r="J512" s="142"/>
      <c r="K512" s="125"/>
      <c r="L512" s="456"/>
      <c r="M512" s="142"/>
      <c r="N512" s="142"/>
      <c r="O512" s="142"/>
      <c r="P512" s="125"/>
      <c r="Q512" s="450"/>
      <c r="R512" s="142"/>
      <c r="S512" s="142"/>
      <c r="T512" s="142"/>
      <c r="U512" s="140"/>
      <c r="V512" s="456"/>
      <c r="W512" s="142"/>
      <c r="X512" s="142"/>
      <c r="Y512" s="142"/>
      <c r="Z512" s="140"/>
      <c r="AA512" s="456"/>
      <c r="AB512" s="142"/>
      <c r="AC512" s="142"/>
      <c r="AD512" s="142"/>
      <c r="AE512" s="140"/>
      <c r="AF512" s="456"/>
      <c r="AG512" s="142"/>
      <c r="AH512" s="142"/>
      <c r="AI512" s="142"/>
      <c r="AJ512" s="140"/>
      <c r="AK512" s="456"/>
      <c r="AL512" s="142"/>
      <c r="AM512" s="142"/>
      <c r="AN512" s="142"/>
      <c r="AO512" s="438"/>
      <c r="AP512" s="438"/>
      <c r="AQ512" s="438"/>
      <c r="AR512" s="438"/>
      <c r="AS512" s="438"/>
      <c r="AT512" s="438"/>
      <c r="AU512" s="438"/>
      <c r="AV512" s="438"/>
      <c r="AW512" s="438"/>
      <c r="AX512" s="438"/>
      <c r="AY512" s="438"/>
      <c r="AZ512" s="438"/>
      <c r="BA512" s="438"/>
      <c r="BB512" s="438"/>
      <c r="BC512" s="438"/>
      <c r="BD512" s="438"/>
      <c r="BE512" s="438"/>
      <c r="BF512" s="438"/>
      <c r="BG512" s="438"/>
      <c r="BH512" s="438"/>
    </row>
    <row r="513">
      <c r="A513" s="140"/>
      <c r="B513" s="456"/>
      <c r="C513" s="142"/>
      <c r="D513" s="142"/>
      <c r="E513" s="142"/>
      <c r="F513" s="140"/>
      <c r="G513" s="456"/>
      <c r="H513" s="142"/>
      <c r="I513" s="142"/>
      <c r="J513" s="142"/>
      <c r="K513" s="125"/>
      <c r="L513" s="456"/>
      <c r="M513" s="142"/>
      <c r="N513" s="142"/>
      <c r="O513" s="142"/>
      <c r="P513" s="125"/>
      <c r="Q513" s="450"/>
      <c r="R513" s="142"/>
      <c r="S513" s="142"/>
      <c r="T513" s="142"/>
      <c r="U513" s="140"/>
      <c r="V513" s="456"/>
      <c r="W513" s="142"/>
      <c r="X513" s="142"/>
      <c r="Y513" s="142"/>
      <c r="Z513" s="140"/>
      <c r="AA513" s="456"/>
      <c r="AB513" s="142"/>
      <c r="AC513" s="142"/>
      <c r="AD513" s="142"/>
      <c r="AE513" s="140"/>
      <c r="AF513" s="456"/>
      <c r="AG513" s="142"/>
      <c r="AH513" s="142"/>
      <c r="AI513" s="142"/>
      <c r="AJ513" s="140"/>
      <c r="AK513" s="456"/>
      <c r="AL513" s="142"/>
      <c r="AM513" s="142"/>
      <c r="AN513" s="142"/>
      <c r="AO513" s="438"/>
      <c r="AP513" s="438"/>
      <c r="AQ513" s="438"/>
      <c r="AR513" s="438"/>
      <c r="AS513" s="438"/>
      <c r="AT513" s="438"/>
      <c r="AU513" s="438"/>
      <c r="AV513" s="438"/>
      <c r="AW513" s="438"/>
      <c r="AX513" s="438"/>
      <c r="AY513" s="438"/>
      <c r="AZ513" s="438"/>
      <c r="BA513" s="438"/>
      <c r="BB513" s="438"/>
      <c r="BC513" s="438"/>
      <c r="BD513" s="438"/>
      <c r="BE513" s="438"/>
      <c r="BF513" s="438"/>
      <c r="BG513" s="438"/>
      <c r="BH513" s="438"/>
    </row>
    <row r="514">
      <c r="A514" s="140"/>
      <c r="B514" s="456"/>
      <c r="C514" s="142"/>
      <c r="D514" s="142"/>
      <c r="E514" s="142"/>
      <c r="F514" s="140"/>
      <c r="G514" s="456"/>
      <c r="H514" s="142"/>
      <c r="I514" s="142"/>
      <c r="J514" s="142"/>
      <c r="K514" s="125"/>
      <c r="L514" s="456"/>
      <c r="M514" s="142"/>
      <c r="N514" s="142"/>
      <c r="O514" s="142"/>
      <c r="P514" s="125"/>
      <c r="Q514" s="450"/>
      <c r="R514" s="142"/>
      <c r="S514" s="142"/>
      <c r="T514" s="142"/>
      <c r="U514" s="140"/>
      <c r="V514" s="456"/>
      <c r="W514" s="142"/>
      <c r="X514" s="142"/>
      <c r="Y514" s="142"/>
      <c r="Z514" s="140"/>
      <c r="AA514" s="456"/>
      <c r="AB514" s="142"/>
      <c r="AC514" s="142"/>
      <c r="AD514" s="142"/>
      <c r="AE514" s="140"/>
      <c r="AF514" s="456"/>
      <c r="AG514" s="142"/>
      <c r="AH514" s="142"/>
      <c r="AI514" s="142"/>
      <c r="AJ514" s="140"/>
      <c r="AK514" s="456"/>
      <c r="AL514" s="142"/>
      <c r="AM514" s="142"/>
      <c r="AN514" s="142"/>
      <c r="AO514" s="438"/>
      <c r="AP514" s="438"/>
      <c r="AQ514" s="438"/>
      <c r="AR514" s="438"/>
      <c r="AS514" s="438"/>
      <c r="AT514" s="438"/>
      <c r="AU514" s="438"/>
      <c r="AV514" s="438"/>
      <c r="AW514" s="438"/>
      <c r="AX514" s="438"/>
      <c r="AY514" s="438"/>
      <c r="AZ514" s="438"/>
      <c r="BA514" s="438"/>
      <c r="BB514" s="438"/>
      <c r="BC514" s="438"/>
      <c r="BD514" s="438"/>
      <c r="BE514" s="438"/>
      <c r="BF514" s="438"/>
      <c r="BG514" s="438"/>
      <c r="BH514" s="438"/>
    </row>
    <row r="515">
      <c r="A515" s="140"/>
      <c r="B515" s="456"/>
      <c r="C515" s="142"/>
      <c r="D515" s="142"/>
      <c r="E515" s="142"/>
      <c r="F515" s="140"/>
      <c r="G515" s="456"/>
      <c r="H515" s="142"/>
      <c r="I515" s="142"/>
      <c r="J515" s="142"/>
      <c r="K515" s="125"/>
      <c r="L515" s="456"/>
      <c r="M515" s="142"/>
      <c r="N515" s="142"/>
      <c r="O515" s="142"/>
      <c r="P515" s="125"/>
      <c r="Q515" s="450"/>
      <c r="R515" s="142"/>
      <c r="S515" s="142"/>
      <c r="T515" s="142"/>
      <c r="U515" s="140"/>
      <c r="V515" s="456"/>
      <c r="W515" s="142"/>
      <c r="X515" s="142"/>
      <c r="Y515" s="142"/>
      <c r="Z515" s="140"/>
      <c r="AA515" s="456"/>
      <c r="AB515" s="142"/>
      <c r="AC515" s="142"/>
      <c r="AD515" s="142"/>
      <c r="AE515" s="140"/>
      <c r="AF515" s="456"/>
      <c r="AG515" s="142"/>
      <c r="AH515" s="142"/>
      <c r="AI515" s="142"/>
      <c r="AJ515" s="140"/>
      <c r="AK515" s="456"/>
      <c r="AL515" s="142"/>
      <c r="AM515" s="142"/>
      <c r="AN515" s="142"/>
      <c r="AO515" s="438"/>
      <c r="AP515" s="438"/>
      <c r="AQ515" s="438"/>
      <c r="AR515" s="438"/>
      <c r="AS515" s="438"/>
      <c r="AT515" s="438"/>
      <c r="AU515" s="438"/>
      <c r="AV515" s="438"/>
      <c r="AW515" s="438"/>
      <c r="AX515" s="438"/>
      <c r="AY515" s="438"/>
      <c r="AZ515" s="438"/>
      <c r="BA515" s="438"/>
      <c r="BB515" s="438"/>
      <c r="BC515" s="438"/>
      <c r="BD515" s="438"/>
      <c r="BE515" s="438"/>
      <c r="BF515" s="438"/>
      <c r="BG515" s="438"/>
      <c r="BH515" s="438"/>
    </row>
    <row r="516">
      <c r="A516" s="140"/>
      <c r="B516" s="456"/>
      <c r="C516" s="142"/>
      <c r="D516" s="142"/>
      <c r="E516" s="142"/>
      <c r="F516" s="140"/>
      <c r="G516" s="456"/>
      <c r="H516" s="142"/>
      <c r="I516" s="142"/>
      <c r="J516" s="142"/>
      <c r="K516" s="125"/>
      <c r="L516" s="456"/>
      <c r="M516" s="142"/>
      <c r="N516" s="142"/>
      <c r="O516" s="142"/>
      <c r="P516" s="125"/>
      <c r="Q516" s="450"/>
      <c r="R516" s="142"/>
      <c r="S516" s="142"/>
      <c r="T516" s="142"/>
      <c r="U516" s="140"/>
      <c r="V516" s="456"/>
      <c r="W516" s="142"/>
      <c r="X516" s="142"/>
      <c r="Y516" s="142"/>
      <c r="Z516" s="140"/>
      <c r="AA516" s="456"/>
      <c r="AB516" s="142"/>
      <c r="AC516" s="142"/>
      <c r="AD516" s="142"/>
      <c r="AE516" s="140"/>
      <c r="AF516" s="456"/>
      <c r="AG516" s="142"/>
      <c r="AH516" s="142"/>
      <c r="AI516" s="142"/>
      <c r="AJ516" s="140"/>
      <c r="AK516" s="456"/>
      <c r="AL516" s="142"/>
      <c r="AM516" s="142"/>
      <c r="AN516" s="142"/>
      <c r="AO516" s="438"/>
      <c r="AP516" s="438"/>
      <c r="AQ516" s="438"/>
      <c r="AR516" s="438"/>
      <c r="AS516" s="438"/>
      <c r="AT516" s="438"/>
      <c r="AU516" s="438"/>
      <c r="AV516" s="438"/>
      <c r="AW516" s="438"/>
      <c r="AX516" s="438"/>
      <c r="AY516" s="438"/>
      <c r="AZ516" s="438"/>
      <c r="BA516" s="438"/>
      <c r="BB516" s="438"/>
      <c r="BC516" s="438"/>
      <c r="BD516" s="438"/>
      <c r="BE516" s="438"/>
      <c r="BF516" s="438"/>
      <c r="BG516" s="438"/>
      <c r="BH516" s="438"/>
    </row>
    <row r="517">
      <c r="A517" s="140"/>
      <c r="B517" s="456"/>
      <c r="C517" s="142"/>
      <c r="D517" s="142"/>
      <c r="E517" s="142"/>
      <c r="F517" s="140"/>
      <c r="G517" s="456"/>
      <c r="H517" s="142"/>
      <c r="I517" s="142"/>
      <c r="J517" s="142"/>
      <c r="K517" s="125"/>
      <c r="L517" s="456"/>
      <c r="M517" s="142"/>
      <c r="N517" s="142"/>
      <c r="O517" s="142"/>
      <c r="P517" s="125"/>
      <c r="Q517" s="450"/>
      <c r="R517" s="142"/>
      <c r="S517" s="142"/>
      <c r="T517" s="142"/>
      <c r="U517" s="140"/>
      <c r="V517" s="456"/>
      <c r="W517" s="142"/>
      <c r="X517" s="142"/>
      <c r="Y517" s="142"/>
      <c r="Z517" s="140"/>
      <c r="AA517" s="456"/>
      <c r="AB517" s="142"/>
      <c r="AC517" s="142"/>
      <c r="AD517" s="142"/>
      <c r="AE517" s="140"/>
      <c r="AF517" s="456"/>
      <c r="AG517" s="142"/>
      <c r="AH517" s="142"/>
      <c r="AI517" s="142"/>
      <c r="AJ517" s="140"/>
      <c r="AK517" s="456"/>
      <c r="AL517" s="142"/>
      <c r="AM517" s="142"/>
      <c r="AN517" s="142"/>
      <c r="AO517" s="438"/>
      <c r="AP517" s="438"/>
      <c r="AQ517" s="438"/>
      <c r="AR517" s="438"/>
      <c r="AS517" s="438"/>
      <c r="AT517" s="438"/>
      <c r="AU517" s="438"/>
      <c r="AV517" s="438"/>
      <c r="AW517" s="438"/>
      <c r="AX517" s="438"/>
      <c r="AY517" s="438"/>
      <c r="AZ517" s="438"/>
      <c r="BA517" s="438"/>
      <c r="BB517" s="438"/>
      <c r="BC517" s="438"/>
      <c r="BD517" s="438"/>
      <c r="BE517" s="438"/>
      <c r="BF517" s="438"/>
      <c r="BG517" s="438"/>
      <c r="BH517" s="438"/>
    </row>
    <row r="518">
      <c r="A518" s="140"/>
      <c r="B518" s="456"/>
      <c r="C518" s="142"/>
      <c r="D518" s="142"/>
      <c r="E518" s="142"/>
      <c r="F518" s="140"/>
      <c r="G518" s="456"/>
      <c r="H518" s="142"/>
      <c r="I518" s="142"/>
      <c r="J518" s="142"/>
      <c r="K518" s="125"/>
      <c r="L518" s="456"/>
      <c r="M518" s="142"/>
      <c r="N518" s="142"/>
      <c r="O518" s="142"/>
      <c r="P518" s="125"/>
      <c r="Q518" s="450"/>
      <c r="R518" s="142"/>
      <c r="S518" s="142"/>
      <c r="T518" s="142"/>
      <c r="U518" s="140"/>
      <c r="V518" s="456"/>
      <c r="W518" s="142"/>
      <c r="X518" s="142"/>
      <c r="Y518" s="142"/>
      <c r="Z518" s="140"/>
      <c r="AA518" s="456"/>
      <c r="AB518" s="142"/>
      <c r="AC518" s="142"/>
      <c r="AD518" s="142"/>
      <c r="AE518" s="140"/>
      <c r="AF518" s="456"/>
      <c r="AG518" s="142"/>
      <c r="AH518" s="142"/>
      <c r="AI518" s="142"/>
      <c r="AJ518" s="140"/>
      <c r="AK518" s="456"/>
      <c r="AL518" s="142"/>
      <c r="AM518" s="142"/>
      <c r="AN518" s="142"/>
      <c r="AO518" s="438"/>
      <c r="AP518" s="438"/>
      <c r="AQ518" s="438"/>
      <c r="AR518" s="438"/>
      <c r="AS518" s="438"/>
      <c r="AT518" s="438"/>
      <c r="AU518" s="438"/>
      <c r="AV518" s="438"/>
      <c r="AW518" s="438"/>
      <c r="AX518" s="438"/>
      <c r="AY518" s="438"/>
      <c r="AZ518" s="438"/>
      <c r="BA518" s="438"/>
      <c r="BB518" s="438"/>
      <c r="BC518" s="438"/>
      <c r="BD518" s="438"/>
      <c r="BE518" s="438"/>
      <c r="BF518" s="438"/>
      <c r="BG518" s="438"/>
      <c r="BH518" s="438"/>
    </row>
    <row r="519">
      <c r="A519" s="140"/>
      <c r="B519" s="456"/>
      <c r="C519" s="142"/>
      <c r="D519" s="142"/>
      <c r="E519" s="142"/>
      <c r="F519" s="140"/>
      <c r="G519" s="456"/>
      <c r="H519" s="142"/>
      <c r="I519" s="142"/>
      <c r="J519" s="142"/>
      <c r="K519" s="125"/>
      <c r="L519" s="456"/>
      <c r="M519" s="142"/>
      <c r="N519" s="142"/>
      <c r="O519" s="142"/>
      <c r="P519" s="125"/>
      <c r="Q519" s="450"/>
      <c r="R519" s="142"/>
      <c r="S519" s="142"/>
      <c r="T519" s="142"/>
      <c r="U519" s="140"/>
      <c r="V519" s="456"/>
      <c r="W519" s="142"/>
      <c r="X519" s="142"/>
      <c r="Y519" s="142"/>
      <c r="Z519" s="140"/>
      <c r="AA519" s="456"/>
      <c r="AB519" s="142"/>
      <c r="AC519" s="142"/>
      <c r="AD519" s="142"/>
      <c r="AE519" s="140"/>
      <c r="AF519" s="456"/>
      <c r="AG519" s="142"/>
      <c r="AH519" s="142"/>
      <c r="AI519" s="142"/>
      <c r="AJ519" s="140"/>
      <c r="AK519" s="456"/>
      <c r="AL519" s="142"/>
      <c r="AM519" s="142"/>
      <c r="AN519" s="142"/>
      <c r="AO519" s="438"/>
      <c r="AP519" s="438"/>
      <c r="AQ519" s="438"/>
      <c r="AR519" s="438"/>
      <c r="AS519" s="438"/>
      <c r="AT519" s="438"/>
      <c r="AU519" s="438"/>
      <c r="AV519" s="438"/>
      <c r="AW519" s="438"/>
      <c r="AX519" s="438"/>
      <c r="AY519" s="438"/>
      <c r="AZ519" s="438"/>
      <c r="BA519" s="438"/>
      <c r="BB519" s="438"/>
      <c r="BC519" s="438"/>
      <c r="BD519" s="438"/>
      <c r="BE519" s="438"/>
      <c r="BF519" s="438"/>
      <c r="BG519" s="438"/>
      <c r="BH519" s="438"/>
    </row>
    <row r="520">
      <c r="A520" s="140"/>
      <c r="B520" s="456"/>
      <c r="C520" s="142"/>
      <c r="D520" s="142"/>
      <c r="E520" s="142"/>
      <c r="F520" s="140"/>
      <c r="G520" s="456"/>
      <c r="H520" s="142"/>
      <c r="I520" s="142"/>
      <c r="J520" s="142"/>
      <c r="K520" s="125"/>
      <c r="L520" s="456"/>
      <c r="M520" s="142"/>
      <c r="N520" s="142"/>
      <c r="O520" s="142"/>
      <c r="P520" s="125"/>
      <c r="Q520" s="450"/>
      <c r="R520" s="142"/>
      <c r="S520" s="142"/>
      <c r="T520" s="142"/>
      <c r="U520" s="140"/>
      <c r="V520" s="456"/>
      <c r="W520" s="142"/>
      <c r="X520" s="142"/>
      <c r="Y520" s="142"/>
      <c r="Z520" s="140"/>
      <c r="AA520" s="456"/>
      <c r="AB520" s="142"/>
      <c r="AC520" s="142"/>
      <c r="AD520" s="142"/>
      <c r="AE520" s="140"/>
      <c r="AF520" s="456"/>
      <c r="AG520" s="142"/>
      <c r="AH520" s="142"/>
      <c r="AI520" s="142"/>
      <c r="AJ520" s="140"/>
      <c r="AK520" s="456"/>
      <c r="AL520" s="142"/>
      <c r="AM520" s="142"/>
      <c r="AN520" s="142"/>
      <c r="AO520" s="438"/>
      <c r="AP520" s="438"/>
      <c r="AQ520" s="438"/>
      <c r="AR520" s="438"/>
      <c r="AS520" s="438"/>
      <c r="AT520" s="438"/>
      <c r="AU520" s="438"/>
      <c r="AV520" s="438"/>
      <c r="AW520" s="438"/>
      <c r="AX520" s="438"/>
      <c r="AY520" s="438"/>
      <c r="AZ520" s="438"/>
      <c r="BA520" s="438"/>
      <c r="BB520" s="438"/>
      <c r="BC520" s="438"/>
      <c r="BD520" s="438"/>
      <c r="BE520" s="438"/>
      <c r="BF520" s="438"/>
      <c r="BG520" s="438"/>
      <c r="BH520" s="438"/>
    </row>
    <row r="521">
      <c r="A521" s="140"/>
      <c r="B521" s="456"/>
      <c r="C521" s="142"/>
      <c r="D521" s="142"/>
      <c r="E521" s="142"/>
      <c r="F521" s="140"/>
      <c r="G521" s="456"/>
      <c r="H521" s="142"/>
      <c r="I521" s="142"/>
      <c r="J521" s="142"/>
      <c r="K521" s="125"/>
      <c r="L521" s="456"/>
      <c r="M521" s="142"/>
      <c r="N521" s="142"/>
      <c r="O521" s="142"/>
      <c r="P521" s="125"/>
      <c r="Q521" s="450"/>
      <c r="R521" s="142"/>
      <c r="S521" s="142"/>
      <c r="T521" s="142"/>
      <c r="U521" s="140"/>
      <c r="V521" s="456"/>
      <c r="W521" s="142"/>
      <c r="X521" s="142"/>
      <c r="Y521" s="142"/>
      <c r="Z521" s="140"/>
      <c r="AA521" s="456"/>
      <c r="AB521" s="142"/>
      <c r="AC521" s="142"/>
      <c r="AD521" s="142"/>
      <c r="AE521" s="140"/>
      <c r="AF521" s="456"/>
      <c r="AG521" s="142"/>
      <c r="AH521" s="142"/>
      <c r="AI521" s="142"/>
      <c r="AJ521" s="140"/>
      <c r="AK521" s="456"/>
      <c r="AL521" s="142"/>
      <c r="AM521" s="142"/>
      <c r="AN521" s="142"/>
      <c r="AO521" s="438"/>
      <c r="AP521" s="438"/>
      <c r="AQ521" s="438"/>
      <c r="AR521" s="438"/>
      <c r="AS521" s="438"/>
      <c r="AT521" s="438"/>
      <c r="AU521" s="438"/>
      <c r="AV521" s="438"/>
      <c r="AW521" s="438"/>
      <c r="AX521" s="438"/>
      <c r="AY521" s="438"/>
      <c r="AZ521" s="438"/>
      <c r="BA521" s="438"/>
      <c r="BB521" s="438"/>
      <c r="BC521" s="438"/>
      <c r="BD521" s="438"/>
      <c r="BE521" s="438"/>
      <c r="BF521" s="438"/>
      <c r="BG521" s="438"/>
      <c r="BH521" s="438"/>
    </row>
    <row r="522">
      <c r="A522" s="140"/>
      <c r="B522" s="456"/>
      <c r="C522" s="142"/>
      <c r="D522" s="142"/>
      <c r="E522" s="142"/>
      <c r="F522" s="140"/>
      <c r="G522" s="456"/>
      <c r="H522" s="142"/>
      <c r="I522" s="142"/>
      <c r="J522" s="142"/>
      <c r="K522" s="125"/>
      <c r="L522" s="456"/>
      <c r="M522" s="142"/>
      <c r="N522" s="142"/>
      <c r="O522" s="142"/>
      <c r="P522" s="125"/>
      <c r="Q522" s="450"/>
      <c r="R522" s="142"/>
      <c r="S522" s="142"/>
      <c r="T522" s="142"/>
      <c r="U522" s="140"/>
      <c r="V522" s="456"/>
      <c r="W522" s="142"/>
      <c r="X522" s="142"/>
      <c r="Y522" s="142"/>
      <c r="Z522" s="140"/>
      <c r="AA522" s="456"/>
      <c r="AB522" s="142"/>
      <c r="AC522" s="142"/>
      <c r="AD522" s="142"/>
      <c r="AE522" s="140"/>
      <c r="AF522" s="456"/>
      <c r="AG522" s="142"/>
      <c r="AH522" s="142"/>
      <c r="AI522" s="142"/>
      <c r="AJ522" s="140"/>
      <c r="AK522" s="456"/>
      <c r="AL522" s="142"/>
      <c r="AM522" s="142"/>
      <c r="AN522" s="142"/>
      <c r="AO522" s="438"/>
      <c r="AP522" s="438"/>
      <c r="AQ522" s="438"/>
      <c r="AR522" s="438"/>
      <c r="AS522" s="438"/>
      <c r="AT522" s="438"/>
      <c r="AU522" s="438"/>
      <c r="AV522" s="438"/>
      <c r="AW522" s="438"/>
      <c r="AX522" s="438"/>
      <c r="AY522" s="438"/>
      <c r="AZ522" s="438"/>
      <c r="BA522" s="438"/>
      <c r="BB522" s="438"/>
      <c r="BC522" s="438"/>
      <c r="BD522" s="438"/>
      <c r="BE522" s="438"/>
      <c r="BF522" s="438"/>
      <c r="BG522" s="438"/>
      <c r="BH522" s="438"/>
    </row>
    <row r="523">
      <c r="A523" s="140"/>
      <c r="B523" s="456"/>
      <c r="C523" s="142"/>
      <c r="D523" s="142"/>
      <c r="E523" s="142"/>
      <c r="F523" s="140"/>
      <c r="G523" s="456"/>
      <c r="H523" s="142"/>
      <c r="I523" s="142"/>
      <c r="J523" s="142"/>
      <c r="K523" s="125"/>
      <c r="L523" s="456"/>
      <c r="M523" s="142"/>
      <c r="N523" s="142"/>
      <c r="O523" s="142"/>
      <c r="P523" s="125"/>
      <c r="Q523" s="450"/>
      <c r="R523" s="142"/>
      <c r="S523" s="142"/>
      <c r="T523" s="142"/>
      <c r="U523" s="140"/>
      <c r="V523" s="456"/>
      <c r="W523" s="142"/>
      <c r="X523" s="142"/>
      <c r="Y523" s="142"/>
      <c r="Z523" s="140"/>
      <c r="AA523" s="456"/>
      <c r="AB523" s="142"/>
      <c r="AC523" s="142"/>
      <c r="AD523" s="142"/>
      <c r="AE523" s="140"/>
      <c r="AF523" s="456"/>
      <c r="AG523" s="142"/>
      <c r="AH523" s="142"/>
      <c r="AI523" s="142"/>
      <c r="AJ523" s="140"/>
      <c r="AK523" s="456"/>
      <c r="AL523" s="142"/>
      <c r="AM523" s="142"/>
      <c r="AN523" s="142"/>
      <c r="AO523" s="438"/>
      <c r="AP523" s="438"/>
      <c r="AQ523" s="438"/>
      <c r="AR523" s="438"/>
      <c r="AS523" s="438"/>
      <c r="AT523" s="438"/>
      <c r="AU523" s="438"/>
      <c r="AV523" s="438"/>
      <c r="AW523" s="438"/>
      <c r="AX523" s="438"/>
      <c r="AY523" s="438"/>
      <c r="AZ523" s="438"/>
      <c r="BA523" s="438"/>
      <c r="BB523" s="438"/>
      <c r="BC523" s="438"/>
      <c r="BD523" s="438"/>
      <c r="BE523" s="438"/>
      <c r="BF523" s="438"/>
      <c r="BG523" s="438"/>
      <c r="BH523" s="438"/>
    </row>
    <row r="524">
      <c r="A524" s="140"/>
      <c r="B524" s="456"/>
      <c r="C524" s="142"/>
      <c r="D524" s="142"/>
      <c r="E524" s="142"/>
      <c r="F524" s="140"/>
      <c r="G524" s="456"/>
      <c r="H524" s="142"/>
      <c r="I524" s="142"/>
      <c r="J524" s="142"/>
      <c r="K524" s="125"/>
      <c r="L524" s="456"/>
      <c r="M524" s="142"/>
      <c r="N524" s="142"/>
      <c r="O524" s="142"/>
      <c r="P524" s="125"/>
      <c r="Q524" s="450"/>
      <c r="R524" s="142"/>
      <c r="S524" s="142"/>
      <c r="T524" s="142"/>
      <c r="U524" s="140"/>
      <c r="V524" s="456"/>
      <c r="W524" s="142"/>
      <c r="X524" s="142"/>
      <c r="Y524" s="142"/>
      <c r="Z524" s="140"/>
      <c r="AA524" s="456"/>
      <c r="AB524" s="142"/>
      <c r="AC524" s="142"/>
      <c r="AD524" s="142"/>
      <c r="AE524" s="140"/>
      <c r="AF524" s="456"/>
      <c r="AG524" s="142"/>
      <c r="AH524" s="142"/>
      <c r="AI524" s="142"/>
      <c r="AJ524" s="140"/>
      <c r="AK524" s="456"/>
      <c r="AL524" s="142"/>
      <c r="AM524" s="142"/>
      <c r="AN524" s="142"/>
      <c r="AO524" s="438"/>
      <c r="AP524" s="438"/>
      <c r="AQ524" s="438"/>
      <c r="AR524" s="438"/>
      <c r="AS524" s="438"/>
      <c r="AT524" s="438"/>
      <c r="AU524" s="438"/>
      <c r="AV524" s="438"/>
      <c r="AW524" s="438"/>
      <c r="AX524" s="438"/>
      <c r="AY524" s="438"/>
      <c r="AZ524" s="438"/>
      <c r="BA524" s="438"/>
      <c r="BB524" s="438"/>
      <c r="BC524" s="438"/>
      <c r="BD524" s="438"/>
      <c r="BE524" s="438"/>
      <c r="BF524" s="438"/>
      <c r="BG524" s="438"/>
      <c r="BH524" s="438"/>
    </row>
    <row r="525">
      <c r="A525" s="140"/>
      <c r="B525" s="456"/>
      <c r="C525" s="142"/>
      <c r="D525" s="142"/>
      <c r="E525" s="142"/>
      <c r="F525" s="140"/>
      <c r="G525" s="456"/>
      <c r="H525" s="142"/>
      <c r="I525" s="142"/>
      <c r="J525" s="142"/>
      <c r="K525" s="125"/>
      <c r="L525" s="456"/>
      <c r="M525" s="142"/>
      <c r="N525" s="142"/>
      <c r="O525" s="142"/>
      <c r="P525" s="125"/>
      <c r="Q525" s="450"/>
      <c r="R525" s="142"/>
      <c r="S525" s="142"/>
      <c r="T525" s="142"/>
      <c r="U525" s="140"/>
      <c r="V525" s="456"/>
      <c r="W525" s="142"/>
      <c r="X525" s="142"/>
      <c r="Y525" s="142"/>
      <c r="Z525" s="140"/>
      <c r="AA525" s="456"/>
      <c r="AB525" s="142"/>
      <c r="AC525" s="142"/>
      <c r="AD525" s="142"/>
      <c r="AE525" s="140"/>
      <c r="AF525" s="456"/>
      <c r="AG525" s="142"/>
      <c r="AH525" s="142"/>
      <c r="AI525" s="142"/>
      <c r="AJ525" s="140"/>
      <c r="AK525" s="456"/>
      <c r="AL525" s="142"/>
      <c r="AM525" s="142"/>
      <c r="AN525" s="142"/>
      <c r="AO525" s="438"/>
      <c r="AP525" s="438"/>
      <c r="AQ525" s="438"/>
      <c r="AR525" s="438"/>
      <c r="AS525" s="438"/>
      <c r="AT525" s="438"/>
      <c r="AU525" s="438"/>
      <c r="AV525" s="438"/>
      <c r="AW525" s="438"/>
      <c r="AX525" s="438"/>
      <c r="AY525" s="438"/>
      <c r="AZ525" s="438"/>
      <c r="BA525" s="438"/>
      <c r="BB525" s="438"/>
      <c r="BC525" s="438"/>
      <c r="BD525" s="438"/>
      <c r="BE525" s="438"/>
      <c r="BF525" s="438"/>
      <c r="BG525" s="438"/>
      <c r="BH525" s="438"/>
    </row>
    <row r="526">
      <c r="A526" s="140"/>
      <c r="B526" s="456"/>
      <c r="C526" s="142"/>
      <c r="D526" s="142"/>
      <c r="E526" s="142"/>
      <c r="F526" s="140"/>
      <c r="G526" s="456"/>
      <c r="H526" s="142"/>
      <c r="I526" s="142"/>
      <c r="J526" s="142"/>
      <c r="K526" s="125"/>
      <c r="L526" s="456"/>
      <c r="M526" s="142"/>
      <c r="N526" s="142"/>
      <c r="O526" s="142"/>
      <c r="P526" s="125"/>
      <c r="Q526" s="450"/>
      <c r="R526" s="142"/>
      <c r="S526" s="142"/>
      <c r="T526" s="142"/>
      <c r="U526" s="140"/>
      <c r="V526" s="456"/>
      <c r="W526" s="142"/>
      <c r="X526" s="142"/>
      <c r="Y526" s="142"/>
      <c r="Z526" s="140"/>
      <c r="AA526" s="456"/>
      <c r="AB526" s="142"/>
      <c r="AC526" s="142"/>
      <c r="AD526" s="142"/>
      <c r="AE526" s="140"/>
      <c r="AF526" s="456"/>
      <c r="AG526" s="142"/>
      <c r="AH526" s="142"/>
      <c r="AI526" s="142"/>
      <c r="AJ526" s="140"/>
      <c r="AK526" s="456"/>
      <c r="AL526" s="142"/>
      <c r="AM526" s="142"/>
      <c r="AN526" s="142"/>
      <c r="AO526" s="438"/>
      <c r="AP526" s="438"/>
      <c r="AQ526" s="438"/>
      <c r="AR526" s="438"/>
      <c r="AS526" s="438"/>
      <c r="AT526" s="438"/>
      <c r="AU526" s="438"/>
      <c r="AV526" s="438"/>
      <c r="AW526" s="438"/>
      <c r="AX526" s="438"/>
      <c r="AY526" s="438"/>
      <c r="AZ526" s="438"/>
      <c r="BA526" s="438"/>
      <c r="BB526" s="438"/>
      <c r="BC526" s="438"/>
      <c r="BD526" s="438"/>
      <c r="BE526" s="438"/>
      <c r="BF526" s="438"/>
      <c r="BG526" s="438"/>
      <c r="BH526" s="438"/>
    </row>
    <row r="527">
      <c r="A527" s="140"/>
      <c r="B527" s="456"/>
      <c r="C527" s="142"/>
      <c r="D527" s="142"/>
      <c r="E527" s="142"/>
      <c r="F527" s="140"/>
      <c r="G527" s="456"/>
      <c r="H527" s="142"/>
      <c r="I527" s="142"/>
      <c r="J527" s="142"/>
      <c r="K527" s="125"/>
      <c r="L527" s="456"/>
      <c r="M527" s="142"/>
      <c r="N527" s="142"/>
      <c r="O527" s="142"/>
      <c r="P527" s="125"/>
      <c r="Q527" s="450"/>
      <c r="R527" s="142"/>
      <c r="S527" s="142"/>
      <c r="T527" s="142"/>
      <c r="U527" s="140"/>
      <c r="V527" s="456"/>
      <c r="W527" s="142"/>
      <c r="X527" s="142"/>
      <c r="Y527" s="142"/>
      <c r="Z527" s="140"/>
      <c r="AA527" s="456"/>
      <c r="AB527" s="142"/>
      <c r="AC527" s="142"/>
      <c r="AD527" s="142"/>
      <c r="AE527" s="140"/>
      <c r="AF527" s="456"/>
      <c r="AG527" s="142"/>
      <c r="AH527" s="142"/>
      <c r="AI527" s="142"/>
      <c r="AJ527" s="140"/>
      <c r="AK527" s="456"/>
      <c r="AL527" s="142"/>
      <c r="AM527" s="142"/>
      <c r="AN527" s="142"/>
      <c r="AO527" s="438"/>
      <c r="AP527" s="438"/>
      <c r="AQ527" s="438"/>
      <c r="AR527" s="438"/>
      <c r="AS527" s="438"/>
      <c r="AT527" s="438"/>
      <c r="AU527" s="438"/>
      <c r="AV527" s="438"/>
      <c r="AW527" s="438"/>
      <c r="AX527" s="438"/>
      <c r="AY527" s="438"/>
      <c r="AZ527" s="438"/>
      <c r="BA527" s="438"/>
      <c r="BB527" s="438"/>
      <c r="BC527" s="438"/>
      <c r="BD527" s="438"/>
      <c r="BE527" s="438"/>
      <c r="BF527" s="438"/>
      <c r="BG527" s="438"/>
      <c r="BH527" s="438"/>
    </row>
    <row r="528">
      <c r="A528" s="140"/>
      <c r="B528" s="456"/>
      <c r="C528" s="142"/>
      <c r="D528" s="142"/>
      <c r="E528" s="142"/>
      <c r="F528" s="140"/>
      <c r="G528" s="456"/>
      <c r="H528" s="142"/>
      <c r="I528" s="142"/>
      <c r="J528" s="142"/>
      <c r="K528" s="125"/>
      <c r="L528" s="456"/>
      <c r="M528" s="142"/>
      <c r="N528" s="142"/>
      <c r="O528" s="142"/>
      <c r="P528" s="125"/>
      <c r="Q528" s="450"/>
      <c r="R528" s="142"/>
      <c r="S528" s="142"/>
      <c r="T528" s="142"/>
      <c r="U528" s="140"/>
      <c r="V528" s="456"/>
      <c r="W528" s="142"/>
      <c r="X528" s="142"/>
      <c r="Y528" s="142"/>
      <c r="Z528" s="140"/>
      <c r="AA528" s="456"/>
      <c r="AB528" s="142"/>
      <c r="AC528" s="142"/>
      <c r="AD528" s="142"/>
      <c r="AE528" s="140"/>
      <c r="AF528" s="456"/>
      <c r="AG528" s="142"/>
      <c r="AH528" s="142"/>
      <c r="AI528" s="142"/>
      <c r="AJ528" s="140"/>
      <c r="AK528" s="456"/>
      <c r="AL528" s="142"/>
      <c r="AM528" s="142"/>
      <c r="AN528" s="142"/>
      <c r="AO528" s="438"/>
      <c r="AP528" s="438"/>
      <c r="AQ528" s="438"/>
      <c r="AR528" s="438"/>
      <c r="AS528" s="438"/>
      <c r="AT528" s="438"/>
      <c r="AU528" s="438"/>
      <c r="AV528" s="438"/>
      <c r="AW528" s="438"/>
      <c r="AX528" s="438"/>
      <c r="AY528" s="438"/>
      <c r="AZ528" s="438"/>
      <c r="BA528" s="438"/>
      <c r="BB528" s="438"/>
      <c r="BC528" s="438"/>
      <c r="BD528" s="438"/>
      <c r="BE528" s="438"/>
      <c r="BF528" s="438"/>
      <c r="BG528" s="438"/>
      <c r="BH528" s="438"/>
    </row>
    <row r="529">
      <c r="A529" s="140"/>
      <c r="B529" s="456"/>
      <c r="C529" s="142"/>
      <c r="D529" s="142"/>
      <c r="E529" s="142"/>
      <c r="F529" s="140"/>
      <c r="G529" s="456"/>
      <c r="H529" s="142"/>
      <c r="I529" s="142"/>
      <c r="J529" s="142"/>
      <c r="K529" s="125"/>
      <c r="L529" s="456"/>
      <c r="M529" s="142"/>
      <c r="N529" s="142"/>
      <c r="O529" s="142"/>
      <c r="P529" s="125"/>
      <c r="Q529" s="450"/>
      <c r="R529" s="142"/>
      <c r="S529" s="142"/>
      <c r="T529" s="142"/>
      <c r="U529" s="140"/>
      <c r="V529" s="456"/>
      <c r="W529" s="142"/>
      <c r="X529" s="142"/>
      <c r="Y529" s="142"/>
      <c r="Z529" s="140"/>
      <c r="AA529" s="456"/>
      <c r="AB529" s="142"/>
      <c r="AC529" s="142"/>
      <c r="AD529" s="142"/>
      <c r="AE529" s="140"/>
      <c r="AF529" s="456"/>
      <c r="AG529" s="142"/>
      <c r="AH529" s="142"/>
      <c r="AI529" s="142"/>
      <c r="AJ529" s="140"/>
      <c r="AK529" s="456"/>
      <c r="AL529" s="142"/>
      <c r="AM529" s="142"/>
      <c r="AN529" s="142"/>
      <c r="AO529" s="438"/>
      <c r="AP529" s="438"/>
      <c r="AQ529" s="438"/>
      <c r="AR529" s="438"/>
      <c r="AS529" s="438"/>
      <c r="AT529" s="438"/>
      <c r="AU529" s="438"/>
      <c r="AV529" s="438"/>
      <c r="AW529" s="438"/>
      <c r="AX529" s="438"/>
      <c r="AY529" s="438"/>
      <c r="AZ529" s="438"/>
      <c r="BA529" s="438"/>
      <c r="BB529" s="438"/>
      <c r="BC529" s="438"/>
      <c r="BD529" s="438"/>
      <c r="BE529" s="438"/>
      <c r="BF529" s="438"/>
      <c r="BG529" s="438"/>
      <c r="BH529" s="438"/>
    </row>
    <row r="530">
      <c r="A530" s="140"/>
      <c r="B530" s="456"/>
      <c r="C530" s="142"/>
      <c r="D530" s="142"/>
      <c r="E530" s="142"/>
      <c r="F530" s="140"/>
      <c r="G530" s="456"/>
      <c r="H530" s="142"/>
      <c r="I530" s="142"/>
      <c r="J530" s="142"/>
      <c r="K530" s="125"/>
      <c r="L530" s="456"/>
      <c r="M530" s="142"/>
      <c r="N530" s="142"/>
      <c r="O530" s="142"/>
      <c r="P530" s="125"/>
      <c r="Q530" s="450"/>
      <c r="R530" s="142"/>
      <c r="S530" s="142"/>
      <c r="T530" s="142"/>
      <c r="U530" s="140"/>
      <c r="V530" s="456"/>
      <c r="W530" s="142"/>
      <c r="X530" s="142"/>
      <c r="Y530" s="142"/>
      <c r="Z530" s="140"/>
      <c r="AA530" s="456"/>
      <c r="AB530" s="142"/>
      <c r="AC530" s="142"/>
      <c r="AD530" s="142"/>
      <c r="AE530" s="140"/>
      <c r="AF530" s="456"/>
      <c r="AG530" s="142"/>
      <c r="AH530" s="142"/>
      <c r="AI530" s="142"/>
      <c r="AJ530" s="140"/>
      <c r="AK530" s="456"/>
      <c r="AL530" s="142"/>
      <c r="AM530" s="142"/>
      <c r="AN530" s="142"/>
      <c r="AO530" s="438"/>
      <c r="AP530" s="438"/>
      <c r="AQ530" s="438"/>
      <c r="AR530" s="438"/>
      <c r="AS530" s="438"/>
      <c r="AT530" s="438"/>
      <c r="AU530" s="438"/>
      <c r="AV530" s="438"/>
      <c r="AW530" s="438"/>
      <c r="AX530" s="438"/>
      <c r="AY530" s="438"/>
      <c r="AZ530" s="438"/>
      <c r="BA530" s="438"/>
      <c r="BB530" s="438"/>
      <c r="BC530" s="438"/>
      <c r="BD530" s="438"/>
      <c r="BE530" s="438"/>
      <c r="BF530" s="438"/>
      <c r="BG530" s="438"/>
      <c r="BH530" s="438"/>
    </row>
    <row r="531">
      <c r="A531" s="140"/>
      <c r="B531" s="456"/>
      <c r="C531" s="142"/>
      <c r="D531" s="142"/>
      <c r="E531" s="142"/>
      <c r="F531" s="140"/>
      <c r="G531" s="456"/>
      <c r="H531" s="142"/>
      <c r="I531" s="142"/>
      <c r="J531" s="142"/>
      <c r="K531" s="125"/>
      <c r="L531" s="456"/>
      <c r="M531" s="142"/>
      <c r="N531" s="142"/>
      <c r="O531" s="142"/>
      <c r="P531" s="125"/>
      <c r="Q531" s="450"/>
      <c r="R531" s="142"/>
      <c r="S531" s="142"/>
      <c r="T531" s="142"/>
      <c r="U531" s="140"/>
      <c r="V531" s="456"/>
      <c r="W531" s="142"/>
      <c r="X531" s="142"/>
      <c r="Y531" s="142"/>
      <c r="Z531" s="140"/>
      <c r="AA531" s="456"/>
      <c r="AB531" s="142"/>
      <c r="AC531" s="142"/>
      <c r="AD531" s="142"/>
      <c r="AE531" s="140"/>
      <c r="AF531" s="456"/>
      <c r="AG531" s="142"/>
      <c r="AH531" s="142"/>
      <c r="AI531" s="142"/>
      <c r="AJ531" s="140"/>
      <c r="AK531" s="456"/>
      <c r="AL531" s="142"/>
      <c r="AM531" s="142"/>
      <c r="AN531" s="142"/>
      <c r="AO531" s="438"/>
      <c r="AP531" s="438"/>
      <c r="AQ531" s="438"/>
      <c r="AR531" s="438"/>
      <c r="AS531" s="438"/>
      <c r="AT531" s="438"/>
      <c r="AU531" s="438"/>
      <c r="AV531" s="438"/>
      <c r="AW531" s="438"/>
      <c r="AX531" s="438"/>
      <c r="AY531" s="438"/>
      <c r="AZ531" s="438"/>
      <c r="BA531" s="438"/>
      <c r="BB531" s="438"/>
      <c r="BC531" s="438"/>
      <c r="BD531" s="438"/>
      <c r="BE531" s="438"/>
      <c r="BF531" s="438"/>
      <c r="BG531" s="438"/>
      <c r="BH531" s="438"/>
    </row>
    <row r="532">
      <c r="A532" s="140"/>
      <c r="B532" s="456"/>
      <c r="C532" s="142"/>
      <c r="D532" s="142"/>
      <c r="E532" s="142"/>
      <c r="F532" s="140"/>
      <c r="G532" s="456"/>
      <c r="H532" s="142"/>
      <c r="I532" s="142"/>
      <c r="J532" s="142"/>
      <c r="K532" s="125"/>
      <c r="L532" s="456"/>
      <c r="M532" s="142"/>
      <c r="N532" s="142"/>
      <c r="O532" s="142"/>
      <c r="P532" s="125"/>
      <c r="Q532" s="450"/>
      <c r="R532" s="142"/>
      <c r="S532" s="142"/>
      <c r="T532" s="142"/>
      <c r="U532" s="140"/>
      <c r="V532" s="456"/>
      <c r="W532" s="142"/>
      <c r="X532" s="142"/>
      <c r="Y532" s="142"/>
      <c r="Z532" s="140"/>
      <c r="AA532" s="456"/>
      <c r="AB532" s="142"/>
      <c r="AC532" s="142"/>
      <c r="AD532" s="142"/>
      <c r="AE532" s="140"/>
      <c r="AF532" s="456"/>
      <c r="AG532" s="142"/>
      <c r="AH532" s="142"/>
      <c r="AI532" s="142"/>
      <c r="AJ532" s="140"/>
      <c r="AK532" s="456"/>
      <c r="AL532" s="142"/>
      <c r="AM532" s="142"/>
      <c r="AN532" s="142"/>
      <c r="AO532" s="438"/>
      <c r="AP532" s="438"/>
      <c r="AQ532" s="438"/>
      <c r="AR532" s="438"/>
      <c r="AS532" s="438"/>
      <c r="AT532" s="438"/>
      <c r="AU532" s="438"/>
      <c r="AV532" s="438"/>
      <c r="AW532" s="438"/>
      <c r="AX532" s="438"/>
      <c r="AY532" s="438"/>
      <c r="AZ532" s="438"/>
      <c r="BA532" s="438"/>
      <c r="BB532" s="438"/>
      <c r="BC532" s="438"/>
      <c r="BD532" s="438"/>
      <c r="BE532" s="438"/>
      <c r="BF532" s="438"/>
      <c r="BG532" s="438"/>
      <c r="BH532" s="438"/>
    </row>
    <row r="533">
      <c r="A533" s="140"/>
      <c r="B533" s="456"/>
      <c r="C533" s="142"/>
      <c r="D533" s="142"/>
      <c r="E533" s="142"/>
      <c r="F533" s="140"/>
      <c r="G533" s="456"/>
      <c r="H533" s="142"/>
      <c r="I533" s="142"/>
      <c r="J533" s="142"/>
      <c r="K533" s="125"/>
      <c r="L533" s="456"/>
      <c r="M533" s="142"/>
      <c r="N533" s="142"/>
      <c r="O533" s="142"/>
      <c r="P533" s="125"/>
      <c r="Q533" s="450"/>
      <c r="R533" s="142"/>
      <c r="S533" s="142"/>
      <c r="T533" s="142"/>
      <c r="U533" s="140"/>
      <c r="V533" s="456"/>
      <c r="W533" s="142"/>
      <c r="X533" s="142"/>
      <c r="Y533" s="142"/>
      <c r="Z533" s="140"/>
      <c r="AA533" s="456"/>
      <c r="AB533" s="142"/>
      <c r="AC533" s="142"/>
      <c r="AD533" s="142"/>
      <c r="AE533" s="140"/>
      <c r="AF533" s="456"/>
      <c r="AG533" s="142"/>
      <c r="AH533" s="142"/>
      <c r="AI533" s="142"/>
      <c r="AJ533" s="140"/>
      <c r="AK533" s="456"/>
      <c r="AL533" s="142"/>
      <c r="AM533" s="142"/>
      <c r="AN533" s="142"/>
      <c r="AO533" s="438"/>
      <c r="AP533" s="438"/>
      <c r="AQ533" s="438"/>
      <c r="AR533" s="438"/>
      <c r="AS533" s="438"/>
      <c r="AT533" s="438"/>
      <c r="AU533" s="438"/>
      <c r="AV533" s="438"/>
      <c r="AW533" s="438"/>
      <c r="AX533" s="438"/>
      <c r="AY533" s="438"/>
      <c r="AZ533" s="438"/>
      <c r="BA533" s="438"/>
      <c r="BB533" s="438"/>
      <c r="BC533" s="438"/>
      <c r="BD533" s="438"/>
      <c r="BE533" s="438"/>
      <c r="BF533" s="438"/>
      <c r="BG533" s="438"/>
      <c r="BH533" s="438"/>
    </row>
    <row r="534">
      <c r="A534" s="140"/>
      <c r="B534" s="456"/>
      <c r="C534" s="142"/>
      <c r="D534" s="142"/>
      <c r="E534" s="142"/>
      <c r="F534" s="140"/>
      <c r="G534" s="456"/>
      <c r="H534" s="142"/>
      <c r="I534" s="142"/>
      <c r="J534" s="142"/>
      <c r="K534" s="125"/>
      <c r="L534" s="456"/>
      <c r="M534" s="142"/>
      <c r="N534" s="142"/>
      <c r="O534" s="142"/>
      <c r="P534" s="125"/>
      <c r="Q534" s="450"/>
      <c r="R534" s="142"/>
      <c r="S534" s="142"/>
      <c r="T534" s="142"/>
      <c r="U534" s="140"/>
      <c r="V534" s="456"/>
      <c r="W534" s="142"/>
      <c r="X534" s="142"/>
      <c r="Y534" s="142"/>
      <c r="Z534" s="140"/>
      <c r="AA534" s="456"/>
      <c r="AB534" s="142"/>
      <c r="AC534" s="142"/>
      <c r="AD534" s="142"/>
      <c r="AE534" s="140"/>
      <c r="AF534" s="456"/>
      <c r="AG534" s="142"/>
      <c r="AH534" s="142"/>
      <c r="AI534" s="142"/>
      <c r="AJ534" s="140"/>
      <c r="AK534" s="456"/>
      <c r="AL534" s="142"/>
      <c r="AM534" s="142"/>
      <c r="AN534" s="142"/>
      <c r="AO534" s="438"/>
      <c r="AP534" s="438"/>
      <c r="AQ534" s="438"/>
      <c r="AR534" s="438"/>
      <c r="AS534" s="438"/>
      <c r="AT534" s="438"/>
      <c r="AU534" s="438"/>
      <c r="AV534" s="438"/>
      <c r="AW534" s="438"/>
      <c r="AX534" s="438"/>
      <c r="AY534" s="438"/>
      <c r="AZ534" s="438"/>
      <c r="BA534" s="438"/>
      <c r="BB534" s="438"/>
      <c r="BC534" s="438"/>
      <c r="BD534" s="438"/>
      <c r="BE534" s="438"/>
      <c r="BF534" s="438"/>
      <c r="BG534" s="438"/>
      <c r="BH534" s="438"/>
    </row>
    <row r="535">
      <c r="A535" s="140"/>
      <c r="B535" s="456"/>
      <c r="C535" s="142"/>
      <c r="D535" s="142"/>
      <c r="E535" s="142"/>
      <c r="F535" s="140"/>
      <c r="G535" s="456"/>
      <c r="H535" s="142"/>
      <c r="I535" s="142"/>
      <c r="J535" s="142"/>
      <c r="K535" s="125"/>
      <c r="L535" s="456"/>
      <c r="M535" s="142"/>
      <c r="N535" s="142"/>
      <c r="O535" s="142"/>
      <c r="P535" s="125"/>
      <c r="Q535" s="450"/>
      <c r="R535" s="142"/>
      <c r="S535" s="142"/>
      <c r="T535" s="142"/>
      <c r="U535" s="140"/>
      <c r="V535" s="456"/>
      <c r="W535" s="142"/>
      <c r="X535" s="142"/>
      <c r="Y535" s="142"/>
      <c r="Z535" s="140"/>
      <c r="AA535" s="456"/>
      <c r="AB535" s="142"/>
      <c r="AC535" s="142"/>
      <c r="AD535" s="142"/>
      <c r="AE535" s="140"/>
      <c r="AF535" s="456"/>
      <c r="AG535" s="142"/>
      <c r="AH535" s="142"/>
      <c r="AI535" s="142"/>
      <c r="AJ535" s="140"/>
      <c r="AK535" s="456"/>
      <c r="AL535" s="142"/>
      <c r="AM535" s="142"/>
      <c r="AN535" s="142"/>
      <c r="AO535" s="438"/>
      <c r="AP535" s="438"/>
      <c r="AQ535" s="438"/>
      <c r="AR535" s="438"/>
      <c r="AS535" s="438"/>
      <c r="AT535" s="438"/>
      <c r="AU535" s="438"/>
      <c r="AV535" s="438"/>
      <c r="AW535" s="438"/>
      <c r="AX535" s="438"/>
      <c r="AY535" s="438"/>
      <c r="AZ535" s="438"/>
      <c r="BA535" s="438"/>
      <c r="BB535" s="438"/>
      <c r="BC535" s="438"/>
      <c r="BD535" s="438"/>
      <c r="BE535" s="438"/>
      <c r="BF535" s="438"/>
      <c r="BG535" s="438"/>
      <c r="BH535" s="438"/>
    </row>
    <row r="536">
      <c r="A536" s="140"/>
      <c r="B536" s="456"/>
      <c r="C536" s="142"/>
      <c r="D536" s="142"/>
      <c r="E536" s="142"/>
      <c r="F536" s="140"/>
      <c r="G536" s="456"/>
      <c r="H536" s="142"/>
      <c r="I536" s="142"/>
      <c r="J536" s="142"/>
      <c r="K536" s="125"/>
      <c r="L536" s="456"/>
      <c r="M536" s="142"/>
      <c r="N536" s="142"/>
      <c r="O536" s="142"/>
      <c r="P536" s="125"/>
      <c r="Q536" s="450"/>
      <c r="R536" s="142"/>
      <c r="S536" s="142"/>
      <c r="T536" s="142"/>
      <c r="U536" s="140"/>
      <c r="V536" s="456"/>
      <c r="W536" s="142"/>
      <c r="X536" s="142"/>
      <c r="Y536" s="142"/>
      <c r="Z536" s="140"/>
      <c r="AA536" s="456"/>
      <c r="AB536" s="142"/>
      <c r="AC536" s="142"/>
      <c r="AD536" s="142"/>
      <c r="AE536" s="140"/>
      <c r="AF536" s="456"/>
      <c r="AG536" s="142"/>
      <c r="AH536" s="142"/>
      <c r="AI536" s="142"/>
      <c r="AJ536" s="140"/>
      <c r="AK536" s="456"/>
      <c r="AL536" s="142"/>
      <c r="AM536" s="142"/>
      <c r="AN536" s="142"/>
      <c r="AO536" s="438"/>
      <c r="AP536" s="438"/>
      <c r="AQ536" s="438"/>
      <c r="AR536" s="438"/>
      <c r="AS536" s="438"/>
      <c r="AT536" s="438"/>
      <c r="AU536" s="438"/>
      <c r="AV536" s="438"/>
      <c r="AW536" s="438"/>
      <c r="AX536" s="438"/>
      <c r="AY536" s="438"/>
      <c r="AZ536" s="438"/>
      <c r="BA536" s="438"/>
      <c r="BB536" s="438"/>
      <c r="BC536" s="438"/>
      <c r="BD536" s="438"/>
      <c r="BE536" s="438"/>
      <c r="BF536" s="438"/>
      <c r="BG536" s="438"/>
      <c r="BH536" s="438"/>
    </row>
    <row r="537">
      <c r="A537" s="140"/>
      <c r="B537" s="456"/>
      <c r="C537" s="142"/>
      <c r="D537" s="142"/>
      <c r="E537" s="142"/>
      <c r="F537" s="140"/>
      <c r="G537" s="456"/>
      <c r="H537" s="142"/>
      <c r="I537" s="142"/>
      <c r="J537" s="142"/>
      <c r="K537" s="125"/>
      <c r="L537" s="456"/>
      <c r="M537" s="142"/>
      <c r="N537" s="142"/>
      <c r="O537" s="142"/>
      <c r="P537" s="125"/>
      <c r="Q537" s="450"/>
      <c r="R537" s="142"/>
      <c r="S537" s="142"/>
      <c r="T537" s="142"/>
      <c r="U537" s="140"/>
      <c r="V537" s="456"/>
      <c r="W537" s="142"/>
      <c r="X537" s="142"/>
      <c r="Y537" s="142"/>
      <c r="Z537" s="140"/>
      <c r="AA537" s="456"/>
      <c r="AB537" s="142"/>
      <c r="AC537" s="142"/>
      <c r="AD537" s="142"/>
      <c r="AE537" s="140"/>
      <c r="AF537" s="456"/>
      <c r="AG537" s="142"/>
      <c r="AH537" s="142"/>
      <c r="AI537" s="142"/>
      <c r="AJ537" s="140"/>
      <c r="AK537" s="456"/>
      <c r="AL537" s="142"/>
      <c r="AM537" s="142"/>
      <c r="AN537" s="142"/>
      <c r="AO537" s="438"/>
      <c r="AP537" s="438"/>
      <c r="AQ537" s="438"/>
      <c r="AR537" s="438"/>
      <c r="AS537" s="438"/>
      <c r="AT537" s="438"/>
      <c r="AU537" s="438"/>
      <c r="AV537" s="438"/>
      <c r="AW537" s="438"/>
      <c r="AX537" s="438"/>
      <c r="AY537" s="438"/>
      <c r="AZ537" s="438"/>
      <c r="BA537" s="438"/>
      <c r="BB537" s="438"/>
      <c r="BC537" s="438"/>
      <c r="BD537" s="438"/>
      <c r="BE537" s="438"/>
      <c r="BF537" s="438"/>
      <c r="BG537" s="438"/>
      <c r="BH537" s="438"/>
    </row>
    <row r="538">
      <c r="A538" s="140"/>
      <c r="B538" s="456"/>
      <c r="C538" s="142"/>
      <c r="D538" s="142"/>
      <c r="E538" s="142"/>
      <c r="F538" s="140"/>
      <c r="G538" s="456"/>
      <c r="H538" s="142"/>
      <c r="I538" s="142"/>
      <c r="J538" s="142"/>
      <c r="K538" s="125"/>
      <c r="L538" s="456"/>
      <c r="M538" s="142"/>
      <c r="N538" s="142"/>
      <c r="O538" s="142"/>
      <c r="P538" s="125"/>
      <c r="Q538" s="450"/>
      <c r="R538" s="142"/>
      <c r="S538" s="142"/>
      <c r="T538" s="142"/>
      <c r="U538" s="140"/>
      <c r="V538" s="456"/>
      <c r="W538" s="142"/>
      <c r="X538" s="142"/>
      <c r="Y538" s="142"/>
      <c r="Z538" s="140"/>
      <c r="AA538" s="456"/>
      <c r="AB538" s="142"/>
      <c r="AC538" s="142"/>
      <c r="AD538" s="142"/>
      <c r="AE538" s="140"/>
      <c r="AF538" s="456"/>
      <c r="AG538" s="142"/>
      <c r="AH538" s="142"/>
      <c r="AI538" s="142"/>
      <c r="AJ538" s="140"/>
      <c r="AK538" s="456"/>
      <c r="AL538" s="142"/>
      <c r="AM538" s="142"/>
      <c r="AN538" s="142"/>
      <c r="AO538" s="438"/>
      <c r="AP538" s="438"/>
      <c r="AQ538" s="438"/>
      <c r="AR538" s="438"/>
      <c r="AS538" s="438"/>
      <c r="AT538" s="438"/>
      <c r="AU538" s="438"/>
      <c r="AV538" s="438"/>
      <c r="AW538" s="438"/>
      <c r="AX538" s="438"/>
      <c r="AY538" s="438"/>
      <c r="AZ538" s="438"/>
      <c r="BA538" s="438"/>
      <c r="BB538" s="438"/>
      <c r="BC538" s="438"/>
      <c r="BD538" s="438"/>
      <c r="BE538" s="438"/>
      <c r="BF538" s="438"/>
      <c r="BG538" s="438"/>
      <c r="BH538" s="438"/>
    </row>
    <row r="539">
      <c r="A539" s="140"/>
      <c r="B539" s="456"/>
      <c r="C539" s="142"/>
      <c r="D539" s="142"/>
      <c r="E539" s="142"/>
      <c r="F539" s="140"/>
      <c r="G539" s="456"/>
      <c r="H539" s="142"/>
      <c r="I539" s="142"/>
      <c r="J539" s="142"/>
      <c r="K539" s="125"/>
      <c r="L539" s="456"/>
      <c r="M539" s="142"/>
      <c r="N539" s="142"/>
      <c r="O539" s="142"/>
      <c r="P539" s="125"/>
      <c r="Q539" s="450"/>
      <c r="R539" s="142"/>
      <c r="S539" s="142"/>
      <c r="T539" s="142"/>
      <c r="U539" s="140"/>
      <c r="V539" s="456"/>
      <c r="W539" s="142"/>
      <c r="X539" s="142"/>
      <c r="Y539" s="142"/>
      <c r="Z539" s="140"/>
      <c r="AA539" s="456"/>
      <c r="AB539" s="142"/>
      <c r="AC539" s="142"/>
      <c r="AD539" s="142"/>
      <c r="AE539" s="140"/>
      <c r="AF539" s="456"/>
      <c r="AG539" s="142"/>
      <c r="AH539" s="142"/>
      <c r="AI539" s="142"/>
      <c r="AJ539" s="140"/>
      <c r="AK539" s="456"/>
      <c r="AL539" s="142"/>
      <c r="AM539" s="142"/>
      <c r="AN539" s="142"/>
      <c r="AO539" s="438"/>
      <c r="AP539" s="438"/>
      <c r="AQ539" s="438"/>
      <c r="AR539" s="438"/>
      <c r="AS539" s="438"/>
      <c r="AT539" s="438"/>
      <c r="AU539" s="438"/>
      <c r="AV539" s="438"/>
      <c r="AW539" s="438"/>
      <c r="AX539" s="438"/>
      <c r="AY539" s="438"/>
      <c r="AZ539" s="438"/>
      <c r="BA539" s="438"/>
      <c r="BB539" s="438"/>
      <c r="BC539" s="438"/>
      <c r="BD539" s="438"/>
      <c r="BE539" s="438"/>
      <c r="BF539" s="438"/>
      <c r="BG539" s="438"/>
      <c r="BH539" s="438"/>
    </row>
    <row r="540">
      <c r="A540" s="140"/>
      <c r="B540" s="456"/>
      <c r="C540" s="142"/>
      <c r="D540" s="142"/>
      <c r="E540" s="142"/>
      <c r="F540" s="140"/>
      <c r="G540" s="456"/>
      <c r="H540" s="142"/>
      <c r="I540" s="142"/>
      <c r="J540" s="142"/>
      <c r="K540" s="125"/>
      <c r="L540" s="456"/>
      <c r="M540" s="142"/>
      <c r="N540" s="142"/>
      <c r="O540" s="142"/>
      <c r="P540" s="125"/>
      <c r="Q540" s="450"/>
      <c r="R540" s="142"/>
      <c r="S540" s="142"/>
      <c r="T540" s="142"/>
      <c r="U540" s="140"/>
      <c r="V540" s="456"/>
      <c r="W540" s="142"/>
      <c r="X540" s="142"/>
      <c r="Y540" s="142"/>
      <c r="Z540" s="140"/>
      <c r="AA540" s="456"/>
      <c r="AB540" s="142"/>
      <c r="AC540" s="142"/>
      <c r="AD540" s="142"/>
      <c r="AE540" s="140"/>
      <c r="AF540" s="456"/>
      <c r="AG540" s="142"/>
      <c r="AH540" s="142"/>
      <c r="AI540" s="142"/>
      <c r="AJ540" s="140"/>
      <c r="AK540" s="456"/>
      <c r="AL540" s="142"/>
      <c r="AM540" s="142"/>
      <c r="AN540" s="142"/>
      <c r="AO540" s="438"/>
      <c r="AP540" s="438"/>
      <c r="AQ540" s="438"/>
      <c r="AR540" s="438"/>
      <c r="AS540" s="438"/>
      <c r="AT540" s="438"/>
      <c r="AU540" s="438"/>
      <c r="AV540" s="438"/>
      <c r="AW540" s="438"/>
      <c r="AX540" s="438"/>
      <c r="AY540" s="438"/>
      <c r="AZ540" s="438"/>
      <c r="BA540" s="438"/>
      <c r="BB540" s="438"/>
      <c r="BC540" s="438"/>
      <c r="BD540" s="438"/>
      <c r="BE540" s="438"/>
      <c r="BF540" s="438"/>
      <c r="BG540" s="438"/>
      <c r="BH540" s="438"/>
    </row>
    <row r="541">
      <c r="A541" s="140"/>
      <c r="B541" s="456"/>
      <c r="C541" s="142"/>
      <c r="D541" s="142"/>
      <c r="E541" s="142"/>
      <c r="F541" s="140"/>
      <c r="G541" s="456"/>
      <c r="H541" s="142"/>
      <c r="I541" s="142"/>
      <c r="J541" s="142"/>
      <c r="K541" s="125"/>
      <c r="L541" s="456"/>
      <c r="M541" s="142"/>
      <c r="N541" s="142"/>
      <c r="O541" s="142"/>
      <c r="P541" s="125"/>
      <c r="Q541" s="450"/>
      <c r="R541" s="142"/>
      <c r="S541" s="142"/>
      <c r="T541" s="142"/>
      <c r="U541" s="140"/>
      <c r="V541" s="456"/>
      <c r="W541" s="142"/>
      <c r="X541" s="142"/>
      <c r="Y541" s="142"/>
      <c r="Z541" s="140"/>
      <c r="AA541" s="456"/>
      <c r="AB541" s="142"/>
      <c r="AC541" s="142"/>
      <c r="AD541" s="142"/>
      <c r="AE541" s="140"/>
      <c r="AF541" s="456"/>
      <c r="AG541" s="142"/>
      <c r="AH541" s="142"/>
      <c r="AI541" s="142"/>
      <c r="AJ541" s="140"/>
      <c r="AK541" s="456"/>
      <c r="AL541" s="142"/>
      <c r="AM541" s="142"/>
      <c r="AN541" s="142"/>
      <c r="AO541" s="438"/>
      <c r="AP541" s="438"/>
      <c r="AQ541" s="438"/>
      <c r="AR541" s="438"/>
      <c r="AS541" s="438"/>
      <c r="AT541" s="438"/>
      <c r="AU541" s="438"/>
      <c r="AV541" s="438"/>
      <c r="AW541" s="438"/>
      <c r="AX541" s="438"/>
      <c r="AY541" s="438"/>
      <c r="AZ541" s="438"/>
      <c r="BA541" s="438"/>
      <c r="BB541" s="438"/>
      <c r="BC541" s="438"/>
      <c r="BD541" s="438"/>
      <c r="BE541" s="438"/>
      <c r="BF541" s="438"/>
      <c r="BG541" s="438"/>
      <c r="BH541" s="438"/>
    </row>
    <row r="542">
      <c r="A542" s="140"/>
      <c r="B542" s="456"/>
      <c r="C542" s="142"/>
      <c r="D542" s="142"/>
      <c r="E542" s="142"/>
      <c r="F542" s="140"/>
      <c r="G542" s="456"/>
      <c r="H542" s="142"/>
      <c r="I542" s="142"/>
      <c r="J542" s="142"/>
      <c r="K542" s="125"/>
      <c r="L542" s="456"/>
      <c r="M542" s="142"/>
      <c r="N542" s="142"/>
      <c r="O542" s="142"/>
      <c r="P542" s="125"/>
      <c r="Q542" s="450"/>
      <c r="R542" s="142"/>
      <c r="S542" s="142"/>
      <c r="T542" s="142"/>
      <c r="U542" s="140"/>
      <c r="V542" s="456"/>
      <c r="W542" s="142"/>
      <c r="X542" s="142"/>
      <c r="Y542" s="142"/>
      <c r="Z542" s="140"/>
      <c r="AA542" s="456"/>
      <c r="AB542" s="142"/>
      <c r="AC542" s="142"/>
      <c r="AD542" s="142"/>
      <c r="AE542" s="140"/>
      <c r="AF542" s="456"/>
      <c r="AG542" s="142"/>
      <c r="AH542" s="142"/>
      <c r="AI542" s="142"/>
      <c r="AJ542" s="140"/>
      <c r="AK542" s="456"/>
      <c r="AL542" s="142"/>
      <c r="AM542" s="142"/>
      <c r="AN542" s="142"/>
      <c r="AO542" s="438"/>
      <c r="AP542" s="438"/>
      <c r="AQ542" s="438"/>
      <c r="AR542" s="438"/>
      <c r="AS542" s="438"/>
      <c r="AT542" s="438"/>
      <c r="AU542" s="438"/>
      <c r="AV542" s="438"/>
      <c r="AW542" s="438"/>
      <c r="AX542" s="438"/>
      <c r="AY542" s="438"/>
      <c r="AZ542" s="438"/>
      <c r="BA542" s="438"/>
      <c r="BB542" s="438"/>
      <c r="BC542" s="438"/>
      <c r="BD542" s="438"/>
      <c r="BE542" s="438"/>
      <c r="BF542" s="438"/>
      <c r="BG542" s="438"/>
      <c r="BH542" s="438"/>
    </row>
    <row r="543">
      <c r="A543" s="140"/>
      <c r="B543" s="456"/>
      <c r="C543" s="142"/>
      <c r="D543" s="142"/>
      <c r="E543" s="142"/>
      <c r="F543" s="140"/>
      <c r="G543" s="456"/>
      <c r="H543" s="142"/>
      <c r="I543" s="142"/>
      <c r="J543" s="142"/>
      <c r="K543" s="125"/>
      <c r="L543" s="456"/>
      <c r="M543" s="142"/>
      <c r="N543" s="142"/>
      <c r="O543" s="142"/>
      <c r="P543" s="125"/>
      <c r="Q543" s="450"/>
      <c r="R543" s="142"/>
      <c r="S543" s="142"/>
      <c r="T543" s="142"/>
      <c r="U543" s="140"/>
      <c r="V543" s="456"/>
      <c r="W543" s="142"/>
      <c r="X543" s="142"/>
      <c r="Y543" s="142"/>
      <c r="Z543" s="140"/>
      <c r="AA543" s="456"/>
      <c r="AB543" s="142"/>
      <c r="AC543" s="142"/>
      <c r="AD543" s="142"/>
      <c r="AE543" s="140"/>
      <c r="AF543" s="456"/>
      <c r="AG543" s="142"/>
      <c r="AH543" s="142"/>
      <c r="AI543" s="142"/>
      <c r="AJ543" s="140"/>
      <c r="AK543" s="456"/>
      <c r="AL543" s="142"/>
      <c r="AM543" s="142"/>
      <c r="AN543" s="142"/>
      <c r="AO543" s="438"/>
      <c r="AP543" s="438"/>
      <c r="AQ543" s="438"/>
      <c r="AR543" s="438"/>
      <c r="AS543" s="438"/>
      <c r="AT543" s="438"/>
      <c r="AU543" s="438"/>
      <c r="AV543" s="438"/>
      <c r="AW543" s="438"/>
      <c r="AX543" s="438"/>
      <c r="AY543" s="438"/>
      <c r="AZ543" s="438"/>
      <c r="BA543" s="438"/>
      <c r="BB543" s="438"/>
      <c r="BC543" s="438"/>
      <c r="BD543" s="438"/>
      <c r="BE543" s="438"/>
      <c r="BF543" s="438"/>
      <c r="BG543" s="438"/>
      <c r="BH543" s="438"/>
    </row>
    <row r="544">
      <c r="A544" s="140"/>
      <c r="B544" s="456"/>
      <c r="C544" s="142"/>
      <c r="D544" s="142"/>
      <c r="E544" s="142"/>
      <c r="F544" s="140"/>
      <c r="G544" s="456"/>
      <c r="H544" s="142"/>
      <c r="I544" s="142"/>
      <c r="J544" s="142"/>
      <c r="K544" s="125"/>
      <c r="L544" s="456"/>
      <c r="M544" s="142"/>
      <c r="N544" s="142"/>
      <c r="O544" s="142"/>
      <c r="P544" s="125"/>
      <c r="Q544" s="450"/>
      <c r="R544" s="142"/>
      <c r="S544" s="142"/>
      <c r="T544" s="142"/>
      <c r="U544" s="140"/>
      <c r="V544" s="456"/>
      <c r="W544" s="142"/>
      <c r="X544" s="142"/>
      <c r="Y544" s="142"/>
      <c r="Z544" s="140"/>
      <c r="AA544" s="456"/>
      <c r="AB544" s="142"/>
      <c r="AC544" s="142"/>
      <c r="AD544" s="142"/>
      <c r="AE544" s="140"/>
      <c r="AF544" s="456"/>
      <c r="AG544" s="142"/>
      <c r="AH544" s="142"/>
      <c r="AI544" s="142"/>
      <c r="AJ544" s="140"/>
      <c r="AK544" s="456"/>
      <c r="AL544" s="142"/>
      <c r="AM544" s="142"/>
      <c r="AN544" s="142"/>
      <c r="AO544" s="438"/>
      <c r="AP544" s="438"/>
      <c r="AQ544" s="438"/>
      <c r="AR544" s="438"/>
      <c r="AS544" s="438"/>
      <c r="AT544" s="438"/>
      <c r="AU544" s="438"/>
      <c r="AV544" s="438"/>
      <c r="AW544" s="438"/>
      <c r="AX544" s="438"/>
      <c r="AY544" s="438"/>
      <c r="AZ544" s="438"/>
      <c r="BA544" s="438"/>
      <c r="BB544" s="438"/>
      <c r="BC544" s="438"/>
      <c r="BD544" s="438"/>
      <c r="BE544" s="438"/>
      <c r="BF544" s="438"/>
      <c r="BG544" s="438"/>
      <c r="BH544" s="438"/>
    </row>
    <row r="545">
      <c r="A545" s="140"/>
      <c r="B545" s="456"/>
      <c r="C545" s="142"/>
      <c r="D545" s="142"/>
      <c r="E545" s="142"/>
      <c r="F545" s="140"/>
      <c r="G545" s="456"/>
      <c r="H545" s="142"/>
      <c r="I545" s="142"/>
      <c r="J545" s="142"/>
      <c r="K545" s="125"/>
      <c r="L545" s="456"/>
      <c r="M545" s="142"/>
      <c r="N545" s="142"/>
      <c r="O545" s="142"/>
      <c r="P545" s="125"/>
      <c r="Q545" s="450"/>
      <c r="R545" s="142"/>
      <c r="S545" s="142"/>
      <c r="T545" s="142"/>
      <c r="U545" s="140"/>
      <c r="V545" s="456"/>
      <c r="W545" s="142"/>
      <c r="X545" s="142"/>
      <c r="Y545" s="142"/>
      <c r="Z545" s="140"/>
      <c r="AA545" s="456"/>
      <c r="AB545" s="142"/>
      <c r="AC545" s="142"/>
      <c r="AD545" s="142"/>
      <c r="AE545" s="140"/>
      <c r="AF545" s="456"/>
      <c r="AG545" s="142"/>
      <c r="AH545" s="142"/>
      <c r="AI545" s="142"/>
      <c r="AJ545" s="140"/>
      <c r="AK545" s="456"/>
      <c r="AL545" s="142"/>
      <c r="AM545" s="142"/>
      <c r="AN545" s="142"/>
      <c r="AO545" s="438"/>
      <c r="AP545" s="438"/>
      <c r="AQ545" s="438"/>
      <c r="AR545" s="438"/>
      <c r="AS545" s="438"/>
      <c r="AT545" s="438"/>
      <c r="AU545" s="438"/>
      <c r="AV545" s="438"/>
      <c r="AW545" s="438"/>
      <c r="AX545" s="438"/>
      <c r="AY545" s="438"/>
      <c r="AZ545" s="438"/>
      <c r="BA545" s="438"/>
      <c r="BB545" s="438"/>
      <c r="BC545" s="438"/>
      <c r="BD545" s="438"/>
      <c r="BE545" s="438"/>
      <c r="BF545" s="438"/>
      <c r="BG545" s="438"/>
      <c r="BH545" s="438"/>
    </row>
    <row r="546">
      <c r="A546" s="140"/>
      <c r="B546" s="456"/>
      <c r="C546" s="142"/>
      <c r="D546" s="142"/>
      <c r="E546" s="142"/>
      <c r="F546" s="140"/>
      <c r="G546" s="456"/>
      <c r="H546" s="142"/>
      <c r="I546" s="142"/>
      <c r="J546" s="142"/>
      <c r="K546" s="125"/>
      <c r="L546" s="456"/>
      <c r="M546" s="142"/>
      <c r="N546" s="142"/>
      <c r="O546" s="142"/>
      <c r="P546" s="125"/>
      <c r="Q546" s="450"/>
      <c r="R546" s="142"/>
      <c r="S546" s="142"/>
      <c r="T546" s="142"/>
      <c r="U546" s="140"/>
      <c r="V546" s="456"/>
      <c r="W546" s="142"/>
      <c r="X546" s="142"/>
      <c r="Y546" s="142"/>
      <c r="Z546" s="140"/>
      <c r="AA546" s="456"/>
      <c r="AB546" s="142"/>
      <c r="AC546" s="142"/>
      <c r="AD546" s="142"/>
      <c r="AE546" s="140"/>
      <c r="AF546" s="456"/>
      <c r="AG546" s="142"/>
      <c r="AH546" s="142"/>
      <c r="AI546" s="142"/>
      <c r="AJ546" s="140"/>
      <c r="AK546" s="456"/>
      <c r="AL546" s="142"/>
      <c r="AM546" s="142"/>
      <c r="AN546" s="142"/>
      <c r="AO546" s="438"/>
      <c r="AP546" s="438"/>
      <c r="AQ546" s="438"/>
      <c r="AR546" s="438"/>
      <c r="AS546" s="438"/>
      <c r="AT546" s="438"/>
      <c r="AU546" s="438"/>
      <c r="AV546" s="438"/>
      <c r="AW546" s="438"/>
      <c r="AX546" s="438"/>
      <c r="AY546" s="438"/>
      <c r="AZ546" s="438"/>
      <c r="BA546" s="438"/>
      <c r="BB546" s="438"/>
      <c r="BC546" s="438"/>
      <c r="BD546" s="438"/>
      <c r="BE546" s="438"/>
      <c r="BF546" s="438"/>
      <c r="BG546" s="438"/>
      <c r="BH546" s="438"/>
    </row>
    <row r="547">
      <c r="A547" s="140"/>
      <c r="B547" s="456"/>
      <c r="C547" s="142"/>
      <c r="D547" s="142"/>
      <c r="E547" s="142"/>
      <c r="F547" s="140"/>
      <c r="G547" s="456"/>
      <c r="H547" s="142"/>
      <c r="I547" s="142"/>
      <c r="J547" s="142"/>
      <c r="K547" s="125"/>
      <c r="L547" s="456"/>
      <c r="M547" s="142"/>
      <c r="N547" s="142"/>
      <c r="O547" s="142"/>
      <c r="P547" s="125"/>
      <c r="Q547" s="450"/>
      <c r="R547" s="142"/>
      <c r="S547" s="142"/>
      <c r="T547" s="142"/>
      <c r="U547" s="140"/>
      <c r="V547" s="456"/>
      <c r="W547" s="142"/>
      <c r="X547" s="142"/>
      <c r="Y547" s="142"/>
      <c r="Z547" s="140"/>
      <c r="AA547" s="456"/>
      <c r="AB547" s="142"/>
      <c r="AC547" s="142"/>
      <c r="AD547" s="142"/>
      <c r="AE547" s="140"/>
      <c r="AF547" s="456"/>
      <c r="AG547" s="142"/>
      <c r="AH547" s="142"/>
      <c r="AI547" s="142"/>
      <c r="AJ547" s="140"/>
      <c r="AK547" s="456"/>
      <c r="AL547" s="142"/>
      <c r="AM547" s="142"/>
      <c r="AN547" s="142"/>
      <c r="AO547" s="438"/>
      <c r="AP547" s="438"/>
      <c r="AQ547" s="438"/>
      <c r="AR547" s="438"/>
      <c r="AS547" s="438"/>
      <c r="AT547" s="438"/>
      <c r="AU547" s="438"/>
      <c r="AV547" s="438"/>
      <c r="AW547" s="438"/>
      <c r="AX547" s="438"/>
      <c r="AY547" s="438"/>
      <c r="AZ547" s="438"/>
      <c r="BA547" s="438"/>
      <c r="BB547" s="438"/>
      <c r="BC547" s="438"/>
      <c r="BD547" s="438"/>
      <c r="BE547" s="438"/>
      <c r="BF547" s="438"/>
      <c r="BG547" s="438"/>
      <c r="BH547" s="438"/>
    </row>
    <row r="548">
      <c r="A548" s="140"/>
      <c r="B548" s="456"/>
      <c r="C548" s="142"/>
      <c r="D548" s="142"/>
      <c r="E548" s="142"/>
      <c r="F548" s="140"/>
      <c r="G548" s="456"/>
      <c r="H548" s="142"/>
      <c r="I548" s="142"/>
      <c r="J548" s="142"/>
      <c r="K548" s="125"/>
      <c r="L548" s="456"/>
      <c r="M548" s="142"/>
      <c r="N548" s="142"/>
      <c r="O548" s="142"/>
      <c r="P548" s="125"/>
      <c r="Q548" s="450"/>
      <c r="R548" s="142"/>
      <c r="S548" s="142"/>
      <c r="T548" s="142"/>
      <c r="U548" s="140"/>
      <c r="V548" s="456"/>
      <c r="W548" s="142"/>
      <c r="X548" s="142"/>
      <c r="Y548" s="142"/>
      <c r="Z548" s="140"/>
      <c r="AA548" s="456"/>
      <c r="AB548" s="142"/>
      <c r="AC548" s="142"/>
      <c r="AD548" s="142"/>
      <c r="AE548" s="140"/>
      <c r="AF548" s="456"/>
      <c r="AG548" s="142"/>
      <c r="AH548" s="142"/>
      <c r="AI548" s="142"/>
      <c r="AJ548" s="140"/>
      <c r="AK548" s="456"/>
      <c r="AL548" s="142"/>
      <c r="AM548" s="142"/>
      <c r="AN548" s="142"/>
      <c r="AO548" s="438"/>
      <c r="AP548" s="438"/>
      <c r="AQ548" s="438"/>
      <c r="AR548" s="438"/>
      <c r="AS548" s="438"/>
      <c r="AT548" s="438"/>
      <c r="AU548" s="438"/>
      <c r="AV548" s="438"/>
      <c r="AW548" s="438"/>
      <c r="AX548" s="438"/>
      <c r="AY548" s="438"/>
      <c r="AZ548" s="438"/>
      <c r="BA548" s="438"/>
      <c r="BB548" s="438"/>
      <c r="BC548" s="438"/>
      <c r="BD548" s="438"/>
      <c r="BE548" s="438"/>
      <c r="BF548" s="438"/>
      <c r="BG548" s="438"/>
      <c r="BH548" s="438"/>
    </row>
    <row r="549">
      <c r="A549" s="140"/>
      <c r="B549" s="456"/>
      <c r="C549" s="142"/>
      <c r="D549" s="142"/>
      <c r="E549" s="142"/>
      <c r="F549" s="140"/>
      <c r="G549" s="456"/>
      <c r="H549" s="142"/>
      <c r="I549" s="142"/>
      <c r="J549" s="142"/>
      <c r="K549" s="125"/>
      <c r="L549" s="456"/>
      <c r="M549" s="142"/>
      <c r="N549" s="142"/>
      <c r="O549" s="142"/>
      <c r="P549" s="125"/>
      <c r="Q549" s="450"/>
      <c r="R549" s="142"/>
      <c r="S549" s="142"/>
      <c r="T549" s="142"/>
      <c r="U549" s="140"/>
      <c r="V549" s="456"/>
      <c r="W549" s="142"/>
      <c r="X549" s="142"/>
      <c r="Y549" s="142"/>
      <c r="Z549" s="140"/>
      <c r="AA549" s="456"/>
      <c r="AB549" s="142"/>
      <c r="AC549" s="142"/>
      <c r="AD549" s="142"/>
      <c r="AE549" s="140"/>
      <c r="AF549" s="456"/>
      <c r="AG549" s="142"/>
      <c r="AH549" s="142"/>
      <c r="AI549" s="142"/>
      <c r="AJ549" s="140"/>
      <c r="AK549" s="456"/>
      <c r="AL549" s="142"/>
      <c r="AM549" s="142"/>
      <c r="AN549" s="142"/>
      <c r="AO549" s="438"/>
      <c r="AP549" s="438"/>
      <c r="AQ549" s="438"/>
      <c r="AR549" s="438"/>
      <c r="AS549" s="438"/>
      <c r="AT549" s="438"/>
      <c r="AU549" s="438"/>
      <c r="AV549" s="438"/>
      <c r="AW549" s="438"/>
      <c r="AX549" s="438"/>
      <c r="AY549" s="438"/>
      <c r="AZ549" s="438"/>
      <c r="BA549" s="438"/>
      <c r="BB549" s="438"/>
      <c r="BC549" s="438"/>
      <c r="BD549" s="438"/>
      <c r="BE549" s="438"/>
      <c r="BF549" s="438"/>
      <c r="BG549" s="438"/>
      <c r="BH549" s="438"/>
    </row>
    <row r="550">
      <c r="A550" s="140"/>
      <c r="B550" s="456"/>
      <c r="C550" s="142"/>
      <c r="D550" s="142"/>
      <c r="E550" s="142"/>
      <c r="F550" s="140"/>
      <c r="G550" s="456"/>
      <c r="H550" s="142"/>
      <c r="I550" s="142"/>
      <c r="J550" s="142"/>
      <c r="K550" s="125"/>
      <c r="L550" s="456"/>
      <c r="M550" s="142"/>
      <c r="N550" s="142"/>
      <c r="O550" s="142"/>
      <c r="P550" s="125"/>
      <c r="Q550" s="450"/>
      <c r="R550" s="142"/>
      <c r="S550" s="142"/>
      <c r="T550" s="142"/>
      <c r="U550" s="140"/>
      <c r="V550" s="456"/>
      <c r="W550" s="142"/>
      <c r="X550" s="142"/>
      <c r="Y550" s="142"/>
      <c r="Z550" s="140"/>
      <c r="AA550" s="456"/>
      <c r="AB550" s="142"/>
      <c r="AC550" s="142"/>
      <c r="AD550" s="142"/>
      <c r="AE550" s="140"/>
      <c r="AF550" s="456"/>
      <c r="AG550" s="142"/>
      <c r="AH550" s="142"/>
      <c r="AI550" s="142"/>
      <c r="AJ550" s="140"/>
      <c r="AK550" s="456"/>
      <c r="AL550" s="142"/>
      <c r="AM550" s="142"/>
      <c r="AN550" s="142"/>
      <c r="AO550" s="438"/>
      <c r="AP550" s="438"/>
      <c r="AQ550" s="438"/>
      <c r="AR550" s="438"/>
      <c r="AS550" s="438"/>
      <c r="AT550" s="438"/>
      <c r="AU550" s="438"/>
      <c r="AV550" s="438"/>
      <c r="AW550" s="438"/>
      <c r="AX550" s="438"/>
      <c r="AY550" s="438"/>
      <c r="AZ550" s="438"/>
      <c r="BA550" s="438"/>
      <c r="BB550" s="438"/>
      <c r="BC550" s="438"/>
      <c r="BD550" s="438"/>
      <c r="BE550" s="438"/>
      <c r="BF550" s="438"/>
      <c r="BG550" s="438"/>
      <c r="BH550" s="438"/>
    </row>
    <row r="551">
      <c r="A551" s="140"/>
      <c r="B551" s="456"/>
      <c r="C551" s="142"/>
      <c r="D551" s="142"/>
      <c r="E551" s="142"/>
      <c r="F551" s="140"/>
      <c r="G551" s="456"/>
      <c r="H551" s="142"/>
      <c r="I551" s="142"/>
      <c r="J551" s="142"/>
      <c r="K551" s="125"/>
      <c r="L551" s="456"/>
      <c r="M551" s="142"/>
      <c r="N551" s="142"/>
      <c r="O551" s="142"/>
      <c r="P551" s="125"/>
      <c r="Q551" s="450"/>
      <c r="R551" s="142"/>
      <c r="S551" s="142"/>
      <c r="T551" s="142"/>
      <c r="U551" s="140"/>
      <c r="V551" s="456"/>
      <c r="W551" s="142"/>
      <c r="X551" s="142"/>
      <c r="Y551" s="142"/>
      <c r="Z551" s="140"/>
      <c r="AA551" s="456"/>
      <c r="AB551" s="142"/>
      <c r="AC551" s="142"/>
      <c r="AD551" s="142"/>
      <c r="AE551" s="140"/>
      <c r="AF551" s="456"/>
      <c r="AG551" s="142"/>
      <c r="AH551" s="142"/>
      <c r="AI551" s="142"/>
      <c r="AJ551" s="140"/>
      <c r="AK551" s="456"/>
      <c r="AL551" s="142"/>
      <c r="AM551" s="142"/>
      <c r="AN551" s="142"/>
      <c r="AO551" s="438"/>
      <c r="AP551" s="438"/>
      <c r="AQ551" s="438"/>
      <c r="AR551" s="438"/>
      <c r="AS551" s="438"/>
      <c r="AT551" s="438"/>
      <c r="AU551" s="438"/>
      <c r="AV551" s="438"/>
      <c r="AW551" s="438"/>
      <c r="AX551" s="438"/>
      <c r="AY551" s="438"/>
      <c r="AZ551" s="438"/>
      <c r="BA551" s="438"/>
      <c r="BB551" s="438"/>
      <c r="BC551" s="438"/>
      <c r="BD551" s="438"/>
      <c r="BE551" s="438"/>
      <c r="BF551" s="438"/>
      <c r="BG551" s="438"/>
      <c r="BH551" s="438"/>
    </row>
    <row r="552">
      <c r="A552" s="140"/>
      <c r="B552" s="456"/>
      <c r="C552" s="142"/>
      <c r="D552" s="142"/>
      <c r="E552" s="142"/>
      <c r="F552" s="140"/>
      <c r="G552" s="456"/>
      <c r="H552" s="142"/>
      <c r="I552" s="142"/>
      <c r="J552" s="142"/>
      <c r="K552" s="125"/>
      <c r="L552" s="456"/>
      <c r="M552" s="142"/>
      <c r="N552" s="142"/>
      <c r="O552" s="142"/>
      <c r="P552" s="125"/>
      <c r="Q552" s="450"/>
      <c r="R552" s="142"/>
      <c r="S552" s="142"/>
      <c r="T552" s="142"/>
      <c r="U552" s="140"/>
      <c r="V552" s="456"/>
      <c r="W552" s="142"/>
      <c r="X552" s="142"/>
      <c r="Y552" s="142"/>
      <c r="Z552" s="140"/>
      <c r="AA552" s="456"/>
      <c r="AB552" s="142"/>
      <c r="AC552" s="142"/>
      <c r="AD552" s="142"/>
      <c r="AE552" s="140"/>
      <c r="AF552" s="456"/>
      <c r="AG552" s="142"/>
      <c r="AH552" s="142"/>
      <c r="AI552" s="142"/>
      <c r="AJ552" s="140"/>
      <c r="AK552" s="456"/>
      <c r="AL552" s="142"/>
      <c r="AM552" s="142"/>
      <c r="AN552" s="142"/>
      <c r="AO552" s="438"/>
      <c r="AP552" s="438"/>
      <c r="AQ552" s="438"/>
      <c r="AR552" s="438"/>
      <c r="AS552" s="438"/>
      <c r="AT552" s="438"/>
      <c r="AU552" s="438"/>
      <c r="AV552" s="438"/>
      <c r="AW552" s="438"/>
      <c r="AX552" s="438"/>
      <c r="AY552" s="438"/>
      <c r="AZ552" s="438"/>
      <c r="BA552" s="438"/>
      <c r="BB552" s="438"/>
      <c r="BC552" s="438"/>
      <c r="BD552" s="438"/>
      <c r="BE552" s="438"/>
      <c r="BF552" s="438"/>
      <c r="BG552" s="438"/>
      <c r="BH552" s="438"/>
    </row>
    <row r="553">
      <c r="A553" s="140"/>
      <c r="B553" s="456"/>
      <c r="C553" s="142"/>
      <c r="D553" s="142"/>
      <c r="E553" s="142"/>
      <c r="F553" s="140"/>
      <c r="G553" s="456"/>
      <c r="H553" s="142"/>
      <c r="I553" s="142"/>
      <c r="J553" s="142"/>
      <c r="K553" s="125"/>
      <c r="L553" s="456"/>
      <c r="M553" s="142"/>
      <c r="N553" s="142"/>
      <c r="O553" s="142"/>
      <c r="P553" s="125"/>
      <c r="Q553" s="450"/>
      <c r="R553" s="142"/>
      <c r="S553" s="142"/>
      <c r="T553" s="142"/>
      <c r="U553" s="140"/>
      <c r="V553" s="456"/>
      <c r="W553" s="142"/>
      <c r="X553" s="142"/>
      <c r="Y553" s="142"/>
      <c r="Z553" s="140"/>
      <c r="AA553" s="456"/>
      <c r="AB553" s="142"/>
      <c r="AC553" s="142"/>
      <c r="AD553" s="142"/>
      <c r="AE553" s="140"/>
      <c r="AF553" s="456"/>
      <c r="AG553" s="142"/>
      <c r="AH553" s="142"/>
      <c r="AI553" s="142"/>
      <c r="AJ553" s="140"/>
      <c r="AK553" s="456"/>
      <c r="AL553" s="142"/>
      <c r="AM553" s="142"/>
      <c r="AN553" s="142"/>
      <c r="AO553" s="438"/>
      <c r="AP553" s="438"/>
      <c r="AQ553" s="438"/>
      <c r="AR553" s="438"/>
      <c r="AS553" s="438"/>
      <c r="AT553" s="438"/>
      <c r="AU553" s="438"/>
      <c r="AV553" s="438"/>
      <c r="AW553" s="438"/>
      <c r="AX553" s="438"/>
      <c r="AY553" s="438"/>
      <c r="AZ553" s="438"/>
      <c r="BA553" s="438"/>
      <c r="BB553" s="438"/>
      <c r="BC553" s="438"/>
      <c r="BD553" s="438"/>
      <c r="BE553" s="438"/>
      <c r="BF553" s="438"/>
      <c r="BG553" s="438"/>
      <c r="BH553" s="438"/>
    </row>
    <row r="554">
      <c r="A554" s="140"/>
      <c r="B554" s="456"/>
      <c r="C554" s="142"/>
      <c r="D554" s="142"/>
      <c r="E554" s="142"/>
      <c r="F554" s="140"/>
      <c r="G554" s="456"/>
      <c r="H554" s="142"/>
      <c r="I554" s="142"/>
      <c r="J554" s="142"/>
      <c r="K554" s="125"/>
      <c r="L554" s="456"/>
      <c r="M554" s="142"/>
      <c r="N554" s="142"/>
      <c r="O554" s="142"/>
      <c r="P554" s="125"/>
      <c r="Q554" s="450"/>
      <c r="R554" s="142"/>
      <c r="S554" s="142"/>
      <c r="T554" s="142"/>
      <c r="U554" s="140"/>
      <c r="V554" s="456"/>
      <c r="W554" s="142"/>
      <c r="X554" s="142"/>
      <c r="Y554" s="142"/>
      <c r="Z554" s="140"/>
      <c r="AA554" s="456"/>
      <c r="AB554" s="142"/>
      <c r="AC554" s="142"/>
      <c r="AD554" s="142"/>
      <c r="AE554" s="140"/>
      <c r="AF554" s="456"/>
      <c r="AG554" s="142"/>
      <c r="AH554" s="142"/>
      <c r="AI554" s="142"/>
      <c r="AJ554" s="140"/>
      <c r="AK554" s="456"/>
      <c r="AL554" s="142"/>
      <c r="AM554" s="142"/>
      <c r="AN554" s="142"/>
      <c r="AO554" s="438"/>
      <c r="AP554" s="438"/>
      <c r="AQ554" s="438"/>
      <c r="AR554" s="438"/>
      <c r="AS554" s="438"/>
      <c r="AT554" s="438"/>
      <c r="AU554" s="438"/>
      <c r="AV554" s="438"/>
      <c r="AW554" s="438"/>
      <c r="AX554" s="438"/>
      <c r="AY554" s="438"/>
      <c r="AZ554" s="438"/>
      <c r="BA554" s="438"/>
      <c r="BB554" s="438"/>
      <c r="BC554" s="438"/>
      <c r="BD554" s="438"/>
      <c r="BE554" s="438"/>
      <c r="BF554" s="438"/>
      <c r="BG554" s="438"/>
      <c r="BH554" s="438"/>
    </row>
    <row r="555">
      <c r="A555" s="140"/>
      <c r="B555" s="456"/>
      <c r="C555" s="142"/>
      <c r="D555" s="142"/>
      <c r="E555" s="142"/>
      <c r="F555" s="140"/>
      <c r="G555" s="456"/>
      <c r="H555" s="142"/>
      <c r="I555" s="142"/>
      <c r="J555" s="142"/>
      <c r="K555" s="125"/>
      <c r="L555" s="456"/>
      <c r="M555" s="142"/>
      <c r="N555" s="142"/>
      <c r="O555" s="142"/>
      <c r="P555" s="125"/>
      <c r="Q555" s="450"/>
      <c r="R555" s="142"/>
      <c r="S555" s="142"/>
      <c r="T555" s="142"/>
      <c r="U555" s="140"/>
      <c r="V555" s="456"/>
      <c r="W555" s="142"/>
      <c r="X555" s="142"/>
      <c r="Y555" s="142"/>
      <c r="Z555" s="140"/>
      <c r="AA555" s="456"/>
      <c r="AB555" s="142"/>
      <c r="AC555" s="142"/>
      <c r="AD555" s="142"/>
      <c r="AE555" s="140"/>
      <c r="AF555" s="456"/>
      <c r="AG555" s="142"/>
      <c r="AH555" s="142"/>
      <c r="AI555" s="142"/>
      <c r="AJ555" s="140"/>
      <c r="AK555" s="456"/>
      <c r="AL555" s="142"/>
      <c r="AM555" s="142"/>
      <c r="AN555" s="142"/>
      <c r="AO555" s="438"/>
      <c r="AP555" s="438"/>
      <c r="AQ555" s="438"/>
      <c r="AR555" s="438"/>
      <c r="AS555" s="438"/>
      <c r="AT555" s="438"/>
      <c r="AU555" s="438"/>
      <c r="AV555" s="438"/>
      <c r="AW555" s="438"/>
      <c r="AX555" s="438"/>
      <c r="AY555" s="438"/>
      <c r="AZ555" s="438"/>
      <c r="BA555" s="438"/>
      <c r="BB555" s="438"/>
      <c r="BC555" s="438"/>
      <c r="BD555" s="438"/>
      <c r="BE555" s="438"/>
      <c r="BF555" s="438"/>
      <c r="BG555" s="438"/>
      <c r="BH555" s="438"/>
    </row>
    <row r="556">
      <c r="A556" s="140"/>
      <c r="B556" s="456"/>
      <c r="C556" s="142"/>
      <c r="D556" s="142"/>
      <c r="E556" s="142"/>
      <c r="F556" s="140"/>
      <c r="G556" s="456"/>
      <c r="H556" s="142"/>
      <c r="I556" s="142"/>
      <c r="J556" s="142"/>
      <c r="K556" s="125"/>
      <c r="L556" s="456"/>
      <c r="M556" s="142"/>
      <c r="N556" s="142"/>
      <c r="O556" s="142"/>
      <c r="P556" s="125"/>
      <c r="Q556" s="450"/>
      <c r="R556" s="142"/>
      <c r="S556" s="142"/>
      <c r="T556" s="142"/>
      <c r="U556" s="140"/>
      <c r="V556" s="456"/>
      <c r="W556" s="142"/>
      <c r="X556" s="142"/>
      <c r="Y556" s="142"/>
      <c r="Z556" s="140"/>
      <c r="AA556" s="456"/>
      <c r="AB556" s="142"/>
      <c r="AC556" s="142"/>
      <c r="AD556" s="142"/>
      <c r="AE556" s="140"/>
      <c r="AF556" s="456"/>
      <c r="AG556" s="142"/>
      <c r="AH556" s="142"/>
      <c r="AI556" s="142"/>
      <c r="AJ556" s="140"/>
      <c r="AK556" s="456"/>
      <c r="AL556" s="142"/>
      <c r="AM556" s="142"/>
      <c r="AN556" s="142"/>
      <c r="AO556" s="438"/>
      <c r="AP556" s="438"/>
      <c r="AQ556" s="438"/>
      <c r="AR556" s="438"/>
      <c r="AS556" s="438"/>
      <c r="AT556" s="438"/>
      <c r="AU556" s="438"/>
      <c r="AV556" s="438"/>
      <c r="AW556" s="438"/>
      <c r="AX556" s="438"/>
      <c r="AY556" s="438"/>
      <c r="AZ556" s="438"/>
      <c r="BA556" s="438"/>
      <c r="BB556" s="438"/>
      <c r="BC556" s="438"/>
      <c r="BD556" s="438"/>
      <c r="BE556" s="438"/>
      <c r="BF556" s="438"/>
      <c r="BG556" s="438"/>
      <c r="BH556" s="438"/>
    </row>
    <row r="557">
      <c r="A557" s="140"/>
      <c r="B557" s="456"/>
      <c r="C557" s="142"/>
      <c r="D557" s="142"/>
      <c r="E557" s="142"/>
      <c r="F557" s="140"/>
      <c r="G557" s="456"/>
      <c r="H557" s="142"/>
      <c r="I557" s="142"/>
      <c r="J557" s="142"/>
      <c r="K557" s="125"/>
      <c r="L557" s="456"/>
      <c r="M557" s="142"/>
      <c r="N557" s="142"/>
      <c r="O557" s="142"/>
      <c r="P557" s="125"/>
      <c r="Q557" s="450"/>
      <c r="R557" s="142"/>
      <c r="S557" s="142"/>
      <c r="T557" s="142"/>
      <c r="U557" s="140"/>
      <c r="V557" s="456"/>
      <c r="W557" s="142"/>
      <c r="X557" s="142"/>
      <c r="Y557" s="142"/>
      <c r="Z557" s="140"/>
      <c r="AA557" s="456"/>
      <c r="AB557" s="142"/>
      <c r="AC557" s="142"/>
      <c r="AD557" s="142"/>
      <c r="AE557" s="140"/>
      <c r="AF557" s="456"/>
      <c r="AG557" s="142"/>
      <c r="AH557" s="142"/>
      <c r="AI557" s="142"/>
      <c r="AJ557" s="140"/>
      <c r="AK557" s="456"/>
      <c r="AL557" s="142"/>
      <c r="AM557" s="142"/>
      <c r="AN557" s="142"/>
      <c r="AO557" s="438"/>
      <c r="AP557" s="438"/>
      <c r="AQ557" s="438"/>
      <c r="AR557" s="438"/>
      <c r="AS557" s="438"/>
      <c r="AT557" s="438"/>
      <c r="AU557" s="438"/>
      <c r="AV557" s="438"/>
      <c r="AW557" s="438"/>
      <c r="AX557" s="438"/>
      <c r="AY557" s="438"/>
      <c r="AZ557" s="438"/>
      <c r="BA557" s="438"/>
      <c r="BB557" s="438"/>
      <c r="BC557" s="438"/>
      <c r="BD557" s="438"/>
      <c r="BE557" s="438"/>
      <c r="BF557" s="438"/>
      <c r="BG557" s="438"/>
      <c r="BH557" s="438"/>
    </row>
    <row r="558">
      <c r="A558" s="140"/>
      <c r="B558" s="456"/>
      <c r="C558" s="142"/>
      <c r="D558" s="142"/>
      <c r="E558" s="142"/>
      <c r="F558" s="140"/>
      <c r="G558" s="456"/>
      <c r="H558" s="142"/>
      <c r="I558" s="142"/>
      <c r="J558" s="142"/>
      <c r="K558" s="125"/>
      <c r="L558" s="456"/>
      <c r="M558" s="142"/>
      <c r="N558" s="142"/>
      <c r="O558" s="142"/>
      <c r="P558" s="125"/>
      <c r="Q558" s="450"/>
      <c r="R558" s="142"/>
      <c r="S558" s="142"/>
      <c r="T558" s="142"/>
      <c r="U558" s="140"/>
      <c r="V558" s="456"/>
      <c r="W558" s="142"/>
      <c r="X558" s="142"/>
      <c r="Y558" s="142"/>
      <c r="Z558" s="140"/>
      <c r="AA558" s="456"/>
      <c r="AB558" s="142"/>
      <c r="AC558" s="142"/>
      <c r="AD558" s="142"/>
      <c r="AE558" s="140"/>
      <c r="AF558" s="456"/>
      <c r="AG558" s="142"/>
      <c r="AH558" s="142"/>
      <c r="AI558" s="142"/>
      <c r="AJ558" s="140"/>
      <c r="AK558" s="456"/>
      <c r="AL558" s="142"/>
      <c r="AM558" s="142"/>
      <c r="AN558" s="142"/>
      <c r="AO558" s="438"/>
      <c r="AP558" s="438"/>
      <c r="AQ558" s="438"/>
      <c r="AR558" s="438"/>
      <c r="AS558" s="438"/>
      <c r="AT558" s="438"/>
      <c r="AU558" s="438"/>
      <c r="AV558" s="438"/>
      <c r="AW558" s="438"/>
      <c r="AX558" s="438"/>
      <c r="AY558" s="438"/>
      <c r="AZ558" s="438"/>
      <c r="BA558" s="438"/>
      <c r="BB558" s="438"/>
      <c r="BC558" s="438"/>
      <c r="BD558" s="438"/>
      <c r="BE558" s="438"/>
      <c r="BF558" s="438"/>
      <c r="BG558" s="438"/>
      <c r="BH558" s="438"/>
    </row>
    <row r="559">
      <c r="A559" s="140"/>
      <c r="B559" s="456"/>
      <c r="C559" s="142"/>
      <c r="D559" s="142"/>
      <c r="E559" s="142"/>
      <c r="F559" s="140"/>
      <c r="G559" s="456"/>
      <c r="H559" s="142"/>
      <c r="I559" s="142"/>
      <c r="J559" s="142"/>
      <c r="K559" s="125"/>
      <c r="L559" s="456"/>
      <c r="M559" s="142"/>
      <c r="N559" s="142"/>
      <c r="O559" s="142"/>
      <c r="P559" s="125"/>
      <c r="Q559" s="450"/>
      <c r="R559" s="142"/>
      <c r="S559" s="142"/>
      <c r="T559" s="142"/>
      <c r="U559" s="140"/>
      <c r="V559" s="456"/>
      <c r="W559" s="142"/>
      <c r="X559" s="142"/>
      <c r="Y559" s="142"/>
      <c r="Z559" s="140"/>
      <c r="AA559" s="456"/>
      <c r="AB559" s="142"/>
      <c r="AC559" s="142"/>
      <c r="AD559" s="142"/>
      <c r="AE559" s="140"/>
      <c r="AF559" s="456"/>
      <c r="AG559" s="142"/>
      <c r="AH559" s="142"/>
      <c r="AI559" s="142"/>
      <c r="AJ559" s="140"/>
      <c r="AK559" s="456"/>
      <c r="AL559" s="142"/>
      <c r="AM559" s="142"/>
      <c r="AN559" s="142"/>
      <c r="AO559" s="438"/>
      <c r="AP559" s="438"/>
      <c r="AQ559" s="438"/>
      <c r="AR559" s="438"/>
      <c r="AS559" s="438"/>
      <c r="AT559" s="438"/>
      <c r="AU559" s="438"/>
      <c r="AV559" s="438"/>
      <c r="AW559" s="438"/>
      <c r="AX559" s="438"/>
      <c r="AY559" s="438"/>
      <c r="AZ559" s="438"/>
      <c r="BA559" s="438"/>
      <c r="BB559" s="438"/>
      <c r="BC559" s="438"/>
      <c r="BD559" s="438"/>
      <c r="BE559" s="438"/>
      <c r="BF559" s="438"/>
      <c r="BG559" s="438"/>
      <c r="BH559" s="438"/>
    </row>
    <row r="560">
      <c r="A560" s="140"/>
      <c r="B560" s="456"/>
      <c r="C560" s="142"/>
      <c r="D560" s="142"/>
      <c r="E560" s="142"/>
      <c r="F560" s="140"/>
      <c r="G560" s="456"/>
      <c r="H560" s="142"/>
      <c r="I560" s="142"/>
      <c r="J560" s="142"/>
      <c r="K560" s="125"/>
      <c r="L560" s="456"/>
      <c r="M560" s="142"/>
      <c r="N560" s="142"/>
      <c r="O560" s="142"/>
      <c r="P560" s="125"/>
      <c r="Q560" s="450"/>
      <c r="R560" s="142"/>
      <c r="S560" s="142"/>
      <c r="T560" s="142"/>
      <c r="U560" s="140"/>
      <c r="V560" s="456"/>
      <c r="W560" s="142"/>
      <c r="X560" s="142"/>
      <c r="Y560" s="142"/>
      <c r="Z560" s="140"/>
      <c r="AA560" s="456"/>
      <c r="AB560" s="142"/>
      <c r="AC560" s="142"/>
      <c r="AD560" s="142"/>
      <c r="AE560" s="140"/>
      <c r="AF560" s="456"/>
      <c r="AG560" s="142"/>
      <c r="AH560" s="142"/>
      <c r="AI560" s="142"/>
      <c r="AJ560" s="140"/>
      <c r="AK560" s="456"/>
      <c r="AL560" s="142"/>
      <c r="AM560" s="142"/>
      <c r="AN560" s="142"/>
      <c r="AO560" s="438"/>
      <c r="AP560" s="438"/>
      <c r="AQ560" s="438"/>
      <c r="AR560" s="438"/>
      <c r="AS560" s="438"/>
      <c r="AT560" s="438"/>
      <c r="AU560" s="438"/>
      <c r="AV560" s="438"/>
      <c r="AW560" s="438"/>
      <c r="AX560" s="438"/>
      <c r="AY560" s="438"/>
      <c r="AZ560" s="438"/>
      <c r="BA560" s="438"/>
      <c r="BB560" s="438"/>
      <c r="BC560" s="438"/>
      <c r="BD560" s="438"/>
      <c r="BE560" s="438"/>
      <c r="BF560" s="438"/>
      <c r="BG560" s="438"/>
      <c r="BH560" s="438"/>
    </row>
    <row r="561">
      <c r="A561" s="140"/>
      <c r="B561" s="456"/>
      <c r="C561" s="142"/>
      <c r="D561" s="142"/>
      <c r="E561" s="142"/>
      <c r="F561" s="140"/>
      <c r="G561" s="456"/>
      <c r="H561" s="142"/>
      <c r="I561" s="142"/>
      <c r="J561" s="142"/>
      <c r="K561" s="125"/>
      <c r="L561" s="456"/>
      <c r="M561" s="142"/>
      <c r="N561" s="142"/>
      <c r="O561" s="142"/>
      <c r="P561" s="125"/>
      <c r="Q561" s="450"/>
      <c r="R561" s="142"/>
      <c r="S561" s="142"/>
      <c r="T561" s="142"/>
      <c r="U561" s="140"/>
      <c r="V561" s="456"/>
      <c r="W561" s="142"/>
      <c r="X561" s="142"/>
      <c r="Y561" s="142"/>
      <c r="Z561" s="140"/>
      <c r="AA561" s="456"/>
      <c r="AB561" s="142"/>
      <c r="AC561" s="142"/>
      <c r="AD561" s="142"/>
      <c r="AE561" s="140"/>
      <c r="AF561" s="456"/>
      <c r="AG561" s="142"/>
      <c r="AH561" s="142"/>
      <c r="AI561" s="142"/>
      <c r="AJ561" s="140"/>
      <c r="AK561" s="456"/>
      <c r="AL561" s="142"/>
      <c r="AM561" s="142"/>
      <c r="AN561" s="142"/>
      <c r="AO561" s="438"/>
      <c r="AP561" s="438"/>
      <c r="AQ561" s="438"/>
      <c r="AR561" s="438"/>
      <c r="AS561" s="438"/>
      <c r="AT561" s="438"/>
      <c r="AU561" s="438"/>
      <c r="AV561" s="438"/>
      <c r="AW561" s="438"/>
      <c r="AX561" s="438"/>
      <c r="AY561" s="438"/>
      <c r="AZ561" s="438"/>
      <c r="BA561" s="438"/>
      <c r="BB561" s="438"/>
      <c r="BC561" s="438"/>
      <c r="BD561" s="438"/>
      <c r="BE561" s="438"/>
      <c r="BF561" s="438"/>
      <c r="BG561" s="438"/>
      <c r="BH561" s="438"/>
    </row>
    <row r="562">
      <c r="A562" s="140"/>
      <c r="B562" s="456"/>
      <c r="C562" s="142"/>
      <c r="D562" s="142"/>
      <c r="E562" s="142"/>
      <c r="F562" s="140"/>
      <c r="G562" s="456"/>
      <c r="H562" s="142"/>
      <c r="I562" s="142"/>
      <c r="J562" s="142"/>
      <c r="K562" s="125"/>
      <c r="L562" s="456"/>
      <c r="M562" s="142"/>
      <c r="N562" s="142"/>
      <c r="O562" s="142"/>
      <c r="P562" s="125"/>
      <c r="Q562" s="450"/>
      <c r="R562" s="142"/>
      <c r="S562" s="142"/>
      <c r="T562" s="142"/>
      <c r="U562" s="140"/>
      <c r="V562" s="456"/>
      <c r="W562" s="142"/>
      <c r="X562" s="142"/>
      <c r="Y562" s="142"/>
      <c r="Z562" s="140"/>
      <c r="AA562" s="456"/>
      <c r="AB562" s="142"/>
      <c r="AC562" s="142"/>
      <c r="AD562" s="142"/>
      <c r="AE562" s="140"/>
      <c r="AF562" s="456"/>
      <c r="AG562" s="142"/>
      <c r="AH562" s="142"/>
      <c r="AI562" s="142"/>
      <c r="AJ562" s="140"/>
      <c r="AK562" s="456"/>
      <c r="AL562" s="142"/>
      <c r="AM562" s="142"/>
      <c r="AN562" s="142"/>
      <c r="AO562" s="438"/>
      <c r="AP562" s="438"/>
      <c r="AQ562" s="438"/>
      <c r="AR562" s="438"/>
      <c r="AS562" s="438"/>
      <c r="AT562" s="438"/>
      <c r="AU562" s="438"/>
      <c r="AV562" s="438"/>
      <c r="AW562" s="438"/>
      <c r="AX562" s="438"/>
      <c r="AY562" s="438"/>
      <c r="AZ562" s="438"/>
      <c r="BA562" s="438"/>
      <c r="BB562" s="438"/>
      <c r="BC562" s="438"/>
      <c r="BD562" s="438"/>
      <c r="BE562" s="438"/>
      <c r="BF562" s="438"/>
      <c r="BG562" s="438"/>
      <c r="BH562" s="438"/>
    </row>
    <row r="563">
      <c r="A563" s="140"/>
      <c r="B563" s="456"/>
      <c r="C563" s="142"/>
      <c r="D563" s="142"/>
      <c r="E563" s="142"/>
      <c r="F563" s="140"/>
      <c r="G563" s="456"/>
      <c r="H563" s="142"/>
      <c r="I563" s="142"/>
      <c r="J563" s="142"/>
      <c r="K563" s="125"/>
      <c r="L563" s="456"/>
      <c r="M563" s="142"/>
      <c r="N563" s="142"/>
      <c r="O563" s="142"/>
      <c r="P563" s="125"/>
      <c r="Q563" s="450"/>
      <c r="R563" s="142"/>
      <c r="S563" s="142"/>
      <c r="T563" s="142"/>
      <c r="U563" s="140"/>
      <c r="V563" s="456"/>
      <c r="W563" s="142"/>
      <c r="X563" s="142"/>
      <c r="Y563" s="142"/>
      <c r="Z563" s="140"/>
      <c r="AA563" s="456"/>
      <c r="AB563" s="142"/>
      <c r="AC563" s="142"/>
      <c r="AD563" s="142"/>
      <c r="AE563" s="140"/>
      <c r="AF563" s="456"/>
      <c r="AG563" s="142"/>
      <c r="AH563" s="142"/>
      <c r="AI563" s="142"/>
      <c r="AJ563" s="140"/>
      <c r="AK563" s="456"/>
      <c r="AL563" s="142"/>
      <c r="AM563" s="142"/>
      <c r="AN563" s="142"/>
      <c r="AO563" s="438"/>
      <c r="AP563" s="438"/>
      <c r="AQ563" s="438"/>
      <c r="AR563" s="438"/>
      <c r="AS563" s="438"/>
      <c r="AT563" s="438"/>
      <c r="AU563" s="438"/>
      <c r="AV563" s="438"/>
      <c r="AW563" s="438"/>
      <c r="AX563" s="438"/>
      <c r="AY563" s="438"/>
      <c r="AZ563" s="438"/>
      <c r="BA563" s="438"/>
      <c r="BB563" s="438"/>
      <c r="BC563" s="438"/>
      <c r="BD563" s="438"/>
      <c r="BE563" s="438"/>
      <c r="BF563" s="438"/>
      <c r="BG563" s="438"/>
      <c r="BH563" s="438"/>
    </row>
    <row r="564">
      <c r="A564" s="140"/>
      <c r="B564" s="456"/>
      <c r="C564" s="142"/>
      <c r="D564" s="142"/>
      <c r="E564" s="142"/>
      <c r="F564" s="140"/>
      <c r="G564" s="456"/>
      <c r="H564" s="142"/>
      <c r="I564" s="142"/>
      <c r="J564" s="142"/>
      <c r="K564" s="125"/>
      <c r="L564" s="456"/>
      <c r="M564" s="142"/>
      <c r="N564" s="142"/>
      <c r="O564" s="142"/>
      <c r="P564" s="125"/>
      <c r="Q564" s="450"/>
      <c r="R564" s="142"/>
      <c r="S564" s="142"/>
      <c r="T564" s="142"/>
      <c r="U564" s="140"/>
      <c r="V564" s="456"/>
      <c r="W564" s="142"/>
      <c r="X564" s="142"/>
      <c r="Y564" s="142"/>
      <c r="Z564" s="140"/>
      <c r="AA564" s="456"/>
      <c r="AB564" s="142"/>
      <c r="AC564" s="142"/>
      <c r="AD564" s="142"/>
      <c r="AE564" s="140"/>
      <c r="AF564" s="456"/>
      <c r="AG564" s="142"/>
      <c r="AH564" s="142"/>
      <c r="AI564" s="142"/>
      <c r="AJ564" s="140"/>
      <c r="AK564" s="456"/>
      <c r="AL564" s="142"/>
      <c r="AM564" s="142"/>
      <c r="AN564" s="142"/>
      <c r="AO564" s="438"/>
      <c r="AP564" s="438"/>
      <c r="AQ564" s="438"/>
      <c r="AR564" s="438"/>
      <c r="AS564" s="438"/>
      <c r="AT564" s="438"/>
      <c r="AU564" s="438"/>
      <c r="AV564" s="438"/>
      <c r="AW564" s="438"/>
      <c r="AX564" s="438"/>
      <c r="AY564" s="438"/>
      <c r="AZ564" s="438"/>
      <c r="BA564" s="438"/>
      <c r="BB564" s="438"/>
      <c r="BC564" s="438"/>
      <c r="BD564" s="438"/>
      <c r="BE564" s="438"/>
      <c r="BF564" s="438"/>
      <c r="BG564" s="438"/>
      <c r="BH564" s="438"/>
    </row>
    <row r="565">
      <c r="A565" s="140"/>
      <c r="B565" s="456"/>
      <c r="C565" s="142"/>
      <c r="D565" s="142"/>
      <c r="E565" s="142"/>
      <c r="F565" s="140"/>
      <c r="G565" s="456"/>
      <c r="H565" s="142"/>
      <c r="I565" s="142"/>
      <c r="J565" s="142"/>
      <c r="K565" s="125"/>
      <c r="L565" s="456"/>
      <c r="M565" s="142"/>
      <c r="N565" s="142"/>
      <c r="O565" s="142"/>
      <c r="P565" s="125"/>
      <c r="Q565" s="450"/>
      <c r="R565" s="142"/>
      <c r="S565" s="142"/>
      <c r="T565" s="142"/>
      <c r="U565" s="140"/>
      <c r="V565" s="456"/>
      <c r="W565" s="142"/>
      <c r="X565" s="142"/>
      <c r="Y565" s="142"/>
      <c r="Z565" s="140"/>
      <c r="AA565" s="456"/>
      <c r="AB565" s="142"/>
      <c r="AC565" s="142"/>
      <c r="AD565" s="142"/>
      <c r="AE565" s="140"/>
      <c r="AF565" s="456"/>
      <c r="AG565" s="142"/>
      <c r="AH565" s="142"/>
      <c r="AI565" s="142"/>
      <c r="AJ565" s="140"/>
      <c r="AK565" s="456"/>
      <c r="AL565" s="142"/>
      <c r="AM565" s="142"/>
      <c r="AN565" s="142"/>
      <c r="AO565" s="438"/>
      <c r="AP565" s="438"/>
      <c r="AQ565" s="438"/>
      <c r="AR565" s="438"/>
      <c r="AS565" s="438"/>
      <c r="AT565" s="438"/>
      <c r="AU565" s="438"/>
      <c r="AV565" s="438"/>
      <c r="AW565" s="438"/>
      <c r="AX565" s="438"/>
      <c r="AY565" s="438"/>
      <c r="AZ565" s="438"/>
      <c r="BA565" s="438"/>
      <c r="BB565" s="438"/>
      <c r="BC565" s="438"/>
      <c r="BD565" s="438"/>
      <c r="BE565" s="438"/>
      <c r="BF565" s="438"/>
      <c r="BG565" s="438"/>
      <c r="BH565" s="438"/>
    </row>
    <row r="566">
      <c r="A566" s="140"/>
      <c r="B566" s="456"/>
      <c r="C566" s="142"/>
      <c r="D566" s="142"/>
      <c r="E566" s="142"/>
      <c r="F566" s="140"/>
      <c r="G566" s="456"/>
      <c r="H566" s="142"/>
      <c r="I566" s="142"/>
      <c r="J566" s="142"/>
      <c r="K566" s="125"/>
      <c r="L566" s="456"/>
      <c r="M566" s="142"/>
      <c r="N566" s="142"/>
      <c r="O566" s="142"/>
      <c r="P566" s="125"/>
      <c r="Q566" s="450"/>
      <c r="R566" s="142"/>
      <c r="S566" s="142"/>
      <c r="T566" s="142"/>
      <c r="U566" s="140"/>
      <c r="V566" s="456"/>
      <c r="W566" s="142"/>
      <c r="X566" s="142"/>
      <c r="Y566" s="142"/>
      <c r="Z566" s="140"/>
      <c r="AA566" s="456"/>
      <c r="AB566" s="142"/>
      <c r="AC566" s="142"/>
      <c r="AD566" s="142"/>
      <c r="AE566" s="140"/>
      <c r="AF566" s="456"/>
      <c r="AG566" s="142"/>
      <c r="AH566" s="142"/>
      <c r="AI566" s="142"/>
      <c r="AJ566" s="140"/>
      <c r="AK566" s="456"/>
      <c r="AL566" s="142"/>
      <c r="AM566" s="142"/>
      <c r="AN566" s="142"/>
      <c r="AO566" s="438"/>
      <c r="AP566" s="438"/>
      <c r="AQ566" s="438"/>
      <c r="AR566" s="438"/>
      <c r="AS566" s="438"/>
      <c r="AT566" s="438"/>
      <c r="AU566" s="438"/>
      <c r="AV566" s="438"/>
      <c r="AW566" s="438"/>
      <c r="AX566" s="438"/>
      <c r="AY566" s="438"/>
      <c r="AZ566" s="438"/>
      <c r="BA566" s="438"/>
      <c r="BB566" s="438"/>
      <c r="BC566" s="438"/>
      <c r="BD566" s="438"/>
      <c r="BE566" s="438"/>
      <c r="BF566" s="438"/>
      <c r="BG566" s="438"/>
      <c r="BH566" s="438"/>
    </row>
    <row r="567">
      <c r="A567" s="140"/>
      <c r="B567" s="456"/>
      <c r="C567" s="142"/>
      <c r="D567" s="142"/>
      <c r="E567" s="142"/>
      <c r="F567" s="140"/>
      <c r="G567" s="456"/>
      <c r="H567" s="142"/>
      <c r="I567" s="142"/>
      <c r="J567" s="142"/>
      <c r="K567" s="125"/>
      <c r="L567" s="456"/>
      <c r="M567" s="142"/>
      <c r="N567" s="142"/>
      <c r="O567" s="142"/>
      <c r="P567" s="125"/>
      <c r="Q567" s="450"/>
      <c r="R567" s="142"/>
      <c r="S567" s="142"/>
      <c r="T567" s="142"/>
      <c r="U567" s="140"/>
      <c r="V567" s="456"/>
      <c r="W567" s="142"/>
      <c r="X567" s="142"/>
      <c r="Y567" s="142"/>
      <c r="Z567" s="140"/>
      <c r="AA567" s="456"/>
      <c r="AB567" s="142"/>
      <c r="AC567" s="142"/>
      <c r="AD567" s="142"/>
      <c r="AE567" s="140"/>
      <c r="AF567" s="456"/>
      <c r="AG567" s="142"/>
      <c r="AH567" s="142"/>
      <c r="AI567" s="142"/>
      <c r="AJ567" s="140"/>
      <c r="AK567" s="456"/>
      <c r="AL567" s="142"/>
      <c r="AM567" s="142"/>
      <c r="AN567" s="142"/>
      <c r="AO567" s="438"/>
      <c r="AP567" s="438"/>
      <c r="AQ567" s="438"/>
      <c r="AR567" s="438"/>
      <c r="AS567" s="438"/>
      <c r="AT567" s="438"/>
      <c r="AU567" s="438"/>
      <c r="AV567" s="438"/>
      <c r="AW567" s="438"/>
      <c r="AX567" s="438"/>
      <c r="AY567" s="438"/>
      <c r="AZ567" s="438"/>
      <c r="BA567" s="438"/>
      <c r="BB567" s="438"/>
      <c r="BC567" s="438"/>
      <c r="BD567" s="438"/>
      <c r="BE567" s="438"/>
      <c r="BF567" s="438"/>
      <c r="BG567" s="438"/>
      <c r="BH567" s="438"/>
    </row>
    <row r="568">
      <c r="A568" s="140"/>
      <c r="B568" s="456"/>
      <c r="C568" s="142"/>
      <c r="D568" s="142"/>
      <c r="E568" s="142"/>
      <c r="F568" s="140"/>
      <c r="G568" s="456"/>
      <c r="H568" s="142"/>
      <c r="I568" s="142"/>
      <c r="J568" s="142"/>
      <c r="K568" s="125"/>
      <c r="L568" s="456"/>
      <c r="M568" s="142"/>
      <c r="N568" s="142"/>
      <c r="O568" s="142"/>
      <c r="P568" s="125"/>
      <c r="Q568" s="450"/>
      <c r="R568" s="142"/>
      <c r="S568" s="142"/>
      <c r="T568" s="142"/>
      <c r="U568" s="140"/>
      <c r="V568" s="456"/>
      <c r="W568" s="142"/>
      <c r="X568" s="142"/>
      <c r="Y568" s="142"/>
      <c r="Z568" s="140"/>
      <c r="AA568" s="456"/>
      <c r="AB568" s="142"/>
      <c r="AC568" s="142"/>
      <c r="AD568" s="142"/>
      <c r="AE568" s="140"/>
      <c r="AF568" s="456"/>
      <c r="AG568" s="142"/>
      <c r="AH568" s="142"/>
      <c r="AI568" s="142"/>
      <c r="AJ568" s="140"/>
      <c r="AK568" s="456"/>
      <c r="AL568" s="142"/>
      <c r="AM568" s="142"/>
      <c r="AN568" s="142"/>
      <c r="AO568" s="438"/>
      <c r="AP568" s="438"/>
      <c r="AQ568" s="438"/>
      <c r="AR568" s="438"/>
      <c r="AS568" s="438"/>
      <c r="AT568" s="438"/>
      <c r="AU568" s="438"/>
      <c r="AV568" s="438"/>
      <c r="AW568" s="438"/>
      <c r="AX568" s="438"/>
      <c r="AY568" s="438"/>
      <c r="AZ568" s="438"/>
      <c r="BA568" s="438"/>
      <c r="BB568" s="438"/>
      <c r="BC568" s="438"/>
      <c r="BD568" s="438"/>
      <c r="BE568" s="438"/>
      <c r="BF568" s="438"/>
      <c r="BG568" s="438"/>
      <c r="BH568" s="438"/>
    </row>
    <row r="569">
      <c r="A569" s="140"/>
      <c r="B569" s="456"/>
      <c r="C569" s="142"/>
      <c r="D569" s="142"/>
      <c r="E569" s="142"/>
      <c r="F569" s="140"/>
      <c r="G569" s="456"/>
      <c r="H569" s="142"/>
      <c r="I569" s="142"/>
      <c r="J569" s="142"/>
      <c r="K569" s="125"/>
      <c r="L569" s="456"/>
      <c r="M569" s="142"/>
      <c r="N569" s="142"/>
      <c r="O569" s="142"/>
      <c r="P569" s="125"/>
      <c r="Q569" s="450"/>
      <c r="R569" s="142"/>
      <c r="S569" s="142"/>
      <c r="T569" s="142"/>
      <c r="U569" s="140"/>
      <c r="V569" s="456"/>
      <c r="W569" s="142"/>
      <c r="X569" s="142"/>
      <c r="Y569" s="142"/>
      <c r="Z569" s="140"/>
      <c r="AA569" s="456"/>
      <c r="AB569" s="142"/>
      <c r="AC569" s="142"/>
      <c r="AD569" s="142"/>
      <c r="AE569" s="140"/>
      <c r="AF569" s="456"/>
      <c r="AG569" s="142"/>
      <c r="AH569" s="142"/>
      <c r="AI569" s="142"/>
      <c r="AJ569" s="140"/>
      <c r="AK569" s="456"/>
      <c r="AL569" s="142"/>
      <c r="AM569" s="142"/>
      <c r="AN569" s="142"/>
      <c r="AO569" s="438"/>
      <c r="AP569" s="438"/>
      <c r="AQ569" s="438"/>
      <c r="AR569" s="438"/>
      <c r="AS569" s="438"/>
      <c r="AT569" s="438"/>
      <c r="AU569" s="438"/>
      <c r="AV569" s="438"/>
      <c r="AW569" s="438"/>
      <c r="AX569" s="438"/>
      <c r="AY569" s="438"/>
      <c r="AZ569" s="438"/>
      <c r="BA569" s="438"/>
      <c r="BB569" s="438"/>
      <c r="BC569" s="438"/>
      <c r="BD569" s="438"/>
      <c r="BE569" s="438"/>
      <c r="BF569" s="438"/>
      <c r="BG569" s="438"/>
      <c r="BH569" s="438"/>
    </row>
    <row r="570">
      <c r="A570" s="140"/>
      <c r="B570" s="456"/>
      <c r="C570" s="142"/>
      <c r="D570" s="142"/>
      <c r="E570" s="142"/>
      <c r="F570" s="140"/>
      <c r="G570" s="456"/>
      <c r="H570" s="142"/>
      <c r="I570" s="142"/>
      <c r="J570" s="142"/>
      <c r="K570" s="125"/>
      <c r="L570" s="456"/>
      <c r="M570" s="142"/>
      <c r="N570" s="142"/>
      <c r="O570" s="142"/>
      <c r="P570" s="125"/>
      <c r="Q570" s="450"/>
      <c r="R570" s="142"/>
      <c r="S570" s="142"/>
      <c r="T570" s="142"/>
      <c r="U570" s="140"/>
      <c r="V570" s="456"/>
      <c r="W570" s="142"/>
      <c r="X570" s="142"/>
      <c r="Y570" s="142"/>
      <c r="Z570" s="140"/>
      <c r="AA570" s="456"/>
      <c r="AB570" s="142"/>
      <c r="AC570" s="142"/>
      <c r="AD570" s="142"/>
      <c r="AE570" s="140"/>
      <c r="AF570" s="456"/>
      <c r="AG570" s="142"/>
      <c r="AH570" s="142"/>
      <c r="AI570" s="142"/>
      <c r="AJ570" s="140"/>
      <c r="AK570" s="456"/>
      <c r="AL570" s="142"/>
      <c r="AM570" s="142"/>
      <c r="AN570" s="142"/>
      <c r="AO570" s="438"/>
      <c r="AP570" s="438"/>
      <c r="AQ570" s="438"/>
      <c r="AR570" s="438"/>
      <c r="AS570" s="438"/>
      <c r="AT570" s="438"/>
      <c r="AU570" s="438"/>
      <c r="AV570" s="438"/>
      <c r="AW570" s="438"/>
      <c r="AX570" s="438"/>
      <c r="AY570" s="438"/>
      <c r="AZ570" s="438"/>
      <c r="BA570" s="438"/>
      <c r="BB570" s="438"/>
      <c r="BC570" s="438"/>
      <c r="BD570" s="438"/>
      <c r="BE570" s="438"/>
      <c r="BF570" s="438"/>
      <c r="BG570" s="438"/>
      <c r="BH570" s="438"/>
    </row>
    <row r="571">
      <c r="A571" s="140"/>
      <c r="B571" s="456"/>
      <c r="C571" s="142"/>
      <c r="D571" s="142"/>
      <c r="E571" s="142"/>
      <c r="F571" s="140"/>
      <c r="G571" s="456"/>
      <c r="H571" s="142"/>
      <c r="I571" s="142"/>
      <c r="J571" s="142"/>
      <c r="K571" s="125"/>
      <c r="L571" s="456"/>
      <c r="M571" s="142"/>
      <c r="N571" s="142"/>
      <c r="O571" s="142"/>
      <c r="P571" s="125"/>
      <c r="Q571" s="450"/>
      <c r="R571" s="142"/>
      <c r="S571" s="142"/>
      <c r="T571" s="142"/>
      <c r="U571" s="140"/>
      <c r="V571" s="456"/>
      <c r="W571" s="142"/>
      <c r="X571" s="142"/>
      <c r="Y571" s="142"/>
      <c r="Z571" s="140"/>
      <c r="AA571" s="456"/>
      <c r="AB571" s="142"/>
      <c r="AC571" s="142"/>
      <c r="AD571" s="142"/>
      <c r="AE571" s="140"/>
      <c r="AF571" s="456"/>
      <c r="AG571" s="142"/>
      <c r="AH571" s="142"/>
      <c r="AI571" s="142"/>
      <c r="AJ571" s="140"/>
      <c r="AK571" s="456"/>
      <c r="AL571" s="142"/>
      <c r="AM571" s="142"/>
      <c r="AN571" s="142"/>
      <c r="AO571" s="438"/>
      <c r="AP571" s="438"/>
      <c r="AQ571" s="438"/>
      <c r="AR571" s="438"/>
      <c r="AS571" s="438"/>
      <c r="AT571" s="438"/>
      <c r="AU571" s="438"/>
      <c r="AV571" s="438"/>
      <c r="AW571" s="438"/>
      <c r="AX571" s="438"/>
      <c r="AY571" s="438"/>
      <c r="AZ571" s="438"/>
      <c r="BA571" s="438"/>
      <c r="BB571" s="438"/>
      <c r="BC571" s="438"/>
      <c r="BD571" s="438"/>
      <c r="BE571" s="438"/>
      <c r="BF571" s="438"/>
      <c r="BG571" s="438"/>
      <c r="BH571" s="438"/>
    </row>
    <row r="572">
      <c r="A572" s="140"/>
      <c r="B572" s="456"/>
      <c r="C572" s="142"/>
      <c r="D572" s="142"/>
      <c r="E572" s="142"/>
      <c r="F572" s="140"/>
      <c r="G572" s="456"/>
      <c r="H572" s="142"/>
      <c r="I572" s="142"/>
      <c r="J572" s="142"/>
      <c r="K572" s="125"/>
      <c r="L572" s="456"/>
      <c r="M572" s="142"/>
      <c r="N572" s="142"/>
      <c r="O572" s="142"/>
      <c r="P572" s="125"/>
      <c r="Q572" s="450"/>
      <c r="R572" s="142"/>
      <c r="S572" s="142"/>
      <c r="T572" s="142"/>
      <c r="U572" s="140"/>
      <c r="V572" s="456"/>
      <c r="W572" s="142"/>
      <c r="X572" s="142"/>
      <c r="Y572" s="142"/>
      <c r="Z572" s="140"/>
      <c r="AA572" s="456"/>
      <c r="AB572" s="142"/>
      <c r="AC572" s="142"/>
      <c r="AD572" s="142"/>
      <c r="AE572" s="140"/>
      <c r="AF572" s="456"/>
      <c r="AG572" s="142"/>
      <c r="AH572" s="142"/>
      <c r="AI572" s="142"/>
      <c r="AJ572" s="140"/>
      <c r="AK572" s="456"/>
      <c r="AL572" s="142"/>
      <c r="AM572" s="142"/>
      <c r="AN572" s="142"/>
      <c r="AO572" s="438"/>
      <c r="AP572" s="438"/>
      <c r="AQ572" s="438"/>
      <c r="AR572" s="438"/>
      <c r="AS572" s="438"/>
      <c r="AT572" s="438"/>
      <c r="AU572" s="438"/>
      <c r="AV572" s="438"/>
      <c r="AW572" s="438"/>
      <c r="AX572" s="438"/>
      <c r="AY572" s="438"/>
      <c r="AZ572" s="438"/>
      <c r="BA572" s="438"/>
      <c r="BB572" s="438"/>
      <c r="BC572" s="438"/>
      <c r="BD572" s="438"/>
      <c r="BE572" s="438"/>
      <c r="BF572" s="438"/>
      <c r="BG572" s="438"/>
      <c r="BH572" s="438"/>
    </row>
    <row r="573">
      <c r="A573" s="140"/>
      <c r="B573" s="456"/>
      <c r="C573" s="142"/>
      <c r="D573" s="142"/>
      <c r="E573" s="142"/>
      <c r="F573" s="140"/>
      <c r="G573" s="456"/>
      <c r="H573" s="142"/>
      <c r="I573" s="142"/>
      <c r="J573" s="142"/>
      <c r="K573" s="125"/>
      <c r="L573" s="456"/>
      <c r="M573" s="142"/>
      <c r="N573" s="142"/>
      <c r="O573" s="142"/>
      <c r="P573" s="125"/>
      <c r="Q573" s="450"/>
      <c r="R573" s="142"/>
      <c r="S573" s="142"/>
      <c r="T573" s="142"/>
      <c r="U573" s="140"/>
      <c r="V573" s="456"/>
      <c r="W573" s="142"/>
      <c r="X573" s="142"/>
      <c r="Y573" s="142"/>
      <c r="Z573" s="140"/>
      <c r="AA573" s="456"/>
      <c r="AB573" s="142"/>
      <c r="AC573" s="142"/>
      <c r="AD573" s="142"/>
      <c r="AE573" s="140"/>
      <c r="AF573" s="456"/>
      <c r="AG573" s="142"/>
      <c r="AH573" s="142"/>
      <c r="AI573" s="142"/>
      <c r="AJ573" s="140"/>
      <c r="AK573" s="456"/>
      <c r="AL573" s="142"/>
      <c r="AM573" s="142"/>
      <c r="AN573" s="142"/>
      <c r="AO573" s="438"/>
      <c r="AP573" s="438"/>
      <c r="AQ573" s="438"/>
      <c r="AR573" s="438"/>
      <c r="AS573" s="438"/>
      <c r="AT573" s="438"/>
      <c r="AU573" s="438"/>
      <c r="AV573" s="438"/>
      <c r="AW573" s="438"/>
      <c r="AX573" s="438"/>
      <c r="AY573" s="438"/>
      <c r="AZ573" s="438"/>
      <c r="BA573" s="438"/>
      <c r="BB573" s="438"/>
      <c r="BC573" s="438"/>
      <c r="BD573" s="438"/>
      <c r="BE573" s="438"/>
      <c r="BF573" s="438"/>
      <c r="BG573" s="438"/>
      <c r="BH573" s="438"/>
    </row>
    <row r="574">
      <c r="A574" s="140"/>
      <c r="B574" s="456"/>
      <c r="C574" s="142"/>
      <c r="D574" s="142"/>
      <c r="E574" s="142"/>
      <c r="F574" s="140"/>
      <c r="G574" s="456"/>
      <c r="H574" s="142"/>
      <c r="I574" s="142"/>
      <c r="J574" s="142"/>
      <c r="K574" s="125"/>
      <c r="L574" s="456"/>
      <c r="M574" s="142"/>
      <c r="N574" s="142"/>
      <c r="O574" s="142"/>
      <c r="P574" s="125"/>
      <c r="Q574" s="450"/>
      <c r="R574" s="142"/>
      <c r="S574" s="142"/>
      <c r="T574" s="142"/>
      <c r="U574" s="140"/>
      <c r="V574" s="456"/>
      <c r="W574" s="142"/>
      <c r="X574" s="142"/>
      <c r="Y574" s="142"/>
      <c r="Z574" s="140"/>
      <c r="AA574" s="456"/>
      <c r="AB574" s="142"/>
      <c r="AC574" s="142"/>
      <c r="AD574" s="142"/>
      <c r="AE574" s="140"/>
      <c r="AF574" s="456"/>
      <c r="AG574" s="142"/>
      <c r="AH574" s="142"/>
      <c r="AI574" s="142"/>
      <c r="AJ574" s="140"/>
      <c r="AK574" s="456"/>
      <c r="AL574" s="142"/>
      <c r="AM574" s="142"/>
      <c r="AN574" s="142"/>
      <c r="AO574" s="438"/>
      <c r="AP574" s="438"/>
      <c r="AQ574" s="438"/>
      <c r="AR574" s="438"/>
      <c r="AS574" s="438"/>
      <c r="AT574" s="438"/>
      <c r="AU574" s="438"/>
      <c r="AV574" s="438"/>
      <c r="AW574" s="438"/>
      <c r="AX574" s="438"/>
      <c r="AY574" s="438"/>
      <c r="AZ574" s="438"/>
      <c r="BA574" s="438"/>
      <c r="BB574" s="438"/>
      <c r="BC574" s="438"/>
      <c r="BD574" s="438"/>
      <c r="BE574" s="438"/>
      <c r="BF574" s="438"/>
      <c r="BG574" s="438"/>
      <c r="BH574" s="438"/>
    </row>
    <row r="575">
      <c r="A575" s="140"/>
      <c r="B575" s="456"/>
      <c r="C575" s="142"/>
      <c r="D575" s="142"/>
      <c r="E575" s="142"/>
      <c r="F575" s="140"/>
      <c r="G575" s="456"/>
      <c r="H575" s="142"/>
      <c r="I575" s="142"/>
      <c r="J575" s="142"/>
      <c r="K575" s="125"/>
      <c r="L575" s="456"/>
      <c r="M575" s="142"/>
      <c r="N575" s="142"/>
      <c r="O575" s="142"/>
      <c r="P575" s="125"/>
      <c r="Q575" s="450"/>
      <c r="R575" s="142"/>
      <c r="S575" s="142"/>
      <c r="T575" s="142"/>
      <c r="U575" s="140"/>
      <c r="V575" s="456"/>
      <c r="W575" s="142"/>
      <c r="X575" s="142"/>
      <c r="Y575" s="142"/>
      <c r="Z575" s="140"/>
      <c r="AA575" s="456"/>
      <c r="AB575" s="142"/>
      <c r="AC575" s="142"/>
      <c r="AD575" s="142"/>
      <c r="AE575" s="140"/>
      <c r="AF575" s="456"/>
      <c r="AG575" s="142"/>
      <c r="AH575" s="142"/>
      <c r="AI575" s="142"/>
      <c r="AJ575" s="140"/>
      <c r="AK575" s="456"/>
      <c r="AL575" s="142"/>
      <c r="AM575" s="142"/>
      <c r="AN575" s="142"/>
      <c r="AO575" s="438"/>
      <c r="AP575" s="438"/>
      <c r="AQ575" s="438"/>
      <c r="AR575" s="438"/>
      <c r="AS575" s="438"/>
      <c r="AT575" s="438"/>
      <c r="AU575" s="438"/>
      <c r="AV575" s="438"/>
      <c r="AW575" s="438"/>
      <c r="AX575" s="438"/>
      <c r="AY575" s="438"/>
      <c r="AZ575" s="438"/>
      <c r="BA575" s="438"/>
      <c r="BB575" s="438"/>
      <c r="BC575" s="438"/>
      <c r="BD575" s="438"/>
      <c r="BE575" s="438"/>
      <c r="BF575" s="438"/>
      <c r="BG575" s="438"/>
      <c r="BH575" s="438"/>
    </row>
    <row r="576">
      <c r="A576" s="140"/>
      <c r="B576" s="456"/>
      <c r="C576" s="142"/>
      <c r="D576" s="142"/>
      <c r="E576" s="142"/>
      <c r="F576" s="140"/>
      <c r="G576" s="456"/>
      <c r="H576" s="142"/>
      <c r="I576" s="142"/>
      <c r="J576" s="142"/>
      <c r="K576" s="125"/>
      <c r="L576" s="456"/>
      <c r="M576" s="142"/>
      <c r="N576" s="142"/>
      <c r="O576" s="142"/>
      <c r="P576" s="125"/>
      <c r="Q576" s="450"/>
      <c r="R576" s="142"/>
      <c r="S576" s="142"/>
      <c r="T576" s="142"/>
      <c r="U576" s="140"/>
      <c r="V576" s="456"/>
      <c r="W576" s="142"/>
      <c r="X576" s="142"/>
      <c r="Y576" s="142"/>
      <c r="Z576" s="140"/>
      <c r="AA576" s="456"/>
      <c r="AB576" s="142"/>
      <c r="AC576" s="142"/>
      <c r="AD576" s="142"/>
      <c r="AE576" s="140"/>
      <c r="AF576" s="456"/>
      <c r="AG576" s="142"/>
      <c r="AH576" s="142"/>
      <c r="AI576" s="142"/>
      <c r="AJ576" s="140"/>
      <c r="AK576" s="456"/>
      <c r="AL576" s="142"/>
      <c r="AM576" s="142"/>
      <c r="AN576" s="142"/>
      <c r="AO576" s="438"/>
      <c r="AP576" s="438"/>
      <c r="AQ576" s="438"/>
      <c r="AR576" s="438"/>
      <c r="AS576" s="438"/>
      <c r="AT576" s="438"/>
      <c r="AU576" s="438"/>
      <c r="AV576" s="438"/>
      <c r="AW576" s="438"/>
      <c r="AX576" s="438"/>
      <c r="AY576" s="438"/>
      <c r="AZ576" s="438"/>
      <c r="BA576" s="438"/>
      <c r="BB576" s="438"/>
      <c r="BC576" s="438"/>
      <c r="BD576" s="438"/>
      <c r="BE576" s="438"/>
      <c r="BF576" s="438"/>
      <c r="BG576" s="438"/>
      <c r="BH576" s="438"/>
    </row>
    <row r="577">
      <c r="A577" s="140"/>
      <c r="B577" s="456"/>
      <c r="C577" s="142"/>
      <c r="D577" s="142"/>
      <c r="E577" s="142"/>
      <c r="F577" s="140"/>
      <c r="G577" s="456"/>
      <c r="H577" s="142"/>
      <c r="I577" s="142"/>
      <c r="J577" s="142"/>
      <c r="K577" s="125"/>
      <c r="L577" s="456"/>
      <c r="M577" s="142"/>
      <c r="N577" s="142"/>
      <c r="O577" s="142"/>
      <c r="P577" s="125"/>
      <c r="Q577" s="450"/>
      <c r="R577" s="142"/>
      <c r="S577" s="142"/>
      <c r="T577" s="142"/>
      <c r="U577" s="140"/>
      <c r="V577" s="456"/>
      <c r="W577" s="142"/>
      <c r="X577" s="142"/>
      <c r="Y577" s="142"/>
      <c r="Z577" s="140"/>
      <c r="AA577" s="456"/>
      <c r="AB577" s="142"/>
      <c r="AC577" s="142"/>
      <c r="AD577" s="142"/>
      <c r="AE577" s="140"/>
      <c r="AF577" s="456"/>
      <c r="AG577" s="142"/>
      <c r="AH577" s="142"/>
      <c r="AI577" s="142"/>
      <c r="AJ577" s="140"/>
      <c r="AK577" s="456"/>
      <c r="AL577" s="142"/>
      <c r="AM577" s="142"/>
      <c r="AN577" s="142"/>
      <c r="AO577" s="438"/>
      <c r="AP577" s="438"/>
      <c r="AQ577" s="438"/>
      <c r="AR577" s="438"/>
      <c r="AS577" s="438"/>
      <c r="AT577" s="438"/>
      <c r="AU577" s="438"/>
      <c r="AV577" s="438"/>
      <c r="AW577" s="438"/>
      <c r="AX577" s="438"/>
      <c r="AY577" s="438"/>
      <c r="AZ577" s="438"/>
      <c r="BA577" s="438"/>
      <c r="BB577" s="438"/>
      <c r="BC577" s="438"/>
      <c r="BD577" s="438"/>
      <c r="BE577" s="438"/>
      <c r="BF577" s="438"/>
      <c r="BG577" s="438"/>
      <c r="BH577" s="438"/>
    </row>
    <row r="578">
      <c r="A578" s="140"/>
      <c r="B578" s="456"/>
      <c r="C578" s="142"/>
      <c r="D578" s="142"/>
      <c r="E578" s="142"/>
      <c r="F578" s="140"/>
      <c r="G578" s="456"/>
      <c r="H578" s="142"/>
      <c r="I578" s="142"/>
      <c r="J578" s="142"/>
      <c r="K578" s="125"/>
      <c r="L578" s="456"/>
      <c r="M578" s="142"/>
      <c r="N578" s="142"/>
      <c r="O578" s="142"/>
      <c r="P578" s="125"/>
      <c r="Q578" s="450"/>
      <c r="R578" s="142"/>
      <c r="S578" s="142"/>
      <c r="T578" s="142"/>
      <c r="U578" s="140"/>
      <c r="V578" s="456"/>
      <c r="W578" s="142"/>
      <c r="X578" s="142"/>
      <c r="Y578" s="142"/>
      <c r="Z578" s="140"/>
      <c r="AA578" s="456"/>
      <c r="AB578" s="142"/>
      <c r="AC578" s="142"/>
      <c r="AD578" s="142"/>
      <c r="AE578" s="140"/>
      <c r="AF578" s="456"/>
      <c r="AG578" s="142"/>
      <c r="AH578" s="142"/>
      <c r="AI578" s="142"/>
      <c r="AJ578" s="140"/>
      <c r="AK578" s="456"/>
      <c r="AL578" s="142"/>
      <c r="AM578" s="142"/>
      <c r="AN578" s="142"/>
      <c r="AO578" s="438"/>
      <c r="AP578" s="438"/>
      <c r="AQ578" s="438"/>
      <c r="AR578" s="438"/>
      <c r="AS578" s="438"/>
      <c r="AT578" s="438"/>
      <c r="AU578" s="438"/>
      <c r="AV578" s="438"/>
      <c r="AW578" s="438"/>
      <c r="AX578" s="438"/>
      <c r="AY578" s="438"/>
      <c r="AZ578" s="438"/>
      <c r="BA578" s="438"/>
      <c r="BB578" s="438"/>
      <c r="BC578" s="438"/>
      <c r="BD578" s="438"/>
      <c r="BE578" s="438"/>
      <c r="BF578" s="438"/>
      <c r="BG578" s="438"/>
      <c r="BH578" s="438"/>
    </row>
    <row r="579">
      <c r="A579" s="140"/>
      <c r="B579" s="456"/>
      <c r="C579" s="142"/>
      <c r="D579" s="142"/>
      <c r="E579" s="142"/>
      <c r="F579" s="140"/>
      <c r="G579" s="456"/>
      <c r="H579" s="142"/>
      <c r="I579" s="142"/>
      <c r="J579" s="142"/>
      <c r="K579" s="125"/>
      <c r="L579" s="456"/>
      <c r="M579" s="142"/>
      <c r="N579" s="142"/>
      <c r="O579" s="142"/>
      <c r="P579" s="125"/>
      <c r="Q579" s="450"/>
      <c r="R579" s="142"/>
      <c r="S579" s="142"/>
      <c r="T579" s="142"/>
      <c r="U579" s="140"/>
      <c r="V579" s="456"/>
      <c r="W579" s="142"/>
      <c r="X579" s="142"/>
      <c r="Y579" s="142"/>
      <c r="Z579" s="140"/>
      <c r="AA579" s="456"/>
      <c r="AB579" s="142"/>
      <c r="AC579" s="142"/>
      <c r="AD579" s="142"/>
      <c r="AE579" s="140"/>
      <c r="AF579" s="456"/>
      <c r="AG579" s="142"/>
      <c r="AH579" s="142"/>
      <c r="AI579" s="142"/>
      <c r="AJ579" s="140"/>
      <c r="AK579" s="456"/>
      <c r="AL579" s="142"/>
      <c r="AM579" s="142"/>
      <c r="AN579" s="142"/>
      <c r="AO579" s="438"/>
      <c r="AP579" s="438"/>
      <c r="AQ579" s="438"/>
      <c r="AR579" s="438"/>
      <c r="AS579" s="438"/>
      <c r="AT579" s="438"/>
      <c r="AU579" s="438"/>
      <c r="AV579" s="438"/>
      <c r="AW579" s="438"/>
      <c r="AX579" s="438"/>
      <c r="AY579" s="438"/>
      <c r="AZ579" s="438"/>
      <c r="BA579" s="438"/>
      <c r="BB579" s="438"/>
      <c r="BC579" s="438"/>
      <c r="BD579" s="438"/>
      <c r="BE579" s="438"/>
      <c r="BF579" s="438"/>
      <c r="BG579" s="438"/>
      <c r="BH579" s="438"/>
    </row>
    <row r="580">
      <c r="A580" s="140"/>
      <c r="B580" s="456"/>
      <c r="C580" s="142"/>
      <c r="D580" s="142"/>
      <c r="E580" s="142"/>
      <c r="F580" s="140"/>
      <c r="G580" s="456"/>
      <c r="H580" s="142"/>
      <c r="I580" s="142"/>
      <c r="J580" s="142"/>
      <c r="K580" s="125"/>
      <c r="L580" s="456"/>
      <c r="M580" s="142"/>
      <c r="N580" s="142"/>
      <c r="O580" s="142"/>
      <c r="P580" s="125"/>
      <c r="Q580" s="450"/>
      <c r="R580" s="142"/>
      <c r="S580" s="142"/>
      <c r="T580" s="142"/>
      <c r="U580" s="140"/>
      <c r="V580" s="456"/>
      <c r="W580" s="142"/>
      <c r="X580" s="142"/>
      <c r="Y580" s="142"/>
      <c r="Z580" s="140"/>
      <c r="AA580" s="456"/>
      <c r="AB580" s="142"/>
      <c r="AC580" s="142"/>
      <c r="AD580" s="142"/>
      <c r="AE580" s="140"/>
      <c r="AF580" s="456"/>
      <c r="AG580" s="142"/>
      <c r="AH580" s="142"/>
      <c r="AI580" s="142"/>
      <c r="AJ580" s="140"/>
      <c r="AK580" s="456"/>
      <c r="AL580" s="142"/>
      <c r="AM580" s="142"/>
      <c r="AN580" s="142"/>
      <c r="AO580" s="438"/>
      <c r="AP580" s="438"/>
      <c r="AQ580" s="438"/>
      <c r="AR580" s="438"/>
      <c r="AS580" s="438"/>
      <c r="AT580" s="438"/>
      <c r="AU580" s="438"/>
      <c r="AV580" s="438"/>
      <c r="AW580" s="438"/>
      <c r="AX580" s="438"/>
      <c r="AY580" s="438"/>
      <c r="AZ580" s="438"/>
      <c r="BA580" s="438"/>
      <c r="BB580" s="438"/>
      <c r="BC580" s="438"/>
      <c r="BD580" s="438"/>
      <c r="BE580" s="438"/>
      <c r="BF580" s="438"/>
      <c r="BG580" s="438"/>
      <c r="BH580" s="438"/>
    </row>
    <row r="581">
      <c r="A581" s="140"/>
      <c r="B581" s="456"/>
      <c r="C581" s="142"/>
      <c r="D581" s="142"/>
      <c r="E581" s="142"/>
      <c r="F581" s="140"/>
      <c r="G581" s="456"/>
      <c r="H581" s="142"/>
      <c r="I581" s="142"/>
      <c r="J581" s="142"/>
      <c r="K581" s="125"/>
      <c r="L581" s="456"/>
      <c r="M581" s="142"/>
      <c r="N581" s="142"/>
      <c r="O581" s="142"/>
      <c r="P581" s="125"/>
      <c r="Q581" s="450"/>
      <c r="R581" s="142"/>
      <c r="S581" s="142"/>
      <c r="T581" s="142"/>
      <c r="U581" s="140"/>
      <c r="V581" s="456"/>
      <c r="W581" s="142"/>
      <c r="X581" s="142"/>
      <c r="Y581" s="142"/>
      <c r="Z581" s="140"/>
      <c r="AA581" s="456"/>
      <c r="AB581" s="142"/>
      <c r="AC581" s="142"/>
      <c r="AD581" s="142"/>
      <c r="AE581" s="140"/>
      <c r="AF581" s="456"/>
      <c r="AG581" s="142"/>
      <c r="AH581" s="142"/>
      <c r="AI581" s="142"/>
      <c r="AJ581" s="140"/>
      <c r="AK581" s="456"/>
      <c r="AL581" s="142"/>
      <c r="AM581" s="142"/>
      <c r="AN581" s="142"/>
      <c r="AO581" s="438"/>
      <c r="AP581" s="438"/>
      <c r="AQ581" s="438"/>
      <c r="AR581" s="438"/>
      <c r="AS581" s="438"/>
      <c r="AT581" s="438"/>
      <c r="AU581" s="438"/>
      <c r="AV581" s="438"/>
      <c r="AW581" s="438"/>
      <c r="AX581" s="438"/>
      <c r="AY581" s="438"/>
      <c r="AZ581" s="438"/>
      <c r="BA581" s="438"/>
      <c r="BB581" s="438"/>
      <c r="BC581" s="438"/>
      <c r="BD581" s="438"/>
      <c r="BE581" s="438"/>
      <c r="BF581" s="438"/>
      <c r="BG581" s="438"/>
      <c r="BH581" s="438"/>
    </row>
    <row r="582">
      <c r="A582" s="140"/>
      <c r="B582" s="456"/>
      <c r="C582" s="142"/>
      <c r="D582" s="142"/>
      <c r="E582" s="142"/>
      <c r="F582" s="140"/>
      <c r="G582" s="456"/>
      <c r="H582" s="142"/>
      <c r="I582" s="142"/>
      <c r="J582" s="142"/>
      <c r="K582" s="125"/>
      <c r="L582" s="456"/>
      <c r="M582" s="142"/>
      <c r="N582" s="142"/>
      <c r="O582" s="142"/>
      <c r="P582" s="125"/>
      <c r="Q582" s="450"/>
      <c r="R582" s="142"/>
      <c r="S582" s="142"/>
      <c r="T582" s="142"/>
      <c r="U582" s="140"/>
      <c r="V582" s="456"/>
      <c r="W582" s="142"/>
      <c r="X582" s="142"/>
      <c r="Y582" s="142"/>
      <c r="Z582" s="140"/>
      <c r="AA582" s="456"/>
      <c r="AB582" s="142"/>
      <c r="AC582" s="142"/>
      <c r="AD582" s="142"/>
      <c r="AE582" s="140"/>
      <c r="AF582" s="456"/>
      <c r="AG582" s="142"/>
      <c r="AH582" s="142"/>
      <c r="AI582" s="142"/>
      <c r="AJ582" s="140"/>
      <c r="AK582" s="456"/>
      <c r="AL582" s="142"/>
      <c r="AM582" s="142"/>
      <c r="AN582" s="142"/>
      <c r="AO582" s="438"/>
      <c r="AP582" s="438"/>
      <c r="AQ582" s="438"/>
      <c r="AR582" s="438"/>
      <c r="AS582" s="438"/>
      <c r="AT582" s="438"/>
      <c r="AU582" s="438"/>
      <c r="AV582" s="438"/>
      <c r="AW582" s="438"/>
      <c r="AX582" s="438"/>
      <c r="AY582" s="438"/>
      <c r="AZ582" s="438"/>
      <c r="BA582" s="438"/>
      <c r="BB582" s="438"/>
      <c r="BC582" s="438"/>
      <c r="BD582" s="438"/>
      <c r="BE582" s="438"/>
      <c r="BF582" s="438"/>
      <c r="BG582" s="438"/>
      <c r="BH582" s="438"/>
    </row>
    <row r="583">
      <c r="A583" s="140"/>
      <c r="B583" s="456"/>
      <c r="C583" s="142"/>
      <c r="D583" s="142"/>
      <c r="E583" s="142"/>
      <c r="F583" s="140"/>
      <c r="G583" s="456"/>
      <c r="H583" s="142"/>
      <c r="I583" s="142"/>
      <c r="J583" s="142"/>
      <c r="K583" s="125"/>
      <c r="L583" s="456"/>
      <c r="M583" s="142"/>
      <c r="N583" s="142"/>
      <c r="O583" s="142"/>
      <c r="P583" s="125"/>
      <c r="Q583" s="450"/>
      <c r="R583" s="142"/>
      <c r="S583" s="142"/>
      <c r="T583" s="142"/>
      <c r="U583" s="140"/>
      <c r="V583" s="456"/>
      <c r="W583" s="142"/>
      <c r="X583" s="142"/>
      <c r="Y583" s="142"/>
      <c r="Z583" s="140"/>
      <c r="AA583" s="456"/>
      <c r="AB583" s="142"/>
      <c r="AC583" s="142"/>
      <c r="AD583" s="142"/>
      <c r="AE583" s="140"/>
      <c r="AF583" s="456"/>
      <c r="AG583" s="142"/>
      <c r="AH583" s="142"/>
      <c r="AI583" s="142"/>
      <c r="AJ583" s="140"/>
      <c r="AK583" s="456"/>
      <c r="AL583" s="142"/>
      <c r="AM583" s="142"/>
      <c r="AN583" s="142"/>
      <c r="AO583" s="438"/>
      <c r="AP583" s="438"/>
      <c r="AQ583" s="438"/>
      <c r="AR583" s="438"/>
      <c r="AS583" s="438"/>
      <c r="AT583" s="438"/>
      <c r="AU583" s="438"/>
      <c r="AV583" s="438"/>
      <c r="AW583" s="438"/>
      <c r="AX583" s="438"/>
      <c r="AY583" s="438"/>
      <c r="AZ583" s="438"/>
      <c r="BA583" s="438"/>
      <c r="BB583" s="438"/>
      <c r="BC583" s="438"/>
      <c r="BD583" s="438"/>
      <c r="BE583" s="438"/>
      <c r="BF583" s="438"/>
      <c r="BG583" s="438"/>
      <c r="BH583" s="438"/>
    </row>
    <row r="584">
      <c r="A584" s="140"/>
      <c r="B584" s="456"/>
      <c r="C584" s="142"/>
      <c r="D584" s="142"/>
      <c r="E584" s="142"/>
      <c r="F584" s="140"/>
      <c r="G584" s="456"/>
      <c r="H584" s="142"/>
      <c r="I584" s="142"/>
      <c r="J584" s="142"/>
      <c r="K584" s="125"/>
      <c r="L584" s="456"/>
      <c r="M584" s="142"/>
      <c r="N584" s="142"/>
      <c r="O584" s="142"/>
      <c r="P584" s="125"/>
      <c r="Q584" s="450"/>
      <c r="R584" s="142"/>
      <c r="S584" s="142"/>
      <c r="T584" s="142"/>
      <c r="U584" s="140"/>
      <c r="V584" s="456"/>
      <c r="W584" s="142"/>
      <c r="X584" s="142"/>
      <c r="Y584" s="142"/>
      <c r="Z584" s="140"/>
      <c r="AA584" s="456"/>
      <c r="AB584" s="142"/>
      <c r="AC584" s="142"/>
      <c r="AD584" s="142"/>
      <c r="AE584" s="140"/>
      <c r="AF584" s="456"/>
      <c r="AG584" s="142"/>
      <c r="AH584" s="142"/>
      <c r="AI584" s="142"/>
      <c r="AJ584" s="140"/>
      <c r="AK584" s="456"/>
      <c r="AL584" s="142"/>
      <c r="AM584" s="142"/>
      <c r="AN584" s="142"/>
      <c r="AO584" s="438"/>
      <c r="AP584" s="438"/>
      <c r="AQ584" s="438"/>
      <c r="AR584" s="438"/>
      <c r="AS584" s="438"/>
      <c r="AT584" s="438"/>
      <c r="AU584" s="438"/>
      <c r="AV584" s="438"/>
      <c r="AW584" s="438"/>
      <c r="AX584" s="438"/>
      <c r="AY584" s="438"/>
      <c r="AZ584" s="438"/>
      <c r="BA584" s="438"/>
      <c r="BB584" s="438"/>
      <c r="BC584" s="438"/>
      <c r="BD584" s="438"/>
      <c r="BE584" s="438"/>
      <c r="BF584" s="438"/>
      <c r="BG584" s="438"/>
      <c r="BH584" s="438"/>
    </row>
    <row r="585">
      <c r="A585" s="140"/>
      <c r="B585" s="456"/>
      <c r="C585" s="142"/>
      <c r="D585" s="142"/>
      <c r="E585" s="142"/>
      <c r="F585" s="140"/>
      <c r="G585" s="456"/>
      <c r="H585" s="142"/>
      <c r="I585" s="142"/>
      <c r="J585" s="142"/>
      <c r="K585" s="125"/>
      <c r="L585" s="456"/>
      <c r="M585" s="142"/>
      <c r="N585" s="142"/>
      <c r="O585" s="142"/>
      <c r="P585" s="125"/>
      <c r="Q585" s="450"/>
      <c r="R585" s="142"/>
      <c r="S585" s="142"/>
      <c r="T585" s="142"/>
      <c r="U585" s="140"/>
      <c r="V585" s="456"/>
      <c r="W585" s="142"/>
      <c r="X585" s="142"/>
      <c r="Y585" s="142"/>
      <c r="Z585" s="140"/>
      <c r="AA585" s="456"/>
      <c r="AB585" s="142"/>
      <c r="AC585" s="142"/>
      <c r="AD585" s="142"/>
      <c r="AE585" s="140"/>
      <c r="AF585" s="456"/>
      <c r="AG585" s="142"/>
      <c r="AH585" s="142"/>
      <c r="AI585" s="142"/>
      <c r="AJ585" s="140"/>
      <c r="AK585" s="456"/>
      <c r="AL585" s="142"/>
      <c r="AM585" s="142"/>
      <c r="AN585" s="142"/>
      <c r="AO585" s="438"/>
      <c r="AP585" s="438"/>
      <c r="AQ585" s="438"/>
      <c r="AR585" s="438"/>
      <c r="AS585" s="438"/>
      <c r="AT585" s="438"/>
      <c r="AU585" s="438"/>
      <c r="AV585" s="438"/>
      <c r="AW585" s="438"/>
      <c r="AX585" s="438"/>
      <c r="AY585" s="438"/>
      <c r="AZ585" s="438"/>
      <c r="BA585" s="438"/>
      <c r="BB585" s="438"/>
      <c r="BC585" s="438"/>
      <c r="BD585" s="438"/>
      <c r="BE585" s="438"/>
      <c r="BF585" s="438"/>
      <c r="BG585" s="438"/>
      <c r="BH585" s="438"/>
    </row>
    <row r="586">
      <c r="A586" s="140"/>
      <c r="B586" s="456"/>
      <c r="C586" s="142"/>
      <c r="D586" s="142"/>
      <c r="E586" s="142"/>
      <c r="F586" s="140"/>
      <c r="G586" s="456"/>
      <c r="H586" s="142"/>
      <c r="I586" s="142"/>
      <c r="J586" s="142"/>
      <c r="K586" s="125"/>
      <c r="L586" s="456"/>
      <c r="M586" s="142"/>
      <c r="N586" s="142"/>
      <c r="O586" s="142"/>
      <c r="P586" s="125"/>
      <c r="Q586" s="450"/>
      <c r="R586" s="142"/>
      <c r="S586" s="142"/>
      <c r="T586" s="142"/>
      <c r="U586" s="140"/>
      <c r="V586" s="456"/>
      <c r="W586" s="142"/>
      <c r="X586" s="142"/>
      <c r="Y586" s="142"/>
      <c r="Z586" s="140"/>
      <c r="AA586" s="456"/>
      <c r="AB586" s="142"/>
      <c r="AC586" s="142"/>
      <c r="AD586" s="142"/>
      <c r="AE586" s="140"/>
      <c r="AF586" s="456"/>
      <c r="AG586" s="142"/>
      <c r="AH586" s="142"/>
      <c r="AI586" s="142"/>
      <c r="AJ586" s="140"/>
      <c r="AK586" s="456"/>
      <c r="AL586" s="142"/>
      <c r="AM586" s="142"/>
      <c r="AN586" s="142"/>
      <c r="AO586" s="438"/>
      <c r="AP586" s="438"/>
      <c r="AQ586" s="438"/>
      <c r="AR586" s="438"/>
      <c r="AS586" s="438"/>
      <c r="AT586" s="438"/>
      <c r="AU586" s="438"/>
      <c r="AV586" s="438"/>
      <c r="AW586" s="438"/>
      <c r="AX586" s="438"/>
      <c r="AY586" s="438"/>
      <c r="AZ586" s="438"/>
      <c r="BA586" s="438"/>
      <c r="BB586" s="438"/>
      <c r="BC586" s="438"/>
      <c r="BD586" s="438"/>
      <c r="BE586" s="438"/>
      <c r="BF586" s="438"/>
      <c r="BG586" s="438"/>
      <c r="BH586" s="438"/>
    </row>
    <row r="587">
      <c r="A587" s="140"/>
      <c r="B587" s="456"/>
      <c r="C587" s="142"/>
      <c r="D587" s="142"/>
      <c r="E587" s="142"/>
      <c r="F587" s="140"/>
      <c r="G587" s="456"/>
      <c r="H587" s="142"/>
      <c r="I587" s="142"/>
      <c r="J587" s="142"/>
      <c r="K587" s="125"/>
      <c r="L587" s="456"/>
      <c r="M587" s="142"/>
      <c r="N587" s="142"/>
      <c r="O587" s="142"/>
      <c r="P587" s="125"/>
      <c r="Q587" s="450"/>
      <c r="R587" s="142"/>
      <c r="S587" s="142"/>
      <c r="T587" s="142"/>
      <c r="U587" s="140"/>
      <c r="V587" s="456"/>
      <c r="W587" s="142"/>
      <c r="X587" s="142"/>
      <c r="Y587" s="142"/>
      <c r="Z587" s="140"/>
      <c r="AA587" s="456"/>
      <c r="AB587" s="142"/>
      <c r="AC587" s="142"/>
      <c r="AD587" s="142"/>
      <c r="AE587" s="140"/>
      <c r="AF587" s="456"/>
      <c r="AG587" s="142"/>
      <c r="AH587" s="142"/>
      <c r="AI587" s="142"/>
      <c r="AJ587" s="140"/>
      <c r="AK587" s="456"/>
      <c r="AL587" s="142"/>
      <c r="AM587" s="142"/>
      <c r="AN587" s="142"/>
      <c r="AO587" s="438"/>
      <c r="AP587" s="438"/>
      <c r="AQ587" s="438"/>
      <c r="AR587" s="438"/>
      <c r="AS587" s="438"/>
      <c r="AT587" s="438"/>
      <c r="AU587" s="438"/>
      <c r="AV587" s="438"/>
      <c r="AW587" s="438"/>
      <c r="AX587" s="438"/>
      <c r="AY587" s="438"/>
      <c r="AZ587" s="438"/>
      <c r="BA587" s="438"/>
      <c r="BB587" s="438"/>
      <c r="BC587" s="438"/>
      <c r="BD587" s="438"/>
      <c r="BE587" s="438"/>
      <c r="BF587" s="438"/>
      <c r="BG587" s="438"/>
      <c r="BH587" s="438"/>
    </row>
    <row r="588">
      <c r="A588" s="140"/>
      <c r="B588" s="456"/>
      <c r="C588" s="142"/>
      <c r="D588" s="142"/>
      <c r="E588" s="142"/>
      <c r="F588" s="140"/>
      <c r="G588" s="456"/>
      <c r="H588" s="142"/>
      <c r="I588" s="142"/>
      <c r="J588" s="142"/>
      <c r="K588" s="125"/>
      <c r="L588" s="456"/>
      <c r="M588" s="142"/>
      <c r="N588" s="142"/>
      <c r="O588" s="142"/>
      <c r="P588" s="125"/>
      <c r="Q588" s="450"/>
      <c r="R588" s="142"/>
      <c r="S588" s="142"/>
      <c r="T588" s="142"/>
      <c r="U588" s="140"/>
      <c r="V588" s="456"/>
      <c r="W588" s="142"/>
      <c r="X588" s="142"/>
      <c r="Y588" s="142"/>
      <c r="Z588" s="140"/>
      <c r="AA588" s="456"/>
      <c r="AB588" s="142"/>
      <c r="AC588" s="142"/>
      <c r="AD588" s="142"/>
      <c r="AE588" s="140"/>
      <c r="AF588" s="456"/>
      <c r="AG588" s="142"/>
      <c r="AH588" s="142"/>
      <c r="AI588" s="142"/>
      <c r="AJ588" s="140"/>
      <c r="AK588" s="456"/>
      <c r="AL588" s="142"/>
      <c r="AM588" s="142"/>
      <c r="AN588" s="142"/>
      <c r="AO588" s="438"/>
      <c r="AP588" s="438"/>
      <c r="AQ588" s="438"/>
      <c r="AR588" s="438"/>
      <c r="AS588" s="438"/>
      <c r="AT588" s="438"/>
      <c r="AU588" s="438"/>
      <c r="AV588" s="438"/>
      <c r="AW588" s="438"/>
      <c r="AX588" s="438"/>
      <c r="AY588" s="438"/>
      <c r="AZ588" s="438"/>
      <c r="BA588" s="438"/>
      <c r="BB588" s="438"/>
      <c r="BC588" s="438"/>
      <c r="BD588" s="438"/>
      <c r="BE588" s="438"/>
      <c r="BF588" s="438"/>
      <c r="BG588" s="438"/>
      <c r="BH588" s="438"/>
    </row>
    <row r="589">
      <c r="A589" s="140"/>
      <c r="B589" s="456"/>
      <c r="C589" s="142"/>
      <c r="D589" s="142"/>
      <c r="E589" s="142"/>
      <c r="F589" s="140"/>
      <c r="G589" s="456"/>
      <c r="H589" s="142"/>
      <c r="I589" s="142"/>
      <c r="J589" s="142"/>
      <c r="K589" s="125"/>
      <c r="L589" s="456"/>
      <c r="M589" s="142"/>
      <c r="N589" s="142"/>
      <c r="O589" s="142"/>
      <c r="P589" s="125"/>
      <c r="Q589" s="450"/>
      <c r="R589" s="142"/>
      <c r="S589" s="142"/>
      <c r="T589" s="142"/>
      <c r="U589" s="140"/>
      <c r="V589" s="456"/>
      <c r="W589" s="142"/>
      <c r="X589" s="142"/>
      <c r="Y589" s="142"/>
      <c r="Z589" s="140"/>
      <c r="AA589" s="456"/>
      <c r="AB589" s="142"/>
      <c r="AC589" s="142"/>
      <c r="AD589" s="142"/>
      <c r="AE589" s="140"/>
      <c r="AF589" s="456"/>
      <c r="AG589" s="142"/>
      <c r="AH589" s="142"/>
      <c r="AI589" s="142"/>
      <c r="AJ589" s="140"/>
      <c r="AK589" s="456"/>
      <c r="AL589" s="142"/>
      <c r="AM589" s="142"/>
      <c r="AN589" s="142"/>
      <c r="AO589" s="438"/>
      <c r="AP589" s="438"/>
      <c r="AQ589" s="438"/>
      <c r="AR589" s="438"/>
      <c r="AS589" s="438"/>
      <c r="AT589" s="438"/>
      <c r="AU589" s="438"/>
      <c r="AV589" s="438"/>
      <c r="AW589" s="438"/>
      <c r="AX589" s="438"/>
      <c r="AY589" s="438"/>
      <c r="AZ589" s="438"/>
      <c r="BA589" s="438"/>
      <c r="BB589" s="438"/>
      <c r="BC589" s="438"/>
      <c r="BD589" s="438"/>
      <c r="BE589" s="438"/>
      <c r="BF589" s="438"/>
      <c r="BG589" s="438"/>
      <c r="BH589" s="438"/>
    </row>
    <row r="590">
      <c r="A590" s="140"/>
      <c r="B590" s="456"/>
      <c r="C590" s="142"/>
      <c r="D590" s="142"/>
      <c r="E590" s="142"/>
      <c r="F590" s="140"/>
      <c r="G590" s="456"/>
      <c r="H590" s="142"/>
      <c r="I590" s="142"/>
      <c r="J590" s="142"/>
      <c r="K590" s="125"/>
      <c r="L590" s="456"/>
      <c r="M590" s="142"/>
      <c r="N590" s="142"/>
      <c r="O590" s="142"/>
      <c r="P590" s="125"/>
      <c r="Q590" s="450"/>
      <c r="R590" s="142"/>
      <c r="S590" s="142"/>
      <c r="T590" s="142"/>
      <c r="U590" s="140"/>
      <c r="V590" s="456"/>
      <c r="W590" s="142"/>
      <c r="X590" s="142"/>
      <c r="Y590" s="142"/>
      <c r="Z590" s="140"/>
      <c r="AA590" s="456"/>
      <c r="AB590" s="142"/>
      <c r="AC590" s="142"/>
      <c r="AD590" s="142"/>
      <c r="AE590" s="140"/>
      <c r="AF590" s="456"/>
      <c r="AG590" s="142"/>
      <c r="AH590" s="142"/>
      <c r="AI590" s="142"/>
      <c r="AJ590" s="140"/>
      <c r="AK590" s="456"/>
      <c r="AL590" s="142"/>
      <c r="AM590" s="142"/>
      <c r="AN590" s="142"/>
      <c r="AO590" s="438"/>
      <c r="AP590" s="438"/>
      <c r="AQ590" s="438"/>
      <c r="AR590" s="438"/>
      <c r="AS590" s="438"/>
      <c r="AT590" s="438"/>
      <c r="AU590" s="438"/>
      <c r="AV590" s="438"/>
      <c r="AW590" s="438"/>
      <c r="AX590" s="438"/>
      <c r="AY590" s="438"/>
      <c r="AZ590" s="438"/>
      <c r="BA590" s="438"/>
      <c r="BB590" s="438"/>
      <c r="BC590" s="438"/>
      <c r="BD590" s="438"/>
      <c r="BE590" s="438"/>
      <c r="BF590" s="438"/>
      <c r="BG590" s="438"/>
      <c r="BH590" s="438"/>
    </row>
    <row r="591">
      <c r="A591" s="140"/>
      <c r="B591" s="456"/>
      <c r="C591" s="142"/>
      <c r="D591" s="142"/>
      <c r="E591" s="142"/>
      <c r="F591" s="140"/>
      <c r="G591" s="456"/>
      <c r="H591" s="142"/>
      <c r="I591" s="142"/>
      <c r="J591" s="142"/>
      <c r="K591" s="125"/>
      <c r="L591" s="456"/>
      <c r="M591" s="142"/>
      <c r="N591" s="142"/>
      <c r="O591" s="142"/>
      <c r="P591" s="125"/>
      <c r="Q591" s="450"/>
      <c r="R591" s="142"/>
      <c r="S591" s="142"/>
      <c r="T591" s="142"/>
      <c r="U591" s="140"/>
      <c r="V591" s="456"/>
      <c r="W591" s="142"/>
      <c r="X591" s="142"/>
      <c r="Y591" s="142"/>
      <c r="Z591" s="140"/>
      <c r="AA591" s="456"/>
      <c r="AB591" s="142"/>
      <c r="AC591" s="142"/>
      <c r="AD591" s="142"/>
      <c r="AE591" s="140"/>
      <c r="AF591" s="456"/>
      <c r="AG591" s="142"/>
      <c r="AH591" s="142"/>
      <c r="AI591" s="142"/>
      <c r="AJ591" s="140"/>
      <c r="AK591" s="456"/>
      <c r="AL591" s="142"/>
      <c r="AM591" s="142"/>
      <c r="AN591" s="142"/>
      <c r="AO591" s="438"/>
      <c r="AP591" s="438"/>
      <c r="AQ591" s="438"/>
      <c r="AR591" s="438"/>
      <c r="AS591" s="438"/>
      <c r="AT591" s="438"/>
      <c r="AU591" s="438"/>
      <c r="AV591" s="438"/>
      <c r="AW591" s="438"/>
      <c r="AX591" s="438"/>
      <c r="AY591" s="438"/>
      <c r="AZ591" s="438"/>
      <c r="BA591" s="438"/>
      <c r="BB591" s="438"/>
      <c r="BC591" s="438"/>
      <c r="BD591" s="438"/>
      <c r="BE591" s="438"/>
      <c r="BF591" s="438"/>
      <c r="BG591" s="438"/>
      <c r="BH591" s="438"/>
    </row>
    <row r="592">
      <c r="A592" s="140"/>
      <c r="B592" s="456"/>
      <c r="C592" s="142"/>
      <c r="D592" s="142"/>
      <c r="E592" s="142"/>
      <c r="F592" s="140"/>
      <c r="G592" s="456"/>
      <c r="H592" s="142"/>
      <c r="I592" s="142"/>
      <c r="J592" s="142"/>
      <c r="K592" s="125"/>
      <c r="L592" s="456"/>
      <c r="M592" s="142"/>
      <c r="N592" s="142"/>
      <c r="O592" s="142"/>
      <c r="P592" s="125"/>
      <c r="Q592" s="450"/>
      <c r="R592" s="142"/>
      <c r="S592" s="142"/>
      <c r="T592" s="142"/>
      <c r="U592" s="140"/>
      <c r="V592" s="456"/>
      <c r="W592" s="142"/>
      <c r="X592" s="142"/>
      <c r="Y592" s="142"/>
      <c r="Z592" s="140"/>
      <c r="AA592" s="456"/>
      <c r="AB592" s="142"/>
      <c r="AC592" s="142"/>
      <c r="AD592" s="142"/>
      <c r="AE592" s="140"/>
      <c r="AF592" s="456"/>
      <c r="AG592" s="142"/>
      <c r="AH592" s="142"/>
      <c r="AI592" s="142"/>
      <c r="AJ592" s="140"/>
      <c r="AK592" s="456"/>
      <c r="AL592" s="142"/>
      <c r="AM592" s="142"/>
      <c r="AN592" s="142"/>
      <c r="AO592" s="438"/>
      <c r="AP592" s="438"/>
      <c r="AQ592" s="438"/>
      <c r="AR592" s="438"/>
      <c r="AS592" s="438"/>
      <c r="AT592" s="438"/>
      <c r="AU592" s="438"/>
      <c r="AV592" s="438"/>
      <c r="AW592" s="438"/>
      <c r="AX592" s="438"/>
      <c r="AY592" s="438"/>
      <c r="AZ592" s="438"/>
      <c r="BA592" s="438"/>
      <c r="BB592" s="438"/>
      <c r="BC592" s="438"/>
      <c r="BD592" s="438"/>
      <c r="BE592" s="438"/>
      <c r="BF592" s="438"/>
      <c r="BG592" s="438"/>
      <c r="BH592" s="438"/>
    </row>
    <row r="593">
      <c r="A593" s="140"/>
      <c r="B593" s="456"/>
      <c r="C593" s="142"/>
      <c r="D593" s="142"/>
      <c r="E593" s="142"/>
      <c r="F593" s="140"/>
      <c r="G593" s="456"/>
      <c r="H593" s="142"/>
      <c r="I593" s="142"/>
      <c r="J593" s="142"/>
      <c r="K593" s="125"/>
      <c r="L593" s="456"/>
      <c r="M593" s="142"/>
      <c r="N593" s="142"/>
      <c r="O593" s="142"/>
      <c r="P593" s="125"/>
      <c r="Q593" s="450"/>
      <c r="R593" s="142"/>
      <c r="S593" s="142"/>
      <c r="T593" s="142"/>
      <c r="U593" s="140"/>
      <c r="V593" s="456"/>
      <c r="W593" s="142"/>
      <c r="X593" s="142"/>
      <c r="Y593" s="142"/>
      <c r="Z593" s="140"/>
      <c r="AA593" s="456"/>
      <c r="AB593" s="142"/>
      <c r="AC593" s="142"/>
      <c r="AD593" s="142"/>
      <c r="AE593" s="140"/>
      <c r="AF593" s="456"/>
      <c r="AG593" s="142"/>
      <c r="AH593" s="142"/>
      <c r="AI593" s="142"/>
      <c r="AJ593" s="140"/>
      <c r="AK593" s="456"/>
      <c r="AL593" s="142"/>
      <c r="AM593" s="142"/>
      <c r="AN593" s="142"/>
      <c r="AO593" s="438"/>
      <c r="AP593" s="438"/>
      <c r="AQ593" s="438"/>
      <c r="AR593" s="438"/>
      <c r="AS593" s="438"/>
      <c r="AT593" s="438"/>
      <c r="AU593" s="438"/>
      <c r="AV593" s="438"/>
      <c r="AW593" s="438"/>
      <c r="AX593" s="438"/>
      <c r="AY593" s="438"/>
      <c r="AZ593" s="438"/>
      <c r="BA593" s="438"/>
      <c r="BB593" s="438"/>
      <c r="BC593" s="438"/>
      <c r="BD593" s="438"/>
      <c r="BE593" s="438"/>
      <c r="BF593" s="438"/>
      <c r="BG593" s="438"/>
      <c r="BH593" s="438"/>
    </row>
    <row r="594">
      <c r="A594" s="140"/>
      <c r="B594" s="456"/>
      <c r="C594" s="142"/>
      <c r="D594" s="142"/>
      <c r="E594" s="142"/>
      <c r="F594" s="140"/>
      <c r="G594" s="456"/>
      <c r="H594" s="142"/>
      <c r="I594" s="142"/>
      <c r="J594" s="142"/>
      <c r="K594" s="125"/>
      <c r="L594" s="456"/>
      <c r="M594" s="142"/>
      <c r="N594" s="142"/>
      <c r="O594" s="142"/>
      <c r="P594" s="125"/>
      <c r="Q594" s="450"/>
      <c r="R594" s="142"/>
      <c r="S594" s="142"/>
      <c r="T594" s="142"/>
      <c r="U594" s="140"/>
      <c r="V594" s="456"/>
      <c r="W594" s="142"/>
      <c r="X594" s="142"/>
      <c r="Y594" s="142"/>
      <c r="Z594" s="140"/>
      <c r="AA594" s="456"/>
      <c r="AB594" s="142"/>
      <c r="AC594" s="142"/>
      <c r="AD594" s="142"/>
      <c r="AE594" s="140"/>
      <c r="AF594" s="456"/>
      <c r="AG594" s="142"/>
      <c r="AH594" s="142"/>
      <c r="AI594" s="142"/>
      <c r="AJ594" s="140"/>
      <c r="AK594" s="456"/>
      <c r="AL594" s="142"/>
      <c r="AM594" s="142"/>
      <c r="AN594" s="142"/>
      <c r="AO594" s="438"/>
      <c r="AP594" s="438"/>
      <c r="AQ594" s="438"/>
      <c r="AR594" s="438"/>
      <c r="AS594" s="438"/>
      <c r="AT594" s="438"/>
      <c r="AU594" s="438"/>
      <c r="AV594" s="438"/>
      <c r="AW594" s="438"/>
      <c r="AX594" s="438"/>
      <c r="AY594" s="438"/>
      <c r="AZ594" s="438"/>
      <c r="BA594" s="438"/>
      <c r="BB594" s="438"/>
      <c r="BC594" s="438"/>
      <c r="BD594" s="438"/>
      <c r="BE594" s="438"/>
      <c r="BF594" s="438"/>
      <c r="BG594" s="438"/>
      <c r="BH594" s="438"/>
    </row>
    <row r="595">
      <c r="A595" s="140"/>
      <c r="B595" s="456"/>
      <c r="C595" s="142"/>
      <c r="D595" s="142"/>
      <c r="E595" s="142"/>
      <c r="F595" s="140"/>
      <c r="G595" s="456"/>
      <c r="H595" s="142"/>
      <c r="I595" s="142"/>
      <c r="J595" s="142"/>
      <c r="K595" s="125"/>
      <c r="L595" s="456"/>
      <c r="M595" s="142"/>
      <c r="N595" s="142"/>
      <c r="O595" s="142"/>
      <c r="P595" s="125"/>
      <c r="Q595" s="450"/>
      <c r="R595" s="142"/>
      <c r="S595" s="142"/>
      <c r="T595" s="142"/>
      <c r="U595" s="140"/>
      <c r="V595" s="456"/>
      <c r="W595" s="142"/>
      <c r="X595" s="142"/>
      <c r="Y595" s="142"/>
      <c r="Z595" s="140"/>
      <c r="AA595" s="456"/>
      <c r="AB595" s="142"/>
      <c r="AC595" s="142"/>
      <c r="AD595" s="142"/>
      <c r="AE595" s="140"/>
      <c r="AF595" s="456"/>
      <c r="AG595" s="142"/>
      <c r="AH595" s="142"/>
      <c r="AI595" s="142"/>
      <c r="AJ595" s="140"/>
      <c r="AK595" s="456"/>
      <c r="AL595" s="142"/>
      <c r="AM595" s="142"/>
      <c r="AN595" s="142"/>
      <c r="AO595" s="438"/>
      <c r="AP595" s="438"/>
      <c r="AQ595" s="438"/>
      <c r="AR595" s="438"/>
      <c r="AS595" s="438"/>
      <c r="AT595" s="438"/>
      <c r="AU595" s="438"/>
      <c r="AV595" s="438"/>
      <c r="AW595" s="438"/>
      <c r="AX595" s="438"/>
      <c r="AY595" s="438"/>
      <c r="AZ595" s="438"/>
      <c r="BA595" s="438"/>
      <c r="BB595" s="438"/>
      <c r="BC595" s="438"/>
      <c r="BD595" s="438"/>
      <c r="BE595" s="438"/>
      <c r="BF595" s="438"/>
      <c r="BG595" s="438"/>
      <c r="BH595" s="438"/>
    </row>
    <row r="596">
      <c r="A596" s="140"/>
      <c r="B596" s="456"/>
      <c r="C596" s="142"/>
      <c r="D596" s="142"/>
      <c r="E596" s="142"/>
      <c r="F596" s="140"/>
      <c r="G596" s="456"/>
      <c r="H596" s="142"/>
      <c r="I596" s="142"/>
      <c r="J596" s="142"/>
      <c r="K596" s="125"/>
      <c r="L596" s="456"/>
      <c r="M596" s="142"/>
      <c r="N596" s="142"/>
      <c r="O596" s="142"/>
      <c r="P596" s="125"/>
      <c r="Q596" s="450"/>
      <c r="R596" s="142"/>
      <c r="S596" s="142"/>
      <c r="T596" s="142"/>
      <c r="U596" s="140"/>
      <c r="V596" s="456"/>
      <c r="W596" s="142"/>
      <c r="X596" s="142"/>
      <c r="Y596" s="142"/>
      <c r="Z596" s="140"/>
      <c r="AA596" s="456"/>
      <c r="AB596" s="142"/>
      <c r="AC596" s="142"/>
      <c r="AD596" s="142"/>
      <c r="AE596" s="140"/>
      <c r="AF596" s="456"/>
      <c r="AG596" s="142"/>
      <c r="AH596" s="142"/>
      <c r="AI596" s="142"/>
      <c r="AJ596" s="140"/>
      <c r="AK596" s="456"/>
      <c r="AL596" s="142"/>
      <c r="AM596" s="142"/>
      <c r="AN596" s="142"/>
      <c r="AO596" s="438"/>
      <c r="AP596" s="438"/>
      <c r="AQ596" s="438"/>
      <c r="AR596" s="438"/>
      <c r="AS596" s="438"/>
      <c r="AT596" s="438"/>
      <c r="AU596" s="438"/>
      <c r="AV596" s="438"/>
      <c r="AW596" s="438"/>
      <c r="AX596" s="438"/>
      <c r="AY596" s="438"/>
      <c r="AZ596" s="438"/>
      <c r="BA596" s="438"/>
      <c r="BB596" s="438"/>
      <c r="BC596" s="438"/>
      <c r="BD596" s="438"/>
      <c r="BE596" s="438"/>
      <c r="BF596" s="438"/>
      <c r="BG596" s="438"/>
      <c r="BH596" s="438"/>
    </row>
    <row r="597">
      <c r="A597" s="140"/>
      <c r="B597" s="456"/>
      <c r="C597" s="142"/>
      <c r="D597" s="142"/>
      <c r="E597" s="142"/>
      <c r="F597" s="140"/>
      <c r="G597" s="456"/>
      <c r="H597" s="142"/>
      <c r="I597" s="142"/>
      <c r="J597" s="142"/>
      <c r="K597" s="125"/>
      <c r="L597" s="456"/>
      <c r="M597" s="142"/>
      <c r="N597" s="142"/>
      <c r="O597" s="142"/>
      <c r="P597" s="125"/>
      <c r="Q597" s="450"/>
      <c r="R597" s="142"/>
      <c r="S597" s="142"/>
      <c r="T597" s="142"/>
      <c r="U597" s="140"/>
      <c r="V597" s="456"/>
      <c r="W597" s="142"/>
      <c r="X597" s="142"/>
      <c r="Y597" s="142"/>
      <c r="Z597" s="140"/>
      <c r="AA597" s="456"/>
      <c r="AB597" s="142"/>
      <c r="AC597" s="142"/>
      <c r="AD597" s="142"/>
      <c r="AE597" s="140"/>
      <c r="AF597" s="456"/>
      <c r="AG597" s="142"/>
      <c r="AH597" s="142"/>
      <c r="AI597" s="142"/>
      <c r="AJ597" s="140"/>
      <c r="AK597" s="456"/>
      <c r="AL597" s="142"/>
      <c r="AM597" s="142"/>
      <c r="AN597" s="142"/>
      <c r="AO597" s="438"/>
      <c r="AP597" s="438"/>
      <c r="AQ597" s="438"/>
      <c r="AR597" s="438"/>
      <c r="AS597" s="438"/>
      <c r="AT597" s="438"/>
      <c r="AU597" s="438"/>
      <c r="AV597" s="438"/>
      <c r="AW597" s="438"/>
      <c r="AX597" s="438"/>
      <c r="AY597" s="438"/>
      <c r="AZ597" s="438"/>
      <c r="BA597" s="438"/>
      <c r="BB597" s="438"/>
      <c r="BC597" s="438"/>
      <c r="BD597" s="438"/>
      <c r="BE597" s="438"/>
      <c r="BF597" s="438"/>
      <c r="BG597" s="438"/>
      <c r="BH597" s="438"/>
    </row>
    <row r="598">
      <c r="A598" s="140"/>
      <c r="B598" s="456"/>
      <c r="C598" s="142"/>
      <c r="D598" s="142"/>
      <c r="E598" s="142"/>
      <c r="F598" s="140"/>
      <c r="G598" s="456"/>
      <c r="H598" s="142"/>
      <c r="I598" s="142"/>
      <c r="J598" s="142"/>
      <c r="K598" s="125"/>
      <c r="L598" s="456"/>
      <c r="M598" s="142"/>
      <c r="N598" s="142"/>
      <c r="O598" s="142"/>
      <c r="P598" s="125"/>
      <c r="Q598" s="450"/>
      <c r="R598" s="142"/>
      <c r="S598" s="142"/>
      <c r="T598" s="142"/>
      <c r="U598" s="140"/>
      <c r="V598" s="456"/>
      <c r="W598" s="142"/>
      <c r="X598" s="142"/>
      <c r="Y598" s="142"/>
      <c r="Z598" s="140"/>
      <c r="AA598" s="456"/>
      <c r="AB598" s="142"/>
      <c r="AC598" s="142"/>
      <c r="AD598" s="142"/>
      <c r="AE598" s="140"/>
      <c r="AF598" s="456"/>
      <c r="AG598" s="142"/>
      <c r="AH598" s="142"/>
      <c r="AI598" s="142"/>
      <c r="AJ598" s="140"/>
      <c r="AK598" s="456"/>
      <c r="AL598" s="142"/>
      <c r="AM598" s="142"/>
      <c r="AN598" s="142"/>
      <c r="AO598" s="438"/>
      <c r="AP598" s="438"/>
      <c r="AQ598" s="438"/>
      <c r="AR598" s="438"/>
      <c r="AS598" s="438"/>
      <c r="AT598" s="438"/>
      <c r="AU598" s="438"/>
      <c r="AV598" s="438"/>
      <c r="AW598" s="438"/>
      <c r="AX598" s="438"/>
      <c r="AY598" s="438"/>
      <c r="AZ598" s="438"/>
      <c r="BA598" s="438"/>
      <c r="BB598" s="438"/>
      <c r="BC598" s="438"/>
      <c r="BD598" s="438"/>
      <c r="BE598" s="438"/>
      <c r="BF598" s="438"/>
      <c r="BG598" s="438"/>
      <c r="BH598" s="438"/>
    </row>
    <row r="599">
      <c r="A599" s="140"/>
      <c r="B599" s="456"/>
      <c r="C599" s="142"/>
      <c r="D599" s="142"/>
      <c r="E599" s="142"/>
      <c r="F599" s="140"/>
      <c r="G599" s="456"/>
      <c r="H599" s="142"/>
      <c r="I599" s="142"/>
      <c r="J599" s="142"/>
      <c r="K599" s="125"/>
      <c r="L599" s="456"/>
      <c r="M599" s="142"/>
      <c r="N599" s="142"/>
      <c r="O599" s="142"/>
      <c r="P599" s="125"/>
      <c r="Q599" s="450"/>
      <c r="R599" s="142"/>
      <c r="S599" s="142"/>
      <c r="T599" s="142"/>
      <c r="U599" s="140"/>
      <c r="V599" s="456"/>
      <c r="W599" s="142"/>
      <c r="X599" s="142"/>
      <c r="Y599" s="142"/>
      <c r="Z599" s="140"/>
      <c r="AA599" s="456"/>
      <c r="AB599" s="142"/>
      <c r="AC599" s="142"/>
      <c r="AD599" s="142"/>
      <c r="AE599" s="140"/>
      <c r="AF599" s="456"/>
      <c r="AG599" s="142"/>
      <c r="AH599" s="142"/>
      <c r="AI599" s="142"/>
      <c r="AJ599" s="140"/>
      <c r="AK599" s="456"/>
      <c r="AL599" s="142"/>
      <c r="AM599" s="142"/>
      <c r="AN599" s="142"/>
      <c r="AO599" s="438"/>
      <c r="AP599" s="438"/>
      <c r="AQ599" s="438"/>
      <c r="AR599" s="438"/>
      <c r="AS599" s="438"/>
      <c r="AT599" s="438"/>
      <c r="AU599" s="438"/>
      <c r="AV599" s="438"/>
      <c r="AW599" s="438"/>
      <c r="AX599" s="438"/>
      <c r="AY599" s="438"/>
      <c r="AZ599" s="438"/>
      <c r="BA599" s="438"/>
      <c r="BB599" s="438"/>
      <c r="BC599" s="438"/>
      <c r="BD599" s="438"/>
      <c r="BE599" s="438"/>
      <c r="BF599" s="438"/>
      <c r="BG599" s="438"/>
      <c r="BH599" s="438"/>
    </row>
    <row r="600">
      <c r="A600" s="140"/>
      <c r="B600" s="456"/>
      <c r="C600" s="142"/>
      <c r="D600" s="142"/>
      <c r="E600" s="142"/>
      <c r="F600" s="140"/>
      <c r="G600" s="456"/>
      <c r="H600" s="142"/>
      <c r="I600" s="142"/>
      <c r="J600" s="142"/>
      <c r="K600" s="125"/>
      <c r="L600" s="456"/>
      <c r="M600" s="142"/>
      <c r="N600" s="142"/>
      <c r="O600" s="142"/>
      <c r="P600" s="125"/>
      <c r="Q600" s="450"/>
      <c r="R600" s="142"/>
      <c r="S600" s="142"/>
      <c r="T600" s="142"/>
      <c r="U600" s="140"/>
      <c r="V600" s="456"/>
      <c r="W600" s="142"/>
      <c r="X600" s="142"/>
      <c r="Y600" s="142"/>
      <c r="Z600" s="140"/>
      <c r="AA600" s="456"/>
      <c r="AB600" s="142"/>
      <c r="AC600" s="142"/>
      <c r="AD600" s="142"/>
      <c r="AE600" s="140"/>
      <c r="AF600" s="456"/>
      <c r="AG600" s="142"/>
      <c r="AH600" s="142"/>
      <c r="AI600" s="142"/>
      <c r="AJ600" s="140"/>
      <c r="AK600" s="456"/>
      <c r="AL600" s="142"/>
      <c r="AM600" s="142"/>
      <c r="AN600" s="142"/>
      <c r="AO600" s="438"/>
      <c r="AP600" s="438"/>
      <c r="AQ600" s="438"/>
      <c r="AR600" s="438"/>
      <c r="AS600" s="438"/>
      <c r="AT600" s="438"/>
      <c r="AU600" s="438"/>
      <c r="AV600" s="438"/>
      <c r="AW600" s="438"/>
      <c r="AX600" s="438"/>
      <c r="AY600" s="438"/>
      <c r="AZ600" s="438"/>
      <c r="BA600" s="438"/>
      <c r="BB600" s="438"/>
      <c r="BC600" s="438"/>
      <c r="BD600" s="438"/>
      <c r="BE600" s="438"/>
      <c r="BF600" s="438"/>
      <c r="BG600" s="438"/>
      <c r="BH600" s="438"/>
    </row>
    <row r="601">
      <c r="A601" s="140"/>
      <c r="B601" s="456"/>
      <c r="C601" s="142"/>
      <c r="D601" s="142"/>
      <c r="E601" s="142"/>
      <c r="F601" s="140"/>
      <c r="G601" s="456"/>
      <c r="H601" s="142"/>
      <c r="I601" s="142"/>
      <c r="J601" s="142"/>
      <c r="K601" s="125"/>
      <c r="L601" s="456"/>
      <c r="M601" s="142"/>
      <c r="N601" s="142"/>
      <c r="O601" s="142"/>
      <c r="P601" s="125"/>
      <c r="Q601" s="450"/>
      <c r="R601" s="142"/>
      <c r="S601" s="142"/>
      <c r="T601" s="142"/>
      <c r="U601" s="140"/>
      <c r="V601" s="456"/>
      <c r="W601" s="142"/>
      <c r="X601" s="142"/>
      <c r="Y601" s="142"/>
      <c r="Z601" s="140"/>
      <c r="AA601" s="456"/>
      <c r="AB601" s="142"/>
      <c r="AC601" s="142"/>
      <c r="AD601" s="142"/>
      <c r="AE601" s="140"/>
      <c r="AF601" s="456"/>
      <c r="AG601" s="142"/>
      <c r="AH601" s="142"/>
      <c r="AI601" s="142"/>
      <c r="AJ601" s="140"/>
      <c r="AK601" s="456"/>
      <c r="AL601" s="142"/>
      <c r="AM601" s="142"/>
      <c r="AN601" s="142"/>
      <c r="AO601" s="438"/>
      <c r="AP601" s="438"/>
      <c r="AQ601" s="438"/>
      <c r="AR601" s="438"/>
      <c r="AS601" s="438"/>
      <c r="AT601" s="438"/>
      <c r="AU601" s="438"/>
      <c r="AV601" s="438"/>
      <c r="AW601" s="438"/>
      <c r="AX601" s="438"/>
      <c r="AY601" s="438"/>
      <c r="AZ601" s="438"/>
      <c r="BA601" s="438"/>
      <c r="BB601" s="438"/>
      <c r="BC601" s="438"/>
      <c r="BD601" s="438"/>
      <c r="BE601" s="438"/>
      <c r="BF601" s="438"/>
      <c r="BG601" s="438"/>
      <c r="BH601" s="438"/>
    </row>
    <row r="602">
      <c r="A602" s="140"/>
      <c r="B602" s="456"/>
      <c r="C602" s="142"/>
      <c r="D602" s="142"/>
      <c r="E602" s="142"/>
      <c r="F602" s="140"/>
      <c r="G602" s="456"/>
      <c r="H602" s="142"/>
      <c r="I602" s="142"/>
      <c r="J602" s="142"/>
      <c r="K602" s="125"/>
      <c r="L602" s="456"/>
      <c r="M602" s="142"/>
      <c r="N602" s="142"/>
      <c r="O602" s="142"/>
      <c r="P602" s="125"/>
      <c r="Q602" s="450"/>
      <c r="R602" s="142"/>
      <c r="S602" s="142"/>
      <c r="T602" s="142"/>
      <c r="U602" s="140"/>
      <c r="V602" s="456"/>
      <c r="W602" s="142"/>
      <c r="X602" s="142"/>
      <c r="Y602" s="142"/>
      <c r="Z602" s="140"/>
      <c r="AA602" s="456"/>
      <c r="AB602" s="142"/>
      <c r="AC602" s="142"/>
      <c r="AD602" s="142"/>
      <c r="AE602" s="140"/>
      <c r="AF602" s="456"/>
      <c r="AG602" s="142"/>
      <c r="AH602" s="142"/>
      <c r="AI602" s="142"/>
      <c r="AJ602" s="140"/>
      <c r="AK602" s="456"/>
      <c r="AL602" s="142"/>
      <c r="AM602" s="142"/>
      <c r="AN602" s="142"/>
      <c r="AO602" s="438"/>
      <c r="AP602" s="438"/>
      <c r="AQ602" s="438"/>
      <c r="AR602" s="438"/>
      <c r="AS602" s="438"/>
      <c r="AT602" s="438"/>
      <c r="AU602" s="438"/>
      <c r="AV602" s="438"/>
      <c r="AW602" s="438"/>
      <c r="AX602" s="438"/>
      <c r="AY602" s="438"/>
      <c r="AZ602" s="438"/>
      <c r="BA602" s="438"/>
      <c r="BB602" s="438"/>
      <c r="BC602" s="438"/>
      <c r="BD602" s="438"/>
      <c r="BE602" s="438"/>
      <c r="BF602" s="438"/>
      <c r="BG602" s="438"/>
      <c r="BH602" s="438"/>
    </row>
    <row r="603">
      <c r="A603" s="140"/>
      <c r="B603" s="456"/>
      <c r="C603" s="142"/>
      <c r="D603" s="142"/>
      <c r="E603" s="142"/>
      <c r="F603" s="140"/>
      <c r="G603" s="456"/>
      <c r="H603" s="142"/>
      <c r="I603" s="142"/>
      <c r="J603" s="142"/>
      <c r="K603" s="125"/>
      <c r="L603" s="456"/>
      <c r="M603" s="142"/>
      <c r="N603" s="142"/>
      <c r="O603" s="142"/>
      <c r="P603" s="125"/>
      <c r="Q603" s="450"/>
      <c r="R603" s="142"/>
      <c r="S603" s="142"/>
      <c r="T603" s="142"/>
      <c r="U603" s="140"/>
      <c r="V603" s="456"/>
      <c r="W603" s="142"/>
      <c r="X603" s="142"/>
      <c r="Y603" s="142"/>
      <c r="Z603" s="140"/>
      <c r="AA603" s="456"/>
      <c r="AB603" s="142"/>
      <c r="AC603" s="142"/>
      <c r="AD603" s="142"/>
      <c r="AE603" s="140"/>
      <c r="AF603" s="456"/>
      <c r="AG603" s="142"/>
      <c r="AH603" s="142"/>
      <c r="AI603" s="142"/>
      <c r="AJ603" s="140"/>
      <c r="AK603" s="456"/>
      <c r="AL603" s="142"/>
      <c r="AM603" s="142"/>
      <c r="AN603" s="142"/>
      <c r="AO603" s="438"/>
      <c r="AP603" s="438"/>
      <c r="AQ603" s="438"/>
      <c r="AR603" s="438"/>
      <c r="AS603" s="438"/>
      <c r="AT603" s="438"/>
      <c r="AU603" s="438"/>
      <c r="AV603" s="438"/>
      <c r="AW603" s="438"/>
      <c r="AX603" s="438"/>
      <c r="AY603" s="438"/>
      <c r="AZ603" s="438"/>
      <c r="BA603" s="438"/>
      <c r="BB603" s="438"/>
      <c r="BC603" s="438"/>
      <c r="BD603" s="438"/>
      <c r="BE603" s="438"/>
      <c r="BF603" s="438"/>
      <c r="BG603" s="438"/>
      <c r="BH603" s="438"/>
    </row>
    <row r="604">
      <c r="A604" s="140"/>
      <c r="B604" s="456"/>
      <c r="C604" s="142"/>
      <c r="D604" s="142"/>
      <c r="E604" s="142"/>
      <c r="F604" s="140"/>
      <c r="G604" s="456"/>
      <c r="H604" s="142"/>
      <c r="I604" s="142"/>
      <c r="J604" s="142"/>
      <c r="K604" s="125"/>
      <c r="L604" s="456"/>
      <c r="M604" s="142"/>
      <c r="N604" s="142"/>
      <c r="O604" s="142"/>
      <c r="P604" s="125"/>
      <c r="Q604" s="450"/>
      <c r="R604" s="142"/>
      <c r="S604" s="142"/>
      <c r="T604" s="142"/>
      <c r="U604" s="140"/>
      <c r="V604" s="456"/>
      <c r="W604" s="142"/>
      <c r="X604" s="142"/>
      <c r="Y604" s="142"/>
      <c r="Z604" s="140"/>
      <c r="AA604" s="456"/>
      <c r="AB604" s="142"/>
      <c r="AC604" s="142"/>
      <c r="AD604" s="142"/>
      <c r="AE604" s="140"/>
      <c r="AF604" s="456"/>
      <c r="AG604" s="142"/>
      <c r="AH604" s="142"/>
      <c r="AI604" s="142"/>
      <c r="AJ604" s="140"/>
      <c r="AK604" s="456"/>
      <c r="AL604" s="142"/>
      <c r="AM604" s="142"/>
      <c r="AN604" s="142"/>
      <c r="AO604" s="438"/>
      <c r="AP604" s="438"/>
      <c r="AQ604" s="438"/>
      <c r="AR604" s="438"/>
      <c r="AS604" s="438"/>
      <c r="AT604" s="438"/>
      <c r="AU604" s="438"/>
      <c r="AV604" s="438"/>
      <c r="AW604" s="438"/>
      <c r="AX604" s="438"/>
      <c r="AY604" s="438"/>
      <c r="AZ604" s="438"/>
      <c r="BA604" s="438"/>
      <c r="BB604" s="438"/>
      <c r="BC604" s="438"/>
      <c r="BD604" s="438"/>
      <c r="BE604" s="438"/>
      <c r="BF604" s="438"/>
      <c r="BG604" s="438"/>
      <c r="BH604" s="438"/>
    </row>
    <row r="605">
      <c r="A605" s="140"/>
      <c r="B605" s="456"/>
      <c r="C605" s="142"/>
      <c r="D605" s="142"/>
      <c r="E605" s="142"/>
      <c r="F605" s="140"/>
      <c r="G605" s="456"/>
      <c r="H605" s="142"/>
      <c r="I605" s="142"/>
      <c r="J605" s="142"/>
      <c r="K605" s="125"/>
      <c r="L605" s="456"/>
      <c r="M605" s="142"/>
      <c r="N605" s="142"/>
      <c r="O605" s="142"/>
      <c r="P605" s="125"/>
      <c r="Q605" s="450"/>
      <c r="R605" s="142"/>
      <c r="S605" s="142"/>
      <c r="T605" s="142"/>
      <c r="U605" s="140"/>
      <c r="V605" s="456"/>
      <c r="W605" s="142"/>
      <c r="X605" s="142"/>
      <c r="Y605" s="142"/>
      <c r="Z605" s="140"/>
      <c r="AA605" s="456"/>
      <c r="AB605" s="142"/>
      <c r="AC605" s="142"/>
      <c r="AD605" s="142"/>
      <c r="AE605" s="140"/>
      <c r="AF605" s="456"/>
      <c r="AG605" s="142"/>
      <c r="AH605" s="142"/>
      <c r="AI605" s="142"/>
      <c r="AJ605" s="140"/>
      <c r="AK605" s="456"/>
      <c r="AL605" s="142"/>
      <c r="AM605" s="142"/>
      <c r="AN605" s="142"/>
      <c r="AO605" s="438"/>
      <c r="AP605" s="438"/>
      <c r="AQ605" s="438"/>
      <c r="AR605" s="438"/>
      <c r="AS605" s="438"/>
      <c r="AT605" s="438"/>
      <c r="AU605" s="438"/>
      <c r="AV605" s="438"/>
      <c r="AW605" s="438"/>
      <c r="AX605" s="438"/>
      <c r="AY605" s="438"/>
      <c r="AZ605" s="438"/>
      <c r="BA605" s="438"/>
      <c r="BB605" s="438"/>
      <c r="BC605" s="438"/>
      <c r="BD605" s="438"/>
      <c r="BE605" s="438"/>
      <c r="BF605" s="438"/>
      <c r="BG605" s="438"/>
      <c r="BH605" s="438"/>
    </row>
    <row r="606">
      <c r="A606" s="140"/>
      <c r="B606" s="456"/>
      <c r="C606" s="142"/>
      <c r="D606" s="142"/>
      <c r="E606" s="142"/>
      <c r="F606" s="140"/>
      <c r="G606" s="456"/>
      <c r="H606" s="142"/>
      <c r="I606" s="142"/>
      <c r="J606" s="142"/>
      <c r="K606" s="125"/>
      <c r="L606" s="456"/>
      <c r="M606" s="142"/>
      <c r="N606" s="142"/>
      <c r="O606" s="142"/>
      <c r="P606" s="125"/>
      <c r="Q606" s="450"/>
      <c r="R606" s="142"/>
      <c r="S606" s="142"/>
      <c r="T606" s="142"/>
      <c r="U606" s="140"/>
      <c r="V606" s="456"/>
      <c r="W606" s="142"/>
      <c r="X606" s="142"/>
      <c r="Y606" s="142"/>
      <c r="Z606" s="140"/>
      <c r="AA606" s="456"/>
      <c r="AB606" s="142"/>
      <c r="AC606" s="142"/>
      <c r="AD606" s="142"/>
      <c r="AE606" s="140"/>
      <c r="AF606" s="456"/>
      <c r="AG606" s="142"/>
      <c r="AH606" s="142"/>
      <c r="AI606" s="142"/>
      <c r="AJ606" s="140"/>
      <c r="AK606" s="456"/>
      <c r="AL606" s="142"/>
      <c r="AM606" s="142"/>
      <c r="AN606" s="142"/>
      <c r="AO606" s="438"/>
      <c r="AP606" s="438"/>
      <c r="AQ606" s="438"/>
      <c r="AR606" s="438"/>
      <c r="AS606" s="438"/>
      <c r="AT606" s="438"/>
      <c r="AU606" s="438"/>
      <c r="AV606" s="438"/>
      <c r="AW606" s="438"/>
      <c r="AX606" s="438"/>
      <c r="AY606" s="438"/>
      <c r="AZ606" s="438"/>
      <c r="BA606" s="438"/>
      <c r="BB606" s="438"/>
      <c r="BC606" s="438"/>
      <c r="BD606" s="438"/>
      <c r="BE606" s="438"/>
      <c r="BF606" s="438"/>
      <c r="BG606" s="438"/>
      <c r="BH606" s="438"/>
    </row>
    <row r="607">
      <c r="A607" s="140"/>
      <c r="B607" s="456"/>
      <c r="C607" s="142"/>
      <c r="D607" s="142"/>
      <c r="E607" s="142"/>
      <c r="F607" s="140"/>
      <c r="G607" s="456"/>
      <c r="H607" s="142"/>
      <c r="I607" s="142"/>
      <c r="J607" s="142"/>
      <c r="K607" s="125"/>
      <c r="L607" s="456"/>
      <c r="M607" s="142"/>
      <c r="N607" s="142"/>
      <c r="O607" s="142"/>
      <c r="P607" s="125"/>
      <c r="Q607" s="450"/>
      <c r="R607" s="142"/>
      <c r="S607" s="142"/>
      <c r="T607" s="142"/>
      <c r="U607" s="140"/>
      <c r="V607" s="456"/>
      <c r="W607" s="142"/>
      <c r="X607" s="142"/>
      <c r="Y607" s="142"/>
      <c r="Z607" s="140"/>
      <c r="AA607" s="456"/>
      <c r="AB607" s="142"/>
      <c r="AC607" s="142"/>
      <c r="AD607" s="142"/>
      <c r="AE607" s="140"/>
      <c r="AF607" s="456"/>
      <c r="AG607" s="142"/>
      <c r="AH607" s="142"/>
      <c r="AI607" s="142"/>
      <c r="AJ607" s="140"/>
      <c r="AK607" s="456"/>
      <c r="AL607" s="142"/>
      <c r="AM607" s="142"/>
      <c r="AN607" s="142"/>
      <c r="AO607" s="438"/>
      <c r="AP607" s="438"/>
      <c r="AQ607" s="438"/>
      <c r="AR607" s="438"/>
      <c r="AS607" s="438"/>
      <c r="AT607" s="438"/>
      <c r="AU607" s="438"/>
      <c r="AV607" s="438"/>
      <c r="AW607" s="438"/>
      <c r="AX607" s="438"/>
      <c r="AY607" s="438"/>
      <c r="AZ607" s="438"/>
      <c r="BA607" s="438"/>
      <c r="BB607" s="438"/>
      <c r="BC607" s="438"/>
      <c r="BD607" s="438"/>
      <c r="BE607" s="438"/>
      <c r="BF607" s="438"/>
      <c r="BG607" s="438"/>
      <c r="BH607" s="438"/>
    </row>
    <row r="608">
      <c r="A608" s="140"/>
      <c r="B608" s="456"/>
      <c r="C608" s="142"/>
      <c r="D608" s="142"/>
      <c r="E608" s="142"/>
      <c r="F608" s="140"/>
      <c r="G608" s="456"/>
      <c r="H608" s="142"/>
      <c r="I608" s="142"/>
      <c r="J608" s="142"/>
      <c r="K608" s="125"/>
      <c r="L608" s="456"/>
      <c r="M608" s="142"/>
      <c r="N608" s="142"/>
      <c r="O608" s="142"/>
      <c r="P608" s="125"/>
      <c r="Q608" s="450"/>
      <c r="R608" s="142"/>
      <c r="S608" s="142"/>
      <c r="T608" s="142"/>
      <c r="U608" s="140"/>
      <c r="V608" s="456"/>
      <c r="W608" s="142"/>
      <c r="X608" s="142"/>
      <c r="Y608" s="142"/>
      <c r="Z608" s="140"/>
      <c r="AA608" s="456"/>
      <c r="AB608" s="142"/>
      <c r="AC608" s="142"/>
      <c r="AD608" s="142"/>
      <c r="AE608" s="140"/>
      <c r="AF608" s="456"/>
      <c r="AG608" s="142"/>
      <c r="AH608" s="142"/>
      <c r="AI608" s="142"/>
      <c r="AJ608" s="140"/>
      <c r="AK608" s="456"/>
      <c r="AL608" s="142"/>
      <c r="AM608" s="142"/>
      <c r="AN608" s="142"/>
      <c r="AO608" s="438"/>
      <c r="AP608" s="438"/>
      <c r="AQ608" s="438"/>
      <c r="AR608" s="438"/>
      <c r="AS608" s="438"/>
      <c r="AT608" s="438"/>
      <c r="AU608" s="438"/>
      <c r="AV608" s="438"/>
      <c r="AW608" s="438"/>
      <c r="AX608" s="438"/>
      <c r="AY608" s="438"/>
      <c r="AZ608" s="438"/>
      <c r="BA608" s="438"/>
      <c r="BB608" s="438"/>
      <c r="BC608" s="438"/>
      <c r="BD608" s="438"/>
      <c r="BE608" s="438"/>
      <c r="BF608" s="438"/>
      <c r="BG608" s="438"/>
      <c r="BH608" s="438"/>
    </row>
    <row r="609">
      <c r="A609" s="140"/>
      <c r="B609" s="456"/>
      <c r="C609" s="142"/>
      <c r="D609" s="142"/>
      <c r="E609" s="142"/>
      <c r="F609" s="140"/>
      <c r="G609" s="456"/>
      <c r="H609" s="142"/>
      <c r="I609" s="142"/>
      <c r="J609" s="142"/>
      <c r="K609" s="125"/>
      <c r="L609" s="456"/>
      <c r="M609" s="142"/>
      <c r="N609" s="142"/>
      <c r="O609" s="142"/>
      <c r="P609" s="125"/>
      <c r="Q609" s="450"/>
      <c r="R609" s="142"/>
      <c r="S609" s="142"/>
      <c r="T609" s="142"/>
      <c r="U609" s="140"/>
      <c r="V609" s="456"/>
      <c r="W609" s="142"/>
      <c r="X609" s="142"/>
      <c r="Y609" s="142"/>
      <c r="Z609" s="140"/>
      <c r="AA609" s="456"/>
      <c r="AB609" s="142"/>
      <c r="AC609" s="142"/>
      <c r="AD609" s="142"/>
      <c r="AE609" s="140"/>
      <c r="AF609" s="456"/>
      <c r="AG609" s="142"/>
      <c r="AH609" s="142"/>
      <c r="AI609" s="142"/>
      <c r="AJ609" s="140"/>
      <c r="AK609" s="456"/>
      <c r="AL609" s="142"/>
      <c r="AM609" s="142"/>
      <c r="AN609" s="142"/>
      <c r="AO609" s="438"/>
      <c r="AP609" s="438"/>
      <c r="AQ609" s="438"/>
      <c r="AR609" s="438"/>
      <c r="AS609" s="438"/>
      <c r="AT609" s="438"/>
      <c r="AU609" s="438"/>
      <c r="AV609" s="438"/>
      <c r="AW609" s="438"/>
      <c r="AX609" s="438"/>
      <c r="AY609" s="438"/>
      <c r="AZ609" s="438"/>
      <c r="BA609" s="438"/>
      <c r="BB609" s="438"/>
      <c r="BC609" s="438"/>
      <c r="BD609" s="438"/>
      <c r="BE609" s="438"/>
      <c r="BF609" s="438"/>
      <c r="BG609" s="438"/>
      <c r="BH609" s="438"/>
    </row>
    <row r="610">
      <c r="A610" s="140"/>
      <c r="B610" s="456"/>
      <c r="C610" s="142"/>
      <c r="D610" s="142"/>
      <c r="E610" s="142"/>
      <c r="F610" s="140"/>
      <c r="G610" s="456"/>
      <c r="H610" s="142"/>
      <c r="I610" s="142"/>
      <c r="J610" s="142"/>
      <c r="K610" s="125"/>
      <c r="L610" s="456"/>
      <c r="M610" s="142"/>
      <c r="N610" s="142"/>
      <c r="O610" s="142"/>
      <c r="P610" s="125"/>
      <c r="Q610" s="450"/>
      <c r="R610" s="142"/>
      <c r="S610" s="142"/>
      <c r="T610" s="142"/>
      <c r="U610" s="140"/>
      <c r="V610" s="456"/>
      <c r="W610" s="142"/>
      <c r="X610" s="142"/>
      <c r="Y610" s="142"/>
      <c r="Z610" s="140"/>
      <c r="AA610" s="456"/>
      <c r="AB610" s="142"/>
      <c r="AC610" s="142"/>
      <c r="AD610" s="142"/>
      <c r="AE610" s="140"/>
      <c r="AF610" s="456"/>
      <c r="AG610" s="142"/>
      <c r="AH610" s="142"/>
      <c r="AI610" s="142"/>
      <c r="AJ610" s="140"/>
      <c r="AK610" s="456"/>
      <c r="AL610" s="142"/>
      <c r="AM610" s="142"/>
      <c r="AN610" s="142"/>
      <c r="AO610" s="438"/>
      <c r="AP610" s="438"/>
      <c r="AQ610" s="438"/>
      <c r="AR610" s="438"/>
      <c r="AS610" s="438"/>
      <c r="AT610" s="438"/>
      <c r="AU610" s="438"/>
      <c r="AV610" s="438"/>
      <c r="AW610" s="438"/>
      <c r="AX610" s="438"/>
      <c r="AY610" s="438"/>
      <c r="AZ610" s="438"/>
      <c r="BA610" s="438"/>
      <c r="BB610" s="438"/>
      <c r="BC610" s="438"/>
      <c r="BD610" s="438"/>
      <c r="BE610" s="438"/>
      <c r="BF610" s="438"/>
      <c r="BG610" s="438"/>
      <c r="BH610" s="438"/>
    </row>
    <row r="611">
      <c r="A611" s="140"/>
      <c r="B611" s="456"/>
      <c r="C611" s="142"/>
      <c r="D611" s="142"/>
      <c r="E611" s="142"/>
      <c r="F611" s="140"/>
      <c r="G611" s="456"/>
      <c r="H611" s="142"/>
      <c r="I611" s="142"/>
      <c r="J611" s="142"/>
      <c r="K611" s="125"/>
      <c r="L611" s="456"/>
      <c r="M611" s="142"/>
      <c r="N611" s="142"/>
      <c r="O611" s="142"/>
      <c r="P611" s="125"/>
      <c r="Q611" s="450"/>
      <c r="R611" s="142"/>
      <c r="S611" s="142"/>
      <c r="T611" s="142"/>
      <c r="U611" s="140"/>
      <c r="V611" s="456"/>
      <c r="W611" s="142"/>
      <c r="X611" s="142"/>
      <c r="Y611" s="142"/>
      <c r="Z611" s="140"/>
      <c r="AA611" s="456"/>
      <c r="AB611" s="142"/>
      <c r="AC611" s="142"/>
      <c r="AD611" s="142"/>
      <c r="AE611" s="140"/>
      <c r="AF611" s="456"/>
      <c r="AG611" s="142"/>
      <c r="AH611" s="142"/>
      <c r="AI611" s="142"/>
      <c r="AJ611" s="140"/>
      <c r="AK611" s="456"/>
      <c r="AL611" s="142"/>
      <c r="AM611" s="142"/>
      <c r="AN611" s="142"/>
      <c r="AO611" s="438"/>
      <c r="AP611" s="438"/>
      <c r="AQ611" s="438"/>
      <c r="AR611" s="438"/>
      <c r="AS611" s="438"/>
      <c r="AT611" s="438"/>
      <c r="AU611" s="438"/>
      <c r="AV611" s="438"/>
      <c r="AW611" s="438"/>
      <c r="AX611" s="438"/>
      <c r="AY611" s="438"/>
      <c r="AZ611" s="438"/>
      <c r="BA611" s="438"/>
      <c r="BB611" s="438"/>
      <c r="BC611" s="438"/>
      <c r="BD611" s="438"/>
      <c r="BE611" s="438"/>
      <c r="BF611" s="438"/>
      <c r="BG611" s="438"/>
      <c r="BH611" s="438"/>
    </row>
    <row r="612">
      <c r="A612" s="140"/>
      <c r="B612" s="456"/>
      <c r="C612" s="142"/>
      <c r="D612" s="142"/>
      <c r="E612" s="142"/>
      <c r="F612" s="140"/>
      <c r="G612" s="456"/>
      <c r="H612" s="142"/>
      <c r="I612" s="142"/>
      <c r="J612" s="142"/>
      <c r="K612" s="125"/>
      <c r="L612" s="456"/>
      <c r="M612" s="142"/>
      <c r="N612" s="142"/>
      <c r="O612" s="142"/>
      <c r="P612" s="125"/>
      <c r="Q612" s="450"/>
      <c r="R612" s="142"/>
      <c r="S612" s="142"/>
      <c r="T612" s="142"/>
      <c r="U612" s="140"/>
      <c r="V612" s="456"/>
      <c r="W612" s="142"/>
      <c r="X612" s="142"/>
      <c r="Y612" s="142"/>
      <c r="Z612" s="140"/>
      <c r="AA612" s="456"/>
      <c r="AB612" s="142"/>
      <c r="AC612" s="142"/>
      <c r="AD612" s="142"/>
      <c r="AE612" s="140"/>
      <c r="AF612" s="456"/>
      <c r="AG612" s="142"/>
      <c r="AH612" s="142"/>
      <c r="AI612" s="142"/>
      <c r="AJ612" s="140"/>
      <c r="AK612" s="456"/>
      <c r="AL612" s="142"/>
      <c r="AM612" s="142"/>
      <c r="AN612" s="142"/>
      <c r="AO612" s="438"/>
      <c r="AP612" s="438"/>
      <c r="AQ612" s="438"/>
      <c r="AR612" s="438"/>
      <c r="AS612" s="438"/>
      <c r="AT612" s="438"/>
      <c r="AU612" s="438"/>
      <c r="AV612" s="438"/>
      <c r="AW612" s="438"/>
      <c r="AX612" s="438"/>
      <c r="AY612" s="438"/>
      <c r="AZ612" s="438"/>
      <c r="BA612" s="438"/>
      <c r="BB612" s="438"/>
      <c r="BC612" s="438"/>
      <c r="BD612" s="438"/>
      <c r="BE612" s="438"/>
      <c r="BF612" s="438"/>
      <c r="BG612" s="438"/>
      <c r="BH612" s="438"/>
    </row>
    <row r="613">
      <c r="A613" s="140"/>
      <c r="B613" s="456"/>
      <c r="C613" s="142"/>
      <c r="D613" s="142"/>
      <c r="E613" s="142"/>
      <c r="F613" s="140"/>
      <c r="G613" s="456"/>
      <c r="H613" s="142"/>
      <c r="I613" s="142"/>
      <c r="J613" s="142"/>
      <c r="K613" s="125"/>
      <c r="L613" s="456"/>
      <c r="M613" s="142"/>
      <c r="N613" s="142"/>
      <c r="O613" s="142"/>
      <c r="P613" s="125"/>
      <c r="Q613" s="450"/>
      <c r="R613" s="142"/>
      <c r="S613" s="142"/>
      <c r="T613" s="142"/>
      <c r="U613" s="140"/>
      <c r="V613" s="456"/>
      <c r="W613" s="142"/>
      <c r="X613" s="142"/>
      <c r="Y613" s="142"/>
      <c r="Z613" s="140"/>
      <c r="AA613" s="456"/>
      <c r="AB613" s="142"/>
      <c r="AC613" s="142"/>
      <c r="AD613" s="142"/>
      <c r="AE613" s="140"/>
      <c r="AF613" s="456"/>
      <c r="AG613" s="142"/>
      <c r="AH613" s="142"/>
      <c r="AI613" s="142"/>
      <c r="AJ613" s="140"/>
      <c r="AK613" s="456"/>
      <c r="AL613" s="142"/>
      <c r="AM613" s="142"/>
      <c r="AN613" s="142"/>
      <c r="AO613" s="438"/>
      <c r="AP613" s="438"/>
      <c r="AQ613" s="438"/>
      <c r="AR613" s="438"/>
      <c r="AS613" s="438"/>
      <c r="AT613" s="438"/>
      <c r="AU613" s="438"/>
      <c r="AV613" s="438"/>
      <c r="AW613" s="438"/>
      <c r="AX613" s="438"/>
      <c r="AY613" s="438"/>
      <c r="AZ613" s="438"/>
      <c r="BA613" s="438"/>
      <c r="BB613" s="438"/>
      <c r="BC613" s="438"/>
      <c r="BD613" s="438"/>
      <c r="BE613" s="438"/>
      <c r="BF613" s="438"/>
      <c r="BG613" s="438"/>
      <c r="BH613" s="438"/>
    </row>
    <row r="614">
      <c r="A614" s="140"/>
      <c r="B614" s="456"/>
      <c r="C614" s="142"/>
      <c r="D614" s="142"/>
      <c r="E614" s="142"/>
      <c r="F614" s="140"/>
      <c r="G614" s="456"/>
      <c r="H614" s="142"/>
      <c r="I614" s="142"/>
      <c r="J614" s="142"/>
      <c r="K614" s="125"/>
      <c r="L614" s="456"/>
      <c r="M614" s="142"/>
      <c r="N614" s="142"/>
      <c r="O614" s="142"/>
      <c r="P614" s="125"/>
      <c r="Q614" s="450"/>
      <c r="R614" s="142"/>
      <c r="S614" s="142"/>
      <c r="T614" s="142"/>
      <c r="U614" s="140"/>
      <c r="V614" s="456"/>
      <c r="W614" s="142"/>
      <c r="X614" s="142"/>
      <c r="Y614" s="142"/>
      <c r="Z614" s="140"/>
      <c r="AA614" s="456"/>
      <c r="AB614" s="142"/>
      <c r="AC614" s="142"/>
      <c r="AD614" s="142"/>
      <c r="AE614" s="140"/>
      <c r="AF614" s="456"/>
      <c r="AG614" s="142"/>
      <c r="AH614" s="142"/>
      <c r="AI614" s="142"/>
      <c r="AJ614" s="140"/>
      <c r="AK614" s="456"/>
      <c r="AL614" s="142"/>
      <c r="AM614" s="142"/>
      <c r="AN614" s="142"/>
      <c r="AO614" s="438"/>
      <c r="AP614" s="438"/>
      <c r="AQ614" s="438"/>
      <c r="AR614" s="438"/>
      <c r="AS614" s="438"/>
      <c r="AT614" s="438"/>
      <c r="AU614" s="438"/>
      <c r="AV614" s="438"/>
      <c r="AW614" s="438"/>
      <c r="AX614" s="438"/>
      <c r="AY614" s="438"/>
      <c r="AZ614" s="438"/>
      <c r="BA614" s="438"/>
      <c r="BB614" s="438"/>
      <c r="BC614" s="438"/>
      <c r="BD614" s="438"/>
      <c r="BE614" s="438"/>
      <c r="BF614" s="438"/>
      <c r="BG614" s="438"/>
      <c r="BH614" s="438"/>
    </row>
    <row r="615">
      <c r="A615" s="140"/>
      <c r="B615" s="456"/>
      <c r="C615" s="142"/>
      <c r="D615" s="142"/>
      <c r="E615" s="142"/>
      <c r="F615" s="140"/>
      <c r="G615" s="456"/>
      <c r="H615" s="142"/>
      <c r="I615" s="142"/>
      <c r="J615" s="142"/>
      <c r="K615" s="125"/>
      <c r="L615" s="456"/>
      <c r="M615" s="142"/>
      <c r="N615" s="142"/>
      <c r="O615" s="142"/>
      <c r="P615" s="125"/>
      <c r="Q615" s="450"/>
      <c r="R615" s="142"/>
      <c r="S615" s="142"/>
      <c r="T615" s="142"/>
      <c r="U615" s="140"/>
      <c r="V615" s="456"/>
      <c r="W615" s="142"/>
      <c r="X615" s="142"/>
      <c r="Y615" s="142"/>
      <c r="Z615" s="140"/>
      <c r="AA615" s="456"/>
      <c r="AB615" s="142"/>
      <c r="AC615" s="142"/>
      <c r="AD615" s="142"/>
      <c r="AE615" s="140"/>
      <c r="AF615" s="456"/>
      <c r="AG615" s="142"/>
      <c r="AH615" s="142"/>
      <c r="AI615" s="142"/>
      <c r="AJ615" s="140"/>
      <c r="AK615" s="456"/>
      <c r="AL615" s="142"/>
      <c r="AM615" s="142"/>
      <c r="AN615" s="142"/>
      <c r="AO615" s="438"/>
      <c r="AP615" s="438"/>
      <c r="AQ615" s="438"/>
      <c r="AR615" s="438"/>
      <c r="AS615" s="438"/>
      <c r="AT615" s="438"/>
      <c r="AU615" s="438"/>
      <c r="AV615" s="438"/>
      <c r="AW615" s="438"/>
      <c r="AX615" s="438"/>
      <c r="AY615" s="438"/>
      <c r="AZ615" s="438"/>
      <c r="BA615" s="438"/>
      <c r="BB615" s="438"/>
      <c r="BC615" s="438"/>
      <c r="BD615" s="438"/>
      <c r="BE615" s="438"/>
      <c r="BF615" s="438"/>
      <c r="BG615" s="438"/>
      <c r="BH615" s="438"/>
    </row>
    <row r="616">
      <c r="A616" s="140"/>
      <c r="B616" s="456"/>
      <c r="C616" s="142"/>
      <c r="D616" s="142"/>
      <c r="E616" s="142"/>
      <c r="F616" s="140"/>
      <c r="G616" s="456"/>
      <c r="H616" s="142"/>
      <c r="I616" s="142"/>
      <c r="J616" s="142"/>
      <c r="K616" s="125"/>
      <c r="L616" s="456"/>
      <c r="M616" s="142"/>
      <c r="N616" s="142"/>
      <c r="O616" s="142"/>
      <c r="P616" s="125"/>
      <c r="Q616" s="450"/>
      <c r="R616" s="142"/>
      <c r="S616" s="142"/>
      <c r="T616" s="142"/>
      <c r="U616" s="140"/>
      <c r="V616" s="456"/>
      <c r="W616" s="142"/>
      <c r="X616" s="142"/>
      <c r="Y616" s="142"/>
      <c r="Z616" s="140"/>
      <c r="AA616" s="456"/>
      <c r="AB616" s="142"/>
      <c r="AC616" s="142"/>
      <c r="AD616" s="142"/>
      <c r="AE616" s="140"/>
      <c r="AF616" s="456"/>
      <c r="AG616" s="142"/>
      <c r="AH616" s="142"/>
      <c r="AI616" s="142"/>
      <c r="AJ616" s="140"/>
      <c r="AK616" s="456"/>
      <c r="AL616" s="142"/>
      <c r="AM616" s="142"/>
      <c r="AN616" s="142"/>
      <c r="AO616" s="438"/>
      <c r="AP616" s="438"/>
      <c r="AQ616" s="438"/>
      <c r="AR616" s="438"/>
      <c r="AS616" s="438"/>
      <c r="AT616" s="438"/>
      <c r="AU616" s="438"/>
      <c r="AV616" s="438"/>
      <c r="AW616" s="438"/>
      <c r="AX616" s="438"/>
      <c r="AY616" s="438"/>
      <c r="AZ616" s="438"/>
      <c r="BA616" s="438"/>
      <c r="BB616" s="438"/>
      <c r="BC616" s="438"/>
      <c r="BD616" s="438"/>
      <c r="BE616" s="438"/>
      <c r="BF616" s="438"/>
      <c r="BG616" s="438"/>
      <c r="BH616" s="438"/>
    </row>
    <row r="617">
      <c r="A617" s="140"/>
      <c r="B617" s="456"/>
      <c r="C617" s="142"/>
      <c r="D617" s="142"/>
      <c r="E617" s="142"/>
      <c r="F617" s="140"/>
      <c r="G617" s="456"/>
      <c r="H617" s="142"/>
      <c r="I617" s="142"/>
      <c r="J617" s="142"/>
      <c r="K617" s="125"/>
      <c r="L617" s="456"/>
      <c r="M617" s="142"/>
      <c r="N617" s="142"/>
      <c r="O617" s="142"/>
      <c r="P617" s="125"/>
      <c r="Q617" s="450"/>
      <c r="R617" s="142"/>
      <c r="S617" s="142"/>
      <c r="T617" s="142"/>
      <c r="U617" s="140"/>
      <c r="V617" s="456"/>
      <c r="W617" s="142"/>
      <c r="X617" s="142"/>
      <c r="Y617" s="142"/>
      <c r="Z617" s="140"/>
      <c r="AA617" s="456"/>
      <c r="AB617" s="142"/>
      <c r="AC617" s="142"/>
      <c r="AD617" s="142"/>
      <c r="AE617" s="140"/>
      <c r="AF617" s="456"/>
      <c r="AG617" s="142"/>
      <c r="AH617" s="142"/>
      <c r="AI617" s="142"/>
      <c r="AJ617" s="140"/>
      <c r="AK617" s="456"/>
      <c r="AL617" s="142"/>
      <c r="AM617" s="142"/>
      <c r="AN617" s="142"/>
      <c r="AO617" s="438"/>
      <c r="AP617" s="438"/>
      <c r="AQ617" s="438"/>
      <c r="AR617" s="438"/>
      <c r="AS617" s="438"/>
      <c r="AT617" s="438"/>
      <c r="AU617" s="438"/>
      <c r="AV617" s="438"/>
      <c r="AW617" s="438"/>
      <c r="AX617" s="438"/>
      <c r="AY617" s="438"/>
      <c r="AZ617" s="438"/>
      <c r="BA617" s="438"/>
      <c r="BB617" s="438"/>
      <c r="BC617" s="438"/>
      <c r="BD617" s="438"/>
      <c r="BE617" s="438"/>
      <c r="BF617" s="438"/>
      <c r="BG617" s="438"/>
      <c r="BH617" s="438"/>
    </row>
    <row r="618">
      <c r="A618" s="140"/>
      <c r="B618" s="456"/>
      <c r="C618" s="142"/>
      <c r="D618" s="142"/>
      <c r="E618" s="142"/>
      <c r="F618" s="140"/>
      <c r="G618" s="456"/>
      <c r="H618" s="142"/>
      <c r="I618" s="142"/>
      <c r="J618" s="142"/>
      <c r="K618" s="125"/>
      <c r="L618" s="456"/>
      <c r="M618" s="142"/>
      <c r="N618" s="142"/>
      <c r="O618" s="142"/>
      <c r="P618" s="125"/>
      <c r="Q618" s="450"/>
      <c r="R618" s="142"/>
      <c r="S618" s="142"/>
      <c r="T618" s="142"/>
      <c r="U618" s="140"/>
      <c r="V618" s="456"/>
      <c r="W618" s="142"/>
      <c r="X618" s="142"/>
      <c r="Y618" s="142"/>
      <c r="Z618" s="140"/>
      <c r="AA618" s="456"/>
      <c r="AB618" s="142"/>
      <c r="AC618" s="142"/>
      <c r="AD618" s="142"/>
      <c r="AE618" s="140"/>
      <c r="AF618" s="456"/>
      <c r="AG618" s="142"/>
      <c r="AH618" s="142"/>
      <c r="AI618" s="142"/>
      <c r="AJ618" s="140"/>
      <c r="AK618" s="456"/>
      <c r="AL618" s="142"/>
      <c r="AM618" s="142"/>
      <c r="AN618" s="142"/>
      <c r="AO618" s="438"/>
      <c r="AP618" s="438"/>
      <c r="AQ618" s="438"/>
      <c r="AR618" s="438"/>
      <c r="AS618" s="438"/>
      <c r="AT618" s="438"/>
      <c r="AU618" s="438"/>
      <c r="AV618" s="438"/>
      <c r="AW618" s="438"/>
      <c r="AX618" s="438"/>
      <c r="AY618" s="438"/>
      <c r="AZ618" s="438"/>
      <c r="BA618" s="438"/>
      <c r="BB618" s="438"/>
      <c r="BC618" s="438"/>
      <c r="BD618" s="438"/>
      <c r="BE618" s="438"/>
      <c r="BF618" s="438"/>
      <c r="BG618" s="438"/>
      <c r="BH618" s="438"/>
    </row>
    <row r="619">
      <c r="A619" s="140"/>
      <c r="B619" s="456"/>
      <c r="C619" s="142"/>
      <c r="D619" s="142"/>
      <c r="E619" s="142"/>
      <c r="F619" s="140"/>
      <c r="G619" s="456"/>
      <c r="H619" s="142"/>
      <c r="I619" s="142"/>
      <c r="J619" s="142"/>
      <c r="K619" s="125"/>
      <c r="L619" s="456"/>
      <c r="M619" s="142"/>
      <c r="N619" s="142"/>
      <c r="O619" s="142"/>
      <c r="P619" s="125"/>
      <c r="Q619" s="450"/>
      <c r="R619" s="142"/>
      <c r="S619" s="142"/>
      <c r="T619" s="142"/>
      <c r="U619" s="140"/>
      <c r="V619" s="456"/>
      <c r="W619" s="142"/>
      <c r="X619" s="142"/>
      <c r="Y619" s="142"/>
      <c r="Z619" s="140"/>
      <c r="AA619" s="456"/>
      <c r="AB619" s="142"/>
      <c r="AC619" s="142"/>
      <c r="AD619" s="142"/>
      <c r="AE619" s="140"/>
      <c r="AF619" s="456"/>
      <c r="AG619" s="142"/>
      <c r="AH619" s="142"/>
      <c r="AI619" s="142"/>
      <c r="AJ619" s="140"/>
      <c r="AK619" s="456"/>
      <c r="AL619" s="142"/>
      <c r="AM619" s="142"/>
      <c r="AN619" s="142"/>
      <c r="AO619" s="438"/>
      <c r="AP619" s="438"/>
      <c r="AQ619" s="438"/>
      <c r="AR619" s="438"/>
      <c r="AS619" s="438"/>
      <c r="AT619" s="438"/>
      <c r="AU619" s="438"/>
      <c r="AV619" s="438"/>
      <c r="AW619" s="438"/>
      <c r="AX619" s="438"/>
      <c r="AY619" s="438"/>
      <c r="AZ619" s="438"/>
      <c r="BA619" s="438"/>
      <c r="BB619" s="438"/>
      <c r="BC619" s="438"/>
      <c r="BD619" s="438"/>
      <c r="BE619" s="438"/>
      <c r="BF619" s="438"/>
      <c r="BG619" s="438"/>
      <c r="BH619" s="438"/>
    </row>
    <row r="620">
      <c r="A620" s="140"/>
      <c r="B620" s="456"/>
      <c r="C620" s="142"/>
      <c r="D620" s="142"/>
      <c r="E620" s="142"/>
      <c r="F620" s="140"/>
      <c r="G620" s="456"/>
      <c r="H620" s="142"/>
      <c r="I620" s="142"/>
      <c r="J620" s="142"/>
      <c r="K620" s="125"/>
      <c r="L620" s="456"/>
      <c r="M620" s="142"/>
      <c r="N620" s="142"/>
      <c r="O620" s="142"/>
      <c r="P620" s="125"/>
      <c r="Q620" s="450"/>
      <c r="R620" s="142"/>
      <c r="S620" s="142"/>
      <c r="T620" s="142"/>
      <c r="U620" s="140"/>
      <c r="V620" s="456"/>
      <c r="W620" s="142"/>
      <c r="X620" s="142"/>
      <c r="Y620" s="142"/>
      <c r="Z620" s="140"/>
      <c r="AA620" s="456"/>
      <c r="AB620" s="142"/>
      <c r="AC620" s="142"/>
      <c r="AD620" s="142"/>
      <c r="AE620" s="140"/>
      <c r="AF620" s="456"/>
      <c r="AG620" s="142"/>
      <c r="AH620" s="142"/>
      <c r="AI620" s="142"/>
      <c r="AJ620" s="140"/>
      <c r="AK620" s="456"/>
      <c r="AL620" s="142"/>
      <c r="AM620" s="142"/>
      <c r="AN620" s="142"/>
      <c r="AO620" s="438"/>
      <c r="AP620" s="438"/>
      <c r="AQ620" s="438"/>
      <c r="AR620" s="438"/>
      <c r="AS620" s="438"/>
      <c r="AT620" s="438"/>
      <c r="AU620" s="438"/>
      <c r="AV620" s="438"/>
      <c r="AW620" s="438"/>
      <c r="AX620" s="438"/>
      <c r="AY620" s="438"/>
      <c r="AZ620" s="438"/>
      <c r="BA620" s="438"/>
      <c r="BB620" s="438"/>
      <c r="BC620" s="438"/>
      <c r="BD620" s="438"/>
      <c r="BE620" s="438"/>
      <c r="BF620" s="438"/>
      <c r="BG620" s="438"/>
      <c r="BH620" s="438"/>
    </row>
    <row r="621">
      <c r="A621" s="140"/>
      <c r="B621" s="456"/>
      <c r="C621" s="142"/>
      <c r="D621" s="142"/>
      <c r="E621" s="142"/>
      <c r="F621" s="140"/>
      <c r="G621" s="456"/>
      <c r="H621" s="142"/>
      <c r="I621" s="142"/>
      <c r="J621" s="142"/>
      <c r="K621" s="125"/>
      <c r="L621" s="456"/>
      <c r="M621" s="142"/>
      <c r="N621" s="142"/>
      <c r="O621" s="142"/>
      <c r="P621" s="125"/>
      <c r="Q621" s="450"/>
      <c r="R621" s="142"/>
      <c r="S621" s="142"/>
      <c r="T621" s="142"/>
      <c r="U621" s="140"/>
      <c r="V621" s="456"/>
      <c r="W621" s="142"/>
      <c r="X621" s="142"/>
      <c r="Y621" s="142"/>
      <c r="Z621" s="140"/>
      <c r="AA621" s="456"/>
      <c r="AB621" s="142"/>
      <c r="AC621" s="142"/>
      <c r="AD621" s="142"/>
      <c r="AE621" s="140"/>
      <c r="AF621" s="456"/>
      <c r="AG621" s="142"/>
      <c r="AH621" s="142"/>
      <c r="AI621" s="142"/>
      <c r="AJ621" s="140"/>
      <c r="AK621" s="456"/>
      <c r="AL621" s="142"/>
      <c r="AM621" s="142"/>
      <c r="AN621" s="142"/>
      <c r="AO621" s="438"/>
      <c r="AP621" s="438"/>
      <c r="AQ621" s="438"/>
      <c r="AR621" s="438"/>
      <c r="AS621" s="438"/>
      <c r="AT621" s="438"/>
      <c r="AU621" s="438"/>
      <c r="AV621" s="438"/>
      <c r="AW621" s="438"/>
      <c r="AX621" s="438"/>
      <c r="AY621" s="438"/>
      <c r="AZ621" s="438"/>
      <c r="BA621" s="438"/>
      <c r="BB621" s="438"/>
      <c r="BC621" s="438"/>
      <c r="BD621" s="438"/>
      <c r="BE621" s="438"/>
      <c r="BF621" s="438"/>
      <c r="BG621" s="438"/>
      <c r="BH621" s="438"/>
    </row>
    <row r="622">
      <c r="A622" s="140"/>
      <c r="B622" s="456"/>
      <c r="C622" s="142"/>
      <c r="D622" s="142"/>
      <c r="E622" s="142"/>
      <c r="F622" s="140"/>
      <c r="G622" s="456"/>
      <c r="H622" s="142"/>
      <c r="I622" s="142"/>
      <c r="J622" s="142"/>
      <c r="K622" s="125"/>
      <c r="L622" s="456"/>
      <c r="M622" s="142"/>
      <c r="N622" s="142"/>
      <c r="O622" s="142"/>
      <c r="P622" s="125"/>
      <c r="Q622" s="450"/>
      <c r="R622" s="142"/>
      <c r="S622" s="142"/>
      <c r="T622" s="142"/>
      <c r="U622" s="140"/>
      <c r="V622" s="456"/>
      <c r="W622" s="142"/>
      <c r="X622" s="142"/>
      <c r="Y622" s="142"/>
      <c r="Z622" s="140"/>
      <c r="AA622" s="456"/>
      <c r="AB622" s="142"/>
      <c r="AC622" s="142"/>
      <c r="AD622" s="142"/>
      <c r="AE622" s="140"/>
      <c r="AF622" s="456"/>
      <c r="AG622" s="142"/>
      <c r="AH622" s="142"/>
      <c r="AI622" s="142"/>
      <c r="AJ622" s="140"/>
      <c r="AK622" s="456"/>
      <c r="AL622" s="142"/>
      <c r="AM622" s="142"/>
      <c r="AN622" s="142"/>
      <c r="AO622" s="438"/>
      <c r="AP622" s="438"/>
      <c r="AQ622" s="438"/>
      <c r="AR622" s="438"/>
      <c r="AS622" s="438"/>
      <c r="AT622" s="438"/>
      <c r="AU622" s="438"/>
      <c r="AV622" s="438"/>
      <c r="AW622" s="438"/>
      <c r="AX622" s="438"/>
      <c r="AY622" s="438"/>
      <c r="AZ622" s="438"/>
      <c r="BA622" s="438"/>
      <c r="BB622" s="438"/>
      <c r="BC622" s="438"/>
      <c r="BD622" s="438"/>
      <c r="BE622" s="438"/>
      <c r="BF622" s="438"/>
      <c r="BG622" s="438"/>
      <c r="BH622" s="438"/>
    </row>
    <row r="623">
      <c r="A623" s="140"/>
      <c r="B623" s="456"/>
      <c r="C623" s="142"/>
      <c r="D623" s="142"/>
      <c r="E623" s="142"/>
      <c r="F623" s="140"/>
      <c r="G623" s="456"/>
      <c r="H623" s="142"/>
      <c r="I623" s="142"/>
      <c r="J623" s="142"/>
      <c r="K623" s="125"/>
      <c r="L623" s="456"/>
      <c r="M623" s="142"/>
      <c r="N623" s="142"/>
      <c r="O623" s="142"/>
      <c r="P623" s="125"/>
      <c r="Q623" s="450"/>
      <c r="R623" s="142"/>
      <c r="S623" s="142"/>
      <c r="T623" s="142"/>
      <c r="U623" s="140"/>
      <c r="V623" s="456"/>
      <c r="W623" s="142"/>
      <c r="X623" s="142"/>
      <c r="Y623" s="142"/>
      <c r="Z623" s="140"/>
      <c r="AA623" s="456"/>
      <c r="AB623" s="142"/>
      <c r="AC623" s="142"/>
      <c r="AD623" s="142"/>
      <c r="AE623" s="140"/>
      <c r="AF623" s="456"/>
      <c r="AG623" s="142"/>
      <c r="AH623" s="142"/>
      <c r="AI623" s="142"/>
      <c r="AJ623" s="140"/>
      <c r="AK623" s="456"/>
      <c r="AL623" s="142"/>
      <c r="AM623" s="142"/>
      <c r="AN623" s="142"/>
      <c r="AO623" s="438"/>
      <c r="AP623" s="438"/>
      <c r="AQ623" s="438"/>
      <c r="AR623" s="438"/>
      <c r="AS623" s="438"/>
      <c r="AT623" s="438"/>
      <c r="AU623" s="438"/>
      <c r="AV623" s="438"/>
      <c r="AW623" s="438"/>
      <c r="AX623" s="438"/>
      <c r="AY623" s="438"/>
      <c r="AZ623" s="438"/>
      <c r="BA623" s="438"/>
      <c r="BB623" s="438"/>
      <c r="BC623" s="438"/>
      <c r="BD623" s="438"/>
      <c r="BE623" s="438"/>
      <c r="BF623" s="438"/>
      <c r="BG623" s="438"/>
      <c r="BH623" s="438"/>
    </row>
    <row r="624">
      <c r="A624" s="140"/>
      <c r="B624" s="456"/>
      <c r="C624" s="142"/>
      <c r="D624" s="142"/>
      <c r="E624" s="142"/>
      <c r="F624" s="140"/>
      <c r="G624" s="456"/>
      <c r="H624" s="142"/>
      <c r="I624" s="142"/>
      <c r="J624" s="142"/>
      <c r="K624" s="125"/>
      <c r="L624" s="456"/>
      <c r="M624" s="142"/>
      <c r="N624" s="142"/>
      <c r="O624" s="142"/>
      <c r="P624" s="125"/>
      <c r="Q624" s="450"/>
      <c r="R624" s="142"/>
      <c r="S624" s="142"/>
      <c r="T624" s="142"/>
      <c r="U624" s="140"/>
      <c r="V624" s="456"/>
      <c r="W624" s="142"/>
      <c r="X624" s="142"/>
      <c r="Y624" s="142"/>
      <c r="Z624" s="140"/>
      <c r="AA624" s="456"/>
      <c r="AB624" s="142"/>
      <c r="AC624" s="142"/>
      <c r="AD624" s="142"/>
      <c r="AE624" s="140"/>
      <c r="AF624" s="456"/>
      <c r="AG624" s="142"/>
      <c r="AH624" s="142"/>
      <c r="AI624" s="142"/>
      <c r="AJ624" s="140"/>
      <c r="AK624" s="456"/>
      <c r="AL624" s="142"/>
      <c r="AM624" s="142"/>
      <c r="AN624" s="142"/>
      <c r="AO624" s="438"/>
      <c r="AP624" s="438"/>
      <c r="AQ624" s="438"/>
      <c r="AR624" s="438"/>
      <c r="AS624" s="438"/>
      <c r="AT624" s="438"/>
      <c r="AU624" s="438"/>
      <c r="AV624" s="438"/>
      <c r="AW624" s="438"/>
      <c r="AX624" s="438"/>
      <c r="AY624" s="438"/>
      <c r="AZ624" s="438"/>
      <c r="BA624" s="438"/>
      <c r="BB624" s="438"/>
      <c r="BC624" s="438"/>
      <c r="BD624" s="438"/>
      <c r="BE624" s="438"/>
      <c r="BF624" s="438"/>
      <c r="BG624" s="438"/>
      <c r="BH624" s="438"/>
    </row>
    <row r="625">
      <c r="A625" s="140"/>
      <c r="B625" s="456"/>
      <c r="C625" s="142"/>
      <c r="D625" s="142"/>
      <c r="E625" s="142"/>
      <c r="F625" s="140"/>
      <c r="G625" s="456"/>
      <c r="H625" s="142"/>
      <c r="I625" s="142"/>
      <c r="J625" s="142"/>
      <c r="K625" s="125"/>
      <c r="L625" s="456"/>
      <c r="M625" s="142"/>
      <c r="N625" s="142"/>
      <c r="O625" s="142"/>
      <c r="P625" s="125"/>
      <c r="Q625" s="450"/>
      <c r="R625" s="142"/>
      <c r="S625" s="142"/>
      <c r="T625" s="142"/>
      <c r="U625" s="140"/>
      <c r="V625" s="456"/>
      <c r="W625" s="142"/>
      <c r="X625" s="142"/>
      <c r="Y625" s="142"/>
      <c r="Z625" s="140"/>
      <c r="AA625" s="456"/>
      <c r="AB625" s="142"/>
      <c r="AC625" s="142"/>
      <c r="AD625" s="142"/>
      <c r="AE625" s="140"/>
      <c r="AF625" s="456"/>
      <c r="AG625" s="142"/>
      <c r="AH625" s="142"/>
      <c r="AI625" s="142"/>
      <c r="AJ625" s="140"/>
      <c r="AK625" s="456"/>
      <c r="AL625" s="142"/>
      <c r="AM625" s="142"/>
      <c r="AN625" s="142"/>
      <c r="AO625" s="438"/>
      <c r="AP625" s="438"/>
      <c r="AQ625" s="438"/>
      <c r="AR625" s="438"/>
      <c r="AS625" s="438"/>
      <c r="AT625" s="438"/>
      <c r="AU625" s="438"/>
      <c r="AV625" s="438"/>
      <c r="AW625" s="438"/>
      <c r="AX625" s="438"/>
      <c r="AY625" s="438"/>
      <c r="AZ625" s="438"/>
      <c r="BA625" s="438"/>
      <c r="BB625" s="438"/>
      <c r="BC625" s="438"/>
      <c r="BD625" s="438"/>
      <c r="BE625" s="438"/>
      <c r="BF625" s="438"/>
      <c r="BG625" s="438"/>
      <c r="BH625" s="438"/>
    </row>
    <row r="626">
      <c r="A626" s="140"/>
      <c r="B626" s="456"/>
      <c r="C626" s="142"/>
      <c r="D626" s="142"/>
      <c r="E626" s="142"/>
      <c r="F626" s="140"/>
      <c r="G626" s="456"/>
      <c r="H626" s="142"/>
      <c r="I626" s="142"/>
      <c r="J626" s="142"/>
      <c r="K626" s="125"/>
      <c r="L626" s="456"/>
      <c r="M626" s="142"/>
      <c r="N626" s="142"/>
      <c r="O626" s="142"/>
      <c r="P626" s="125"/>
      <c r="Q626" s="450"/>
      <c r="R626" s="142"/>
      <c r="S626" s="142"/>
      <c r="T626" s="142"/>
      <c r="U626" s="140"/>
      <c r="V626" s="456"/>
      <c r="W626" s="142"/>
      <c r="X626" s="142"/>
      <c r="Y626" s="142"/>
      <c r="Z626" s="140"/>
      <c r="AA626" s="456"/>
      <c r="AB626" s="142"/>
      <c r="AC626" s="142"/>
      <c r="AD626" s="142"/>
      <c r="AE626" s="140"/>
      <c r="AF626" s="456"/>
      <c r="AG626" s="142"/>
      <c r="AH626" s="142"/>
      <c r="AI626" s="142"/>
      <c r="AJ626" s="140"/>
      <c r="AK626" s="456"/>
      <c r="AL626" s="142"/>
      <c r="AM626" s="142"/>
      <c r="AN626" s="142"/>
      <c r="AO626" s="438"/>
      <c r="AP626" s="438"/>
      <c r="AQ626" s="438"/>
      <c r="AR626" s="438"/>
      <c r="AS626" s="438"/>
      <c r="AT626" s="438"/>
      <c r="AU626" s="438"/>
      <c r="AV626" s="438"/>
      <c r="AW626" s="438"/>
      <c r="AX626" s="438"/>
      <c r="AY626" s="438"/>
      <c r="AZ626" s="438"/>
      <c r="BA626" s="438"/>
      <c r="BB626" s="438"/>
      <c r="BC626" s="438"/>
      <c r="BD626" s="438"/>
      <c r="BE626" s="438"/>
      <c r="BF626" s="438"/>
      <c r="BG626" s="438"/>
      <c r="BH626" s="438"/>
    </row>
    <row r="627">
      <c r="A627" s="140"/>
      <c r="B627" s="456"/>
      <c r="C627" s="142"/>
      <c r="D627" s="142"/>
      <c r="E627" s="142"/>
      <c r="F627" s="140"/>
      <c r="G627" s="456"/>
      <c r="H627" s="142"/>
      <c r="I627" s="142"/>
      <c r="J627" s="142"/>
      <c r="K627" s="125"/>
      <c r="L627" s="456"/>
      <c r="M627" s="142"/>
      <c r="N627" s="142"/>
      <c r="O627" s="142"/>
      <c r="P627" s="125"/>
      <c r="Q627" s="450"/>
      <c r="R627" s="142"/>
      <c r="S627" s="142"/>
      <c r="T627" s="142"/>
      <c r="U627" s="140"/>
      <c r="V627" s="456"/>
      <c r="W627" s="142"/>
      <c r="X627" s="142"/>
      <c r="Y627" s="142"/>
      <c r="Z627" s="140"/>
      <c r="AA627" s="456"/>
      <c r="AB627" s="142"/>
      <c r="AC627" s="142"/>
      <c r="AD627" s="142"/>
      <c r="AE627" s="140"/>
      <c r="AF627" s="456"/>
      <c r="AG627" s="142"/>
      <c r="AH627" s="142"/>
      <c r="AI627" s="142"/>
      <c r="AJ627" s="140"/>
      <c r="AK627" s="456"/>
      <c r="AL627" s="142"/>
      <c r="AM627" s="142"/>
      <c r="AN627" s="142"/>
      <c r="AO627" s="438"/>
      <c r="AP627" s="438"/>
      <c r="AQ627" s="438"/>
      <c r="AR627" s="438"/>
      <c r="AS627" s="438"/>
      <c r="AT627" s="438"/>
      <c r="AU627" s="438"/>
      <c r="AV627" s="438"/>
      <c r="AW627" s="438"/>
      <c r="AX627" s="438"/>
      <c r="AY627" s="438"/>
      <c r="AZ627" s="438"/>
      <c r="BA627" s="438"/>
      <c r="BB627" s="438"/>
      <c r="BC627" s="438"/>
      <c r="BD627" s="438"/>
      <c r="BE627" s="438"/>
      <c r="BF627" s="438"/>
      <c r="BG627" s="438"/>
      <c r="BH627" s="438"/>
    </row>
    <row r="628">
      <c r="A628" s="140"/>
      <c r="B628" s="456"/>
      <c r="C628" s="142"/>
      <c r="D628" s="142"/>
      <c r="E628" s="142"/>
      <c r="F628" s="140"/>
      <c r="G628" s="456"/>
      <c r="H628" s="142"/>
      <c r="I628" s="142"/>
      <c r="J628" s="142"/>
      <c r="K628" s="125"/>
      <c r="L628" s="456"/>
      <c r="M628" s="142"/>
      <c r="N628" s="142"/>
      <c r="O628" s="142"/>
      <c r="P628" s="125"/>
      <c r="Q628" s="450"/>
      <c r="R628" s="142"/>
      <c r="S628" s="142"/>
      <c r="T628" s="142"/>
      <c r="U628" s="140"/>
      <c r="V628" s="456"/>
      <c r="W628" s="142"/>
      <c r="X628" s="142"/>
      <c r="Y628" s="142"/>
      <c r="Z628" s="140"/>
      <c r="AA628" s="456"/>
      <c r="AB628" s="142"/>
      <c r="AC628" s="142"/>
      <c r="AD628" s="142"/>
      <c r="AE628" s="140"/>
      <c r="AF628" s="456"/>
      <c r="AG628" s="142"/>
      <c r="AH628" s="142"/>
      <c r="AI628" s="142"/>
      <c r="AJ628" s="140"/>
      <c r="AK628" s="456"/>
      <c r="AL628" s="142"/>
      <c r="AM628" s="142"/>
      <c r="AN628" s="142"/>
      <c r="AO628" s="438"/>
      <c r="AP628" s="438"/>
      <c r="AQ628" s="438"/>
      <c r="AR628" s="438"/>
      <c r="AS628" s="438"/>
      <c r="AT628" s="438"/>
      <c r="AU628" s="438"/>
      <c r="AV628" s="438"/>
      <c r="AW628" s="438"/>
      <c r="AX628" s="438"/>
      <c r="AY628" s="438"/>
      <c r="AZ628" s="438"/>
      <c r="BA628" s="438"/>
      <c r="BB628" s="438"/>
      <c r="BC628" s="438"/>
      <c r="BD628" s="438"/>
      <c r="BE628" s="438"/>
      <c r="BF628" s="438"/>
      <c r="BG628" s="438"/>
      <c r="BH628" s="438"/>
    </row>
    <row r="629">
      <c r="A629" s="140"/>
      <c r="B629" s="456"/>
      <c r="C629" s="142"/>
      <c r="D629" s="142"/>
      <c r="E629" s="142"/>
      <c r="F629" s="140"/>
      <c r="G629" s="456"/>
      <c r="H629" s="142"/>
      <c r="I629" s="142"/>
      <c r="J629" s="142"/>
      <c r="K629" s="125"/>
      <c r="L629" s="456"/>
      <c r="M629" s="142"/>
      <c r="N629" s="142"/>
      <c r="O629" s="142"/>
      <c r="P629" s="125"/>
      <c r="Q629" s="450"/>
      <c r="R629" s="142"/>
      <c r="S629" s="142"/>
      <c r="T629" s="142"/>
      <c r="U629" s="140"/>
      <c r="V629" s="456"/>
      <c r="W629" s="142"/>
      <c r="X629" s="142"/>
      <c r="Y629" s="142"/>
      <c r="Z629" s="140"/>
      <c r="AA629" s="456"/>
      <c r="AB629" s="142"/>
      <c r="AC629" s="142"/>
      <c r="AD629" s="142"/>
      <c r="AE629" s="140"/>
      <c r="AF629" s="456"/>
      <c r="AG629" s="142"/>
      <c r="AH629" s="142"/>
      <c r="AI629" s="142"/>
      <c r="AJ629" s="140"/>
      <c r="AK629" s="456"/>
      <c r="AL629" s="142"/>
      <c r="AM629" s="142"/>
      <c r="AN629" s="142"/>
      <c r="AO629" s="438"/>
      <c r="AP629" s="438"/>
      <c r="AQ629" s="438"/>
      <c r="AR629" s="438"/>
      <c r="AS629" s="438"/>
      <c r="AT629" s="438"/>
      <c r="AU629" s="438"/>
      <c r="AV629" s="438"/>
      <c r="AW629" s="438"/>
      <c r="AX629" s="438"/>
      <c r="AY629" s="438"/>
      <c r="AZ629" s="438"/>
      <c r="BA629" s="438"/>
      <c r="BB629" s="438"/>
      <c r="BC629" s="438"/>
      <c r="BD629" s="438"/>
      <c r="BE629" s="438"/>
      <c r="BF629" s="438"/>
      <c r="BG629" s="438"/>
      <c r="BH629" s="438"/>
    </row>
    <row r="630">
      <c r="A630" s="140"/>
      <c r="B630" s="456"/>
      <c r="C630" s="142"/>
      <c r="D630" s="142"/>
      <c r="E630" s="142"/>
      <c r="F630" s="140"/>
      <c r="G630" s="456"/>
      <c r="H630" s="142"/>
      <c r="I630" s="142"/>
      <c r="J630" s="142"/>
      <c r="K630" s="125"/>
      <c r="L630" s="456"/>
      <c r="M630" s="142"/>
      <c r="N630" s="142"/>
      <c r="O630" s="142"/>
      <c r="P630" s="125"/>
      <c r="Q630" s="450"/>
      <c r="R630" s="142"/>
      <c r="S630" s="142"/>
      <c r="T630" s="142"/>
      <c r="U630" s="140"/>
      <c r="V630" s="456"/>
      <c r="W630" s="142"/>
      <c r="X630" s="142"/>
      <c r="Y630" s="142"/>
      <c r="Z630" s="140"/>
      <c r="AA630" s="456"/>
      <c r="AB630" s="142"/>
      <c r="AC630" s="142"/>
      <c r="AD630" s="142"/>
      <c r="AE630" s="140"/>
      <c r="AF630" s="456"/>
      <c r="AG630" s="142"/>
      <c r="AH630" s="142"/>
      <c r="AI630" s="142"/>
      <c r="AJ630" s="140"/>
      <c r="AK630" s="456"/>
      <c r="AL630" s="142"/>
      <c r="AM630" s="142"/>
      <c r="AN630" s="142"/>
      <c r="AO630" s="438"/>
      <c r="AP630" s="438"/>
      <c r="AQ630" s="438"/>
      <c r="AR630" s="438"/>
      <c r="AS630" s="438"/>
      <c r="AT630" s="438"/>
      <c r="AU630" s="438"/>
      <c r="AV630" s="438"/>
      <c r="AW630" s="438"/>
      <c r="AX630" s="438"/>
      <c r="AY630" s="438"/>
      <c r="AZ630" s="438"/>
      <c r="BA630" s="438"/>
      <c r="BB630" s="438"/>
      <c r="BC630" s="438"/>
      <c r="BD630" s="438"/>
      <c r="BE630" s="438"/>
      <c r="BF630" s="438"/>
      <c r="BG630" s="438"/>
      <c r="BH630" s="438"/>
    </row>
    <row r="631">
      <c r="A631" s="140"/>
      <c r="B631" s="456"/>
      <c r="C631" s="142"/>
      <c r="D631" s="142"/>
      <c r="E631" s="142"/>
      <c r="F631" s="140"/>
      <c r="G631" s="456"/>
      <c r="H631" s="142"/>
      <c r="I631" s="142"/>
      <c r="J631" s="142"/>
      <c r="K631" s="125"/>
      <c r="L631" s="456"/>
      <c r="M631" s="142"/>
      <c r="N631" s="142"/>
      <c r="O631" s="142"/>
      <c r="P631" s="125"/>
      <c r="Q631" s="450"/>
      <c r="R631" s="142"/>
      <c r="S631" s="142"/>
      <c r="T631" s="142"/>
      <c r="U631" s="140"/>
      <c r="V631" s="456"/>
      <c r="W631" s="142"/>
      <c r="X631" s="142"/>
      <c r="Y631" s="142"/>
      <c r="Z631" s="140"/>
      <c r="AA631" s="456"/>
      <c r="AB631" s="142"/>
      <c r="AC631" s="142"/>
      <c r="AD631" s="142"/>
      <c r="AE631" s="140"/>
      <c r="AF631" s="456"/>
      <c r="AG631" s="142"/>
      <c r="AH631" s="142"/>
      <c r="AI631" s="142"/>
      <c r="AJ631" s="140"/>
      <c r="AK631" s="456"/>
      <c r="AL631" s="142"/>
      <c r="AM631" s="142"/>
      <c r="AN631" s="142"/>
      <c r="AO631" s="438"/>
      <c r="AP631" s="438"/>
      <c r="AQ631" s="438"/>
      <c r="AR631" s="438"/>
      <c r="AS631" s="438"/>
      <c r="AT631" s="438"/>
      <c r="AU631" s="438"/>
      <c r="AV631" s="438"/>
      <c r="AW631" s="438"/>
      <c r="AX631" s="438"/>
      <c r="AY631" s="438"/>
      <c r="AZ631" s="438"/>
      <c r="BA631" s="438"/>
      <c r="BB631" s="438"/>
      <c r="BC631" s="438"/>
      <c r="BD631" s="438"/>
      <c r="BE631" s="438"/>
      <c r="BF631" s="438"/>
      <c r="BG631" s="438"/>
      <c r="BH631" s="438"/>
    </row>
    <row r="632">
      <c r="A632" s="140"/>
      <c r="B632" s="456"/>
      <c r="C632" s="142"/>
      <c r="D632" s="142"/>
      <c r="E632" s="142"/>
      <c r="F632" s="140"/>
      <c r="G632" s="456"/>
      <c r="H632" s="142"/>
      <c r="I632" s="142"/>
      <c r="J632" s="142"/>
      <c r="K632" s="125"/>
      <c r="L632" s="456"/>
      <c r="M632" s="142"/>
      <c r="N632" s="142"/>
      <c r="O632" s="142"/>
      <c r="P632" s="125"/>
      <c r="Q632" s="450"/>
      <c r="R632" s="142"/>
      <c r="S632" s="142"/>
      <c r="T632" s="142"/>
      <c r="U632" s="140"/>
      <c r="V632" s="456"/>
      <c r="W632" s="142"/>
      <c r="X632" s="142"/>
      <c r="Y632" s="142"/>
      <c r="Z632" s="140"/>
      <c r="AA632" s="456"/>
      <c r="AB632" s="142"/>
      <c r="AC632" s="142"/>
      <c r="AD632" s="142"/>
      <c r="AE632" s="140"/>
      <c r="AF632" s="456"/>
      <c r="AG632" s="142"/>
      <c r="AH632" s="142"/>
      <c r="AI632" s="142"/>
      <c r="AJ632" s="140"/>
      <c r="AK632" s="456"/>
      <c r="AL632" s="142"/>
      <c r="AM632" s="142"/>
      <c r="AN632" s="142"/>
      <c r="AO632" s="438"/>
      <c r="AP632" s="438"/>
      <c r="AQ632" s="438"/>
      <c r="AR632" s="438"/>
      <c r="AS632" s="438"/>
      <c r="AT632" s="438"/>
      <c r="AU632" s="438"/>
      <c r="AV632" s="438"/>
      <c r="AW632" s="438"/>
      <c r="AX632" s="438"/>
      <c r="AY632" s="438"/>
      <c r="AZ632" s="438"/>
      <c r="BA632" s="438"/>
      <c r="BB632" s="438"/>
      <c r="BC632" s="438"/>
      <c r="BD632" s="438"/>
      <c r="BE632" s="438"/>
      <c r="BF632" s="438"/>
      <c r="BG632" s="438"/>
      <c r="BH632" s="438"/>
    </row>
    <row r="633">
      <c r="A633" s="140"/>
      <c r="B633" s="456"/>
      <c r="C633" s="142"/>
      <c r="D633" s="142"/>
      <c r="E633" s="142"/>
      <c r="F633" s="140"/>
      <c r="G633" s="456"/>
      <c r="H633" s="142"/>
      <c r="I633" s="142"/>
      <c r="J633" s="142"/>
      <c r="K633" s="125"/>
      <c r="L633" s="456"/>
      <c r="M633" s="142"/>
      <c r="N633" s="142"/>
      <c r="O633" s="142"/>
      <c r="P633" s="125"/>
      <c r="Q633" s="450"/>
      <c r="R633" s="142"/>
      <c r="S633" s="142"/>
      <c r="T633" s="142"/>
      <c r="U633" s="140"/>
      <c r="V633" s="456"/>
      <c r="W633" s="142"/>
      <c r="X633" s="142"/>
      <c r="Y633" s="142"/>
      <c r="Z633" s="140"/>
      <c r="AA633" s="456"/>
      <c r="AB633" s="142"/>
      <c r="AC633" s="142"/>
      <c r="AD633" s="142"/>
      <c r="AE633" s="140"/>
      <c r="AF633" s="456"/>
      <c r="AG633" s="142"/>
      <c r="AH633" s="142"/>
      <c r="AI633" s="142"/>
      <c r="AJ633" s="140"/>
      <c r="AK633" s="456"/>
      <c r="AL633" s="142"/>
      <c r="AM633" s="142"/>
      <c r="AN633" s="142"/>
      <c r="AO633" s="438"/>
      <c r="AP633" s="438"/>
      <c r="AQ633" s="438"/>
      <c r="AR633" s="438"/>
      <c r="AS633" s="438"/>
      <c r="AT633" s="438"/>
      <c r="AU633" s="438"/>
      <c r="AV633" s="438"/>
      <c r="AW633" s="438"/>
      <c r="AX633" s="438"/>
      <c r="AY633" s="438"/>
      <c r="AZ633" s="438"/>
      <c r="BA633" s="438"/>
      <c r="BB633" s="438"/>
      <c r="BC633" s="438"/>
      <c r="BD633" s="438"/>
      <c r="BE633" s="438"/>
      <c r="BF633" s="438"/>
      <c r="BG633" s="438"/>
      <c r="BH633" s="438"/>
    </row>
    <row r="634">
      <c r="A634" s="140"/>
      <c r="B634" s="456"/>
      <c r="C634" s="142"/>
      <c r="D634" s="142"/>
      <c r="E634" s="142"/>
      <c r="F634" s="140"/>
      <c r="G634" s="456"/>
      <c r="H634" s="142"/>
      <c r="I634" s="142"/>
      <c r="J634" s="142"/>
      <c r="K634" s="125"/>
      <c r="L634" s="456"/>
      <c r="M634" s="142"/>
      <c r="N634" s="142"/>
      <c r="O634" s="142"/>
      <c r="P634" s="125"/>
      <c r="Q634" s="450"/>
      <c r="R634" s="142"/>
      <c r="S634" s="142"/>
      <c r="T634" s="142"/>
      <c r="U634" s="140"/>
      <c r="V634" s="456"/>
      <c r="W634" s="142"/>
      <c r="X634" s="142"/>
      <c r="Y634" s="142"/>
      <c r="Z634" s="140"/>
      <c r="AA634" s="456"/>
      <c r="AB634" s="142"/>
      <c r="AC634" s="142"/>
      <c r="AD634" s="142"/>
      <c r="AE634" s="140"/>
      <c r="AF634" s="456"/>
      <c r="AG634" s="142"/>
      <c r="AH634" s="142"/>
      <c r="AI634" s="142"/>
      <c r="AJ634" s="140"/>
      <c r="AK634" s="456"/>
      <c r="AL634" s="142"/>
      <c r="AM634" s="142"/>
      <c r="AN634" s="142"/>
      <c r="AO634" s="438"/>
      <c r="AP634" s="438"/>
      <c r="AQ634" s="438"/>
      <c r="AR634" s="438"/>
      <c r="AS634" s="438"/>
      <c r="AT634" s="438"/>
      <c r="AU634" s="438"/>
      <c r="AV634" s="438"/>
      <c r="AW634" s="438"/>
      <c r="AX634" s="438"/>
      <c r="AY634" s="438"/>
      <c r="AZ634" s="438"/>
      <c r="BA634" s="438"/>
      <c r="BB634" s="438"/>
      <c r="BC634" s="438"/>
      <c r="BD634" s="438"/>
      <c r="BE634" s="438"/>
      <c r="BF634" s="438"/>
      <c r="BG634" s="438"/>
      <c r="BH634" s="438"/>
    </row>
    <row r="635">
      <c r="A635" s="140"/>
      <c r="B635" s="456"/>
      <c r="C635" s="142"/>
      <c r="D635" s="142"/>
      <c r="E635" s="142"/>
      <c r="F635" s="140"/>
      <c r="G635" s="456"/>
      <c r="H635" s="142"/>
      <c r="I635" s="142"/>
      <c r="J635" s="142"/>
      <c r="K635" s="125"/>
      <c r="L635" s="456"/>
      <c r="M635" s="142"/>
      <c r="N635" s="142"/>
      <c r="O635" s="142"/>
      <c r="P635" s="125"/>
      <c r="Q635" s="450"/>
      <c r="R635" s="142"/>
      <c r="S635" s="142"/>
      <c r="T635" s="142"/>
      <c r="U635" s="140"/>
      <c r="V635" s="456"/>
      <c r="W635" s="142"/>
      <c r="X635" s="142"/>
      <c r="Y635" s="142"/>
      <c r="Z635" s="140"/>
      <c r="AA635" s="456"/>
      <c r="AB635" s="142"/>
      <c r="AC635" s="142"/>
      <c r="AD635" s="142"/>
      <c r="AE635" s="140"/>
      <c r="AF635" s="456"/>
      <c r="AG635" s="142"/>
      <c r="AH635" s="142"/>
      <c r="AI635" s="142"/>
      <c r="AJ635" s="140"/>
      <c r="AK635" s="456"/>
      <c r="AL635" s="142"/>
      <c r="AM635" s="142"/>
      <c r="AN635" s="142"/>
      <c r="AO635" s="438"/>
      <c r="AP635" s="438"/>
      <c r="AQ635" s="438"/>
      <c r="AR635" s="438"/>
      <c r="AS635" s="438"/>
      <c r="AT635" s="438"/>
      <c r="AU635" s="438"/>
      <c r="AV635" s="438"/>
      <c r="AW635" s="438"/>
      <c r="AX635" s="438"/>
      <c r="AY635" s="438"/>
      <c r="AZ635" s="438"/>
      <c r="BA635" s="438"/>
      <c r="BB635" s="438"/>
      <c r="BC635" s="438"/>
      <c r="BD635" s="438"/>
      <c r="BE635" s="438"/>
      <c r="BF635" s="438"/>
      <c r="BG635" s="438"/>
      <c r="BH635" s="438"/>
    </row>
    <row r="636">
      <c r="A636" s="140"/>
      <c r="B636" s="456"/>
      <c r="C636" s="142"/>
      <c r="D636" s="142"/>
      <c r="E636" s="142"/>
      <c r="F636" s="140"/>
      <c r="G636" s="456"/>
      <c r="H636" s="142"/>
      <c r="I636" s="142"/>
      <c r="J636" s="142"/>
      <c r="K636" s="125"/>
      <c r="L636" s="456"/>
      <c r="M636" s="142"/>
      <c r="N636" s="142"/>
      <c r="O636" s="142"/>
      <c r="P636" s="125"/>
      <c r="Q636" s="450"/>
      <c r="R636" s="142"/>
      <c r="S636" s="142"/>
      <c r="T636" s="142"/>
      <c r="U636" s="140"/>
      <c r="V636" s="456"/>
      <c r="W636" s="142"/>
      <c r="X636" s="142"/>
      <c r="Y636" s="142"/>
      <c r="Z636" s="140"/>
      <c r="AA636" s="456"/>
      <c r="AB636" s="142"/>
      <c r="AC636" s="142"/>
      <c r="AD636" s="142"/>
      <c r="AE636" s="140"/>
      <c r="AF636" s="456"/>
      <c r="AG636" s="142"/>
      <c r="AH636" s="142"/>
      <c r="AI636" s="142"/>
      <c r="AJ636" s="140"/>
      <c r="AK636" s="456"/>
      <c r="AL636" s="142"/>
      <c r="AM636" s="142"/>
      <c r="AN636" s="142"/>
      <c r="AO636" s="438"/>
      <c r="AP636" s="438"/>
      <c r="AQ636" s="438"/>
      <c r="AR636" s="438"/>
      <c r="AS636" s="438"/>
      <c r="AT636" s="438"/>
      <c r="AU636" s="438"/>
      <c r="AV636" s="438"/>
      <c r="AW636" s="438"/>
      <c r="AX636" s="438"/>
      <c r="AY636" s="438"/>
      <c r="AZ636" s="438"/>
      <c r="BA636" s="438"/>
      <c r="BB636" s="438"/>
      <c r="BC636" s="438"/>
      <c r="BD636" s="438"/>
      <c r="BE636" s="438"/>
      <c r="BF636" s="438"/>
      <c r="BG636" s="438"/>
      <c r="BH636" s="438"/>
    </row>
    <row r="637">
      <c r="A637" s="140"/>
      <c r="B637" s="456"/>
      <c r="C637" s="142"/>
      <c r="D637" s="142"/>
      <c r="E637" s="142"/>
      <c r="F637" s="140"/>
      <c r="G637" s="456"/>
      <c r="H637" s="142"/>
      <c r="I637" s="142"/>
      <c r="J637" s="142"/>
      <c r="K637" s="125"/>
      <c r="L637" s="456"/>
      <c r="M637" s="142"/>
      <c r="N637" s="142"/>
      <c r="O637" s="142"/>
      <c r="P637" s="125"/>
      <c r="Q637" s="450"/>
      <c r="R637" s="142"/>
      <c r="S637" s="142"/>
      <c r="T637" s="142"/>
      <c r="U637" s="140"/>
      <c r="V637" s="456"/>
      <c r="W637" s="142"/>
      <c r="X637" s="142"/>
      <c r="Y637" s="142"/>
      <c r="Z637" s="140"/>
      <c r="AA637" s="456"/>
      <c r="AB637" s="142"/>
      <c r="AC637" s="142"/>
      <c r="AD637" s="142"/>
      <c r="AE637" s="140"/>
      <c r="AF637" s="456"/>
      <c r="AG637" s="142"/>
      <c r="AH637" s="142"/>
      <c r="AI637" s="142"/>
      <c r="AJ637" s="140"/>
      <c r="AK637" s="456"/>
      <c r="AL637" s="142"/>
      <c r="AM637" s="142"/>
      <c r="AN637" s="142"/>
      <c r="AO637" s="438"/>
      <c r="AP637" s="438"/>
      <c r="AQ637" s="438"/>
      <c r="AR637" s="438"/>
      <c r="AS637" s="438"/>
      <c r="AT637" s="438"/>
      <c r="AU637" s="438"/>
      <c r="AV637" s="438"/>
      <c r="AW637" s="438"/>
      <c r="AX637" s="438"/>
      <c r="AY637" s="438"/>
      <c r="AZ637" s="438"/>
      <c r="BA637" s="438"/>
      <c r="BB637" s="438"/>
      <c r="BC637" s="438"/>
      <c r="BD637" s="438"/>
      <c r="BE637" s="438"/>
      <c r="BF637" s="438"/>
      <c r="BG637" s="438"/>
      <c r="BH637" s="438"/>
    </row>
    <row r="638">
      <c r="A638" s="140"/>
      <c r="B638" s="456"/>
      <c r="C638" s="142"/>
      <c r="D638" s="142"/>
      <c r="E638" s="142"/>
      <c r="F638" s="140"/>
      <c r="G638" s="456"/>
      <c r="H638" s="142"/>
      <c r="I638" s="142"/>
      <c r="J638" s="142"/>
      <c r="K638" s="125"/>
      <c r="L638" s="456"/>
      <c r="M638" s="142"/>
      <c r="N638" s="142"/>
      <c r="O638" s="142"/>
      <c r="P638" s="125"/>
      <c r="Q638" s="450"/>
      <c r="R638" s="142"/>
      <c r="S638" s="142"/>
      <c r="T638" s="142"/>
      <c r="U638" s="140"/>
      <c r="V638" s="456"/>
      <c r="W638" s="142"/>
      <c r="X638" s="142"/>
      <c r="Y638" s="142"/>
      <c r="Z638" s="140"/>
      <c r="AA638" s="456"/>
      <c r="AB638" s="142"/>
      <c r="AC638" s="142"/>
      <c r="AD638" s="142"/>
      <c r="AE638" s="140"/>
      <c r="AF638" s="456"/>
      <c r="AG638" s="142"/>
      <c r="AH638" s="142"/>
      <c r="AI638" s="142"/>
      <c r="AJ638" s="140"/>
      <c r="AK638" s="456"/>
      <c r="AL638" s="142"/>
      <c r="AM638" s="142"/>
      <c r="AN638" s="142"/>
      <c r="AO638" s="438"/>
      <c r="AP638" s="438"/>
      <c r="AQ638" s="438"/>
      <c r="AR638" s="438"/>
      <c r="AS638" s="438"/>
      <c r="AT638" s="438"/>
      <c r="AU638" s="438"/>
      <c r="AV638" s="438"/>
      <c r="AW638" s="438"/>
      <c r="AX638" s="438"/>
      <c r="AY638" s="438"/>
      <c r="AZ638" s="438"/>
      <c r="BA638" s="438"/>
      <c r="BB638" s="438"/>
      <c r="BC638" s="438"/>
      <c r="BD638" s="438"/>
      <c r="BE638" s="438"/>
      <c r="BF638" s="438"/>
      <c r="BG638" s="438"/>
      <c r="BH638" s="438"/>
    </row>
    <row r="639">
      <c r="A639" s="140"/>
      <c r="B639" s="456"/>
      <c r="C639" s="142"/>
      <c r="D639" s="142"/>
      <c r="E639" s="142"/>
      <c r="F639" s="140"/>
      <c r="G639" s="456"/>
      <c r="H639" s="142"/>
      <c r="I639" s="142"/>
      <c r="J639" s="142"/>
      <c r="K639" s="125"/>
      <c r="L639" s="456"/>
      <c r="M639" s="142"/>
      <c r="N639" s="142"/>
      <c r="O639" s="142"/>
      <c r="P639" s="125"/>
      <c r="Q639" s="450"/>
      <c r="R639" s="142"/>
      <c r="S639" s="142"/>
      <c r="T639" s="142"/>
      <c r="U639" s="140"/>
      <c r="V639" s="456"/>
      <c r="W639" s="142"/>
      <c r="X639" s="142"/>
      <c r="Y639" s="142"/>
      <c r="Z639" s="140"/>
      <c r="AA639" s="456"/>
      <c r="AB639" s="142"/>
      <c r="AC639" s="142"/>
      <c r="AD639" s="142"/>
      <c r="AE639" s="140"/>
      <c r="AF639" s="456"/>
      <c r="AG639" s="142"/>
      <c r="AH639" s="142"/>
      <c r="AI639" s="142"/>
      <c r="AJ639" s="140"/>
      <c r="AK639" s="456"/>
      <c r="AL639" s="142"/>
      <c r="AM639" s="142"/>
      <c r="AN639" s="142"/>
      <c r="AO639" s="438"/>
      <c r="AP639" s="438"/>
      <c r="AQ639" s="438"/>
      <c r="AR639" s="438"/>
      <c r="AS639" s="438"/>
      <c r="AT639" s="438"/>
      <c r="AU639" s="438"/>
      <c r="AV639" s="438"/>
      <c r="AW639" s="438"/>
      <c r="AX639" s="438"/>
      <c r="AY639" s="438"/>
      <c r="AZ639" s="438"/>
      <c r="BA639" s="438"/>
      <c r="BB639" s="438"/>
      <c r="BC639" s="438"/>
      <c r="BD639" s="438"/>
      <c r="BE639" s="438"/>
      <c r="BF639" s="438"/>
      <c r="BG639" s="438"/>
      <c r="BH639" s="438"/>
    </row>
    <row r="640">
      <c r="A640" s="140"/>
      <c r="B640" s="456"/>
      <c r="C640" s="142"/>
      <c r="D640" s="142"/>
      <c r="E640" s="142"/>
      <c r="F640" s="140"/>
      <c r="G640" s="456"/>
      <c r="H640" s="142"/>
      <c r="I640" s="142"/>
      <c r="J640" s="142"/>
      <c r="K640" s="125"/>
      <c r="L640" s="456"/>
      <c r="M640" s="142"/>
      <c r="N640" s="142"/>
      <c r="O640" s="142"/>
      <c r="P640" s="125"/>
      <c r="Q640" s="450"/>
      <c r="R640" s="142"/>
      <c r="S640" s="142"/>
      <c r="T640" s="142"/>
      <c r="U640" s="140"/>
      <c r="V640" s="456"/>
      <c r="W640" s="142"/>
      <c r="X640" s="142"/>
      <c r="Y640" s="142"/>
      <c r="Z640" s="140"/>
      <c r="AA640" s="456"/>
      <c r="AB640" s="142"/>
      <c r="AC640" s="142"/>
      <c r="AD640" s="142"/>
      <c r="AE640" s="140"/>
      <c r="AF640" s="456"/>
      <c r="AG640" s="142"/>
      <c r="AH640" s="142"/>
      <c r="AI640" s="142"/>
      <c r="AJ640" s="140"/>
      <c r="AK640" s="456"/>
      <c r="AL640" s="142"/>
      <c r="AM640" s="142"/>
      <c r="AN640" s="142"/>
      <c r="AO640" s="438"/>
      <c r="AP640" s="438"/>
      <c r="AQ640" s="438"/>
      <c r="AR640" s="438"/>
      <c r="AS640" s="438"/>
      <c r="AT640" s="438"/>
      <c r="AU640" s="438"/>
      <c r="AV640" s="438"/>
      <c r="AW640" s="438"/>
      <c r="AX640" s="438"/>
      <c r="AY640" s="438"/>
      <c r="AZ640" s="438"/>
      <c r="BA640" s="438"/>
      <c r="BB640" s="438"/>
      <c r="BC640" s="438"/>
      <c r="BD640" s="438"/>
      <c r="BE640" s="438"/>
      <c r="BF640" s="438"/>
      <c r="BG640" s="438"/>
      <c r="BH640" s="438"/>
    </row>
    <row r="641">
      <c r="A641" s="140"/>
      <c r="B641" s="456"/>
      <c r="C641" s="142"/>
      <c r="D641" s="142"/>
      <c r="E641" s="142"/>
      <c r="F641" s="140"/>
      <c r="G641" s="456"/>
      <c r="H641" s="142"/>
      <c r="I641" s="142"/>
      <c r="J641" s="142"/>
      <c r="K641" s="125"/>
      <c r="L641" s="456"/>
      <c r="M641" s="142"/>
      <c r="N641" s="142"/>
      <c r="O641" s="142"/>
      <c r="P641" s="125"/>
      <c r="Q641" s="450"/>
      <c r="R641" s="142"/>
      <c r="S641" s="142"/>
      <c r="T641" s="142"/>
      <c r="U641" s="140"/>
      <c r="V641" s="456"/>
      <c r="W641" s="142"/>
      <c r="X641" s="142"/>
      <c r="Y641" s="142"/>
      <c r="Z641" s="140"/>
      <c r="AA641" s="456"/>
      <c r="AB641" s="142"/>
      <c r="AC641" s="142"/>
      <c r="AD641" s="142"/>
      <c r="AE641" s="140"/>
      <c r="AF641" s="456"/>
      <c r="AG641" s="142"/>
      <c r="AH641" s="142"/>
      <c r="AI641" s="142"/>
      <c r="AJ641" s="140"/>
      <c r="AK641" s="456"/>
      <c r="AL641" s="142"/>
      <c r="AM641" s="142"/>
      <c r="AN641" s="142"/>
      <c r="AO641" s="438"/>
      <c r="AP641" s="438"/>
      <c r="AQ641" s="438"/>
      <c r="AR641" s="438"/>
      <c r="AS641" s="438"/>
      <c r="AT641" s="438"/>
      <c r="AU641" s="438"/>
      <c r="AV641" s="438"/>
      <c r="AW641" s="438"/>
      <c r="AX641" s="438"/>
      <c r="AY641" s="438"/>
      <c r="AZ641" s="438"/>
      <c r="BA641" s="438"/>
      <c r="BB641" s="438"/>
      <c r="BC641" s="438"/>
      <c r="BD641" s="438"/>
      <c r="BE641" s="438"/>
      <c r="BF641" s="438"/>
      <c r="BG641" s="438"/>
      <c r="BH641" s="438"/>
    </row>
    <row r="642">
      <c r="A642" s="140"/>
      <c r="B642" s="456"/>
      <c r="C642" s="142"/>
      <c r="D642" s="142"/>
      <c r="E642" s="142"/>
      <c r="F642" s="140"/>
      <c r="G642" s="456"/>
      <c r="H642" s="142"/>
      <c r="I642" s="142"/>
      <c r="J642" s="142"/>
      <c r="K642" s="125"/>
      <c r="L642" s="456"/>
      <c r="M642" s="142"/>
      <c r="N642" s="142"/>
      <c r="O642" s="142"/>
      <c r="P642" s="125"/>
      <c r="Q642" s="450"/>
      <c r="R642" s="142"/>
      <c r="S642" s="142"/>
      <c r="T642" s="142"/>
      <c r="U642" s="140"/>
      <c r="V642" s="456"/>
      <c r="W642" s="142"/>
      <c r="X642" s="142"/>
      <c r="Y642" s="142"/>
      <c r="Z642" s="140"/>
      <c r="AA642" s="456"/>
      <c r="AB642" s="142"/>
      <c r="AC642" s="142"/>
      <c r="AD642" s="142"/>
      <c r="AE642" s="140"/>
      <c r="AF642" s="456"/>
      <c r="AG642" s="142"/>
      <c r="AH642" s="142"/>
      <c r="AI642" s="142"/>
      <c r="AJ642" s="140"/>
      <c r="AK642" s="456"/>
      <c r="AL642" s="142"/>
      <c r="AM642" s="142"/>
      <c r="AN642" s="142"/>
      <c r="AO642" s="438"/>
      <c r="AP642" s="438"/>
      <c r="AQ642" s="438"/>
      <c r="AR642" s="438"/>
      <c r="AS642" s="438"/>
      <c r="AT642" s="438"/>
      <c r="AU642" s="438"/>
      <c r="AV642" s="438"/>
      <c r="AW642" s="438"/>
      <c r="AX642" s="438"/>
      <c r="AY642" s="438"/>
      <c r="AZ642" s="438"/>
      <c r="BA642" s="438"/>
      <c r="BB642" s="438"/>
      <c r="BC642" s="438"/>
      <c r="BD642" s="438"/>
      <c r="BE642" s="438"/>
      <c r="BF642" s="438"/>
      <c r="BG642" s="438"/>
      <c r="BH642" s="438"/>
    </row>
    <row r="643">
      <c r="A643" s="140"/>
      <c r="B643" s="456"/>
      <c r="C643" s="142"/>
      <c r="D643" s="142"/>
      <c r="E643" s="142"/>
      <c r="F643" s="140"/>
      <c r="G643" s="456"/>
      <c r="H643" s="142"/>
      <c r="I643" s="142"/>
      <c r="J643" s="142"/>
      <c r="K643" s="125"/>
      <c r="L643" s="456"/>
      <c r="M643" s="142"/>
      <c r="N643" s="142"/>
      <c r="O643" s="142"/>
      <c r="P643" s="125"/>
      <c r="Q643" s="450"/>
      <c r="R643" s="142"/>
      <c r="S643" s="142"/>
      <c r="T643" s="142"/>
      <c r="U643" s="140"/>
      <c r="V643" s="456"/>
      <c r="W643" s="142"/>
      <c r="X643" s="142"/>
      <c r="Y643" s="142"/>
      <c r="Z643" s="140"/>
      <c r="AA643" s="456"/>
      <c r="AB643" s="142"/>
      <c r="AC643" s="142"/>
      <c r="AD643" s="142"/>
      <c r="AE643" s="140"/>
      <c r="AF643" s="456"/>
      <c r="AG643" s="142"/>
      <c r="AH643" s="142"/>
      <c r="AI643" s="142"/>
      <c r="AJ643" s="140"/>
      <c r="AK643" s="456"/>
      <c r="AL643" s="142"/>
      <c r="AM643" s="142"/>
      <c r="AN643" s="142"/>
      <c r="AO643" s="438"/>
      <c r="AP643" s="438"/>
      <c r="AQ643" s="438"/>
      <c r="AR643" s="438"/>
      <c r="AS643" s="438"/>
      <c r="AT643" s="438"/>
      <c r="AU643" s="438"/>
      <c r="AV643" s="438"/>
      <c r="AW643" s="438"/>
      <c r="AX643" s="438"/>
      <c r="AY643" s="438"/>
      <c r="AZ643" s="438"/>
      <c r="BA643" s="438"/>
      <c r="BB643" s="438"/>
      <c r="BC643" s="438"/>
      <c r="BD643" s="438"/>
      <c r="BE643" s="438"/>
      <c r="BF643" s="438"/>
      <c r="BG643" s="438"/>
      <c r="BH643" s="438"/>
    </row>
    <row r="644">
      <c r="A644" s="140"/>
      <c r="B644" s="456"/>
      <c r="C644" s="142"/>
      <c r="D644" s="142"/>
      <c r="E644" s="142"/>
      <c r="F644" s="140"/>
      <c r="G644" s="456"/>
      <c r="H644" s="142"/>
      <c r="I644" s="142"/>
      <c r="J644" s="142"/>
      <c r="K644" s="125"/>
      <c r="L644" s="456"/>
      <c r="M644" s="142"/>
      <c r="N644" s="142"/>
      <c r="O644" s="142"/>
      <c r="P644" s="125"/>
      <c r="Q644" s="450"/>
      <c r="R644" s="142"/>
      <c r="S644" s="142"/>
      <c r="T644" s="142"/>
      <c r="U644" s="140"/>
      <c r="V644" s="456"/>
      <c r="W644" s="142"/>
      <c r="X644" s="142"/>
      <c r="Y644" s="142"/>
      <c r="Z644" s="140"/>
      <c r="AA644" s="456"/>
      <c r="AB644" s="142"/>
      <c r="AC644" s="142"/>
      <c r="AD644" s="142"/>
      <c r="AE644" s="140"/>
      <c r="AF644" s="456"/>
      <c r="AG644" s="142"/>
      <c r="AH644" s="142"/>
      <c r="AI644" s="142"/>
      <c r="AJ644" s="140"/>
      <c r="AK644" s="456"/>
      <c r="AL644" s="142"/>
      <c r="AM644" s="142"/>
      <c r="AN644" s="142"/>
      <c r="AO644" s="438"/>
      <c r="AP644" s="438"/>
      <c r="AQ644" s="438"/>
      <c r="AR644" s="438"/>
      <c r="AS644" s="438"/>
      <c r="AT644" s="438"/>
      <c r="AU644" s="438"/>
      <c r="AV644" s="438"/>
      <c r="AW644" s="438"/>
      <c r="AX644" s="438"/>
      <c r="AY644" s="438"/>
      <c r="AZ644" s="438"/>
      <c r="BA644" s="438"/>
      <c r="BB644" s="438"/>
      <c r="BC644" s="438"/>
      <c r="BD644" s="438"/>
      <c r="BE644" s="438"/>
      <c r="BF644" s="438"/>
      <c r="BG644" s="438"/>
      <c r="BH644" s="438"/>
    </row>
    <row r="645">
      <c r="A645" s="140"/>
      <c r="B645" s="456"/>
      <c r="C645" s="142"/>
      <c r="D645" s="142"/>
      <c r="E645" s="142"/>
      <c r="F645" s="140"/>
      <c r="G645" s="456"/>
      <c r="H645" s="142"/>
      <c r="I645" s="142"/>
      <c r="J645" s="142"/>
      <c r="K645" s="125"/>
      <c r="L645" s="456"/>
      <c r="M645" s="142"/>
      <c r="N645" s="142"/>
      <c r="O645" s="142"/>
      <c r="P645" s="125"/>
      <c r="Q645" s="450"/>
      <c r="R645" s="142"/>
      <c r="S645" s="142"/>
      <c r="T645" s="142"/>
      <c r="U645" s="140"/>
      <c r="V645" s="456"/>
      <c r="W645" s="142"/>
      <c r="X645" s="142"/>
      <c r="Y645" s="142"/>
      <c r="Z645" s="140"/>
      <c r="AA645" s="456"/>
      <c r="AB645" s="142"/>
      <c r="AC645" s="142"/>
      <c r="AD645" s="142"/>
      <c r="AE645" s="140"/>
      <c r="AF645" s="456"/>
      <c r="AG645" s="142"/>
      <c r="AH645" s="142"/>
      <c r="AI645" s="142"/>
      <c r="AJ645" s="140"/>
      <c r="AK645" s="456"/>
      <c r="AL645" s="142"/>
      <c r="AM645" s="142"/>
      <c r="AN645" s="142"/>
      <c r="AO645" s="438"/>
      <c r="AP645" s="438"/>
      <c r="AQ645" s="438"/>
      <c r="AR645" s="438"/>
      <c r="AS645" s="438"/>
      <c r="AT645" s="438"/>
      <c r="AU645" s="438"/>
      <c r="AV645" s="438"/>
      <c r="AW645" s="438"/>
      <c r="AX645" s="438"/>
      <c r="AY645" s="438"/>
      <c r="AZ645" s="438"/>
      <c r="BA645" s="438"/>
      <c r="BB645" s="438"/>
      <c r="BC645" s="438"/>
      <c r="BD645" s="438"/>
      <c r="BE645" s="438"/>
      <c r="BF645" s="438"/>
      <c r="BG645" s="438"/>
      <c r="BH645" s="438"/>
    </row>
    <row r="646">
      <c r="A646" s="140"/>
      <c r="B646" s="456"/>
      <c r="C646" s="142"/>
      <c r="D646" s="142"/>
      <c r="E646" s="142"/>
      <c r="F646" s="140"/>
      <c r="G646" s="456"/>
      <c r="H646" s="142"/>
      <c r="I646" s="142"/>
      <c r="J646" s="142"/>
      <c r="K646" s="125"/>
      <c r="L646" s="456"/>
      <c r="M646" s="142"/>
      <c r="N646" s="142"/>
      <c r="O646" s="142"/>
      <c r="P646" s="125"/>
      <c r="Q646" s="450"/>
      <c r="R646" s="142"/>
      <c r="S646" s="142"/>
      <c r="T646" s="142"/>
      <c r="U646" s="140"/>
      <c r="V646" s="456"/>
      <c r="W646" s="142"/>
      <c r="X646" s="142"/>
      <c r="Y646" s="142"/>
      <c r="Z646" s="140"/>
      <c r="AA646" s="456"/>
      <c r="AB646" s="142"/>
      <c r="AC646" s="142"/>
      <c r="AD646" s="142"/>
      <c r="AE646" s="140"/>
      <c r="AF646" s="456"/>
      <c r="AG646" s="142"/>
      <c r="AH646" s="142"/>
      <c r="AI646" s="142"/>
      <c r="AJ646" s="140"/>
      <c r="AK646" s="456"/>
      <c r="AL646" s="142"/>
      <c r="AM646" s="142"/>
      <c r="AN646" s="142"/>
      <c r="AO646" s="438"/>
      <c r="AP646" s="438"/>
      <c r="AQ646" s="438"/>
      <c r="AR646" s="438"/>
      <c r="AS646" s="438"/>
      <c r="AT646" s="438"/>
      <c r="AU646" s="438"/>
      <c r="AV646" s="438"/>
      <c r="AW646" s="438"/>
      <c r="AX646" s="438"/>
      <c r="AY646" s="438"/>
      <c r="AZ646" s="438"/>
      <c r="BA646" s="438"/>
      <c r="BB646" s="438"/>
      <c r="BC646" s="438"/>
      <c r="BD646" s="438"/>
      <c r="BE646" s="438"/>
      <c r="BF646" s="438"/>
      <c r="BG646" s="438"/>
      <c r="BH646" s="438"/>
    </row>
    <row r="647">
      <c r="A647" s="140"/>
      <c r="B647" s="456"/>
      <c r="C647" s="142"/>
      <c r="D647" s="142"/>
      <c r="E647" s="142"/>
      <c r="F647" s="140"/>
      <c r="G647" s="456"/>
      <c r="H647" s="142"/>
      <c r="I647" s="142"/>
      <c r="J647" s="142"/>
      <c r="K647" s="125"/>
      <c r="L647" s="456"/>
      <c r="M647" s="142"/>
      <c r="N647" s="142"/>
      <c r="O647" s="142"/>
      <c r="P647" s="125"/>
      <c r="Q647" s="450"/>
      <c r="R647" s="142"/>
      <c r="S647" s="142"/>
      <c r="T647" s="142"/>
      <c r="U647" s="140"/>
      <c r="V647" s="456"/>
      <c r="W647" s="142"/>
      <c r="X647" s="142"/>
      <c r="Y647" s="142"/>
      <c r="Z647" s="140"/>
      <c r="AA647" s="456"/>
      <c r="AB647" s="142"/>
      <c r="AC647" s="142"/>
      <c r="AD647" s="142"/>
      <c r="AE647" s="140"/>
      <c r="AF647" s="456"/>
      <c r="AG647" s="142"/>
      <c r="AH647" s="142"/>
      <c r="AI647" s="142"/>
      <c r="AJ647" s="140"/>
      <c r="AK647" s="456"/>
      <c r="AL647" s="142"/>
      <c r="AM647" s="142"/>
      <c r="AN647" s="142"/>
      <c r="AO647" s="438"/>
      <c r="AP647" s="438"/>
      <c r="AQ647" s="438"/>
      <c r="AR647" s="438"/>
      <c r="AS647" s="438"/>
      <c r="AT647" s="438"/>
      <c r="AU647" s="438"/>
      <c r="AV647" s="438"/>
      <c r="AW647" s="438"/>
      <c r="AX647" s="438"/>
      <c r="AY647" s="438"/>
      <c r="AZ647" s="438"/>
      <c r="BA647" s="438"/>
      <c r="BB647" s="438"/>
      <c r="BC647" s="438"/>
      <c r="BD647" s="438"/>
      <c r="BE647" s="438"/>
      <c r="BF647" s="438"/>
      <c r="BG647" s="438"/>
      <c r="BH647" s="438"/>
    </row>
    <row r="648">
      <c r="A648" s="140"/>
      <c r="B648" s="456"/>
      <c r="C648" s="142"/>
      <c r="D648" s="142"/>
      <c r="E648" s="142"/>
      <c r="F648" s="140"/>
      <c r="G648" s="456"/>
      <c r="H648" s="142"/>
      <c r="I648" s="142"/>
      <c r="J648" s="142"/>
      <c r="K648" s="125"/>
      <c r="L648" s="456"/>
      <c r="M648" s="142"/>
      <c r="N648" s="142"/>
      <c r="O648" s="142"/>
      <c r="P648" s="125"/>
      <c r="Q648" s="450"/>
      <c r="R648" s="142"/>
      <c r="S648" s="142"/>
      <c r="T648" s="142"/>
      <c r="U648" s="140"/>
      <c r="V648" s="456"/>
      <c r="W648" s="142"/>
      <c r="X648" s="142"/>
      <c r="Y648" s="142"/>
      <c r="Z648" s="140"/>
      <c r="AA648" s="456"/>
      <c r="AB648" s="142"/>
      <c r="AC648" s="142"/>
      <c r="AD648" s="142"/>
      <c r="AE648" s="140"/>
      <c r="AF648" s="456"/>
      <c r="AG648" s="142"/>
      <c r="AH648" s="142"/>
      <c r="AI648" s="142"/>
      <c r="AJ648" s="140"/>
      <c r="AK648" s="456"/>
      <c r="AL648" s="142"/>
      <c r="AM648" s="142"/>
      <c r="AN648" s="142"/>
      <c r="AO648" s="438"/>
      <c r="AP648" s="438"/>
      <c r="AQ648" s="438"/>
      <c r="AR648" s="438"/>
      <c r="AS648" s="438"/>
      <c r="AT648" s="438"/>
      <c r="AU648" s="438"/>
      <c r="AV648" s="438"/>
      <c r="AW648" s="438"/>
      <c r="AX648" s="438"/>
      <c r="AY648" s="438"/>
      <c r="AZ648" s="438"/>
      <c r="BA648" s="438"/>
      <c r="BB648" s="438"/>
      <c r="BC648" s="438"/>
      <c r="BD648" s="438"/>
      <c r="BE648" s="438"/>
      <c r="BF648" s="438"/>
      <c r="BG648" s="438"/>
      <c r="BH648" s="438"/>
    </row>
    <row r="649">
      <c r="A649" s="140"/>
      <c r="B649" s="456"/>
      <c r="C649" s="142"/>
      <c r="D649" s="142"/>
      <c r="E649" s="142"/>
      <c r="F649" s="140"/>
      <c r="G649" s="456"/>
      <c r="H649" s="142"/>
      <c r="I649" s="142"/>
      <c r="J649" s="142"/>
      <c r="K649" s="125"/>
      <c r="L649" s="456"/>
      <c r="M649" s="142"/>
      <c r="N649" s="142"/>
      <c r="O649" s="142"/>
      <c r="P649" s="125"/>
      <c r="Q649" s="450"/>
      <c r="R649" s="142"/>
      <c r="S649" s="142"/>
      <c r="T649" s="142"/>
      <c r="U649" s="140"/>
      <c r="V649" s="456"/>
      <c r="W649" s="142"/>
      <c r="X649" s="142"/>
      <c r="Y649" s="142"/>
      <c r="Z649" s="140"/>
      <c r="AA649" s="456"/>
      <c r="AB649" s="142"/>
      <c r="AC649" s="142"/>
      <c r="AD649" s="142"/>
      <c r="AE649" s="140"/>
      <c r="AF649" s="456"/>
      <c r="AG649" s="142"/>
      <c r="AH649" s="142"/>
      <c r="AI649" s="142"/>
      <c r="AJ649" s="140"/>
      <c r="AK649" s="456"/>
      <c r="AL649" s="142"/>
      <c r="AM649" s="142"/>
      <c r="AN649" s="142"/>
      <c r="AO649" s="438"/>
      <c r="AP649" s="438"/>
      <c r="AQ649" s="438"/>
      <c r="AR649" s="438"/>
      <c r="AS649" s="438"/>
      <c r="AT649" s="438"/>
      <c r="AU649" s="438"/>
      <c r="AV649" s="438"/>
      <c r="AW649" s="438"/>
      <c r="AX649" s="438"/>
      <c r="AY649" s="438"/>
      <c r="AZ649" s="438"/>
      <c r="BA649" s="438"/>
      <c r="BB649" s="438"/>
      <c r="BC649" s="438"/>
      <c r="BD649" s="438"/>
      <c r="BE649" s="438"/>
      <c r="BF649" s="438"/>
      <c r="BG649" s="438"/>
      <c r="BH649" s="438"/>
    </row>
    <row r="650">
      <c r="A650" s="140"/>
      <c r="B650" s="456"/>
      <c r="C650" s="142"/>
      <c r="D650" s="142"/>
      <c r="E650" s="142"/>
      <c r="F650" s="140"/>
      <c r="G650" s="456"/>
      <c r="H650" s="142"/>
      <c r="I650" s="142"/>
      <c r="J650" s="142"/>
      <c r="K650" s="125"/>
      <c r="L650" s="456"/>
      <c r="M650" s="142"/>
      <c r="N650" s="142"/>
      <c r="O650" s="142"/>
      <c r="P650" s="125"/>
      <c r="Q650" s="450"/>
      <c r="R650" s="142"/>
      <c r="S650" s="142"/>
      <c r="T650" s="142"/>
      <c r="U650" s="140"/>
      <c r="V650" s="456"/>
      <c r="W650" s="142"/>
      <c r="X650" s="142"/>
      <c r="Y650" s="142"/>
      <c r="Z650" s="140"/>
      <c r="AA650" s="456"/>
      <c r="AB650" s="142"/>
      <c r="AC650" s="142"/>
      <c r="AD650" s="142"/>
      <c r="AE650" s="140"/>
      <c r="AF650" s="456"/>
      <c r="AG650" s="142"/>
      <c r="AH650" s="142"/>
      <c r="AI650" s="142"/>
      <c r="AJ650" s="140"/>
      <c r="AK650" s="456"/>
      <c r="AL650" s="142"/>
      <c r="AM650" s="142"/>
      <c r="AN650" s="142"/>
      <c r="AO650" s="438"/>
      <c r="AP650" s="438"/>
      <c r="AQ650" s="438"/>
      <c r="AR650" s="438"/>
      <c r="AS650" s="438"/>
      <c r="AT650" s="438"/>
      <c r="AU650" s="438"/>
      <c r="AV650" s="438"/>
      <c r="AW650" s="438"/>
      <c r="AX650" s="438"/>
      <c r="AY650" s="438"/>
      <c r="AZ650" s="438"/>
      <c r="BA650" s="438"/>
      <c r="BB650" s="438"/>
      <c r="BC650" s="438"/>
      <c r="BD650" s="438"/>
      <c r="BE650" s="438"/>
      <c r="BF650" s="438"/>
      <c r="BG650" s="438"/>
      <c r="BH650" s="438"/>
    </row>
    <row r="651">
      <c r="A651" s="140"/>
      <c r="B651" s="456"/>
      <c r="C651" s="142"/>
      <c r="D651" s="142"/>
      <c r="E651" s="142"/>
      <c r="F651" s="140"/>
      <c r="G651" s="456"/>
      <c r="H651" s="142"/>
      <c r="I651" s="142"/>
      <c r="J651" s="142"/>
      <c r="K651" s="125"/>
      <c r="L651" s="456"/>
      <c r="M651" s="142"/>
      <c r="N651" s="142"/>
      <c r="O651" s="142"/>
      <c r="P651" s="125"/>
      <c r="Q651" s="450"/>
      <c r="R651" s="142"/>
      <c r="S651" s="142"/>
      <c r="T651" s="142"/>
      <c r="U651" s="140"/>
      <c r="V651" s="456"/>
      <c r="W651" s="142"/>
      <c r="X651" s="142"/>
      <c r="Y651" s="142"/>
      <c r="Z651" s="140"/>
      <c r="AA651" s="456"/>
      <c r="AB651" s="142"/>
      <c r="AC651" s="142"/>
      <c r="AD651" s="142"/>
      <c r="AE651" s="140"/>
      <c r="AF651" s="456"/>
      <c r="AG651" s="142"/>
      <c r="AH651" s="142"/>
      <c r="AI651" s="142"/>
      <c r="AJ651" s="140"/>
      <c r="AK651" s="456"/>
      <c r="AL651" s="142"/>
      <c r="AM651" s="142"/>
      <c r="AN651" s="142"/>
      <c r="AO651" s="438"/>
      <c r="AP651" s="438"/>
      <c r="AQ651" s="438"/>
      <c r="AR651" s="438"/>
      <c r="AS651" s="438"/>
      <c r="AT651" s="438"/>
      <c r="AU651" s="438"/>
      <c r="AV651" s="438"/>
      <c r="AW651" s="438"/>
      <c r="AX651" s="438"/>
      <c r="AY651" s="438"/>
      <c r="AZ651" s="438"/>
      <c r="BA651" s="438"/>
      <c r="BB651" s="438"/>
      <c r="BC651" s="438"/>
      <c r="BD651" s="438"/>
      <c r="BE651" s="438"/>
      <c r="BF651" s="438"/>
      <c r="BG651" s="438"/>
      <c r="BH651" s="438"/>
    </row>
    <row r="652">
      <c r="A652" s="140"/>
      <c r="B652" s="456"/>
      <c r="C652" s="142"/>
      <c r="D652" s="142"/>
      <c r="E652" s="142"/>
      <c r="F652" s="140"/>
      <c r="G652" s="456"/>
      <c r="H652" s="142"/>
      <c r="I652" s="142"/>
      <c r="J652" s="142"/>
      <c r="K652" s="125"/>
      <c r="L652" s="456"/>
      <c r="M652" s="142"/>
      <c r="N652" s="142"/>
      <c r="O652" s="142"/>
      <c r="P652" s="125"/>
      <c r="Q652" s="450"/>
      <c r="R652" s="142"/>
      <c r="S652" s="142"/>
      <c r="T652" s="142"/>
      <c r="U652" s="140"/>
      <c r="V652" s="456"/>
      <c r="W652" s="142"/>
      <c r="X652" s="142"/>
      <c r="Y652" s="142"/>
      <c r="Z652" s="140"/>
      <c r="AA652" s="456"/>
      <c r="AB652" s="142"/>
      <c r="AC652" s="142"/>
      <c r="AD652" s="142"/>
      <c r="AE652" s="140"/>
      <c r="AF652" s="456"/>
      <c r="AG652" s="142"/>
      <c r="AH652" s="142"/>
      <c r="AI652" s="142"/>
      <c r="AJ652" s="140"/>
      <c r="AK652" s="456"/>
      <c r="AL652" s="142"/>
      <c r="AM652" s="142"/>
      <c r="AN652" s="142"/>
      <c r="AO652" s="438"/>
      <c r="AP652" s="438"/>
      <c r="AQ652" s="438"/>
      <c r="AR652" s="438"/>
      <c r="AS652" s="438"/>
      <c r="AT652" s="438"/>
      <c r="AU652" s="438"/>
      <c r="AV652" s="438"/>
      <c r="AW652" s="438"/>
      <c r="AX652" s="438"/>
      <c r="AY652" s="438"/>
      <c r="AZ652" s="438"/>
      <c r="BA652" s="438"/>
      <c r="BB652" s="438"/>
      <c r="BC652" s="438"/>
      <c r="BD652" s="438"/>
      <c r="BE652" s="438"/>
      <c r="BF652" s="438"/>
      <c r="BG652" s="438"/>
      <c r="BH652" s="438"/>
    </row>
    <row r="653">
      <c r="A653" s="140"/>
      <c r="B653" s="456"/>
      <c r="C653" s="142"/>
      <c r="D653" s="142"/>
      <c r="E653" s="142"/>
      <c r="F653" s="140"/>
      <c r="G653" s="456"/>
      <c r="H653" s="142"/>
      <c r="I653" s="142"/>
      <c r="J653" s="142"/>
      <c r="K653" s="125"/>
      <c r="L653" s="456"/>
      <c r="M653" s="142"/>
      <c r="N653" s="142"/>
      <c r="O653" s="142"/>
      <c r="P653" s="125"/>
      <c r="Q653" s="450"/>
      <c r="R653" s="142"/>
      <c r="S653" s="142"/>
      <c r="T653" s="142"/>
      <c r="U653" s="140"/>
      <c r="V653" s="456"/>
      <c r="W653" s="142"/>
      <c r="X653" s="142"/>
      <c r="Y653" s="142"/>
      <c r="Z653" s="140"/>
      <c r="AA653" s="456"/>
      <c r="AB653" s="142"/>
      <c r="AC653" s="142"/>
      <c r="AD653" s="142"/>
      <c r="AE653" s="140"/>
      <c r="AF653" s="456"/>
      <c r="AG653" s="142"/>
      <c r="AH653" s="142"/>
      <c r="AI653" s="142"/>
      <c r="AJ653" s="140"/>
      <c r="AK653" s="456"/>
      <c r="AL653" s="142"/>
      <c r="AM653" s="142"/>
      <c r="AN653" s="142"/>
      <c r="AO653" s="438"/>
      <c r="AP653" s="438"/>
      <c r="AQ653" s="438"/>
      <c r="AR653" s="438"/>
      <c r="AS653" s="438"/>
      <c r="AT653" s="438"/>
      <c r="AU653" s="438"/>
      <c r="AV653" s="438"/>
      <c r="AW653" s="438"/>
      <c r="AX653" s="438"/>
      <c r="AY653" s="438"/>
      <c r="AZ653" s="438"/>
      <c r="BA653" s="438"/>
      <c r="BB653" s="438"/>
      <c r="BC653" s="438"/>
      <c r="BD653" s="438"/>
      <c r="BE653" s="438"/>
      <c r="BF653" s="438"/>
      <c r="BG653" s="438"/>
      <c r="BH653" s="438"/>
    </row>
    <row r="654">
      <c r="A654" s="140"/>
      <c r="B654" s="456"/>
      <c r="C654" s="142"/>
      <c r="D654" s="142"/>
      <c r="E654" s="142"/>
      <c r="F654" s="140"/>
      <c r="G654" s="456"/>
      <c r="H654" s="142"/>
      <c r="I654" s="142"/>
      <c r="J654" s="142"/>
      <c r="K654" s="125"/>
      <c r="L654" s="456"/>
      <c r="M654" s="142"/>
      <c r="N654" s="142"/>
      <c r="O654" s="142"/>
      <c r="P654" s="125"/>
      <c r="Q654" s="450"/>
      <c r="R654" s="142"/>
      <c r="S654" s="142"/>
      <c r="T654" s="142"/>
      <c r="U654" s="140"/>
      <c r="V654" s="456"/>
      <c r="W654" s="142"/>
      <c r="X654" s="142"/>
      <c r="Y654" s="142"/>
      <c r="Z654" s="140"/>
      <c r="AA654" s="456"/>
      <c r="AB654" s="142"/>
      <c r="AC654" s="142"/>
      <c r="AD654" s="142"/>
      <c r="AE654" s="140"/>
      <c r="AF654" s="456"/>
      <c r="AG654" s="142"/>
      <c r="AH654" s="142"/>
      <c r="AI654" s="142"/>
      <c r="AJ654" s="140"/>
      <c r="AK654" s="456"/>
      <c r="AL654" s="142"/>
      <c r="AM654" s="142"/>
      <c r="AN654" s="142"/>
      <c r="AO654" s="438"/>
      <c r="AP654" s="438"/>
      <c r="AQ654" s="438"/>
      <c r="AR654" s="438"/>
      <c r="AS654" s="438"/>
      <c r="AT654" s="438"/>
      <c r="AU654" s="438"/>
      <c r="AV654" s="438"/>
      <c r="AW654" s="438"/>
      <c r="AX654" s="438"/>
      <c r="AY654" s="438"/>
      <c r="AZ654" s="438"/>
      <c r="BA654" s="438"/>
      <c r="BB654" s="438"/>
      <c r="BC654" s="438"/>
      <c r="BD654" s="438"/>
      <c r="BE654" s="438"/>
      <c r="BF654" s="438"/>
      <c r="BG654" s="438"/>
      <c r="BH654" s="438"/>
    </row>
    <row r="655">
      <c r="A655" s="140"/>
      <c r="B655" s="456"/>
      <c r="C655" s="142"/>
      <c r="D655" s="142"/>
      <c r="E655" s="142"/>
      <c r="F655" s="140"/>
      <c r="G655" s="456"/>
      <c r="H655" s="142"/>
      <c r="I655" s="142"/>
      <c r="J655" s="142"/>
      <c r="K655" s="125"/>
      <c r="L655" s="456"/>
      <c r="M655" s="142"/>
      <c r="N655" s="142"/>
      <c r="O655" s="142"/>
      <c r="P655" s="125"/>
      <c r="Q655" s="450"/>
      <c r="R655" s="142"/>
      <c r="S655" s="142"/>
      <c r="T655" s="142"/>
      <c r="U655" s="140"/>
      <c r="V655" s="456"/>
      <c r="W655" s="142"/>
      <c r="X655" s="142"/>
      <c r="Y655" s="142"/>
      <c r="Z655" s="140"/>
      <c r="AA655" s="456"/>
      <c r="AB655" s="142"/>
      <c r="AC655" s="142"/>
      <c r="AD655" s="142"/>
      <c r="AE655" s="140"/>
      <c r="AF655" s="456"/>
      <c r="AG655" s="142"/>
      <c r="AH655" s="142"/>
      <c r="AI655" s="142"/>
      <c r="AJ655" s="140"/>
      <c r="AK655" s="456"/>
      <c r="AL655" s="142"/>
      <c r="AM655" s="142"/>
      <c r="AN655" s="142"/>
      <c r="AO655" s="438"/>
      <c r="AP655" s="438"/>
      <c r="AQ655" s="438"/>
      <c r="AR655" s="438"/>
      <c r="AS655" s="438"/>
      <c r="AT655" s="438"/>
      <c r="AU655" s="438"/>
      <c r="AV655" s="438"/>
      <c r="AW655" s="438"/>
      <c r="AX655" s="438"/>
      <c r="AY655" s="438"/>
      <c r="AZ655" s="438"/>
      <c r="BA655" s="438"/>
      <c r="BB655" s="438"/>
      <c r="BC655" s="438"/>
      <c r="BD655" s="438"/>
      <c r="BE655" s="438"/>
      <c r="BF655" s="438"/>
      <c r="BG655" s="438"/>
      <c r="BH655" s="438"/>
    </row>
    <row r="656">
      <c r="A656" s="140"/>
      <c r="B656" s="456"/>
      <c r="C656" s="142"/>
      <c r="D656" s="142"/>
      <c r="E656" s="142"/>
      <c r="F656" s="140"/>
      <c r="G656" s="456"/>
      <c r="H656" s="142"/>
      <c r="I656" s="142"/>
      <c r="J656" s="142"/>
      <c r="K656" s="125"/>
      <c r="L656" s="456"/>
      <c r="M656" s="142"/>
      <c r="N656" s="142"/>
      <c r="O656" s="142"/>
      <c r="P656" s="125"/>
      <c r="Q656" s="450"/>
      <c r="R656" s="142"/>
      <c r="S656" s="142"/>
      <c r="T656" s="142"/>
      <c r="U656" s="140"/>
      <c r="V656" s="456"/>
      <c r="W656" s="142"/>
      <c r="X656" s="142"/>
      <c r="Y656" s="142"/>
      <c r="Z656" s="140"/>
      <c r="AA656" s="456"/>
      <c r="AB656" s="142"/>
      <c r="AC656" s="142"/>
      <c r="AD656" s="142"/>
      <c r="AE656" s="140"/>
      <c r="AF656" s="456"/>
      <c r="AG656" s="142"/>
      <c r="AH656" s="142"/>
      <c r="AI656" s="142"/>
      <c r="AJ656" s="140"/>
      <c r="AK656" s="456"/>
      <c r="AL656" s="142"/>
      <c r="AM656" s="142"/>
      <c r="AN656" s="142"/>
      <c r="AO656" s="438"/>
      <c r="AP656" s="438"/>
      <c r="AQ656" s="438"/>
      <c r="AR656" s="438"/>
      <c r="AS656" s="438"/>
      <c r="AT656" s="438"/>
      <c r="AU656" s="438"/>
      <c r="AV656" s="438"/>
      <c r="AW656" s="438"/>
      <c r="AX656" s="438"/>
      <c r="AY656" s="438"/>
      <c r="AZ656" s="438"/>
      <c r="BA656" s="438"/>
      <c r="BB656" s="438"/>
      <c r="BC656" s="438"/>
      <c r="BD656" s="438"/>
      <c r="BE656" s="438"/>
      <c r="BF656" s="438"/>
      <c r="BG656" s="438"/>
      <c r="BH656" s="438"/>
    </row>
    <row r="657">
      <c r="A657" s="140"/>
      <c r="B657" s="456"/>
      <c r="C657" s="142"/>
      <c r="D657" s="142"/>
      <c r="E657" s="142"/>
      <c r="F657" s="140"/>
      <c r="G657" s="456"/>
      <c r="H657" s="142"/>
      <c r="I657" s="142"/>
      <c r="J657" s="142"/>
      <c r="K657" s="125"/>
      <c r="L657" s="456"/>
      <c r="M657" s="142"/>
      <c r="N657" s="142"/>
      <c r="O657" s="142"/>
      <c r="P657" s="125"/>
      <c r="Q657" s="450"/>
      <c r="R657" s="142"/>
      <c r="S657" s="142"/>
      <c r="T657" s="142"/>
      <c r="U657" s="140"/>
      <c r="V657" s="456"/>
      <c r="W657" s="142"/>
      <c r="X657" s="142"/>
      <c r="Y657" s="142"/>
      <c r="Z657" s="140"/>
      <c r="AA657" s="456"/>
      <c r="AB657" s="142"/>
      <c r="AC657" s="142"/>
      <c r="AD657" s="142"/>
      <c r="AE657" s="140"/>
      <c r="AF657" s="456"/>
      <c r="AG657" s="142"/>
      <c r="AH657" s="142"/>
      <c r="AI657" s="142"/>
      <c r="AJ657" s="140"/>
      <c r="AK657" s="456"/>
      <c r="AL657" s="142"/>
      <c r="AM657" s="142"/>
      <c r="AN657" s="142"/>
      <c r="AO657" s="438"/>
      <c r="AP657" s="438"/>
      <c r="AQ657" s="438"/>
      <c r="AR657" s="438"/>
      <c r="AS657" s="438"/>
      <c r="AT657" s="438"/>
      <c r="AU657" s="438"/>
      <c r="AV657" s="438"/>
      <c r="AW657" s="438"/>
      <c r="AX657" s="438"/>
      <c r="AY657" s="438"/>
      <c r="AZ657" s="438"/>
      <c r="BA657" s="438"/>
      <c r="BB657" s="438"/>
      <c r="BC657" s="438"/>
      <c r="BD657" s="438"/>
      <c r="BE657" s="438"/>
      <c r="BF657" s="438"/>
      <c r="BG657" s="438"/>
      <c r="BH657" s="438"/>
    </row>
    <row r="658">
      <c r="A658" s="140"/>
      <c r="B658" s="456"/>
      <c r="C658" s="142"/>
      <c r="D658" s="142"/>
      <c r="E658" s="142"/>
      <c r="F658" s="140"/>
      <c r="G658" s="456"/>
      <c r="H658" s="142"/>
      <c r="I658" s="142"/>
      <c r="J658" s="142"/>
      <c r="K658" s="125"/>
      <c r="L658" s="456"/>
      <c r="M658" s="142"/>
      <c r="N658" s="142"/>
      <c r="O658" s="142"/>
      <c r="P658" s="125"/>
      <c r="Q658" s="450"/>
      <c r="R658" s="142"/>
      <c r="S658" s="142"/>
      <c r="T658" s="142"/>
      <c r="U658" s="140"/>
      <c r="V658" s="456"/>
      <c r="W658" s="142"/>
      <c r="X658" s="142"/>
      <c r="Y658" s="142"/>
      <c r="Z658" s="140"/>
      <c r="AA658" s="456"/>
      <c r="AB658" s="142"/>
      <c r="AC658" s="142"/>
      <c r="AD658" s="142"/>
      <c r="AE658" s="140"/>
      <c r="AF658" s="456"/>
      <c r="AG658" s="142"/>
      <c r="AH658" s="142"/>
      <c r="AI658" s="142"/>
      <c r="AJ658" s="140"/>
      <c r="AK658" s="456"/>
      <c r="AL658" s="142"/>
      <c r="AM658" s="142"/>
      <c r="AN658" s="142"/>
      <c r="AO658" s="438"/>
      <c r="AP658" s="438"/>
      <c r="AQ658" s="438"/>
      <c r="AR658" s="438"/>
      <c r="AS658" s="438"/>
      <c r="AT658" s="438"/>
      <c r="AU658" s="438"/>
      <c r="AV658" s="438"/>
      <c r="AW658" s="438"/>
      <c r="AX658" s="438"/>
      <c r="AY658" s="438"/>
      <c r="AZ658" s="438"/>
      <c r="BA658" s="438"/>
      <c r="BB658" s="438"/>
      <c r="BC658" s="438"/>
      <c r="BD658" s="438"/>
      <c r="BE658" s="438"/>
      <c r="BF658" s="438"/>
      <c r="BG658" s="438"/>
      <c r="BH658" s="438"/>
    </row>
    <row r="659">
      <c r="A659" s="140"/>
      <c r="B659" s="456"/>
      <c r="C659" s="142"/>
      <c r="D659" s="142"/>
      <c r="E659" s="142"/>
      <c r="F659" s="140"/>
      <c r="G659" s="456"/>
      <c r="H659" s="142"/>
      <c r="I659" s="142"/>
      <c r="J659" s="142"/>
      <c r="K659" s="125"/>
      <c r="L659" s="456"/>
      <c r="M659" s="142"/>
      <c r="N659" s="142"/>
      <c r="O659" s="142"/>
      <c r="P659" s="125"/>
      <c r="Q659" s="450"/>
      <c r="R659" s="142"/>
      <c r="S659" s="142"/>
      <c r="T659" s="142"/>
      <c r="U659" s="140"/>
      <c r="V659" s="456"/>
      <c r="W659" s="142"/>
      <c r="X659" s="142"/>
      <c r="Y659" s="142"/>
      <c r="Z659" s="140"/>
      <c r="AA659" s="456"/>
      <c r="AB659" s="142"/>
      <c r="AC659" s="142"/>
      <c r="AD659" s="142"/>
      <c r="AE659" s="140"/>
      <c r="AF659" s="456"/>
      <c r="AG659" s="142"/>
      <c r="AH659" s="142"/>
      <c r="AI659" s="142"/>
      <c r="AJ659" s="140"/>
      <c r="AK659" s="456"/>
      <c r="AL659" s="142"/>
      <c r="AM659" s="142"/>
      <c r="AN659" s="142"/>
      <c r="AO659" s="438"/>
      <c r="AP659" s="438"/>
      <c r="AQ659" s="438"/>
      <c r="AR659" s="438"/>
      <c r="AS659" s="438"/>
      <c r="AT659" s="438"/>
      <c r="AU659" s="438"/>
      <c r="AV659" s="438"/>
      <c r="AW659" s="438"/>
      <c r="AX659" s="438"/>
      <c r="AY659" s="438"/>
      <c r="AZ659" s="438"/>
      <c r="BA659" s="438"/>
      <c r="BB659" s="438"/>
      <c r="BC659" s="438"/>
      <c r="BD659" s="438"/>
      <c r="BE659" s="438"/>
      <c r="BF659" s="438"/>
      <c r="BG659" s="438"/>
      <c r="BH659" s="438"/>
    </row>
    <row r="660">
      <c r="A660" s="140"/>
      <c r="B660" s="456"/>
      <c r="C660" s="142"/>
      <c r="D660" s="142"/>
      <c r="E660" s="142"/>
      <c r="F660" s="140"/>
      <c r="G660" s="456"/>
      <c r="H660" s="142"/>
      <c r="I660" s="142"/>
      <c r="J660" s="142"/>
      <c r="K660" s="125"/>
      <c r="L660" s="456"/>
      <c r="M660" s="142"/>
      <c r="N660" s="142"/>
      <c r="O660" s="142"/>
      <c r="P660" s="125"/>
      <c r="Q660" s="450"/>
      <c r="R660" s="142"/>
      <c r="S660" s="142"/>
      <c r="T660" s="142"/>
      <c r="U660" s="140"/>
      <c r="V660" s="456"/>
      <c r="W660" s="142"/>
      <c r="X660" s="142"/>
      <c r="Y660" s="142"/>
      <c r="Z660" s="140"/>
      <c r="AA660" s="456"/>
      <c r="AB660" s="142"/>
      <c r="AC660" s="142"/>
      <c r="AD660" s="142"/>
      <c r="AE660" s="140"/>
      <c r="AF660" s="456"/>
      <c r="AG660" s="142"/>
      <c r="AH660" s="142"/>
      <c r="AI660" s="142"/>
      <c r="AJ660" s="140"/>
      <c r="AK660" s="456"/>
      <c r="AL660" s="142"/>
      <c r="AM660" s="142"/>
      <c r="AN660" s="142"/>
      <c r="AO660" s="438"/>
      <c r="AP660" s="438"/>
      <c r="AQ660" s="438"/>
      <c r="AR660" s="438"/>
      <c r="AS660" s="438"/>
      <c r="AT660" s="438"/>
      <c r="AU660" s="438"/>
      <c r="AV660" s="438"/>
      <c r="AW660" s="438"/>
      <c r="AX660" s="438"/>
      <c r="AY660" s="438"/>
      <c r="AZ660" s="438"/>
      <c r="BA660" s="438"/>
      <c r="BB660" s="438"/>
      <c r="BC660" s="438"/>
      <c r="BD660" s="438"/>
      <c r="BE660" s="438"/>
      <c r="BF660" s="438"/>
      <c r="BG660" s="438"/>
      <c r="BH660" s="438"/>
    </row>
    <row r="661">
      <c r="A661" s="140"/>
      <c r="B661" s="456"/>
      <c r="C661" s="142"/>
      <c r="D661" s="142"/>
      <c r="E661" s="142"/>
      <c r="F661" s="140"/>
      <c r="G661" s="456"/>
      <c r="H661" s="142"/>
      <c r="I661" s="142"/>
      <c r="J661" s="142"/>
      <c r="K661" s="125"/>
      <c r="L661" s="456"/>
      <c r="M661" s="142"/>
      <c r="N661" s="142"/>
      <c r="O661" s="142"/>
      <c r="P661" s="125"/>
      <c r="Q661" s="450"/>
      <c r="R661" s="142"/>
      <c r="S661" s="142"/>
      <c r="T661" s="142"/>
      <c r="U661" s="140"/>
      <c r="V661" s="456"/>
      <c r="W661" s="142"/>
      <c r="X661" s="142"/>
      <c r="Y661" s="142"/>
      <c r="Z661" s="140"/>
      <c r="AA661" s="456"/>
      <c r="AB661" s="142"/>
      <c r="AC661" s="142"/>
      <c r="AD661" s="142"/>
      <c r="AE661" s="140"/>
      <c r="AF661" s="456"/>
      <c r="AG661" s="142"/>
      <c r="AH661" s="142"/>
      <c r="AI661" s="142"/>
      <c r="AJ661" s="140"/>
      <c r="AK661" s="456"/>
      <c r="AL661" s="142"/>
      <c r="AM661" s="142"/>
      <c r="AN661" s="142"/>
      <c r="AO661" s="438"/>
      <c r="AP661" s="438"/>
      <c r="AQ661" s="438"/>
      <c r="AR661" s="438"/>
      <c r="AS661" s="438"/>
      <c r="AT661" s="438"/>
      <c r="AU661" s="438"/>
      <c r="AV661" s="438"/>
      <c r="AW661" s="438"/>
      <c r="AX661" s="438"/>
      <c r="AY661" s="438"/>
      <c r="AZ661" s="438"/>
      <c r="BA661" s="438"/>
      <c r="BB661" s="438"/>
      <c r="BC661" s="438"/>
      <c r="BD661" s="438"/>
      <c r="BE661" s="438"/>
      <c r="BF661" s="438"/>
      <c r="BG661" s="438"/>
      <c r="BH661" s="438"/>
    </row>
    <row r="662">
      <c r="A662" s="140"/>
      <c r="B662" s="456"/>
      <c r="C662" s="142"/>
      <c r="D662" s="142"/>
      <c r="E662" s="142"/>
      <c r="F662" s="140"/>
      <c r="G662" s="456"/>
      <c r="H662" s="142"/>
      <c r="I662" s="142"/>
      <c r="J662" s="142"/>
      <c r="K662" s="125"/>
      <c r="L662" s="456"/>
      <c r="M662" s="142"/>
      <c r="N662" s="142"/>
      <c r="O662" s="142"/>
      <c r="P662" s="125"/>
      <c r="Q662" s="450"/>
      <c r="R662" s="142"/>
      <c r="S662" s="142"/>
      <c r="T662" s="142"/>
      <c r="U662" s="140"/>
      <c r="V662" s="456"/>
      <c r="W662" s="142"/>
      <c r="X662" s="142"/>
      <c r="Y662" s="142"/>
      <c r="Z662" s="140"/>
      <c r="AA662" s="456"/>
      <c r="AB662" s="142"/>
      <c r="AC662" s="142"/>
      <c r="AD662" s="142"/>
      <c r="AE662" s="140"/>
      <c r="AF662" s="456"/>
      <c r="AG662" s="142"/>
      <c r="AH662" s="142"/>
      <c r="AI662" s="142"/>
      <c r="AJ662" s="140"/>
      <c r="AK662" s="456"/>
      <c r="AL662" s="142"/>
      <c r="AM662" s="142"/>
      <c r="AN662" s="142"/>
      <c r="AO662" s="438"/>
      <c r="AP662" s="438"/>
      <c r="AQ662" s="438"/>
      <c r="AR662" s="438"/>
      <c r="AS662" s="438"/>
      <c r="AT662" s="438"/>
      <c r="AU662" s="438"/>
      <c r="AV662" s="438"/>
      <c r="AW662" s="438"/>
      <c r="AX662" s="438"/>
      <c r="AY662" s="438"/>
      <c r="AZ662" s="438"/>
      <c r="BA662" s="438"/>
      <c r="BB662" s="438"/>
      <c r="BC662" s="438"/>
      <c r="BD662" s="438"/>
      <c r="BE662" s="438"/>
      <c r="BF662" s="438"/>
      <c r="BG662" s="438"/>
      <c r="BH662" s="438"/>
    </row>
    <row r="663">
      <c r="A663" s="140"/>
      <c r="B663" s="456"/>
      <c r="C663" s="142"/>
      <c r="D663" s="142"/>
      <c r="E663" s="142"/>
      <c r="F663" s="140"/>
      <c r="G663" s="456"/>
      <c r="H663" s="142"/>
      <c r="I663" s="142"/>
      <c r="J663" s="142"/>
      <c r="K663" s="125"/>
      <c r="L663" s="456"/>
      <c r="M663" s="142"/>
      <c r="N663" s="142"/>
      <c r="O663" s="142"/>
      <c r="P663" s="125"/>
      <c r="Q663" s="450"/>
      <c r="R663" s="142"/>
      <c r="S663" s="142"/>
      <c r="T663" s="142"/>
      <c r="U663" s="140"/>
      <c r="V663" s="456"/>
      <c r="W663" s="142"/>
      <c r="X663" s="142"/>
      <c r="Y663" s="142"/>
      <c r="Z663" s="140"/>
      <c r="AA663" s="456"/>
      <c r="AB663" s="142"/>
      <c r="AC663" s="142"/>
      <c r="AD663" s="142"/>
      <c r="AE663" s="140"/>
      <c r="AF663" s="456"/>
      <c r="AG663" s="142"/>
      <c r="AH663" s="142"/>
      <c r="AI663" s="142"/>
      <c r="AJ663" s="140"/>
      <c r="AK663" s="456"/>
      <c r="AL663" s="142"/>
      <c r="AM663" s="142"/>
      <c r="AN663" s="142"/>
      <c r="AO663" s="438"/>
      <c r="AP663" s="438"/>
      <c r="AQ663" s="438"/>
      <c r="AR663" s="438"/>
      <c r="AS663" s="438"/>
      <c r="AT663" s="438"/>
      <c r="AU663" s="438"/>
      <c r="AV663" s="438"/>
      <c r="AW663" s="438"/>
      <c r="AX663" s="438"/>
      <c r="AY663" s="438"/>
      <c r="AZ663" s="438"/>
      <c r="BA663" s="438"/>
      <c r="BB663" s="438"/>
      <c r="BC663" s="438"/>
      <c r="BD663" s="438"/>
      <c r="BE663" s="438"/>
      <c r="BF663" s="438"/>
      <c r="BG663" s="438"/>
      <c r="BH663" s="438"/>
    </row>
    <row r="664">
      <c r="A664" s="140"/>
      <c r="B664" s="456"/>
      <c r="C664" s="142"/>
      <c r="D664" s="142"/>
      <c r="E664" s="142"/>
      <c r="F664" s="140"/>
      <c r="G664" s="456"/>
      <c r="H664" s="142"/>
      <c r="I664" s="142"/>
      <c r="J664" s="142"/>
      <c r="K664" s="125"/>
      <c r="L664" s="456"/>
      <c r="M664" s="142"/>
      <c r="N664" s="142"/>
      <c r="O664" s="142"/>
      <c r="P664" s="125"/>
      <c r="Q664" s="450"/>
      <c r="R664" s="142"/>
      <c r="S664" s="142"/>
      <c r="T664" s="142"/>
      <c r="U664" s="140"/>
      <c r="V664" s="456"/>
      <c r="W664" s="142"/>
      <c r="X664" s="142"/>
      <c r="Y664" s="142"/>
      <c r="Z664" s="140"/>
      <c r="AA664" s="456"/>
      <c r="AB664" s="142"/>
      <c r="AC664" s="142"/>
      <c r="AD664" s="142"/>
      <c r="AE664" s="140"/>
      <c r="AF664" s="456"/>
      <c r="AG664" s="142"/>
      <c r="AH664" s="142"/>
      <c r="AI664" s="142"/>
      <c r="AJ664" s="140"/>
      <c r="AK664" s="456"/>
      <c r="AL664" s="142"/>
      <c r="AM664" s="142"/>
      <c r="AN664" s="142"/>
      <c r="AO664" s="438"/>
      <c r="AP664" s="438"/>
      <c r="AQ664" s="438"/>
      <c r="AR664" s="438"/>
      <c r="AS664" s="438"/>
      <c r="AT664" s="438"/>
      <c r="AU664" s="438"/>
      <c r="AV664" s="438"/>
      <c r="AW664" s="438"/>
      <c r="AX664" s="438"/>
      <c r="AY664" s="438"/>
      <c r="AZ664" s="438"/>
      <c r="BA664" s="438"/>
      <c r="BB664" s="438"/>
      <c r="BC664" s="438"/>
      <c r="BD664" s="438"/>
      <c r="BE664" s="438"/>
      <c r="BF664" s="438"/>
      <c r="BG664" s="438"/>
      <c r="BH664" s="438"/>
    </row>
    <row r="665">
      <c r="A665" s="140"/>
      <c r="B665" s="456"/>
      <c r="C665" s="142"/>
      <c r="D665" s="142"/>
      <c r="E665" s="142"/>
      <c r="F665" s="140"/>
      <c r="G665" s="456"/>
      <c r="H665" s="142"/>
      <c r="I665" s="142"/>
      <c r="J665" s="142"/>
      <c r="K665" s="125"/>
      <c r="L665" s="456"/>
      <c r="M665" s="142"/>
      <c r="N665" s="142"/>
      <c r="O665" s="142"/>
      <c r="P665" s="125"/>
      <c r="Q665" s="450"/>
      <c r="R665" s="142"/>
      <c r="S665" s="142"/>
      <c r="T665" s="142"/>
      <c r="U665" s="140"/>
      <c r="V665" s="456"/>
      <c r="W665" s="142"/>
      <c r="X665" s="142"/>
      <c r="Y665" s="142"/>
      <c r="Z665" s="140"/>
      <c r="AA665" s="456"/>
      <c r="AB665" s="142"/>
      <c r="AC665" s="142"/>
      <c r="AD665" s="142"/>
      <c r="AE665" s="140"/>
      <c r="AF665" s="456"/>
      <c r="AG665" s="142"/>
      <c r="AH665" s="142"/>
      <c r="AI665" s="142"/>
      <c r="AJ665" s="140"/>
      <c r="AK665" s="456"/>
      <c r="AL665" s="142"/>
      <c r="AM665" s="142"/>
      <c r="AN665" s="142"/>
      <c r="AO665" s="438"/>
      <c r="AP665" s="438"/>
      <c r="AQ665" s="438"/>
      <c r="AR665" s="438"/>
      <c r="AS665" s="438"/>
      <c r="AT665" s="438"/>
      <c r="AU665" s="438"/>
      <c r="AV665" s="438"/>
      <c r="AW665" s="438"/>
      <c r="AX665" s="438"/>
      <c r="AY665" s="438"/>
      <c r="AZ665" s="438"/>
      <c r="BA665" s="438"/>
      <c r="BB665" s="438"/>
      <c r="BC665" s="438"/>
      <c r="BD665" s="438"/>
      <c r="BE665" s="438"/>
      <c r="BF665" s="438"/>
      <c r="BG665" s="438"/>
      <c r="BH665" s="438"/>
    </row>
    <row r="666">
      <c r="A666" s="140"/>
      <c r="B666" s="456"/>
      <c r="C666" s="142"/>
      <c r="D666" s="142"/>
      <c r="E666" s="142"/>
      <c r="F666" s="140"/>
      <c r="G666" s="456"/>
      <c r="H666" s="142"/>
      <c r="I666" s="142"/>
      <c r="J666" s="142"/>
      <c r="K666" s="125"/>
      <c r="L666" s="456"/>
      <c r="M666" s="142"/>
      <c r="N666" s="142"/>
      <c r="O666" s="142"/>
      <c r="P666" s="125"/>
      <c r="Q666" s="450"/>
      <c r="R666" s="142"/>
      <c r="S666" s="142"/>
      <c r="T666" s="142"/>
      <c r="U666" s="140"/>
      <c r="V666" s="456"/>
      <c r="W666" s="142"/>
      <c r="X666" s="142"/>
      <c r="Y666" s="142"/>
      <c r="Z666" s="140"/>
      <c r="AA666" s="456"/>
      <c r="AB666" s="142"/>
      <c r="AC666" s="142"/>
      <c r="AD666" s="142"/>
      <c r="AE666" s="140"/>
      <c r="AF666" s="456"/>
      <c r="AG666" s="142"/>
      <c r="AH666" s="142"/>
      <c r="AI666" s="142"/>
      <c r="AJ666" s="140"/>
      <c r="AK666" s="456"/>
      <c r="AL666" s="142"/>
      <c r="AM666" s="142"/>
      <c r="AN666" s="142"/>
      <c r="AO666" s="438"/>
      <c r="AP666" s="438"/>
      <c r="AQ666" s="438"/>
      <c r="AR666" s="438"/>
      <c r="AS666" s="438"/>
      <c r="AT666" s="438"/>
      <c r="AU666" s="438"/>
      <c r="AV666" s="438"/>
      <c r="AW666" s="438"/>
      <c r="AX666" s="438"/>
      <c r="AY666" s="438"/>
      <c r="AZ666" s="438"/>
      <c r="BA666" s="438"/>
      <c r="BB666" s="438"/>
      <c r="BC666" s="438"/>
      <c r="BD666" s="438"/>
      <c r="BE666" s="438"/>
      <c r="BF666" s="438"/>
      <c r="BG666" s="438"/>
      <c r="BH666" s="438"/>
    </row>
    <row r="667">
      <c r="A667" s="140"/>
      <c r="B667" s="456"/>
      <c r="C667" s="142"/>
      <c r="D667" s="142"/>
      <c r="E667" s="142"/>
      <c r="F667" s="140"/>
      <c r="G667" s="456"/>
      <c r="H667" s="142"/>
      <c r="I667" s="142"/>
      <c r="J667" s="142"/>
      <c r="K667" s="125"/>
      <c r="L667" s="456"/>
      <c r="M667" s="142"/>
      <c r="N667" s="142"/>
      <c r="O667" s="142"/>
      <c r="P667" s="125"/>
      <c r="Q667" s="450"/>
      <c r="R667" s="142"/>
      <c r="S667" s="142"/>
      <c r="T667" s="142"/>
      <c r="U667" s="140"/>
      <c r="V667" s="456"/>
      <c r="W667" s="142"/>
      <c r="X667" s="142"/>
      <c r="Y667" s="142"/>
      <c r="Z667" s="140"/>
      <c r="AA667" s="456"/>
      <c r="AB667" s="142"/>
      <c r="AC667" s="142"/>
      <c r="AD667" s="142"/>
      <c r="AE667" s="140"/>
      <c r="AF667" s="456"/>
      <c r="AG667" s="142"/>
      <c r="AH667" s="142"/>
      <c r="AI667" s="142"/>
      <c r="AJ667" s="140"/>
      <c r="AK667" s="456"/>
      <c r="AL667" s="142"/>
      <c r="AM667" s="142"/>
      <c r="AN667" s="142"/>
      <c r="AO667" s="438"/>
      <c r="AP667" s="438"/>
      <c r="AQ667" s="438"/>
      <c r="AR667" s="438"/>
      <c r="AS667" s="438"/>
      <c r="AT667" s="438"/>
      <c r="AU667" s="438"/>
      <c r="AV667" s="438"/>
      <c r="AW667" s="438"/>
      <c r="AX667" s="438"/>
      <c r="AY667" s="438"/>
      <c r="AZ667" s="438"/>
      <c r="BA667" s="438"/>
      <c r="BB667" s="438"/>
      <c r="BC667" s="438"/>
      <c r="BD667" s="438"/>
      <c r="BE667" s="438"/>
      <c r="BF667" s="438"/>
      <c r="BG667" s="438"/>
      <c r="BH667" s="438"/>
    </row>
    <row r="668">
      <c r="A668" s="140"/>
      <c r="B668" s="456"/>
      <c r="C668" s="142"/>
      <c r="D668" s="142"/>
      <c r="E668" s="142"/>
      <c r="F668" s="140"/>
      <c r="G668" s="456"/>
      <c r="H668" s="142"/>
      <c r="I668" s="142"/>
      <c r="J668" s="142"/>
      <c r="K668" s="125"/>
      <c r="L668" s="456"/>
      <c r="M668" s="142"/>
      <c r="N668" s="142"/>
      <c r="O668" s="142"/>
      <c r="P668" s="125"/>
      <c r="Q668" s="450"/>
      <c r="R668" s="142"/>
      <c r="S668" s="142"/>
      <c r="T668" s="142"/>
      <c r="U668" s="140"/>
      <c r="V668" s="456"/>
      <c r="W668" s="142"/>
      <c r="X668" s="142"/>
      <c r="Y668" s="142"/>
      <c r="Z668" s="140"/>
      <c r="AA668" s="456"/>
      <c r="AB668" s="142"/>
      <c r="AC668" s="142"/>
      <c r="AD668" s="142"/>
      <c r="AE668" s="140"/>
      <c r="AF668" s="456"/>
      <c r="AG668" s="142"/>
      <c r="AH668" s="142"/>
      <c r="AI668" s="142"/>
      <c r="AJ668" s="140"/>
      <c r="AK668" s="456"/>
      <c r="AL668" s="142"/>
      <c r="AM668" s="142"/>
      <c r="AN668" s="142"/>
      <c r="AO668" s="438"/>
      <c r="AP668" s="438"/>
      <c r="AQ668" s="438"/>
      <c r="AR668" s="438"/>
      <c r="AS668" s="438"/>
      <c r="AT668" s="438"/>
      <c r="AU668" s="438"/>
      <c r="AV668" s="438"/>
      <c r="AW668" s="438"/>
      <c r="AX668" s="438"/>
      <c r="AY668" s="438"/>
      <c r="AZ668" s="438"/>
      <c r="BA668" s="438"/>
      <c r="BB668" s="438"/>
      <c r="BC668" s="438"/>
      <c r="BD668" s="438"/>
      <c r="BE668" s="438"/>
      <c r="BF668" s="438"/>
      <c r="BG668" s="438"/>
      <c r="BH668" s="438"/>
    </row>
    <row r="669">
      <c r="A669" s="140"/>
      <c r="B669" s="456"/>
      <c r="C669" s="142"/>
      <c r="D669" s="142"/>
      <c r="E669" s="142"/>
      <c r="F669" s="140"/>
      <c r="G669" s="456"/>
      <c r="H669" s="142"/>
      <c r="I669" s="142"/>
      <c r="J669" s="142"/>
      <c r="K669" s="125"/>
      <c r="L669" s="456"/>
      <c r="M669" s="142"/>
      <c r="N669" s="142"/>
      <c r="O669" s="142"/>
      <c r="P669" s="125"/>
      <c r="Q669" s="450"/>
      <c r="R669" s="142"/>
      <c r="S669" s="142"/>
      <c r="T669" s="142"/>
      <c r="U669" s="140"/>
      <c r="V669" s="456"/>
      <c r="W669" s="142"/>
      <c r="X669" s="142"/>
      <c r="Y669" s="142"/>
      <c r="Z669" s="140"/>
      <c r="AA669" s="456"/>
      <c r="AB669" s="142"/>
      <c r="AC669" s="142"/>
      <c r="AD669" s="142"/>
      <c r="AE669" s="140"/>
      <c r="AF669" s="456"/>
      <c r="AG669" s="142"/>
      <c r="AH669" s="142"/>
      <c r="AI669" s="142"/>
      <c r="AJ669" s="140"/>
      <c r="AK669" s="456"/>
      <c r="AL669" s="142"/>
      <c r="AM669" s="142"/>
      <c r="AN669" s="142"/>
      <c r="AO669" s="438"/>
      <c r="AP669" s="438"/>
      <c r="AQ669" s="438"/>
      <c r="AR669" s="438"/>
      <c r="AS669" s="438"/>
      <c r="AT669" s="438"/>
      <c r="AU669" s="438"/>
      <c r="AV669" s="438"/>
      <c r="AW669" s="438"/>
      <c r="AX669" s="438"/>
      <c r="AY669" s="438"/>
      <c r="AZ669" s="438"/>
      <c r="BA669" s="438"/>
      <c r="BB669" s="438"/>
      <c r="BC669" s="438"/>
      <c r="BD669" s="438"/>
      <c r="BE669" s="438"/>
      <c r="BF669" s="438"/>
      <c r="BG669" s="438"/>
      <c r="BH669" s="438"/>
    </row>
    <row r="670">
      <c r="A670" s="140"/>
      <c r="B670" s="456"/>
      <c r="C670" s="142"/>
      <c r="D670" s="142"/>
      <c r="E670" s="142"/>
      <c r="F670" s="140"/>
      <c r="G670" s="456"/>
      <c r="H670" s="142"/>
      <c r="I670" s="142"/>
      <c r="J670" s="142"/>
      <c r="K670" s="125"/>
      <c r="L670" s="456"/>
      <c r="M670" s="142"/>
      <c r="N670" s="142"/>
      <c r="O670" s="142"/>
      <c r="P670" s="125"/>
      <c r="Q670" s="450"/>
      <c r="R670" s="142"/>
      <c r="S670" s="142"/>
      <c r="T670" s="142"/>
      <c r="U670" s="140"/>
      <c r="V670" s="456"/>
      <c r="W670" s="142"/>
      <c r="X670" s="142"/>
      <c r="Y670" s="142"/>
      <c r="Z670" s="140"/>
      <c r="AA670" s="456"/>
      <c r="AB670" s="142"/>
      <c r="AC670" s="142"/>
      <c r="AD670" s="142"/>
      <c r="AE670" s="140"/>
      <c r="AF670" s="456"/>
      <c r="AG670" s="142"/>
      <c r="AH670" s="142"/>
      <c r="AI670" s="142"/>
      <c r="AJ670" s="140"/>
      <c r="AK670" s="456"/>
      <c r="AL670" s="142"/>
      <c r="AM670" s="142"/>
      <c r="AN670" s="142"/>
      <c r="AO670" s="438"/>
      <c r="AP670" s="438"/>
      <c r="AQ670" s="438"/>
      <c r="AR670" s="438"/>
      <c r="AS670" s="438"/>
      <c r="AT670" s="438"/>
      <c r="AU670" s="438"/>
      <c r="AV670" s="438"/>
      <c r="AW670" s="438"/>
      <c r="AX670" s="438"/>
      <c r="AY670" s="438"/>
      <c r="AZ670" s="438"/>
      <c r="BA670" s="438"/>
      <c r="BB670" s="438"/>
      <c r="BC670" s="438"/>
      <c r="BD670" s="438"/>
      <c r="BE670" s="438"/>
      <c r="BF670" s="438"/>
      <c r="BG670" s="438"/>
      <c r="BH670" s="438"/>
    </row>
    <row r="671">
      <c r="A671" s="140"/>
      <c r="B671" s="456"/>
      <c r="C671" s="142"/>
      <c r="D671" s="142"/>
      <c r="E671" s="142"/>
      <c r="F671" s="140"/>
      <c r="G671" s="456"/>
      <c r="H671" s="142"/>
      <c r="I671" s="142"/>
      <c r="J671" s="142"/>
      <c r="K671" s="125"/>
      <c r="L671" s="456"/>
      <c r="M671" s="142"/>
      <c r="N671" s="142"/>
      <c r="O671" s="142"/>
      <c r="P671" s="125"/>
      <c r="Q671" s="450"/>
      <c r="R671" s="142"/>
      <c r="S671" s="142"/>
      <c r="T671" s="142"/>
      <c r="U671" s="140"/>
      <c r="V671" s="456"/>
      <c r="W671" s="142"/>
      <c r="X671" s="142"/>
      <c r="Y671" s="142"/>
      <c r="Z671" s="140"/>
      <c r="AA671" s="456"/>
      <c r="AB671" s="142"/>
      <c r="AC671" s="142"/>
      <c r="AD671" s="142"/>
      <c r="AE671" s="140"/>
      <c r="AF671" s="456"/>
      <c r="AG671" s="142"/>
      <c r="AH671" s="142"/>
      <c r="AI671" s="142"/>
      <c r="AJ671" s="140"/>
      <c r="AK671" s="456"/>
      <c r="AL671" s="142"/>
      <c r="AM671" s="142"/>
      <c r="AN671" s="142"/>
      <c r="AO671" s="438"/>
      <c r="AP671" s="438"/>
      <c r="AQ671" s="438"/>
      <c r="AR671" s="438"/>
      <c r="AS671" s="438"/>
      <c r="AT671" s="438"/>
      <c r="AU671" s="438"/>
      <c r="AV671" s="438"/>
      <c r="AW671" s="438"/>
      <c r="AX671" s="438"/>
      <c r="AY671" s="438"/>
      <c r="AZ671" s="438"/>
      <c r="BA671" s="438"/>
      <c r="BB671" s="438"/>
      <c r="BC671" s="438"/>
      <c r="BD671" s="438"/>
      <c r="BE671" s="438"/>
      <c r="BF671" s="438"/>
      <c r="BG671" s="438"/>
      <c r="BH671" s="438"/>
    </row>
    <row r="672">
      <c r="A672" s="140"/>
      <c r="B672" s="456"/>
      <c r="C672" s="142"/>
      <c r="D672" s="142"/>
      <c r="E672" s="142"/>
      <c r="F672" s="140"/>
      <c r="G672" s="456"/>
      <c r="H672" s="142"/>
      <c r="I672" s="142"/>
      <c r="J672" s="142"/>
      <c r="K672" s="125"/>
      <c r="L672" s="456"/>
      <c r="M672" s="142"/>
      <c r="N672" s="142"/>
      <c r="O672" s="142"/>
      <c r="P672" s="125"/>
      <c r="Q672" s="450"/>
      <c r="R672" s="142"/>
      <c r="S672" s="142"/>
      <c r="T672" s="142"/>
      <c r="U672" s="140"/>
      <c r="V672" s="456"/>
      <c r="W672" s="142"/>
      <c r="X672" s="142"/>
      <c r="Y672" s="142"/>
      <c r="Z672" s="140"/>
      <c r="AA672" s="456"/>
      <c r="AB672" s="142"/>
      <c r="AC672" s="142"/>
      <c r="AD672" s="142"/>
      <c r="AE672" s="140"/>
      <c r="AF672" s="456"/>
      <c r="AG672" s="142"/>
      <c r="AH672" s="142"/>
      <c r="AI672" s="142"/>
      <c r="AJ672" s="140"/>
      <c r="AK672" s="456"/>
      <c r="AL672" s="142"/>
      <c r="AM672" s="142"/>
      <c r="AN672" s="142"/>
      <c r="AO672" s="438"/>
      <c r="AP672" s="438"/>
      <c r="AQ672" s="438"/>
      <c r="AR672" s="438"/>
      <c r="AS672" s="438"/>
      <c r="AT672" s="438"/>
      <c r="AU672" s="438"/>
      <c r="AV672" s="438"/>
      <c r="AW672" s="438"/>
      <c r="AX672" s="438"/>
      <c r="AY672" s="438"/>
      <c r="AZ672" s="438"/>
      <c r="BA672" s="438"/>
      <c r="BB672" s="438"/>
      <c r="BC672" s="438"/>
      <c r="BD672" s="438"/>
      <c r="BE672" s="438"/>
      <c r="BF672" s="438"/>
      <c r="BG672" s="438"/>
      <c r="BH672" s="438"/>
    </row>
    <row r="673">
      <c r="A673" s="140"/>
      <c r="B673" s="456"/>
      <c r="C673" s="142"/>
      <c r="D673" s="142"/>
      <c r="E673" s="142"/>
      <c r="F673" s="140"/>
      <c r="G673" s="456"/>
      <c r="H673" s="142"/>
      <c r="I673" s="142"/>
      <c r="J673" s="142"/>
      <c r="K673" s="125"/>
      <c r="L673" s="456"/>
      <c r="M673" s="142"/>
      <c r="N673" s="142"/>
      <c r="O673" s="142"/>
      <c r="P673" s="125"/>
      <c r="Q673" s="450"/>
      <c r="R673" s="142"/>
      <c r="S673" s="142"/>
      <c r="T673" s="142"/>
      <c r="U673" s="140"/>
      <c r="V673" s="456"/>
      <c r="W673" s="142"/>
      <c r="X673" s="142"/>
      <c r="Y673" s="142"/>
      <c r="Z673" s="140"/>
      <c r="AA673" s="456"/>
      <c r="AB673" s="142"/>
      <c r="AC673" s="142"/>
      <c r="AD673" s="142"/>
      <c r="AE673" s="140"/>
      <c r="AF673" s="456"/>
      <c r="AG673" s="142"/>
      <c r="AH673" s="142"/>
      <c r="AI673" s="142"/>
      <c r="AJ673" s="140"/>
      <c r="AK673" s="456"/>
      <c r="AL673" s="142"/>
      <c r="AM673" s="142"/>
      <c r="AN673" s="142"/>
      <c r="AO673" s="438"/>
      <c r="AP673" s="438"/>
      <c r="AQ673" s="438"/>
      <c r="AR673" s="438"/>
      <c r="AS673" s="438"/>
      <c r="AT673" s="438"/>
      <c r="AU673" s="438"/>
      <c r="AV673" s="438"/>
      <c r="AW673" s="438"/>
      <c r="AX673" s="438"/>
      <c r="AY673" s="438"/>
      <c r="AZ673" s="438"/>
      <c r="BA673" s="438"/>
      <c r="BB673" s="438"/>
      <c r="BC673" s="438"/>
      <c r="BD673" s="438"/>
      <c r="BE673" s="438"/>
      <c r="BF673" s="438"/>
      <c r="BG673" s="438"/>
      <c r="BH673" s="438"/>
    </row>
    <row r="674">
      <c r="A674" s="140"/>
      <c r="B674" s="456"/>
      <c r="C674" s="142"/>
      <c r="D674" s="142"/>
      <c r="E674" s="142"/>
      <c r="F674" s="140"/>
      <c r="G674" s="456"/>
      <c r="H674" s="142"/>
      <c r="I674" s="142"/>
      <c r="J674" s="142"/>
      <c r="K674" s="125"/>
      <c r="L674" s="456"/>
      <c r="M674" s="142"/>
      <c r="N674" s="142"/>
      <c r="O674" s="142"/>
      <c r="P674" s="125"/>
      <c r="Q674" s="450"/>
      <c r="R674" s="142"/>
      <c r="S674" s="142"/>
      <c r="T674" s="142"/>
      <c r="U674" s="140"/>
      <c r="V674" s="456"/>
      <c r="W674" s="142"/>
      <c r="X674" s="142"/>
      <c r="Y674" s="142"/>
      <c r="Z674" s="140"/>
      <c r="AA674" s="456"/>
      <c r="AB674" s="142"/>
      <c r="AC674" s="142"/>
      <c r="AD674" s="142"/>
      <c r="AE674" s="140"/>
      <c r="AF674" s="456"/>
      <c r="AG674" s="142"/>
      <c r="AH674" s="142"/>
      <c r="AI674" s="142"/>
      <c r="AJ674" s="140"/>
      <c r="AK674" s="456"/>
      <c r="AL674" s="142"/>
      <c r="AM674" s="142"/>
      <c r="AN674" s="142"/>
      <c r="AO674" s="438"/>
      <c r="AP674" s="438"/>
      <c r="AQ674" s="438"/>
      <c r="AR674" s="438"/>
      <c r="AS674" s="438"/>
      <c r="AT674" s="438"/>
      <c r="AU674" s="438"/>
      <c r="AV674" s="438"/>
      <c r="AW674" s="438"/>
      <c r="AX674" s="438"/>
      <c r="AY674" s="438"/>
      <c r="AZ674" s="438"/>
      <c r="BA674" s="438"/>
      <c r="BB674" s="438"/>
      <c r="BC674" s="438"/>
      <c r="BD674" s="438"/>
      <c r="BE674" s="438"/>
      <c r="BF674" s="438"/>
      <c r="BG674" s="438"/>
      <c r="BH674" s="438"/>
    </row>
    <row r="675">
      <c r="A675" s="140"/>
      <c r="B675" s="456"/>
      <c r="C675" s="142"/>
      <c r="D675" s="142"/>
      <c r="E675" s="142"/>
      <c r="F675" s="140"/>
      <c r="G675" s="456"/>
      <c r="H675" s="142"/>
      <c r="I675" s="142"/>
      <c r="J675" s="142"/>
      <c r="K675" s="125"/>
      <c r="L675" s="456"/>
      <c r="M675" s="142"/>
      <c r="N675" s="142"/>
      <c r="O675" s="142"/>
      <c r="P675" s="125"/>
      <c r="Q675" s="450"/>
      <c r="R675" s="142"/>
      <c r="S675" s="142"/>
      <c r="T675" s="142"/>
      <c r="U675" s="140"/>
      <c r="V675" s="456"/>
      <c r="W675" s="142"/>
      <c r="X675" s="142"/>
      <c r="Y675" s="142"/>
      <c r="Z675" s="140"/>
      <c r="AA675" s="456"/>
      <c r="AB675" s="142"/>
      <c r="AC675" s="142"/>
      <c r="AD675" s="142"/>
      <c r="AE675" s="140"/>
      <c r="AF675" s="456"/>
      <c r="AG675" s="142"/>
      <c r="AH675" s="142"/>
      <c r="AI675" s="142"/>
      <c r="AJ675" s="140"/>
      <c r="AK675" s="456"/>
      <c r="AL675" s="142"/>
      <c r="AM675" s="142"/>
      <c r="AN675" s="142"/>
      <c r="AO675" s="438"/>
      <c r="AP675" s="438"/>
      <c r="AQ675" s="438"/>
      <c r="AR675" s="438"/>
      <c r="AS675" s="438"/>
      <c r="AT675" s="438"/>
      <c r="AU675" s="438"/>
      <c r="AV675" s="438"/>
      <c r="AW675" s="438"/>
      <c r="AX675" s="438"/>
      <c r="AY675" s="438"/>
      <c r="AZ675" s="438"/>
      <c r="BA675" s="438"/>
      <c r="BB675" s="438"/>
      <c r="BC675" s="438"/>
      <c r="BD675" s="438"/>
      <c r="BE675" s="438"/>
      <c r="BF675" s="438"/>
      <c r="BG675" s="438"/>
      <c r="BH675" s="438"/>
    </row>
    <row r="676">
      <c r="A676" s="140"/>
      <c r="B676" s="456"/>
      <c r="C676" s="142"/>
      <c r="D676" s="142"/>
      <c r="E676" s="142"/>
      <c r="F676" s="140"/>
      <c r="G676" s="456"/>
      <c r="H676" s="142"/>
      <c r="I676" s="142"/>
      <c r="J676" s="142"/>
      <c r="K676" s="125"/>
      <c r="L676" s="456"/>
      <c r="M676" s="142"/>
      <c r="N676" s="142"/>
      <c r="O676" s="142"/>
      <c r="P676" s="125"/>
      <c r="Q676" s="450"/>
      <c r="R676" s="142"/>
      <c r="S676" s="142"/>
      <c r="T676" s="142"/>
      <c r="U676" s="140"/>
      <c r="V676" s="456"/>
      <c r="W676" s="142"/>
      <c r="X676" s="142"/>
      <c r="Y676" s="142"/>
      <c r="Z676" s="140"/>
      <c r="AA676" s="456"/>
      <c r="AB676" s="142"/>
      <c r="AC676" s="142"/>
      <c r="AD676" s="142"/>
      <c r="AE676" s="140"/>
      <c r="AF676" s="456"/>
      <c r="AG676" s="142"/>
      <c r="AH676" s="142"/>
      <c r="AI676" s="142"/>
      <c r="AJ676" s="140"/>
      <c r="AK676" s="456"/>
      <c r="AL676" s="142"/>
      <c r="AM676" s="142"/>
      <c r="AN676" s="142"/>
      <c r="AO676" s="438"/>
      <c r="AP676" s="438"/>
      <c r="AQ676" s="438"/>
      <c r="AR676" s="438"/>
      <c r="AS676" s="438"/>
      <c r="AT676" s="438"/>
      <c r="AU676" s="438"/>
      <c r="AV676" s="438"/>
      <c r="AW676" s="438"/>
      <c r="AX676" s="438"/>
      <c r="AY676" s="438"/>
      <c r="AZ676" s="438"/>
      <c r="BA676" s="438"/>
      <c r="BB676" s="438"/>
      <c r="BC676" s="438"/>
      <c r="BD676" s="438"/>
      <c r="BE676" s="438"/>
      <c r="BF676" s="438"/>
      <c r="BG676" s="438"/>
      <c r="BH676" s="438"/>
    </row>
    <row r="677">
      <c r="A677" s="140"/>
      <c r="B677" s="456"/>
      <c r="C677" s="142"/>
      <c r="D677" s="142"/>
      <c r="E677" s="142"/>
      <c r="F677" s="140"/>
      <c r="G677" s="456"/>
      <c r="H677" s="142"/>
      <c r="I677" s="142"/>
      <c r="J677" s="142"/>
      <c r="K677" s="125"/>
      <c r="L677" s="456"/>
      <c r="M677" s="142"/>
      <c r="N677" s="142"/>
      <c r="O677" s="142"/>
      <c r="P677" s="125"/>
      <c r="Q677" s="450"/>
      <c r="R677" s="142"/>
      <c r="S677" s="142"/>
      <c r="T677" s="142"/>
      <c r="U677" s="140"/>
      <c r="V677" s="456"/>
      <c r="W677" s="142"/>
      <c r="X677" s="142"/>
      <c r="Y677" s="142"/>
      <c r="Z677" s="140"/>
      <c r="AA677" s="456"/>
      <c r="AB677" s="142"/>
      <c r="AC677" s="142"/>
      <c r="AD677" s="142"/>
      <c r="AE677" s="140"/>
      <c r="AF677" s="456"/>
      <c r="AG677" s="142"/>
      <c r="AH677" s="142"/>
      <c r="AI677" s="142"/>
      <c r="AJ677" s="140"/>
      <c r="AK677" s="456"/>
      <c r="AL677" s="142"/>
      <c r="AM677" s="142"/>
      <c r="AN677" s="142"/>
      <c r="AO677" s="438"/>
      <c r="AP677" s="438"/>
      <c r="AQ677" s="438"/>
      <c r="AR677" s="438"/>
      <c r="AS677" s="438"/>
      <c r="AT677" s="438"/>
      <c r="AU677" s="438"/>
      <c r="AV677" s="438"/>
      <c r="AW677" s="438"/>
      <c r="AX677" s="438"/>
      <c r="AY677" s="438"/>
      <c r="AZ677" s="438"/>
      <c r="BA677" s="438"/>
      <c r="BB677" s="438"/>
      <c r="BC677" s="438"/>
      <c r="BD677" s="438"/>
      <c r="BE677" s="438"/>
      <c r="BF677" s="438"/>
      <c r="BG677" s="438"/>
      <c r="BH677" s="438"/>
    </row>
    <row r="678">
      <c r="A678" s="140"/>
      <c r="B678" s="456"/>
      <c r="C678" s="142"/>
      <c r="D678" s="142"/>
      <c r="E678" s="142"/>
      <c r="F678" s="140"/>
      <c r="G678" s="456"/>
      <c r="H678" s="142"/>
      <c r="I678" s="142"/>
      <c r="J678" s="142"/>
      <c r="K678" s="125"/>
      <c r="L678" s="456"/>
      <c r="M678" s="142"/>
      <c r="N678" s="142"/>
      <c r="O678" s="142"/>
      <c r="P678" s="125"/>
      <c r="Q678" s="450"/>
      <c r="R678" s="142"/>
      <c r="S678" s="142"/>
      <c r="T678" s="142"/>
      <c r="U678" s="140"/>
      <c r="V678" s="456"/>
      <c r="W678" s="142"/>
      <c r="X678" s="142"/>
      <c r="Y678" s="142"/>
      <c r="Z678" s="140"/>
      <c r="AA678" s="456"/>
      <c r="AB678" s="142"/>
      <c r="AC678" s="142"/>
      <c r="AD678" s="142"/>
      <c r="AE678" s="140"/>
      <c r="AF678" s="456"/>
      <c r="AG678" s="142"/>
      <c r="AH678" s="142"/>
      <c r="AI678" s="142"/>
      <c r="AJ678" s="140"/>
      <c r="AK678" s="456"/>
      <c r="AL678" s="142"/>
      <c r="AM678" s="142"/>
      <c r="AN678" s="142"/>
      <c r="AO678" s="438"/>
      <c r="AP678" s="438"/>
      <c r="AQ678" s="438"/>
      <c r="AR678" s="438"/>
      <c r="AS678" s="438"/>
      <c r="AT678" s="438"/>
      <c r="AU678" s="438"/>
      <c r="AV678" s="438"/>
      <c r="AW678" s="438"/>
      <c r="AX678" s="438"/>
      <c r="AY678" s="438"/>
      <c r="AZ678" s="438"/>
      <c r="BA678" s="438"/>
      <c r="BB678" s="438"/>
      <c r="BC678" s="438"/>
      <c r="BD678" s="438"/>
      <c r="BE678" s="438"/>
      <c r="BF678" s="438"/>
      <c r="BG678" s="438"/>
      <c r="BH678" s="438"/>
    </row>
    <row r="679">
      <c r="A679" s="140"/>
      <c r="B679" s="456"/>
      <c r="C679" s="142"/>
      <c r="D679" s="142"/>
      <c r="E679" s="142"/>
      <c r="F679" s="140"/>
      <c r="G679" s="456"/>
      <c r="H679" s="142"/>
      <c r="I679" s="142"/>
      <c r="J679" s="142"/>
      <c r="K679" s="125"/>
      <c r="L679" s="456"/>
      <c r="M679" s="142"/>
      <c r="N679" s="142"/>
      <c r="O679" s="142"/>
      <c r="P679" s="125"/>
      <c r="Q679" s="450"/>
      <c r="R679" s="142"/>
      <c r="S679" s="142"/>
      <c r="T679" s="142"/>
      <c r="U679" s="140"/>
      <c r="V679" s="456"/>
      <c r="W679" s="142"/>
      <c r="X679" s="142"/>
      <c r="Y679" s="142"/>
      <c r="Z679" s="140"/>
      <c r="AA679" s="456"/>
      <c r="AB679" s="142"/>
      <c r="AC679" s="142"/>
      <c r="AD679" s="142"/>
      <c r="AE679" s="140"/>
      <c r="AF679" s="456"/>
      <c r="AG679" s="142"/>
      <c r="AH679" s="142"/>
      <c r="AI679" s="142"/>
      <c r="AJ679" s="140"/>
      <c r="AK679" s="456"/>
      <c r="AL679" s="142"/>
      <c r="AM679" s="142"/>
      <c r="AN679" s="142"/>
      <c r="AO679" s="438"/>
      <c r="AP679" s="438"/>
      <c r="AQ679" s="438"/>
      <c r="AR679" s="438"/>
      <c r="AS679" s="438"/>
      <c r="AT679" s="438"/>
      <c r="AU679" s="438"/>
      <c r="AV679" s="438"/>
      <c r="AW679" s="438"/>
      <c r="AX679" s="438"/>
      <c r="AY679" s="438"/>
      <c r="AZ679" s="438"/>
      <c r="BA679" s="438"/>
      <c r="BB679" s="438"/>
      <c r="BC679" s="438"/>
      <c r="BD679" s="438"/>
      <c r="BE679" s="438"/>
      <c r="BF679" s="438"/>
      <c r="BG679" s="438"/>
      <c r="BH679" s="438"/>
    </row>
    <row r="680">
      <c r="A680" s="140"/>
      <c r="B680" s="456"/>
      <c r="C680" s="142"/>
      <c r="D680" s="142"/>
      <c r="E680" s="142"/>
      <c r="F680" s="140"/>
      <c r="G680" s="456"/>
      <c r="H680" s="142"/>
      <c r="I680" s="142"/>
      <c r="J680" s="142"/>
      <c r="K680" s="125"/>
      <c r="L680" s="456"/>
      <c r="M680" s="142"/>
      <c r="N680" s="142"/>
      <c r="O680" s="142"/>
      <c r="P680" s="125"/>
      <c r="Q680" s="450"/>
      <c r="R680" s="142"/>
      <c r="S680" s="142"/>
      <c r="T680" s="142"/>
      <c r="U680" s="140"/>
      <c r="V680" s="456"/>
      <c r="W680" s="142"/>
      <c r="X680" s="142"/>
      <c r="Y680" s="142"/>
      <c r="Z680" s="140"/>
      <c r="AA680" s="456"/>
      <c r="AB680" s="142"/>
      <c r="AC680" s="142"/>
      <c r="AD680" s="142"/>
      <c r="AE680" s="140"/>
      <c r="AF680" s="456"/>
      <c r="AG680" s="142"/>
      <c r="AH680" s="142"/>
      <c r="AI680" s="142"/>
      <c r="AJ680" s="140"/>
      <c r="AK680" s="456"/>
      <c r="AL680" s="142"/>
      <c r="AM680" s="142"/>
      <c r="AN680" s="142"/>
      <c r="AO680" s="438"/>
      <c r="AP680" s="438"/>
      <c r="AQ680" s="438"/>
      <c r="AR680" s="438"/>
      <c r="AS680" s="438"/>
      <c r="AT680" s="438"/>
      <c r="AU680" s="438"/>
      <c r="AV680" s="438"/>
      <c r="AW680" s="438"/>
      <c r="AX680" s="438"/>
      <c r="AY680" s="438"/>
      <c r="AZ680" s="438"/>
      <c r="BA680" s="438"/>
      <c r="BB680" s="438"/>
      <c r="BC680" s="438"/>
      <c r="BD680" s="438"/>
      <c r="BE680" s="438"/>
      <c r="BF680" s="438"/>
      <c r="BG680" s="438"/>
      <c r="BH680" s="438"/>
    </row>
    <row r="681">
      <c r="A681" s="140"/>
      <c r="B681" s="456"/>
      <c r="C681" s="142"/>
      <c r="D681" s="142"/>
      <c r="E681" s="142"/>
      <c r="F681" s="140"/>
      <c r="G681" s="456"/>
      <c r="H681" s="142"/>
      <c r="I681" s="142"/>
      <c r="J681" s="142"/>
      <c r="K681" s="125"/>
      <c r="L681" s="456"/>
      <c r="M681" s="142"/>
      <c r="N681" s="142"/>
      <c r="O681" s="142"/>
      <c r="P681" s="125"/>
      <c r="Q681" s="450"/>
      <c r="R681" s="142"/>
      <c r="S681" s="142"/>
      <c r="T681" s="142"/>
      <c r="U681" s="140"/>
      <c r="V681" s="456"/>
      <c r="W681" s="142"/>
      <c r="X681" s="142"/>
      <c r="Y681" s="142"/>
      <c r="Z681" s="140"/>
      <c r="AA681" s="456"/>
      <c r="AB681" s="142"/>
      <c r="AC681" s="142"/>
      <c r="AD681" s="142"/>
      <c r="AE681" s="140"/>
      <c r="AF681" s="456"/>
      <c r="AG681" s="142"/>
      <c r="AH681" s="142"/>
      <c r="AI681" s="142"/>
      <c r="AJ681" s="140"/>
      <c r="AK681" s="456"/>
      <c r="AL681" s="142"/>
      <c r="AM681" s="142"/>
      <c r="AN681" s="142"/>
      <c r="AO681" s="438"/>
      <c r="AP681" s="438"/>
      <c r="AQ681" s="438"/>
      <c r="AR681" s="438"/>
      <c r="AS681" s="438"/>
      <c r="AT681" s="438"/>
      <c r="AU681" s="438"/>
      <c r="AV681" s="438"/>
      <c r="AW681" s="438"/>
      <c r="AX681" s="438"/>
      <c r="AY681" s="438"/>
      <c r="AZ681" s="438"/>
      <c r="BA681" s="438"/>
      <c r="BB681" s="438"/>
      <c r="BC681" s="438"/>
      <c r="BD681" s="438"/>
      <c r="BE681" s="438"/>
      <c r="BF681" s="438"/>
      <c r="BG681" s="438"/>
      <c r="BH681" s="438"/>
    </row>
    <row r="682">
      <c r="A682" s="140"/>
      <c r="B682" s="456"/>
      <c r="C682" s="142"/>
      <c r="D682" s="142"/>
      <c r="E682" s="142"/>
      <c r="F682" s="140"/>
      <c r="G682" s="456"/>
      <c r="H682" s="142"/>
      <c r="I682" s="142"/>
      <c r="J682" s="142"/>
      <c r="K682" s="125"/>
      <c r="L682" s="456"/>
      <c r="M682" s="142"/>
      <c r="N682" s="142"/>
      <c r="O682" s="142"/>
      <c r="P682" s="125"/>
      <c r="Q682" s="450"/>
      <c r="R682" s="142"/>
      <c r="S682" s="142"/>
      <c r="T682" s="142"/>
      <c r="U682" s="140"/>
      <c r="V682" s="456"/>
      <c r="W682" s="142"/>
      <c r="X682" s="142"/>
      <c r="Y682" s="142"/>
      <c r="Z682" s="140"/>
      <c r="AA682" s="456"/>
      <c r="AB682" s="142"/>
      <c r="AC682" s="142"/>
      <c r="AD682" s="142"/>
      <c r="AE682" s="140"/>
      <c r="AF682" s="456"/>
      <c r="AG682" s="142"/>
      <c r="AH682" s="142"/>
      <c r="AI682" s="142"/>
      <c r="AJ682" s="140"/>
      <c r="AK682" s="456"/>
      <c r="AL682" s="142"/>
      <c r="AM682" s="142"/>
      <c r="AN682" s="142"/>
      <c r="AO682" s="438"/>
      <c r="AP682" s="438"/>
      <c r="AQ682" s="438"/>
      <c r="AR682" s="438"/>
      <c r="AS682" s="438"/>
      <c r="AT682" s="438"/>
      <c r="AU682" s="438"/>
      <c r="AV682" s="438"/>
      <c r="AW682" s="438"/>
      <c r="AX682" s="438"/>
      <c r="AY682" s="438"/>
      <c r="AZ682" s="438"/>
      <c r="BA682" s="438"/>
      <c r="BB682" s="438"/>
      <c r="BC682" s="438"/>
      <c r="BD682" s="438"/>
      <c r="BE682" s="438"/>
      <c r="BF682" s="438"/>
      <c r="BG682" s="438"/>
      <c r="BH682" s="438"/>
    </row>
    <row r="683">
      <c r="A683" s="140"/>
      <c r="B683" s="456"/>
      <c r="C683" s="142"/>
      <c r="D683" s="142"/>
      <c r="E683" s="142"/>
      <c r="F683" s="140"/>
      <c r="G683" s="456"/>
      <c r="H683" s="142"/>
      <c r="I683" s="142"/>
      <c r="J683" s="142"/>
      <c r="K683" s="125"/>
      <c r="L683" s="456"/>
      <c r="M683" s="142"/>
      <c r="N683" s="142"/>
      <c r="O683" s="142"/>
      <c r="P683" s="125"/>
      <c r="Q683" s="450"/>
      <c r="R683" s="142"/>
      <c r="S683" s="142"/>
      <c r="T683" s="142"/>
      <c r="U683" s="140"/>
      <c r="V683" s="456"/>
      <c r="W683" s="142"/>
      <c r="X683" s="142"/>
      <c r="Y683" s="142"/>
      <c r="Z683" s="140"/>
      <c r="AA683" s="456"/>
      <c r="AB683" s="142"/>
      <c r="AC683" s="142"/>
      <c r="AD683" s="142"/>
      <c r="AE683" s="140"/>
      <c r="AF683" s="456"/>
      <c r="AG683" s="142"/>
      <c r="AH683" s="142"/>
      <c r="AI683" s="142"/>
      <c r="AJ683" s="140"/>
      <c r="AK683" s="456"/>
      <c r="AL683" s="142"/>
      <c r="AM683" s="142"/>
      <c r="AN683" s="142"/>
      <c r="AO683" s="438"/>
      <c r="AP683" s="438"/>
      <c r="AQ683" s="438"/>
      <c r="AR683" s="438"/>
      <c r="AS683" s="438"/>
      <c r="AT683" s="438"/>
      <c r="AU683" s="438"/>
      <c r="AV683" s="438"/>
      <c r="AW683" s="438"/>
      <c r="AX683" s="438"/>
      <c r="AY683" s="438"/>
      <c r="AZ683" s="438"/>
      <c r="BA683" s="438"/>
      <c r="BB683" s="438"/>
      <c r="BC683" s="438"/>
      <c r="BD683" s="438"/>
      <c r="BE683" s="438"/>
      <c r="BF683" s="438"/>
      <c r="BG683" s="438"/>
      <c r="BH683" s="438"/>
    </row>
    <row r="684">
      <c r="A684" s="140"/>
      <c r="B684" s="456"/>
      <c r="C684" s="142"/>
      <c r="D684" s="142"/>
      <c r="E684" s="142"/>
      <c r="F684" s="140"/>
      <c r="G684" s="456"/>
      <c r="H684" s="142"/>
      <c r="I684" s="142"/>
      <c r="J684" s="142"/>
      <c r="K684" s="125"/>
      <c r="L684" s="456"/>
      <c r="M684" s="142"/>
      <c r="N684" s="142"/>
      <c r="O684" s="142"/>
      <c r="P684" s="125"/>
      <c r="Q684" s="450"/>
      <c r="R684" s="142"/>
      <c r="S684" s="142"/>
      <c r="T684" s="142"/>
      <c r="U684" s="140"/>
      <c r="V684" s="456"/>
      <c r="W684" s="142"/>
      <c r="X684" s="142"/>
      <c r="Y684" s="142"/>
      <c r="Z684" s="140"/>
      <c r="AA684" s="456"/>
      <c r="AB684" s="142"/>
      <c r="AC684" s="142"/>
      <c r="AD684" s="142"/>
      <c r="AE684" s="140"/>
      <c r="AF684" s="456"/>
      <c r="AG684" s="142"/>
      <c r="AH684" s="142"/>
      <c r="AI684" s="142"/>
      <c r="AJ684" s="140"/>
      <c r="AK684" s="456"/>
      <c r="AL684" s="142"/>
      <c r="AM684" s="142"/>
      <c r="AN684" s="142"/>
      <c r="AO684" s="438"/>
      <c r="AP684" s="438"/>
      <c r="AQ684" s="438"/>
      <c r="AR684" s="438"/>
      <c r="AS684" s="438"/>
      <c r="AT684" s="438"/>
      <c r="AU684" s="438"/>
      <c r="AV684" s="438"/>
      <c r="AW684" s="438"/>
      <c r="AX684" s="438"/>
      <c r="AY684" s="438"/>
      <c r="AZ684" s="438"/>
      <c r="BA684" s="438"/>
      <c r="BB684" s="438"/>
      <c r="BC684" s="438"/>
      <c r="BD684" s="438"/>
      <c r="BE684" s="438"/>
      <c r="BF684" s="438"/>
      <c r="BG684" s="438"/>
      <c r="BH684" s="438"/>
    </row>
    <row r="685">
      <c r="A685" s="140"/>
      <c r="B685" s="456"/>
      <c r="C685" s="142"/>
      <c r="D685" s="142"/>
      <c r="E685" s="142"/>
      <c r="F685" s="140"/>
      <c r="G685" s="456"/>
      <c r="H685" s="142"/>
      <c r="I685" s="142"/>
      <c r="J685" s="142"/>
      <c r="K685" s="125"/>
      <c r="L685" s="456"/>
      <c r="M685" s="142"/>
      <c r="N685" s="142"/>
      <c r="O685" s="142"/>
      <c r="P685" s="125"/>
      <c r="Q685" s="450"/>
      <c r="R685" s="142"/>
      <c r="S685" s="142"/>
      <c r="T685" s="142"/>
      <c r="U685" s="140"/>
      <c r="V685" s="456"/>
      <c r="W685" s="142"/>
      <c r="X685" s="142"/>
      <c r="Y685" s="142"/>
      <c r="Z685" s="140"/>
      <c r="AA685" s="456"/>
      <c r="AB685" s="142"/>
      <c r="AC685" s="142"/>
      <c r="AD685" s="142"/>
      <c r="AE685" s="140"/>
      <c r="AF685" s="456"/>
      <c r="AG685" s="142"/>
      <c r="AH685" s="142"/>
      <c r="AI685" s="142"/>
      <c r="AJ685" s="140"/>
      <c r="AK685" s="456"/>
      <c r="AL685" s="142"/>
      <c r="AM685" s="142"/>
      <c r="AN685" s="142"/>
      <c r="AO685" s="438"/>
      <c r="AP685" s="438"/>
      <c r="AQ685" s="438"/>
      <c r="AR685" s="438"/>
      <c r="AS685" s="438"/>
      <c r="AT685" s="438"/>
      <c r="AU685" s="438"/>
      <c r="AV685" s="438"/>
      <c r="AW685" s="438"/>
      <c r="AX685" s="438"/>
      <c r="AY685" s="438"/>
      <c r="AZ685" s="438"/>
      <c r="BA685" s="438"/>
      <c r="BB685" s="438"/>
      <c r="BC685" s="438"/>
      <c r="BD685" s="438"/>
      <c r="BE685" s="438"/>
      <c r="BF685" s="438"/>
      <c r="BG685" s="438"/>
      <c r="BH685" s="438"/>
    </row>
    <row r="686">
      <c r="A686" s="140"/>
      <c r="B686" s="456"/>
      <c r="C686" s="142"/>
      <c r="D686" s="142"/>
      <c r="E686" s="142"/>
      <c r="F686" s="140"/>
      <c r="G686" s="456"/>
      <c r="H686" s="142"/>
      <c r="I686" s="142"/>
      <c r="J686" s="142"/>
      <c r="K686" s="125"/>
      <c r="L686" s="456"/>
      <c r="M686" s="142"/>
      <c r="N686" s="142"/>
      <c r="O686" s="142"/>
      <c r="P686" s="125"/>
      <c r="Q686" s="450"/>
      <c r="R686" s="142"/>
      <c r="S686" s="142"/>
      <c r="T686" s="142"/>
      <c r="U686" s="140"/>
      <c r="V686" s="456"/>
      <c r="W686" s="142"/>
      <c r="X686" s="142"/>
      <c r="Y686" s="142"/>
      <c r="Z686" s="140"/>
      <c r="AA686" s="456"/>
      <c r="AB686" s="142"/>
      <c r="AC686" s="142"/>
      <c r="AD686" s="142"/>
      <c r="AE686" s="140"/>
      <c r="AF686" s="456"/>
      <c r="AG686" s="142"/>
      <c r="AH686" s="142"/>
      <c r="AI686" s="142"/>
      <c r="AJ686" s="140"/>
      <c r="AK686" s="456"/>
      <c r="AL686" s="142"/>
      <c r="AM686" s="142"/>
      <c r="AN686" s="142"/>
      <c r="AO686" s="438"/>
      <c r="AP686" s="438"/>
      <c r="AQ686" s="438"/>
      <c r="AR686" s="438"/>
      <c r="AS686" s="438"/>
      <c r="AT686" s="438"/>
      <c r="AU686" s="438"/>
      <c r="AV686" s="438"/>
      <c r="AW686" s="438"/>
      <c r="AX686" s="438"/>
      <c r="AY686" s="438"/>
      <c r="AZ686" s="438"/>
      <c r="BA686" s="438"/>
      <c r="BB686" s="438"/>
      <c r="BC686" s="438"/>
      <c r="BD686" s="438"/>
      <c r="BE686" s="438"/>
      <c r="BF686" s="438"/>
      <c r="BG686" s="438"/>
      <c r="BH686" s="438"/>
    </row>
    <row r="687">
      <c r="A687" s="140"/>
      <c r="B687" s="456"/>
      <c r="C687" s="142"/>
      <c r="D687" s="142"/>
      <c r="E687" s="142"/>
      <c r="F687" s="140"/>
      <c r="G687" s="456"/>
      <c r="H687" s="142"/>
      <c r="I687" s="142"/>
      <c r="J687" s="142"/>
      <c r="K687" s="125"/>
      <c r="L687" s="456"/>
      <c r="M687" s="142"/>
      <c r="N687" s="142"/>
      <c r="O687" s="142"/>
      <c r="P687" s="125"/>
      <c r="Q687" s="450"/>
      <c r="R687" s="142"/>
      <c r="S687" s="142"/>
      <c r="T687" s="142"/>
      <c r="U687" s="140"/>
      <c r="V687" s="456"/>
      <c r="W687" s="142"/>
      <c r="X687" s="142"/>
      <c r="Y687" s="142"/>
      <c r="Z687" s="140"/>
      <c r="AA687" s="456"/>
      <c r="AB687" s="142"/>
      <c r="AC687" s="142"/>
      <c r="AD687" s="142"/>
      <c r="AE687" s="140"/>
      <c r="AF687" s="456"/>
      <c r="AG687" s="142"/>
      <c r="AH687" s="142"/>
      <c r="AI687" s="142"/>
      <c r="AJ687" s="140"/>
      <c r="AK687" s="456"/>
      <c r="AL687" s="142"/>
      <c r="AM687" s="142"/>
      <c r="AN687" s="142"/>
      <c r="AO687" s="438"/>
      <c r="AP687" s="438"/>
      <c r="AQ687" s="438"/>
      <c r="AR687" s="438"/>
      <c r="AS687" s="438"/>
      <c r="AT687" s="438"/>
      <c r="AU687" s="438"/>
      <c r="AV687" s="438"/>
      <c r="AW687" s="438"/>
      <c r="AX687" s="438"/>
      <c r="AY687" s="438"/>
      <c r="AZ687" s="438"/>
      <c r="BA687" s="438"/>
      <c r="BB687" s="438"/>
      <c r="BC687" s="438"/>
      <c r="BD687" s="438"/>
      <c r="BE687" s="438"/>
      <c r="BF687" s="438"/>
      <c r="BG687" s="438"/>
      <c r="BH687" s="438"/>
    </row>
    <row r="688">
      <c r="A688" s="140"/>
      <c r="B688" s="456"/>
      <c r="C688" s="142"/>
      <c r="D688" s="142"/>
      <c r="E688" s="142"/>
      <c r="F688" s="140"/>
      <c r="G688" s="456"/>
      <c r="H688" s="142"/>
      <c r="I688" s="142"/>
      <c r="J688" s="142"/>
      <c r="K688" s="125"/>
      <c r="L688" s="456"/>
      <c r="M688" s="142"/>
      <c r="N688" s="142"/>
      <c r="O688" s="142"/>
      <c r="P688" s="125"/>
      <c r="Q688" s="450"/>
      <c r="R688" s="142"/>
      <c r="S688" s="142"/>
      <c r="T688" s="142"/>
      <c r="U688" s="140"/>
      <c r="V688" s="456"/>
      <c r="W688" s="142"/>
      <c r="X688" s="142"/>
      <c r="Y688" s="142"/>
      <c r="Z688" s="140"/>
      <c r="AA688" s="456"/>
      <c r="AB688" s="142"/>
      <c r="AC688" s="142"/>
      <c r="AD688" s="142"/>
      <c r="AE688" s="140"/>
      <c r="AF688" s="456"/>
      <c r="AG688" s="142"/>
      <c r="AH688" s="142"/>
      <c r="AI688" s="142"/>
      <c r="AJ688" s="140"/>
      <c r="AK688" s="456"/>
      <c r="AL688" s="142"/>
      <c r="AM688" s="142"/>
      <c r="AN688" s="142"/>
      <c r="AO688" s="438"/>
      <c r="AP688" s="438"/>
      <c r="AQ688" s="438"/>
      <c r="AR688" s="438"/>
      <c r="AS688" s="438"/>
      <c r="AT688" s="438"/>
      <c r="AU688" s="438"/>
      <c r="AV688" s="438"/>
      <c r="AW688" s="438"/>
      <c r="AX688" s="438"/>
      <c r="AY688" s="438"/>
      <c r="AZ688" s="438"/>
      <c r="BA688" s="438"/>
      <c r="BB688" s="438"/>
      <c r="BC688" s="438"/>
      <c r="BD688" s="438"/>
      <c r="BE688" s="438"/>
      <c r="BF688" s="438"/>
      <c r="BG688" s="438"/>
      <c r="BH688" s="438"/>
    </row>
    <row r="689">
      <c r="A689" s="140"/>
      <c r="B689" s="456"/>
      <c r="C689" s="142"/>
      <c r="D689" s="142"/>
      <c r="E689" s="142"/>
      <c r="F689" s="140"/>
      <c r="G689" s="456"/>
      <c r="H689" s="142"/>
      <c r="I689" s="142"/>
      <c r="J689" s="142"/>
      <c r="K689" s="125"/>
      <c r="L689" s="456"/>
      <c r="M689" s="142"/>
      <c r="N689" s="142"/>
      <c r="O689" s="142"/>
      <c r="P689" s="125"/>
      <c r="Q689" s="450"/>
      <c r="R689" s="142"/>
      <c r="S689" s="142"/>
      <c r="T689" s="142"/>
      <c r="U689" s="140"/>
      <c r="V689" s="456"/>
      <c r="W689" s="142"/>
      <c r="X689" s="142"/>
      <c r="Y689" s="142"/>
      <c r="Z689" s="140"/>
      <c r="AA689" s="456"/>
      <c r="AB689" s="142"/>
      <c r="AC689" s="142"/>
      <c r="AD689" s="142"/>
      <c r="AE689" s="140"/>
      <c r="AF689" s="456"/>
      <c r="AG689" s="142"/>
      <c r="AH689" s="142"/>
      <c r="AI689" s="142"/>
      <c r="AJ689" s="140"/>
      <c r="AK689" s="456"/>
      <c r="AL689" s="142"/>
      <c r="AM689" s="142"/>
      <c r="AN689" s="142"/>
      <c r="AO689" s="438"/>
      <c r="AP689" s="438"/>
      <c r="AQ689" s="438"/>
      <c r="AR689" s="438"/>
      <c r="AS689" s="438"/>
      <c r="AT689" s="438"/>
      <c r="AU689" s="438"/>
      <c r="AV689" s="438"/>
      <c r="AW689" s="438"/>
      <c r="AX689" s="438"/>
      <c r="AY689" s="438"/>
      <c r="AZ689" s="438"/>
      <c r="BA689" s="438"/>
      <c r="BB689" s="438"/>
      <c r="BC689" s="438"/>
      <c r="BD689" s="438"/>
      <c r="BE689" s="438"/>
      <c r="BF689" s="438"/>
      <c r="BG689" s="438"/>
      <c r="BH689" s="438"/>
    </row>
    <row r="690">
      <c r="A690" s="140"/>
      <c r="B690" s="456"/>
      <c r="C690" s="142"/>
      <c r="D690" s="142"/>
      <c r="E690" s="142"/>
      <c r="F690" s="140"/>
      <c r="G690" s="456"/>
      <c r="H690" s="142"/>
      <c r="I690" s="142"/>
      <c r="J690" s="142"/>
      <c r="K690" s="125"/>
      <c r="L690" s="456"/>
      <c r="M690" s="142"/>
      <c r="N690" s="142"/>
      <c r="O690" s="142"/>
      <c r="P690" s="125"/>
      <c r="Q690" s="450"/>
      <c r="R690" s="142"/>
      <c r="S690" s="142"/>
      <c r="T690" s="142"/>
      <c r="U690" s="140"/>
      <c r="V690" s="456"/>
      <c r="W690" s="142"/>
      <c r="X690" s="142"/>
      <c r="Y690" s="142"/>
      <c r="Z690" s="140"/>
      <c r="AA690" s="456"/>
      <c r="AB690" s="142"/>
      <c r="AC690" s="142"/>
      <c r="AD690" s="142"/>
      <c r="AE690" s="140"/>
      <c r="AF690" s="456"/>
      <c r="AG690" s="142"/>
      <c r="AH690" s="142"/>
      <c r="AI690" s="142"/>
      <c r="AJ690" s="140"/>
      <c r="AK690" s="456"/>
      <c r="AL690" s="142"/>
      <c r="AM690" s="142"/>
      <c r="AN690" s="142"/>
      <c r="AO690" s="438"/>
      <c r="AP690" s="438"/>
      <c r="AQ690" s="438"/>
      <c r="AR690" s="438"/>
      <c r="AS690" s="438"/>
      <c r="AT690" s="438"/>
      <c r="AU690" s="438"/>
      <c r="AV690" s="438"/>
      <c r="AW690" s="438"/>
      <c r="AX690" s="438"/>
      <c r="AY690" s="438"/>
      <c r="AZ690" s="438"/>
      <c r="BA690" s="438"/>
      <c r="BB690" s="438"/>
      <c r="BC690" s="438"/>
      <c r="BD690" s="438"/>
      <c r="BE690" s="438"/>
      <c r="BF690" s="438"/>
      <c r="BG690" s="438"/>
      <c r="BH690" s="438"/>
    </row>
    <row r="691">
      <c r="A691" s="140"/>
      <c r="B691" s="456"/>
      <c r="C691" s="142"/>
      <c r="D691" s="142"/>
      <c r="E691" s="142"/>
      <c r="F691" s="140"/>
      <c r="G691" s="456"/>
      <c r="H691" s="142"/>
      <c r="I691" s="142"/>
      <c r="J691" s="142"/>
      <c r="K691" s="125"/>
      <c r="L691" s="456"/>
      <c r="M691" s="142"/>
      <c r="N691" s="142"/>
      <c r="O691" s="142"/>
      <c r="P691" s="125"/>
      <c r="Q691" s="450"/>
      <c r="R691" s="142"/>
      <c r="S691" s="142"/>
      <c r="T691" s="142"/>
      <c r="U691" s="140"/>
      <c r="V691" s="456"/>
      <c r="W691" s="142"/>
      <c r="X691" s="142"/>
      <c r="Y691" s="142"/>
      <c r="Z691" s="140"/>
      <c r="AA691" s="456"/>
      <c r="AB691" s="142"/>
      <c r="AC691" s="142"/>
      <c r="AD691" s="142"/>
      <c r="AE691" s="140"/>
      <c r="AF691" s="456"/>
      <c r="AG691" s="142"/>
      <c r="AH691" s="142"/>
      <c r="AI691" s="142"/>
      <c r="AJ691" s="140"/>
      <c r="AK691" s="456"/>
      <c r="AL691" s="142"/>
      <c r="AM691" s="142"/>
      <c r="AN691" s="142"/>
      <c r="AO691" s="438"/>
      <c r="AP691" s="438"/>
      <c r="AQ691" s="438"/>
      <c r="AR691" s="438"/>
      <c r="AS691" s="438"/>
      <c r="AT691" s="438"/>
      <c r="AU691" s="438"/>
      <c r="AV691" s="438"/>
      <c r="AW691" s="438"/>
      <c r="AX691" s="438"/>
      <c r="AY691" s="438"/>
      <c r="AZ691" s="438"/>
      <c r="BA691" s="438"/>
      <c r="BB691" s="438"/>
      <c r="BC691" s="438"/>
      <c r="BD691" s="438"/>
      <c r="BE691" s="438"/>
      <c r="BF691" s="438"/>
      <c r="BG691" s="438"/>
      <c r="BH691" s="438"/>
    </row>
    <row r="692">
      <c r="A692" s="140"/>
      <c r="B692" s="456"/>
      <c r="C692" s="142"/>
      <c r="D692" s="142"/>
      <c r="E692" s="142"/>
      <c r="F692" s="140"/>
      <c r="G692" s="456"/>
      <c r="H692" s="142"/>
      <c r="I692" s="142"/>
      <c r="J692" s="142"/>
      <c r="K692" s="125"/>
      <c r="L692" s="456"/>
      <c r="M692" s="142"/>
      <c r="N692" s="142"/>
      <c r="O692" s="142"/>
      <c r="P692" s="125"/>
      <c r="Q692" s="450"/>
      <c r="R692" s="142"/>
      <c r="S692" s="142"/>
      <c r="T692" s="142"/>
      <c r="U692" s="140"/>
      <c r="V692" s="456"/>
      <c r="W692" s="142"/>
      <c r="X692" s="142"/>
      <c r="Y692" s="142"/>
      <c r="Z692" s="140"/>
      <c r="AA692" s="456"/>
      <c r="AB692" s="142"/>
      <c r="AC692" s="142"/>
      <c r="AD692" s="142"/>
      <c r="AE692" s="140"/>
      <c r="AF692" s="456"/>
      <c r="AG692" s="142"/>
      <c r="AH692" s="142"/>
      <c r="AI692" s="142"/>
      <c r="AJ692" s="140"/>
      <c r="AK692" s="456"/>
      <c r="AL692" s="142"/>
      <c r="AM692" s="142"/>
      <c r="AN692" s="142"/>
      <c r="AO692" s="438"/>
      <c r="AP692" s="438"/>
      <c r="AQ692" s="438"/>
      <c r="AR692" s="438"/>
      <c r="AS692" s="438"/>
      <c r="AT692" s="438"/>
      <c r="AU692" s="438"/>
      <c r="AV692" s="438"/>
      <c r="AW692" s="438"/>
      <c r="AX692" s="438"/>
      <c r="AY692" s="438"/>
      <c r="AZ692" s="438"/>
      <c r="BA692" s="438"/>
      <c r="BB692" s="438"/>
      <c r="BC692" s="438"/>
      <c r="BD692" s="438"/>
      <c r="BE692" s="438"/>
      <c r="BF692" s="438"/>
      <c r="BG692" s="438"/>
      <c r="BH692" s="438"/>
    </row>
    <row r="693">
      <c r="A693" s="140"/>
      <c r="B693" s="456"/>
      <c r="C693" s="142"/>
      <c r="D693" s="142"/>
      <c r="E693" s="142"/>
      <c r="F693" s="140"/>
      <c r="G693" s="456"/>
      <c r="H693" s="142"/>
      <c r="I693" s="142"/>
      <c r="J693" s="142"/>
      <c r="K693" s="125"/>
      <c r="L693" s="456"/>
      <c r="M693" s="142"/>
      <c r="N693" s="142"/>
      <c r="O693" s="142"/>
      <c r="P693" s="125"/>
      <c r="Q693" s="450"/>
      <c r="R693" s="142"/>
      <c r="S693" s="142"/>
      <c r="T693" s="142"/>
      <c r="U693" s="140"/>
      <c r="V693" s="456"/>
      <c r="W693" s="142"/>
      <c r="X693" s="142"/>
      <c r="Y693" s="142"/>
      <c r="Z693" s="140"/>
      <c r="AA693" s="456"/>
      <c r="AB693" s="142"/>
      <c r="AC693" s="142"/>
      <c r="AD693" s="142"/>
      <c r="AE693" s="140"/>
      <c r="AF693" s="456"/>
      <c r="AG693" s="142"/>
      <c r="AH693" s="142"/>
      <c r="AI693" s="142"/>
      <c r="AJ693" s="140"/>
      <c r="AK693" s="456"/>
      <c r="AL693" s="142"/>
      <c r="AM693" s="142"/>
      <c r="AN693" s="142"/>
      <c r="AO693" s="438"/>
      <c r="AP693" s="438"/>
      <c r="AQ693" s="438"/>
      <c r="AR693" s="438"/>
      <c r="AS693" s="438"/>
      <c r="AT693" s="438"/>
      <c r="AU693" s="438"/>
      <c r="AV693" s="438"/>
      <c r="AW693" s="438"/>
      <c r="AX693" s="438"/>
      <c r="AY693" s="438"/>
      <c r="AZ693" s="438"/>
      <c r="BA693" s="438"/>
      <c r="BB693" s="438"/>
      <c r="BC693" s="438"/>
      <c r="BD693" s="438"/>
      <c r="BE693" s="438"/>
      <c r="BF693" s="438"/>
      <c r="BG693" s="438"/>
      <c r="BH693" s="438"/>
    </row>
    <row r="694">
      <c r="A694" s="140"/>
      <c r="B694" s="456"/>
      <c r="C694" s="142"/>
      <c r="D694" s="142"/>
      <c r="E694" s="142"/>
      <c r="F694" s="140"/>
      <c r="G694" s="456"/>
      <c r="H694" s="142"/>
      <c r="I694" s="142"/>
      <c r="J694" s="142"/>
      <c r="K694" s="125"/>
      <c r="L694" s="456"/>
      <c r="M694" s="142"/>
      <c r="N694" s="142"/>
      <c r="O694" s="142"/>
      <c r="P694" s="125"/>
      <c r="Q694" s="450"/>
      <c r="R694" s="142"/>
      <c r="S694" s="142"/>
      <c r="T694" s="142"/>
      <c r="U694" s="140"/>
      <c r="V694" s="456"/>
      <c r="W694" s="142"/>
      <c r="X694" s="142"/>
      <c r="Y694" s="142"/>
      <c r="Z694" s="140"/>
      <c r="AA694" s="456"/>
      <c r="AB694" s="142"/>
      <c r="AC694" s="142"/>
      <c r="AD694" s="142"/>
      <c r="AE694" s="140"/>
      <c r="AF694" s="456"/>
      <c r="AG694" s="142"/>
      <c r="AH694" s="142"/>
      <c r="AI694" s="142"/>
      <c r="AJ694" s="140"/>
      <c r="AK694" s="456"/>
      <c r="AL694" s="142"/>
      <c r="AM694" s="142"/>
      <c r="AN694" s="142"/>
      <c r="AO694" s="438"/>
      <c r="AP694" s="438"/>
      <c r="AQ694" s="438"/>
      <c r="AR694" s="438"/>
      <c r="AS694" s="438"/>
      <c r="AT694" s="438"/>
      <c r="AU694" s="438"/>
      <c r="AV694" s="438"/>
      <c r="AW694" s="438"/>
      <c r="AX694" s="438"/>
      <c r="AY694" s="438"/>
      <c r="AZ694" s="438"/>
      <c r="BA694" s="438"/>
      <c r="BB694" s="438"/>
      <c r="BC694" s="438"/>
      <c r="BD694" s="438"/>
      <c r="BE694" s="438"/>
      <c r="BF694" s="438"/>
      <c r="BG694" s="438"/>
      <c r="BH694" s="438"/>
    </row>
    <row r="695">
      <c r="A695" s="140"/>
      <c r="B695" s="456"/>
      <c r="C695" s="142"/>
      <c r="D695" s="142"/>
      <c r="E695" s="142"/>
      <c r="F695" s="140"/>
      <c r="G695" s="456"/>
      <c r="H695" s="142"/>
      <c r="I695" s="142"/>
      <c r="J695" s="142"/>
      <c r="K695" s="125"/>
      <c r="L695" s="456"/>
      <c r="M695" s="142"/>
      <c r="N695" s="142"/>
      <c r="O695" s="142"/>
      <c r="P695" s="125"/>
      <c r="Q695" s="450"/>
      <c r="R695" s="142"/>
      <c r="S695" s="142"/>
      <c r="T695" s="142"/>
      <c r="U695" s="140"/>
      <c r="V695" s="456"/>
      <c r="W695" s="142"/>
      <c r="X695" s="142"/>
      <c r="Y695" s="142"/>
      <c r="Z695" s="140"/>
      <c r="AA695" s="456"/>
      <c r="AB695" s="142"/>
      <c r="AC695" s="142"/>
      <c r="AD695" s="142"/>
      <c r="AE695" s="140"/>
      <c r="AF695" s="456"/>
      <c r="AG695" s="142"/>
      <c r="AH695" s="142"/>
      <c r="AI695" s="142"/>
      <c r="AJ695" s="140"/>
      <c r="AK695" s="456"/>
      <c r="AL695" s="142"/>
      <c r="AM695" s="142"/>
      <c r="AN695" s="142"/>
      <c r="AO695" s="438"/>
      <c r="AP695" s="438"/>
      <c r="AQ695" s="438"/>
      <c r="AR695" s="438"/>
      <c r="AS695" s="438"/>
      <c r="AT695" s="438"/>
      <c r="AU695" s="438"/>
      <c r="AV695" s="438"/>
      <c r="AW695" s="438"/>
      <c r="AX695" s="438"/>
      <c r="AY695" s="438"/>
      <c r="AZ695" s="438"/>
      <c r="BA695" s="438"/>
      <c r="BB695" s="438"/>
      <c r="BC695" s="438"/>
      <c r="BD695" s="438"/>
      <c r="BE695" s="438"/>
      <c r="BF695" s="438"/>
      <c r="BG695" s="438"/>
      <c r="BH695" s="438"/>
    </row>
    <row r="696">
      <c r="A696" s="140"/>
      <c r="B696" s="456"/>
      <c r="C696" s="142"/>
      <c r="D696" s="142"/>
      <c r="E696" s="142"/>
      <c r="F696" s="140"/>
      <c r="G696" s="456"/>
      <c r="H696" s="142"/>
      <c r="I696" s="142"/>
      <c r="J696" s="142"/>
      <c r="K696" s="125"/>
      <c r="L696" s="456"/>
      <c r="M696" s="142"/>
      <c r="N696" s="142"/>
      <c r="O696" s="142"/>
      <c r="P696" s="125"/>
      <c r="Q696" s="450"/>
      <c r="R696" s="142"/>
      <c r="S696" s="142"/>
      <c r="T696" s="142"/>
      <c r="U696" s="140"/>
      <c r="V696" s="456"/>
      <c r="W696" s="142"/>
      <c r="X696" s="142"/>
      <c r="Y696" s="142"/>
      <c r="Z696" s="140"/>
      <c r="AA696" s="456"/>
      <c r="AB696" s="142"/>
      <c r="AC696" s="142"/>
      <c r="AD696" s="142"/>
      <c r="AE696" s="140"/>
      <c r="AF696" s="456"/>
      <c r="AG696" s="142"/>
      <c r="AH696" s="142"/>
      <c r="AI696" s="142"/>
      <c r="AJ696" s="140"/>
      <c r="AK696" s="456"/>
      <c r="AL696" s="142"/>
      <c r="AM696" s="142"/>
      <c r="AN696" s="142"/>
      <c r="AO696" s="438"/>
      <c r="AP696" s="438"/>
      <c r="AQ696" s="438"/>
      <c r="AR696" s="438"/>
      <c r="AS696" s="438"/>
      <c r="AT696" s="438"/>
      <c r="AU696" s="438"/>
      <c r="AV696" s="438"/>
      <c r="AW696" s="438"/>
      <c r="AX696" s="438"/>
      <c r="AY696" s="438"/>
      <c r="AZ696" s="438"/>
      <c r="BA696" s="438"/>
      <c r="BB696" s="438"/>
      <c r="BC696" s="438"/>
      <c r="BD696" s="438"/>
      <c r="BE696" s="438"/>
      <c r="BF696" s="438"/>
      <c r="BG696" s="438"/>
      <c r="BH696" s="438"/>
    </row>
    <row r="697">
      <c r="A697" s="140"/>
      <c r="B697" s="456"/>
      <c r="C697" s="142"/>
      <c r="D697" s="142"/>
      <c r="E697" s="142"/>
      <c r="F697" s="140"/>
      <c r="G697" s="456"/>
      <c r="H697" s="142"/>
      <c r="I697" s="142"/>
      <c r="J697" s="142"/>
      <c r="K697" s="125"/>
      <c r="L697" s="456"/>
      <c r="M697" s="142"/>
      <c r="N697" s="142"/>
      <c r="O697" s="142"/>
      <c r="P697" s="125"/>
      <c r="Q697" s="450"/>
      <c r="R697" s="142"/>
      <c r="S697" s="142"/>
      <c r="T697" s="142"/>
      <c r="U697" s="140"/>
      <c r="V697" s="456"/>
      <c r="W697" s="142"/>
      <c r="X697" s="142"/>
      <c r="Y697" s="142"/>
      <c r="Z697" s="140"/>
      <c r="AA697" s="456"/>
      <c r="AB697" s="142"/>
      <c r="AC697" s="142"/>
      <c r="AD697" s="142"/>
      <c r="AE697" s="140"/>
      <c r="AF697" s="456"/>
      <c r="AG697" s="142"/>
      <c r="AH697" s="142"/>
      <c r="AI697" s="142"/>
      <c r="AJ697" s="140"/>
      <c r="AK697" s="456"/>
      <c r="AL697" s="142"/>
      <c r="AM697" s="142"/>
      <c r="AN697" s="142"/>
      <c r="AO697" s="438"/>
      <c r="AP697" s="438"/>
      <c r="AQ697" s="438"/>
      <c r="AR697" s="438"/>
      <c r="AS697" s="438"/>
      <c r="AT697" s="438"/>
      <c r="AU697" s="438"/>
      <c r="AV697" s="438"/>
      <c r="AW697" s="438"/>
      <c r="AX697" s="438"/>
      <c r="AY697" s="438"/>
      <c r="AZ697" s="438"/>
      <c r="BA697" s="438"/>
      <c r="BB697" s="438"/>
      <c r="BC697" s="438"/>
      <c r="BD697" s="438"/>
      <c r="BE697" s="438"/>
      <c r="BF697" s="438"/>
      <c r="BG697" s="438"/>
      <c r="BH697" s="438"/>
    </row>
    <row r="698">
      <c r="A698" s="140"/>
      <c r="B698" s="456"/>
      <c r="C698" s="142"/>
      <c r="D698" s="142"/>
      <c r="E698" s="142"/>
      <c r="F698" s="140"/>
      <c r="G698" s="456"/>
      <c r="H698" s="142"/>
      <c r="I698" s="142"/>
      <c r="J698" s="142"/>
      <c r="K698" s="125"/>
      <c r="L698" s="456"/>
      <c r="M698" s="142"/>
      <c r="N698" s="142"/>
      <c r="O698" s="142"/>
      <c r="P698" s="125"/>
      <c r="Q698" s="450"/>
      <c r="R698" s="142"/>
      <c r="S698" s="142"/>
      <c r="T698" s="142"/>
      <c r="U698" s="140"/>
      <c r="V698" s="456"/>
      <c r="W698" s="142"/>
      <c r="X698" s="142"/>
      <c r="Y698" s="142"/>
      <c r="Z698" s="140"/>
      <c r="AA698" s="456"/>
      <c r="AB698" s="142"/>
      <c r="AC698" s="142"/>
      <c r="AD698" s="142"/>
      <c r="AE698" s="140"/>
      <c r="AF698" s="456"/>
      <c r="AG698" s="142"/>
      <c r="AH698" s="142"/>
      <c r="AI698" s="142"/>
      <c r="AJ698" s="140"/>
      <c r="AK698" s="456"/>
      <c r="AL698" s="142"/>
      <c r="AM698" s="142"/>
      <c r="AN698" s="142"/>
      <c r="AO698" s="438"/>
      <c r="AP698" s="438"/>
      <c r="AQ698" s="438"/>
      <c r="AR698" s="438"/>
      <c r="AS698" s="438"/>
      <c r="AT698" s="438"/>
      <c r="AU698" s="438"/>
      <c r="AV698" s="438"/>
      <c r="AW698" s="438"/>
      <c r="AX698" s="438"/>
      <c r="AY698" s="438"/>
      <c r="AZ698" s="438"/>
      <c r="BA698" s="438"/>
      <c r="BB698" s="438"/>
      <c r="BC698" s="438"/>
      <c r="BD698" s="438"/>
      <c r="BE698" s="438"/>
      <c r="BF698" s="438"/>
      <c r="BG698" s="438"/>
      <c r="BH698" s="438"/>
    </row>
    <row r="699">
      <c r="A699" s="140"/>
      <c r="B699" s="456"/>
      <c r="C699" s="142"/>
      <c r="D699" s="142"/>
      <c r="E699" s="142"/>
      <c r="F699" s="140"/>
      <c r="G699" s="456"/>
      <c r="H699" s="142"/>
      <c r="I699" s="142"/>
      <c r="J699" s="142"/>
      <c r="K699" s="125"/>
      <c r="L699" s="456"/>
      <c r="M699" s="142"/>
      <c r="N699" s="142"/>
      <c r="O699" s="142"/>
      <c r="P699" s="125"/>
      <c r="Q699" s="450"/>
      <c r="R699" s="142"/>
      <c r="S699" s="142"/>
      <c r="T699" s="142"/>
      <c r="U699" s="140"/>
      <c r="V699" s="456"/>
      <c r="W699" s="142"/>
      <c r="X699" s="142"/>
      <c r="Y699" s="142"/>
      <c r="Z699" s="140"/>
      <c r="AA699" s="456"/>
      <c r="AB699" s="142"/>
      <c r="AC699" s="142"/>
      <c r="AD699" s="142"/>
      <c r="AE699" s="140"/>
      <c r="AF699" s="456"/>
      <c r="AG699" s="142"/>
      <c r="AH699" s="142"/>
      <c r="AI699" s="142"/>
      <c r="AJ699" s="140"/>
      <c r="AK699" s="456"/>
      <c r="AL699" s="142"/>
      <c r="AM699" s="142"/>
      <c r="AN699" s="142"/>
      <c r="AO699" s="438"/>
      <c r="AP699" s="438"/>
      <c r="AQ699" s="438"/>
      <c r="AR699" s="438"/>
      <c r="AS699" s="438"/>
      <c r="AT699" s="438"/>
      <c r="AU699" s="438"/>
      <c r="AV699" s="438"/>
      <c r="AW699" s="438"/>
      <c r="AX699" s="438"/>
      <c r="AY699" s="438"/>
      <c r="AZ699" s="438"/>
      <c r="BA699" s="438"/>
      <c r="BB699" s="438"/>
      <c r="BC699" s="438"/>
      <c r="BD699" s="438"/>
      <c r="BE699" s="438"/>
      <c r="BF699" s="438"/>
      <c r="BG699" s="438"/>
      <c r="BH699" s="438"/>
    </row>
    <row r="700">
      <c r="A700" s="140"/>
      <c r="B700" s="456"/>
      <c r="C700" s="142"/>
      <c r="D700" s="142"/>
      <c r="E700" s="142"/>
      <c r="F700" s="140"/>
      <c r="G700" s="456"/>
      <c r="H700" s="142"/>
      <c r="I700" s="142"/>
      <c r="J700" s="142"/>
      <c r="K700" s="125"/>
      <c r="L700" s="456"/>
      <c r="M700" s="142"/>
      <c r="N700" s="142"/>
      <c r="O700" s="142"/>
      <c r="P700" s="125"/>
      <c r="Q700" s="450"/>
      <c r="R700" s="142"/>
      <c r="S700" s="142"/>
      <c r="T700" s="142"/>
      <c r="U700" s="140"/>
      <c r="V700" s="456"/>
      <c r="W700" s="142"/>
      <c r="X700" s="142"/>
      <c r="Y700" s="142"/>
      <c r="Z700" s="140"/>
      <c r="AA700" s="456"/>
      <c r="AB700" s="142"/>
      <c r="AC700" s="142"/>
      <c r="AD700" s="142"/>
      <c r="AE700" s="140"/>
      <c r="AF700" s="456"/>
      <c r="AG700" s="142"/>
      <c r="AH700" s="142"/>
      <c r="AI700" s="142"/>
      <c r="AJ700" s="140"/>
      <c r="AK700" s="456"/>
      <c r="AL700" s="142"/>
      <c r="AM700" s="142"/>
      <c r="AN700" s="142"/>
      <c r="AO700" s="438"/>
      <c r="AP700" s="438"/>
      <c r="AQ700" s="438"/>
      <c r="AR700" s="438"/>
      <c r="AS700" s="438"/>
      <c r="AT700" s="438"/>
      <c r="AU700" s="438"/>
      <c r="AV700" s="438"/>
      <c r="AW700" s="438"/>
      <c r="AX700" s="438"/>
      <c r="AY700" s="438"/>
      <c r="AZ700" s="438"/>
      <c r="BA700" s="438"/>
      <c r="BB700" s="438"/>
      <c r="BC700" s="438"/>
      <c r="BD700" s="438"/>
      <c r="BE700" s="438"/>
      <c r="BF700" s="438"/>
      <c r="BG700" s="438"/>
      <c r="BH700" s="438"/>
    </row>
    <row r="701">
      <c r="A701" s="140"/>
      <c r="B701" s="456"/>
      <c r="C701" s="142"/>
      <c r="D701" s="142"/>
      <c r="E701" s="142"/>
      <c r="F701" s="140"/>
      <c r="G701" s="456"/>
      <c r="H701" s="142"/>
      <c r="I701" s="142"/>
      <c r="J701" s="142"/>
      <c r="K701" s="125"/>
      <c r="L701" s="456"/>
      <c r="M701" s="142"/>
      <c r="N701" s="142"/>
      <c r="O701" s="142"/>
      <c r="P701" s="125"/>
      <c r="Q701" s="450"/>
      <c r="R701" s="142"/>
      <c r="S701" s="142"/>
      <c r="T701" s="142"/>
      <c r="U701" s="140"/>
      <c r="V701" s="456"/>
      <c r="W701" s="142"/>
      <c r="X701" s="142"/>
      <c r="Y701" s="142"/>
      <c r="Z701" s="140"/>
      <c r="AA701" s="456"/>
      <c r="AB701" s="142"/>
      <c r="AC701" s="142"/>
      <c r="AD701" s="142"/>
      <c r="AE701" s="140"/>
      <c r="AF701" s="456"/>
      <c r="AG701" s="142"/>
      <c r="AH701" s="142"/>
      <c r="AI701" s="142"/>
      <c r="AJ701" s="140"/>
      <c r="AK701" s="456"/>
      <c r="AL701" s="142"/>
      <c r="AM701" s="142"/>
      <c r="AN701" s="142"/>
      <c r="AO701" s="438"/>
      <c r="AP701" s="438"/>
      <c r="AQ701" s="438"/>
      <c r="AR701" s="438"/>
      <c r="AS701" s="438"/>
      <c r="AT701" s="438"/>
      <c r="AU701" s="438"/>
      <c r="AV701" s="438"/>
      <c r="AW701" s="438"/>
      <c r="AX701" s="438"/>
      <c r="AY701" s="438"/>
      <c r="AZ701" s="438"/>
      <c r="BA701" s="438"/>
      <c r="BB701" s="438"/>
      <c r="BC701" s="438"/>
      <c r="BD701" s="438"/>
      <c r="BE701" s="438"/>
      <c r="BF701" s="438"/>
      <c r="BG701" s="438"/>
      <c r="BH701" s="438"/>
    </row>
    <row r="702">
      <c r="A702" s="140"/>
      <c r="B702" s="456"/>
      <c r="C702" s="142"/>
      <c r="D702" s="142"/>
      <c r="E702" s="142"/>
      <c r="F702" s="140"/>
      <c r="G702" s="456"/>
      <c r="H702" s="142"/>
      <c r="I702" s="142"/>
      <c r="J702" s="142"/>
      <c r="K702" s="125"/>
      <c r="L702" s="456"/>
      <c r="M702" s="142"/>
      <c r="N702" s="142"/>
      <c r="O702" s="142"/>
      <c r="P702" s="125"/>
      <c r="Q702" s="450"/>
      <c r="R702" s="142"/>
      <c r="S702" s="142"/>
      <c r="T702" s="142"/>
      <c r="U702" s="140"/>
      <c r="V702" s="456"/>
      <c r="W702" s="142"/>
      <c r="X702" s="142"/>
      <c r="Y702" s="142"/>
      <c r="Z702" s="140"/>
      <c r="AA702" s="456"/>
      <c r="AB702" s="142"/>
      <c r="AC702" s="142"/>
      <c r="AD702" s="142"/>
      <c r="AE702" s="140"/>
      <c r="AF702" s="456"/>
      <c r="AG702" s="142"/>
      <c r="AH702" s="142"/>
      <c r="AI702" s="142"/>
      <c r="AJ702" s="140"/>
      <c r="AK702" s="456"/>
      <c r="AL702" s="142"/>
      <c r="AM702" s="142"/>
      <c r="AN702" s="142"/>
      <c r="AO702" s="438"/>
      <c r="AP702" s="438"/>
      <c r="AQ702" s="438"/>
      <c r="AR702" s="438"/>
      <c r="AS702" s="438"/>
      <c r="AT702" s="438"/>
      <c r="AU702" s="438"/>
      <c r="AV702" s="438"/>
      <c r="AW702" s="438"/>
      <c r="AX702" s="438"/>
      <c r="AY702" s="438"/>
      <c r="AZ702" s="438"/>
      <c r="BA702" s="438"/>
      <c r="BB702" s="438"/>
      <c r="BC702" s="438"/>
      <c r="BD702" s="438"/>
      <c r="BE702" s="438"/>
      <c r="BF702" s="438"/>
      <c r="BG702" s="438"/>
      <c r="BH702" s="438"/>
    </row>
    <row r="703">
      <c r="A703" s="140"/>
      <c r="B703" s="456"/>
      <c r="C703" s="142"/>
      <c r="D703" s="142"/>
      <c r="E703" s="142"/>
      <c r="F703" s="140"/>
      <c r="G703" s="456"/>
      <c r="H703" s="142"/>
      <c r="I703" s="142"/>
      <c r="J703" s="142"/>
      <c r="K703" s="125"/>
      <c r="L703" s="456"/>
      <c r="M703" s="142"/>
      <c r="N703" s="142"/>
      <c r="O703" s="142"/>
      <c r="P703" s="125"/>
      <c r="Q703" s="450"/>
      <c r="R703" s="142"/>
      <c r="S703" s="142"/>
      <c r="T703" s="142"/>
      <c r="U703" s="140"/>
      <c r="V703" s="456"/>
      <c r="W703" s="142"/>
      <c r="X703" s="142"/>
      <c r="Y703" s="142"/>
      <c r="Z703" s="140"/>
      <c r="AA703" s="456"/>
      <c r="AB703" s="142"/>
      <c r="AC703" s="142"/>
      <c r="AD703" s="142"/>
      <c r="AE703" s="140"/>
      <c r="AF703" s="456"/>
      <c r="AG703" s="142"/>
      <c r="AH703" s="142"/>
      <c r="AI703" s="142"/>
      <c r="AJ703" s="140"/>
      <c r="AK703" s="456"/>
      <c r="AL703" s="142"/>
      <c r="AM703" s="142"/>
      <c r="AN703" s="142"/>
      <c r="AO703" s="438"/>
      <c r="AP703" s="438"/>
      <c r="AQ703" s="438"/>
      <c r="AR703" s="438"/>
      <c r="AS703" s="438"/>
      <c r="AT703" s="438"/>
      <c r="AU703" s="438"/>
      <c r="AV703" s="438"/>
      <c r="AW703" s="438"/>
      <c r="AX703" s="438"/>
      <c r="AY703" s="438"/>
      <c r="AZ703" s="438"/>
      <c r="BA703" s="438"/>
      <c r="BB703" s="438"/>
      <c r="BC703" s="438"/>
      <c r="BD703" s="438"/>
      <c r="BE703" s="438"/>
      <c r="BF703" s="438"/>
      <c r="BG703" s="438"/>
      <c r="BH703" s="438"/>
    </row>
    <row r="704">
      <c r="A704" s="140"/>
      <c r="B704" s="456"/>
      <c r="C704" s="142"/>
      <c r="D704" s="142"/>
      <c r="E704" s="142"/>
      <c r="F704" s="140"/>
      <c r="G704" s="456"/>
      <c r="H704" s="142"/>
      <c r="I704" s="142"/>
      <c r="J704" s="142"/>
      <c r="K704" s="125"/>
      <c r="L704" s="456"/>
      <c r="M704" s="142"/>
      <c r="N704" s="142"/>
      <c r="O704" s="142"/>
      <c r="P704" s="125"/>
      <c r="Q704" s="450"/>
      <c r="R704" s="142"/>
      <c r="S704" s="142"/>
      <c r="T704" s="142"/>
      <c r="U704" s="140"/>
      <c r="V704" s="456"/>
      <c r="W704" s="142"/>
      <c r="X704" s="142"/>
      <c r="Y704" s="142"/>
      <c r="Z704" s="140"/>
      <c r="AA704" s="456"/>
      <c r="AB704" s="142"/>
      <c r="AC704" s="142"/>
      <c r="AD704" s="142"/>
      <c r="AE704" s="140"/>
      <c r="AF704" s="456"/>
      <c r="AG704" s="142"/>
      <c r="AH704" s="142"/>
      <c r="AI704" s="142"/>
      <c r="AJ704" s="140"/>
      <c r="AK704" s="456"/>
      <c r="AL704" s="142"/>
      <c r="AM704" s="142"/>
      <c r="AN704" s="142"/>
      <c r="AO704" s="438"/>
      <c r="AP704" s="438"/>
      <c r="AQ704" s="438"/>
      <c r="AR704" s="438"/>
      <c r="AS704" s="438"/>
      <c r="AT704" s="438"/>
      <c r="AU704" s="438"/>
      <c r="AV704" s="438"/>
      <c r="AW704" s="438"/>
      <c r="AX704" s="438"/>
      <c r="AY704" s="438"/>
      <c r="AZ704" s="438"/>
      <c r="BA704" s="438"/>
      <c r="BB704" s="438"/>
      <c r="BC704" s="438"/>
      <c r="BD704" s="438"/>
      <c r="BE704" s="438"/>
      <c r="BF704" s="438"/>
      <c r="BG704" s="438"/>
      <c r="BH704" s="438"/>
    </row>
    <row r="705">
      <c r="A705" s="140"/>
      <c r="B705" s="456"/>
      <c r="C705" s="142"/>
      <c r="D705" s="142"/>
      <c r="E705" s="142"/>
      <c r="F705" s="140"/>
      <c r="G705" s="456"/>
      <c r="H705" s="142"/>
      <c r="I705" s="142"/>
      <c r="J705" s="142"/>
      <c r="K705" s="125"/>
      <c r="L705" s="456"/>
      <c r="M705" s="142"/>
      <c r="N705" s="142"/>
      <c r="O705" s="142"/>
      <c r="P705" s="125"/>
      <c r="Q705" s="450"/>
      <c r="R705" s="142"/>
      <c r="S705" s="142"/>
      <c r="T705" s="142"/>
      <c r="U705" s="140"/>
      <c r="V705" s="456"/>
      <c r="W705" s="142"/>
      <c r="X705" s="142"/>
      <c r="Y705" s="142"/>
      <c r="Z705" s="140"/>
      <c r="AA705" s="456"/>
      <c r="AB705" s="142"/>
      <c r="AC705" s="142"/>
      <c r="AD705" s="142"/>
      <c r="AE705" s="140"/>
      <c r="AF705" s="456"/>
      <c r="AG705" s="142"/>
      <c r="AH705" s="142"/>
      <c r="AI705" s="142"/>
      <c r="AJ705" s="140"/>
      <c r="AK705" s="456"/>
      <c r="AL705" s="142"/>
      <c r="AM705" s="142"/>
      <c r="AN705" s="142"/>
      <c r="AO705" s="438"/>
      <c r="AP705" s="438"/>
      <c r="AQ705" s="438"/>
      <c r="AR705" s="438"/>
      <c r="AS705" s="438"/>
      <c r="AT705" s="438"/>
      <c r="AU705" s="438"/>
      <c r="AV705" s="438"/>
      <c r="AW705" s="438"/>
      <c r="AX705" s="438"/>
      <c r="AY705" s="438"/>
      <c r="AZ705" s="438"/>
      <c r="BA705" s="438"/>
      <c r="BB705" s="438"/>
      <c r="BC705" s="438"/>
      <c r="BD705" s="438"/>
      <c r="BE705" s="438"/>
      <c r="BF705" s="438"/>
      <c r="BG705" s="438"/>
      <c r="BH705" s="438"/>
    </row>
    <row r="706">
      <c r="A706" s="140"/>
      <c r="B706" s="456"/>
      <c r="C706" s="142"/>
      <c r="D706" s="142"/>
      <c r="E706" s="142"/>
      <c r="F706" s="140"/>
      <c r="G706" s="456"/>
      <c r="H706" s="142"/>
      <c r="I706" s="142"/>
      <c r="J706" s="142"/>
      <c r="K706" s="125"/>
      <c r="L706" s="456"/>
      <c r="M706" s="142"/>
      <c r="N706" s="142"/>
      <c r="O706" s="142"/>
      <c r="P706" s="125"/>
      <c r="Q706" s="450"/>
      <c r="R706" s="142"/>
      <c r="S706" s="142"/>
      <c r="T706" s="142"/>
      <c r="U706" s="140"/>
      <c r="V706" s="456"/>
      <c r="W706" s="142"/>
      <c r="X706" s="142"/>
      <c r="Y706" s="142"/>
      <c r="Z706" s="140"/>
      <c r="AA706" s="456"/>
      <c r="AB706" s="142"/>
      <c r="AC706" s="142"/>
      <c r="AD706" s="142"/>
      <c r="AE706" s="140"/>
      <c r="AF706" s="456"/>
      <c r="AG706" s="142"/>
      <c r="AH706" s="142"/>
      <c r="AI706" s="142"/>
      <c r="AJ706" s="140"/>
      <c r="AK706" s="456"/>
      <c r="AL706" s="142"/>
      <c r="AM706" s="142"/>
      <c r="AN706" s="142"/>
      <c r="AO706" s="438"/>
      <c r="AP706" s="438"/>
      <c r="AQ706" s="438"/>
      <c r="AR706" s="438"/>
      <c r="AS706" s="438"/>
      <c r="AT706" s="438"/>
      <c r="AU706" s="438"/>
      <c r="AV706" s="438"/>
      <c r="AW706" s="438"/>
      <c r="AX706" s="438"/>
      <c r="AY706" s="438"/>
      <c r="AZ706" s="438"/>
      <c r="BA706" s="438"/>
      <c r="BB706" s="438"/>
      <c r="BC706" s="438"/>
      <c r="BD706" s="438"/>
      <c r="BE706" s="438"/>
      <c r="BF706" s="438"/>
      <c r="BG706" s="438"/>
      <c r="BH706" s="438"/>
    </row>
    <row r="707">
      <c r="A707" s="140"/>
      <c r="B707" s="456"/>
      <c r="C707" s="142"/>
      <c r="D707" s="142"/>
      <c r="E707" s="142"/>
      <c r="F707" s="140"/>
      <c r="G707" s="456"/>
      <c r="H707" s="142"/>
      <c r="I707" s="142"/>
      <c r="J707" s="142"/>
      <c r="K707" s="125"/>
      <c r="L707" s="456"/>
      <c r="M707" s="142"/>
      <c r="N707" s="142"/>
      <c r="O707" s="142"/>
      <c r="P707" s="125"/>
      <c r="Q707" s="450"/>
      <c r="R707" s="142"/>
      <c r="S707" s="142"/>
      <c r="T707" s="142"/>
      <c r="U707" s="140"/>
      <c r="V707" s="456"/>
      <c r="W707" s="142"/>
      <c r="X707" s="142"/>
      <c r="Y707" s="142"/>
      <c r="Z707" s="140"/>
      <c r="AA707" s="456"/>
      <c r="AB707" s="142"/>
      <c r="AC707" s="142"/>
      <c r="AD707" s="142"/>
      <c r="AE707" s="140"/>
      <c r="AF707" s="456"/>
      <c r="AG707" s="142"/>
      <c r="AH707" s="142"/>
      <c r="AI707" s="142"/>
      <c r="AJ707" s="140"/>
      <c r="AK707" s="456"/>
      <c r="AL707" s="142"/>
      <c r="AM707" s="142"/>
      <c r="AN707" s="142"/>
      <c r="AO707" s="438"/>
      <c r="AP707" s="438"/>
      <c r="AQ707" s="438"/>
      <c r="AR707" s="438"/>
      <c r="AS707" s="438"/>
      <c r="AT707" s="438"/>
      <c r="AU707" s="438"/>
      <c r="AV707" s="438"/>
      <c r="AW707" s="438"/>
      <c r="AX707" s="438"/>
      <c r="AY707" s="438"/>
      <c r="AZ707" s="438"/>
      <c r="BA707" s="438"/>
      <c r="BB707" s="438"/>
      <c r="BC707" s="438"/>
      <c r="BD707" s="438"/>
      <c r="BE707" s="438"/>
      <c r="BF707" s="438"/>
      <c r="BG707" s="438"/>
      <c r="BH707" s="438"/>
    </row>
    <row r="708">
      <c r="A708" s="140"/>
      <c r="B708" s="456"/>
      <c r="C708" s="142"/>
      <c r="D708" s="142"/>
      <c r="E708" s="142"/>
      <c r="F708" s="140"/>
      <c r="G708" s="456"/>
      <c r="H708" s="142"/>
      <c r="I708" s="142"/>
      <c r="J708" s="142"/>
      <c r="K708" s="125"/>
      <c r="L708" s="456"/>
      <c r="M708" s="142"/>
      <c r="N708" s="142"/>
      <c r="O708" s="142"/>
      <c r="P708" s="125"/>
      <c r="Q708" s="450"/>
      <c r="R708" s="142"/>
      <c r="S708" s="142"/>
      <c r="T708" s="142"/>
      <c r="U708" s="140"/>
      <c r="V708" s="456"/>
      <c r="W708" s="142"/>
      <c r="X708" s="142"/>
      <c r="Y708" s="142"/>
      <c r="Z708" s="140"/>
      <c r="AA708" s="456"/>
      <c r="AB708" s="142"/>
      <c r="AC708" s="142"/>
      <c r="AD708" s="142"/>
      <c r="AE708" s="140"/>
      <c r="AF708" s="456"/>
      <c r="AG708" s="142"/>
      <c r="AH708" s="142"/>
      <c r="AI708" s="142"/>
      <c r="AJ708" s="140"/>
      <c r="AK708" s="456"/>
      <c r="AL708" s="142"/>
      <c r="AM708" s="142"/>
      <c r="AN708" s="142"/>
      <c r="AO708" s="438"/>
      <c r="AP708" s="438"/>
      <c r="AQ708" s="438"/>
      <c r="AR708" s="438"/>
      <c r="AS708" s="438"/>
      <c r="AT708" s="438"/>
      <c r="AU708" s="438"/>
      <c r="AV708" s="438"/>
      <c r="AW708" s="438"/>
      <c r="AX708" s="438"/>
      <c r="AY708" s="438"/>
      <c r="AZ708" s="438"/>
      <c r="BA708" s="438"/>
      <c r="BB708" s="438"/>
      <c r="BC708" s="438"/>
      <c r="BD708" s="438"/>
      <c r="BE708" s="438"/>
      <c r="BF708" s="438"/>
      <c r="BG708" s="438"/>
      <c r="BH708" s="438"/>
    </row>
    <row r="709">
      <c r="A709" s="140"/>
      <c r="B709" s="456"/>
      <c r="C709" s="142"/>
      <c r="D709" s="142"/>
      <c r="E709" s="142"/>
      <c r="F709" s="140"/>
      <c r="G709" s="456"/>
      <c r="H709" s="142"/>
      <c r="I709" s="142"/>
      <c r="J709" s="142"/>
      <c r="K709" s="125"/>
      <c r="L709" s="456"/>
      <c r="M709" s="142"/>
      <c r="N709" s="142"/>
      <c r="O709" s="142"/>
      <c r="P709" s="125"/>
      <c r="Q709" s="450"/>
      <c r="R709" s="142"/>
      <c r="S709" s="142"/>
      <c r="T709" s="142"/>
      <c r="U709" s="140"/>
      <c r="V709" s="456"/>
      <c r="W709" s="142"/>
      <c r="X709" s="142"/>
      <c r="Y709" s="142"/>
      <c r="Z709" s="140"/>
      <c r="AA709" s="456"/>
      <c r="AB709" s="142"/>
      <c r="AC709" s="142"/>
      <c r="AD709" s="142"/>
      <c r="AE709" s="140"/>
      <c r="AF709" s="456"/>
      <c r="AG709" s="142"/>
      <c r="AH709" s="142"/>
      <c r="AI709" s="142"/>
      <c r="AJ709" s="140"/>
      <c r="AK709" s="456"/>
      <c r="AL709" s="142"/>
      <c r="AM709" s="142"/>
      <c r="AN709" s="142"/>
      <c r="AO709" s="438"/>
      <c r="AP709" s="438"/>
      <c r="AQ709" s="438"/>
      <c r="AR709" s="438"/>
      <c r="AS709" s="438"/>
      <c r="AT709" s="438"/>
      <c r="AU709" s="438"/>
      <c r="AV709" s="438"/>
      <c r="AW709" s="438"/>
      <c r="AX709" s="438"/>
      <c r="AY709" s="438"/>
      <c r="AZ709" s="438"/>
      <c r="BA709" s="438"/>
      <c r="BB709" s="438"/>
      <c r="BC709" s="438"/>
      <c r="BD709" s="438"/>
      <c r="BE709" s="438"/>
      <c r="BF709" s="438"/>
      <c r="BG709" s="438"/>
      <c r="BH709" s="438"/>
    </row>
    <row r="710">
      <c r="A710" s="140"/>
      <c r="B710" s="456"/>
      <c r="C710" s="142"/>
      <c r="D710" s="142"/>
      <c r="E710" s="142"/>
      <c r="F710" s="140"/>
      <c r="G710" s="456"/>
      <c r="H710" s="142"/>
      <c r="I710" s="142"/>
      <c r="J710" s="142"/>
      <c r="K710" s="125"/>
      <c r="L710" s="456"/>
      <c r="M710" s="142"/>
      <c r="N710" s="142"/>
      <c r="O710" s="142"/>
      <c r="P710" s="125"/>
      <c r="Q710" s="450"/>
      <c r="R710" s="142"/>
      <c r="S710" s="142"/>
      <c r="T710" s="142"/>
      <c r="U710" s="140"/>
      <c r="V710" s="456"/>
      <c r="W710" s="142"/>
      <c r="X710" s="142"/>
      <c r="Y710" s="142"/>
      <c r="Z710" s="140"/>
      <c r="AA710" s="456"/>
      <c r="AB710" s="142"/>
      <c r="AC710" s="142"/>
      <c r="AD710" s="142"/>
      <c r="AE710" s="140"/>
      <c r="AF710" s="456"/>
      <c r="AG710" s="142"/>
      <c r="AH710" s="142"/>
      <c r="AI710" s="142"/>
      <c r="AJ710" s="140"/>
      <c r="AK710" s="456"/>
      <c r="AL710" s="142"/>
      <c r="AM710" s="142"/>
      <c r="AN710" s="142"/>
      <c r="AO710" s="438"/>
      <c r="AP710" s="438"/>
      <c r="AQ710" s="438"/>
      <c r="AR710" s="438"/>
      <c r="AS710" s="438"/>
      <c r="AT710" s="438"/>
      <c r="AU710" s="438"/>
      <c r="AV710" s="438"/>
      <c r="AW710" s="438"/>
      <c r="AX710" s="438"/>
      <c r="AY710" s="438"/>
      <c r="AZ710" s="438"/>
      <c r="BA710" s="438"/>
      <c r="BB710" s="438"/>
      <c r="BC710" s="438"/>
      <c r="BD710" s="438"/>
      <c r="BE710" s="438"/>
      <c r="BF710" s="438"/>
      <c r="BG710" s="438"/>
      <c r="BH710" s="438"/>
    </row>
    <row r="711">
      <c r="A711" s="140"/>
      <c r="B711" s="456"/>
      <c r="C711" s="142"/>
      <c r="D711" s="142"/>
      <c r="E711" s="142"/>
      <c r="F711" s="140"/>
      <c r="G711" s="456"/>
      <c r="H711" s="142"/>
      <c r="I711" s="142"/>
      <c r="J711" s="142"/>
      <c r="K711" s="125"/>
      <c r="L711" s="456"/>
      <c r="M711" s="142"/>
      <c r="N711" s="142"/>
      <c r="O711" s="142"/>
      <c r="P711" s="125"/>
      <c r="Q711" s="450"/>
      <c r="R711" s="142"/>
      <c r="S711" s="142"/>
      <c r="T711" s="142"/>
      <c r="U711" s="140"/>
      <c r="V711" s="456"/>
      <c r="W711" s="142"/>
      <c r="X711" s="142"/>
      <c r="Y711" s="142"/>
      <c r="Z711" s="140"/>
      <c r="AA711" s="456"/>
      <c r="AB711" s="142"/>
      <c r="AC711" s="142"/>
      <c r="AD711" s="142"/>
      <c r="AE711" s="140"/>
      <c r="AF711" s="456"/>
      <c r="AG711" s="142"/>
      <c r="AH711" s="142"/>
      <c r="AI711" s="142"/>
      <c r="AJ711" s="140"/>
      <c r="AK711" s="456"/>
      <c r="AL711" s="142"/>
      <c r="AM711" s="142"/>
      <c r="AN711" s="142"/>
      <c r="AO711" s="438"/>
      <c r="AP711" s="438"/>
      <c r="AQ711" s="438"/>
      <c r="AR711" s="438"/>
      <c r="AS711" s="438"/>
      <c r="AT711" s="438"/>
      <c r="AU711" s="438"/>
      <c r="AV711" s="438"/>
      <c r="AW711" s="438"/>
      <c r="AX711" s="438"/>
      <c r="AY711" s="438"/>
      <c r="AZ711" s="438"/>
      <c r="BA711" s="438"/>
      <c r="BB711" s="438"/>
      <c r="BC711" s="438"/>
      <c r="BD711" s="438"/>
      <c r="BE711" s="438"/>
      <c r="BF711" s="438"/>
      <c r="BG711" s="438"/>
      <c r="BH711" s="438"/>
    </row>
    <row r="712">
      <c r="A712" s="140"/>
      <c r="B712" s="456"/>
      <c r="C712" s="142"/>
      <c r="D712" s="142"/>
      <c r="E712" s="142"/>
      <c r="F712" s="140"/>
      <c r="G712" s="456"/>
      <c r="H712" s="142"/>
      <c r="I712" s="142"/>
      <c r="J712" s="142"/>
      <c r="K712" s="125"/>
      <c r="L712" s="456"/>
      <c r="M712" s="142"/>
      <c r="N712" s="142"/>
      <c r="O712" s="142"/>
      <c r="P712" s="125"/>
      <c r="Q712" s="450"/>
      <c r="R712" s="142"/>
      <c r="S712" s="142"/>
      <c r="T712" s="142"/>
      <c r="U712" s="140"/>
      <c r="V712" s="456"/>
      <c r="W712" s="142"/>
      <c r="X712" s="142"/>
      <c r="Y712" s="142"/>
      <c r="Z712" s="140"/>
      <c r="AA712" s="456"/>
      <c r="AB712" s="142"/>
      <c r="AC712" s="142"/>
      <c r="AD712" s="142"/>
      <c r="AE712" s="140"/>
      <c r="AF712" s="456"/>
      <c r="AG712" s="142"/>
      <c r="AH712" s="142"/>
      <c r="AI712" s="142"/>
      <c r="AJ712" s="140"/>
      <c r="AK712" s="456"/>
      <c r="AL712" s="142"/>
      <c r="AM712" s="142"/>
      <c r="AN712" s="142"/>
      <c r="AO712" s="438"/>
      <c r="AP712" s="438"/>
      <c r="AQ712" s="438"/>
      <c r="AR712" s="438"/>
      <c r="AS712" s="438"/>
      <c r="AT712" s="438"/>
      <c r="AU712" s="438"/>
      <c r="AV712" s="438"/>
      <c r="AW712" s="438"/>
      <c r="AX712" s="438"/>
      <c r="AY712" s="438"/>
      <c r="AZ712" s="438"/>
      <c r="BA712" s="438"/>
      <c r="BB712" s="438"/>
      <c r="BC712" s="438"/>
      <c r="BD712" s="438"/>
      <c r="BE712" s="438"/>
      <c r="BF712" s="438"/>
      <c r="BG712" s="438"/>
      <c r="BH712" s="438"/>
    </row>
    <row r="713">
      <c r="A713" s="140"/>
      <c r="B713" s="456"/>
      <c r="C713" s="142"/>
      <c r="D713" s="142"/>
      <c r="E713" s="142"/>
      <c r="F713" s="140"/>
      <c r="G713" s="456"/>
      <c r="H713" s="142"/>
      <c r="I713" s="142"/>
      <c r="J713" s="142"/>
      <c r="K713" s="125"/>
      <c r="L713" s="456"/>
      <c r="M713" s="142"/>
      <c r="N713" s="142"/>
      <c r="O713" s="142"/>
      <c r="P713" s="125"/>
      <c r="Q713" s="450"/>
      <c r="R713" s="142"/>
      <c r="S713" s="142"/>
      <c r="T713" s="142"/>
      <c r="U713" s="140"/>
      <c r="V713" s="456"/>
      <c r="W713" s="142"/>
      <c r="X713" s="142"/>
      <c r="Y713" s="142"/>
      <c r="Z713" s="140"/>
      <c r="AA713" s="456"/>
      <c r="AB713" s="142"/>
      <c r="AC713" s="142"/>
      <c r="AD713" s="142"/>
      <c r="AE713" s="140"/>
      <c r="AF713" s="456"/>
      <c r="AG713" s="142"/>
      <c r="AH713" s="142"/>
      <c r="AI713" s="142"/>
      <c r="AJ713" s="140"/>
      <c r="AK713" s="456"/>
      <c r="AL713" s="142"/>
      <c r="AM713" s="142"/>
      <c r="AN713" s="142"/>
      <c r="AO713" s="438"/>
      <c r="AP713" s="438"/>
      <c r="AQ713" s="438"/>
      <c r="AR713" s="438"/>
      <c r="AS713" s="438"/>
      <c r="AT713" s="438"/>
      <c r="AU713" s="438"/>
      <c r="AV713" s="438"/>
      <c r="AW713" s="438"/>
      <c r="AX713" s="438"/>
      <c r="AY713" s="438"/>
      <c r="AZ713" s="438"/>
      <c r="BA713" s="438"/>
      <c r="BB713" s="438"/>
      <c r="BC713" s="438"/>
      <c r="BD713" s="438"/>
      <c r="BE713" s="438"/>
      <c r="BF713" s="438"/>
      <c r="BG713" s="438"/>
      <c r="BH713" s="438"/>
    </row>
    <row r="714">
      <c r="A714" s="140"/>
      <c r="B714" s="456"/>
      <c r="C714" s="142"/>
      <c r="D714" s="142"/>
      <c r="E714" s="142"/>
      <c r="F714" s="140"/>
      <c r="G714" s="456"/>
      <c r="H714" s="142"/>
      <c r="I714" s="142"/>
      <c r="J714" s="142"/>
      <c r="K714" s="125"/>
      <c r="L714" s="456"/>
      <c r="M714" s="142"/>
      <c r="N714" s="142"/>
      <c r="O714" s="142"/>
      <c r="P714" s="125"/>
      <c r="Q714" s="450"/>
      <c r="R714" s="142"/>
      <c r="S714" s="142"/>
      <c r="T714" s="142"/>
      <c r="U714" s="140"/>
      <c r="V714" s="456"/>
      <c r="W714" s="142"/>
      <c r="X714" s="142"/>
      <c r="Y714" s="142"/>
      <c r="Z714" s="140"/>
      <c r="AA714" s="456"/>
      <c r="AB714" s="142"/>
      <c r="AC714" s="142"/>
      <c r="AD714" s="142"/>
      <c r="AE714" s="140"/>
      <c r="AF714" s="456"/>
      <c r="AG714" s="142"/>
      <c r="AH714" s="142"/>
      <c r="AI714" s="142"/>
      <c r="AJ714" s="140"/>
      <c r="AK714" s="456"/>
      <c r="AL714" s="142"/>
      <c r="AM714" s="142"/>
      <c r="AN714" s="142"/>
      <c r="AO714" s="438"/>
      <c r="AP714" s="438"/>
      <c r="AQ714" s="438"/>
      <c r="AR714" s="438"/>
      <c r="AS714" s="438"/>
      <c r="AT714" s="438"/>
      <c r="AU714" s="438"/>
      <c r="AV714" s="438"/>
      <c r="AW714" s="438"/>
      <c r="AX714" s="438"/>
      <c r="AY714" s="438"/>
      <c r="AZ714" s="438"/>
      <c r="BA714" s="438"/>
      <c r="BB714" s="438"/>
      <c r="BC714" s="438"/>
      <c r="BD714" s="438"/>
      <c r="BE714" s="438"/>
      <c r="BF714" s="438"/>
      <c r="BG714" s="438"/>
      <c r="BH714" s="438"/>
    </row>
    <row r="715">
      <c r="A715" s="140"/>
      <c r="B715" s="456"/>
      <c r="C715" s="142"/>
      <c r="D715" s="142"/>
      <c r="E715" s="142"/>
      <c r="F715" s="140"/>
      <c r="G715" s="456"/>
      <c r="H715" s="142"/>
      <c r="I715" s="142"/>
      <c r="J715" s="142"/>
      <c r="K715" s="125"/>
      <c r="L715" s="456"/>
      <c r="M715" s="142"/>
      <c r="N715" s="142"/>
      <c r="O715" s="142"/>
      <c r="P715" s="125"/>
      <c r="Q715" s="450"/>
      <c r="R715" s="142"/>
      <c r="S715" s="142"/>
      <c r="T715" s="142"/>
      <c r="U715" s="140"/>
      <c r="V715" s="456"/>
      <c r="W715" s="142"/>
      <c r="X715" s="142"/>
      <c r="Y715" s="142"/>
      <c r="Z715" s="140"/>
      <c r="AA715" s="456"/>
      <c r="AB715" s="142"/>
      <c r="AC715" s="142"/>
      <c r="AD715" s="142"/>
      <c r="AE715" s="140"/>
      <c r="AF715" s="456"/>
      <c r="AG715" s="142"/>
      <c r="AH715" s="142"/>
      <c r="AI715" s="142"/>
      <c r="AJ715" s="140"/>
      <c r="AK715" s="456"/>
      <c r="AL715" s="142"/>
      <c r="AM715" s="142"/>
      <c r="AN715" s="142"/>
      <c r="AO715" s="438"/>
      <c r="AP715" s="438"/>
      <c r="AQ715" s="438"/>
      <c r="AR715" s="438"/>
      <c r="AS715" s="438"/>
      <c r="AT715" s="438"/>
      <c r="AU715" s="438"/>
      <c r="AV715" s="438"/>
      <c r="AW715" s="438"/>
      <c r="AX715" s="438"/>
      <c r="AY715" s="438"/>
      <c r="AZ715" s="438"/>
      <c r="BA715" s="438"/>
      <c r="BB715" s="438"/>
      <c r="BC715" s="438"/>
      <c r="BD715" s="438"/>
      <c r="BE715" s="438"/>
      <c r="BF715" s="438"/>
      <c r="BG715" s="438"/>
      <c r="BH715" s="438"/>
    </row>
    <row r="716">
      <c r="A716" s="140"/>
      <c r="B716" s="456"/>
      <c r="C716" s="142"/>
      <c r="D716" s="142"/>
      <c r="E716" s="142"/>
      <c r="F716" s="140"/>
      <c r="G716" s="456"/>
      <c r="H716" s="142"/>
      <c r="I716" s="142"/>
      <c r="J716" s="142"/>
      <c r="K716" s="125"/>
      <c r="L716" s="456"/>
      <c r="M716" s="142"/>
      <c r="N716" s="142"/>
      <c r="O716" s="142"/>
      <c r="P716" s="125"/>
      <c r="Q716" s="450"/>
      <c r="R716" s="142"/>
      <c r="S716" s="142"/>
      <c r="T716" s="142"/>
      <c r="U716" s="140"/>
      <c r="V716" s="456"/>
      <c r="W716" s="142"/>
      <c r="X716" s="142"/>
      <c r="Y716" s="142"/>
      <c r="Z716" s="140"/>
      <c r="AA716" s="456"/>
      <c r="AB716" s="142"/>
      <c r="AC716" s="142"/>
      <c r="AD716" s="142"/>
      <c r="AE716" s="140"/>
      <c r="AF716" s="456"/>
      <c r="AG716" s="142"/>
      <c r="AH716" s="142"/>
      <c r="AI716" s="142"/>
      <c r="AJ716" s="140"/>
      <c r="AK716" s="456"/>
      <c r="AL716" s="142"/>
      <c r="AM716" s="142"/>
      <c r="AN716" s="142"/>
      <c r="AO716" s="438"/>
      <c r="AP716" s="438"/>
      <c r="AQ716" s="438"/>
      <c r="AR716" s="438"/>
      <c r="AS716" s="438"/>
      <c r="AT716" s="438"/>
      <c r="AU716" s="438"/>
      <c r="AV716" s="438"/>
      <c r="AW716" s="438"/>
      <c r="AX716" s="438"/>
      <c r="AY716" s="438"/>
      <c r="AZ716" s="438"/>
      <c r="BA716" s="438"/>
      <c r="BB716" s="438"/>
      <c r="BC716" s="438"/>
      <c r="BD716" s="438"/>
      <c r="BE716" s="438"/>
      <c r="BF716" s="438"/>
      <c r="BG716" s="438"/>
      <c r="BH716" s="438"/>
    </row>
    <row r="717">
      <c r="A717" s="140"/>
      <c r="B717" s="456"/>
      <c r="C717" s="142"/>
      <c r="D717" s="142"/>
      <c r="E717" s="142"/>
      <c r="F717" s="140"/>
      <c r="G717" s="456"/>
      <c r="H717" s="142"/>
      <c r="I717" s="142"/>
      <c r="J717" s="142"/>
      <c r="K717" s="125"/>
      <c r="L717" s="456"/>
      <c r="M717" s="142"/>
      <c r="N717" s="142"/>
      <c r="O717" s="142"/>
      <c r="P717" s="125"/>
      <c r="Q717" s="450"/>
      <c r="R717" s="142"/>
      <c r="S717" s="142"/>
      <c r="T717" s="142"/>
      <c r="U717" s="140"/>
      <c r="V717" s="456"/>
      <c r="W717" s="142"/>
      <c r="X717" s="142"/>
      <c r="Y717" s="142"/>
      <c r="Z717" s="140"/>
      <c r="AA717" s="456"/>
      <c r="AB717" s="142"/>
      <c r="AC717" s="142"/>
      <c r="AD717" s="142"/>
      <c r="AE717" s="140"/>
      <c r="AF717" s="456"/>
      <c r="AG717" s="142"/>
      <c r="AH717" s="142"/>
      <c r="AI717" s="142"/>
      <c r="AJ717" s="140"/>
      <c r="AK717" s="456"/>
      <c r="AL717" s="142"/>
      <c r="AM717" s="142"/>
      <c r="AN717" s="142"/>
      <c r="AO717" s="438"/>
      <c r="AP717" s="438"/>
      <c r="AQ717" s="438"/>
      <c r="AR717" s="438"/>
      <c r="AS717" s="438"/>
      <c r="AT717" s="438"/>
      <c r="AU717" s="438"/>
      <c r="AV717" s="438"/>
      <c r="AW717" s="438"/>
      <c r="AX717" s="438"/>
      <c r="AY717" s="438"/>
      <c r="AZ717" s="438"/>
      <c r="BA717" s="438"/>
      <c r="BB717" s="438"/>
      <c r="BC717" s="438"/>
      <c r="BD717" s="438"/>
      <c r="BE717" s="438"/>
      <c r="BF717" s="438"/>
      <c r="BG717" s="438"/>
      <c r="BH717" s="438"/>
    </row>
    <row r="718">
      <c r="A718" s="140"/>
      <c r="B718" s="456"/>
      <c r="C718" s="142"/>
      <c r="D718" s="142"/>
      <c r="E718" s="142"/>
      <c r="F718" s="140"/>
      <c r="G718" s="456"/>
      <c r="H718" s="142"/>
      <c r="I718" s="142"/>
      <c r="J718" s="142"/>
      <c r="K718" s="125"/>
      <c r="L718" s="456"/>
      <c r="M718" s="142"/>
      <c r="N718" s="142"/>
      <c r="O718" s="142"/>
      <c r="P718" s="125"/>
      <c r="Q718" s="450"/>
      <c r="R718" s="142"/>
      <c r="S718" s="142"/>
      <c r="T718" s="142"/>
      <c r="U718" s="140"/>
      <c r="V718" s="456"/>
      <c r="W718" s="142"/>
      <c r="X718" s="142"/>
      <c r="Y718" s="142"/>
      <c r="Z718" s="140"/>
      <c r="AA718" s="456"/>
      <c r="AB718" s="142"/>
      <c r="AC718" s="142"/>
      <c r="AD718" s="142"/>
      <c r="AE718" s="140"/>
      <c r="AF718" s="456"/>
      <c r="AG718" s="142"/>
      <c r="AH718" s="142"/>
      <c r="AI718" s="142"/>
      <c r="AJ718" s="140"/>
      <c r="AK718" s="456"/>
      <c r="AL718" s="142"/>
      <c r="AM718" s="142"/>
      <c r="AN718" s="142"/>
      <c r="AO718" s="438"/>
      <c r="AP718" s="438"/>
      <c r="AQ718" s="438"/>
      <c r="AR718" s="438"/>
      <c r="AS718" s="438"/>
      <c r="AT718" s="438"/>
      <c r="AU718" s="438"/>
      <c r="AV718" s="438"/>
      <c r="AW718" s="438"/>
      <c r="AX718" s="438"/>
      <c r="AY718" s="438"/>
      <c r="AZ718" s="438"/>
      <c r="BA718" s="438"/>
      <c r="BB718" s="438"/>
      <c r="BC718" s="438"/>
      <c r="BD718" s="438"/>
      <c r="BE718" s="438"/>
      <c r="BF718" s="438"/>
      <c r="BG718" s="438"/>
      <c r="BH718" s="438"/>
    </row>
    <row r="719">
      <c r="A719" s="140"/>
      <c r="B719" s="456"/>
      <c r="C719" s="142"/>
      <c r="D719" s="142"/>
      <c r="E719" s="142"/>
      <c r="F719" s="140"/>
      <c r="G719" s="456"/>
      <c r="H719" s="142"/>
      <c r="I719" s="142"/>
      <c r="J719" s="142"/>
      <c r="K719" s="125"/>
      <c r="L719" s="456"/>
      <c r="M719" s="142"/>
      <c r="N719" s="142"/>
      <c r="O719" s="142"/>
      <c r="P719" s="125"/>
      <c r="Q719" s="450"/>
      <c r="R719" s="142"/>
      <c r="S719" s="142"/>
      <c r="T719" s="142"/>
      <c r="U719" s="140"/>
      <c r="V719" s="456"/>
      <c r="W719" s="142"/>
      <c r="X719" s="142"/>
      <c r="Y719" s="142"/>
      <c r="Z719" s="140"/>
      <c r="AA719" s="456"/>
      <c r="AB719" s="142"/>
      <c r="AC719" s="142"/>
      <c r="AD719" s="142"/>
      <c r="AE719" s="140"/>
      <c r="AF719" s="456"/>
      <c r="AG719" s="142"/>
      <c r="AH719" s="142"/>
      <c r="AI719" s="142"/>
      <c r="AJ719" s="140"/>
      <c r="AK719" s="456"/>
      <c r="AL719" s="142"/>
      <c r="AM719" s="142"/>
      <c r="AN719" s="142"/>
      <c r="AO719" s="438"/>
      <c r="AP719" s="438"/>
      <c r="AQ719" s="438"/>
      <c r="AR719" s="438"/>
      <c r="AS719" s="438"/>
      <c r="AT719" s="438"/>
      <c r="AU719" s="438"/>
      <c r="AV719" s="438"/>
      <c r="AW719" s="438"/>
      <c r="AX719" s="438"/>
      <c r="AY719" s="438"/>
      <c r="AZ719" s="438"/>
      <c r="BA719" s="438"/>
      <c r="BB719" s="438"/>
      <c r="BC719" s="438"/>
      <c r="BD719" s="438"/>
      <c r="BE719" s="438"/>
      <c r="BF719" s="438"/>
      <c r="BG719" s="438"/>
      <c r="BH719" s="438"/>
    </row>
    <row r="720">
      <c r="A720" s="140"/>
      <c r="B720" s="456"/>
      <c r="C720" s="142"/>
      <c r="D720" s="142"/>
      <c r="E720" s="142"/>
      <c r="F720" s="140"/>
      <c r="G720" s="456"/>
      <c r="H720" s="142"/>
      <c r="I720" s="142"/>
      <c r="J720" s="142"/>
      <c r="K720" s="125"/>
      <c r="L720" s="456"/>
      <c r="M720" s="142"/>
      <c r="N720" s="142"/>
      <c r="O720" s="142"/>
      <c r="P720" s="125"/>
      <c r="Q720" s="450"/>
      <c r="R720" s="142"/>
      <c r="S720" s="142"/>
      <c r="T720" s="142"/>
      <c r="U720" s="140"/>
      <c r="V720" s="456"/>
      <c r="W720" s="142"/>
      <c r="X720" s="142"/>
      <c r="Y720" s="142"/>
      <c r="Z720" s="140"/>
      <c r="AA720" s="456"/>
      <c r="AB720" s="142"/>
      <c r="AC720" s="142"/>
      <c r="AD720" s="142"/>
      <c r="AE720" s="140"/>
      <c r="AF720" s="456"/>
      <c r="AG720" s="142"/>
      <c r="AH720" s="142"/>
      <c r="AI720" s="142"/>
      <c r="AJ720" s="140"/>
      <c r="AK720" s="456"/>
      <c r="AL720" s="142"/>
      <c r="AM720" s="142"/>
      <c r="AN720" s="142"/>
      <c r="AO720" s="438"/>
      <c r="AP720" s="438"/>
      <c r="AQ720" s="438"/>
      <c r="AR720" s="438"/>
      <c r="AS720" s="438"/>
      <c r="AT720" s="438"/>
      <c r="AU720" s="438"/>
      <c r="AV720" s="438"/>
      <c r="AW720" s="438"/>
      <c r="AX720" s="438"/>
      <c r="AY720" s="438"/>
      <c r="AZ720" s="438"/>
      <c r="BA720" s="438"/>
      <c r="BB720" s="438"/>
      <c r="BC720" s="438"/>
      <c r="BD720" s="438"/>
      <c r="BE720" s="438"/>
      <c r="BF720" s="438"/>
      <c r="BG720" s="438"/>
      <c r="BH720" s="438"/>
    </row>
    <row r="721">
      <c r="A721" s="140"/>
      <c r="B721" s="456"/>
      <c r="C721" s="142"/>
      <c r="D721" s="142"/>
      <c r="E721" s="142"/>
      <c r="F721" s="140"/>
      <c r="G721" s="456"/>
      <c r="H721" s="142"/>
      <c r="I721" s="142"/>
      <c r="J721" s="142"/>
      <c r="K721" s="125"/>
      <c r="L721" s="456"/>
      <c r="M721" s="142"/>
      <c r="N721" s="142"/>
      <c r="O721" s="142"/>
      <c r="P721" s="125"/>
      <c r="Q721" s="450"/>
      <c r="R721" s="142"/>
      <c r="S721" s="142"/>
      <c r="T721" s="142"/>
      <c r="U721" s="140"/>
      <c r="V721" s="456"/>
      <c r="W721" s="142"/>
      <c r="X721" s="142"/>
      <c r="Y721" s="142"/>
      <c r="Z721" s="140"/>
      <c r="AA721" s="456"/>
      <c r="AB721" s="142"/>
      <c r="AC721" s="142"/>
      <c r="AD721" s="142"/>
      <c r="AE721" s="140"/>
      <c r="AF721" s="456"/>
      <c r="AG721" s="142"/>
      <c r="AH721" s="142"/>
      <c r="AI721" s="142"/>
      <c r="AJ721" s="140"/>
      <c r="AK721" s="456"/>
      <c r="AL721" s="142"/>
      <c r="AM721" s="142"/>
      <c r="AN721" s="142"/>
      <c r="AO721" s="438"/>
      <c r="AP721" s="438"/>
      <c r="AQ721" s="438"/>
      <c r="AR721" s="438"/>
      <c r="AS721" s="438"/>
      <c r="AT721" s="438"/>
      <c r="AU721" s="438"/>
      <c r="AV721" s="438"/>
      <c r="AW721" s="438"/>
      <c r="AX721" s="438"/>
      <c r="AY721" s="438"/>
      <c r="AZ721" s="438"/>
      <c r="BA721" s="438"/>
      <c r="BB721" s="438"/>
      <c r="BC721" s="438"/>
      <c r="BD721" s="438"/>
      <c r="BE721" s="438"/>
      <c r="BF721" s="438"/>
      <c r="BG721" s="438"/>
      <c r="BH721" s="438"/>
    </row>
    <row r="722">
      <c r="A722" s="140"/>
      <c r="B722" s="456"/>
      <c r="C722" s="142"/>
      <c r="D722" s="142"/>
      <c r="E722" s="142"/>
      <c r="F722" s="140"/>
      <c r="G722" s="456"/>
      <c r="H722" s="142"/>
      <c r="I722" s="142"/>
      <c r="J722" s="142"/>
      <c r="K722" s="125"/>
      <c r="L722" s="456"/>
      <c r="M722" s="142"/>
      <c r="N722" s="142"/>
      <c r="O722" s="142"/>
      <c r="P722" s="125"/>
      <c r="Q722" s="450"/>
      <c r="R722" s="142"/>
      <c r="S722" s="142"/>
      <c r="T722" s="142"/>
      <c r="U722" s="140"/>
      <c r="V722" s="456"/>
      <c r="W722" s="142"/>
      <c r="X722" s="142"/>
      <c r="Y722" s="142"/>
      <c r="Z722" s="140"/>
      <c r="AA722" s="456"/>
      <c r="AB722" s="142"/>
      <c r="AC722" s="142"/>
      <c r="AD722" s="142"/>
      <c r="AE722" s="140"/>
      <c r="AF722" s="456"/>
      <c r="AG722" s="142"/>
      <c r="AH722" s="142"/>
      <c r="AI722" s="142"/>
      <c r="AJ722" s="140"/>
      <c r="AK722" s="456"/>
      <c r="AL722" s="142"/>
      <c r="AM722" s="142"/>
      <c r="AN722" s="142"/>
      <c r="AO722" s="438"/>
      <c r="AP722" s="438"/>
      <c r="AQ722" s="438"/>
      <c r="AR722" s="438"/>
      <c r="AS722" s="438"/>
      <c r="AT722" s="438"/>
      <c r="AU722" s="438"/>
      <c r="AV722" s="438"/>
      <c r="AW722" s="438"/>
      <c r="AX722" s="438"/>
      <c r="AY722" s="438"/>
      <c r="AZ722" s="438"/>
      <c r="BA722" s="438"/>
      <c r="BB722" s="438"/>
      <c r="BC722" s="438"/>
      <c r="BD722" s="438"/>
      <c r="BE722" s="438"/>
      <c r="BF722" s="438"/>
      <c r="BG722" s="438"/>
      <c r="BH722" s="438"/>
    </row>
    <row r="723">
      <c r="A723" s="140"/>
      <c r="B723" s="456"/>
      <c r="C723" s="142"/>
      <c r="D723" s="142"/>
      <c r="E723" s="142"/>
      <c r="F723" s="140"/>
      <c r="G723" s="456"/>
      <c r="H723" s="142"/>
      <c r="I723" s="142"/>
      <c r="J723" s="142"/>
      <c r="K723" s="125"/>
      <c r="L723" s="456"/>
      <c r="M723" s="142"/>
      <c r="N723" s="142"/>
      <c r="O723" s="142"/>
      <c r="P723" s="125"/>
      <c r="Q723" s="450"/>
      <c r="R723" s="142"/>
      <c r="S723" s="142"/>
      <c r="T723" s="142"/>
      <c r="U723" s="140"/>
      <c r="V723" s="456"/>
      <c r="W723" s="142"/>
      <c r="X723" s="142"/>
      <c r="Y723" s="142"/>
      <c r="Z723" s="140"/>
      <c r="AA723" s="456"/>
      <c r="AB723" s="142"/>
      <c r="AC723" s="142"/>
      <c r="AD723" s="142"/>
      <c r="AE723" s="140"/>
      <c r="AF723" s="456"/>
      <c r="AG723" s="142"/>
      <c r="AH723" s="142"/>
      <c r="AI723" s="142"/>
      <c r="AJ723" s="140"/>
      <c r="AK723" s="456"/>
      <c r="AL723" s="142"/>
      <c r="AM723" s="142"/>
      <c r="AN723" s="142"/>
      <c r="AO723" s="438"/>
      <c r="AP723" s="438"/>
      <c r="AQ723" s="438"/>
      <c r="AR723" s="438"/>
      <c r="AS723" s="438"/>
      <c r="AT723" s="438"/>
      <c r="AU723" s="438"/>
      <c r="AV723" s="438"/>
      <c r="AW723" s="438"/>
      <c r="AX723" s="438"/>
      <c r="AY723" s="438"/>
      <c r="AZ723" s="438"/>
      <c r="BA723" s="438"/>
      <c r="BB723" s="438"/>
      <c r="BC723" s="438"/>
      <c r="BD723" s="438"/>
      <c r="BE723" s="438"/>
      <c r="BF723" s="438"/>
      <c r="BG723" s="438"/>
      <c r="BH723" s="438"/>
    </row>
    <row r="724">
      <c r="A724" s="140"/>
      <c r="B724" s="456"/>
      <c r="C724" s="142"/>
      <c r="D724" s="142"/>
      <c r="E724" s="142"/>
      <c r="F724" s="140"/>
      <c r="G724" s="456"/>
      <c r="H724" s="142"/>
      <c r="I724" s="142"/>
      <c r="J724" s="142"/>
      <c r="K724" s="125"/>
      <c r="L724" s="456"/>
      <c r="M724" s="142"/>
      <c r="N724" s="142"/>
      <c r="O724" s="142"/>
      <c r="P724" s="125"/>
      <c r="Q724" s="450"/>
      <c r="R724" s="142"/>
      <c r="S724" s="142"/>
      <c r="T724" s="142"/>
      <c r="U724" s="140"/>
      <c r="V724" s="456"/>
      <c r="W724" s="142"/>
      <c r="X724" s="142"/>
      <c r="Y724" s="142"/>
      <c r="Z724" s="140"/>
      <c r="AA724" s="456"/>
      <c r="AB724" s="142"/>
      <c r="AC724" s="142"/>
      <c r="AD724" s="142"/>
      <c r="AE724" s="140"/>
      <c r="AF724" s="456"/>
      <c r="AG724" s="142"/>
      <c r="AH724" s="142"/>
      <c r="AI724" s="142"/>
      <c r="AJ724" s="140"/>
      <c r="AK724" s="456"/>
      <c r="AL724" s="142"/>
      <c r="AM724" s="142"/>
      <c r="AN724" s="142"/>
      <c r="AO724" s="438"/>
      <c r="AP724" s="438"/>
      <c r="AQ724" s="438"/>
      <c r="AR724" s="438"/>
      <c r="AS724" s="438"/>
      <c r="AT724" s="438"/>
      <c r="AU724" s="438"/>
      <c r="AV724" s="438"/>
      <c r="AW724" s="438"/>
      <c r="AX724" s="438"/>
      <c r="AY724" s="438"/>
      <c r="AZ724" s="438"/>
      <c r="BA724" s="438"/>
      <c r="BB724" s="438"/>
      <c r="BC724" s="438"/>
      <c r="BD724" s="438"/>
      <c r="BE724" s="438"/>
      <c r="BF724" s="438"/>
      <c r="BG724" s="438"/>
      <c r="BH724" s="438"/>
    </row>
    <row r="725">
      <c r="A725" s="140"/>
      <c r="B725" s="456"/>
      <c r="C725" s="142"/>
      <c r="D725" s="142"/>
      <c r="E725" s="142"/>
      <c r="F725" s="140"/>
      <c r="G725" s="456"/>
      <c r="H725" s="142"/>
      <c r="I725" s="142"/>
      <c r="J725" s="142"/>
      <c r="K725" s="125"/>
      <c r="L725" s="456"/>
      <c r="M725" s="142"/>
      <c r="N725" s="142"/>
      <c r="O725" s="142"/>
      <c r="P725" s="125"/>
      <c r="Q725" s="450"/>
      <c r="R725" s="142"/>
      <c r="S725" s="142"/>
      <c r="T725" s="142"/>
      <c r="U725" s="140"/>
      <c r="V725" s="456"/>
      <c r="W725" s="142"/>
      <c r="X725" s="142"/>
      <c r="Y725" s="142"/>
      <c r="Z725" s="140"/>
      <c r="AA725" s="456"/>
      <c r="AB725" s="142"/>
      <c r="AC725" s="142"/>
      <c r="AD725" s="142"/>
      <c r="AE725" s="140"/>
      <c r="AF725" s="456"/>
      <c r="AG725" s="142"/>
      <c r="AH725" s="142"/>
      <c r="AI725" s="142"/>
      <c r="AJ725" s="140"/>
      <c r="AK725" s="456"/>
      <c r="AL725" s="142"/>
      <c r="AM725" s="142"/>
      <c r="AN725" s="142"/>
      <c r="AO725" s="438"/>
      <c r="AP725" s="438"/>
      <c r="AQ725" s="438"/>
      <c r="AR725" s="438"/>
      <c r="AS725" s="438"/>
      <c r="AT725" s="438"/>
      <c r="AU725" s="438"/>
      <c r="AV725" s="438"/>
      <c r="AW725" s="438"/>
      <c r="AX725" s="438"/>
      <c r="AY725" s="438"/>
      <c r="AZ725" s="438"/>
      <c r="BA725" s="438"/>
      <c r="BB725" s="438"/>
      <c r="BC725" s="438"/>
      <c r="BD725" s="438"/>
      <c r="BE725" s="438"/>
      <c r="BF725" s="438"/>
      <c r="BG725" s="438"/>
      <c r="BH725" s="438"/>
    </row>
    <row r="726">
      <c r="A726" s="140"/>
      <c r="B726" s="456"/>
      <c r="C726" s="142"/>
      <c r="D726" s="142"/>
      <c r="E726" s="142"/>
      <c r="F726" s="140"/>
      <c r="G726" s="456"/>
      <c r="H726" s="142"/>
      <c r="I726" s="142"/>
      <c r="J726" s="142"/>
      <c r="K726" s="125"/>
      <c r="L726" s="456"/>
      <c r="M726" s="142"/>
      <c r="N726" s="142"/>
      <c r="O726" s="142"/>
      <c r="P726" s="125"/>
      <c r="Q726" s="450"/>
      <c r="R726" s="142"/>
      <c r="S726" s="142"/>
      <c r="T726" s="142"/>
      <c r="U726" s="140"/>
      <c r="V726" s="456"/>
      <c r="W726" s="142"/>
      <c r="X726" s="142"/>
      <c r="Y726" s="142"/>
      <c r="Z726" s="140"/>
      <c r="AA726" s="456"/>
      <c r="AB726" s="142"/>
      <c r="AC726" s="142"/>
      <c r="AD726" s="142"/>
      <c r="AE726" s="140"/>
      <c r="AF726" s="456"/>
      <c r="AG726" s="142"/>
      <c r="AH726" s="142"/>
      <c r="AI726" s="142"/>
      <c r="AJ726" s="140"/>
      <c r="AK726" s="456"/>
      <c r="AL726" s="142"/>
      <c r="AM726" s="142"/>
      <c r="AN726" s="142"/>
      <c r="AO726" s="438"/>
      <c r="AP726" s="438"/>
      <c r="AQ726" s="438"/>
      <c r="AR726" s="438"/>
      <c r="AS726" s="438"/>
      <c r="AT726" s="438"/>
      <c r="AU726" s="438"/>
      <c r="AV726" s="438"/>
      <c r="AW726" s="438"/>
      <c r="AX726" s="438"/>
      <c r="AY726" s="438"/>
      <c r="AZ726" s="438"/>
      <c r="BA726" s="438"/>
      <c r="BB726" s="438"/>
      <c r="BC726" s="438"/>
      <c r="BD726" s="438"/>
      <c r="BE726" s="438"/>
      <c r="BF726" s="438"/>
      <c r="BG726" s="438"/>
      <c r="BH726" s="438"/>
    </row>
    <row r="727">
      <c r="A727" s="140"/>
      <c r="B727" s="456"/>
      <c r="C727" s="142"/>
      <c r="D727" s="142"/>
      <c r="E727" s="142"/>
      <c r="F727" s="140"/>
      <c r="G727" s="456"/>
      <c r="H727" s="142"/>
      <c r="I727" s="142"/>
      <c r="J727" s="142"/>
      <c r="K727" s="125"/>
      <c r="L727" s="456"/>
      <c r="M727" s="142"/>
      <c r="N727" s="142"/>
      <c r="O727" s="142"/>
      <c r="P727" s="125"/>
      <c r="Q727" s="450"/>
      <c r="R727" s="142"/>
      <c r="S727" s="142"/>
      <c r="T727" s="142"/>
      <c r="U727" s="140"/>
      <c r="V727" s="456"/>
      <c r="W727" s="142"/>
      <c r="X727" s="142"/>
      <c r="Y727" s="142"/>
      <c r="Z727" s="140"/>
      <c r="AA727" s="456"/>
      <c r="AB727" s="142"/>
      <c r="AC727" s="142"/>
      <c r="AD727" s="142"/>
      <c r="AE727" s="140"/>
      <c r="AF727" s="456"/>
      <c r="AG727" s="142"/>
      <c r="AH727" s="142"/>
      <c r="AI727" s="142"/>
      <c r="AJ727" s="140"/>
      <c r="AK727" s="456"/>
      <c r="AL727" s="142"/>
      <c r="AM727" s="142"/>
      <c r="AN727" s="142"/>
      <c r="AO727" s="438"/>
      <c r="AP727" s="438"/>
      <c r="AQ727" s="438"/>
      <c r="AR727" s="438"/>
      <c r="AS727" s="438"/>
      <c r="AT727" s="438"/>
      <c r="AU727" s="438"/>
      <c r="AV727" s="438"/>
      <c r="AW727" s="438"/>
      <c r="AX727" s="438"/>
      <c r="AY727" s="438"/>
      <c r="AZ727" s="438"/>
      <c r="BA727" s="438"/>
      <c r="BB727" s="438"/>
      <c r="BC727" s="438"/>
      <c r="BD727" s="438"/>
      <c r="BE727" s="438"/>
      <c r="BF727" s="438"/>
      <c r="BG727" s="438"/>
      <c r="BH727" s="438"/>
    </row>
    <row r="728">
      <c r="A728" s="140"/>
      <c r="B728" s="456"/>
      <c r="C728" s="142"/>
      <c r="D728" s="142"/>
      <c r="E728" s="142"/>
      <c r="F728" s="140"/>
      <c r="G728" s="456"/>
      <c r="H728" s="142"/>
      <c r="I728" s="142"/>
      <c r="J728" s="142"/>
      <c r="K728" s="125"/>
      <c r="L728" s="456"/>
      <c r="M728" s="142"/>
      <c r="N728" s="142"/>
      <c r="O728" s="142"/>
      <c r="P728" s="125"/>
      <c r="Q728" s="450"/>
      <c r="R728" s="142"/>
      <c r="S728" s="142"/>
      <c r="T728" s="142"/>
      <c r="U728" s="140"/>
      <c r="V728" s="456"/>
      <c r="W728" s="142"/>
      <c r="X728" s="142"/>
      <c r="Y728" s="142"/>
      <c r="Z728" s="140"/>
      <c r="AA728" s="456"/>
      <c r="AB728" s="142"/>
      <c r="AC728" s="142"/>
      <c r="AD728" s="142"/>
      <c r="AE728" s="140"/>
      <c r="AF728" s="456"/>
      <c r="AG728" s="142"/>
      <c r="AH728" s="142"/>
      <c r="AI728" s="142"/>
      <c r="AJ728" s="140"/>
      <c r="AK728" s="456"/>
      <c r="AL728" s="142"/>
      <c r="AM728" s="142"/>
      <c r="AN728" s="142"/>
      <c r="AO728" s="438"/>
      <c r="AP728" s="438"/>
      <c r="AQ728" s="438"/>
      <c r="AR728" s="438"/>
      <c r="AS728" s="438"/>
      <c r="AT728" s="438"/>
      <c r="AU728" s="438"/>
      <c r="AV728" s="438"/>
      <c r="AW728" s="438"/>
      <c r="AX728" s="438"/>
      <c r="AY728" s="438"/>
      <c r="AZ728" s="438"/>
      <c r="BA728" s="438"/>
      <c r="BB728" s="438"/>
      <c r="BC728" s="438"/>
      <c r="BD728" s="438"/>
      <c r="BE728" s="438"/>
      <c r="BF728" s="438"/>
      <c r="BG728" s="438"/>
      <c r="BH728" s="438"/>
    </row>
    <row r="729">
      <c r="A729" s="140"/>
      <c r="B729" s="456"/>
      <c r="C729" s="142"/>
      <c r="D729" s="142"/>
      <c r="E729" s="142"/>
      <c r="F729" s="140"/>
      <c r="G729" s="456"/>
      <c r="H729" s="142"/>
      <c r="I729" s="142"/>
      <c r="J729" s="142"/>
      <c r="K729" s="125"/>
      <c r="L729" s="456"/>
      <c r="M729" s="142"/>
      <c r="N729" s="142"/>
      <c r="O729" s="142"/>
      <c r="P729" s="125"/>
      <c r="Q729" s="450"/>
      <c r="R729" s="142"/>
      <c r="S729" s="142"/>
      <c r="T729" s="142"/>
      <c r="U729" s="140"/>
      <c r="V729" s="456"/>
      <c r="W729" s="142"/>
      <c r="X729" s="142"/>
      <c r="Y729" s="142"/>
      <c r="Z729" s="140"/>
      <c r="AA729" s="456"/>
      <c r="AB729" s="142"/>
      <c r="AC729" s="142"/>
      <c r="AD729" s="142"/>
      <c r="AE729" s="140"/>
      <c r="AF729" s="456"/>
      <c r="AG729" s="142"/>
      <c r="AH729" s="142"/>
      <c r="AI729" s="142"/>
      <c r="AJ729" s="140"/>
      <c r="AK729" s="456"/>
      <c r="AL729" s="142"/>
      <c r="AM729" s="142"/>
      <c r="AN729" s="142"/>
      <c r="AO729" s="438"/>
      <c r="AP729" s="438"/>
      <c r="AQ729" s="438"/>
      <c r="AR729" s="438"/>
      <c r="AS729" s="438"/>
      <c r="AT729" s="438"/>
      <c r="AU729" s="438"/>
      <c r="AV729" s="438"/>
      <c r="AW729" s="438"/>
      <c r="AX729" s="438"/>
      <c r="AY729" s="438"/>
      <c r="AZ729" s="438"/>
      <c r="BA729" s="438"/>
      <c r="BB729" s="438"/>
      <c r="BC729" s="438"/>
      <c r="BD729" s="438"/>
      <c r="BE729" s="438"/>
      <c r="BF729" s="438"/>
      <c r="BG729" s="438"/>
      <c r="BH729" s="438"/>
    </row>
    <row r="730">
      <c r="A730" s="140"/>
      <c r="B730" s="456"/>
      <c r="C730" s="142"/>
      <c r="D730" s="142"/>
      <c r="E730" s="142"/>
      <c r="F730" s="140"/>
      <c r="G730" s="456"/>
      <c r="H730" s="142"/>
      <c r="I730" s="142"/>
      <c r="J730" s="142"/>
      <c r="K730" s="125"/>
      <c r="L730" s="456"/>
      <c r="M730" s="142"/>
      <c r="N730" s="142"/>
      <c r="O730" s="142"/>
      <c r="P730" s="125"/>
      <c r="Q730" s="450"/>
      <c r="R730" s="142"/>
      <c r="S730" s="142"/>
      <c r="T730" s="142"/>
      <c r="U730" s="140"/>
      <c r="V730" s="456"/>
      <c r="W730" s="142"/>
      <c r="X730" s="142"/>
      <c r="Y730" s="142"/>
      <c r="Z730" s="140"/>
      <c r="AA730" s="456"/>
      <c r="AB730" s="142"/>
      <c r="AC730" s="142"/>
      <c r="AD730" s="142"/>
      <c r="AE730" s="140"/>
      <c r="AF730" s="456"/>
      <c r="AG730" s="142"/>
      <c r="AH730" s="142"/>
      <c r="AI730" s="142"/>
      <c r="AJ730" s="140"/>
      <c r="AK730" s="456"/>
      <c r="AL730" s="142"/>
      <c r="AM730" s="142"/>
      <c r="AN730" s="142"/>
      <c r="AO730" s="438"/>
      <c r="AP730" s="438"/>
      <c r="AQ730" s="438"/>
      <c r="AR730" s="438"/>
      <c r="AS730" s="438"/>
      <c r="AT730" s="438"/>
      <c r="AU730" s="438"/>
      <c r="AV730" s="438"/>
      <c r="AW730" s="438"/>
      <c r="AX730" s="438"/>
      <c r="AY730" s="438"/>
      <c r="AZ730" s="438"/>
      <c r="BA730" s="438"/>
      <c r="BB730" s="438"/>
      <c r="BC730" s="438"/>
      <c r="BD730" s="438"/>
      <c r="BE730" s="438"/>
      <c r="BF730" s="438"/>
      <c r="BG730" s="438"/>
      <c r="BH730" s="438"/>
    </row>
    <row r="731">
      <c r="A731" s="140"/>
      <c r="B731" s="456"/>
      <c r="C731" s="142"/>
      <c r="D731" s="142"/>
      <c r="E731" s="142"/>
      <c r="F731" s="140"/>
      <c r="G731" s="456"/>
      <c r="H731" s="142"/>
      <c r="I731" s="142"/>
      <c r="J731" s="142"/>
      <c r="K731" s="125"/>
      <c r="L731" s="456"/>
      <c r="M731" s="142"/>
      <c r="N731" s="142"/>
      <c r="O731" s="142"/>
      <c r="P731" s="125"/>
      <c r="Q731" s="450"/>
      <c r="R731" s="142"/>
      <c r="S731" s="142"/>
      <c r="T731" s="142"/>
      <c r="U731" s="140"/>
      <c r="V731" s="456"/>
      <c r="W731" s="142"/>
      <c r="X731" s="142"/>
      <c r="Y731" s="142"/>
      <c r="Z731" s="140"/>
      <c r="AA731" s="456"/>
      <c r="AB731" s="142"/>
      <c r="AC731" s="142"/>
      <c r="AD731" s="142"/>
      <c r="AE731" s="140"/>
      <c r="AF731" s="456"/>
      <c r="AG731" s="142"/>
      <c r="AH731" s="142"/>
      <c r="AI731" s="142"/>
      <c r="AJ731" s="140"/>
      <c r="AK731" s="456"/>
      <c r="AL731" s="142"/>
      <c r="AM731" s="142"/>
      <c r="AN731" s="142"/>
      <c r="AO731" s="438"/>
      <c r="AP731" s="438"/>
      <c r="AQ731" s="438"/>
      <c r="AR731" s="438"/>
      <c r="AS731" s="438"/>
      <c r="AT731" s="438"/>
      <c r="AU731" s="438"/>
      <c r="AV731" s="438"/>
      <c r="AW731" s="438"/>
      <c r="AX731" s="438"/>
      <c r="AY731" s="438"/>
      <c r="AZ731" s="438"/>
      <c r="BA731" s="438"/>
      <c r="BB731" s="438"/>
      <c r="BC731" s="438"/>
      <c r="BD731" s="438"/>
      <c r="BE731" s="438"/>
      <c r="BF731" s="438"/>
      <c r="BG731" s="438"/>
      <c r="BH731" s="438"/>
    </row>
    <row r="732">
      <c r="A732" s="140"/>
      <c r="B732" s="456"/>
      <c r="C732" s="142"/>
      <c r="D732" s="142"/>
      <c r="E732" s="142"/>
      <c r="F732" s="140"/>
      <c r="G732" s="456"/>
      <c r="H732" s="142"/>
      <c r="I732" s="142"/>
      <c r="J732" s="142"/>
      <c r="K732" s="125"/>
      <c r="L732" s="456"/>
      <c r="M732" s="142"/>
      <c r="N732" s="142"/>
      <c r="O732" s="142"/>
      <c r="P732" s="125"/>
      <c r="Q732" s="450"/>
      <c r="R732" s="142"/>
      <c r="S732" s="142"/>
      <c r="T732" s="142"/>
      <c r="U732" s="140"/>
      <c r="V732" s="456"/>
      <c r="W732" s="142"/>
      <c r="X732" s="142"/>
      <c r="Y732" s="142"/>
      <c r="Z732" s="140"/>
      <c r="AA732" s="456"/>
      <c r="AB732" s="142"/>
      <c r="AC732" s="142"/>
      <c r="AD732" s="142"/>
      <c r="AE732" s="140"/>
      <c r="AF732" s="456"/>
      <c r="AG732" s="142"/>
      <c r="AH732" s="142"/>
      <c r="AI732" s="142"/>
      <c r="AJ732" s="140"/>
      <c r="AK732" s="456"/>
      <c r="AL732" s="142"/>
      <c r="AM732" s="142"/>
      <c r="AN732" s="142"/>
      <c r="AO732" s="438"/>
      <c r="AP732" s="438"/>
      <c r="AQ732" s="438"/>
      <c r="AR732" s="438"/>
      <c r="AS732" s="438"/>
      <c r="AT732" s="438"/>
      <c r="AU732" s="438"/>
      <c r="AV732" s="438"/>
      <c r="AW732" s="438"/>
      <c r="AX732" s="438"/>
      <c r="AY732" s="438"/>
      <c r="AZ732" s="438"/>
      <c r="BA732" s="438"/>
      <c r="BB732" s="438"/>
      <c r="BC732" s="438"/>
      <c r="BD732" s="438"/>
      <c r="BE732" s="438"/>
      <c r="BF732" s="438"/>
      <c r="BG732" s="438"/>
      <c r="BH732" s="438"/>
    </row>
    <row r="733">
      <c r="A733" s="140"/>
      <c r="B733" s="456"/>
      <c r="C733" s="142"/>
      <c r="D733" s="142"/>
      <c r="E733" s="142"/>
      <c r="F733" s="140"/>
      <c r="G733" s="456"/>
      <c r="H733" s="142"/>
      <c r="I733" s="142"/>
      <c r="J733" s="142"/>
      <c r="K733" s="125"/>
      <c r="L733" s="456"/>
      <c r="M733" s="142"/>
      <c r="N733" s="142"/>
      <c r="O733" s="142"/>
      <c r="P733" s="125"/>
      <c r="Q733" s="450"/>
      <c r="R733" s="142"/>
      <c r="S733" s="142"/>
      <c r="T733" s="142"/>
      <c r="U733" s="140"/>
      <c r="V733" s="456"/>
      <c r="W733" s="142"/>
      <c r="X733" s="142"/>
      <c r="Y733" s="142"/>
      <c r="Z733" s="140"/>
      <c r="AA733" s="456"/>
      <c r="AB733" s="142"/>
      <c r="AC733" s="142"/>
      <c r="AD733" s="142"/>
      <c r="AE733" s="140"/>
      <c r="AF733" s="456"/>
      <c r="AG733" s="142"/>
      <c r="AH733" s="142"/>
      <c r="AI733" s="142"/>
      <c r="AJ733" s="140"/>
      <c r="AK733" s="456"/>
      <c r="AL733" s="142"/>
      <c r="AM733" s="142"/>
      <c r="AN733" s="142"/>
      <c r="AO733" s="438"/>
      <c r="AP733" s="438"/>
      <c r="AQ733" s="438"/>
      <c r="AR733" s="438"/>
      <c r="AS733" s="438"/>
      <c r="AT733" s="438"/>
      <c r="AU733" s="438"/>
      <c r="AV733" s="438"/>
      <c r="AW733" s="438"/>
      <c r="AX733" s="438"/>
      <c r="AY733" s="438"/>
      <c r="AZ733" s="438"/>
      <c r="BA733" s="438"/>
      <c r="BB733" s="438"/>
      <c r="BC733" s="438"/>
      <c r="BD733" s="438"/>
      <c r="BE733" s="438"/>
      <c r="BF733" s="438"/>
      <c r="BG733" s="438"/>
      <c r="BH733" s="438"/>
    </row>
    <row r="734">
      <c r="A734" s="140"/>
      <c r="B734" s="456"/>
      <c r="C734" s="142"/>
      <c r="D734" s="142"/>
      <c r="E734" s="142"/>
      <c r="F734" s="140"/>
      <c r="G734" s="456"/>
      <c r="H734" s="142"/>
      <c r="I734" s="142"/>
      <c r="J734" s="142"/>
      <c r="K734" s="125"/>
      <c r="L734" s="456"/>
      <c r="M734" s="142"/>
      <c r="N734" s="142"/>
      <c r="O734" s="142"/>
      <c r="P734" s="125"/>
      <c r="Q734" s="450"/>
      <c r="R734" s="142"/>
      <c r="S734" s="142"/>
      <c r="T734" s="142"/>
      <c r="U734" s="140"/>
      <c r="V734" s="456"/>
      <c r="W734" s="142"/>
      <c r="X734" s="142"/>
      <c r="Y734" s="142"/>
      <c r="Z734" s="140"/>
      <c r="AA734" s="456"/>
      <c r="AB734" s="142"/>
      <c r="AC734" s="142"/>
      <c r="AD734" s="142"/>
      <c r="AE734" s="140"/>
      <c r="AF734" s="456"/>
      <c r="AG734" s="142"/>
      <c r="AH734" s="142"/>
      <c r="AI734" s="142"/>
      <c r="AJ734" s="140"/>
      <c r="AK734" s="456"/>
      <c r="AL734" s="142"/>
      <c r="AM734" s="142"/>
      <c r="AN734" s="142"/>
      <c r="AO734" s="438"/>
      <c r="AP734" s="438"/>
      <c r="AQ734" s="438"/>
      <c r="AR734" s="438"/>
      <c r="AS734" s="438"/>
      <c r="AT734" s="438"/>
      <c r="AU734" s="438"/>
      <c r="AV734" s="438"/>
      <c r="AW734" s="438"/>
      <c r="AX734" s="438"/>
      <c r="AY734" s="438"/>
      <c r="AZ734" s="438"/>
      <c r="BA734" s="438"/>
      <c r="BB734" s="438"/>
      <c r="BC734" s="438"/>
      <c r="BD734" s="438"/>
      <c r="BE734" s="438"/>
      <c r="BF734" s="438"/>
      <c r="BG734" s="438"/>
      <c r="BH734" s="438"/>
    </row>
    <row r="735">
      <c r="A735" s="140"/>
      <c r="B735" s="456"/>
      <c r="C735" s="142"/>
      <c r="D735" s="142"/>
      <c r="E735" s="142"/>
      <c r="F735" s="140"/>
      <c r="G735" s="456"/>
      <c r="H735" s="142"/>
      <c r="I735" s="142"/>
      <c r="J735" s="142"/>
      <c r="K735" s="125"/>
      <c r="L735" s="456"/>
      <c r="M735" s="142"/>
      <c r="N735" s="142"/>
      <c r="O735" s="142"/>
      <c r="P735" s="125"/>
      <c r="Q735" s="450"/>
      <c r="R735" s="142"/>
      <c r="S735" s="142"/>
      <c r="T735" s="142"/>
      <c r="U735" s="140"/>
      <c r="V735" s="456"/>
      <c r="W735" s="142"/>
      <c r="X735" s="142"/>
      <c r="Y735" s="142"/>
      <c r="Z735" s="140"/>
      <c r="AA735" s="456"/>
      <c r="AB735" s="142"/>
      <c r="AC735" s="142"/>
      <c r="AD735" s="142"/>
      <c r="AE735" s="140"/>
      <c r="AF735" s="456"/>
      <c r="AG735" s="142"/>
      <c r="AH735" s="142"/>
      <c r="AI735" s="142"/>
      <c r="AJ735" s="140"/>
      <c r="AK735" s="456"/>
      <c r="AL735" s="142"/>
      <c r="AM735" s="142"/>
      <c r="AN735" s="142"/>
      <c r="AO735" s="438"/>
      <c r="AP735" s="438"/>
      <c r="AQ735" s="438"/>
      <c r="AR735" s="438"/>
      <c r="AS735" s="438"/>
      <c r="AT735" s="438"/>
      <c r="AU735" s="438"/>
      <c r="AV735" s="438"/>
      <c r="AW735" s="438"/>
      <c r="AX735" s="438"/>
      <c r="AY735" s="438"/>
      <c r="AZ735" s="438"/>
      <c r="BA735" s="438"/>
      <c r="BB735" s="438"/>
      <c r="BC735" s="438"/>
      <c r="BD735" s="438"/>
      <c r="BE735" s="438"/>
      <c r="BF735" s="438"/>
      <c r="BG735" s="438"/>
      <c r="BH735" s="438"/>
    </row>
    <row r="736">
      <c r="A736" s="140"/>
      <c r="B736" s="456"/>
      <c r="C736" s="142"/>
      <c r="D736" s="142"/>
      <c r="E736" s="142"/>
      <c r="F736" s="140"/>
      <c r="G736" s="456"/>
      <c r="H736" s="142"/>
      <c r="I736" s="142"/>
      <c r="J736" s="142"/>
      <c r="K736" s="125"/>
      <c r="L736" s="456"/>
      <c r="M736" s="142"/>
      <c r="N736" s="142"/>
      <c r="O736" s="142"/>
      <c r="P736" s="125"/>
      <c r="Q736" s="450"/>
      <c r="R736" s="142"/>
      <c r="S736" s="142"/>
      <c r="T736" s="142"/>
      <c r="U736" s="140"/>
      <c r="V736" s="456"/>
      <c r="W736" s="142"/>
      <c r="X736" s="142"/>
      <c r="Y736" s="142"/>
      <c r="Z736" s="140"/>
      <c r="AA736" s="456"/>
      <c r="AB736" s="142"/>
      <c r="AC736" s="142"/>
      <c r="AD736" s="142"/>
      <c r="AE736" s="140"/>
      <c r="AF736" s="456"/>
      <c r="AG736" s="142"/>
      <c r="AH736" s="142"/>
      <c r="AI736" s="142"/>
      <c r="AJ736" s="140"/>
      <c r="AK736" s="456"/>
      <c r="AL736" s="142"/>
      <c r="AM736" s="142"/>
      <c r="AN736" s="142"/>
      <c r="AO736" s="438"/>
      <c r="AP736" s="438"/>
      <c r="AQ736" s="438"/>
      <c r="AR736" s="438"/>
      <c r="AS736" s="438"/>
      <c r="AT736" s="438"/>
      <c r="AU736" s="438"/>
      <c r="AV736" s="438"/>
      <c r="AW736" s="438"/>
      <c r="AX736" s="438"/>
      <c r="AY736" s="438"/>
      <c r="AZ736" s="438"/>
      <c r="BA736" s="438"/>
      <c r="BB736" s="438"/>
      <c r="BC736" s="438"/>
      <c r="BD736" s="438"/>
      <c r="BE736" s="438"/>
      <c r="BF736" s="438"/>
      <c r="BG736" s="438"/>
      <c r="BH736" s="438"/>
    </row>
    <row r="737">
      <c r="A737" s="140"/>
      <c r="B737" s="456"/>
      <c r="C737" s="142"/>
      <c r="D737" s="142"/>
      <c r="E737" s="142"/>
      <c r="F737" s="140"/>
      <c r="G737" s="456"/>
      <c r="H737" s="142"/>
      <c r="I737" s="142"/>
      <c r="J737" s="142"/>
      <c r="K737" s="125"/>
      <c r="L737" s="456"/>
      <c r="M737" s="142"/>
      <c r="N737" s="142"/>
      <c r="O737" s="142"/>
      <c r="P737" s="125"/>
      <c r="Q737" s="450"/>
      <c r="R737" s="142"/>
      <c r="S737" s="142"/>
      <c r="T737" s="142"/>
      <c r="U737" s="140"/>
      <c r="V737" s="456"/>
      <c r="W737" s="142"/>
      <c r="X737" s="142"/>
      <c r="Y737" s="142"/>
      <c r="Z737" s="140"/>
      <c r="AA737" s="456"/>
      <c r="AB737" s="142"/>
      <c r="AC737" s="142"/>
      <c r="AD737" s="142"/>
      <c r="AE737" s="140"/>
      <c r="AF737" s="456"/>
      <c r="AG737" s="142"/>
      <c r="AH737" s="142"/>
      <c r="AI737" s="142"/>
      <c r="AJ737" s="140"/>
      <c r="AK737" s="456"/>
      <c r="AL737" s="142"/>
      <c r="AM737" s="142"/>
      <c r="AN737" s="142"/>
      <c r="AO737" s="438"/>
      <c r="AP737" s="438"/>
      <c r="AQ737" s="438"/>
      <c r="AR737" s="438"/>
      <c r="AS737" s="438"/>
      <c r="AT737" s="438"/>
      <c r="AU737" s="438"/>
      <c r="AV737" s="438"/>
      <c r="AW737" s="438"/>
      <c r="AX737" s="438"/>
      <c r="AY737" s="438"/>
      <c r="AZ737" s="438"/>
      <c r="BA737" s="438"/>
      <c r="BB737" s="438"/>
      <c r="BC737" s="438"/>
      <c r="BD737" s="438"/>
      <c r="BE737" s="438"/>
      <c r="BF737" s="438"/>
      <c r="BG737" s="438"/>
      <c r="BH737" s="438"/>
    </row>
    <row r="738">
      <c r="A738" s="140"/>
      <c r="B738" s="456"/>
      <c r="C738" s="142"/>
      <c r="D738" s="142"/>
      <c r="E738" s="142"/>
      <c r="F738" s="140"/>
      <c r="G738" s="456"/>
      <c r="H738" s="142"/>
      <c r="I738" s="142"/>
      <c r="J738" s="142"/>
      <c r="K738" s="125"/>
      <c r="L738" s="456"/>
      <c r="M738" s="142"/>
      <c r="N738" s="142"/>
      <c r="O738" s="142"/>
      <c r="P738" s="125"/>
      <c r="Q738" s="450"/>
      <c r="R738" s="142"/>
      <c r="S738" s="142"/>
      <c r="T738" s="142"/>
      <c r="U738" s="140"/>
      <c r="V738" s="456"/>
      <c r="W738" s="142"/>
      <c r="X738" s="142"/>
      <c r="Y738" s="142"/>
      <c r="Z738" s="140"/>
      <c r="AA738" s="456"/>
      <c r="AB738" s="142"/>
      <c r="AC738" s="142"/>
      <c r="AD738" s="142"/>
      <c r="AE738" s="140"/>
      <c r="AF738" s="456"/>
      <c r="AG738" s="142"/>
      <c r="AH738" s="142"/>
      <c r="AI738" s="142"/>
      <c r="AJ738" s="140"/>
      <c r="AK738" s="456"/>
      <c r="AL738" s="142"/>
      <c r="AM738" s="142"/>
      <c r="AN738" s="142"/>
      <c r="AO738" s="438"/>
      <c r="AP738" s="438"/>
      <c r="AQ738" s="438"/>
      <c r="AR738" s="438"/>
      <c r="AS738" s="438"/>
      <c r="AT738" s="438"/>
      <c r="AU738" s="438"/>
      <c r="AV738" s="438"/>
      <c r="AW738" s="438"/>
      <c r="AX738" s="438"/>
      <c r="AY738" s="438"/>
      <c r="AZ738" s="438"/>
      <c r="BA738" s="438"/>
      <c r="BB738" s="438"/>
      <c r="BC738" s="438"/>
      <c r="BD738" s="438"/>
      <c r="BE738" s="438"/>
      <c r="BF738" s="438"/>
      <c r="BG738" s="438"/>
      <c r="BH738" s="438"/>
    </row>
    <row r="739">
      <c r="A739" s="140"/>
      <c r="B739" s="456"/>
      <c r="C739" s="142"/>
      <c r="D739" s="142"/>
      <c r="E739" s="142"/>
      <c r="F739" s="140"/>
      <c r="G739" s="456"/>
      <c r="H739" s="142"/>
      <c r="I739" s="142"/>
      <c r="J739" s="142"/>
      <c r="K739" s="125"/>
      <c r="L739" s="456"/>
      <c r="M739" s="142"/>
      <c r="N739" s="142"/>
      <c r="O739" s="142"/>
      <c r="P739" s="125"/>
      <c r="Q739" s="450"/>
      <c r="R739" s="142"/>
      <c r="S739" s="142"/>
      <c r="T739" s="142"/>
      <c r="U739" s="140"/>
      <c r="V739" s="456"/>
      <c r="W739" s="142"/>
      <c r="X739" s="142"/>
      <c r="Y739" s="142"/>
      <c r="Z739" s="140"/>
      <c r="AA739" s="456"/>
      <c r="AB739" s="142"/>
      <c r="AC739" s="142"/>
      <c r="AD739" s="142"/>
      <c r="AE739" s="140"/>
      <c r="AF739" s="456"/>
      <c r="AG739" s="142"/>
      <c r="AH739" s="142"/>
      <c r="AI739" s="142"/>
      <c r="AJ739" s="140"/>
      <c r="AK739" s="456"/>
      <c r="AL739" s="142"/>
      <c r="AM739" s="142"/>
      <c r="AN739" s="142"/>
      <c r="AO739" s="438"/>
      <c r="AP739" s="438"/>
      <c r="AQ739" s="438"/>
      <c r="AR739" s="438"/>
      <c r="AS739" s="438"/>
      <c r="AT739" s="438"/>
      <c r="AU739" s="438"/>
      <c r="AV739" s="438"/>
      <c r="AW739" s="438"/>
      <c r="AX739" s="438"/>
      <c r="AY739" s="438"/>
      <c r="AZ739" s="438"/>
      <c r="BA739" s="438"/>
      <c r="BB739" s="438"/>
      <c r="BC739" s="438"/>
      <c r="BD739" s="438"/>
      <c r="BE739" s="438"/>
      <c r="BF739" s="438"/>
      <c r="BG739" s="438"/>
      <c r="BH739" s="438"/>
    </row>
    <row r="740">
      <c r="A740" s="140"/>
      <c r="B740" s="456"/>
      <c r="C740" s="142"/>
      <c r="D740" s="142"/>
      <c r="E740" s="142"/>
      <c r="F740" s="140"/>
      <c r="G740" s="456"/>
      <c r="H740" s="142"/>
      <c r="I740" s="142"/>
      <c r="J740" s="142"/>
      <c r="K740" s="125"/>
      <c r="L740" s="456"/>
      <c r="M740" s="142"/>
      <c r="N740" s="142"/>
      <c r="O740" s="142"/>
      <c r="P740" s="125"/>
      <c r="Q740" s="450"/>
      <c r="R740" s="142"/>
      <c r="S740" s="142"/>
      <c r="T740" s="142"/>
      <c r="U740" s="140"/>
      <c r="V740" s="456"/>
      <c r="W740" s="142"/>
      <c r="X740" s="142"/>
      <c r="Y740" s="142"/>
      <c r="Z740" s="140"/>
      <c r="AA740" s="456"/>
      <c r="AB740" s="142"/>
      <c r="AC740" s="142"/>
      <c r="AD740" s="142"/>
      <c r="AE740" s="140"/>
      <c r="AF740" s="456"/>
      <c r="AG740" s="142"/>
      <c r="AH740" s="142"/>
      <c r="AI740" s="142"/>
      <c r="AJ740" s="140"/>
      <c r="AK740" s="456"/>
      <c r="AL740" s="142"/>
      <c r="AM740" s="142"/>
      <c r="AN740" s="142"/>
      <c r="AO740" s="438"/>
      <c r="AP740" s="438"/>
      <c r="AQ740" s="438"/>
      <c r="AR740" s="438"/>
      <c r="AS740" s="438"/>
      <c r="AT740" s="438"/>
      <c r="AU740" s="438"/>
      <c r="AV740" s="438"/>
      <c r="AW740" s="438"/>
      <c r="AX740" s="438"/>
      <c r="AY740" s="438"/>
      <c r="AZ740" s="438"/>
      <c r="BA740" s="438"/>
      <c r="BB740" s="438"/>
      <c r="BC740" s="438"/>
      <c r="BD740" s="438"/>
      <c r="BE740" s="438"/>
      <c r="BF740" s="438"/>
      <c r="BG740" s="438"/>
      <c r="BH740" s="438"/>
    </row>
    <row r="741">
      <c r="A741" s="140"/>
      <c r="B741" s="456"/>
      <c r="C741" s="142"/>
      <c r="D741" s="142"/>
      <c r="E741" s="142"/>
      <c r="F741" s="140"/>
      <c r="G741" s="456"/>
      <c r="H741" s="142"/>
      <c r="I741" s="142"/>
      <c r="J741" s="142"/>
      <c r="K741" s="125"/>
      <c r="L741" s="456"/>
      <c r="M741" s="142"/>
      <c r="N741" s="142"/>
      <c r="O741" s="142"/>
      <c r="P741" s="125"/>
      <c r="Q741" s="450"/>
      <c r="R741" s="142"/>
      <c r="S741" s="142"/>
      <c r="T741" s="142"/>
      <c r="U741" s="140"/>
      <c r="V741" s="456"/>
      <c r="W741" s="142"/>
      <c r="X741" s="142"/>
      <c r="Y741" s="142"/>
      <c r="Z741" s="140"/>
      <c r="AA741" s="456"/>
      <c r="AB741" s="142"/>
      <c r="AC741" s="142"/>
      <c r="AD741" s="142"/>
      <c r="AE741" s="140"/>
      <c r="AF741" s="456"/>
      <c r="AG741" s="142"/>
      <c r="AH741" s="142"/>
      <c r="AI741" s="142"/>
      <c r="AJ741" s="140"/>
      <c r="AK741" s="456"/>
      <c r="AL741" s="142"/>
      <c r="AM741" s="142"/>
      <c r="AN741" s="142"/>
      <c r="AO741" s="438"/>
      <c r="AP741" s="438"/>
      <c r="AQ741" s="438"/>
      <c r="AR741" s="438"/>
      <c r="AS741" s="438"/>
      <c r="AT741" s="438"/>
      <c r="AU741" s="438"/>
      <c r="AV741" s="438"/>
      <c r="AW741" s="438"/>
      <c r="AX741" s="438"/>
      <c r="AY741" s="438"/>
      <c r="AZ741" s="438"/>
      <c r="BA741" s="438"/>
      <c r="BB741" s="438"/>
      <c r="BC741" s="438"/>
      <c r="BD741" s="438"/>
      <c r="BE741" s="438"/>
      <c r="BF741" s="438"/>
      <c r="BG741" s="438"/>
      <c r="BH741" s="438"/>
    </row>
    <row r="742">
      <c r="A742" s="140"/>
      <c r="B742" s="456"/>
      <c r="C742" s="142"/>
      <c r="D742" s="142"/>
      <c r="E742" s="142"/>
      <c r="F742" s="140"/>
      <c r="G742" s="456"/>
      <c r="H742" s="142"/>
      <c r="I742" s="142"/>
      <c r="J742" s="142"/>
      <c r="K742" s="125"/>
      <c r="L742" s="456"/>
      <c r="M742" s="142"/>
      <c r="N742" s="142"/>
      <c r="O742" s="142"/>
      <c r="P742" s="125"/>
      <c r="Q742" s="450"/>
      <c r="R742" s="142"/>
      <c r="S742" s="142"/>
      <c r="T742" s="142"/>
      <c r="U742" s="140"/>
      <c r="V742" s="456"/>
      <c r="W742" s="142"/>
      <c r="X742" s="142"/>
      <c r="Y742" s="142"/>
      <c r="Z742" s="140"/>
      <c r="AA742" s="456"/>
      <c r="AB742" s="142"/>
      <c r="AC742" s="142"/>
      <c r="AD742" s="142"/>
      <c r="AE742" s="140"/>
      <c r="AF742" s="456"/>
      <c r="AG742" s="142"/>
      <c r="AH742" s="142"/>
      <c r="AI742" s="142"/>
      <c r="AJ742" s="140"/>
      <c r="AK742" s="456"/>
      <c r="AL742" s="142"/>
      <c r="AM742" s="142"/>
      <c r="AN742" s="142"/>
      <c r="AO742" s="438"/>
      <c r="AP742" s="438"/>
      <c r="AQ742" s="438"/>
      <c r="AR742" s="438"/>
      <c r="AS742" s="438"/>
      <c r="AT742" s="438"/>
      <c r="AU742" s="438"/>
      <c r="AV742" s="438"/>
      <c r="AW742" s="438"/>
      <c r="AX742" s="438"/>
      <c r="AY742" s="438"/>
      <c r="AZ742" s="438"/>
      <c r="BA742" s="438"/>
      <c r="BB742" s="438"/>
      <c r="BC742" s="438"/>
      <c r="BD742" s="438"/>
      <c r="BE742" s="438"/>
      <c r="BF742" s="438"/>
      <c r="BG742" s="438"/>
      <c r="BH742" s="438"/>
    </row>
    <row r="743">
      <c r="A743" s="140"/>
      <c r="B743" s="456"/>
      <c r="C743" s="142"/>
      <c r="D743" s="142"/>
      <c r="E743" s="142"/>
      <c r="F743" s="140"/>
      <c r="G743" s="456"/>
      <c r="H743" s="142"/>
      <c r="I743" s="142"/>
      <c r="J743" s="142"/>
      <c r="K743" s="125"/>
      <c r="L743" s="456"/>
      <c r="M743" s="142"/>
      <c r="N743" s="142"/>
      <c r="O743" s="142"/>
      <c r="P743" s="125"/>
      <c r="Q743" s="450"/>
      <c r="R743" s="142"/>
      <c r="S743" s="142"/>
      <c r="T743" s="142"/>
      <c r="U743" s="140"/>
      <c r="V743" s="456"/>
      <c r="W743" s="142"/>
      <c r="X743" s="142"/>
      <c r="Y743" s="142"/>
      <c r="Z743" s="140"/>
      <c r="AA743" s="456"/>
      <c r="AB743" s="142"/>
      <c r="AC743" s="142"/>
      <c r="AD743" s="142"/>
      <c r="AE743" s="140"/>
      <c r="AF743" s="456"/>
      <c r="AG743" s="142"/>
      <c r="AH743" s="142"/>
      <c r="AI743" s="142"/>
      <c r="AJ743" s="140"/>
      <c r="AK743" s="456"/>
      <c r="AL743" s="142"/>
      <c r="AM743" s="142"/>
      <c r="AN743" s="142"/>
      <c r="AO743" s="438"/>
      <c r="AP743" s="438"/>
      <c r="AQ743" s="438"/>
      <c r="AR743" s="438"/>
      <c r="AS743" s="438"/>
      <c r="AT743" s="438"/>
      <c r="AU743" s="438"/>
      <c r="AV743" s="438"/>
      <c r="AW743" s="438"/>
      <c r="AX743" s="438"/>
      <c r="AY743" s="438"/>
      <c r="AZ743" s="438"/>
      <c r="BA743" s="438"/>
      <c r="BB743" s="438"/>
      <c r="BC743" s="438"/>
      <c r="BD743" s="438"/>
      <c r="BE743" s="438"/>
      <c r="BF743" s="438"/>
      <c r="BG743" s="438"/>
      <c r="BH743" s="438"/>
    </row>
    <row r="744">
      <c r="A744" s="140"/>
      <c r="B744" s="456"/>
      <c r="C744" s="142"/>
      <c r="D744" s="142"/>
      <c r="E744" s="142"/>
      <c r="F744" s="140"/>
      <c r="G744" s="456"/>
      <c r="H744" s="142"/>
      <c r="I744" s="142"/>
      <c r="J744" s="142"/>
      <c r="K744" s="125"/>
      <c r="L744" s="456"/>
      <c r="M744" s="142"/>
      <c r="N744" s="142"/>
      <c r="O744" s="142"/>
      <c r="P744" s="125"/>
      <c r="Q744" s="450"/>
      <c r="R744" s="142"/>
      <c r="S744" s="142"/>
      <c r="T744" s="142"/>
      <c r="U744" s="140"/>
      <c r="V744" s="456"/>
      <c r="W744" s="142"/>
      <c r="X744" s="142"/>
      <c r="Y744" s="142"/>
      <c r="Z744" s="140"/>
      <c r="AA744" s="456"/>
      <c r="AB744" s="142"/>
      <c r="AC744" s="142"/>
      <c r="AD744" s="142"/>
      <c r="AE744" s="140"/>
      <c r="AF744" s="456"/>
      <c r="AG744" s="142"/>
      <c r="AH744" s="142"/>
      <c r="AI744" s="142"/>
      <c r="AJ744" s="140"/>
      <c r="AK744" s="456"/>
      <c r="AL744" s="142"/>
      <c r="AM744" s="142"/>
      <c r="AN744" s="142"/>
      <c r="AO744" s="438"/>
      <c r="AP744" s="438"/>
      <c r="AQ744" s="438"/>
      <c r="AR744" s="438"/>
      <c r="AS744" s="438"/>
      <c r="AT744" s="438"/>
      <c r="AU744" s="438"/>
      <c r="AV744" s="438"/>
      <c r="AW744" s="438"/>
      <c r="AX744" s="438"/>
      <c r="AY744" s="438"/>
      <c r="AZ744" s="438"/>
      <c r="BA744" s="438"/>
      <c r="BB744" s="438"/>
      <c r="BC744" s="438"/>
      <c r="BD744" s="438"/>
      <c r="BE744" s="438"/>
      <c r="BF744" s="438"/>
      <c r="BG744" s="438"/>
      <c r="BH744" s="438"/>
    </row>
    <row r="745">
      <c r="A745" s="140"/>
      <c r="B745" s="456"/>
      <c r="C745" s="142"/>
      <c r="D745" s="142"/>
      <c r="E745" s="142"/>
      <c r="F745" s="140"/>
      <c r="G745" s="456"/>
      <c r="H745" s="142"/>
      <c r="I745" s="142"/>
      <c r="J745" s="142"/>
      <c r="K745" s="125"/>
      <c r="L745" s="456"/>
      <c r="M745" s="142"/>
      <c r="N745" s="142"/>
      <c r="O745" s="142"/>
      <c r="P745" s="125"/>
      <c r="Q745" s="450"/>
      <c r="R745" s="142"/>
      <c r="S745" s="142"/>
      <c r="T745" s="142"/>
      <c r="U745" s="140"/>
      <c r="V745" s="456"/>
      <c r="W745" s="142"/>
      <c r="X745" s="142"/>
      <c r="Y745" s="142"/>
      <c r="Z745" s="140"/>
      <c r="AA745" s="456"/>
      <c r="AB745" s="142"/>
      <c r="AC745" s="142"/>
      <c r="AD745" s="142"/>
      <c r="AE745" s="140"/>
      <c r="AF745" s="456"/>
      <c r="AG745" s="142"/>
      <c r="AH745" s="142"/>
      <c r="AI745" s="142"/>
      <c r="AJ745" s="140"/>
      <c r="AK745" s="456"/>
      <c r="AL745" s="142"/>
      <c r="AM745" s="142"/>
      <c r="AN745" s="142"/>
      <c r="AO745" s="438"/>
      <c r="AP745" s="438"/>
      <c r="AQ745" s="438"/>
      <c r="AR745" s="438"/>
      <c r="AS745" s="438"/>
      <c r="AT745" s="438"/>
      <c r="AU745" s="438"/>
      <c r="AV745" s="438"/>
      <c r="AW745" s="438"/>
      <c r="AX745" s="438"/>
      <c r="AY745" s="438"/>
      <c r="AZ745" s="438"/>
      <c r="BA745" s="438"/>
      <c r="BB745" s="438"/>
      <c r="BC745" s="438"/>
      <c r="BD745" s="438"/>
      <c r="BE745" s="438"/>
      <c r="BF745" s="438"/>
      <c r="BG745" s="438"/>
      <c r="BH745" s="438"/>
    </row>
    <row r="746">
      <c r="A746" s="140"/>
      <c r="B746" s="456"/>
      <c r="C746" s="142"/>
      <c r="D746" s="142"/>
      <c r="E746" s="142"/>
      <c r="F746" s="140"/>
      <c r="G746" s="456"/>
      <c r="H746" s="142"/>
      <c r="I746" s="142"/>
      <c r="J746" s="142"/>
      <c r="K746" s="125"/>
      <c r="L746" s="456"/>
      <c r="M746" s="142"/>
      <c r="N746" s="142"/>
      <c r="O746" s="142"/>
      <c r="P746" s="125"/>
      <c r="Q746" s="450"/>
      <c r="R746" s="142"/>
      <c r="S746" s="142"/>
      <c r="T746" s="142"/>
      <c r="U746" s="140"/>
      <c r="V746" s="456"/>
      <c r="W746" s="142"/>
      <c r="X746" s="142"/>
      <c r="Y746" s="142"/>
      <c r="Z746" s="140"/>
      <c r="AA746" s="456"/>
      <c r="AB746" s="142"/>
      <c r="AC746" s="142"/>
      <c r="AD746" s="142"/>
      <c r="AE746" s="140"/>
      <c r="AF746" s="456"/>
      <c r="AG746" s="142"/>
      <c r="AH746" s="142"/>
      <c r="AI746" s="142"/>
      <c r="AJ746" s="140"/>
      <c r="AK746" s="456"/>
      <c r="AL746" s="142"/>
      <c r="AM746" s="142"/>
      <c r="AN746" s="142"/>
      <c r="AO746" s="438"/>
      <c r="AP746" s="438"/>
      <c r="AQ746" s="438"/>
      <c r="AR746" s="438"/>
      <c r="AS746" s="438"/>
      <c r="AT746" s="438"/>
      <c r="AU746" s="438"/>
      <c r="AV746" s="438"/>
      <c r="AW746" s="438"/>
      <c r="AX746" s="438"/>
      <c r="AY746" s="438"/>
      <c r="AZ746" s="438"/>
      <c r="BA746" s="438"/>
      <c r="BB746" s="438"/>
      <c r="BC746" s="438"/>
      <c r="BD746" s="438"/>
      <c r="BE746" s="438"/>
      <c r="BF746" s="438"/>
      <c r="BG746" s="438"/>
      <c r="BH746" s="438"/>
    </row>
    <row r="747">
      <c r="A747" s="140"/>
      <c r="B747" s="456"/>
      <c r="C747" s="142"/>
      <c r="D747" s="142"/>
      <c r="E747" s="142"/>
      <c r="F747" s="140"/>
      <c r="G747" s="456"/>
      <c r="H747" s="142"/>
      <c r="I747" s="142"/>
      <c r="J747" s="142"/>
      <c r="K747" s="125"/>
      <c r="L747" s="456"/>
      <c r="M747" s="142"/>
      <c r="N747" s="142"/>
      <c r="O747" s="142"/>
      <c r="P747" s="125"/>
      <c r="Q747" s="450"/>
      <c r="R747" s="142"/>
      <c r="S747" s="142"/>
      <c r="T747" s="142"/>
      <c r="U747" s="140"/>
      <c r="V747" s="456"/>
      <c r="W747" s="142"/>
      <c r="X747" s="142"/>
      <c r="Y747" s="142"/>
      <c r="Z747" s="140"/>
      <c r="AA747" s="456"/>
      <c r="AB747" s="142"/>
      <c r="AC747" s="142"/>
      <c r="AD747" s="142"/>
      <c r="AE747" s="140"/>
      <c r="AF747" s="456"/>
      <c r="AG747" s="142"/>
      <c r="AH747" s="142"/>
      <c r="AI747" s="142"/>
      <c r="AJ747" s="140"/>
      <c r="AK747" s="456"/>
      <c r="AL747" s="142"/>
      <c r="AM747" s="142"/>
      <c r="AN747" s="142"/>
      <c r="AO747" s="438"/>
      <c r="AP747" s="438"/>
      <c r="AQ747" s="438"/>
      <c r="AR747" s="438"/>
      <c r="AS747" s="438"/>
      <c r="AT747" s="438"/>
      <c r="AU747" s="438"/>
      <c r="AV747" s="438"/>
      <c r="AW747" s="438"/>
      <c r="AX747" s="438"/>
      <c r="AY747" s="438"/>
      <c r="AZ747" s="438"/>
      <c r="BA747" s="438"/>
      <c r="BB747" s="438"/>
      <c r="BC747" s="438"/>
      <c r="BD747" s="438"/>
      <c r="BE747" s="438"/>
      <c r="BF747" s="438"/>
      <c r="BG747" s="438"/>
      <c r="BH747" s="438"/>
    </row>
    <row r="748">
      <c r="A748" s="140"/>
      <c r="B748" s="456"/>
      <c r="C748" s="142"/>
      <c r="D748" s="142"/>
      <c r="E748" s="142"/>
      <c r="F748" s="140"/>
      <c r="G748" s="456"/>
      <c r="H748" s="142"/>
      <c r="I748" s="142"/>
      <c r="J748" s="142"/>
      <c r="K748" s="125"/>
      <c r="L748" s="456"/>
      <c r="M748" s="142"/>
      <c r="N748" s="142"/>
      <c r="O748" s="142"/>
      <c r="P748" s="125"/>
      <c r="Q748" s="450"/>
      <c r="R748" s="142"/>
      <c r="S748" s="142"/>
      <c r="T748" s="142"/>
      <c r="U748" s="140"/>
      <c r="V748" s="456"/>
      <c r="W748" s="142"/>
      <c r="X748" s="142"/>
      <c r="Y748" s="142"/>
      <c r="Z748" s="140"/>
      <c r="AA748" s="456"/>
      <c r="AB748" s="142"/>
      <c r="AC748" s="142"/>
      <c r="AD748" s="142"/>
      <c r="AE748" s="140"/>
      <c r="AF748" s="456"/>
      <c r="AG748" s="142"/>
      <c r="AH748" s="142"/>
      <c r="AI748" s="142"/>
      <c r="AJ748" s="140"/>
      <c r="AK748" s="456"/>
      <c r="AL748" s="142"/>
      <c r="AM748" s="142"/>
      <c r="AN748" s="142"/>
      <c r="AO748" s="438"/>
      <c r="AP748" s="438"/>
      <c r="AQ748" s="438"/>
      <c r="AR748" s="438"/>
      <c r="AS748" s="438"/>
      <c r="AT748" s="438"/>
      <c r="AU748" s="438"/>
      <c r="AV748" s="438"/>
      <c r="AW748" s="438"/>
      <c r="AX748" s="438"/>
      <c r="AY748" s="438"/>
      <c r="AZ748" s="438"/>
      <c r="BA748" s="438"/>
      <c r="BB748" s="438"/>
      <c r="BC748" s="438"/>
      <c r="BD748" s="438"/>
      <c r="BE748" s="438"/>
      <c r="BF748" s="438"/>
      <c r="BG748" s="438"/>
      <c r="BH748" s="438"/>
    </row>
    <row r="749">
      <c r="A749" s="140"/>
      <c r="B749" s="456"/>
      <c r="C749" s="142"/>
      <c r="D749" s="142"/>
      <c r="E749" s="142"/>
      <c r="F749" s="140"/>
      <c r="G749" s="456"/>
      <c r="H749" s="142"/>
      <c r="I749" s="142"/>
      <c r="J749" s="142"/>
      <c r="K749" s="125"/>
      <c r="L749" s="456"/>
      <c r="M749" s="142"/>
      <c r="N749" s="142"/>
      <c r="O749" s="142"/>
      <c r="P749" s="125"/>
      <c r="Q749" s="450"/>
      <c r="R749" s="142"/>
      <c r="S749" s="142"/>
      <c r="T749" s="142"/>
      <c r="U749" s="140"/>
      <c r="V749" s="456"/>
      <c r="W749" s="142"/>
      <c r="X749" s="142"/>
      <c r="Y749" s="142"/>
      <c r="Z749" s="140"/>
      <c r="AA749" s="456"/>
      <c r="AB749" s="142"/>
      <c r="AC749" s="142"/>
      <c r="AD749" s="142"/>
      <c r="AE749" s="140"/>
      <c r="AF749" s="456"/>
      <c r="AG749" s="142"/>
      <c r="AH749" s="142"/>
      <c r="AI749" s="142"/>
      <c r="AJ749" s="140"/>
      <c r="AK749" s="456"/>
      <c r="AL749" s="142"/>
      <c r="AM749" s="142"/>
      <c r="AN749" s="142"/>
      <c r="AO749" s="438"/>
      <c r="AP749" s="438"/>
      <c r="AQ749" s="438"/>
      <c r="AR749" s="438"/>
      <c r="AS749" s="438"/>
      <c r="AT749" s="438"/>
      <c r="AU749" s="438"/>
      <c r="AV749" s="438"/>
      <c r="AW749" s="438"/>
      <c r="AX749" s="438"/>
      <c r="AY749" s="438"/>
      <c r="AZ749" s="438"/>
      <c r="BA749" s="438"/>
      <c r="BB749" s="438"/>
      <c r="BC749" s="438"/>
      <c r="BD749" s="438"/>
      <c r="BE749" s="438"/>
      <c r="BF749" s="438"/>
      <c r="BG749" s="438"/>
      <c r="BH749" s="438"/>
    </row>
    <row r="750">
      <c r="A750" s="140"/>
      <c r="B750" s="456"/>
      <c r="C750" s="142"/>
      <c r="D750" s="142"/>
      <c r="E750" s="142"/>
      <c r="F750" s="140"/>
      <c r="G750" s="456"/>
      <c r="H750" s="142"/>
      <c r="I750" s="142"/>
      <c r="J750" s="142"/>
      <c r="K750" s="125"/>
      <c r="L750" s="456"/>
      <c r="M750" s="142"/>
      <c r="N750" s="142"/>
      <c r="O750" s="142"/>
      <c r="P750" s="125"/>
      <c r="Q750" s="450"/>
      <c r="R750" s="142"/>
      <c r="S750" s="142"/>
      <c r="T750" s="142"/>
      <c r="U750" s="140"/>
      <c r="V750" s="456"/>
      <c r="W750" s="142"/>
      <c r="X750" s="142"/>
      <c r="Y750" s="142"/>
      <c r="Z750" s="140"/>
      <c r="AA750" s="456"/>
      <c r="AB750" s="142"/>
      <c r="AC750" s="142"/>
      <c r="AD750" s="142"/>
      <c r="AE750" s="140"/>
      <c r="AF750" s="456"/>
      <c r="AG750" s="142"/>
      <c r="AH750" s="142"/>
      <c r="AI750" s="142"/>
      <c r="AJ750" s="140"/>
      <c r="AK750" s="456"/>
      <c r="AL750" s="142"/>
      <c r="AM750" s="142"/>
      <c r="AN750" s="142"/>
      <c r="AO750" s="438"/>
      <c r="AP750" s="438"/>
      <c r="AQ750" s="438"/>
      <c r="AR750" s="438"/>
      <c r="AS750" s="438"/>
      <c r="AT750" s="438"/>
      <c r="AU750" s="438"/>
      <c r="AV750" s="438"/>
      <c r="AW750" s="438"/>
      <c r="AX750" s="438"/>
      <c r="AY750" s="438"/>
      <c r="AZ750" s="438"/>
      <c r="BA750" s="438"/>
      <c r="BB750" s="438"/>
      <c r="BC750" s="438"/>
      <c r="BD750" s="438"/>
      <c r="BE750" s="438"/>
      <c r="BF750" s="438"/>
      <c r="BG750" s="438"/>
      <c r="BH750" s="438"/>
    </row>
    <row r="751">
      <c r="A751" s="140"/>
      <c r="B751" s="456"/>
      <c r="C751" s="142"/>
      <c r="D751" s="142"/>
      <c r="E751" s="142"/>
      <c r="F751" s="140"/>
      <c r="G751" s="456"/>
      <c r="H751" s="142"/>
      <c r="I751" s="142"/>
      <c r="J751" s="142"/>
      <c r="K751" s="125"/>
      <c r="L751" s="456"/>
      <c r="M751" s="142"/>
      <c r="N751" s="142"/>
      <c r="O751" s="142"/>
      <c r="P751" s="125"/>
      <c r="Q751" s="450"/>
      <c r="R751" s="142"/>
      <c r="S751" s="142"/>
      <c r="T751" s="142"/>
      <c r="U751" s="140"/>
      <c r="V751" s="456"/>
      <c r="W751" s="142"/>
      <c r="X751" s="142"/>
      <c r="Y751" s="142"/>
      <c r="Z751" s="140"/>
      <c r="AA751" s="456"/>
      <c r="AB751" s="142"/>
      <c r="AC751" s="142"/>
      <c r="AD751" s="142"/>
      <c r="AE751" s="140"/>
      <c r="AF751" s="456"/>
      <c r="AG751" s="142"/>
      <c r="AH751" s="142"/>
      <c r="AI751" s="142"/>
      <c r="AJ751" s="140"/>
      <c r="AK751" s="456"/>
      <c r="AL751" s="142"/>
      <c r="AM751" s="142"/>
      <c r="AN751" s="142"/>
      <c r="AO751" s="438"/>
      <c r="AP751" s="438"/>
      <c r="AQ751" s="438"/>
      <c r="AR751" s="438"/>
      <c r="AS751" s="438"/>
      <c r="AT751" s="438"/>
      <c r="AU751" s="438"/>
      <c r="AV751" s="438"/>
      <c r="AW751" s="438"/>
      <c r="AX751" s="438"/>
      <c r="AY751" s="438"/>
      <c r="AZ751" s="438"/>
      <c r="BA751" s="438"/>
      <c r="BB751" s="438"/>
      <c r="BC751" s="438"/>
      <c r="BD751" s="438"/>
      <c r="BE751" s="438"/>
      <c r="BF751" s="438"/>
      <c r="BG751" s="438"/>
      <c r="BH751" s="438"/>
    </row>
    <row r="752">
      <c r="A752" s="140"/>
      <c r="B752" s="456"/>
      <c r="C752" s="142"/>
      <c r="D752" s="142"/>
      <c r="E752" s="142"/>
      <c r="F752" s="140"/>
      <c r="G752" s="456"/>
      <c r="H752" s="142"/>
      <c r="I752" s="142"/>
      <c r="J752" s="142"/>
      <c r="K752" s="125"/>
      <c r="L752" s="456"/>
      <c r="M752" s="142"/>
      <c r="N752" s="142"/>
      <c r="O752" s="142"/>
      <c r="P752" s="125"/>
      <c r="Q752" s="450"/>
      <c r="R752" s="142"/>
      <c r="S752" s="142"/>
      <c r="T752" s="142"/>
      <c r="U752" s="140"/>
      <c r="V752" s="456"/>
      <c r="W752" s="142"/>
      <c r="X752" s="142"/>
      <c r="Y752" s="142"/>
      <c r="Z752" s="140"/>
      <c r="AA752" s="456"/>
      <c r="AB752" s="142"/>
      <c r="AC752" s="142"/>
      <c r="AD752" s="142"/>
      <c r="AE752" s="140"/>
      <c r="AF752" s="456"/>
      <c r="AG752" s="142"/>
      <c r="AH752" s="142"/>
      <c r="AI752" s="142"/>
      <c r="AJ752" s="140"/>
      <c r="AK752" s="456"/>
      <c r="AL752" s="142"/>
      <c r="AM752" s="142"/>
      <c r="AN752" s="142"/>
      <c r="AO752" s="438"/>
      <c r="AP752" s="438"/>
      <c r="AQ752" s="438"/>
      <c r="AR752" s="438"/>
      <c r="AS752" s="438"/>
      <c r="AT752" s="438"/>
      <c r="AU752" s="438"/>
      <c r="AV752" s="438"/>
      <c r="AW752" s="438"/>
      <c r="AX752" s="438"/>
      <c r="AY752" s="438"/>
      <c r="AZ752" s="438"/>
      <c r="BA752" s="438"/>
      <c r="BB752" s="438"/>
      <c r="BC752" s="438"/>
      <c r="BD752" s="438"/>
      <c r="BE752" s="438"/>
      <c r="BF752" s="438"/>
      <c r="BG752" s="438"/>
      <c r="BH752" s="438"/>
    </row>
    <row r="753">
      <c r="A753" s="140"/>
      <c r="B753" s="456"/>
      <c r="C753" s="142"/>
      <c r="D753" s="142"/>
      <c r="E753" s="142"/>
      <c r="F753" s="140"/>
      <c r="G753" s="456"/>
      <c r="H753" s="142"/>
      <c r="I753" s="142"/>
      <c r="J753" s="142"/>
      <c r="K753" s="125"/>
      <c r="L753" s="456"/>
      <c r="M753" s="142"/>
      <c r="N753" s="142"/>
      <c r="O753" s="142"/>
      <c r="P753" s="125"/>
      <c r="Q753" s="450"/>
      <c r="R753" s="142"/>
      <c r="S753" s="142"/>
      <c r="T753" s="142"/>
      <c r="U753" s="140"/>
      <c r="V753" s="456"/>
      <c r="W753" s="142"/>
      <c r="X753" s="142"/>
      <c r="Y753" s="142"/>
      <c r="Z753" s="140"/>
      <c r="AA753" s="456"/>
      <c r="AB753" s="142"/>
      <c r="AC753" s="142"/>
      <c r="AD753" s="142"/>
      <c r="AE753" s="140"/>
      <c r="AF753" s="456"/>
      <c r="AG753" s="142"/>
      <c r="AH753" s="142"/>
      <c r="AI753" s="142"/>
      <c r="AJ753" s="140"/>
      <c r="AK753" s="456"/>
      <c r="AL753" s="142"/>
      <c r="AM753" s="142"/>
      <c r="AN753" s="142"/>
      <c r="AO753" s="438"/>
      <c r="AP753" s="438"/>
      <c r="AQ753" s="438"/>
      <c r="AR753" s="438"/>
      <c r="AS753" s="438"/>
      <c r="AT753" s="438"/>
      <c r="AU753" s="438"/>
      <c r="AV753" s="438"/>
      <c r="AW753" s="438"/>
      <c r="AX753" s="438"/>
      <c r="AY753" s="438"/>
      <c r="AZ753" s="438"/>
      <c r="BA753" s="438"/>
      <c r="BB753" s="438"/>
      <c r="BC753" s="438"/>
      <c r="BD753" s="438"/>
      <c r="BE753" s="438"/>
      <c r="BF753" s="438"/>
      <c r="BG753" s="438"/>
      <c r="BH753" s="438"/>
    </row>
    <row r="754">
      <c r="A754" s="140"/>
      <c r="B754" s="456"/>
      <c r="C754" s="142"/>
      <c r="D754" s="142"/>
      <c r="E754" s="142"/>
      <c r="F754" s="140"/>
      <c r="G754" s="456"/>
      <c r="H754" s="142"/>
      <c r="I754" s="142"/>
      <c r="J754" s="142"/>
      <c r="K754" s="125"/>
      <c r="L754" s="456"/>
      <c r="M754" s="142"/>
      <c r="N754" s="142"/>
      <c r="O754" s="142"/>
      <c r="P754" s="125"/>
      <c r="Q754" s="450"/>
      <c r="R754" s="142"/>
      <c r="S754" s="142"/>
      <c r="T754" s="142"/>
      <c r="U754" s="140"/>
      <c r="V754" s="456"/>
      <c r="W754" s="142"/>
      <c r="X754" s="142"/>
      <c r="Y754" s="142"/>
      <c r="Z754" s="140"/>
      <c r="AA754" s="456"/>
      <c r="AB754" s="142"/>
      <c r="AC754" s="142"/>
      <c r="AD754" s="142"/>
      <c r="AE754" s="140"/>
      <c r="AF754" s="456"/>
      <c r="AG754" s="142"/>
      <c r="AH754" s="142"/>
      <c r="AI754" s="142"/>
      <c r="AJ754" s="140"/>
      <c r="AK754" s="456"/>
      <c r="AL754" s="142"/>
      <c r="AM754" s="142"/>
      <c r="AN754" s="142"/>
      <c r="AO754" s="438"/>
      <c r="AP754" s="438"/>
      <c r="AQ754" s="438"/>
      <c r="AR754" s="438"/>
      <c r="AS754" s="438"/>
      <c r="AT754" s="438"/>
      <c r="AU754" s="438"/>
      <c r="AV754" s="438"/>
      <c r="AW754" s="438"/>
      <c r="AX754" s="438"/>
      <c r="AY754" s="438"/>
      <c r="AZ754" s="438"/>
      <c r="BA754" s="438"/>
      <c r="BB754" s="438"/>
      <c r="BC754" s="438"/>
      <c r="BD754" s="438"/>
      <c r="BE754" s="438"/>
      <c r="BF754" s="438"/>
      <c r="BG754" s="438"/>
      <c r="BH754" s="438"/>
    </row>
    <row r="755">
      <c r="A755" s="140"/>
      <c r="B755" s="456"/>
      <c r="C755" s="142"/>
      <c r="D755" s="142"/>
      <c r="E755" s="142"/>
      <c r="F755" s="140"/>
      <c r="G755" s="456"/>
      <c r="H755" s="142"/>
      <c r="I755" s="142"/>
      <c r="J755" s="142"/>
      <c r="K755" s="125"/>
      <c r="L755" s="456"/>
      <c r="M755" s="142"/>
      <c r="N755" s="142"/>
      <c r="O755" s="142"/>
      <c r="P755" s="125"/>
      <c r="Q755" s="450"/>
      <c r="R755" s="142"/>
      <c r="S755" s="142"/>
      <c r="T755" s="142"/>
      <c r="U755" s="140"/>
      <c r="V755" s="456"/>
      <c r="W755" s="142"/>
      <c r="X755" s="142"/>
      <c r="Y755" s="142"/>
      <c r="Z755" s="140"/>
      <c r="AA755" s="456"/>
      <c r="AB755" s="142"/>
      <c r="AC755" s="142"/>
      <c r="AD755" s="142"/>
      <c r="AE755" s="140"/>
      <c r="AF755" s="456"/>
      <c r="AG755" s="142"/>
      <c r="AH755" s="142"/>
      <c r="AI755" s="142"/>
      <c r="AJ755" s="140"/>
      <c r="AK755" s="456"/>
      <c r="AL755" s="142"/>
      <c r="AM755" s="142"/>
      <c r="AN755" s="142"/>
      <c r="AO755" s="438"/>
      <c r="AP755" s="438"/>
      <c r="AQ755" s="438"/>
      <c r="AR755" s="438"/>
      <c r="AS755" s="438"/>
      <c r="AT755" s="438"/>
      <c r="AU755" s="438"/>
      <c r="AV755" s="438"/>
      <c r="AW755" s="438"/>
      <c r="AX755" s="438"/>
      <c r="AY755" s="438"/>
      <c r="AZ755" s="438"/>
      <c r="BA755" s="438"/>
      <c r="BB755" s="438"/>
      <c r="BC755" s="438"/>
      <c r="BD755" s="438"/>
      <c r="BE755" s="438"/>
      <c r="BF755" s="438"/>
      <c r="BG755" s="438"/>
      <c r="BH755" s="438"/>
    </row>
    <row r="756">
      <c r="A756" s="140"/>
      <c r="B756" s="456"/>
      <c r="C756" s="142"/>
      <c r="D756" s="142"/>
      <c r="E756" s="142"/>
      <c r="F756" s="140"/>
      <c r="G756" s="456"/>
      <c r="H756" s="142"/>
      <c r="I756" s="142"/>
      <c r="J756" s="142"/>
      <c r="K756" s="125"/>
      <c r="L756" s="456"/>
      <c r="M756" s="142"/>
      <c r="N756" s="142"/>
      <c r="O756" s="142"/>
      <c r="P756" s="125"/>
      <c r="Q756" s="450"/>
      <c r="R756" s="142"/>
      <c r="S756" s="142"/>
      <c r="T756" s="142"/>
      <c r="U756" s="140"/>
      <c r="V756" s="456"/>
      <c r="W756" s="142"/>
      <c r="X756" s="142"/>
      <c r="Y756" s="142"/>
      <c r="Z756" s="140"/>
      <c r="AA756" s="456"/>
      <c r="AB756" s="142"/>
      <c r="AC756" s="142"/>
      <c r="AD756" s="142"/>
      <c r="AE756" s="140"/>
      <c r="AF756" s="456"/>
      <c r="AG756" s="142"/>
      <c r="AH756" s="142"/>
      <c r="AI756" s="142"/>
      <c r="AJ756" s="140"/>
      <c r="AK756" s="456"/>
      <c r="AL756" s="142"/>
      <c r="AM756" s="142"/>
      <c r="AN756" s="142"/>
      <c r="AO756" s="438"/>
      <c r="AP756" s="438"/>
      <c r="AQ756" s="438"/>
      <c r="AR756" s="438"/>
      <c r="AS756" s="438"/>
      <c r="AT756" s="438"/>
      <c r="AU756" s="438"/>
      <c r="AV756" s="438"/>
      <c r="AW756" s="438"/>
      <c r="AX756" s="438"/>
      <c r="AY756" s="438"/>
      <c r="AZ756" s="438"/>
      <c r="BA756" s="438"/>
      <c r="BB756" s="438"/>
      <c r="BC756" s="438"/>
      <c r="BD756" s="438"/>
      <c r="BE756" s="438"/>
      <c r="BF756" s="438"/>
      <c r="BG756" s="438"/>
      <c r="BH756" s="438"/>
    </row>
    <row r="757">
      <c r="A757" s="140"/>
      <c r="B757" s="456"/>
      <c r="C757" s="142"/>
      <c r="D757" s="142"/>
      <c r="E757" s="142"/>
      <c r="F757" s="140"/>
      <c r="G757" s="456"/>
      <c r="H757" s="142"/>
      <c r="I757" s="142"/>
      <c r="J757" s="142"/>
      <c r="K757" s="125"/>
      <c r="L757" s="456"/>
      <c r="M757" s="142"/>
      <c r="N757" s="142"/>
      <c r="O757" s="142"/>
      <c r="P757" s="125"/>
      <c r="Q757" s="450"/>
      <c r="R757" s="142"/>
      <c r="S757" s="142"/>
      <c r="T757" s="142"/>
      <c r="U757" s="140"/>
      <c r="V757" s="456"/>
      <c r="W757" s="142"/>
      <c r="X757" s="142"/>
      <c r="Y757" s="142"/>
      <c r="Z757" s="140"/>
      <c r="AA757" s="456"/>
      <c r="AB757" s="142"/>
      <c r="AC757" s="142"/>
      <c r="AD757" s="142"/>
      <c r="AE757" s="140"/>
      <c r="AF757" s="456"/>
      <c r="AG757" s="142"/>
      <c r="AH757" s="142"/>
      <c r="AI757" s="142"/>
      <c r="AJ757" s="140"/>
      <c r="AK757" s="456"/>
      <c r="AL757" s="142"/>
      <c r="AM757" s="142"/>
      <c r="AN757" s="142"/>
      <c r="AO757" s="438"/>
      <c r="AP757" s="438"/>
      <c r="AQ757" s="438"/>
      <c r="AR757" s="438"/>
      <c r="AS757" s="438"/>
      <c r="AT757" s="438"/>
      <c r="AU757" s="438"/>
      <c r="AV757" s="438"/>
      <c r="AW757" s="438"/>
      <c r="AX757" s="438"/>
      <c r="AY757" s="438"/>
      <c r="AZ757" s="438"/>
      <c r="BA757" s="438"/>
      <c r="BB757" s="438"/>
      <c r="BC757" s="438"/>
      <c r="BD757" s="438"/>
      <c r="BE757" s="438"/>
      <c r="BF757" s="438"/>
      <c r="BG757" s="438"/>
      <c r="BH757" s="438"/>
    </row>
    <row r="758">
      <c r="A758" s="140"/>
      <c r="B758" s="456"/>
      <c r="C758" s="142"/>
      <c r="D758" s="142"/>
      <c r="E758" s="142"/>
      <c r="F758" s="140"/>
      <c r="G758" s="456"/>
      <c r="H758" s="142"/>
      <c r="I758" s="142"/>
      <c r="J758" s="142"/>
      <c r="K758" s="125"/>
      <c r="L758" s="456"/>
      <c r="M758" s="142"/>
      <c r="N758" s="142"/>
      <c r="O758" s="142"/>
      <c r="P758" s="125"/>
      <c r="Q758" s="450"/>
      <c r="R758" s="142"/>
      <c r="S758" s="142"/>
      <c r="T758" s="142"/>
      <c r="U758" s="140"/>
      <c r="V758" s="456"/>
      <c r="W758" s="142"/>
      <c r="X758" s="142"/>
      <c r="Y758" s="142"/>
      <c r="Z758" s="140"/>
      <c r="AA758" s="456"/>
      <c r="AB758" s="142"/>
      <c r="AC758" s="142"/>
      <c r="AD758" s="142"/>
      <c r="AE758" s="140"/>
      <c r="AF758" s="456"/>
      <c r="AG758" s="142"/>
      <c r="AH758" s="142"/>
      <c r="AI758" s="142"/>
      <c r="AJ758" s="140"/>
      <c r="AK758" s="456"/>
      <c r="AL758" s="142"/>
      <c r="AM758" s="142"/>
      <c r="AN758" s="142"/>
      <c r="AO758" s="438"/>
      <c r="AP758" s="438"/>
      <c r="AQ758" s="438"/>
      <c r="AR758" s="438"/>
      <c r="AS758" s="438"/>
      <c r="AT758" s="438"/>
      <c r="AU758" s="438"/>
      <c r="AV758" s="438"/>
      <c r="AW758" s="438"/>
      <c r="AX758" s="438"/>
      <c r="AY758" s="438"/>
      <c r="AZ758" s="438"/>
      <c r="BA758" s="438"/>
      <c r="BB758" s="438"/>
      <c r="BC758" s="438"/>
      <c r="BD758" s="438"/>
      <c r="BE758" s="438"/>
      <c r="BF758" s="438"/>
      <c r="BG758" s="438"/>
      <c r="BH758" s="438"/>
    </row>
    <row r="759">
      <c r="A759" s="140"/>
      <c r="B759" s="456"/>
      <c r="C759" s="142"/>
      <c r="D759" s="142"/>
      <c r="E759" s="142"/>
      <c r="F759" s="140"/>
      <c r="G759" s="456"/>
      <c r="H759" s="142"/>
      <c r="I759" s="142"/>
      <c r="J759" s="142"/>
      <c r="K759" s="125"/>
      <c r="L759" s="456"/>
      <c r="M759" s="142"/>
      <c r="N759" s="142"/>
      <c r="O759" s="142"/>
      <c r="P759" s="125"/>
      <c r="Q759" s="450"/>
      <c r="R759" s="142"/>
      <c r="S759" s="142"/>
      <c r="T759" s="142"/>
      <c r="U759" s="140"/>
      <c r="V759" s="456"/>
      <c r="W759" s="142"/>
      <c r="X759" s="142"/>
      <c r="Y759" s="142"/>
      <c r="Z759" s="140"/>
      <c r="AA759" s="456"/>
      <c r="AB759" s="142"/>
      <c r="AC759" s="142"/>
      <c r="AD759" s="142"/>
      <c r="AE759" s="140"/>
      <c r="AF759" s="456"/>
      <c r="AG759" s="142"/>
      <c r="AH759" s="142"/>
      <c r="AI759" s="142"/>
      <c r="AJ759" s="140"/>
      <c r="AK759" s="456"/>
      <c r="AL759" s="142"/>
      <c r="AM759" s="142"/>
      <c r="AN759" s="142"/>
      <c r="AO759" s="438"/>
      <c r="AP759" s="438"/>
      <c r="AQ759" s="438"/>
      <c r="AR759" s="438"/>
      <c r="AS759" s="438"/>
      <c r="AT759" s="438"/>
      <c r="AU759" s="438"/>
      <c r="AV759" s="438"/>
      <c r="AW759" s="438"/>
      <c r="AX759" s="438"/>
      <c r="AY759" s="438"/>
      <c r="AZ759" s="438"/>
      <c r="BA759" s="438"/>
      <c r="BB759" s="438"/>
      <c r="BC759" s="438"/>
      <c r="BD759" s="438"/>
      <c r="BE759" s="438"/>
      <c r="BF759" s="438"/>
      <c r="BG759" s="438"/>
      <c r="BH759" s="438"/>
    </row>
    <row r="760">
      <c r="A760" s="140"/>
      <c r="B760" s="456"/>
      <c r="C760" s="142"/>
      <c r="D760" s="142"/>
      <c r="E760" s="142"/>
      <c r="F760" s="140"/>
      <c r="G760" s="456"/>
      <c r="H760" s="142"/>
      <c r="I760" s="142"/>
      <c r="J760" s="142"/>
      <c r="K760" s="125"/>
      <c r="L760" s="456"/>
      <c r="M760" s="142"/>
      <c r="N760" s="142"/>
      <c r="O760" s="142"/>
      <c r="P760" s="125"/>
      <c r="Q760" s="450"/>
      <c r="R760" s="142"/>
      <c r="S760" s="142"/>
      <c r="T760" s="142"/>
      <c r="U760" s="140"/>
      <c r="V760" s="456"/>
      <c r="W760" s="142"/>
      <c r="X760" s="142"/>
      <c r="Y760" s="142"/>
      <c r="Z760" s="140"/>
      <c r="AA760" s="456"/>
      <c r="AB760" s="142"/>
      <c r="AC760" s="142"/>
      <c r="AD760" s="142"/>
      <c r="AE760" s="140"/>
      <c r="AF760" s="456"/>
      <c r="AG760" s="142"/>
      <c r="AH760" s="142"/>
      <c r="AI760" s="142"/>
      <c r="AJ760" s="140"/>
      <c r="AK760" s="456"/>
      <c r="AL760" s="142"/>
      <c r="AM760" s="142"/>
      <c r="AN760" s="142"/>
      <c r="AO760" s="438"/>
      <c r="AP760" s="438"/>
      <c r="AQ760" s="438"/>
      <c r="AR760" s="438"/>
      <c r="AS760" s="438"/>
      <c r="AT760" s="438"/>
      <c r="AU760" s="438"/>
      <c r="AV760" s="438"/>
      <c r="AW760" s="438"/>
      <c r="AX760" s="438"/>
      <c r="AY760" s="438"/>
      <c r="AZ760" s="438"/>
      <c r="BA760" s="438"/>
      <c r="BB760" s="438"/>
      <c r="BC760" s="438"/>
      <c r="BD760" s="438"/>
      <c r="BE760" s="438"/>
      <c r="BF760" s="438"/>
      <c r="BG760" s="438"/>
      <c r="BH760" s="438"/>
    </row>
    <row r="761">
      <c r="A761" s="140"/>
      <c r="B761" s="456"/>
      <c r="C761" s="142"/>
      <c r="D761" s="142"/>
      <c r="E761" s="142"/>
      <c r="F761" s="140"/>
      <c r="G761" s="456"/>
      <c r="H761" s="142"/>
      <c r="I761" s="142"/>
      <c r="J761" s="142"/>
      <c r="K761" s="125"/>
      <c r="L761" s="456"/>
      <c r="M761" s="142"/>
      <c r="N761" s="142"/>
      <c r="O761" s="142"/>
      <c r="P761" s="125"/>
      <c r="Q761" s="450"/>
      <c r="R761" s="142"/>
      <c r="S761" s="142"/>
      <c r="T761" s="142"/>
      <c r="U761" s="140"/>
      <c r="V761" s="456"/>
      <c r="W761" s="142"/>
      <c r="X761" s="142"/>
      <c r="Y761" s="142"/>
      <c r="Z761" s="140"/>
      <c r="AA761" s="456"/>
      <c r="AB761" s="142"/>
      <c r="AC761" s="142"/>
      <c r="AD761" s="142"/>
      <c r="AE761" s="140"/>
      <c r="AF761" s="456"/>
      <c r="AG761" s="142"/>
      <c r="AH761" s="142"/>
      <c r="AI761" s="142"/>
      <c r="AJ761" s="140"/>
      <c r="AK761" s="456"/>
      <c r="AL761" s="142"/>
      <c r="AM761" s="142"/>
      <c r="AN761" s="142"/>
      <c r="AO761" s="438"/>
      <c r="AP761" s="438"/>
      <c r="AQ761" s="438"/>
      <c r="AR761" s="438"/>
      <c r="AS761" s="438"/>
      <c r="AT761" s="438"/>
      <c r="AU761" s="438"/>
      <c r="AV761" s="438"/>
      <c r="AW761" s="438"/>
      <c r="AX761" s="438"/>
      <c r="AY761" s="438"/>
      <c r="AZ761" s="438"/>
      <c r="BA761" s="438"/>
      <c r="BB761" s="438"/>
      <c r="BC761" s="438"/>
      <c r="BD761" s="438"/>
      <c r="BE761" s="438"/>
      <c r="BF761" s="438"/>
      <c r="BG761" s="438"/>
      <c r="BH761" s="438"/>
    </row>
    <row r="762">
      <c r="A762" s="140"/>
      <c r="B762" s="456"/>
      <c r="C762" s="142"/>
      <c r="D762" s="142"/>
      <c r="E762" s="142"/>
      <c r="F762" s="140"/>
      <c r="G762" s="456"/>
      <c r="H762" s="142"/>
      <c r="I762" s="142"/>
      <c r="J762" s="142"/>
      <c r="K762" s="125"/>
      <c r="L762" s="456"/>
      <c r="M762" s="142"/>
      <c r="N762" s="142"/>
      <c r="O762" s="142"/>
      <c r="P762" s="125"/>
      <c r="Q762" s="450"/>
      <c r="R762" s="142"/>
      <c r="S762" s="142"/>
      <c r="T762" s="142"/>
      <c r="U762" s="140"/>
      <c r="V762" s="456"/>
      <c r="W762" s="142"/>
      <c r="X762" s="142"/>
      <c r="Y762" s="142"/>
      <c r="Z762" s="140"/>
      <c r="AA762" s="456"/>
      <c r="AB762" s="142"/>
      <c r="AC762" s="142"/>
      <c r="AD762" s="142"/>
      <c r="AE762" s="140"/>
      <c r="AF762" s="456"/>
      <c r="AG762" s="142"/>
      <c r="AH762" s="142"/>
      <c r="AI762" s="142"/>
      <c r="AJ762" s="140"/>
      <c r="AK762" s="456"/>
      <c r="AL762" s="142"/>
      <c r="AM762" s="142"/>
      <c r="AN762" s="142"/>
      <c r="AO762" s="438"/>
      <c r="AP762" s="438"/>
      <c r="AQ762" s="438"/>
      <c r="AR762" s="438"/>
      <c r="AS762" s="438"/>
      <c r="AT762" s="438"/>
      <c r="AU762" s="438"/>
      <c r="AV762" s="438"/>
      <c r="AW762" s="438"/>
      <c r="AX762" s="438"/>
      <c r="AY762" s="438"/>
      <c r="AZ762" s="438"/>
      <c r="BA762" s="438"/>
      <c r="BB762" s="438"/>
      <c r="BC762" s="438"/>
      <c r="BD762" s="438"/>
      <c r="BE762" s="438"/>
      <c r="BF762" s="438"/>
      <c r="BG762" s="438"/>
      <c r="BH762" s="438"/>
    </row>
    <row r="763">
      <c r="A763" s="140"/>
      <c r="B763" s="456"/>
      <c r="C763" s="142"/>
      <c r="D763" s="142"/>
      <c r="E763" s="142"/>
      <c r="F763" s="140"/>
      <c r="G763" s="456"/>
      <c r="H763" s="142"/>
      <c r="I763" s="142"/>
      <c r="J763" s="142"/>
      <c r="K763" s="125"/>
      <c r="L763" s="456"/>
      <c r="M763" s="142"/>
      <c r="N763" s="142"/>
      <c r="O763" s="142"/>
      <c r="P763" s="125"/>
      <c r="Q763" s="450"/>
      <c r="R763" s="142"/>
      <c r="S763" s="142"/>
      <c r="T763" s="142"/>
      <c r="U763" s="140"/>
      <c r="V763" s="456"/>
      <c r="W763" s="142"/>
      <c r="X763" s="142"/>
      <c r="Y763" s="142"/>
      <c r="Z763" s="140"/>
      <c r="AA763" s="456"/>
      <c r="AB763" s="142"/>
      <c r="AC763" s="142"/>
      <c r="AD763" s="142"/>
      <c r="AE763" s="140"/>
      <c r="AF763" s="456"/>
      <c r="AG763" s="142"/>
      <c r="AH763" s="142"/>
      <c r="AI763" s="142"/>
      <c r="AJ763" s="140"/>
      <c r="AK763" s="456"/>
      <c r="AL763" s="142"/>
      <c r="AM763" s="142"/>
      <c r="AN763" s="142"/>
      <c r="AO763" s="438"/>
      <c r="AP763" s="438"/>
      <c r="AQ763" s="438"/>
      <c r="AR763" s="438"/>
      <c r="AS763" s="438"/>
      <c r="AT763" s="438"/>
      <c r="AU763" s="438"/>
      <c r="AV763" s="438"/>
      <c r="AW763" s="438"/>
      <c r="AX763" s="438"/>
      <c r="AY763" s="438"/>
      <c r="AZ763" s="438"/>
      <c r="BA763" s="438"/>
      <c r="BB763" s="438"/>
      <c r="BC763" s="438"/>
      <c r="BD763" s="438"/>
      <c r="BE763" s="438"/>
      <c r="BF763" s="438"/>
      <c r="BG763" s="438"/>
      <c r="BH763" s="438"/>
    </row>
    <row r="764">
      <c r="A764" s="140"/>
      <c r="B764" s="456"/>
      <c r="C764" s="142"/>
      <c r="D764" s="142"/>
      <c r="E764" s="142"/>
      <c r="F764" s="140"/>
      <c r="G764" s="456"/>
      <c r="H764" s="142"/>
      <c r="I764" s="142"/>
      <c r="J764" s="142"/>
      <c r="K764" s="125"/>
      <c r="L764" s="456"/>
      <c r="M764" s="142"/>
      <c r="N764" s="142"/>
      <c r="O764" s="142"/>
      <c r="P764" s="125"/>
      <c r="Q764" s="450"/>
      <c r="R764" s="142"/>
      <c r="S764" s="142"/>
      <c r="T764" s="142"/>
      <c r="U764" s="140"/>
      <c r="V764" s="456"/>
      <c r="W764" s="142"/>
      <c r="X764" s="142"/>
      <c r="Y764" s="142"/>
      <c r="Z764" s="140"/>
      <c r="AA764" s="456"/>
      <c r="AB764" s="142"/>
      <c r="AC764" s="142"/>
      <c r="AD764" s="142"/>
      <c r="AE764" s="140"/>
      <c r="AF764" s="456"/>
      <c r="AG764" s="142"/>
      <c r="AH764" s="142"/>
      <c r="AI764" s="142"/>
      <c r="AJ764" s="140"/>
      <c r="AK764" s="456"/>
      <c r="AL764" s="142"/>
      <c r="AM764" s="142"/>
      <c r="AN764" s="142"/>
      <c r="AO764" s="438"/>
      <c r="AP764" s="438"/>
      <c r="AQ764" s="438"/>
      <c r="AR764" s="438"/>
      <c r="AS764" s="438"/>
      <c r="AT764" s="438"/>
      <c r="AU764" s="438"/>
      <c r="AV764" s="438"/>
      <c r="AW764" s="438"/>
      <c r="AX764" s="438"/>
      <c r="AY764" s="438"/>
      <c r="AZ764" s="438"/>
      <c r="BA764" s="438"/>
      <c r="BB764" s="438"/>
      <c r="BC764" s="438"/>
      <c r="BD764" s="438"/>
      <c r="BE764" s="438"/>
      <c r="BF764" s="438"/>
      <c r="BG764" s="438"/>
      <c r="BH764" s="438"/>
    </row>
    <row r="765">
      <c r="A765" s="140"/>
      <c r="B765" s="456"/>
      <c r="C765" s="142"/>
      <c r="D765" s="142"/>
      <c r="E765" s="142"/>
      <c r="F765" s="140"/>
      <c r="G765" s="456"/>
      <c r="H765" s="142"/>
      <c r="I765" s="142"/>
      <c r="J765" s="142"/>
      <c r="K765" s="125"/>
      <c r="L765" s="456"/>
      <c r="M765" s="142"/>
      <c r="N765" s="142"/>
      <c r="O765" s="142"/>
      <c r="P765" s="125"/>
      <c r="Q765" s="450"/>
      <c r="R765" s="142"/>
      <c r="S765" s="142"/>
      <c r="T765" s="142"/>
      <c r="U765" s="140"/>
      <c r="V765" s="456"/>
      <c r="W765" s="142"/>
      <c r="X765" s="142"/>
      <c r="Y765" s="142"/>
      <c r="Z765" s="140"/>
      <c r="AA765" s="456"/>
      <c r="AB765" s="142"/>
      <c r="AC765" s="142"/>
      <c r="AD765" s="142"/>
      <c r="AE765" s="140"/>
      <c r="AF765" s="456"/>
      <c r="AG765" s="142"/>
      <c r="AH765" s="142"/>
      <c r="AI765" s="142"/>
      <c r="AJ765" s="140"/>
      <c r="AK765" s="456"/>
      <c r="AL765" s="142"/>
      <c r="AM765" s="142"/>
      <c r="AN765" s="142"/>
      <c r="AO765" s="438"/>
      <c r="AP765" s="438"/>
      <c r="AQ765" s="438"/>
      <c r="AR765" s="438"/>
      <c r="AS765" s="438"/>
      <c r="AT765" s="438"/>
      <c r="AU765" s="438"/>
      <c r="AV765" s="438"/>
      <c r="AW765" s="438"/>
      <c r="AX765" s="438"/>
      <c r="AY765" s="438"/>
      <c r="AZ765" s="438"/>
      <c r="BA765" s="438"/>
      <c r="BB765" s="438"/>
      <c r="BC765" s="438"/>
      <c r="BD765" s="438"/>
      <c r="BE765" s="438"/>
      <c r="BF765" s="438"/>
      <c r="BG765" s="438"/>
      <c r="BH765" s="438"/>
    </row>
    <row r="766">
      <c r="A766" s="140"/>
      <c r="B766" s="456"/>
      <c r="C766" s="142"/>
      <c r="D766" s="142"/>
      <c r="E766" s="142"/>
      <c r="F766" s="140"/>
      <c r="G766" s="456"/>
      <c r="H766" s="142"/>
      <c r="I766" s="142"/>
      <c r="J766" s="142"/>
      <c r="K766" s="125"/>
      <c r="L766" s="456"/>
      <c r="M766" s="142"/>
      <c r="N766" s="142"/>
      <c r="O766" s="142"/>
      <c r="P766" s="125"/>
      <c r="Q766" s="450"/>
      <c r="R766" s="142"/>
      <c r="S766" s="142"/>
      <c r="T766" s="142"/>
      <c r="U766" s="140"/>
      <c r="V766" s="456"/>
      <c r="W766" s="142"/>
      <c r="X766" s="142"/>
      <c r="Y766" s="142"/>
      <c r="Z766" s="140"/>
      <c r="AA766" s="456"/>
      <c r="AB766" s="142"/>
      <c r="AC766" s="142"/>
      <c r="AD766" s="142"/>
      <c r="AE766" s="140"/>
      <c r="AF766" s="456"/>
      <c r="AG766" s="142"/>
      <c r="AH766" s="142"/>
      <c r="AI766" s="142"/>
      <c r="AJ766" s="140"/>
      <c r="AK766" s="456"/>
      <c r="AL766" s="142"/>
      <c r="AM766" s="142"/>
      <c r="AN766" s="142"/>
      <c r="AO766" s="438"/>
      <c r="AP766" s="438"/>
      <c r="AQ766" s="438"/>
      <c r="AR766" s="438"/>
      <c r="AS766" s="438"/>
      <c r="AT766" s="438"/>
      <c r="AU766" s="438"/>
      <c r="AV766" s="438"/>
      <c r="AW766" s="438"/>
      <c r="AX766" s="438"/>
      <c r="AY766" s="438"/>
      <c r="AZ766" s="438"/>
      <c r="BA766" s="438"/>
      <c r="BB766" s="438"/>
      <c r="BC766" s="438"/>
      <c r="BD766" s="438"/>
      <c r="BE766" s="438"/>
      <c r="BF766" s="438"/>
      <c r="BG766" s="438"/>
      <c r="BH766" s="438"/>
    </row>
    <row r="767">
      <c r="A767" s="140"/>
      <c r="B767" s="456"/>
      <c r="C767" s="142"/>
      <c r="D767" s="142"/>
      <c r="E767" s="142"/>
      <c r="F767" s="140"/>
      <c r="G767" s="456"/>
      <c r="H767" s="142"/>
      <c r="I767" s="142"/>
      <c r="J767" s="142"/>
      <c r="K767" s="125"/>
      <c r="L767" s="456"/>
      <c r="M767" s="142"/>
      <c r="N767" s="142"/>
      <c r="O767" s="142"/>
      <c r="P767" s="125"/>
      <c r="Q767" s="450"/>
      <c r="R767" s="142"/>
      <c r="S767" s="142"/>
      <c r="T767" s="142"/>
      <c r="U767" s="140"/>
      <c r="V767" s="456"/>
      <c r="W767" s="142"/>
      <c r="X767" s="142"/>
      <c r="Y767" s="142"/>
      <c r="Z767" s="140"/>
      <c r="AA767" s="456"/>
      <c r="AB767" s="142"/>
      <c r="AC767" s="142"/>
      <c r="AD767" s="142"/>
      <c r="AE767" s="140"/>
      <c r="AF767" s="456"/>
      <c r="AG767" s="142"/>
      <c r="AH767" s="142"/>
      <c r="AI767" s="142"/>
      <c r="AJ767" s="140"/>
      <c r="AK767" s="456"/>
      <c r="AL767" s="142"/>
      <c r="AM767" s="142"/>
      <c r="AN767" s="142"/>
      <c r="AO767" s="438"/>
      <c r="AP767" s="438"/>
      <c r="AQ767" s="438"/>
      <c r="AR767" s="438"/>
      <c r="AS767" s="438"/>
      <c r="AT767" s="438"/>
      <c r="AU767" s="438"/>
      <c r="AV767" s="438"/>
      <c r="AW767" s="438"/>
      <c r="AX767" s="438"/>
      <c r="AY767" s="438"/>
      <c r="AZ767" s="438"/>
      <c r="BA767" s="438"/>
      <c r="BB767" s="438"/>
      <c r="BC767" s="438"/>
      <c r="BD767" s="438"/>
      <c r="BE767" s="438"/>
      <c r="BF767" s="438"/>
      <c r="BG767" s="438"/>
      <c r="BH767" s="438"/>
    </row>
    <row r="768">
      <c r="A768" s="140"/>
      <c r="B768" s="456"/>
      <c r="C768" s="142"/>
      <c r="D768" s="142"/>
      <c r="E768" s="142"/>
      <c r="F768" s="140"/>
      <c r="G768" s="456"/>
      <c r="H768" s="142"/>
      <c r="I768" s="142"/>
      <c r="J768" s="142"/>
      <c r="K768" s="125"/>
      <c r="L768" s="456"/>
      <c r="M768" s="142"/>
      <c r="N768" s="142"/>
      <c r="O768" s="142"/>
      <c r="P768" s="125"/>
      <c r="Q768" s="450"/>
      <c r="R768" s="142"/>
      <c r="S768" s="142"/>
      <c r="T768" s="142"/>
      <c r="U768" s="140"/>
      <c r="V768" s="456"/>
      <c r="W768" s="142"/>
      <c r="X768" s="142"/>
      <c r="Y768" s="142"/>
      <c r="Z768" s="140"/>
      <c r="AA768" s="456"/>
      <c r="AB768" s="142"/>
      <c r="AC768" s="142"/>
      <c r="AD768" s="142"/>
      <c r="AE768" s="140"/>
      <c r="AF768" s="456"/>
      <c r="AG768" s="142"/>
      <c r="AH768" s="142"/>
      <c r="AI768" s="142"/>
      <c r="AJ768" s="140"/>
      <c r="AK768" s="456"/>
      <c r="AL768" s="142"/>
      <c r="AM768" s="142"/>
      <c r="AN768" s="142"/>
      <c r="AO768" s="438"/>
      <c r="AP768" s="438"/>
      <c r="AQ768" s="438"/>
      <c r="AR768" s="438"/>
      <c r="AS768" s="438"/>
      <c r="AT768" s="438"/>
      <c r="AU768" s="438"/>
      <c r="AV768" s="438"/>
      <c r="AW768" s="438"/>
      <c r="AX768" s="438"/>
      <c r="AY768" s="438"/>
      <c r="AZ768" s="438"/>
      <c r="BA768" s="438"/>
      <c r="BB768" s="438"/>
      <c r="BC768" s="438"/>
      <c r="BD768" s="438"/>
      <c r="BE768" s="438"/>
      <c r="BF768" s="438"/>
      <c r="BG768" s="438"/>
      <c r="BH768" s="438"/>
    </row>
    <row r="769">
      <c r="A769" s="140"/>
      <c r="B769" s="456"/>
      <c r="C769" s="142"/>
      <c r="D769" s="142"/>
      <c r="E769" s="142"/>
      <c r="F769" s="140"/>
      <c r="G769" s="456"/>
      <c r="H769" s="142"/>
      <c r="I769" s="142"/>
      <c r="J769" s="142"/>
      <c r="K769" s="125"/>
      <c r="L769" s="456"/>
      <c r="M769" s="142"/>
      <c r="N769" s="142"/>
      <c r="O769" s="142"/>
      <c r="P769" s="125"/>
      <c r="Q769" s="450"/>
      <c r="R769" s="142"/>
      <c r="S769" s="142"/>
      <c r="T769" s="142"/>
      <c r="U769" s="140"/>
      <c r="V769" s="456"/>
      <c r="W769" s="142"/>
      <c r="X769" s="142"/>
      <c r="Y769" s="142"/>
      <c r="Z769" s="140"/>
      <c r="AA769" s="456"/>
      <c r="AB769" s="142"/>
      <c r="AC769" s="142"/>
      <c r="AD769" s="142"/>
      <c r="AE769" s="140"/>
      <c r="AF769" s="456"/>
      <c r="AG769" s="142"/>
      <c r="AH769" s="142"/>
      <c r="AI769" s="142"/>
      <c r="AJ769" s="140"/>
      <c r="AK769" s="456"/>
      <c r="AL769" s="142"/>
      <c r="AM769" s="142"/>
      <c r="AN769" s="142"/>
      <c r="AO769" s="438"/>
      <c r="AP769" s="438"/>
      <c r="AQ769" s="438"/>
      <c r="AR769" s="438"/>
      <c r="AS769" s="438"/>
      <c r="AT769" s="438"/>
      <c r="AU769" s="438"/>
      <c r="AV769" s="438"/>
      <c r="AW769" s="438"/>
      <c r="AX769" s="438"/>
      <c r="AY769" s="438"/>
      <c r="AZ769" s="438"/>
      <c r="BA769" s="438"/>
      <c r="BB769" s="438"/>
      <c r="BC769" s="438"/>
      <c r="BD769" s="438"/>
      <c r="BE769" s="438"/>
      <c r="BF769" s="438"/>
      <c r="BG769" s="438"/>
      <c r="BH769" s="438"/>
    </row>
    <row r="770">
      <c r="A770" s="140"/>
      <c r="B770" s="456"/>
      <c r="C770" s="142"/>
      <c r="D770" s="142"/>
      <c r="E770" s="142"/>
      <c r="F770" s="140"/>
      <c r="G770" s="456"/>
      <c r="H770" s="142"/>
      <c r="I770" s="142"/>
      <c r="J770" s="142"/>
      <c r="K770" s="125"/>
      <c r="L770" s="456"/>
      <c r="M770" s="142"/>
      <c r="N770" s="142"/>
      <c r="O770" s="142"/>
      <c r="P770" s="125"/>
      <c r="Q770" s="450"/>
      <c r="R770" s="142"/>
      <c r="S770" s="142"/>
      <c r="T770" s="142"/>
      <c r="U770" s="140"/>
      <c r="V770" s="456"/>
      <c r="W770" s="142"/>
      <c r="X770" s="142"/>
      <c r="Y770" s="142"/>
      <c r="Z770" s="140"/>
      <c r="AA770" s="456"/>
      <c r="AB770" s="142"/>
      <c r="AC770" s="142"/>
      <c r="AD770" s="142"/>
      <c r="AE770" s="140"/>
      <c r="AF770" s="456"/>
      <c r="AG770" s="142"/>
      <c r="AH770" s="142"/>
      <c r="AI770" s="142"/>
      <c r="AJ770" s="140"/>
      <c r="AK770" s="456"/>
      <c r="AL770" s="142"/>
      <c r="AM770" s="142"/>
      <c r="AN770" s="142"/>
      <c r="AO770" s="438"/>
      <c r="AP770" s="438"/>
      <c r="AQ770" s="438"/>
      <c r="AR770" s="438"/>
      <c r="AS770" s="438"/>
      <c r="AT770" s="438"/>
      <c r="AU770" s="438"/>
      <c r="AV770" s="438"/>
      <c r="AW770" s="438"/>
      <c r="AX770" s="438"/>
      <c r="AY770" s="438"/>
      <c r="AZ770" s="438"/>
      <c r="BA770" s="438"/>
      <c r="BB770" s="438"/>
      <c r="BC770" s="438"/>
      <c r="BD770" s="438"/>
      <c r="BE770" s="438"/>
      <c r="BF770" s="438"/>
      <c r="BG770" s="438"/>
      <c r="BH770" s="438"/>
    </row>
    <row r="771">
      <c r="A771" s="140"/>
      <c r="B771" s="456"/>
      <c r="C771" s="142"/>
      <c r="D771" s="142"/>
      <c r="E771" s="142"/>
      <c r="F771" s="140"/>
      <c r="G771" s="456"/>
      <c r="H771" s="142"/>
      <c r="I771" s="142"/>
      <c r="J771" s="142"/>
      <c r="K771" s="125"/>
      <c r="L771" s="456"/>
      <c r="M771" s="142"/>
      <c r="N771" s="142"/>
      <c r="O771" s="142"/>
      <c r="P771" s="125"/>
      <c r="Q771" s="450"/>
      <c r="R771" s="142"/>
      <c r="S771" s="142"/>
      <c r="T771" s="142"/>
      <c r="U771" s="140"/>
      <c r="V771" s="456"/>
      <c r="W771" s="142"/>
      <c r="X771" s="142"/>
      <c r="Y771" s="142"/>
      <c r="Z771" s="140"/>
      <c r="AA771" s="456"/>
      <c r="AB771" s="142"/>
      <c r="AC771" s="142"/>
      <c r="AD771" s="142"/>
      <c r="AE771" s="140"/>
      <c r="AF771" s="456"/>
      <c r="AG771" s="142"/>
      <c r="AH771" s="142"/>
      <c r="AI771" s="142"/>
      <c r="AJ771" s="140"/>
      <c r="AK771" s="456"/>
      <c r="AL771" s="142"/>
      <c r="AM771" s="142"/>
      <c r="AN771" s="142"/>
      <c r="AO771" s="438"/>
      <c r="AP771" s="438"/>
      <c r="AQ771" s="438"/>
      <c r="AR771" s="438"/>
      <c r="AS771" s="438"/>
      <c r="AT771" s="438"/>
      <c r="AU771" s="438"/>
      <c r="AV771" s="438"/>
      <c r="AW771" s="438"/>
      <c r="AX771" s="438"/>
      <c r="AY771" s="438"/>
      <c r="AZ771" s="438"/>
      <c r="BA771" s="438"/>
      <c r="BB771" s="438"/>
      <c r="BC771" s="438"/>
      <c r="BD771" s="438"/>
      <c r="BE771" s="438"/>
      <c r="BF771" s="438"/>
      <c r="BG771" s="438"/>
      <c r="BH771" s="438"/>
    </row>
    <row r="772">
      <c r="A772" s="140"/>
      <c r="B772" s="456"/>
      <c r="C772" s="142"/>
      <c r="D772" s="142"/>
      <c r="E772" s="142"/>
      <c r="F772" s="140"/>
      <c r="G772" s="456"/>
      <c r="H772" s="142"/>
      <c r="I772" s="142"/>
      <c r="J772" s="142"/>
      <c r="K772" s="125"/>
      <c r="L772" s="456"/>
      <c r="M772" s="142"/>
      <c r="N772" s="142"/>
      <c r="O772" s="142"/>
      <c r="P772" s="125"/>
      <c r="Q772" s="450"/>
      <c r="R772" s="142"/>
      <c r="S772" s="142"/>
      <c r="T772" s="142"/>
      <c r="U772" s="140"/>
      <c r="V772" s="456"/>
      <c r="W772" s="142"/>
      <c r="X772" s="142"/>
      <c r="Y772" s="142"/>
      <c r="Z772" s="140"/>
      <c r="AA772" s="456"/>
      <c r="AB772" s="142"/>
      <c r="AC772" s="142"/>
      <c r="AD772" s="142"/>
      <c r="AE772" s="140"/>
      <c r="AF772" s="456"/>
      <c r="AG772" s="142"/>
      <c r="AH772" s="142"/>
      <c r="AI772" s="142"/>
      <c r="AJ772" s="140"/>
      <c r="AK772" s="456"/>
      <c r="AL772" s="142"/>
      <c r="AM772" s="142"/>
      <c r="AN772" s="142"/>
      <c r="AO772" s="438"/>
      <c r="AP772" s="438"/>
      <c r="AQ772" s="438"/>
      <c r="AR772" s="438"/>
      <c r="AS772" s="438"/>
      <c r="AT772" s="438"/>
      <c r="AU772" s="438"/>
      <c r="AV772" s="438"/>
      <c r="AW772" s="438"/>
      <c r="AX772" s="438"/>
      <c r="AY772" s="438"/>
      <c r="AZ772" s="438"/>
      <c r="BA772" s="438"/>
      <c r="BB772" s="438"/>
      <c r="BC772" s="438"/>
      <c r="BD772" s="438"/>
      <c r="BE772" s="438"/>
      <c r="BF772" s="438"/>
      <c r="BG772" s="438"/>
      <c r="BH772" s="438"/>
    </row>
    <row r="773">
      <c r="A773" s="140"/>
      <c r="B773" s="456"/>
      <c r="C773" s="142"/>
      <c r="D773" s="142"/>
      <c r="E773" s="142"/>
      <c r="F773" s="140"/>
      <c r="G773" s="456"/>
      <c r="H773" s="142"/>
      <c r="I773" s="142"/>
      <c r="J773" s="142"/>
      <c r="K773" s="125"/>
      <c r="L773" s="456"/>
      <c r="M773" s="142"/>
      <c r="N773" s="142"/>
      <c r="O773" s="142"/>
      <c r="P773" s="125"/>
      <c r="Q773" s="450"/>
      <c r="R773" s="142"/>
      <c r="S773" s="142"/>
      <c r="T773" s="142"/>
      <c r="U773" s="140"/>
      <c r="V773" s="456"/>
      <c r="W773" s="142"/>
      <c r="X773" s="142"/>
      <c r="Y773" s="142"/>
      <c r="Z773" s="140"/>
      <c r="AA773" s="456"/>
      <c r="AB773" s="142"/>
      <c r="AC773" s="142"/>
      <c r="AD773" s="142"/>
      <c r="AE773" s="140"/>
      <c r="AF773" s="456"/>
      <c r="AG773" s="142"/>
      <c r="AH773" s="142"/>
      <c r="AI773" s="142"/>
      <c r="AJ773" s="140"/>
      <c r="AK773" s="456"/>
      <c r="AL773" s="142"/>
      <c r="AM773" s="142"/>
      <c r="AN773" s="142"/>
      <c r="AO773" s="438"/>
      <c r="AP773" s="438"/>
      <c r="AQ773" s="438"/>
      <c r="AR773" s="438"/>
      <c r="AS773" s="438"/>
      <c r="AT773" s="438"/>
      <c r="AU773" s="438"/>
      <c r="AV773" s="438"/>
      <c r="AW773" s="438"/>
      <c r="AX773" s="438"/>
      <c r="AY773" s="438"/>
      <c r="AZ773" s="438"/>
      <c r="BA773" s="438"/>
      <c r="BB773" s="438"/>
      <c r="BC773" s="438"/>
      <c r="BD773" s="438"/>
      <c r="BE773" s="438"/>
      <c r="BF773" s="438"/>
      <c r="BG773" s="438"/>
      <c r="BH773" s="438"/>
    </row>
    <row r="774">
      <c r="A774" s="140"/>
      <c r="B774" s="456"/>
      <c r="C774" s="142"/>
      <c r="D774" s="142"/>
      <c r="E774" s="142"/>
      <c r="F774" s="140"/>
      <c r="G774" s="456"/>
      <c r="H774" s="142"/>
      <c r="I774" s="142"/>
      <c r="J774" s="142"/>
      <c r="K774" s="125"/>
      <c r="L774" s="456"/>
      <c r="M774" s="142"/>
      <c r="N774" s="142"/>
      <c r="O774" s="142"/>
      <c r="P774" s="125"/>
      <c r="Q774" s="450"/>
      <c r="R774" s="142"/>
      <c r="S774" s="142"/>
      <c r="T774" s="142"/>
      <c r="U774" s="140"/>
      <c r="V774" s="456"/>
      <c r="W774" s="142"/>
      <c r="X774" s="142"/>
      <c r="Y774" s="142"/>
      <c r="Z774" s="140"/>
      <c r="AA774" s="456"/>
      <c r="AB774" s="142"/>
      <c r="AC774" s="142"/>
      <c r="AD774" s="142"/>
      <c r="AE774" s="140"/>
      <c r="AF774" s="456"/>
      <c r="AG774" s="142"/>
      <c r="AH774" s="142"/>
      <c r="AI774" s="142"/>
      <c r="AJ774" s="140"/>
      <c r="AK774" s="456"/>
      <c r="AL774" s="142"/>
      <c r="AM774" s="142"/>
      <c r="AN774" s="142"/>
      <c r="AO774" s="438"/>
      <c r="AP774" s="438"/>
      <c r="AQ774" s="438"/>
      <c r="AR774" s="438"/>
      <c r="AS774" s="438"/>
      <c r="AT774" s="438"/>
      <c r="AU774" s="438"/>
      <c r="AV774" s="438"/>
      <c r="AW774" s="438"/>
      <c r="AX774" s="438"/>
      <c r="AY774" s="438"/>
      <c r="AZ774" s="438"/>
      <c r="BA774" s="438"/>
      <c r="BB774" s="438"/>
      <c r="BC774" s="438"/>
      <c r="BD774" s="438"/>
      <c r="BE774" s="438"/>
      <c r="BF774" s="438"/>
      <c r="BG774" s="438"/>
      <c r="BH774" s="438"/>
    </row>
    <row r="775">
      <c r="A775" s="140"/>
      <c r="B775" s="456"/>
      <c r="C775" s="142"/>
      <c r="D775" s="142"/>
      <c r="E775" s="142"/>
      <c r="F775" s="140"/>
      <c r="G775" s="456"/>
      <c r="H775" s="142"/>
      <c r="I775" s="142"/>
      <c r="J775" s="142"/>
      <c r="K775" s="125"/>
      <c r="L775" s="456"/>
      <c r="M775" s="142"/>
      <c r="N775" s="142"/>
      <c r="O775" s="142"/>
      <c r="P775" s="125"/>
      <c r="Q775" s="450"/>
      <c r="R775" s="142"/>
      <c r="S775" s="142"/>
      <c r="T775" s="142"/>
      <c r="U775" s="140"/>
      <c r="V775" s="456"/>
      <c r="W775" s="142"/>
      <c r="X775" s="142"/>
      <c r="Y775" s="142"/>
      <c r="Z775" s="140"/>
      <c r="AA775" s="456"/>
      <c r="AB775" s="142"/>
      <c r="AC775" s="142"/>
      <c r="AD775" s="142"/>
      <c r="AE775" s="140"/>
      <c r="AF775" s="456"/>
      <c r="AG775" s="142"/>
      <c r="AH775" s="142"/>
      <c r="AI775" s="142"/>
      <c r="AJ775" s="140"/>
      <c r="AK775" s="456"/>
      <c r="AL775" s="142"/>
      <c r="AM775" s="142"/>
      <c r="AN775" s="142"/>
      <c r="AO775" s="438"/>
      <c r="AP775" s="438"/>
      <c r="AQ775" s="438"/>
      <c r="AR775" s="438"/>
      <c r="AS775" s="438"/>
      <c r="AT775" s="438"/>
      <c r="AU775" s="438"/>
      <c r="AV775" s="438"/>
      <c r="AW775" s="438"/>
      <c r="AX775" s="438"/>
      <c r="AY775" s="438"/>
      <c r="AZ775" s="438"/>
      <c r="BA775" s="438"/>
      <c r="BB775" s="438"/>
      <c r="BC775" s="438"/>
      <c r="BD775" s="438"/>
      <c r="BE775" s="438"/>
      <c r="BF775" s="438"/>
      <c r="BG775" s="438"/>
      <c r="BH775" s="438"/>
    </row>
    <row r="776">
      <c r="A776" s="140"/>
      <c r="B776" s="456"/>
      <c r="C776" s="142"/>
      <c r="D776" s="142"/>
      <c r="E776" s="142"/>
      <c r="F776" s="140"/>
      <c r="G776" s="456"/>
      <c r="H776" s="142"/>
      <c r="I776" s="142"/>
      <c r="J776" s="142"/>
      <c r="K776" s="125"/>
      <c r="L776" s="456"/>
      <c r="M776" s="142"/>
      <c r="N776" s="142"/>
      <c r="O776" s="142"/>
      <c r="P776" s="125"/>
      <c r="Q776" s="450"/>
      <c r="R776" s="142"/>
      <c r="S776" s="142"/>
      <c r="T776" s="142"/>
      <c r="U776" s="140"/>
      <c r="V776" s="456"/>
      <c r="W776" s="142"/>
      <c r="X776" s="142"/>
      <c r="Y776" s="142"/>
      <c r="Z776" s="140"/>
      <c r="AA776" s="456"/>
      <c r="AB776" s="142"/>
      <c r="AC776" s="142"/>
      <c r="AD776" s="142"/>
      <c r="AE776" s="140"/>
      <c r="AF776" s="456"/>
      <c r="AG776" s="142"/>
      <c r="AH776" s="142"/>
      <c r="AI776" s="142"/>
      <c r="AJ776" s="140"/>
      <c r="AK776" s="456"/>
      <c r="AL776" s="142"/>
      <c r="AM776" s="142"/>
      <c r="AN776" s="142"/>
      <c r="AO776" s="438"/>
      <c r="AP776" s="438"/>
      <c r="AQ776" s="438"/>
      <c r="AR776" s="438"/>
      <c r="AS776" s="438"/>
      <c r="AT776" s="438"/>
      <c r="AU776" s="438"/>
      <c r="AV776" s="438"/>
      <c r="AW776" s="438"/>
      <c r="AX776" s="438"/>
      <c r="AY776" s="438"/>
      <c r="AZ776" s="438"/>
      <c r="BA776" s="438"/>
      <c r="BB776" s="438"/>
      <c r="BC776" s="438"/>
      <c r="BD776" s="438"/>
      <c r="BE776" s="438"/>
      <c r="BF776" s="438"/>
      <c r="BG776" s="438"/>
      <c r="BH776" s="438"/>
    </row>
    <row r="777">
      <c r="A777" s="140"/>
      <c r="B777" s="456"/>
      <c r="C777" s="142"/>
      <c r="D777" s="142"/>
      <c r="E777" s="142"/>
      <c r="F777" s="140"/>
      <c r="G777" s="456"/>
      <c r="H777" s="142"/>
      <c r="I777" s="142"/>
      <c r="J777" s="142"/>
      <c r="K777" s="125"/>
      <c r="L777" s="456"/>
      <c r="M777" s="142"/>
      <c r="N777" s="142"/>
      <c r="O777" s="142"/>
      <c r="P777" s="125"/>
      <c r="Q777" s="450"/>
      <c r="R777" s="142"/>
      <c r="S777" s="142"/>
      <c r="T777" s="142"/>
      <c r="U777" s="140"/>
      <c r="V777" s="456"/>
      <c r="W777" s="142"/>
      <c r="X777" s="142"/>
      <c r="Y777" s="142"/>
      <c r="Z777" s="140"/>
      <c r="AA777" s="456"/>
      <c r="AB777" s="142"/>
      <c r="AC777" s="142"/>
      <c r="AD777" s="142"/>
      <c r="AE777" s="140"/>
      <c r="AF777" s="456"/>
      <c r="AG777" s="142"/>
      <c r="AH777" s="142"/>
      <c r="AI777" s="142"/>
      <c r="AJ777" s="140"/>
      <c r="AK777" s="456"/>
      <c r="AL777" s="142"/>
      <c r="AM777" s="142"/>
      <c r="AN777" s="142"/>
      <c r="AO777" s="438"/>
      <c r="AP777" s="438"/>
      <c r="AQ777" s="438"/>
      <c r="AR777" s="438"/>
      <c r="AS777" s="438"/>
      <c r="AT777" s="438"/>
      <c r="AU777" s="438"/>
      <c r="AV777" s="438"/>
      <c r="AW777" s="438"/>
      <c r="AX777" s="438"/>
      <c r="AY777" s="438"/>
      <c r="AZ777" s="438"/>
      <c r="BA777" s="438"/>
      <c r="BB777" s="438"/>
      <c r="BC777" s="438"/>
      <c r="BD777" s="438"/>
      <c r="BE777" s="438"/>
      <c r="BF777" s="438"/>
      <c r="BG777" s="438"/>
      <c r="BH777" s="438"/>
    </row>
    <row r="778">
      <c r="A778" s="140"/>
      <c r="B778" s="456"/>
      <c r="C778" s="142"/>
      <c r="D778" s="142"/>
      <c r="E778" s="142"/>
      <c r="F778" s="140"/>
      <c r="G778" s="456"/>
      <c r="H778" s="142"/>
      <c r="I778" s="142"/>
      <c r="J778" s="142"/>
      <c r="K778" s="125"/>
      <c r="L778" s="456"/>
      <c r="M778" s="142"/>
      <c r="N778" s="142"/>
      <c r="O778" s="142"/>
      <c r="P778" s="125"/>
      <c r="Q778" s="450"/>
      <c r="R778" s="142"/>
      <c r="S778" s="142"/>
      <c r="T778" s="142"/>
      <c r="U778" s="140"/>
      <c r="V778" s="456"/>
      <c r="W778" s="142"/>
      <c r="X778" s="142"/>
      <c r="Y778" s="142"/>
      <c r="Z778" s="140"/>
      <c r="AA778" s="456"/>
      <c r="AB778" s="142"/>
      <c r="AC778" s="142"/>
      <c r="AD778" s="142"/>
      <c r="AE778" s="140"/>
      <c r="AF778" s="456"/>
      <c r="AG778" s="142"/>
      <c r="AH778" s="142"/>
      <c r="AI778" s="142"/>
      <c r="AJ778" s="140"/>
      <c r="AK778" s="456"/>
      <c r="AL778" s="142"/>
      <c r="AM778" s="142"/>
      <c r="AN778" s="142"/>
      <c r="AO778" s="438"/>
      <c r="AP778" s="438"/>
      <c r="AQ778" s="438"/>
      <c r="AR778" s="438"/>
      <c r="AS778" s="438"/>
      <c r="AT778" s="438"/>
      <c r="AU778" s="438"/>
      <c r="AV778" s="438"/>
      <c r="AW778" s="438"/>
      <c r="AX778" s="438"/>
      <c r="AY778" s="438"/>
      <c r="AZ778" s="438"/>
      <c r="BA778" s="438"/>
      <c r="BB778" s="438"/>
      <c r="BC778" s="438"/>
      <c r="BD778" s="438"/>
      <c r="BE778" s="438"/>
      <c r="BF778" s="438"/>
      <c r="BG778" s="438"/>
      <c r="BH778" s="438"/>
    </row>
    <row r="779">
      <c r="A779" s="140"/>
      <c r="B779" s="456"/>
      <c r="C779" s="142"/>
      <c r="D779" s="142"/>
      <c r="E779" s="142"/>
      <c r="F779" s="140"/>
      <c r="G779" s="456"/>
      <c r="H779" s="142"/>
      <c r="I779" s="142"/>
      <c r="J779" s="142"/>
      <c r="K779" s="125"/>
      <c r="L779" s="456"/>
      <c r="M779" s="142"/>
      <c r="N779" s="142"/>
      <c r="O779" s="142"/>
      <c r="P779" s="125"/>
      <c r="Q779" s="450"/>
      <c r="R779" s="142"/>
      <c r="S779" s="142"/>
      <c r="T779" s="142"/>
      <c r="U779" s="140"/>
      <c r="V779" s="456"/>
      <c r="W779" s="142"/>
      <c r="X779" s="142"/>
      <c r="Y779" s="142"/>
      <c r="Z779" s="140"/>
      <c r="AA779" s="456"/>
      <c r="AB779" s="142"/>
      <c r="AC779" s="142"/>
      <c r="AD779" s="142"/>
      <c r="AE779" s="140"/>
      <c r="AF779" s="456"/>
      <c r="AG779" s="142"/>
      <c r="AH779" s="142"/>
      <c r="AI779" s="142"/>
      <c r="AJ779" s="140"/>
      <c r="AK779" s="456"/>
      <c r="AL779" s="142"/>
      <c r="AM779" s="142"/>
      <c r="AN779" s="142"/>
      <c r="AO779" s="438"/>
      <c r="AP779" s="438"/>
      <c r="AQ779" s="438"/>
      <c r="AR779" s="438"/>
      <c r="AS779" s="438"/>
      <c r="AT779" s="438"/>
      <c r="AU779" s="438"/>
      <c r="AV779" s="438"/>
      <c r="AW779" s="438"/>
      <c r="AX779" s="438"/>
      <c r="AY779" s="438"/>
      <c r="AZ779" s="438"/>
      <c r="BA779" s="438"/>
      <c r="BB779" s="438"/>
      <c r="BC779" s="438"/>
      <c r="BD779" s="438"/>
      <c r="BE779" s="438"/>
      <c r="BF779" s="438"/>
      <c r="BG779" s="438"/>
      <c r="BH779" s="438"/>
    </row>
    <row r="780">
      <c r="A780" s="140"/>
      <c r="B780" s="456"/>
      <c r="C780" s="142"/>
      <c r="D780" s="142"/>
      <c r="E780" s="142"/>
      <c r="F780" s="140"/>
      <c r="G780" s="456"/>
      <c r="H780" s="142"/>
      <c r="I780" s="142"/>
      <c r="J780" s="142"/>
      <c r="K780" s="125"/>
      <c r="L780" s="456"/>
      <c r="M780" s="142"/>
      <c r="N780" s="142"/>
      <c r="O780" s="142"/>
      <c r="P780" s="125"/>
      <c r="Q780" s="450"/>
      <c r="R780" s="142"/>
      <c r="S780" s="142"/>
      <c r="T780" s="142"/>
      <c r="U780" s="140"/>
      <c r="V780" s="456"/>
      <c r="W780" s="142"/>
      <c r="X780" s="142"/>
      <c r="Y780" s="142"/>
      <c r="Z780" s="140"/>
      <c r="AA780" s="456"/>
      <c r="AB780" s="142"/>
      <c r="AC780" s="142"/>
      <c r="AD780" s="142"/>
      <c r="AE780" s="140"/>
      <c r="AF780" s="456"/>
      <c r="AG780" s="142"/>
      <c r="AH780" s="142"/>
      <c r="AI780" s="142"/>
      <c r="AJ780" s="140"/>
      <c r="AK780" s="456"/>
      <c r="AL780" s="142"/>
      <c r="AM780" s="142"/>
      <c r="AN780" s="142"/>
      <c r="AO780" s="438"/>
      <c r="AP780" s="438"/>
      <c r="AQ780" s="438"/>
      <c r="AR780" s="438"/>
      <c r="AS780" s="438"/>
      <c r="AT780" s="438"/>
      <c r="AU780" s="438"/>
      <c r="AV780" s="438"/>
      <c r="AW780" s="438"/>
      <c r="AX780" s="438"/>
      <c r="AY780" s="438"/>
      <c r="AZ780" s="438"/>
      <c r="BA780" s="438"/>
      <c r="BB780" s="438"/>
      <c r="BC780" s="438"/>
      <c r="BD780" s="438"/>
      <c r="BE780" s="438"/>
      <c r="BF780" s="438"/>
      <c r="BG780" s="438"/>
      <c r="BH780" s="438"/>
    </row>
    <row r="781">
      <c r="A781" s="140"/>
      <c r="B781" s="456"/>
      <c r="C781" s="142"/>
      <c r="D781" s="142"/>
      <c r="E781" s="142"/>
      <c r="F781" s="140"/>
      <c r="G781" s="456"/>
      <c r="H781" s="142"/>
      <c r="I781" s="142"/>
      <c r="J781" s="142"/>
      <c r="K781" s="125"/>
      <c r="L781" s="456"/>
      <c r="M781" s="142"/>
      <c r="N781" s="142"/>
      <c r="O781" s="142"/>
      <c r="P781" s="125"/>
      <c r="Q781" s="450"/>
      <c r="R781" s="142"/>
      <c r="S781" s="142"/>
      <c r="T781" s="142"/>
      <c r="U781" s="140"/>
      <c r="V781" s="456"/>
      <c r="W781" s="142"/>
      <c r="X781" s="142"/>
      <c r="Y781" s="142"/>
      <c r="Z781" s="140"/>
      <c r="AA781" s="456"/>
      <c r="AB781" s="142"/>
      <c r="AC781" s="142"/>
      <c r="AD781" s="142"/>
      <c r="AE781" s="140"/>
      <c r="AF781" s="456"/>
      <c r="AG781" s="142"/>
      <c r="AH781" s="142"/>
      <c r="AI781" s="142"/>
      <c r="AJ781" s="140"/>
      <c r="AK781" s="456"/>
      <c r="AL781" s="142"/>
      <c r="AM781" s="142"/>
      <c r="AN781" s="142"/>
      <c r="AO781" s="438"/>
      <c r="AP781" s="438"/>
      <c r="AQ781" s="438"/>
      <c r="AR781" s="438"/>
      <c r="AS781" s="438"/>
      <c r="AT781" s="438"/>
      <c r="AU781" s="438"/>
      <c r="AV781" s="438"/>
      <c r="AW781" s="438"/>
      <c r="AX781" s="438"/>
      <c r="AY781" s="438"/>
      <c r="AZ781" s="438"/>
      <c r="BA781" s="438"/>
      <c r="BB781" s="438"/>
      <c r="BC781" s="438"/>
      <c r="BD781" s="438"/>
      <c r="BE781" s="438"/>
      <c r="BF781" s="438"/>
      <c r="BG781" s="438"/>
      <c r="BH781" s="438"/>
    </row>
    <row r="782">
      <c r="A782" s="140"/>
      <c r="B782" s="456"/>
      <c r="C782" s="142"/>
      <c r="D782" s="142"/>
      <c r="E782" s="142"/>
      <c r="F782" s="140"/>
      <c r="G782" s="456"/>
      <c r="H782" s="142"/>
      <c r="I782" s="142"/>
      <c r="J782" s="142"/>
      <c r="K782" s="125"/>
      <c r="L782" s="456"/>
      <c r="M782" s="142"/>
      <c r="N782" s="142"/>
      <c r="O782" s="142"/>
      <c r="P782" s="125"/>
      <c r="Q782" s="450"/>
      <c r="R782" s="142"/>
      <c r="S782" s="142"/>
      <c r="T782" s="142"/>
      <c r="U782" s="140"/>
      <c r="V782" s="456"/>
      <c r="W782" s="142"/>
      <c r="X782" s="142"/>
      <c r="Y782" s="142"/>
      <c r="Z782" s="140"/>
      <c r="AA782" s="456"/>
      <c r="AB782" s="142"/>
      <c r="AC782" s="142"/>
      <c r="AD782" s="142"/>
      <c r="AE782" s="140"/>
      <c r="AF782" s="456"/>
      <c r="AG782" s="142"/>
      <c r="AH782" s="142"/>
      <c r="AI782" s="142"/>
      <c r="AJ782" s="140"/>
      <c r="AK782" s="456"/>
      <c r="AL782" s="142"/>
      <c r="AM782" s="142"/>
      <c r="AN782" s="142"/>
      <c r="AO782" s="438"/>
      <c r="AP782" s="438"/>
      <c r="AQ782" s="438"/>
      <c r="AR782" s="438"/>
      <c r="AS782" s="438"/>
      <c r="AT782" s="438"/>
      <c r="AU782" s="438"/>
      <c r="AV782" s="438"/>
      <c r="AW782" s="438"/>
      <c r="AX782" s="438"/>
      <c r="AY782" s="438"/>
      <c r="AZ782" s="438"/>
      <c r="BA782" s="438"/>
      <c r="BB782" s="438"/>
      <c r="BC782" s="438"/>
      <c r="BD782" s="438"/>
      <c r="BE782" s="438"/>
      <c r="BF782" s="438"/>
      <c r="BG782" s="438"/>
      <c r="BH782" s="438"/>
    </row>
    <row r="783">
      <c r="A783" s="140"/>
      <c r="B783" s="456"/>
      <c r="C783" s="142"/>
      <c r="D783" s="142"/>
      <c r="E783" s="142"/>
      <c r="F783" s="140"/>
      <c r="G783" s="456"/>
      <c r="H783" s="142"/>
      <c r="I783" s="142"/>
      <c r="J783" s="142"/>
      <c r="K783" s="125"/>
      <c r="L783" s="456"/>
      <c r="M783" s="142"/>
      <c r="N783" s="142"/>
      <c r="O783" s="142"/>
      <c r="P783" s="125"/>
      <c r="Q783" s="450"/>
      <c r="R783" s="142"/>
      <c r="S783" s="142"/>
      <c r="T783" s="142"/>
      <c r="U783" s="140"/>
      <c r="V783" s="456"/>
      <c r="W783" s="142"/>
      <c r="X783" s="142"/>
      <c r="Y783" s="142"/>
      <c r="Z783" s="140"/>
      <c r="AA783" s="456"/>
      <c r="AB783" s="142"/>
      <c r="AC783" s="142"/>
      <c r="AD783" s="142"/>
      <c r="AE783" s="140"/>
      <c r="AF783" s="456"/>
      <c r="AG783" s="142"/>
      <c r="AH783" s="142"/>
      <c r="AI783" s="142"/>
      <c r="AJ783" s="140"/>
      <c r="AK783" s="456"/>
      <c r="AL783" s="142"/>
      <c r="AM783" s="142"/>
      <c r="AN783" s="142"/>
      <c r="AO783" s="438"/>
      <c r="AP783" s="438"/>
      <c r="AQ783" s="438"/>
      <c r="AR783" s="438"/>
      <c r="AS783" s="438"/>
      <c r="AT783" s="438"/>
      <c r="AU783" s="438"/>
      <c r="AV783" s="438"/>
      <c r="AW783" s="438"/>
      <c r="AX783" s="438"/>
      <c r="AY783" s="438"/>
      <c r="AZ783" s="438"/>
      <c r="BA783" s="438"/>
      <c r="BB783" s="438"/>
      <c r="BC783" s="438"/>
      <c r="BD783" s="438"/>
      <c r="BE783" s="438"/>
      <c r="BF783" s="438"/>
      <c r="BG783" s="438"/>
      <c r="BH783" s="438"/>
    </row>
    <row r="784">
      <c r="A784" s="140"/>
      <c r="B784" s="456"/>
      <c r="C784" s="142"/>
      <c r="D784" s="142"/>
      <c r="E784" s="142"/>
      <c r="F784" s="140"/>
      <c r="G784" s="456"/>
      <c r="H784" s="142"/>
      <c r="I784" s="142"/>
      <c r="J784" s="142"/>
      <c r="K784" s="125"/>
      <c r="L784" s="456"/>
      <c r="M784" s="142"/>
      <c r="N784" s="142"/>
      <c r="O784" s="142"/>
      <c r="P784" s="125"/>
      <c r="Q784" s="450"/>
      <c r="R784" s="142"/>
      <c r="S784" s="142"/>
      <c r="T784" s="142"/>
      <c r="U784" s="140"/>
      <c r="V784" s="456"/>
      <c r="W784" s="142"/>
      <c r="X784" s="142"/>
      <c r="Y784" s="142"/>
      <c r="Z784" s="140"/>
      <c r="AA784" s="456"/>
      <c r="AB784" s="142"/>
      <c r="AC784" s="142"/>
      <c r="AD784" s="142"/>
      <c r="AE784" s="140"/>
      <c r="AF784" s="456"/>
      <c r="AG784" s="142"/>
      <c r="AH784" s="142"/>
      <c r="AI784" s="142"/>
      <c r="AJ784" s="140"/>
      <c r="AK784" s="456"/>
      <c r="AL784" s="142"/>
      <c r="AM784" s="142"/>
      <c r="AN784" s="142"/>
      <c r="AO784" s="438"/>
      <c r="AP784" s="438"/>
      <c r="AQ784" s="438"/>
      <c r="AR784" s="438"/>
      <c r="AS784" s="438"/>
      <c r="AT784" s="438"/>
      <c r="AU784" s="438"/>
      <c r="AV784" s="438"/>
      <c r="AW784" s="438"/>
      <c r="AX784" s="438"/>
      <c r="AY784" s="438"/>
      <c r="AZ784" s="438"/>
      <c r="BA784" s="438"/>
      <c r="BB784" s="438"/>
      <c r="BC784" s="438"/>
      <c r="BD784" s="438"/>
      <c r="BE784" s="438"/>
      <c r="BF784" s="438"/>
      <c r="BG784" s="438"/>
      <c r="BH784" s="438"/>
    </row>
    <row r="785">
      <c r="A785" s="140"/>
      <c r="B785" s="456"/>
      <c r="C785" s="142"/>
      <c r="D785" s="142"/>
      <c r="E785" s="142"/>
      <c r="F785" s="140"/>
      <c r="G785" s="456"/>
      <c r="H785" s="142"/>
      <c r="I785" s="142"/>
      <c r="J785" s="142"/>
      <c r="K785" s="125"/>
      <c r="L785" s="456"/>
      <c r="M785" s="142"/>
      <c r="N785" s="142"/>
      <c r="O785" s="142"/>
      <c r="P785" s="125"/>
      <c r="Q785" s="450"/>
      <c r="R785" s="142"/>
      <c r="S785" s="142"/>
      <c r="T785" s="142"/>
      <c r="U785" s="140"/>
      <c r="V785" s="456"/>
      <c r="W785" s="142"/>
      <c r="X785" s="142"/>
      <c r="Y785" s="142"/>
      <c r="Z785" s="140"/>
      <c r="AA785" s="456"/>
      <c r="AB785" s="142"/>
      <c r="AC785" s="142"/>
      <c r="AD785" s="142"/>
      <c r="AE785" s="140"/>
      <c r="AF785" s="456"/>
      <c r="AG785" s="142"/>
      <c r="AH785" s="142"/>
      <c r="AI785" s="142"/>
      <c r="AJ785" s="140"/>
      <c r="AK785" s="456"/>
      <c r="AL785" s="142"/>
      <c r="AM785" s="142"/>
      <c r="AN785" s="142"/>
      <c r="AO785" s="438"/>
      <c r="AP785" s="438"/>
      <c r="AQ785" s="438"/>
      <c r="AR785" s="438"/>
      <c r="AS785" s="438"/>
      <c r="AT785" s="438"/>
      <c r="AU785" s="438"/>
      <c r="AV785" s="438"/>
      <c r="AW785" s="438"/>
      <c r="AX785" s="438"/>
      <c r="AY785" s="438"/>
      <c r="AZ785" s="438"/>
      <c r="BA785" s="438"/>
      <c r="BB785" s="438"/>
      <c r="BC785" s="438"/>
      <c r="BD785" s="438"/>
      <c r="BE785" s="438"/>
      <c r="BF785" s="438"/>
      <c r="BG785" s="438"/>
      <c r="BH785" s="438"/>
    </row>
    <row r="786">
      <c r="A786" s="140"/>
      <c r="B786" s="456"/>
      <c r="C786" s="142"/>
      <c r="D786" s="142"/>
      <c r="E786" s="142"/>
      <c r="F786" s="140"/>
      <c r="G786" s="456"/>
      <c r="H786" s="142"/>
      <c r="I786" s="142"/>
      <c r="J786" s="142"/>
      <c r="K786" s="125"/>
      <c r="L786" s="456"/>
      <c r="M786" s="142"/>
      <c r="N786" s="142"/>
      <c r="O786" s="142"/>
      <c r="P786" s="125"/>
      <c r="Q786" s="450"/>
      <c r="R786" s="142"/>
      <c r="S786" s="142"/>
      <c r="T786" s="142"/>
      <c r="U786" s="140"/>
      <c r="V786" s="456"/>
      <c r="W786" s="142"/>
      <c r="X786" s="142"/>
      <c r="Y786" s="142"/>
      <c r="Z786" s="140"/>
      <c r="AA786" s="456"/>
      <c r="AB786" s="142"/>
      <c r="AC786" s="142"/>
      <c r="AD786" s="142"/>
      <c r="AE786" s="140"/>
      <c r="AF786" s="456"/>
      <c r="AG786" s="142"/>
      <c r="AH786" s="142"/>
      <c r="AI786" s="142"/>
      <c r="AJ786" s="140"/>
      <c r="AK786" s="456"/>
      <c r="AL786" s="142"/>
      <c r="AM786" s="142"/>
      <c r="AN786" s="142"/>
      <c r="AO786" s="438"/>
      <c r="AP786" s="438"/>
      <c r="AQ786" s="438"/>
      <c r="AR786" s="438"/>
      <c r="AS786" s="438"/>
      <c r="AT786" s="438"/>
      <c r="AU786" s="438"/>
      <c r="AV786" s="438"/>
      <c r="AW786" s="438"/>
      <c r="AX786" s="438"/>
      <c r="AY786" s="438"/>
      <c r="AZ786" s="438"/>
      <c r="BA786" s="438"/>
      <c r="BB786" s="438"/>
      <c r="BC786" s="438"/>
      <c r="BD786" s="438"/>
      <c r="BE786" s="438"/>
      <c r="BF786" s="438"/>
      <c r="BG786" s="438"/>
      <c r="BH786" s="438"/>
    </row>
    <row r="787">
      <c r="A787" s="140"/>
      <c r="B787" s="456"/>
      <c r="C787" s="142"/>
      <c r="D787" s="142"/>
      <c r="E787" s="142"/>
      <c r="F787" s="140"/>
      <c r="G787" s="456"/>
      <c r="H787" s="142"/>
      <c r="I787" s="142"/>
      <c r="J787" s="142"/>
      <c r="K787" s="125"/>
      <c r="L787" s="456"/>
      <c r="M787" s="142"/>
      <c r="N787" s="142"/>
      <c r="O787" s="142"/>
      <c r="P787" s="125"/>
      <c r="Q787" s="450"/>
      <c r="R787" s="142"/>
      <c r="S787" s="142"/>
      <c r="T787" s="142"/>
      <c r="U787" s="140"/>
      <c r="V787" s="456"/>
      <c r="W787" s="142"/>
      <c r="X787" s="142"/>
      <c r="Y787" s="142"/>
      <c r="Z787" s="140"/>
      <c r="AA787" s="456"/>
      <c r="AB787" s="142"/>
      <c r="AC787" s="142"/>
      <c r="AD787" s="142"/>
      <c r="AE787" s="140"/>
      <c r="AF787" s="456"/>
      <c r="AG787" s="142"/>
      <c r="AH787" s="142"/>
      <c r="AI787" s="142"/>
      <c r="AJ787" s="140"/>
      <c r="AK787" s="456"/>
      <c r="AL787" s="142"/>
      <c r="AM787" s="142"/>
      <c r="AN787" s="142"/>
      <c r="AO787" s="438"/>
      <c r="AP787" s="438"/>
      <c r="AQ787" s="438"/>
      <c r="AR787" s="438"/>
      <c r="AS787" s="438"/>
      <c r="AT787" s="438"/>
      <c r="AU787" s="438"/>
      <c r="AV787" s="438"/>
      <c r="AW787" s="438"/>
      <c r="AX787" s="438"/>
      <c r="AY787" s="438"/>
      <c r="AZ787" s="438"/>
      <c r="BA787" s="438"/>
      <c r="BB787" s="438"/>
      <c r="BC787" s="438"/>
      <c r="BD787" s="438"/>
      <c r="BE787" s="438"/>
      <c r="BF787" s="438"/>
      <c r="BG787" s="438"/>
      <c r="BH787" s="438"/>
    </row>
    <row r="788">
      <c r="A788" s="140"/>
      <c r="B788" s="456"/>
      <c r="C788" s="142"/>
      <c r="D788" s="142"/>
      <c r="E788" s="142"/>
      <c r="F788" s="140"/>
      <c r="G788" s="456"/>
      <c r="H788" s="142"/>
      <c r="I788" s="142"/>
      <c r="J788" s="142"/>
      <c r="K788" s="125"/>
      <c r="L788" s="456"/>
      <c r="M788" s="142"/>
      <c r="N788" s="142"/>
      <c r="O788" s="142"/>
      <c r="P788" s="125"/>
      <c r="Q788" s="450"/>
      <c r="R788" s="142"/>
      <c r="S788" s="142"/>
      <c r="T788" s="142"/>
      <c r="U788" s="140"/>
      <c r="V788" s="456"/>
      <c r="W788" s="142"/>
      <c r="X788" s="142"/>
      <c r="Y788" s="142"/>
      <c r="Z788" s="140"/>
      <c r="AA788" s="456"/>
      <c r="AB788" s="142"/>
      <c r="AC788" s="142"/>
      <c r="AD788" s="142"/>
      <c r="AE788" s="140"/>
      <c r="AF788" s="456"/>
      <c r="AG788" s="142"/>
      <c r="AH788" s="142"/>
      <c r="AI788" s="142"/>
      <c r="AJ788" s="140"/>
      <c r="AK788" s="456"/>
      <c r="AL788" s="142"/>
      <c r="AM788" s="142"/>
      <c r="AN788" s="142"/>
      <c r="AO788" s="438"/>
      <c r="AP788" s="438"/>
      <c r="AQ788" s="438"/>
      <c r="AR788" s="438"/>
      <c r="AS788" s="438"/>
      <c r="AT788" s="438"/>
      <c r="AU788" s="438"/>
      <c r="AV788" s="438"/>
      <c r="AW788" s="438"/>
      <c r="AX788" s="438"/>
      <c r="AY788" s="438"/>
      <c r="AZ788" s="438"/>
      <c r="BA788" s="438"/>
      <c r="BB788" s="438"/>
      <c r="BC788" s="438"/>
      <c r="BD788" s="438"/>
      <c r="BE788" s="438"/>
      <c r="BF788" s="438"/>
      <c r="BG788" s="438"/>
      <c r="BH788" s="438"/>
    </row>
    <row r="789">
      <c r="A789" s="140"/>
      <c r="B789" s="456"/>
      <c r="C789" s="142"/>
      <c r="D789" s="142"/>
      <c r="E789" s="142"/>
      <c r="F789" s="140"/>
      <c r="G789" s="456"/>
      <c r="H789" s="142"/>
      <c r="I789" s="142"/>
      <c r="J789" s="142"/>
      <c r="K789" s="125"/>
      <c r="L789" s="456"/>
      <c r="M789" s="142"/>
      <c r="N789" s="142"/>
      <c r="O789" s="142"/>
      <c r="P789" s="125"/>
      <c r="Q789" s="450"/>
      <c r="R789" s="142"/>
      <c r="S789" s="142"/>
      <c r="T789" s="142"/>
      <c r="U789" s="140"/>
      <c r="V789" s="456"/>
      <c r="W789" s="142"/>
      <c r="X789" s="142"/>
      <c r="Y789" s="142"/>
      <c r="Z789" s="140"/>
      <c r="AA789" s="456"/>
      <c r="AB789" s="142"/>
      <c r="AC789" s="142"/>
      <c r="AD789" s="142"/>
      <c r="AE789" s="140"/>
      <c r="AF789" s="456"/>
      <c r="AG789" s="142"/>
      <c r="AH789" s="142"/>
      <c r="AI789" s="142"/>
      <c r="AJ789" s="140"/>
      <c r="AK789" s="456"/>
      <c r="AL789" s="142"/>
      <c r="AM789" s="142"/>
      <c r="AN789" s="142"/>
      <c r="AO789" s="438"/>
      <c r="AP789" s="438"/>
      <c r="AQ789" s="438"/>
      <c r="AR789" s="438"/>
      <c r="AS789" s="438"/>
      <c r="AT789" s="438"/>
      <c r="AU789" s="438"/>
      <c r="AV789" s="438"/>
      <c r="AW789" s="438"/>
      <c r="AX789" s="438"/>
      <c r="AY789" s="438"/>
      <c r="AZ789" s="438"/>
      <c r="BA789" s="438"/>
      <c r="BB789" s="438"/>
      <c r="BC789" s="438"/>
      <c r="BD789" s="438"/>
      <c r="BE789" s="438"/>
      <c r="BF789" s="438"/>
      <c r="BG789" s="438"/>
      <c r="BH789" s="438"/>
    </row>
    <row r="790">
      <c r="A790" s="140"/>
      <c r="B790" s="456"/>
      <c r="C790" s="142"/>
      <c r="D790" s="142"/>
      <c r="E790" s="142"/>
      <c r="F790" s="140"/>
      <c r="G790" s="456"/>
      <c r="H790" s="142"/>
      <c r="I790" s="142"/>
      <c r="J790" s="142"/>
      <c r="K790" s="125"/>
      <c r="L790" s="456"/>
      <c r="M790" s="142"/>
      <c r="N790" s="142"/>
      <c r="O790" s="142"/>
      <c r="P790" s="125"/>
      <c r="Q790" s="450"/>
      <c r="R790" s="142"/>
      <c r="S790" s="142"/>
      <c r="T790" s="142"/>
      <c r="U790" s="140"/>
      <c r="V790" s="456"/>
      <c r="W790" s="142"/>
      <c r="X790" s="142"/>
      <c r="Y790" s="142"/>
      <c r="Z790" s="140"/>
      <c r="AA790" s="456"/>
      <c r="AB790" s="142"/>
      <c r="AC790" s="142"/>
      <c r="AD790" s="142"/>
      <c r="AE790" s="140"/>
      <c r="AF790" s="456"/>
      <c r="AG790" s="142"/>
      <c r="AH790" s="142"/>
      <c r="AI790" s="142"/>
      <c r="AJ790" s="140"/>
      <c r="AK790" s="456"/>
      <c r="AL790" s="142"/>
      <c r="AM790" s="142"/>
      <c r="AN790" s="142"/>
      <c r="AO790" s="438"/>
      <c r="AP790" s="438"/>
      <c r="AQ790" s="438"/>
      <c r="AR790" s="438"/>
      <c r="AS790" s="438"/>
      <c r="AT790" s="438"/>
      <c r="AU790" s="438"/>
      <c r="AV790" s="438"/>
      <c r="AW790" s="438"/>
      <c r="AX790" s="438"/>
      <c r="AY790" s="438"/>
      <c r="AZ790" s="438"/>
      <c r="BA790" s="438"/>
      <c r="BB790" s="438"/>
      <c r="BC790" s="438"/>
      <c r="BD790" s="438"/>
      <c r="BE790" s="438"/>
      <c r="BF790" s="438"/>
      <c r="BG790" s="438"/>
      <c r="BH790" s="438"/>
    </row>
    <row r="791">
      <c r="A791" s="140"/>
      <c r="B791" s="456"/>
      <c r="C791" s="142"/>
      <c r="D791" s="142"/>
      <c r="E791" s="142"/>
      <c r="F791" s="140"/>
      <c r="G791" s="456"/>
      <c r="H791" s="142"/>
      <c r="I791" s="142"/>
      <c r="J791" s="142"/>
      <c r="K791" s="125"/>
      <c r="L791" s="456"/>
      <c r="M791" s="142"/>
      <c r="N791" s="142"/>
      <c r="O791" s="142"/>
      <c r="P791" s="125"/>
      <c r="Q791" s="450"/>
      <c r="R791" s="142"/>
      <c r="S791" s="142"/>
      <c r="T791" s="142"/>
      <c r="U791" s="140"/>
      <c r="V791" s="456"/>
      <c r="W791" s="142"/>
      <c r="X791" s="142"/>
      <c r="Y791" s="142"/>
      <c r="Z791" s="140"/>
      <c r="AA791" s="456"/>
      <c r="AB791" s="142"/>
      <c r="AC791" s="142"/>
      <c r="AD791" s="142"/>
      <c r="AE791" s="140"/>
      <c r="AF791" s="456"/>
      <c r="AG791" s="142"/>
      <c r="AH791" s="142"/>
      <c r="AI791" s="142"/>
      <c r="AJ791" s="140"/>
      <c r="AK791" s="456"/>
      <c r="AL791" s="142"/>
      <c r="AM791" s="142"/>
      <c r="AN791" s="142"/>
      <c r="AO791" s="438"/>
      <c r="AP791" s="438"/>
      <c r="AQ791" s="438"/>
      <c r="AR791" s="438"/>
      <c r="AS791" s="438"/>
      <c r="AT791" s="438"/>
      <c r="AU791" s="438"/>
      <c r="AV791" s="438"/>
      <c r="AW791" s="438"/>
      <c r="AX791" s="438"/>
      <c r="AY791" s="438"/>
      <c r="AZ791" s="438"/>
      <c r="BA791" s="438"/>
      <c r="BB791" s="438"/>
      <c r="BC791" s="438"/>
      <c r="BD791" s="438"/>
      <c r="BE791" s="438"/>
      <c r="BF791" s="438"/>
      <c r="BG791" s="438"/>
      <c r="BH791" s="438"/>
    </row>
    <row r="792">
      <c r="A792" s="140"/>
      <c r="B792" s="456"/>
      <c r="C792" s="142"/>
      <c r="D792" s="142"/>
      <c r="E792" s="142"/>
      <c r="F792" s="140"/>
      <c r="G792" s="456"/>
      <c r="H792" s="142"/>
      <c r="I792" s="142"/>
      <c r="J792" s="142"/>
      <c r="K792" s="125"/>
      <c r="L792" s="456"/>
      <c r="M792" s="142"/>
      <c r="N792" s="142"/>
      <c r="O792" s="142"/>
      <c r="P792" s="125"/>
      <c r="Q792" s="450"/>
      <c r="R792" s="142"/>
      <c r="S792" s="142"/>
      <c r="T792" s="142"/>
      <c r="U792" s="140"/>
      <c r="V792" s="456"/>
      <c r="W792" s="142"/>
      <c r="X792" s="142"/>
      <c r="Y792" s="142"/>
      <c r="Z792" s="140"/>
      <c r="AA792" s="456"/>
      <c r="AB792" s="142"/>
      <c r="AC792" s="142"/>
      <c r="AD792" s="142"/>
      <c r="AE792" s="140"/>
      <c r="AF792" s="456"/>
      <c r="AG792" s="142"/>
      <c r="AH792" s="142"/>
      <c r="AI792" s="142"/>
      <c r="AJ792" s="140"/>
      <c r="AK792" s="456"/>
      <c r="AL792" s="142"/>
      <c r="AM792" s="142"/>
      <c r="AN792" s="142"/>
      <c r="AO792" s="438"/>
      <c r="AP792" s="438"/>
      <c r="AQ792" s="438"/>
      <c r="AR792" s="438"/>
      <c r="AS792" s="438"/>
      <c r="AT792" s="438"/>
      <c r="AU792" s="438"/>
      <c r="AV792" s="438"/>
      <c r="AW792" s="438"/>
      <c r="AX792" s="438"/>
      <c r="AY792" s="438"/>
      <c r="AZ792" s="438"/>
      <c r="BA792" s="438"/>
      <c r="BB792" s="438"/>
      <c r="BC792" s="438"/>
      <c r="BD792" s="438"/>
      <c r="BE792" s="438"/>
      <c r="BF792" s="438"/>
      <c r="BG792" s="438"/>
      <c r="BH792" s="438"/>
    </row>
    <row r="793">
      <c r="A793" s="140"/>
      <c r="B793" s="456"/>
      <c r="C793" s="142"/>
      <c r="D793" s="142"/>
      <c r="E793" s="142"/>
      <c r="F793" s="140"/>
      <c r="G793" s="456"/>
      <c r="H793" s="142"/>
      <c r="I793" s="142"/>
      <c r="J793" s="142"/>
      <c r="K793" s="125"/>
      <c r="L793" s="456"/>
      <c r="M793" s="142"/>
      <c r="N793" s="142"/>
      <c r="O793" s="142"/>
      <c r="P793" s="125"/>
      <c r="Q793" s="450"/>
      <c r="R793" s="142"/>
      <c r="S793" s="142"/>
      <c r="T793" s="142"/>
      <c r="U793" s="140"/>
      <c r="V793" s="456"/>
      <c r="W793" s="142"/>
      <c r="X793" s="142"/>
      <c r="Y793" s="142"/>
      <c r="Z793" s="140"/>
      <c r="AA793" s="456"/>
      <c r="AB793" s="142"/>
      <c r="AC793" s="142"/>
      <c r="AD793" s="142"/>
      <c r="AE793" s="140"/>
      <c r="AF793" s="456"/>
      <c r="AG793" s="142"/>
      <c r="AH793" s="142"/>
      <c r="AI793" s="142"/>
      <c r="AJ793" s="140"/>
      <c r="AK793" s="456"/>
      <c r="AL793" s="142"/>
      <c r="AM793" s="142"/>
      <c r="AN793" s="142"/>
      <c r="AO793" s="438"/>
      <c r="AP793" s="438"/>
      <c r="AQ793" s="438"/>
      <c r="AR793" s="438"/>
      <c r="AS793" s="438"/>
      <c r="AT793" s="438"/>
      <c r="AU793" s="438"/>
      <c r="AV793" s="438"/>
      <c r="AW793" s="438"/>
      <c r="AX793" s="438"/>
      <c r="AY793" s="438"/>
      <c r="AZ793" s="438"/>
      <c r="BA793" s="438"/>
      <c r="BB793" s="438"/>
      <c r="BC793" s="438"/>
      <c r="BD793" s="438"/>
      <c r="BE793" s="438"/>
      <c r="BF793" s="438"/>
      <c r="BG793" s="438"/>
      <c r="BH793" s="438"/>
    </row>
    <row r="794">
      <c r="A794" s="140"/>
      <c r="B794" s="456"/>
      <c r="C794" s="142"/>
      <c r="D794" s="142"/>
      <c r="E794" s="142"/>
      <c r="F794" s="140"/>
      <c r="G794" s="456"/>
      <c r="H794" s="142"/>
      <c r="I794" s="142"/>
      <c r="J794" s="142"/>
      <c r="K794" s="125"/>
      <c r="L794" s="456"/>
      <c r="M794" s="142"/>
      <c r="N794" s="142"/>
      <c r="O794" s="142"/>
      <c r="P794" s="125"/>
      <c r="Q794" s="450"/>
      <c r="R794" s="142"/>
      <c r="S794" s="142"/>
      <c r="T794" s="142"/>
      <c r="U794" s="140"/>
      <c r="V794" s="456"/>
      <c r="W794" s="142"/>
      <c r="X794" s="142"/>
      <c r="Y794" s="142"/>
      <c r="Z794" s="140"/>
      <c r="AA794" s="456"/>
      <c r="AB794" s="142"/>
      <c r="AC794" s="142"/>
      <c r="AD794" s="142"/>
      <c r="AE794" s="140"/>
      <c r="AF794" s="456"/>
      <c r="AG794" s="142"/>
      <c r="AH794" s="142"/>
      <c r="AI794" s="142"/>
      <c r="AJ794" s="140"/>
      <c r="AK794" s="456"/>
      <c r="AL794" s="142"/>
      <c r="AM794" s="142"/>
      <c r="AN794" s="142"/>
      <c r="AO794" s="438"/>
      <c r="AP794" s="438"/>
      <c r="AQ794" s="438"/>
      <c r="AR794" s="438"/>
      <c r="AS794" s="438"/>
      <c r="AT794" s="438"/>
      <c r="AU794" s="438"/>
      <c r="AV794" s="438"/>
      <c r="AW794" s="438"/>
      <c r="AX794" s="438"/>
      <c r="AY794" s="438"/>
      <c r="AZ794" s="438"/>
      <c r="BA794" s="438"/>
      <c r="BB794" s="438"/>
      <c r="BC794" s="438"/>
      <c r="BD794" s="438"/>
      <c r="BE794" s="438"/>
      <c r="BF794" s="438"/>
      <c r="BG794" s="438"/>
      <c r="BH794" s="438"/>
    </row>
    <row r="795">
      <c r="A795" s="140"/>
      <c r="B795" s="456"/>
      <c r="C795" s="142"/>
      <c r="D795" s="142"/>
      <c r="E795" s="142"/>
      <c r="F795" s="140"/>
      <c r="G795" s="456"/>
      <c r="H795" s="142"/>
      <c r="I795" s="142"/>
      <c r="J795" s="142"/>
      <c r="K795" s="125"/>
      <c r="L795" s="456"/>
      <c r="M795" s="142"/>
      <c r="N795" s="142"/>
      <c r="O795" s="142"/>
      <c r="P795" s="125"/>
      <c r="Q795" s="450"/>
      <c r="R795" s="142"/>
      <c r="S795" s="142"/>
      <c r="T795" s="142"/>
      <c r="U795" s="140"/>
      <c r="V795" s="456"/>
      <c r="W795" s="142"/>
      <c r="X795" s="142"/>
      <c r="Y795" s="142"/>
      <c r="Z795" s="140"/>
      <c r="AA795" s="456"/>
      <c r="AB795" s="142"/>
      <c r="AC795" s="142"/>
      <c r="AD795" s="142"/>
      <c r="AE795" s="140"/>
      <c r="AF795" s="456"/>
      <c r="AG795" s="142"/>
      <c r="AH795" s="142"/>
      <c r="AI795" s="142"/>
      <c r="AJ795" s="140"/>
      <c r="AK795" s="456"/>
      <c r="AL795" s="142"/>
      <c r="AM795" s="142"/>
      <c r="AN795" s="142"/>
      <c r="AO795" s="438"/>
      <c r="AP795" s="438"/>
      <c r="AQ795" s="438"/>
      <c r="AR795" s="438"/>
      <c r="AS795" s="438"/>
      <c r="AT795" s="438"/>
      <c r="AU795" s="438"/>
      <c r="AV795" s="438"/>
      <c r="AW795" s="438"/>
      <c r="AX795" s="438"/>
      <c r="AY795" s="438"/>
      <c r="AZ795" s="438"/>
      <c r="BA795" s="438"/>
      <c r="BB795" s="438"/>
      <c r="BC795" s="438"/>
      <c r="BD795" s="438"/>
      <c r="BE795" s="438"/>
      <c r="BF795" s="438"/>
      <c r="BG795" s="438"/>
      <c r="BH795" s="438"/>
    </row>
    <row r="796">
      <c r="A796" s="140"/>
      <c r="B796" s="456"/>
      <c r="C796" s="142"/>
      <c r="D796" s="142"/>
      <c r="E796" s="142"/>
      <c r="F796" s="140"/>
      <c r="G796" s="456"/>
      <c r="H796" s="142"/>
      <c r="I796" s="142"/>
      <c r="J796" s="142"/>
      <c r="K796" s="125"/>
      <c r="L796" s="456"/>
      <c r="M796" s="142"/>
      <c r="N796" s="142"/>
      <c r="O796" s="142"/>
      <c r="P796" s="125"/>
      <c r="Q796" s="450"/>
      <c r="R796" s="142"/>
      <c r="S796" s="142"/>
      <c r="T796" s="142"/>
      <c r="U796" s="140"/>
      <c r="V796" s="456"/>
      <c r="W796" s="142"/>
      <c r="X796" s="142"/>
      <c r="Y796" s="142"/>
      <c r="Z796" s="140"/>
      <c r="AA796" s="456"/>
      <c r="AB796" s="142"/>
      <c r="AC796" s="142"/>
      <c r="AD796" s="142"/>
      <c r="AE796" s="140"/>
      <c r="AF796" s="456"/>
      <c r="AG796" s="142"/>
      <c r="AH796" s="142"/>
      <c r="AI796" s="142"/>
      <c r="AJ796" s="140"/>
      <c r="AK796" s="456"/>
      <c r="AL796" s="142"/>
      <c r="AM796" s="142"/>
      <c r="AN796" s="142"/>
      <c r="AO796" s="438"/>
      <c r="AP796" s="438"/>
      <c r="AQ796" s="438"/>
      <c r="AR796" s="438"/>
      <c r="AS796" s="438"/>
      <c r="AT796" s="438"/>
      <c r="AU796" s="438"/>
      <c r="AV796" s="438"/>
      <c r="AW796" s="438"/>
      <c r="AX796" s="438"/>
      <c r="AY796" s="438"/>
      <c r="AZ796" s="438"/>
      <c r="BA796" s="438"/>
      <c r="BB796" s="438"/>
      <c r="BC796" s="438"/>
      <c r="BD796" s="438"/>
      <c r="BE796" s="438"/>
      <c r="BF796" s="438"/>
      <c r="BG796" s="438"/>
      <c r="BH796" s="438"/>
    </row>
    <row r="797">
      <c r="A797" s="140"/>
      <c r="B797" s="456"/>
      <c r="C797" s="142"/>
      <c r="D797" s="142"/>
      <c r="E797" s="142"/>
      <c r="F797" s="140"/>
      <c r="G797" s="456"/>
      <c r="H797" s="142"/>
      <c r="I797" s="142"/>
      <c r="J797" s="142"/>
      <c r="K797" s="125"/>
      <c r="L797" s="456"/>
      <c r="M797" s="142"/>
      <c r="N797" s="142"/>
      <c r="O797" s="142"/>
      <c r="P797" s="125"/>
      <c r="Q797" s="450"/>
      <c r="R797" s="142"/>
      <c r="S797" s="142"/>
      <c r="T797" s="142"/>
      <c r="U797" s="140"/>
      <c r="V797" s="456"/>
      <c r="W797" s="142"/>
      <c r="X797" s="142"/>
      <c r="Y797" s="142"/>
      <c r="Z797" s="140"/>
      <c r="AA797" s="456"/>
      <c r="AB797" s="142"/>
      <c r="AC797" s="142"/>
      <c r="AD797" s="142"/>
      <c r="AE797" s="140"/>
      <c r="AF797" s="456"/>
      <c r="AG797" s="142"/>
      <c r="AH797" s="142"/>
      <c r="AI797" s="142"/>
      <c r="AJ797" s="140"/>
      <c r="AK797" s="456"/>
      <c r="AL797" s="142"/>
      <c r="AM797" s="142"/>
      <c r="AN797" s="142"/>
      <c r="AO797" s="438"/>
      <c r="AP797" s="438"/>
      <c r="AQ797" s="438"/>
      <c r="AR797" s="438"/>
      <c r="AS797" s="438"/>
      <c r="AT797" s="438"/>
      <c r="AU797" s="438"/>
      <c r="AV797" s="438"/>
      <c r="AW797" s="438"/>
      <c r="AX797" s="438"/>
      <c r="AY797" s="438"/>
      <c r="AZ797" s="438"/>
      <c r="BA797" s="438"/>
      <c r="BB797" s="438"/>
      <c r="BC797" s="438"/>
      <c r="BD797" s="438"/>
      <c r="BE797" s="438"/>
      <c r="BF797" s="438"/>
      <c r="BG797" s="438"/>
      <c r="BH797" s="438"/>
    </row>
    <row r="798">
      <c r="A798" s="140"/>
      <c r="B798" s="456"/>
      <c r="C798" s="142"/>
      <c r="D798" s="142"/>
      <c r="E798" s="142"/>
      <c r="F798" s="140"/>
      <c r="G798" s="456"/>
      <c r="H798" s="142"/>
      <c r="I798" s="142"/>
      <c r="J798" s="142"/>
      <c r="K798" s="125"/>
      <c r="L798" s="456"/>
      <c r="M798" s="142"/>
      <c r="N798" s="142"/>
      <c r="O798" s="142"/>
      <c r="P798" s="125"/>
      <c r="Q798" s="450"/>
      <c r="R798" s="142"/>
      <c r="S798" s="142"/>
      <c r="T798" s="142"/>
      <c r="U798" s="140"/>
      <c r="V798" s="456"/>
      <c r="W798" s="142"/>
      <c r="X798" s="142"/>
      <c r="Y798" s="142"/>
      <c r="Z798" s="140"/>
      <c r="AA798" s="456"/>
      <c r="AB798" s="142"/>
      <c r="AC798" s="142"/>
      <c r="AD798" s="142"/>
      <c r="AE798" s="140"/>
      <c r="AF798" s="456"/>
      <c r="AG798" s="142"/>
      <c r="AH798" s="142"/>
      <c r="AI798" s="142"/>
      <c r="AJ798" s="140"/>
      <c r="AK798" s="456"/>
      <c r="AL798" s="142"/>
      <c r="AM798" s="142"/>
      <c r="AN798" s="142"/>
      <c r="AO798" s="438"/>
      <c r="AP798" s="438"/>
      <c r="AQ798" s="438"/>
      <c r="AR798" s="438"/>
      <c r="AS798" s="438"/>
      <c r="AT798" s="438"/>
      <c r="AU798" s="438"/>
      <c r="AV798" s="438"/>
      <c r="AW798" s="438"/>
      <c r="AX798" s="438"/>
      <c r="AY798" s="438"/>
      <c r="AZ798" s="438"/>
      <c r="BA798" s="438"/>
      <c r="BB798" s="438"/>
      <c r="BC798" s="438"/>
      <c r="BD798" s="438"/>
      <c r="BE798" s="438"/>
      <c r="BF798" s="438"/>
      <c r="BG798" s="438"/>
      <c r="BH798" s="438"/>
    </row>
    <row r="799">
      <c r="A799" s="140"/>
      <c r="B799" s="456"/>
      <c r="C799" s="142"/>
      <c r="D799" s="142"/>
      <c r="E799" s="142"/>
      <c r="F799" s="140"/>
      <c r="G799" s="456"/>
      <c r="H799" s="142"/>
      <c r="I799" s="142"/>
      <c r="J799" s="142"/>
      <c r="K799" s="125"/>
      <c r="L799" s="456"/>
      <c r="M799" s="142"/>
      <c r="N799" s="142"/>
      <c r="O799" s="142"/>
      <c r="P799" s="125"/>
      <c r="Q799" s="450"/>
      <c r="R799" s="142"/>
      <c r="S799" s="142"/>
      <c r="T799" s="142"/>
      <c r="U799" s="140"/>
      <c r="V799" s="456"/>
      <c r="W799" s="142"/>
      <c r="X799" s="142"/>
      <c r="Y799" s="142"/>
      <c r="Z799" s="140"/>
      <c r="AA799" s="456"/>
      <c r="AB799" s="142"/>
      <c r="AC799" s="142"/>
      <c r="AD799" s="142"/>
      <c r="AE799" s="140"/>
      <c r="AF799" s="456"/>
      <c r="AG799" s="142"/>
      <c r="AH799" s="142"/>
      <c r="AI799" s="142"/>
      <c r="AJ799" s="140"/>
      <c r="AK799" s="456"/>
      <c r="AL799" s="142"/>
      <c r="AM799" s="142"/>
      <c r="AN799" s="142"/>
      <c r="AO799" s="438"/>
      <c r="AP799" s="438"/>
      <c r="AQ799" s="438"/>
      <c r="AR799" s="438"/>
      <c r="AS799" s="438"/>
      <c r="AT799" s="438"/>
      <c r="AU799" s="438"/>
      <c r="AV799" s="438"/>
      <c r="AW799" s="438"/>
      <c r="AX799" s="438"/>
      <c r="AY799" s="438"/>
      <c r="AZ799" s="438"/>
      <c r="BA799" s="438"/>
      <c r="BB799" s="438"/>
      <c r="BC799" s="438"/>
      <c r="BD799" s="438"/>
      <c r="BE799" s="438"/>
      <c r="BF799" s="438"/>
      <c r="BG799" s="438"/>
      <c r="BH799" s="438"/>
    </row>
    <row r="800">
      <c r="A800" s="140"/>
      <c r="B800" s="456"/>
      <c r="C800" s="142"/>
      <c r="D800" s="142"/>
      <c r="E800" s="142"/>
      <c r="F800" s="140"/>
      <c r="G800" s="456"/>
      <c r="H800" s="142"/>
      <c r="I800" s="142"/>
      <c r="J800" s="142"/>
      <c r="K800" s="125"/>
      <c r="L800" s="456"/>
      <c r="M800" s="142"/>
      <c r="N800" s="142"/>
      <c r="O800" s="142"/>
      <c r="P800" s="125"/>
      <c r="Q800" s="450"/>
      <c r="R800" s="142"/>
      <c r="S800" s="142"/>
      <c r="T800" s="142"/>
      <c r="U800" s="140"/>
      <c r="V800" s="456"/>
      <c r="W800" s="142"/>
      <c r="X800" s="142"/>
      <c r="Y800" s="142"/>
      <c r="Z800" s="140"/>
      <c r="AA800" s="456"/>
      <c r="AB800" s="142"/>
      <c r="AC800" s="142"/>
      <c r="AD800" s="142"/>
      <c r="AE800" s="140"/>
      <c r="AF800" s="456"/>
      <c r="AG800" s="142"/>
      <c r="AH800" s="142"/>
      <c r="AI800" s="142"/>
      <c r="AJ800" s="140"/>
      <c r="AK800" s="456"/>
      <c r="AL800" s="142"/>
      <c r="AM800" s="142"/>
      <c r="AN800" s="142"/>
      <c r="AO800" s="438"/>
      <c r="AP800" s="438"/>
      <c r="AQ800" s="438"/>
      <c r="AR800" s="438"/>
      <c r="AS800" s="438"/>
      <c r="AT800" s="438"/>
      <c r="AU800" s="438"/>
      <c r="AV800" s="438"/>
      <c r="AW800" s="438"/>
      <c r="AX800" s="438"/>
      <c r="AY800" s="438"/>
      <c r="AZ800" s="438"/>
      <c r="BA800" s="438"/>
      <c r="BB800" s="438"/>
      <c r="BC800" s="438"/>
      <c r="BD800" s="438"/>
      <c r="BE800" s="438"/>
      <c r="BF800" s="438"/>
      <c r="BG800" s="438"/>
      <c r="BH800" s="438"/>
    </row>
    <row r="801">
      <c r="A801" s="140"/>
      <c r="B801" s="456"/>
      <c r="C801" s="142"/>
      <c r="D801" s="142"/>
      <c r="E801" s="142"/>
      <c r="F801" s="140"/>
      <c r="G801" s="456"/>
      <c r="H801" s="142"/>
      <c r="I801" s="142"/>
      <c r="J801" s="142"/>
      <c r="K801" s="125"/>
      <c r="L801" s="456"/>
      <c r="M801" s="142"/>
      <c r="N801" s="142"/>
      <c r="O801" s="142"/>
      <c r="P801" s="125"/>
      <c r="Q801" s="450"/>
      <c r="R801" s="142"/>
      <c r="S801" s="142"/>
      <c r="T801" s="142"/>
      <c r="U801" s="140"/>
      <c r="V801" s="456"/>
      <c r="W801" s="142"/>
      <c r="X801" s="142"/>
      <c r="Y801" s="142"/>
      <c r="Z801" s="140"/>
      <c r="AA801" s="456"/>
      <c r="AB801" s="142"/>
      <c r="AC801" s="142"/>
      <c r="AD801" s="142"/>
      <c r="AE801" s="140"/>
      <c r="AF801" s="456"/>
      <c r="AG801" s="142"/>
      <c r="AH801" s="142"/>
      <c r="AI801" s="142"/>
      <c r="AJ801" s="140"/>
      <c r="AK801" s="456"/>
      <c r="AL801" s="142"/>
      <c r="AM801" s="142"/>
      <c r="AN801" s="142"/>
      <c r="AO801" s="438"/>
      <c r="AP801" s="438"/>
      <c r="AQ801" s="438"/>
      <c r="AR801" s="438"/>
      <c r="AS801" s="438"/>
      <c r="AT801" s="438"/>
      <c r="AU801" s="438"/>
      <c r="AV801" s="438"/>
      <c r="AW801" s="438"/>
      <c r="AX801" s="438"/>
      <c r="AY801" s="438"/>
      <c r="AZ801" s="438"/>
      <c r="BA801" s="438"/>
      <c r="BB801" s="438"/>
      <c r="BC801" s="438"/>
      <c r="BD801" s="438"/>
      <c r="BE801" s="438"/>
      <c r="BF801" s="438"/>
      <c r="BG801" s="438"/>
      <c r="BH801" s="438"/>
    </row>
    <row r="802">
      <c r="A802" s="140"/>
      <c r="B802" s="456"/>
      <c r="C802" s="142"/>
      <c r="D802" s="142"/>
      <c r="E802" s="142"/>
      <c r="F802" s="140"/>
      <c r="G802" s="456"/>
      <c r="H802" s="142"/>
      <c r="I802" s="142"/>
      <c r="J802" s="142"/>
      <c r="K802" s="125"/>
      <c r="L802" s="456"/>
      <c r="M802" s="142"/>
      <c r="N802" s="142"/>
      <c r="O802" s="142"/>
      <c r="P802" s="125"/>
      <c r="Q802" s="450"/>
      <c r="R802" s="142"/>
      <c r="S802" s="142"/>
      <c r="T802" s="142"/>
      <c r="U802" s="140"/>
      <c r="V802" s="456"/>
      <c r="W802" s="142"/>
      <c r="X802" s="142"/>
      <c r="Y802" s="142"/>
      <c r="Z802" s="140"/>
      <c r="AA802" s="456"/>
      <c r="AB802" s="142"/>
      <c r="AC802" s="142"/>
      <c r="AD802" s="142"/>
      <c r="AE802" s="140"/>
      <c r="AF802" s="456"/>
      <c r="AG802" s="142"/>
      <c r="AH802" s="142"/>
      <c r="AI802" s="142"/>
      <c r="AJ802" s="140"/>
      <c r="AK802" s="456"/>
      <c r="AL802" s="142"/>
      <c r="AM802" s="142"/>
      <c r="AN802" s="142"/>
      <c r="AO802" s="438"/>
      <c r="AP802" s="438"/>
      <c r="AQ802" s="438"/>
      <c r="AR802" s="438"/>
      <c r="AS802" s="438"/>
      <c r="AT802" s="438"/>
      <c r="AU802" s="438"/>
      <c r="AV802" s="438"/>
      <c r="AW802" s="438"/>
      <c r="AX802" s="438"/>
      <c r="AY802" s="438"/>
      <c r="AZ802" s="438"/>
      <c r="BA802" s="438"/>
      <c r="BB802" s="438"/>
      <c r="BC802" s="438"/>
      <c r="BD802" s="438"/>
      <c r="BE802" s="438"/>
      <c r="BF802" s="438"/>
      <c r="BG802" s="438"/>
      <c r="BH802" s="438"/>
    </row>
    <row r="803">
      <c r="A803" s="140"/>
      <c r="B803" s="456"/>
      <c r="C803" s="142"/>
      <c r="D803" s="142"/>
      <c r="E803" s="142"/>
      <c r="F803" s="140"/>
      <c r="G803" s="456"/>
      <c r="H803" s="142"/>
      <c r="I803" s="142"/>
      <c r="J803" s="142"/>
      <c r="K803" s="125"/>
      <c r="L803" s="456"/>
      <c r="M803" s="142"/>
      <c r="N803" s="142"/>
      <c r="O803" s="142"/>
      <c r="P803" s="125"/>
      <c r="Q803" s="450"/>
      <c r="R803" s="142"/>
      <c r="S803" s="142"/>
      <c r="T803" s="142"/>
      <c r="U803" s="140"/>
      <c r="V803" s="456"/>
      <c r="W803" s="142"/>
      <c r="X803" s="142"/>
      <c r="Y803" s="142"/>
      <c r="Z803" s="140"/>
      <c r="AA803" s="456"/>
      <c r="AB803" s="142"/>
      <c r="AC803" s="142"/>
      <c r="AD803" s="142"/>
      <c r="AE803" s="140"/>
      <c r="AF803" s="456"/>
      <c r="AG803" s="142"/>
      <c r="AH803" s="142"/>
      <c r="AI803" s="142"/>
      <c r="AJ803" s="140"/>
      <c r="AK803" s="456"/>
      <c r="AL803" s="142"/>
      <c r="AM803" s="142"/>
      <c r="AN803" s="142"/>
      <c r="AO803" s="438"/>
      <c r="AP803" s="438"/>
      <c r="AQ803" s="438"/>
      <c r="AR803" s="438"/>
      <c r="AS803" s="438"/>
      <c r="AT803" s="438"/>
      <c r="AU803" s="438"/>
      <c r="AV803" s="438"/>
      <c r="AW803" s="438"/>
      <c r="AX803" s="438"/>
      <c r="AY803" s="438"/>
      <c r="AZ803" s="438"/>
      <c r="BA803" s="438"/>
      <c r="BB803" s="438"/>
      <c r="BC803" s="438"/>
      <c r="BD803" s="438"/>
      <c r="BE803" s="438"/>
      <c r="BF803" s="438"/>
      <c r="BG803" s="438"/>
      <c r="BH803" s="438"/>
    </row>
    <row r="804">
      <c r="A804" s="140"/>
      <c r="B804" s="456"/>
      <c r="C804" s="142"/>
      <c r="D804" s="142"/>
      <c r="E804" s="142"/>
      <c r="F804" s="140"/>
      <c r="G804" s="456"/>
      <c r="H804" s="142"/>
      <c r="I804" s="142"/>
      <c r="J804" s="142"/>
      <c r="K804" s="125"/>
      <c r="L804" s="456"/>
      <c r="M804" s="142"/>
      <c r="N804" s="142"/>
      <c r="O804" s="142"/>
      <c r="P804" s="125"/>
      <c r="Q804" s="450"/>
      <c r="R804" s="142"/>
      <c r="S804" s="142"/>
      <c r="T804" s="142"/>
      <c r="U804" s="140"/>
      <c r="V804" s="456"/>
      <c r="W804" s="142"/>
      <c r="X804" s="142"/>
      <c r="Y804" s="142"/>
      <c r="Z804" s="140"/>
      <c r="AA804" s="456"/>
      <c r="AB804" s="142"/>
      <c r="AC804" s="142"/>
      <c r="AD804" s="142"/>
      <c r="AE804" s="140"/>
      <c r="AF804" s="456"/>
      <c r="AG804" s="142"/>
      <c r="AH804" s="142"/>
      <c r="AI804" s="142"/>
      <c r="AJ804" s="140"/>
      <c r="AK804" s="456"/>
      <c r="AL804" s="142"/>
      <c r="AM804" s="142"/>
      <c r="AN804" s="142"/>
      <c r="AO804" s="438"/>
      <c r="AP804" s="438"/>
      <c r="AQ804" s="438"/>
      <c r="AR804" s="438"/>
      <c r="AS804" s="438"/>
      <c r="AT804" s="438"/>
      <c r="AU804" s="438"/>
      <c r="AV804" s="438"/>
      <c r="AW804" s="438"/>
      <c r="AX804" s="438"/>
      <c r="AY804" s="438"/>
      <c r="AZ804" s="438"/>
      <c r="BA804" s="438"/>
      <c r="BB804" s="438"/>
      <c r="BC804" s="438"/>
      <c r="BD804" s="438"/>
      <c r="BE804" s="438"/>
      <c r="BF804" s="438"/>
      <c r="BG804" s="438"/>
      <c r="BH804" s="438"/>
    </row>
    <row r="805">
      <c r="A805" s="140"/>
      <c r="B805" s="456"/>
      <c r="C805" s="142"/>
      <c r="D805" s="142"/>
      <c r="E805" s="142"/>
      <c r="F805" s="140"/>
      <c r="G805" s="456"/>
      <c r="H805" s="142"/>
      <c r="I805" s="142"/>
      <c r="J805" s="142"/>
      <c r="K805" s="125"/>
      <c r="L805" s="456"/>
      <c r="M805" s="142"/>
      <c r="N805" s="142"/>
      <c r="O805" s="142"/>
      <c r="P805" s="125"/>
      <c r="Q805" s="450"/>
      <c r="R805" s="142"/>
      <c r="S805" s="142"/>
      <c r="T805" s="142"/>
      <c r="U805" s="140"/>
      <c r="V805" s="456"/>
      <c r="W805" s="142"/>
      <c r="X805" s="142"/>
      <c r="Y805" s="142"/>
      <c r="Z805" s="140"/>
      <c r="AA805" s="456"/>
      <c r="AB805" s="142"/>
      <c r="AC805" s="142"/>
      <c r="AD805" s="142"/>
      <c r="AE805" s="140"/>
      <c r="AF805" s="456"/>
      <c r="AG805" s="142"/>
      <c r="AH805" s="142"/>
      <c r="AI805" s="142"/>
      <c r="AJ805" s="140"/>
      <c r="AK805" s="456"/>
      <c r="AL805" s="142"/>
      <c r="AM805" s="142"/>
      <c r="AN805" s="142"/>
      <c r="AO805" s="438"/>
      <c r="AP805" s="438"/>
      <c r="AQ805" s="438"/>
      <c r="AR805" s="438"/>
      <c r="AS805" s="438"/>
      <c r="AT805" s="438"/>
      <c r="AU805" s="438"/>
      <c r="AV805" s="438"/>
      <c r="AW805" s="438"/>
      <c r="AX805" s="438"/>
      <c r="AY805" s="438"/>
      <c r="AZ805" s="438"/>
      <c r="BA805" s="438"/>
      <c r="BB805" s="438"/>
      <c r="BC805" s="438"/>
      <c r="BD805" s="438"/>
      <c r="BE805" s="438"/>
      <c r="BF805" s="438"/>
      <c r="BG805" s="438"/>
      <c r="BH805" s="438"/>
    </row>
    <row r="806">
      <c r="A806" s="140"/>
      <c r="B806" s="456"/>
      <c r="C806" s="142"/>
      <c r="D806" s="142"/>
      <c r="E806" s="142"/>
      <c r="F806" s="140"/>
      <c r="G806" s="456"/>
      <c r="H806" s="142"/>
      <c r="I806" s="142"/>
      <c r="J806" s="142"/>
      <c r="K806" s="125"/>
      <c r="L806" s="456"/>
      <c r="M806" s="142"/>
      <c r="N806" s="142"/>
      <c r="O806" s="142"/>
      <c r="P806" s="125"/>
      <c r="Q806" s="450"/>
      <c r="R806" s="142"/>
      <c r="S806" s="142"/>
      <c r="T806" s="142"/>
      <c r="U806" s="140"/>
      <c r="V806" s="456"/>
      <c r="W806" s="142"/>
      <c r="X806" s="142"/>
      <c r="Y806" s="142"/>
      <c r="Z806" s="140"/>
      <c r="AA806" s="456"/>
      <c r="AB806" s="142"/>
      <c r="AC806" s="142"/>
      <c r="AD806" s="142"/>
      <c r="AE806" s="140"/>
      <c r="AF806" s="456"/>
      <c r="AG806" s="142"/>
      <c r="AH806" s="142"/>
      <c r="AI806" s="142"/>
      <c r="AJ806" s="140"/>
      <c r="AK806" s="456"/>
      <c r="AL806" s="142"/>
      <c r="AM806" s="142"/>
      <c r="AN806" s="142"/>
      <c r="AO806" s="438"/>
      <c r="AP806" s="438"/>
      <c r="AQ806" s="438"/>
      <c r="AR806" s="438"/>
      <c r="AS806" s="438"/>
      <c r="AT806" s="438"/>
      <c r="AU806" s="438"/>
      <c r="AV806" s="438"/>
      <c r="AW806" s="438"/>
      <c r="AX806" s="438"/>
      <c r="AY806" s="438"/>
      <c r="AZ806" s="438"/>
      <c r="BA806" s="438"/>
      <c r="BB806" s="438"/>
      <c r="BC806" s="438"/>
      <c r="BD806" s="438"/>
      <c r="BE806" s="438"/>
      <c r="BF806" s="438"/>
      <c r="BG806" s="438"/>
      <c r="BH806" s="438"/>
    </row>
    <row r="807">
      <c r="A807" s="140"/>
      <c r="B807" s="456"/>
      <c r="C807" s="142"/>
      <c r="D807" s="142"/>
      <c r="E807" s="142"/>
      <c r="F807" s="140"/>
      <c r="G807" s="456"/>
      <c r="H807" s="142"/>
      <c r="I807" s="142"/>
      <c r="J807" s="142"/>
      <c r="K807" s="125"/>
      <c r="L807" s="456"/>
      <c r="M807" s="142"/>
      <c r="N807" s="142"/>
      <c r="O807" s="142"/>
      <c r="P807" s="125"/>
      <c r="Q807" s="450"/>
      <c r="R807" s="142"/>
      <c r="S807" s="142"/>
      <c r="T807" s="142"/>
      <c r="U807" s="140"/>
      <c r="V807" s="456"/>
      <c r="W807" s="142"/>
      <c r="X807" s="142"/>
      <c r="Y807" s="142"/>
      <c r="Z807" s="140"/>
      <c r="AA807" s="456"/>
      <c r="AB807" s="142"/>
      <c r="AC807" s="142"/>
      <c r="AD807" s="142"/>
      <c r="AE807" s="140"/>
      <c r="AF807" s="456"/>
      <c r="AG807" s="142"/>
      <c r="AH807" s="142"/>
      <c r="AI807" s="142"/>
      <c r="AJ807" s="140"/>
      <c r="AK807" s="456"/>
      <c r="AL807" s="142"/>
      <c r="AM807" s="142"/>
      <c r="AN807" s="142"/>
      <c r="AO807" s="438"/>
      <c r="AP807" s="438"/>
      <c r="AQ807" s="438"/>
      <c r="AR807" s="438"/>
      <c r="AS807" s="438"/>
      <c r="AT807" s="438"/>
      <c r="AU807" s="438"/>
      <c r="AV807" s="438"/>
      <c r="AW807" s="438"/>
      <c r="AX807" s="438"/>
      <c r="AY807" s="438"/>
      <c r="AZ807" s="438"/>
      <c r="BA807" s="438"/>
      <c r="BB807" s="438"/>
      <c r="BC807" s="438"/>
      <c r="BD807" s="438"/>
      <c r="BE807" s="438"/>
      <c r="BF807" s="438"/>
      <c r="BG807" s="438"/>
      <c r="BH807" s="438"/>
    </row>
    <row r="808">
      <c r="A808" s="140"/>
      <c r="B808" s="456"/>
      <c r="C808" s="142"/>
      <c r="D808" s="142"/>
      <c r="E808" s="142"/>
      <c r="F808" s="140"/>
      <c r="G808" s="456"/>
      <c r="H808" s="142"/>
      <c r="I808" s="142"/>
      <c r="J808" s="142"/>
      <c r="K808" s="125"/>
      <c r="L808" s="456"/>
      <c r="M808" s="142"/>
      <c r="N808" s="142"/>
      <c r="O808" s="142"/>
      <c r="P808" s="125"/>
      <c r="Q808" s="450"/>
      <c r="R808" s="142"/>
      <c r="S808" s="142"/>
      <c r="T808" s="142"/>
      <c r="U808" s="140"/>
      <c r="V808" s="456"/>
      <c r="W808" s="142"/>
      <c r="X808" s="142"/>
      <c r="Y808" s="142"/>
      <c r="Z808" s="140"/>
      <c r="AA808" s="456"/>
      <c r="AB808" s="142"/>
      <c r="AC808" s="142"/>
      <c r="AD808" s="142"/>
      <c r="AE808" s="140"/>
      <c r="AF808" s="456"/>
      <c r="AG808" s="142"/>
      <c r="AH808" s="142"/>
      <c r="AI808" s="142"/>
      <c r="AJ808" s="140"/>
      <c r="AK808" s="456"/>
      <c r="AL808" s="142"/>
      <c r="AM808" s="142"/>
      <c r="AN808" s="142"/>
      <c r="AO808" s="438"/>
      <c r="AP808" s="438"/>
      <c r="AQ808" s="438"/>
      <c r="AR808" s="438"/>
      <c r="AS808" s="438"/>
      <c r="AT808" s="438"/>
      <c r="AU808" s="438"/>
      <c r="AV808" s="438"/>
      <c r="AW808" s="438"/>
      <c r="AX808" s="438"/>
      <c r="AY808" s="438"/>
      <c r="AZ808" s="438"/>
      <c r="BA808" s="438"/>
      <c r="BB808" s="438"/>
      <c r="BC808" s="438"/>
      <c r="BD808" s="438"/>
      <c r="BE808" s="438"/>
      <c r="BF808" s="438"/>
      <c r="BG808" s="438"/>
      <c r="BH808" s="438"/>
    </row>
    <row r="809">
      <c r="A809" s="140"/>
      <c r="B809" s="456"/>
      <c r="C809" s="142"/>
      <c r="D809" s="142"/>
      <c r="E809" s="142"/>
      <c r="F809" s="140"/>
      <c r="G809" s="456"/>
      <c r="H809" s="142"/>
      <c r="I809" s="142"/>
      <c r="J809" s="142"/>
      <c r="K809" s="125"/>
      <c r="L809" s="456"/>
      <c r="M809" s="142"/>
      <c r="N809" s="142"/>
      <c r="O809" s="142"/>
      <c r="P809" s="125"/>
      <c r="Q809" s="450"/>
      <c r="R809" s="142"/>
      <c r="S809" s="142"/>
      <c r="T809" s="142"/>
      <c r="U809" s="140"/>
      <c r="V809" s="456"/>
      <c r="W809" s="142"/>
      <c r="X809" s="142"/>
      <c r="Y809" s="142"/>
      <c r="Z809" s="140"/>
      <c r="AA809" s="456"/>
      <c r="AB809" s="142"/>
      <c r="AC809" s="142"/>
      <c r="AD809" s="142"/>
      <c r="AE809" s="140"/>
      <c r="AF809" s="456"/>
      <c r="AG809" s="142"/>
      <c r="AH809" s="142"/>
      <c r="AI809" s="142"/>
      <c r="AJ809" s="140"/>
      <c r="AK809" s="456"/>
      <c r="AL809" s="142"/>
      <c r="AM809" s="142"/>
      <c r="AN809" s="142"/>
      <c r="AO809" s="438"/>
      <c r="AP809" s="438"/>
      <c r="AQ809" s="438"/>
      <c r="AR809" s="438"/>
      <c r="AS809" s="438"/>
      <c r="AT809" s="438"/>
      <c r="AU809" s="438"/>
      <c r="AV809" s="438"/>
      <c r="AW809" s="438"/>
      <c r="AX809" s="438"/>
      <c r="AY809" s="438"/>
      <c r="AZ809" s="438"/>
      <c r="BA809" s="438"/>
      <c r="BB809" s="438"/>
      <c r="BC809" s="438"/>
      <c r="BD809" s="438"/>
      <c r="BE809" s="438"/>
      <c r="BF809" s="438"/>
      <c r="BG809" s="438"/>
      <c r="BH809" s="438"/>
    </row>
    <row r="810">
      <c r="A810" s="140"/>
      <c r="B810" s="456"/>
      <c r="C810" s="142"/>
      <c r="D810" s="142"/>
      <c r="E810" s="142"/>
      <c r="F810" s="140"/>
      <c r="G810" s="456"/>
      <c r="H810" s="142"/>
      <c r="I810" s="142"/>
      <c r="J810" s="142"/>
      <c r="K810" s="125"/>
      <c r="L810" s="456"/>
      <c r="M810" s="142"/>
      <c r="N810" s="142"/>
      <c r="O810" s="142"/>
      <c r="P810" s="125"/>
      <c r="Q810" s="450"/>
      <c r="R810" s="142"/>
      <c r="S810" s="142"/>
      <c r="T810" s="142"/>
      <c r="U810" s="140"/>
      <c r="V810" s="456"/>
      <c r="W810" s="142"/>
      <c r="X810" s="142"/>
      <c r="Y810" s="142"/>
      <c r="Z810" s="140"/>
      <c r="AA810" s="456"/>
      <c r="AB810" s="142"/>
      <c r="AC810" s="142"/>
      <c r="AD810" s="142"/>
      <c r="AE810" s="140"/>
      <c r="AF810" s="456"/>
      <c r="AG810" s="142"/>
      <c r="AH810" s="142"/>
      <c r="AI810" s="142"/>
      <c r="AJ810" s="140"/>
      <c r="AK810" s="456"/>
      <c r="AL810" s="142"/>
      <c r="AM810" s="142"/>
      <c r="AN810" s="142"/>
      <c r="AO810" s="438"/>
      <c r="AP810" s="438"/>
      <c r="AQ810" s="438"/>
      <c r="AR810" s="438"/>
      <c r="AS810" s="438"/>
      <c r="AT810" s="438"/>
      <c r="AU810" s="438"/>
      <c r="AV810" s="438"/>
      <c r="AW810" s="438"/>
      <c r="AX810" s="438"/>
      <c r="AY810" s="438"/>
      <c r="AZ810" s="438"/>
      <c r="BA810" s="438"/>
      <c r="BB810" s="438"/>
      <c r="BC810" s="438"/>
      <c r="BD810" s="438"/>
      <c r="BE810" s="438"/>
      <c r="BF810" s="438"/>
      <c r="BG810" s="438"/>
      <c r="BH810" s="438"/>
    </row>
    <row r="811">
      <c r="A811" s="140"/>
      <c r="B811" s="456"/>
      <c r="C811" s="142"/>
      <c r="D811" s="142"/>
      <c r="E811" s="142"/>
      <c r="F811" s="140"/>
      <c r="G811" s="456"/>
      <c r="H811" s="142"/>
      <c r="I811" s="142"/>
      <c r="J811" s="142"/>
      <c r="K811" s="125"/>
      <c r="L811" s="456"/>
      <c r="M811" s="142"/>
      <c r="N811" s="142"/>
      <c r="O811" s="142"/>
      <c r="P811" s="125"/>
      <c r="Q811" s="450"/>
      <c r="R811" s="142"/>
      <c r="S811" s="142"/>
      <c r="T811" s="142"/>
      <c r="U811" s="140"/>
      <c r="V811" s="456"/>
      <c r="W811" s="142"/>
      <c r="X811" s="142"/>
      <c r="Y811" s="142"/>
      <c r="Z811" s="140"/>
      <c r="AA811" s="456"/>
      <c r="AB811" s="142"/>
      <c r="AC811" s="142"/>
      <c r="AD811" s="142"/>
      <c r="AE811" s="140"/>
      <c r="AF811" s="456"/>
      <c r="AG811" s="142"/>
      <c r="AH811" s="142"/>
      <c r="AI811" s="142"/>
      <c r="AJ811" s="140"/>
      <c r="AK811" s="456"/>
      <c r="AL811" s="142"/>
      <c r="AM811" s="142"/>
      <c r="AN811" s="142"/>
      <c r="AO811" s="438"/>
      <c r="AP811" s="438"/>
      <c r="AQ811" s="438"/>
      <c r="AR811" s="438"/>
      <c r="AS811" s="438"/>
      <c r="AT811" s="438"/>
      <c r="AU811" s="438"/>
      <c r="AV811" s="438"/>
      <c r="AW811" s="438"/>
      <c r="AX811" s="438"/>
      <c r="AY811" s="438"/>
      <c r="AZ811" s="438"/>
      <c r="BA811" s="438"/>
      <c r="BB811" s="438"/>
      <c r="BC811" s="438"/>
      <c r="BD811" s="438"/>
      <c r="BE811" s="438"/>
      <c r="BF811" s="438"/>
      <c r="BG811" s="438"/>
      <c r="BH811" s="438"/>
    </row>
    <row r="812">
      <c r="A812" s="140"/>
      <c r="B812" s="456"/>
      <c r="C812" s="142"/>
      <c r="D812" s="142"/>
      <c r="E812" s="142"/>
      <c r="F812" s="140"/>
      <c r="G812" s="456"/>
      <c r="H812" s="142"/>
      <c r="I812" s="142"/>
      <c r="J812" s="142"/>
      <c r="K812" s="125"/>
      <c r="L812" s="456"/>
      <c r="M812" s="142"/>
      <c r="N812" s="142"/>
      <c r="O812" s="142"/>
      <c r="P812" s="125"/>
      <c r="Q812" s="450"/>
      <c r="R812" s="142"/>
      <c r="S812" s="142"/>
      <c r="T812" s="142"/>
      <c r="U812" s="140"/>
      <c r="V812" s="456"/>
      <c r="W812" s="142"/>
      <c r="X812" s="142"/>
      <c r="Y812" s="142"/>
      <c r="Z812" s="140"/>
      <c r="AA812" s="456"/>
      <c r="AB812" s="142"/>
      <c r="AC812" s="142"/>
      <c r="AD812" s="142"/>
      <c r="AE812" s="140"/>
      <c r="AF812" s="456"/>
      <c r="AG812" s="142"/>
      <c r="AH812" s="142"/>
      <c r="AI812" s="142"/>
      <c r="AJ812" s="140"/>
      <c r="AK812" s="456"/>
      <c r="AL812" s="142"/>
      <c r="AM812" s="142"/>
      <c r="AN812" s="142"/>
      <c r="AO812" s="438"/>
      <c r="AP812" s="438"/>
      <c r="AQ812" s="438"/>
      <c r="AR812" s="438"/>
      <c r="AS812" s="438"/>
      <c r="AT812" s="438"/>
      <c r="AU812" s="438"/>
      <c r="AV812" s="438"/>
      <c r="AW812" s="438"/>
      <c r="AX812" s="438"/>
      <c r="AY812" s="438"/>
      <c r="AZ812" s="438"/>
      <c r="BA812" s="438"/>
      <c r="BB812" s="438"/>
      <c r="BC812" s="438"/>
      <c r="BD812" s="438"/>
      <c r="BE812" s="438"/>
      <c r="BF812" s="438"/>
      <c r="BG812" s="438"/>
      <c r="BH812" s="438"/>
    </row>
    <row r="813">
      <c r="A813" s="140"/>
      <c r="B813" s="456"/>
      <c r="C813" s="142"/>
      <c r="D813" s="142"/>
      <c r="E813" s="142"/>
      <c r="F813" s="140"/>
      <c r="G813" s="456"/>
      <c r="H813" s="142"/>
      <c r="I813" s="142"/>
      <c r="J813" s="142"/>
      <c r="K813" s="125"/>
      <c r="L813" s="456"/>
      <c r="M813" s="142"/>
      <c r="N813" s="142"/>
      <c r="O813" s="142"/>
      <c r="P813" s="125"/>
      <c r="Q813" s="450"/>
      <c r="R813" s="142"/>
      <c r="S813" s="142"/>
      <c r="T813" s="142"/>
      <c r="U813" s="140"/>
      <c r="V813" s="456"/>
      <c r="W813" s="142"/>
      <c r="X813" s="142"/>
      <c r="Y813" s="142"/>
      <c r="Z813" s="140"/>
      <c r="AA813" s="456"/>
      <c r="AB813" s="142"/>
      <c r="AC813" s="142"/>
      <c r="AD813" s="142"/>
      <c r="AE813" s="140"/>
      <c r="AF813" s="456"/>
      <c r="AG813" s="142"/>
      <c r="AH813" s="142"/>
      <c r="AI813" s="142"/>
      <c r="AJ813" s="140"/>
      <c r="AK813" s="456"/>
      <c r="AL813" s="142"/>
      <c r="AM813" s="142"/>
      <c r="AN813" s="142"/>
      <c r="AO813" s="438"/>
      <c r="AP813" s="438"/>
      <c r="AQ813" s="438"/>
      <c r="AR813" s="438"/>
      <c r="AS813" s="438"/>
      <c r="AT813" s="438"/>
      <c r="AU813" s="438"/>
      <c r="AV813" s="438"/>
      <c r="AW813" s="438"/>
      <c r="AX813" s="438"/>
      <c r="AY813" s="438"/>
      <c r="AZ813" s="438"/>
      <c r="BA813" s="438"/>
      <c r="BB813" s="438"/>
      <c r="BC813" s="438"/>
      <c r="BD813" s="438"/>
      <c r="BE813" s="438"/>
      <c r="BF813" s="438"/>
      <c r="BG813" s="438"/>
      <c r="BH813" s="438"/>
    </row>
    <row r="814">
      <c r="A814" s="140"/>
      <c r="B814" s="456"/>
      <c r="C814" s="142"/>
      <c r="D814" s="142"/>
      <c r="E814" s="142"/>
      <c r="F814" s="140"/>
      <c r="G814" s="456"/>
      <c r="H814" s="142"/>
      <c r="I814" s="142"/>
      <c r="J814" s="142"/>
      <c r="K814" s="125"/>
      <c r="L814" s="456"/>
      <c r="M814" s="142"/>
      <c r="N814" s="142"/>
      <c r="O814" s="142"/>
      <c r="P814" s="125"/>
      <c r="Q814" s="450"/>
      <c r="R814" s="142"/>
      <c r="S814" s="142"/>
      <c r="T814" s="142"/>
      <c r="U814" s="140"/>
      <c r="V814" s="456"/>
      <c r="W814" s="142"/>
      <c r="X814" s="142"/>
      <c r="Y814" s="142"/>
      <c r="Z814" s="140"/>
      <c r="AA814" s="456"/>
      <c r="AB814" s="142"/>
      <c r="AC814" s="142"/>
      <c r="AD814" s="142"/>
      <c r="AE814" s="140"/>
      <c r="AF814" s="456"/>
      <c r="AG814" s="142"/>
      <c r="AH814" s="142"/>
      <c r="AI814" s="142"/>
      <c r="AJ814" s="140"/>
      <c r="AK814" s="456"/>
      <c r="AL814" s="142"/>
      <c r="AM814" s="142"/>
      <c r="AN814" s="142"/>
      <c r="AO814" s="438"/>
      <c r="AP814" s="438"/>
      <c r="AQ814" s="438"/>
      <c r="AR814" s="438"/>
      <c r="AS814" s="438"/>
      <c r="AT814" s="438"/>
      <c r="AU814" s="438"/>
      <c r="AV814" s="438"/>
      <c r="AW814" s="438"/>
      <c r="AX814" s="438"/>
      <c r="AY814" s="438"/>
      <c r="AZ814" s="438"/>
      <c r="BA814" s="438"/>
      <c r="BB814" s="438"/>
      <c r="BC814" s="438"/>
      <c r="BD814" s="438"/>
      <c r="BE814" s="438"/>
      <c r="BF814" s="438"/>
      <c r="BG814" s="438"/>
      <c r="BH814" s="438"/>
    </row>
    <row r="815">
      <c r="A815" s="140"/>
      <c r="B815" s="456"/>
      <c r="C815" s="142"/>
      <c r="D815" s="142"/>
      <c r="E815" s="142"/>
      <c r="F815" s="140"/>
      <c r="G815" s="456"/>
      <c r="H815" s="142"/>
      <c r="I815" s="142"/>
      <c r="J815" s="142"/>
      <c r="K815" s="125"/>
      <c r="L815" s="456"/>
      <c r="M815" s="142"/>
      <c r="N815" s="142"/>
      <c r="O815" s="142"/>
      <c r="P815" s="125"/>
      <c r="Q815" s="450"/>
      <c r="R815" s="142"/>
      <c r="S815" s="142"/>
      <c r="T815" s="142"/>
      <c r="U815" s="140"/>
      <c r="V815" s="456"/>
      <c r="W815" s="142"/>
      <c r="X815" s="142"/>
      <c r="Y815" s="142"/>
      <c r="Z815" s="140"/>
      <c r="AA815" s="456"/>
      <c r="AB815" s="142"/>
      <c r="AC815" s="142"/>
      <c r="AD815" s="142"/>
      <c r="AE815" s="140"/>
      <c r="AF815" s="456"/>
      <c r="AG815" s="142"/>
      <c r="AH815" s="142"/>
      <c r="AI815" s="142"/>
      <c r="AJ815" s="140"/>
      <c r="AK815" s="456"/>
      <c r="AL815" s="142"/>
      <c r="AM815" s="142"/>
      <c r="AN815" s="142"/>
      <c r="AO815" s="438"/>
      <c r="AP815" s="438"/>
      <c r="AQ815" s="438"/>
      <c r="AR815" s="438"/>
      <c r="AS815" s="438"/>
      <c r="AT815" s="438"/>
      <c r="AU815" s="438"/>
      <c r="AV815" s="438"/>
      <c r="AW815" s="438"/>
      <c r="AX815" s="438"/>
      <c r="AY815" s="438"/>
      <c r="AZ815" s="438"/>
      <c r="BA815" s="438"/>
      <c r="BB815" s="438"/>
      <c r="BC815" s="438"/>
      <c r="BD815" s="438"/>
      <c r="BE815" s="438"/>
      <c r="BF815" s="438"/>
      <c r="BG815" s="438"/>
      <c r="BH815" s="438"/>
    </row>
    <row r="816">
      <c r="A816" s="140"/>
      <c r="B816" s="456"/>
      <c r="C816" s="142"/>
      <c r="D816" s="142"/>
      <c r="E816" s="142"/>
      <c r="F816" s="140"/>
      <c r="G816" s="456"/>
      <c r="H816" s="142"/>
      <c r="I816" s="142"/>
      <c r="J816" s="142"/>
      <c r="K816" s="125"/>
      <c r="L816" s="456"/>
      <c r="M816" s="142"/>
      <c r="N816" s="142"/>
      <c r="O816" s="142"/>
      <c r="P816" s="125"/>
      <c r="Q816" s="450"/>
      <c r="R816" s="142"/>
      <c r="S816" s="142"/>
      <c r="T816" s="142"/>
      <c r="U816" s="140"/>
      <c r="V816" s="456"/>
      <c r="W816" s="142"/>
      <c r="X816" s="142"/>
      <c r="Y816" s="142"/>
      <c r="Z816" s="140"/>
      <c r="AA816" s="456"/>
      <c r="AB816" s="142"/>
      <c r="AC816" s="142"/>
      <c r="AD816" s="142"/>
      <c r="AE816" s="140"/>
      <c r="AF816" s="456"/>
      <c r="AG816" s="142"/>
      <c r="AH816" s="142"/>
      <c r="AI816" s="142"/>
      <c r="AJ816" s="140"/>
      <c r="AK816" s="456"/>
      <c r="AL816" s="142"/>
      <c r="AM816" s="142"/>
      <c r="AN816" s="142"/>
      <c r="AO816" s="438"/>
      <c r="AP816" s="438"/>
      <c r="AQ816" s="438"/>
      <c r="AR816" s="438"/>
      <c r="AS816" s="438"/>
      <c r="AT816" s="438"/>
      <c r="AU816" s="438"/>
      <c r="AV816" s="438"/>
      <c r="AW816" s="438"/>
      <c r="AX816" s="438"/>
      <c r="AY816" s="438"/>
      <c r="AZ816" s="438"/>
      <c r="BA816" s="438"/>
      <c r="BB816" s="438"/>
      <c r="BC816" s="438"/>
      <c r="BD816" s="438"/>
      <c r="BE816" s="438"/>
      <c r="BF816" s="438"/>
      <c r="BG816" s="438"/>
      <c r="BH816" s="438"/>
    </row>
    <row r="817">
      <c r="A817" s="140"/>
      <c r="B817" s="456"/>
      <c r="C817" s="142"/>
      <c r="D817" s="142"/>
      <c r="E817" s="142"/>
      <c r="F817" s="140"/>
      <c r="G817" s="456"/>
      <c r="H817" s="142"/>
      <c r="I817" s="142"/>
      <c r="J817" s="142"/>
      <c r="K817" s="125"/>
      <c r="L817" s="456"/>
      <c r="M817" s="142"/>
      <c r="N817" s="142"/>
      <c r="O817" s="142"/>
      <c r="P817" s="125"/>
      <c r="Q817" s="450"/>
      <c r="R817" s="142"/>
      <c r="S817" s="142"/>
      <c r="T817" s="142"/>
      <c r="U817" s="140"/>
      <c r="V817" s="456"/>
      <c r="W817" s="142"/>
      <c r="X817" s="142"/>
      <c r="Y817" s="142"/>
      <c r="Z817" s="140"/>
      <c r="AA817" s="456"/>
      <c r="AB817" s="142"/>
      <c r="AC817" s="142"/>
      <c r="AD817" s="142"/>
      <c r="AE817" s="140"/>
      <c r="AF817" s="456"/>
      <c r="AG817" s="142"/>
      <c r="AH817" s="142"/>
      <c r="AI817" s="142"/>
      <c r="AJ817" s="140"/>
      <c r="AK817" s="456"/>
      <c r="AL817" s="142"/>
      <c r="AM817" s="142"/>
      <c r="AN817" s="142"/>
      <c r="AO817" s="438"/>
      <c r="AP817" s="438"/>
      <c r="AQ817" s="438"/>
      <c r="AR817" s="438"/>
      <c r="AS817" s="438"/>
      <c r="AT817" s="438"/>
      <c r="AU817" s="438"/>
      <c r="AV817" s="438"/>
      <c r="AW817" s="438"/>
      <c r="AX817" s="438"/>
      <c r="AY817" s="438"/>
      <c r="AZ817" s="438"/>
      <c r="BA817" s="438"/>
      <c r="BB817" s="438"/>
      <c r="BC817" s="438"/>
      <c r="BD817" s="438"/>
      <c r="BE817" s="438"/>
      <c r="BF817" s="438"/>
      <c r="BG817" s="438"/>
      <c r="BH817" s="438"/>
    </row>
    <row r="818">
      <c r="A818" s="140"/>
      <c r="B818" s="456"/>
      <c r="C818" s="142"/>
      <c r="D818" s="142"/>
      <c r="E818" s="142"/>
      <c r="F818" s="140"/>
      <c r="G818" s="456"/>
      <c r="H818" s="142"/>
      <c r="I818" s="142"/>
      <c r="J818" s="142"/>
      <c r="K818" s="125"/>
      <c r="L818" s="456"/>
      <c r="M818" s="142"/>
      <c r="N818" s="142"/>
      <c r="O818" s="142"/>
      <c r="P818" s="125"/>
      <c r="Q818" s="450"/>
      <c r="R818" s="142"/>
      <c r="S818" s="142"/>
      <c r="T818" s="142"/>
      <c r="U818" s="140"/>
      <c r="V818" s="456"/>
      <c r="W818" s="142"/>
      <c r="X818" s="142"/>
      <c r="Y818" s="142"/>
      <c r="Z818" s="140"/>
      <c r="AA818" s="456"/>
      <c r="AB818" s="142"/>
      <c r="AC818" s="142"/>
      <c r="AD818" s="142"/>
      <c r="AE818" s="140"/>
      <c r="AF818" s="456"/>
      <c r="AG818" s="142"/>
      <c r="AH818" s="142"/>
      <c r="AI818" s="142"/>
      <c r="AJ818" s="140"/>
      <c r="AK818" s="456"/>
      <c r="AL818" s="142"/>
      <c r="AM818" s="142"/>
      <c r="AN818" s="142"/>
      <c r="AO818" s="438"/>
      <c r="AP818" s="438"/>
      <c r="AQ818" s="438"/>
      <c r="AR818" s="438"/>
      <c r="AS818" s="438"/>
      <c r="AT818" s="438"/>
      <c r="AU818" s="438"/>
      <c r="AV818" s="438"/>
      <c r="AW818" s="438"/>
      <c r="AX818" s="438"/>
      <c r="AY818" s="438"/>
      <c r="AZ818" s="438"/>
      <c r="BA818" s="438"/>
      <c r="BB818" s="438"/>
      <c r="BC818" s="438"/>
      <c r="BD818" s="438"/>
      <c r="BE818" s="438"/>
      <c r="BF818" s="438"/>
      <c r="BG818" s="438"/>
      <c r="BH818" s="438"/>
    </row>
    <row r="819">
      <c r="A819" s="140"/>
      <c r="B819" s="456"/>
      <c r="C819" s="142"/>
      <c r="D819" s="142"/>
      <c r="E819" s="142"/>
      <c r="F819" s="140"/>
      <c r="G819" s="456"/>
      <c r="H819" s="142"/>
      <c r="I819" s="142"/>
      <c r="J819" s="142"/>
      <c r="K819" s="125"/>
      <c r="L819" s="456"/>
      <c r="M819" s="142"/>
      <c r="N819" s="142"/>
      <c r="O819" s="142"/>
      <c r="P819" s="125"/>
      <c r="Q819" s="450"/>
      <c r="R819" s="142"/>
      <c r="S819" s="142"/>
      <c r="T819" s="142"/>
      <c r="U819" s="140"/>
      <c r="V819" s="456"/>
      <c r="W819" s="142"/>
      <c r="X819" s="142"/>
      <c r="Y819" s="142"/>
      <c r="Z819" s="140"/>
      <c r="AA819" s="456"/>
      <c r="AB819" s="142"/>
      <c r="AC819" s="142"/>
      <c r="AD819" s="142"/>
      <c r="AE819" s="140"/>
      <c r="AF819" s="456"/>
      <c r="AG819" s="142"/>
      <c r="AH819" s="142"/>
      <c r="AI819" s="142"/>
      <c r="AJ819" s="140"/>
      <c r="AK819" s="456"/>
      <c r="AL819" s="142"/>
      <c r="AM819" s="142"/>
      <c r="AN819" s="142"/>
      <c r="AO819" s="438"/>
      <c r="AP819" s="438"/>
      <c r="AQ819" s="438"/>
      <c r="AR819" s="438"/>
      <c r="AS819" s="438"/>
      <c r="AT819" s="438"/>
      <c r="AU819" s="438"/>
      <c r="AV819" s="438"/>
      <c r="AW819" s="438"/>
      <c r="AX819" s="438"/>
      <c r="AY819" s="438"/>
      <c r="AZ819" s="438"/>
      <c r="BA819" s="438"/>
      <c r="BB819" s="438"/>
      <c r="BC819" s="438"/>
      <c r="BD819" s="438"/>
      <c r="BE819" s="438"/>
      <c r="BF819" s="438"/>
      <c r="BG819" s="438"/>
      <c r="BH819" s="438"/>
    </row>
    <row r="820">
      <c r="A820" s="140"/>
      <c r="B820" s="456"/>
      <c r="C820" s="142"/>
      <c r="D820" s="142"/>
      <c r="E820" s="142"/>
      <c r="F820" s="140"/>
      <c r="G820" s="456"/>
      <c r="H820" s="142"/>
      <c r="I820" s="142"/>
      <c r="J820" s="142"/>
      <c r="K820" s="125"/>
      <c r="L820" s="456"/>
      <c r="M820" s="142"/>
      <c r="N820" s="142"/>
      <c r="O820" s="142"/>
      <c r="P820" s="125"/>
      <c r="Q820" s="450"/>
      <c r="R820" s="142"/>
      <c r="S820" s="142"/>
      <c r="T820" s="142"/>
      <c r="U820" s="140"/>
      <c r="V820" s="456"/>
      <c r="W820" s="142"/>
      <c r="X820" s="142"/>
      <c r="Y820" s="142"/>
      <c r="Z820" s="140"/>
      <c r="AA820" s="456"/>
      <c r="AB820" s="142"/>
      <c r="AC820" s="142"/>
      <c r="AD820" s="142"/>
      <c r="AE820" s="140"/>
      <c r="AF820" s="456"/>
      <c r="AG820" s="142"/>
      <c r="AH820" s="142"/>
      <c r="AI820" s="142"/>
      <c r="AJ820" s="140"/>
      <c r="AK820" s="456"/>
      <c r="AL820" s="142"/>
      <c r="AM820" s="142"/>
      <c r="AN820" s="142"/>
      <c r="AO820" s="438"/>
      <c r="AP820" s="438"/>
      <c r="AQ820" s="438"/>
      <c r="AR820" s="438"/>
      <c r="AS820" s="438"/>
      <c r="AT820" s="438"/>
      <c r="AU820" s="438"/>
      <c r="AV820" s="438"/>
      <c r="AW820" s="438"/>
      <c r="AX820" s="438"/>
      <c r="AY820" s="438"/>
      <c r="AZ820" s="438"/>
      <c r="BA820" s="438"/>
      <c r="BB820" s="438"/>
      <c r="BC820" s="438"/>
      <c r="BD820" s="438"/>
      <c r="BE820" s="438"/>
      <c r="BF820" s="438"/>
      <c r="BG820" s="438"/>
      <c r="BH820" s="438"/>
    </row>
    <row r="821">
      <c r="A821" s="140"/>
      <c r="B821" s="456"/>
      <c r="C821" s="142"/>
      <c r="D821" s="142"/>
      <c r="E821" s="142"/>
      <c r="F821" s="140"/>
      <c r="G821" s="456"/>
      <c r="H821" s="142"/>
      <c r="I821" s="142"/>
      <c r="J821" s="142"/>
      <c r="K821" s="125"/>
      <c r="L821" s="456"/>
      <c r="M821" s="142"/>
      <c r="N821" s="142"/>
      <c r="O821" s="142"/>
      <c r="P821" s="125"/>
      <c r="Q821" s="450"/>
      <c r="R821" s="142"/>
      <c r="S821" s="142"/>
      <c r="T821" s="142"/>
      <c r="U821" s="140"/>
      <c r="V821" s="456"/>
      <c r="W821" s="142"/>
      <c r="X821" s="142"/>
      <c r="Y821" s="142"/>
      <c r="Z821" s="140"/>
      <c r="AA821" s="456"/>
      <c r="AB821" s="142"/>
      <c r="AC821" s="142"/>
      <c r="AD821" s="142"/>
      <c r="AE821" s="140"/>
      <c r="AF821" s="456"/>
      <c r="AG821" s="142"/>
      <c r="AH821" s="142"/>
      <c r="AI821" s="142"/>
      <c r="AJ821" s="140"/>
      <c r="AK821" s="456"/>
      <c r="AL821" s="142"/>
      <c r="AM821" s="142"/>
      <c r="AN821" s="142"/>
      <c r="AO821" s="438"/>
      <c r="AP821" s="438"/>
      <c r="AQ821" s="438"/>
      <c r="AR821" s="438"/>
      <c r="AS821" s="438"/>
      <c r="AT821" s="438"/>
      <c r="AU821" s="438"/>
      <c r="AV821" s="438"/>
      <c r="AW821" s="438"/>
      <c r="AX821" s="438"/>
      <c r="AY821" s="438"/>
      <c r="AZ821" s="438"/>
      <c r="BA821" s="438"/>
      <c r="BB821" s="438"/>
      <c r="BC821" s="438"/>
      <c r="BD821" s="438"/>
      <c r="BE821" s="438"/>
      <c r="BF821" s="438"/>
      <c r="BG821" s="438"/>
      <c r="BH821" s="438"/>
    </row>
    <row r="822">
      <c r="A822" s="140"/>
      <c r="B822" s="456"/>
      <c r="C822" s="142"/>
      <c r="D822" s="142"/>
      <c r="E822" s="142"/>
      <c r="F822" s="140"/>
      <c r="G822" s="456"/>
      <c r="H822" s="142"/>
      <c r="I822" s="142"/>
      <c r="J822" s="142"/>
      <c r="K822" s="125"/>
      <c r="L822" s="456"/>
      <c r="M822" s="142"/>
      <c r="N822" s="142"/>
      <c r="O822" s="142"/>
      <c r="P822" s="125"/>
      <c r="Q822" s="450"/>
      <c r="R822" s="142"/>
      <c r="S822" s="142"/>
      <c r="T822" s="142"/>
      <c r="U822" s="140"/>
      <c r="V822" s="456"/>
      <c r="W822" s="142"/>
      <c r="X822" s="142"/>
      <c r="Y822" s="142"/>
      <c r="Z822" s="140"/>
      <c r="AA822" s="456"/>
      <c r="AB822" s="142"/>
      <c r="AC822" s="142"/>
      <c r="AD822" s="142"/>
      <c r="AE822" s="140"/>
      <c r="AF822" s="456"/>
      <c r="AG822" s="142"/>
      <c r="AH822" s="142"/>
      <c r="AI822" s="142"/>
      <c r="AJ822" s="140"/>
      <c r="AK822" s="456"/>
      <c r="AL822" s="142"/>
      <c r="AM822" s="142"/>
      <c r="AN822" s="142"/>
      <c r="AO822" s="438"/>
      <c r="AP822" s="438"/>
      <c r="AQ822" s="438"/>
      <c r="AR822" s="438"/>
      <c r="AS822" s="438"/>
      <c r="AT822" s="438"/>
      <c r="AU822" s="438"/>
      <c r="AV822" s="438"/>
      <c r="AW822" s="438"/>
      <c r="AX822" s="438"/>
      <c r="AY822" s="438"/>
      <c r="AZ822" s="438"/>
      <c r="BA822" s="438"/>
      <c r="BB822" s="438"/>
      <c r="BC822" s="438"/>
      <c r="BD822" s="438"/>
      <c r="BE822" s="438"/>
      <c r="BF822" s="438"/>
      <c r="BG822" s="438"/>
      <c r="BH822" s="438"/>
    </row>
    <row r="823">
      <c r="A823" s="140"/>
      <c r="B823" s="456"/>
      <c r="C823" s="142"/>
      <c r="D823" s="142"/>
      <c r="E823" s="142"/>
      <c r="F823" s="140"/>
      <c r="G823" s="456"/>
      <c r="H823" s="142"/>
      <c r="I823" s="142"/>
      <c r="J823" s="142"/>
      <c r="K823" s="125"/>
      <c r="L823" s="456"/>
      <c r="M823" s="142"/>
      <c r="N823" s="142"/>
      <c r="O823" s="142"/>
      <c r="P823" s="125"/>
      <c r="Q823" s="450"/>
      <c r="R823" s="142"/>
      <c r="S823" s="142"/>
      <c r="T823" s="142"/>
      <c r="U823" s="140"/>
      <c r="V823" s="456"/>
      <c r="W823" s="142"/>
      <c r="X823" s="142"/>
      <c r="Y823" s="142"/>
      <c r="Z823" s="140"/>
      <c r="AA823" s="456"/>
      <c r="AB823" s="142"/>
      <c r="AC823" s="142"/>
      <c r="AD823" s="142"/>
      <c r="AE823" s="140"/>
      <c r="AF823" s="456"/>
      <c r="AG823" s="142"/>
      <c r="AH823" s="142"/>
      <c r="AI823" s="142"/>
      <c r="AJ823" s="140"/>
      <c r="AK823" s="456"/>
      <c r="AL823" s="142"/>
      <c r="AM823" s="142"/>
      <c r="AN823" s="142"/>
      <c r="AO823" s="438"/>
      <c r="AP823" s="438"/>
      <c r="AQ823" s="438"/>
      <c r="AR823" s="438"/>
      <c r="AS823" s="438"/>
      <c r="AT823" s="438"/>
      <c r="AU823" s="438"/>
      <c r="AV823" s="438"/>
      <c r="AW823" s="438"/>
      <c r="AX823" s="438"/>
      <c r="AY823" s="438"/>
      <c r="AZ823" s="438"/>
      <c r="BA823" s="438"/>
      <c r="BB823" s="438"/>
      <c r="BC823" s="438"/>
      <c r="BD823" s="438"/>
      <c r="BE823" s="438"/>
      <c r="BF823" s="438"/>
      <c r="BG823" s="438"/>
      <c r="BH823" s="438"/>
    </row>
    <row r="824">
      <c r="A824" s="140"/>
      <c r="B824" s="456"/>
      <c r="C824" s="142"/>
      <c r="D824" s="142"/>
      <c r="E824" s="142"/>
      <c r="F824" s="140"/>
      <c r="G824" s="456"/>
      <c r="H824" s="142"/>
      <c r="I824" s="142"/>
      <c r="J824" s="142"/>
      <c r="K824" s="125"/>
      <c r="L824" s="456"/>
      <c r="M824" s="142"/>
      <c r="N824" s="142"/>
      <c r="O824" s="142"/>
      <c r="P824" s="125"/>
      <c r="Q824" s="450"/>
      <c r="R824" s="142"/>
      <c r="S824" s="142"/>
      <c r="T824" s="142"/>
      <c r="U824" s="140"/>
      <c r="V824" s="456"/>
      <c r="W824" s="142"/>
      <c r="X824" s="142"/>
      <c r="Y824" s="142"/>
      <c r="Z824" s="140"/>
      <c r="AA824" s="456"/>
      <c r="AB824" s="142"/>
      <c r="AC824" s="142"/>
      <c r="AD824" s="142"/>
      <c r="AE824" s="140"/>
      <c r="AF824" s="456"/>
      <c r="AG824" s="142"/>
      <c r="AH824" s="142"/>
      <c r="AI824" s="142"/>
      <c r="AJ824" s="140"/>
      <c r="AK824" s="456"/>
      <c r="AL824" s="142"/>
      <c r="AM824" s="142"/>
      <c r="AN824" s="142"/>
      <c r="AO824" s="438"/>
      <c r="AP824" s="438"/>
      <c r="AQ824" s="438"/>
      <c r="AR824" s="438"/>
      <c r="AS824" s="438"/>
      <c r="AT824" s="438"/>
      <c r="AU824" s="438"/>
      <c r="AV824" s="438"/>
      <c r="AW824" s="438"/>
      <c r="AX824" s="438"/>
      <c r="AY824" s="438"/>
      <c r="AZ824" s="438"/>
      <c r="BA824" s="438"/>
      <c r="BB824" s="438"/>
      <c r="BC824" s="438"/>
      <c r="BD824" s="438"/>
      <c r="BE824" s="438"/>
      <c r="BF824" s="438"/>
      <c r="BG824" s="438"/>
      <c r="BH824" s="438"/>
    </row>
    <row r="825">
      <c r="A825" s="140"/>
      <c r="B825" s="456"/>
      <c r="C825" s="142"/>
      <c r="D825" s="142"/>
      <c r="E825" s="142"/>
      <c r="F825" s="140"/>
      <c r="G825" s="456"/>
      <c r="H825" s="142"/>
      <c r="I825" s="142"/>
      <c r="J825" s="142"/>
      <c r="K825" s="125"/>
      <c r="L825" s="456"/>
      <c r="M825" s="142"/>
      <c r="N825" s="142"/>
      <c r="O825" s="142"/>
      <c r="P825" s="125"/>
      <c r="Q825" s="450"/>
      <c r="R825" s="142"/>
      <c r="S825" s="142"/>
      <c r="T825" s="142"/>
      <c r="U825" s="140"/>
      <c r="V825" s="456"/>
      <c r="W825" s="142"/>
      <c r="X825" s="142"/>
      <c r="Y825" s="142"/>
      <c r="Z825" s="140"/>
      <c r="AA825" s="456"/>
      <c r="AB825" s="142"/>
      <c r="AC825" s="142"/>
      <c r="AD825" s="142"/>
      <c r="AE825" s="140"/>
      <c r="AF825" s="456"/>
      <c r="AG825" s="142"/>
      <c r="AH825" s="142"/>
      <c r="AI825" s="142"/>
      <c r="AJ825" s="140"/>
      <c r="AK825" s="456"/>
      <c r="AL825" s="142"/>
      <c r="AM825" s="142"/>
      <c r="AN825" s="142"/>
      <c r="AO825" s="438"/>
      <c r="AP825" s="438"/>
      <c r="AQ825" s="438"/>
      <c r="AR825" s="438"/>
      <c r="AS825" s="438"/>
      <c r="AT825" s="438"/>
      <c r="AU825" s="438"/>
      <c r="AV825" s="438"/>
      <c r="AW825" s="438"/>
      <c r="AX825" s="438"/>
      <c r="AY825" s="438"/>
      <c r="AZ825" s="438"/>
      <c r="BA825" s="438"/>
      <c r="BB825" s="438"/>
      <c r="BC825" s="438"/>
      <c r="BD825" s="438"/>
      <c r="BE825" s="438"/>
      <c r="BF825" s="438"/>
      <c r="BG825" s="438"/>
      <c r="BH825" s="438"/>
    </row>
    <row r="826">
      <c r="A826" s="140"/>
      <c r="B826" s="456"/>
      <c r="C826" s="142"/>
      <c r="D826" s="142"/>
      <c r="E826" s="142"/>
      <c r="F826" s="140"/>
      <c r="G826" s="456"/>
      <c r="H826" s="142"/>
      <c r="I826" s="142"/>
      <c r="J826" s="142"/>
      <c r="K826" s="125"/>
      <c r="L826" s="456"/>
      <c r="M826" s="142"/>
      <c r="N826" s="142"/>
      <c r="O826" s="142"/>
      <c r="P826" s="125"/>
      <c r="Q826" s="450"/>
      <c r="R826" s="142"/>
      <c r="S826" s="142"/>
      <c r="T826" s="142"/>
      <c r="U826" s="140"/>
      <c r="V826" s="456"/>
      <c r="W826" s="142"/>
      <c r="X826" s="142"/>
      <c r="Y826" s="142"/>
      <c r="Z826" s="140"/>
      <c r="AA826" s="456"/>
      <c r="AB826" s="142"/>
      <c r="AC826" s="142"/>
      <c r="AD826" s="142"/>
      <c r="AE826" s="140"/>
      <c r="AF826" s="456"/>
      <c r="AG826" s="142"/>
      <c r="AH826" s="142"/>
      <c r="AI826" s="142"/>
      <c r="AJ826" s="140"/>
      <c r="AK826" s="456"/>
      <c r="AL826" s="142"/>
      <c r="AM826" s="142"/>
      <c r="AN826" s="142"/>
      <c r="AO826" s="438"/>
      <c r="AP826" s="438"/>
      <c r="AQ826" s="438"/>
      <c r="AR826" s="438"/>
      <c r="AS826" s="438"/>
      <c r="AT826" s="438"/>
      <c r="AU826" s="438"/>
      <c r="AV826" s="438"/>
      <c r="AW826" s="438"/>
      <c r="AX826" s="438"/>
      <c r="AY826" s="438"/>
      <c r="AZ826" s="438"/>
      <c r="BA826" s="438"/>
      <c r="BB826" s="438"/>
      <c r="BC826" s="438"/>
      <c r="BD826" s="438"/>
      <c r="BE826" s="438"/>
      <c r="BF826" s="438"/>
      <c r="BG826" s="438"/>
      <c r="BH826" s="438"/>
    </row>
    <row r="827">
      <c r="A827" s="140"/>
      <c r="B827" s="456"/>
      <c r="C827" s="142"/>
      <c r="D827" s="142"/>
      <c r="E827" s="142"/>
      <c r="F827" s="140"/>
      <c r="G827" s="456"/>
      <c r="H827" s="142"/>
      <c r="I827" s="142"/>
      <c r="J827" s="142"/>
      <c r="K827" s="125"/>
      <c r="L827" s="456"/>
      <c r="M827" s="142"/>
      <c r="N827" s="142"/>
      <c r="O827" s="142"/>
      <c r="P827" s="125"/>
      <c r="Q827" s="450"/>
      <c r="R827" s="142"/>
      <c r="S827" s="142"/>
      <c r="T827" s="142"/>
      <c r="U827" s="140"/>
      <c r="V827" s="456"/>
      <c r="W827" s="142"/>
      <c r="X827" s="142"/>
      <c r="Y827" s="142"/>
      <c r="Z827" s="140"/>
      <c r="AA827" s="456"/>
      <c r="AB827" s="142"/>
      <c r="AC827" s="142"/>
      <c r="AD827" s="142"/>
      <c r="AE827" s="140"/>
      <c r="AF827" s="456"/>
      <c r="AG827" s="142"/>
      <c r="AH827" s="142"/>
      <c r="AI827" s="142"/>
      <c r="AJ827" s="140"/>
      <c r="AK827" s="456"/>
      <c r="AL827" s="142"/>
      <c r="AM827" s="142"/>
      <c r="AN827" s="142"/>
      <c r="AO827" s="438"/>
      <c r="AP827" s="438"/>
      <c r="AQ827" s="438"/>
      <c r="AR827" s="438"/>
      <c r="AS827" s="438"/>
      <c r="AT827" s="438"/>
      <c r="AU827" s="438"/>
      <c r="AV827" s="438"/>
      <c r="AW827" s="438"/>
      <c r="AX827" s="438"/>
      <c r="AY827" s="438"/>
      <c r="AZ827" s="438"/>
      <c r="BA827" s="438"/>
      <c r="BB827" s="438"/>
      <c r="BC827" s="438"/>
      <c r="BD827" s="438"/>
      <c r="BE827" s="438"/>
      <c r="BF827" s="438"/>
      <c r="BG827" s="438"/>
      <c r="BH827" s="438"/>
    </row>
    <row r="828">
      <c r="A828" s="140"/>
      <c r="B828" s="456"/>
      <c r="C828" s="142"/>
      <c r="D828" s="142"/>
      <c r="E828" s="142"/>
      <c r="F828" s="140"/>
      <c r="G828" s="456"/>
      <c r="H828" s="142"/>
      <c r="I828" s="142"/>
      <c r="J828" s="142"/>
      <c r="K828" s="125"/>
      <c r="L828" s="456"/>
      <c r="M828" s="142"/>
      <c r="N828" s="142"/>
      <c r="O828" s="142"/>
      <c r="P828" s="125"/>
      <c r="Q828" s="450"/>
      <c r="R828" s="142"/>
      <c r="S828" s="142"/>
      <c r="T828" s="142"/>
      <c r="U828" s="140"/>
      <c r="V828" s="456"/>
      <c r="W828" s="142"/>
      <c r="X828" s="142"/>
      <c r="Y828" s="142"/>
      <c r="Z828" s="140"/>
      <c r="AA828" s="456"/>
      <c r="AB828" s="142"/>
      <c r="AC828" s="142"/>
      <c r="AD828" s="142"/>
      <c r="AE828" s="140"/>
      <c r="AF828" s="456"/>
      <c r="AG828" s="142"/>
      <c r="AH828" s="142"/>
      <c r="AI828" s="142"/>
      <c r="AJ828" s="140"/>
      <c r="AK828" s="456"/>
      <c r="AL828" s="142"/>
      <c r="AM828" s="142"/>
      <c r="AN828" s="142"/>
      <c r="AO828" s="438"/>
      <c r="AP828" s="438"/>
      <c r="AQ828" s="438"/>
      <c r="AR828" s="438"/>
      <c r="AS828" s="438"/>
      <c r="AT828" s="438"/>
      <c r="AU828" s="438"/>
      <c r="AV828" s="438"/>
      <c r="AW828" s="438"/>
      <c r="AX828" s="438"/>
      <c r="AY828" s="438"/>
      <c r="AZ828" s="438"/>
      <c r="BA828" s="438"/>
      <c r="BB828" s="438"/>
      <c r="BC828" s="438"/>
      <c r="BD828" s="438"/>
      <c r="BE828" s="438"/>
      <c r="BF828" s="438"/>
      <c r="BG828" s="438"/>
      <c r="BH828" s="438"/>
    </row>
    <row r="829">
      <c r="A829" s="140"/>
      <c r="B829" s="456"/>
      <c r="C829" s="142"/>
      <c r="D829" s="142"/>
      <c r="E829" s="142"/>
      <c r="F829" s="140"/>
      <c r="G829" s="456"/>
      <c r="H829" s="142"/>
      <c r="I829" s="142"/>
      <c r="J829" s="142"/>
      <c r="K829" s="125"/>
      <c r="L829" s="456"/>
      <c r="M829" s="142"/>
      <c r="N829" s="142"/>
      <c r="O829" s="142"/>
      <c r="P829" s="125"/>
      <c r="Q829" s="450"/>
      <c r="R829" s="142"/>
      <c r="S829" s="142"/>
      <c r="T829" s="142"/>
      <c r="U829" s="140"/>
      <c r="V829" s="456"/>
      <c r="W829" s="142"/>
      <c r="X829" s="142"/>
      <c r="Y829" s="142"/>
      <c r="Z829" s="140"/>
      <c r="AA829" s="456"/>
      <c r="AB829" s="142"/>
      <c r="AC829" s="142"/>
      <c r="AD829" s="142"/>
      <c r="AE829" s="140"/>
      <c r="AF829" s="456"/>
      <c r="AG829" s="142"/>
      <c r="AH829" s="142"/>
      <c r="AI829" s="142"/>
      <c r="AJ829" s="140"/>
      <c r="AK829" s="456"/>
      <c r="AL829" s="142"/>
      <c r="AM829" s="142"/>
      <c r="AN829" s="142"/>
      <c r="AO829" s="438"/>
      <c r="AP829" s="438"/>
      <c r="AQ829" s="438"/>
      <c r="AR829" s="438"/>
      <c r="AS829" s="438"/>
      <c r="AT829" s="438"/>
      <c r="AU829" s="438"/>
      <c r="AV829" s="438"/>
      <c r="AW829" s="438"/>
      <c r="AX829" s="438"/>
      <c r="AY829" s="438"/>
      <c r="AZ829" s="438"/>
      <c r="BA829" s="438"/>
      <c r="BB829" s="438"/>
      <c r="BC829" s="438"/>
      <c r="BD829" s="438"/>
      <c r="BE829" s="438"/>
      <c r="BF829" s="438"/>
      <c r="BG829" s="438"/>
      <c r="BH829" s="438"/>
    </row>
    <row r="830">
      <c r="A830" s="140"/>
      <c r="B830" s="456"/>
      <c r="C830" s="142"/>
      <c r="D830" s="142"/>
      <c r="E830" s="142"/>
      <c r="F830" s="140"/>
      <c r="G830" s="456"/>
      <c r="H830" s="142"/>
      <c r="I830" s="142"/>
      <c r="J830" s="142"/>
      <c r="K830" s="125"/>
      <c r="L830" s="456"/>
      <c r="M830" s="142"/>
      <c r="N830" s="142"/>
      <c r="O830" s="142"/>
      <c r="P830" s="125"/>
      <c r="Q830" s="450"/>
      <c r="R830" s="142"/>
      <c r="S830" s="142"/>
      <c r="T830" s="142"/>
      <c r="U830" s="140"/>
      <c r="V830" s="456"/>
      <c r="W830" s="142"/>
      <c r="X830" s="142"/>
      <c r="Y830" s="142"/>
      <c r="Z830" s="140"/>
      <c r="AA830" s="456"/>
      <c r="AB830" s="142"/>
      <c r="AC830" s="142"/>
      <c r="AD830" s="142"/>
      <c r="AE830" s="140"/>
      <c r="AF830" s="456"/>
      <c r="AG830" s="142"/>
      <c r="AH830" s="142"/>
      <c r="AI830" s="142"/>
      <c r="AJ830" s="140"/>
      <c r="AK830" s="456"/>
      <c r="AL830" s="142"/>
      <c r="AM830" s="142"/>
      <c r="AN830" s="142"/>
      <c r="AO830" s="438"/>
      <c r="AP830" s="438"/>
      <c r="AQ830" s="438"/>
      <c r="AR830" s="438"/>
      <c r="AS830" s="438"/>
      <c r="AT830" s="438"/>
      <c r="AU830" s="438"/>
      <c r="AV830" s="438"/>
      <c r="AW830" s="438"/>
      <c r="AX830" s="438"/>
      <c r="AY830" s="438"/>
      <c r="AZ830" s="438"/>
      <c r="BA830" s="438"/>
      <c r="BB830" s="438"/>
      <c r="BC830" s="438"/>
      <c r="BD830" s="438"/>
      <c r="BE830" s="438"/>
      <c r="BF830" s="438"/>
      <c r="BG830" s="438"/>
      <c r="BH830" s="438"/>
    </row>
    <row r="831">
      <c r="A831" s="140"/>
      <c r="B831" s="456"/>
      <c r="C831" s="142"/>
      <c r="D831" s="142"/>
      <c r="E831" s="142"/>
      <c r="F831" s="140"/>
      <c r="G831" s="456"/>
      <c r="H831" s="142"/>
      <c r="I831" s="142"/>
      <c r="J831" s="142"/>
      <c r="K831" s="125"/>
      <c r="L831" s="456"/>
      <c r="M831" s="142"/>
      <c r="N831" s="142"/>
      <c r="O831" s="142"/>
      <c r="P831" s="125"/>
      <c r="Q831" s="450"/>
      <c r="R831" s="142"/>
      <c r="S831" s="142"/>
      <c r="T831" s="142"/>
      <c r="U831" s="140"/>
      <c r="V831" s="456"/>
      <c r="W831" s="142"/>
      <c r="X831" s="142"/>
      <c r="Y831" s="142"/>
      <c r="Z831" s="140"/>
      <c r="AA831" s="456"/>
      <c r="AB831" s="142"/>
      <c r="AC831" s="142"/>
      <c r="AD831" s="142"/>
      <c r="AE831" s="140"/>
      <c r="AF831" s="456"/>
      <c r="AG831" s="142"/>
      <c r="AH831" s="142"/>
      <c r="AI831" s="142"/>
      <c r="AJ831" s="140"/>
      <c r="AK831" s="456"/>
      <c r="AL831" s="142"/>
      <c r="AM831" s="142"/>
      <c r="AN831" s="142"/>
      <c r="AO831" s="438"/>
      <c r="AP831" s="438"/>
      <c r="AQ831" s="438"/>
      <c r="AR831" s="438"/>
      <c r="AS831" s="438"/>
      <c r="AT831" s="438"/>
      <c r="AU831" s="438"/>
      <c r="AV831" s="438"/>
      <c r="AW831" s="438"/>
      <c r="AX831" s="438"/>
      <c r="AY831" s="438"/>
      <c r="AZ831" s="438"/>
      <c r="BA831" s="438"/>
      <c r="BB831" s="438"/>
      <c r="BC831" s="438"/>
      <c r="BD831" s="438"/>
      <c r="BE831" s="438"/>
      <c r="BF831" s="438"/>
      <c r="BG831" s="438"/>
      <c r="BH831" s="438"/>
    </row>
    <row r="832">
      <c r="A832" s="140"/>
      <c r="B832" s="456"/>
      <c r="C832" s="142"/>
      <c r="D832" s="142"/>
      <c r="E832" s="142"/>
      <c r="F832" s="140"/>
      <c r="G832" s="456"/>
      <c r="H832" s="142"/>
      <c r="I832" s="142"/>
      <c r="J832" s="142"/>
      <c r="K832" s="125"/>
      <c r="L832" s="456"/>
      <c r="M832" s="142"/>
      <c r="N832" s="142"/>
      <c r="O832" s="142"/>
      <c r="P832" s="125"/>
      <c r="Q832" s="450"/>
      <c r="R832" s="142"/>
      <c r="S832" s="142"/>
      <c r="T832" s="142"/>
      <c r="U832" s="140"/>
      <c r="V832" s="456"/>
      <c r="W832" s="142"/>
      <c r="X832" s="142"/>
      <c r="Y832" s="142"/>
      <c r="Z832" s="140"/>
      <c r="AA832" s="456"/>
      <c r="AB832" s="142"/>
      <c r="AC832" s="142"/>
      <c r="AD832" s="142"/>
      <c r="AE832" s="140"/>
      <c r="AF832" s="456"/>
      <c r="AG832" s="142"/>
      <c r="AH832" s="142"/>
      <c r="AI832" s="142"/>
      <c r="AJ832" s="140"/>
      <c r="AK832" s="456"/>
      <c r="AL832" s="142"/>
      <c r="AM832" s="142"/>
      <c r="AN832" s="142"/>
      <c r="AO832" s="438"/>
      <c r="AP832" s="438"/>
      <c r="AQ832" s="438"/>
      <c r="AR832" s="438"/>
      <c r="AS832" s="438"/>
      <c r="AT832" s="438"/>
      <c r="AU832" s="438"/>
      <c r="AV832" s="438"/>
      <c r="AW832" s="438"/>
      <c r="AX832" s="438"/>
      <c r="AY832" s="438"/>
      <c r="AZ832" s="438"/>
      <c r="BA832" s="438"/>
      <c r="BB832" s="438"/>
      <c r="BC832" s="438"/>
      <c r="BD832" s="438"/>
      <c r="BE832" s="438"/>
      <c r="BF832" s="438"/>
      <c r="BG832" s="438"/>
      <c r="BH832" s="438"/>
    </row>
    <row r="833">
      <c r="A833" s="140"/>
      <c r="B833" s="456"/>
      <c r="C833" s="142"/>
      <c r="D833" s="142"/>
      <c r="E833" s="142"/>
      <c r="F833" s="140"/>
      <c r="G833" s="456"/>
      <c r="H833" s="142"/>
      <c r="I833" s="142"/>
      <c r="J833" s="142"/>
      <c r="K833" s="125"/>
      <c r="L833" s="456"/>
      <c r="M833" s="142"/>
      <c r="N833" s="142"/>
      <c r="O833" s="142"/>
      <c r="P833" s="125"/>
      <c r="Q833" s="450"/>
      <c r="R833" s="142"/>
      <c r="S833" s="142"/>
      <c r="T833" s="142"/>
      <c r="U833" s="140"/>
      <c r="V833" s="456"/>
      <c r="W833" s="142"/>
      <c r="X833" s="142"/>
      <c r="Y833" s="142"/>
      <c r="Z833" s="140"/>
      <c r="AA833" s="456"/>
      <c r="AB833" s="142"/>
      <c r="AC833" s="142"/>
      <c r="AD833" s="142"/>
      <c r="AE833" s="140"/>
      <c r="AF833" s="456"/>
      <c r="AG833" s="142"/>
      <c r="AH833" s="142"/>
      <c r="AI833" s="142"/>
      <c r="AJ833" s="140"/>
      <c r="AK833" s="456"/>
      <c r="AL833" s="142"/>
      <c r="AM833" s="142"/>
      <c r="AN833" s="142"/>
      <c r="AO833" s="438"/>
      <c r="AP833" s="438"/>
      <c r="AQ833" s="438"/>
      <c r="AR833" s="438"/>
      <c r="AS833" s="438"/>
      <c r="AT833" s="438"/>
      <c r="AU833" s="438"/>
      <c r="AV833" s="438"/>
      <c r="AW833" s="438"/>
      <c r="AX833" s="438"/>
      <c r="AY833" s="438"/>
      <c r="AZ833" s="438"/>
      <c r="BA833" s="438"/>
      <c r="BB833" s="438"/>
      <c r="BC833" s="438"/>
      <c r="BD833" s="438"/>
      <c r="BE833" s="438"/>
      <c r="BF833" s="438"/>
      <c r="BG833" s="438"/>
      <c r="BH833" s="438"/>
    </row>
    <row r="834">
      <c r="A834" s="140"/>
      <c r="B834" s="456"/>
      <c r="C834" s="142"/>
      <c r="D834" s="142"/>
      <c r="E834" s="142"/>
      <c r="F834" s="140"/>
      <c r="G834" s="456"/>
      <c r="H834" s="142"/>
      <c r="I834" s="142"/>
      <c r="J834" s="142"/>
      <c r="K834" s="125"/>
      <c r="L834" s="456"/>
      <c r="M834" s="142"/>
      <c r="N834" s="142"/>
      <c r="O834" s="142"/>
      <c r="P834" s="125"/>
      <c r="Q834" s="450"/>
      <c r="R834" s="142"/>
      <c r="S834" s="142"/>
      <c r="T834" s="142"/>
      <c r="U834" s="140"/>
      <c r="V834" s="456"/>
      <c r="W834" s="142"/>
      <c r="X834" s="142"/>
      <c r="Y834" s="142"/>
      <c r="Z834" s="140"/>
      <c r="AA834" s="456"/>
      <c r="AB834" s="142"/>
      <c r="AC834" s="142"/>
      <c r="AD834" s="142"/>
      <c r="AE834" s="140"/>
      <c r="AF834" s="456"/>
      <c r="AG834" s="142"/>
      <c r="AH834" s="142"/>
      <c r="AI834" s="142"/>
      <c r="AJ834" s="140"/>
      <c r="AK834" s="456"/>
      <c r="AL834" s="142"/>
      <c r="AM834" s="142"/>
      <c r="AN834" s="142"/>
      <c r="AO834" s="438"/>
      <c r="AP834" s="438"/>
      <c r="AQ834" s="438"/>
      <c r="AR834" s="438"/>
      <c r="AS834" s="438"/>
      <c r="AT834" s="438"/>
      <c r="AU834" s="438"/>
      <c r="AV834" s="438"/>
      <c r="AW834" s="438"/>
      <c r="AX834" s="438"/>
      <c r="AY834" s="438"/>
      <c r="AZ834" s="438"/>
      <c r="BA834" s="438"/>
      <c r="BB834" s="438"/>
      <c r="BC834" s="438"/>
      <c r="BD834" s="438"/>
      <c r="BE834" s="438"/>
      <c r="BF834" s="438"/>
      <c r="BG834" s="438"/>
      <c r="BH834" s="438"/>
    </row>
    <row r="835">
      <c r="A835" s="140"/>
      <c r="B835" s="456"/>
      <c r="C835" s="142"/>
      <c r="D835" s="142"/>
      <c r="E835" s="142"/>
      <c r="F835" s="140"/>
      <c r="G835" s="456"/>
      <c r="H835" s="142"/>
      <c r="I835" s="142"/>
      <c r="J835" s="142"/>
      <c r="K835" s="125"/>
      <c r="L835" s="456"/>
      <c r="M835" s="142"/>
      <c r="N835" s="142"/>
      <c r="O835" s="142"/>
      <c r="P835" s="125"/>
      <c r="Q835" s="450"/>
      <c r="R835" s="142"/>
      <c r="S835" s="142"/>
      <c r="T835" s="142"/>
      <c r="U835" s="140"/>
      <c r="V835" s="456"/>
      <c r="W835" s="142"/>
      <c r="X835" s="142"/>
      <c r="Y835" s="142"/>
      <c r="Z835" s="140"/>
      <c r="AA835" s="456"/>
      <c r="AB835" s="142"/>
      <c r="AC835" s="142"/>
      <c r="AD835" s="142"/>
      <c r="AE835" s="140"/>
      <c r="AF835" s="456"/>
      <c r="AG835" s="142"/>
      <c r="AH835" s="142"/>
      <c r="AI835" s="142"/>
      <c r="AJ835" s="140"/>
      <c r="AK835" s="456"/>
      <c r="AL835" s="142"/>
      <c r="AM835" s="142"/>
      <c r="AN835" s="142"/>
      <c r="AO835" s="438"/>
      <c r="AP835" s="438"/>
      <c r="AQ835" s="438"/>
      <c r="AR835" s="438"/>
      <c r="AS835" s="438"/>
      <c r="AT835" s="438"/>
      <c r="AU835" s="438"/>
      <c r="AV835" s="438"/>
      <c r="AW835" s="438"/>
      <c r="AX835" s="438"/>
      <c r="AY835" s="438"/>
      <c r="AZ835" s="438"/>
      <c r="BA835" s="438"/>
      <c r="BB835" s="438"/>
      <c r="BC835" s="438"/>
      <c r="BD835" s="438"/>
      <c r="BE835" s="438"/>
      <c r="BF835" s="438"/>
      <c r="BG835" s="438"/>
      <c r="BH835" s="438"/>
    </row>
    <row r="836">
      <c r="A836" s="140"/>
      <c r="B836" s="456"/>
      <c r="C836" s="142"/>
      <c r="D836" s="142"/>
      <c r="E836" s="142"/>
      <c r="F836" s="140"/>
      <c r="G836" s="456"/>
      <c r="H836" s="142"/>
      <c r="I836" s="142"/>
      <c r="J836" s="142"/>
      <c r="K836" s="125"/>
      <c r="L836" s="456"/>
      <c r="M836" s="142"/>
      <c r="N836" s="142"/>
      <c r="O836" s="142"/>
      <c r="P836" s="125"/>
      <c r="Q836" s="450"/>
      <c r="R836" s="142"/>
      <c r="S836" s="142"/>
      <c r="T836" s="142"/>
      <c r="U836" s="140"/>
      <c r="V836" s="456"/>
      <c r="W836" s="142"/>
      <c r="X836" s="142"/>
      <c r="Y836" s="142"/>
      <c r="Z836" s="140"/>
      <c r="AA836" s="456"/>
      <c r="AB836" s="142"/>
      <c r="AC836" s="142"/>
      <c r="AD836" s="142"/>
      <c r="AE836" s="140"/>
      <c r="AF836" s="456"/>
      <c r="AG836" s="142"/>
      <c r="AH836" s="142"/>
      <c r="AI836" s="142"/>
      <c r="AJ836" s="140"/>
      <c r="AK836" s="456"/>
      <c r="AL836" s="142"/>
      <c r="AM836" s="142"/>
      <c r="AN836" s="142"/>
      <c r="AO836" s="438"/>
      <c r="AP836" s="438"/>
      <c r="AQ836" s="438"/>
      <c r="AR836" s="438"/>
      <c r="AS836" s="438"/>
      <c r="AT836" s="438"/>
      <c r="AU836" s="438"/>
      <c r="AV836" s="438"/>
      <c r="AW836" s="438"/>
      <c r="AX836" s="438"/>
      <c r="AY836" s="438"/>
      <c r="AZ836" s="438"/>
      <c r="BA836" s="438"/>
      <c r="BB836" s="438"/>
      <c r="BC836" s="438"/>
      <c r="BD836" s="438"/>
      <c r="BE836" s="438"/>
      <c r="BF836" s="438"/>
      <c r="BG836" s="438"/>
      <c r="BH836" s="438"/>
    </row>
    <row r="837">
      <c r="A837" s="140"/>
      <c r="B837" s="456"/>
      <c r="C837" s="142"/>
      <c r="D837" s="142"/>
      <c r="E837" s="142"/>
      <c r="F837" s="140"/>
      <c r="G837" s="456"/>
      <c r="H837" s="142"/>
      <c r="I837" s="142"/>
      <c r="J837" s="142"/>
      <c r="K837" s="125"/>
      <c r="L837" s="456"/>
      <c r="M837" s="142"/>
      <c r="N837" s="142"/>
      <c r="O837" s="142"/>
      <c r="P837" s="125"/>
      <c r="Q837" s="450"/>
      <c r="R837" s="142"/>
      <c r="S837" s="142"/>
      <c r="T837" s="142"/>
      <c r="U837" s="140"/>
      <c r="V837" s="456"/>
      <c r="W837" s="142"/>
      <c r="X837" s="142"/>
      <c r="Y837" s="142"/>
      <c r="Z837" s="140"/>
      <c r="AA837" s="456"/>
      <c r="AB837" s="142"/>
      <c r="AC837" s="142"/>
      <c r="AD837" s="142"/>
      <c r="AE837" s="140"/>
      <c r="AF837" s="456"/>
      <c r="AG837" s="142"/>
      <c r="AH837" s="142"/>
      <c r="AI837" s="142"/>
      <c r="AJ837" s="140"/>
      <c r="AK837" s="456"/>
      <c r="AL837" s="142"/>
      <c r="AM837" s="142"/>
      <c r="AN837" s="142"/>
      <c r="AO837" s="438"/>
      <c r="AP837" s="438"/>
      <c r="AQ837" s="438"/>
      <c r="AR837" s="438"/>
      <c r="AS837" s="438"/>
      <c r="AT837" s="438"/>
      <c r="AU837" s="438"/>
      <c r="AV837" s="438"/>
      <c r="AW837" s="438"/>
      <c r="AX837" s="438"/>
      <c r="AY837" s="438"/>
      <c r="AZ837" s="438"/>
      <c r="BA837" s="438"/>
      <c r="BB837" s="438"/>
      <c r="BC837" s="438"/>
      <c r="BD837" s="438"/>
      <c r="BE837" s="438"/>
      <c r="BF837" s="438"/>
      <c r="BG837" s="438"/>
      <c r="BH837" s="438"/>
    </row>
    <row r="838">
      <c r="A838" s="140"/>
      <c r="B838" s="456"/>
      <c r="C838" s="142"/>
      <c r="D838" s="142"/>
      <c r="E838" s="142"/>
      <c r="F838" s="140"/>
      <c r="G838" s="456"/>
      <c r="H838" s="142"/>
      <c r="I838" s="142"/>
      <c r="J838" s="142"/>
      <c r="K838" s="125"/>
      <c r="L838" s="456"/>
      <c r="M838" s="142"/>
      <c r="N838" s="142"/>
      <c r="O838" s="142"/>
      <c r="P838" s="125"/>
      <c r="Q838" s="450"/>
      <c r="R838" s="142"/>
      <c r="S838" s="142"/>
      <c r="T838" s="142"/>
      <c r="U838" s="140"/>
      <c r="V838" s="456"/>
      <c r="W838" s="142"/>
      <c r="X838" s="142"/>
      <c r="Y838" s="142"/>
      <c r="Z838" s="140"/>
      <c r="AA838" s="456"/>
      <c r="AB838" s="142"/>
      <c r="AC838" s="142"/>
      <c r="AD838" s="142"/>
      <c r="AE838" s="140"/>
      <c r="AF838" s="456"/>
      <c r="AG838" s="142"/>
      <c r="AH838" s="142"/>
      <c r="AI838" s="142"/>
      <c r="AJ838" s="140"/>
      <c r="AK838" s="456"/>
      <c r="AL838" s="142"/>
      <c r="AM838" s="142"/>
      <c r="AN838" s="142"/>
      <c r="AO838" s="438"/>
      <c r="AP838" s="438"/>
      <c r="AQ838" s="438"/>
      <c r="AR838" s="438"/>
      <c r="AS838" s="438"/>
      <c r="AT838" s="438"/>
      <c r="AU838" s="438"/>
      <c r="AV838" s="438"/>
      <c r="AW838" s="438"/>
      <c r="AX838" s="438"/>
      <c r="AY838" s="438"/>
      <c r="AZ838" s="438"/>
      <c r="BA838" s="438"/>
      <c r="BB838" s="438"/>
      <c r="BC838" s="438"/>
      <c r="BD838" s="438"/>
      <c r="BE838" s="438"/>
      <c r="BF838" s="438"/>
      <c r="BG838" s="438"/>
      <c r="BH838" s="438"/>
    </row>
    <row r="839">
      <c r="A839" s="140"/>
      <c r="B839" s="456"/>
      <c r="C839" s="142"/>
      <c r="D839" s="142"/>
      <c r="E839" s="142"/>
      <c r="F839" s="140"/>
      <c r="G839" s="456"/>
      <c r="H839" s="142"/>
      <c r="I839" s="142"/>
      <c r="J839" s="142"/>
      <c r="K839" s="125"/>
      <c r="L839" s="456"/>
      <c r="M839" s="142"/>
      <c r="N839" s="142"/>
      <c r="O839" s="142"/>
      <c r="P839" s="125"/>
      <c r="Q839" s="450"/>
      <c r="R839" s="142"/>
      <c r="S839" s="142"/>
      <c r="T839" s="142"/>
      <c r="U839" s="140"/>
      <c r="V839" s="456"/>
      <c r="W839" s="142"/>
      <c r="X839" s="142"/>
      <c r="Y839" s="142"/>
      <c r="Z839" s="140"/>
      <c r="AA839" s="456"/>
      <c r="AB839" s="142"/>
      <c r="AC839" s="142"/>
      <c r="AD839" s="142"/>
      <c r="AE839" s="140"/>
      <c r="AF839" s="456"/>
      <c r="AG839" s="142"/>
      <c r="AH839" s="142"/>
      <c r="AI839" s="142"/>
      <c r="AJ839" s="140"/>
      <c r="AK839" s="456"/>
      <c r="AL839" s="142"/>
      <c r="AM839" s="142"/>
      <c r="AN839" s="142"/>
      <c r="AO839" s="438"/>
      <c r="AP839" s="438"/>
      <c r="AQ839" s="438"/>
      <c r="AR839" s="438"/>
      <c r="AS839" s="438"/>
      <c r="AT839" s="438"/>
      <c r="AU839" s="438"/>
      <c r="AV839" s="438"/>
      <c r="AW839" s="438"/>
      <c r="AX839" s="438"/>
      <c r="AY839" s="438"/>
      <c r="AZ839" s="438"/>
      <c r="BA839" s="438"/>
      <c r="BB839" s="438"/>
      <c r="BC839" s="438"/>
      <c r="BD839" s="438"/>
      <c r="BE839" s="438"/>
      <c r="BF839" s="438"/>
      <c r="BG839" s="438"/>
      <c r="BH839" s="438"/>
    </row>
    <row r="840">
      <c r="A840" s="140"/>
      <c r="B840" s="456"/>
      <c r="C840" s="142"/>
      <c r="D840" s="142"/>
      <c r="E840" s="142"/>
      <c r="F840" s="140"/>
      <c r="G840" s="456"/>
      <c r="H840" s="142"/>
      <c r="I840" s="142"/>
      <c r="J840" s="142"/>
      <c r="K840" s="125"/>
      <c r="L840" s="456"/>
      <c r="M840" s="142"/>
      <c r="N840" s="142"/>
      <c r="O840" s="142"/>
      <c r="P840" s="125"/>
      <c r="Q840" s="450"/>
      <c r="R840" s="142"/>
      <c r="S840" s="142"/>
      <c r="T840" s="142"/>
      <c r="U840" s="140"/>
      <c r="V840" s="456"/>
      <c r="W840" s="142"/>
      <c r="X840" s="142"/>
      <c r="Y840" s="142"/>
      <c r="Z840" s="140"/>
      <c r="AA840" s="456"/>
      <c r="AB840" s="142"/>
      <c r="AC840" s="142"/>
      <c r="AD840" s="142"/>
      <c r="AE840" s="140"/>
      <c r="AF840" s="456"/>
      <c r="AG840" s="142"/>
      <c r="AH840" s="142"/>
      <c r="AI840" s="142"/>
      <c r="AJ840" s="140"/>
      <c r="AK840" s="456"/>
      <c r="AL840" s="142"/>
      <c r="AM840" s="142"/>
      <c r="AN840" s="142"/>
      <c r="AO840" s="438"/>
      <c r="AP840" s="438"/>
      <c r="AQ840" s="438"/>
      <c r="AR840" s="438"/>
      <c r="AS840" s="438"/>
      <c r="AT840" s="438"/>
      <c r="AU840" s="438"/>
      <c r="AV840" s="438"/>
      <c r="AW840" s="438"/>
      <c r="AX840" s="438"/>
      <c r="AY840" s="438"/>
      <c r="AZ840" s="438"/>
      <c r="BA840" s="438"/>
      <c r="BB840" s="438"/>
      <c r="BC840" s="438"/>
      <c r="BD840" s="438"/>
      <c r="BE840" s="438"/>
      <c r="BF840" s="438"/>
      <c r="BG840" s="438"/>
      <c r="BH840" s="438"/>
    </row>
    <row r="841">
      <c r="A841" s="140"/>
      <c r="B841" s="456"/>
      <c r="C841" s="142"/>
      <c r="D841" s="142"/>
      <c r="E841" s="142"/>
      <c r="F841" s="140"/>
      <c r="G841" s="456"/>
      <c r="H841" s="142"/>
      <c r="I841" s="142"/>
      <c r="J841" s="142"/>
      <c r="K841" s="125"/>
      <c r="L841" s="456"/>
      <c r="M841" s="142"/>
      <c r="N841" s="142"/>
      <c r="O841" s="142"/>
      <c r="P841" s="125"/>
      <c r="Q841" s="450"/>
      <c r="R841" s="142"/>
      <c r="S841" s="142"/>
      <c r="T841" s="142"/>
      <c r="U841" s="140"/>
      <c r="V841" s="456"/>
      <c r="W841" s="142"/>
      <c r="X841" s="142"/>
      <c r="Y841" s="142"/>
      <c r="Z841" s="140"/>
      <c r="AA841" s="456"/>
      <c r="AB841" s="142"/>
      <c r="AC841" s="142"/>
      <c r="AD841" s="142"/>
      <c r="AE841" s="140"/>
      <c r="AF841" s="456"/>
      <c r="AG841" s="142"/>
      <c r="AH841" s="142"/>
      <c r="AI841" s="142"/>
      <c r="AJ841" s="140"/>
      <c r="AK841" s="456"/>
      <c r="AL841" s="142"/>
      <c r="AM841" s="142"/>
      <c r="AN841" s="142"/>
      <c r="AO841" s="438"/>
      <c r="AP841" s="438"/>
      <c r="AQ841" s="438"/>
      <c r="AR841" s="438"/>
      <c r="AS841" s="438"/>
      <c r="AT841" s="438"/>
      <c r="AU841" s="438"/>
      <c r="AV841" s="438"/>
      <c r="AW841" s="438"/>
      <c r="AX841" s="438"/>
      <c r="AY841" s="438"/>
      <c r="AZ841" s="438"/>
      <c r="BA841" s="438"/>
      <c r="BB841" s="438"/>
      <c r="BC841" s="438"/>
      <c r="BD841" s="438"/>
      <c r="BE841" s="438"/>
      <c r="BF841" s="438"/>
      <c r="BG841" s="438"/>
      <c r="BH841" s="438"/>
    </row>
    <row r="842">
      <c r="A842" s="140"/>
      <c r="B842" s="456"/>
      <c r="C842" s="142"/>
      <c r="D842" s="142"/>
      <c r="E842" s="142"/>
      <c r="F842" s="140"/>
      <c r="G842" s="456"/>
      <c r="H842" s="142"/>
      <c r="I842" s="142"/>
      <c r="J842" s="142"/>
      <c r="K842" s="125"/>
      <c r="L842" s="456"/>
      <c r="M842" s="142"/>
      <c r="N842" s="142"/>
      <c r="O842" s="142"/>
      <c r="P842" s="125"/>
      <c r="Q842" s="450"/>
      <c r="R842" s="142"/>
      <c r="S842" s="142"/>
      <c r="T842" s="142"/>
      <c r="U842" s="140"/>
      <c r="V842" s="456"/>
      <c r="W842" s="142"/>
      <c r="X842" s="142"/>
      <c r="Y842" s="142"/>
      <c r="Z842" s="140"/>
      <c r="AA842" s="456"/>
      <c r="AB842" s="142"/>
      <c r="AC842" s="142"/>
      <c r="AD842" s="142"/>
      <c r="AE842" s="140"/>
      <c r="AF842" s="456"/>
      <c r="AG842" s="142"/>
      <c r="AH842" s="142"/>
      <c r="AI842" s="142"/>
      <c r="AJ842" s="140"/>
      <c r="AK842" s="456"/>
      <c r="AL842" s="142"/>
      <c r="AM842" s="142"/>
      <c r="AN842" s="142"/>
      <c r="AO842" s="438"/>
      <c r="AP842" s="438"/>
      <c r="AQ842" s="438"/>
      <c r="AR842" s="438"/>
      <c r="AS842" s="438"/>
      <c r="AT842" s="438"/>
      <c r="AU842" s="438"/>
      <c r="AV842" s="438"/>
      <c r="AW842" s="438"/>
      <c r="AX842" s="438"/>
      <c r="AY842" s="438"/>
      <c r="AZ842" s="438"/>
      <c r="BA842" s="438"/>
      <c r="BB842" s="438"/>
      <c r="BC842" s="438"/>
      <c r="BD842" s="438"/>
      <c r="BE842" s="438"/>
      <c r="BF842" s="438"/>
      <c r="BG842" s="438"/>
      <c r="BH842" s="438"/>
    </row>
    <row r="843">
      <c r="A843" s="140"/>
      <c r="B843" s="456"/>
      <c r="C843" s="142"/>
      <c r="D843" s="142"/>
      <c r="E843" s="142"/>
      <c r="F843" s="140"/>
      <c r="G843" s="456"/>
      <c r="H843" s="142"/>
      <c r="I843" s="142"/>
      <c r="J843" s="142"/>
      <c r="K843" s="125"/>
      <c r="L843" s="456"/>
      <c r="M843" s="142"/>
      <c r="N843" s="142"/>
      <c r="O843" s="142"/>
      <c r="P843" s="125"/>
      <c r="Q843" s="450"/>
      <c r="R843" s="142"/>
      <c r="S843" s="142"/>
      <c r="T843" s="142"/>
      <c r="U843" s="140"/>
      <c r="V843" s="456"/>
      <c r="W843" s="142"/>
      <c r="X843" s="142"/>
      <c r="Y843" s="142"/>
      <c r="Z843" s="140"/>
      <c r="AA843" s="456"/>
      <c r="AB843" s="142"/>
      <c r="AC843" s="142"/>
      <c r="AD843" s="142"/>
      <c r="AE843" s="140"/>
      <c r="AF843" s="456"/>
      <c r="AG843" s="142"/>
      <c r="AH843" s="142"/>
      <c r="AI843" s="142"/>
      <c r="AJ843" s="140"/>
      <c r="AK843" s="456"/>
      <c r="AL843" s="142"/>
      <c r="AM843" s="142"/>
      <c r="AN843" s="142"/>
      <c r="AO843" s="438"/>
      <c r="AP843" s="438"/>
      <c r="AQ843" s="438"/>
      <c r="AR843" s="438"/>
      <c r="AS843" s="438"/>
      <c r="AT843" s="438"/>
      <c r="AU843" s="438"/>
      <c r="AV843" s="438"/>
      <c r="AW843" s="438"/>
      <c r="AX843" s="438"/>
      <c r="AY843" s="438"/>
      <c r="AZ843" s="438"/>
      <c r="BA843" s="438"/>
      <c r="BB843" s="438"/>
      <c r="BC843" s="438"/>
      <c r="BD843" s="438"/>
      <c r="BE843" s="438"/>
      <c r="BF843" s="438"/>
      <c r="BG843" s="438"/>
      <c r="BH843" s="438"/>
    </row>
    <row r="844">
      <c r="A844" s="140"/>
      <c r="B844" s="456"/>
      <c r="C844" s="142"/>
      <c r="D844" s="142"/>
      <c r="E844" s="142"/>
      <c r="F844" s="140"/>
      <c r="G844" s="456"/>
      <c r="H844" s="142"/>
      <c r="I844" s="142"/>
      <c r="J844" s="142"/>
      <c r="K844" s="125"/>
      <c r="L844" s="456"/>
      <c r="M844" s="142"/>
      <c r="N844" s="142"/>
      <c r="O844" s="142"/>
      <c r="P844" s="125"/>
      <c r="Q844" s="450"/>
      <c r="R844" s="142"/>
      <c r="S844" s="142"/>
      <c r="T844" s="142"/>
      <c r="U844" s="140"/>
      <c r="V844" s="456"/>
      <c r="W844" s="142"/>
      <c r="X844" s="142"/>
      <c r="Y844" s="142"/>
      <c r="Z844" s="140"/>
      <c r="AA844" s="456"/>
      <c r="AB844" s="142"/>
      <c r="AC844" s="142"/>
      <c r="AD844" s="142"/>
      <c r="AE844" s="140"/>
      <c r="AF844" s="456"/>
      <c r="AG844" s="142"/>
      <c r="AH844" s="142"/>
      <c r="AI844" s="142"/>
      <c r="AJ844" s="140"/>
      <c r="AK844" s="456"/>
      <c r="AL844" s="142"/>
      <c r="AM844" s="142"/>
      <c r="AN844" s="142"/>
      <c r="AO844" s="438"/>
      <c r="AP844" s="438"/>
      <c r="AQ844" s="438"/>
      <c r="AR844" s="438"/>
      <c r="AS844" s="438"/>
      <c r="AT844" s="438"/>
      <c r="AU844" s="438"/>
      <c r="AV844" s="438"/>
      <c r="AW844" s="438"/>
      <c r="AX844" s="438"/>
      <c r="AY844" s="438"/>
      <c r="AZ844" s="438"/>
      <c r="BA844" s="438"/>
      <c r="BB844" s="438"/>
      <c r="BC844" s="438"/>
      <c r="BD844" s="438"/>
      <c r="BE844" s="438"/>
      <c r="BF844" s="438"/>
      <c r="BG844" s="438"/>
      <c r="BH844" s="438"/>
    </row>
    <row r="845">
      <c r="A845" s="140"/>
      <c r="B845" s="456"/>
      <c r="C845" s="142"/>
      <c r="D845" s="142"/>
      <c r="E845" s="142"/>
      <c r="F845" s="140"/>
      <c r="G845" s="456"/>
      <c r="H845" s="142"/>
      <c r="I845" s="142"/>
      <c r="J845" s="142"/>
      <c r="K845" s="125"/>
      <c r="L845" s="456"/>
      <c r="M845" s="142"/>
      <c r="N845" s="142"/>
      <c r="O845" s="142"/>
      <c r="P845" s="125"/>
      <c r="Q845" s="450"/>
      <c r="R845" s="142"/>
      <c r="S845" s="142"/>
      <c r="T845" s="142"/>
      <c r="U845" s="140"/>
      <c r="V845" s="456"/>
      <c r="W845" s="142"/>
      <c r="X845" s="142"/>
      <c r="Y845" s="142"/>
      <c r="Z845" s="140"/>
      <c r="AA845" s="456"/>
      <c r="AB845" s="142"/>
      <c r="AC845" s="142"/>
      <c r="AD845" s="142"/>
      <c r="AE845" s="140"/>
      <c r="AF845" s="456"/>
      <c r="AG845" s="142"/>
      <c r="AH845" s="142"/>
      <c r="AI845" s="142"/>
      <c r="AJ845" s="140"/>
      <c r="AK845" s="456"/>
      <c r="AL845" s="142"/>
      <c r="AM845" s="142"/>
      <c r="AN845" s="142"/>
      <c r="AO845" s="438"/>
      <c r="AP845" s="438"/>
      <c r="AQ845" s="438"/>
      <c r="AR845" s="438"/>
      <c r="AS845" s="438"/>
      <c r="AT845" s="438"/>
      <c r="AU845" s="438"/>
      <c r="AV845" s="438"/>
      <c r="AW845" s="438"/>
      <c r="AX845" s="438"/>
      <c r="AY845" s="438"/>
      <c r="AZ845" s="438"/>
      <c r="BA845" s="438"/>
      <c r="BB845" s="438"/>
      <c r="BC845" s="438"/>
      <c r="BD845" s="438"/>
      <c r="BE845" s="438"/>
      <c r="BF845" s="438"/>
      <c r="BG845" s="438"/>
      <c r="BH845" s="438"/>
    </row>
    <row r="846">
      <c r="A846" s="140"/>
      <c r="B846" s="456"/>
      <c r="C846" s="142"/>
      <c r="D846" s="142"/>
      <c r="E846" s="142"/>
      <c r="F846" s="140"/>
      <c r="G846" s="456"/>
      <c r="H846" s="142"/>
      <c r="I846" s="142"/>
      <c r="J846" s="142"/>
      <c r="K846" s="125"/>
      <c r="L846" s="456"/>
      <c r="M846" s="142"/>
      <c r="N846" s="142"/>
      <c r="O846" s="142"/>
      <c r="P846" s="125"/>
      <c r="Q846" s="450"/>
      <c r="R846" s="142"/>
      <c r="S846" s="142"/>
      <c r="T846" s="142"/>
      <c r="U846" s="140"/>
      <c r="V846" s="456"/>
      <c r="W846" s="142"/>
      <c r="X846" s="142"/>
      <c r="Y846" s="142"/>
      <c r="Z846" s="140"/>
      <c r="AA846" s="456"/>
      <c r="AB846" s="142"/>
      <c r="AC846" s="142"/>
      <c r="AD846" s="142"/>
      <c r="AE846" s="140"/>
      <c r="AF846" s="456"/>
      <c r="AG846" s="142"/>
      <c r="AH846" s="142"/>
      <c r="AI846" s="142"/>
      <c r="AJ846" s="140"/>
      <c r="AK846" s="456"/>
      <c r="AL846" s="142"/>
      <c r="AM846" s="142"/>
      <c r="AN846" s="142"/>
      <c r="AO846" s="438"/>
      <c r="AP846" s="438"/>
      <c r="AQ846" s="438"/>
      <c r="AR846" s="438"/>
      <c r="AS846" s="438"/>
      <c r="AT846" s="438"/>
      <c r="AU846" s="438"/>
      <c r="AV846" s="438"/>
      <c r="AW846" s="438"/>
      <c r="AX846" s="438"/>
      <c r="AY846" s="438"/>
      <c r="AZ846" s="438"/>
      <c r="BA846" s="438"/>
      <c r="BB846" s="438"/>
      <c r="BC846" s="438"/>
      <c r="BD846" s="438"/>
      <c r="BE846" s="438"/>
      <c r="BF846" s="438"/>
      <c r="BG846" s="438"/>
      <c r="BH846" s="438"/>
    </row>
    <row r="847">
      <c r="A847" s="140"/>
      <c r="B847" s="456"/>
      <c r="C847" s="142"/>
      <c r="D847" s="142"/>
      <c r="E847" s="142"/>
      <c r="F847" s="140"/>
      <c r="G847" s="456"/>
      <c r="H847" s="142"/>
      <c r="I847" s="142"/>
      <c r="J847" s="142"/>
      <c r="K847" s="125"/>
      <c r="L847" s="456"/>
      <c r="M847" s="142"/>
      <c r="N847" s="142"/>
      <c r="O847" s="142"/>
      <c r="P847" s="125"/>
      <c r="Q847" s="450"/>
      <c r="R847" s="142"/>
      <c r="S847" s="142"/>
      <c r="T847" s="142"/>
      <c r="U847" s="140"/>
      <c r="V847" s="456"/>
      <c r="W847" s="142"/>
      <c r="X847" s="142"/>
      <c r="Y847" s="142"/>
      <c r="Z847" s="140"/>
      <c r="AA847" s="456"/>
      <c r="AB847" s="142"/>
      <c r="AC847" s="142"/>
      <c r="AD847" s="142"/>
      <c r="AE847" s="140"/>
      <c r="AF847" s="456"/>
      <c r="AG847" s="142"/>
      <c r="AH847" s="142"/>
      <c r="AI847" s="142"/>
      <c r="AJ847" s="140"/>
      <c r="AK847" s="456"/>
      <c r="AL847" s="142"/>
      <c r="AM847" s="142"/>
      <c r="AN847" s="142"/>
      <c r="AO847" s="438"/>
      <c r="AP847" s="438"/>
      <c r="AQ847" s="438"/>
      <c r="AR847" s="438"/>
      <c r="AS847" s="438"/>
      <c r="AT847" s="438"/>
      <c r="AU847" s="438"/>
      <c r="AV847" s="438"/>
      <c r="AW847" s="438"/>
      <c r="AX847" s="438"/>
      <c r="AY847" s="438"/>
      <c r="AZ847" s="438"/>
      <c r="BA847" s="438"/>
      <c r="BB847" s="438"/>
      <c r="BC847" s="438"/>
      <c r="BD847" s="438"/>
      <c r="BE847" s="438"/>
      <c r="BF847" s="438"/>
      <c r="BG847" s="438"/>
      <c r="BH847" s="438"/>
    </row>
    <row r="848">
      <c r="A848" s="140"/>
      <c r="B848" s="456"/>
      <c r="C848" s="142"/>
      <c r="D848" s="142"/>
      <c r="E848" s="142"/>
      <c r="F848" s="140"/>
      <c r="G848" s="456"/>
      <c r="H848" s="142"/>
      <c r="I848" s="142"/>
      <c r="J848" s="142"/>
      <c r="K848" s="125"/>
      <c r="L848" s="456"/>
      <c r="M848" s="142"/>
      <c r="N848" s="142"/>
      <c r="O848" s="142"/>
      <c r="P848" s="125"/>
      <c r="Q848" s="450"/>
      <c r="R848" s="142"/>
      <c r="S848" s="142"/>
      <c r="T848" s="142"/>
      <c r="U848" s="140"/>
      <c r="V848" s="456"/>
      <c r="W848" s="142"/>
      <c r="X848" s="142"/>
      <c r="Y848" s="142"/>
      <c r="Z848" s="140"/>
      <c r="AA848" s="456"/>
      <c r="AB848" s="142"/>
      <c r="AC848" s="142"/>
      <c r="AD848" s="142"/>
      <c r="AE848" s="140"/>
      <c r="AF848" s="456"/>
      <c r="AG848" s="142"/>
      <c r="AH848" s="142"/>
      <c r="AI848" s="142"/>
      <c r="AJ848" s="140"/>
      <c r="AK848" s="456"/>
      <c r="AL848" s="142"/>
      <c r="AM848" s="142"/>
      <c r="AN848" s="142"/>
      <c r="AO848" s="438"/>
      <c r="AP848" s="438"/>
      <c r="AQ848" s="438"/>
      <c r="AR848" s="438"/>
      <c r="AS848" s="438"/>
      <c r="AT848" s="438"/>
      <c r="AU848" s="438"/>
      <c r="AV848" s="438"/>
      <c r="AW848" s="438"/>
      <c r="AX848" s="438"/>
      <c r="AY848" s="438"/>
      <c r="AZ848" s="438"/>
      <c r="BA848" s="438"/>
      <c r="BB848" s="438"/>
      <c r="BC848" s="438"/>
      <c r="BD848" s="438"/>
      <c r="BE848" s="438"/>
      <c r="BF848" s="438"/>
      <c r="BG848" s="438"/>
      <c r="BH848" s="438"/>
    </row>
    <row r="849">
      <c r="A849" s="140"/>
      <c r="B849" s="456"/>
      <c r="C849" s="142"/>
      <c r="D849" s="142"/>
      <c r="E849" s="142"/>
      <c r="F849" s="140"/>
      <c r="G849" s="456"/>
      <c r="H849" s="142"/>
      <c r="I849" s="142"/>
      <c r="J849" s="142"/>
      <c r="K849" s="125"/>
      <c r="L849" s="456"/>
      <c r="M849" s="142"/>
      <c r="N849" s="142"/>
      <c r="O849" s="142"/>
      <c r="P849" s="125"/>
      <c r="Q849" s="450"/>
      <c r="R849" s="142"/>
      <c r="S849" s="142"/>
      <c r="T849" s="142"/>
      <c r="U849" s="140"/>
      <c r="V849" s="456"/>
      <c r="W849" s="142"/>
      <c r="X849" s="142"/>
      <c r="Y849" s="142"/>
      <c r="Z849" s="140"/>
      <c r="AA849" s="456"/>
      <c r="AB849" s="142"/>
      <c r="AC849" s="142"/>
      <c r="AD849" s="142"/>
      <c r="AE849" s="140"/>
      <c r="AF849" s="456"/>
      <c r="AG849" s="142"/>
      <c r="AH849" s="142"/>
      <c r="AI849" s="142"/>
      <c r="AJ849" s="140"/>
      <c r="AK849" s="456"/>
      <c r="AL849" s="142"/>
      <c r="AM849" s="142"/>
      <c r="AN849" s="142"/>
      <c r="AO849" s="438"/>
      <c r="AP849" s="438"/>
      <c r="AQ849" s="438"/>
      <c r="AR849" s="438"/>
      <c r="AS849" s="438"/>
      <c r="AT849" s="438"/>
      <c r="AU849" s="438"/>
      <c r="AV849" s="438"/>
      <c r="AW849" s="438"/>
      <c r="AX849" s="438"/>
      <c r="AY849" s="438"/>
      <c r="AZ849" s="438"/>
      <c r="BA849" s="438"/>
      <c r="BB849" s="438"/>
      <c r="BC849" s="438"/>
      <c r="BD849" s="438"/>
      <c r="BE849" s="438"/>
      <c r="BF849" s="438"/>
      <c r="BG849" s="438"/>
      <c r="BH849" s="438"/>
    </row>
    <row r="850">
      <c r="A850" s="140"/>
      <c r="B850" s="456"/>
      <c r="C850" s="142"/>
      <c r="D850" s="142"/>
      <c r="E850" s="142"/>
      <c r="F850" s="140"/>
      <c r="G850" s="456"/>
      <c r="H850" s="142"/>
      <c r="I850" s="142"/>
      <c r="J850" s="142"/>
      <c r="K850" s="125"/>
      <c r="L850" s="456"/>
      <c r="M850" s="142"/>
      <c r="N850" s="142"/>
      <c r="O850" s="142"/>
      <c r="P850" s="125"/>
      <c r="Q850" s="450"/>
      <c r="R850" s="142"/>
      <c r="S850" s="142"/>
      <c r="T850" s="142"/>
      <c r="U850" s="140"/>
      <c r="V850" s="456"/>
      <c r="W850" s="142"/>
      <c r="X850" s="142"/>
      <c r="Y850" s="142"/>
      <c r="Z850" s="140"/>
      <c r="AA850" s="456"/>
      <c r="AB850" s="142"/>
      <c r="AC850" s="142"/>
      <c r="AD850" s="142"/>
      <c r="AE850" s="140"/>
      <c r="AF850" s="456"/>
      <c r="AG850" s="142"/>
      <c r="AH850" s="142"/>
      <c r="AI850" s="142"/>
      <c r="AJ850" s="140"/>
      <c r="AK850" s="456"/>
      <c r="AL850" s="142"/>
      <c r="AM850" s="142"/>
      <c r="AN850" s="142"/>
      <c r="AO850" s="438"/>
      <c r="AP850" s="438"/>
      <c r="AQ850" s="438"/>
      <c r="AR850" s="438"/>
      <c r="AS850" s="438"/>
      <c r="AT850" s="438"/>
      <c r="AU850" s="438"/>
      <c r="AV850" s="438"/>
      <c r="AW850" s="438"/>
      <c r="AX850" s="438"/>
      <c r="AY850" s="438"/>
      <c r="AZ850" s="438"/>
      <c r="BA850" s="438"/>
      <c r="BB850" s="438"/>
      <c r="BC850" s="438"/>
      <c r="BD850" s="438"/>
      <c r="BE850" s="438"/>
      <c r="BF850" s="438"/>
      <c r="BG850" s="438"/>
      <c r="BH850" s="438"/>
    </row>
    <row r="851">
      <c r="A851" s="140"/>
      <c r="B851" s="456"/>
      <c r="C851" s="142"/>
      <c r="D851" s="142"/>
      <c r="E851" s="142"/>
      <c r="F851" s="140"/>
      <c r="G851" s="456"/>
      <c r="H851" s="142"/>
      <c r="I851" s="142"/>
      <c r="J851" s="142"/>
      <c r="K851" s="125"/>
      <c r="L851" s="456"/>
      <c r="M851" s="142"/>
      <c r="N851" s="142"/>
      <c r="O851" s="142"/>
      <c r="P851" s="125"/>
      <c r="Q851" s="450"/>
      <c r="R851" s="142"/>
      <c r="S851" s="142"/>
      <c r="T851" s="142"/>
      <c r="U851" s="140"/>
      <c r="V851" s="456"/>
      <c r="W851" s="142"/>
      <c r="X851" s="142"/>
      <c r="Y851" s="142"/>
      <c r="Z851" s="140"/>
      <c r="AA851" s="456"/>
      <c r="AB851" s="142"/>
      <c r="AC851" s="142"/>
      <c r="AD851" s="142"/>
      <c r="AE851" s="140"/>
      <c r="AF851" s="456"/>
      <c r="AG851" s="142"/>
      <c r="AH851" s="142"/>
      <c r="AI851" s="142"/>
      <c r="AJ851" s="140"/>
      <c r="AK851" s="456"/>
      <c r="AL851" s="142"/>
      <c r="AM851" s="142"/>
      <c r="AN851" s="142"/>
      <c r="AO851" s="438"/>
      <c r="AP851" s="438"/>
      <c r="AQ851" s="438"/>
      <c r="AR851" s="438"/>
      <c r="AS851" s="438"/>
      <c r="AT851" s="438"/>
      <c r="AU851" s="438"/>
      <c r="AV851" s="438"/>
      <c r="AW851" s="438"/>
      <c r="AX851" s="438"/>
      <c r="AY851" s="438"/>
      <c r="AZ851" s="438"/>
      <c r="BA851" s="438"/>
      <c r="BB851" s="438"/>
      <c r="BC851" s="438"/>
      <c r="BD851" s="438"/>
      <c r="BE851" s="438"/>
      <c r="BF851" s="438"/>
      <c r="BG851" s="438"/>
      <c r="BH851" s="438"/>
    </row>
    <row r="852">
      <c r="A852" s="140"/>
      <c r="B852" s="456"/>
      <c r="C852" s="142"/>
      <c r="D852" s="142"/>
      <c r="E852" s="142"/>
      <c r="F852" s="140"/>
      <c r="G852" s="456"/>
      <c r="H852" s="142"/>
      <c r="I852" s="142"/>
      <c r="J852" s="142"/>
      <c r="K852" s="125"/>
      <c r="L852" s="456"/>
      <c r="M852" s="142"/>
      <c r="N852" s="142"/>
      <c r="O852" s="142"/>
      <c r="P852" s="125"/>
      <c r="Q852" s="450"/>
      <c r="R852" s="142"/>
      <c r="S852" s="142"/>
      <c r="T852" s="142"/>
      <c r="U852" s="140"/>
      <c r="V852" s="456"/>
      <c r="W852" s="142"/>
      <c r="X852" s="142"/>
      <c r="Y852" s="142"/>
      <c r="Z852" s="140"/>
      <c r="AA852" s="456"/>
      <c r="AB852" s="142"/>
      <c r="AC852" s="142"/>
      <c r="AD852" s="142"/>
      <c r="AE852" s="140"/>
      <c r="AF852" s="456"/>
      <c r="AG852" s="142"/>
      <c r="AH852" s="142"/>
      <c r="AI852" s="142"/>
      <c r="AJ852" s="140"/>
      <c r="AK852" s="456"/>
      <c r="AL852" s="142"/>
      <c r="AM852" s="142"/>
      <c r="AN852" s="142"/>
      <c r="AO852" s="438"/>
      <c r="AP852" s="438"/>
      <c r="AQ852" s="438"/>
      <c r="AR852" s="438"/>
      <c r="AS852" s="438"/>
      <c r="AT852" s="438"/>
      <c r="AU852" s="438"/>
      <c r="AV852" s="438"/>
      <c r="AW852" s="438"/>
      <c r="AX852" s="438"/>
      <c r="AY852" s="438"/>
      <c r="AZ852" s="438"/>
      <c r="BA852" s="438"/>
      <c r="BB852" s="438"/>
      <c r="BC852" s="438"/>
      <c r="BD852" s="438"/>
      <c r="BE852" s="438"/>
      <c r="BF852" s="438"/>
      <c r="BG852" s="438"/>
      <c r="BH852" s="438"/>
    </row>
    <row r="853">
      <c r="A853" s="140"/>
      <c r="B853" s="456"/>
      <c r="C853" s="142"/>
      <c r="D853" s="142"/>
      <c r="E853" s="142"/>
      <c r="F853" s="140"/>
      <c r="G853" s="456"/>
      <c r="H853" s="142"/>
      <c r="I853" s="142"/>
      <c r="J853" s="142"/>
      <c r="K853" s="125"/>
      <c r="L853" s="456"/>
      <c r="M853" s="142"/>
      <c r="N853" s="142"/>
      <c r="O853" s="142"/>
      <c r="P853" s="125"/>
      <c r="Q853" s="450"/>
      <c r="R853" s="142"/>
      <c r="S853" s="142"/>
      <c r="T853" s="142"/>
      <c r="U853" s="140"/>
      <c r="V853" s="456"/>
      <c r="W853" s="142"/>
      <c r="X853" s="142"/>
      <c r="Y853" s="142"/>
      <c r="Z853" s="140"/>
      <c r="AA853" s="456"/>
      <c r="AB853" s="142"/>
      <c r="AC853" s="142"/>
      <c r="AD853" s="142"/>
      <c r="AE853" s="140"/>
      <c r="AF853" s="456"/>
      <c r="AG853" s="142"/>
      <c r="AH853" s="142"/>
      <c r="AI853" s="142"/>
      <c r="AJ853" s="140"/>
      <c r="AK853" s="456"/>
      <c r="AL853" s="142"/>
      <c r="AM853" s="142"/>
      <c r="AN853" s="142"/>
      <c r="AO853" s="438"/>
      <c r="AP853" s="438"/>
      <c r="AQ853" s="438"/>
      <c r="AR853" s="438"/>
      <c r="AS853" s="438"/>
      <c r="AT853" s="438"/>
      <c r="AU853" s="438"/>
      <c r="AV853" s="438"/>
      <c r="AW853" s="438"/>
      <c r="AX853" s="438"/>
      <c r="AY853" s="438"/>
      <c r="AZ853" s="438"/>
      <c r="BA853" s="438"/>
      <c r="BB853" s="438"/>
      <c r="BC853" s="438"/>
      <c r="BD853" s="438"/>
      <c r="BE853" s="438"/>
      <c r="BF853" s="438"/>
      <c r="BG853" s="438"/>
      <c r="BH853" s="438"/>
    </row>
    <row r="854">
      <c r="A854" s="140"/>
      <c r="B854" s="456"/>
      <c r="C854" s="142"/>
      <c r="D854" s="142"/>
      <c r="E854" s="142"/>
      <c r="F854" s="140"/>
      <c r="G854" s="456"/>
      <c r="H854" s="142"/>
      <c r="I854" s="142"/>
      <c r="J854" s="142"/>
      <c r="K854" s="125"/>
      <c r="L854" s="456"/>
      <c r="M854" s="142"/>
      <c r="N854" s="142"/>
      <c r="O854" s="142"/>
      <c r="P854" s="125"/>
      <c r="Q854" s="450"/>
      <c r="R854" s="142"/>
      <c r="S854" s="142"/>
      <c r="T854" s="142"/>
      <c r="U854" s="140"/>
      <c r="V854" s="456"/>
      <c r="W854" s="142"/>
      <c r="X854" s="142"/>
      <c r="Y854" s="142"/>
      <c r="Z854" s="140"/>
      <c r="AA854" s="456"/>
      <c r="AB854" s="142"/>
      <c r="AC854" s="142"/>
      <c r="AD854" s="142"/>
      <c r="AE854" s="140"/>
      <c r="AF854" s="456"/>
      <c r="AG854" s="142"/>
      <c r="AH854" s="142"/>
      <c r="AI854" s="142"/>
      <c r="AJ854" s="140"/>
      <c r="AK854" s="456"/>
      <c r="AL854" s="142"/>
      <c r="AM854" s="142"/>
      <c r="AN854" s="142"/>
      <c r="AO854" s="438"/>
      <c r="AP854" s="438"/>
      <c r="AQ854" s="438"/>
      <c r="AR854" s="438"/>
      <c r="AS854" s="438"/>
      <c r="AT854" s="438"/>
      <c r="AU854" s="438"/>
      <c r="AV854" s="438"/>
      <c r="AW854" s="438"/>
      <c r="AX854" s="438"/>
      <c r="AY854" s="438"/>
      <c r="AZ854" s="438"/>
      <c r="BA854" s="438"/>
      <c r="BB854" s="438"/>
      <c r="BC854" s="438"/>
      <c r="BD854" s="438"/>
      <c r="BE854" s="438"/>
      <c r="BF854" s="438"/>
      <c r="BG854" s="438"/>
      <c r="BH854" s="438"/>
    </row>
    <row r="855">
      <c r="A855" s="140"/>
      <c r="B855" s="456"/>
      <c r="C855" s="142"/>
      <c r="D855" s="142"/>
      <c r="E855" s="142"/>
      <c r="F855" s="140"/>
      <c r="G855" s="456"/>
      <c r="H855" s="142"/>
      <c r="I855" s="142"/>
      <c r="J855" s="142"/>
      <c r="K855" s="125"/>
      <c r="L855" s="456"/>
      <c r="M855" s="142"/>
      <c r="N855" s="142"/>
      <c r="O855" s="142"/>
      <c r="P855" s="125"/>
      <c r="Q855" s="450"/>
      <c r="R855" s="142"/>
      <c r="S855" s="142"/>
      <c r="T855" s="142"/>
      <c r="U855" s="140"/>
      <c r="V855" s="456"/>
      <c r="W855" s="142"/>
      <c r="X855" s="142"/>
      <c r="Y855" s="142"/>
      <c r="Z855" s="140"/>
      <c r="AA855" s="456"/>
      <c r="AB855" s="142"/>
      <c r="AC855" s="142"/>
      <c r="AD855" s="142"/>
      <c r="AE855" s="140"/>
      <c r="AF855" s="456"/>
      <c r="AG855" s="142"/>
      <c r="AH855" s="142"/>
      <c r="AI855" s="142"/>
      <c r="AJ855" s="140"/>
      <c r="AK855" s="456"/>
      <c r="AL855" s="142"/>
      <c r="AM855" s="142"/>
      <c r="AN855" s="142"/>
      <c r="AO855" s="438"/>
      <c r="AP855" s="438"/>
      <c r="AQ855" s="438"/>
      <c r="AR855" s="438"/>
      <c r="AS855" s="438"/>
      <c r="AT855" s="438"/>
      <c r="AU855" s="438"/>
      <c r="AV855" s="438"/>
      <c r="AW855" s="438"/>
      <c r="AX855" s="438"/>
      <c r="AY855" s="438"/>
      <c r="AZ855" s="438"/>
      <c r="BA855" s="438"/>
      <c r="BB855" s="438"/>
      <c r="BC855" s="438"/>
      <c r="BD855" s="438"/>
      <c r="BE855" s="438"/>
      <c r="BF855" s="438"/>
      <c r="BG855" s="438"/>
      <c r="BH855" s="438"/>
    </row>
    <row r="856">
      <c r="A856" s="140"/>
      <c r="B856" s="456"/>
      <c r="C856" s="142"/>
      <c r="D856" s="142"/>
      <c r="E856" s="142"/>
      <c r="F856" s="140"/>
      <c r="G856" s="456"/>
      <c r="H856" s="142"/>
      <c r="I856" s="142"/>
      <c r="J856" s="142"/>
      <c r="K856" s="125"/>
      <c r="L856" s="456"/>
      <c r="M856" s="142"/>
      <c r="N856" s="142"/>
      <c r="O856" s="142"/>
      <c r="P856" s="125"/>
      <c r="Q856" s="450"/>
      <c r="R856" s="142"/>
      <c r="S856" s="142"/>
      <c r="T856" s="142"/>
      <c r="U856" s="140"/>
      <c r="V856" s="456"/>
      <c r="W856" s="142"/>
      <c r="X856" s="142"/>
      <c r="Y856" s="142"/>
      <c r="Z856" s="140"/>
      <c r="AA856" s="456"/>
      <c r="AB856" s="142"/>
      <c r="AC856" s="142"/>
      <c r="AD856" s="142"/>
      <c r="AE856" s="140"/>
      <c r="AF856" s="456"/>
      <c r="AG856" s="142"/>
      <c r="AH856" s="142"/>
      <c r="AI856" s="142"/>
      <c r="AJ856" s="140"/>
      <c r="AK856" s="456"/>
      <c r="AL856" s="142"/>
      <c r="AM856" s="142"/>
      <c r="AN856" s="142"/>
      <c r="AO856" s="438"/>
      <c r="AP856" s="438"/>
      <c r="AQ856" s="438"/>
      <c r="AR856" s="438"/>
      <c r="AS856" s="438"/>
      <c r="AT856" s="438"/>
      <c r="AU856" s="438"/>
      <c r="AV856" s="438"/>
      <c r="AW856" s="438"/>
      <c r="AX856" s="438"/>
      <c r="AY856" s="438"/>
      <c r="AZ856" s="438"/>
      <c r="BA856" s="438"/>
      <c r="BB856" s="438"/>
      <c r="BC856" s="438"/>
      <c r="BD856" s="438"/>
      <c r="BE856" s="438"/>
      <c r="BF856" s="438"/>
      <c r="BG856" s="438"/>
      <c r="BH856" s="438"/>
    </row>
    <row r="857">
      <c r="A857" s="140"/>
      <c r="B857" s="456"/>
      <c r="C857" s="142"/>
      <c r="D857" s="142"/>
      <c r="E857" s="142"/>
      <c r="F857" s="140"/>
      <c r="G857" s="456"/>
      <c r="H857" s="142"/>
      <c r="I857" s="142"/>
      <c r="J857" s="142"/>
      <c r="K857" s="125"/>
      <c r="L857" s="456"/>
      <c r="M857" s="142"/>
      <c r="N857" s="142"/>
      <c r="O857" s="142"/>
      <c r="P857" s="125"/>
      <c r="Q857" s="450"/>
      <c r="R857" s="142"/>
      <c r="S857" s="142"/>
      <c r="T857" s="142"/>
      <c r="U857" s="140"/>
      <c r="V857" s="456"/>
      <c r="W857" s="142"/>
      <c r="X857" s="142"/>
      <c r="Y857" s="142"/>
      <c r="Z857" s="140"/>
      <c r="AA857" s="456"/>
      <c r="AB857" s="142"/>
      <c r="AC857" s="142"/>
      <c r="AD857" s="142"/>
      <c r="AE857" s="140"/>
      <c r="AF857" s="456"/>
      <c r="AG857" s="142"/>
      <c r="AH857" s="142"/>
      <c r="AI857" s="142"/>
      <c r="AJ857" s="140"/>
      <c r="AK857" s="456"/>
      <c r="AL857" s="142"/>
      <c r="AM857" s="142"/>
      <c r="AN857" s="142"/>
      <c r="AO857" s="438"/>
      <c r="AP857" s="438"/>
      <c r="AQ857" s="438"/>
      <c r="AR857" s="438"/>
      <c r="AS857" s="438"/>
      <c r="AT857" s="438"/>
      <c r="AU857" s="438"/>
      <c r="AV857" s="438"/>
      <c r="AW857" s="438"/>
      <c r="AX857" s="438"/>
      <c r="AY857" s="438"/>
      <c r="AZ857" s="438"/>
      <c r="BA857" s="438"/>
      <c r="BB857" s="438"/>
      <c r="BC857" s="438"/>
      <c r="BD857" s="438"/>
      <c r="BE857" s="438"/>
      <c r="BF857" s="438"/>
      <c r="BG857" s="438"/>
      <c r="BH857" s="438"/>
    </row>
    <row r="858">
      <c r="A858" s="140"/>
      <c r="B858" s="456"/>
      <c r="C858" s="142"/>
      <c r="D858" s="142"/>
      <c r="E858" s="142"/>
      <c r="F858" s="140"/>
      <c r="G858" s="456"/>
      <c r="H858" s="142"/>
      <c r="I858" s="142"/>
      <c r="J858" s="142"/>
      <c r="K858" s="125"/>
      <c r="L858" s="456"/>
      <c r="M858" s="142"/>
      <c r="N858" s="142"/>
      <c r="O858" s="142"/>
      <c r="P858" s="125"/>
      <c r="Q858" s="450"/>
      <c r="R858" s="142"/>
      <c r="S858" s="142"/>
      <c r="T858" s="142"/>
      <c r="U858" s="140"/>
      <c r="V858" s="456"/>
      <c r="W858" s="142"/>
      <c r="X858" s="142"/>
      <c r="Y858" s="142"/>
      <c r="Z858" s="140"/>
      <c r="AA858" s="456"/>
      <c r="AB858" s="142"/>
      <c r="AC858" s="142"/>
      <c r="AD858" s="142"/>
      <c r="AE858" s="140"/>
      <c r="AF858" s="456"/>
      <c r="AG858" s="142"/>
      <c r="AH858" s="142"/>
      <c r="AI858" s="142"/>
      <c r="AJ858" s="140"/>
      <c r="AK858" s="456"/>
      <c r="AL858" s="142"/>
      <c r="AM858" s="142"/>
      <c r="AN858" s="142"/>
      <c r="AO858" s="438"/>
      <c r="AP858" s="438"/>
      <c r="AQ858" s="438"/>
      <c r="AR858" s="438"/>
      <c r="AS858" s="438"/>
      <c r="AT858" s="438"/>
      <c r="AU858" s="438"/>
      <c r="AV858" s="438"/>
      <c r="AW858" s="438"/>
      <c r="AX858" s="438"/>
      <c r="AY858" s="438"/>
      <c r="AZ858" s="438"/>
      <c r="BA858" s="438"/>
      <c r="BB858" s="438"/>
      <c r="BC858" s="438"/>
      <c r="BD858" s="438"/>
      <c r="BE858" s="438"/>
      <c r="BF858" s="438"/>
      <c r="BG858" s="438"/>
      <c r="BH858" s="438"/>
    </row>
    <row r="859">
      <c r="A859" s="140"/>
      <c r="B859" s="456"/>
      <c r="C859" s="142"/>
      <c r="D859" s="142"/>
      <c r="E859" s="142"/>
      <c r="F859" s="140"/>
      <c r="G859" s="456"/>
      <c r="H859" s="142"/>
      <c r="I859" s="142"/>
      <c r="J859" s="142"/>
      <c r="K859" s="125"/>
      <c r="L859" s="456"/>
      <c r="M859" s="142"/>
      <c r="N859" s="142"/>
      <c r="O859" s="142"/>
      <c r="P859" s="125"/>
      <c r="Q859" s="450"/>
      <c r="R859" s="142"/>
      <c r="S859" s="142"/>
      <c r="T859" s="142"/>
      <c r="U859" s="140"/>
      <c r="V859" s="456"/>
      <c r="W859" s="142"/>
      <c r="X859" s="142"/>
      <c r="Y859" s="142"/>
      <c r="Z859" s="140"/>
      <c r="AA859" s="456"/>
      <c r="AB859" s="142"/>
      <c r="AC859" s="142"/>
      <c r="AD859" s="142"/>
      <c r="AE859" s="140"/>
      <c r="AF859" s="456"/>
      <c r="AG859" s="142"/>
      <c r="AH859" s="142"/>
      <c r="AI859" s="142"/>
      <c r="AJ859" s="140"/>
      <c r="AK859" s="456"/>
      <c r="AL859" s="142"/>
      <c r="AM859" s="142"/>
      <c r="AN859" s="142"/>
      <c r="AO859" s="438"/>
      <c r="AP859" s="438"/>
      <c r="AQ859" s="438"/>
      <c r="AR859" s="438"/>
      <c r="AS859" s="438"/>
      <c r="AT859" s="438"/>
      <c r="AU859" s="438"/>
      <c r="AV859" s="438"/>
      <c r="AW859" s="438"/>
      <c r="AX859" s="438"/>
      <c r="AY859" s="438"/>
      <c r="AZ859" s="438"/>
      <c r="BA859" s="438"/>
      <c r="BB859" s="438"/>
      <c r="BC859" s="438"/>
      <c r="BD859" s="438"/>
      <c r="BE859" s="438"/>
      <c r="BF859" s="438"/>
      <c r="BG859" s="438"/>
      <c r="BH859" s="438"/>
    </row>
    <row r="860">
      <c r="A860" s="140"/>
      <c r="B860" s="456"/>
      <c r="C860" s="142"/>
      <c r="D860" s="142"/>
      <c r="E860" s="142"/>
      <c r="F860" s="140"/>
      <c r="G860" s="456"/>
      <c r="H860" s="142"/>
      <c r="I860" s="142"/>
      <c r="J860" s="142"/>
      <c r="K860" s="125"/>
      <c r="L860" s="456"/>
      <c r="M860" s="142"/>
      <c r="N860" s="142"/>
      <c r="O860" s="142"/>
      <c r="P860" s="125"/>
      <c r="Q860" s="450"/>
      <c r="R860" s="142"/>
      <c r="S860" s="142"/>
      <c r="T860" s="142"/>
      <c r="U860" s="140"/>
      <c r="V860" s="456"/>
      <c r="W860" s="142"/>
      <c r="X860" s="142"/>
      <c r="Y860" s="142"/>
      <c r="Z860" s="140"/>
      <c r="AA860" s="456"/>
      <c r="AB860" s="142"/>
      <c r="AC860" s="142"/>
      <c r="AD860" s="142"/>
      <c r="AE860" s="140"/>
      <c r="AF860" s="456"/>
      <c r="AG860" s="142"/>
      <c r="AH860" s="142"/>
      <c r="AI860" s="142"/>
      <c r="AJ860" s="140"/>
      <c r="AK860" s="456"/>
      <c r="AL860" s="142"/>
      <c r="AM860" s="142"/>
      <c r="AN860" s="142"/>
      <c r="AO860" s="438"/>
      <c r="AP860" s="438"/>
      <c r="AQ860" s="438"/>
      <c r="AR860" s="438"/>
      <c r="AS860" s="438"/>
      <c r="AT860" s="438"/>
      <c r="AU860" s="438"/>
      <c r="AV860" s="438"/>
      <c r="AW860" s="438"/>
      <c r="AX860" s="438"/>
      <c r="AY860" s="438"/>
      <c r="AZ860" s="438"/>
      <c r="BA860" s="438"/>
      <c r="BB860" s="438"/>
      <c r="BC860" s="438"/>
      <c r="BD860" s="438"/>
      <c r="BE860" s="438"/>
      <c r="BF860" s="438"/>
      <c r="BG860" s="438"/>
      <c r="BH860" s="438"/>
    </row>
    <row r="861">
      <c r="A861" s="140"/>
      <c r="B861" s="456"/>
      <c r="C861" s="142"/>
      <c r="D861" s="142"/>
      <c r="E861" s="142"/>
      <c r="F861" s="140"/>
      <c r="G861" s="456"/>
      <c r="H861" s="142"/>
      <c r="I861" s="142"/>
      <c r="J861" s="142"/>
      <c r="K861" s="125"/>
      <c r="L861" s="456"/>
      <c r="M861" s="142"/>
      <c r="N861" s="142"/>
      <c r="O861" s="142"/>
      <c r="P861" s="125"/>
      <c r="Q861" s="450"/>
      <c r="R861" s="142"/>
      <c r="S861" s="142"/>
      <c r="T861" s="142"/>
      <c r="U861" s="140"/>
      <c r="V861" s="456"/>
      <c r="W861" s="142"/>
      <c r="X861" s="142"/>
      <c r="Y861" s="142"/>
      <c r="Z861" s="140"/>
      <c r="AA861" s="456"/>
      <c r="AB861" s="142"/>
      <c r="AC861" s="142"/>
      <c r="AD861" s="142"/>
      <c r="AE861" s="140"/>
      <c r="AF861" s="456"/>
      <c r="AG861" s="142"/>
      <c r="AH861" s="142"/>
      <c r="AI861" s="142"/>
      <c r="AJ861" s="140"/>
      <c r="AK861" s="456"/>
      <c r="AL861" s="142"/>
      <c r="AM861" s="142"/>
      <c r="AN861" s="142"/>
      <c r="AO861" s="438"/>
      <c r="AP861" s="438"/>
      <c r="AQ861" s="438"/>
      <c r="AR861" s="438"/>
      <c r="AS861" s="438"/>
      <c r="AT861" s="438"/>
      <c r="AU861" s="438"/>
      <c r="AV861" s="438"/>
      <c r="AW861" s="438"/>
      <c r="AX861" s="438"/>
      <c r="AY861" s="438"/>
      <c r="AZ861" s="438"/>
      <c r="BA861" s="438"/>
      <c r="BB861" s="438"/>
      <c r="BC861" s="438"/>
      <c r="BD861" s="438"/>
      <c r="BE861" s="438"/>
      <c r="BF861" s="438"/>
      <c r="BG861" s="438"/>
      <c r="BH861" s="438"/>
    </row>
    <row r="862">
      <c r="A862" s="140"/>
      <c r="B862" s="456"/>
      <c r="C862" s="142"/>
      <c r="D862" s="142"/>
      <c r="E862" s="142"/>
      <c r="F862" s="140"/>
      <c r="G862" s="456"/>
      <c r="H862" s="142"/>
      <c r="I862" s="142"/>
      <c r="J862" s="142"/>
      <c r="K862" s="125"/>
      <c r="L862" s="456"/>
      <c r="M862" s="142"/>
      <c r="N862" s="142"/>
      <c r="O862" s="142"/>
      <c r="P862" s="125"/>
      <c r="Q862" s="450"/>
      <c r="R862" s="142"/>
      <c r="S862" s="142"/>
      <c r="T862" s="142"/>
      <c r="U862" s="140"/>
      <c r="V862" s="456"/>
      <c r="W862" s="142"/>
      <c r="X862" s="142"/>
      <c r="Y862" s="142"/>
      <c r="Z862" s="140"/>
      <c r="AA862" s="456"/>
      <c r="AB862" s="142"/>
      <c r="AC862" s="142"/>
      <c r="AD862" s="142"/>
      <c r="AE862" s="140"/>
      <c r="AF862" s="456"/>
      <c r="AG862" s="142"/>
      <c r="AH862" s="142"/>
      <c r="AI862" s="142"/>
      <c r="AJ862" s="140"/>
      <c r="AK862" s="456"/>
      <c r="AL862" s="142"/>
      <c r="AM862" s="142"/>
      <c r="AN862" s="142"/>
      <c r="AO862" s="438"/>
      <c r="AP862" s="438"/>
      <c r="AQ862" s="438"/>
      <c r="AR862" s="438"/>
      <c r="AS862" s="438"/>
      <c r="AT862" s="438"/>
      <c r="AU862" s="438"/>
      <c r="AV862" s="438"/>
      <c r="AW862" s="438"/>
      <c r="AX862" s="438"/>
      <c r="AY862" s="438"/>
      <c r="AZ862" s="438"/>
      <c r="BA862" s="438"/>
      <c r="BB862" s="438"/>
      <c r="BC862" s="438"/>
      <c r="BD862" s="438"/>
      <c r="BE862" s="438"/>
      <c r="BF862" s="438"/>
      <c r="BG862" s="438"/>
      <c r="BH862" s="438"/>
    </row>
    <row r="863">
      <c r="A863" s="140"/>
      <c r="B863" s="456"/>
      <c r="C863" s="142"/>
      <c r="D863" s="142"/>
      <c r="E863" s="142"/>
      <c r="F863" s="140"/>
      <c r="G863" s="456"/>
      <c r="H863" s="142"/>
      <c r="I863" s="142"/>
      <c r="J863" s="142"/>
      <c r="K863" s="125"/>
      <c r="L863" s="456"/>
      <c r="M863" s="142"/>
      <c r="N863" s="142"/>
      <c r="O863" s="142"/>
      <c r="P863" s="125"/>
      <c r="Q863" s="450"/>
      <c r="R863" s="142"/>
      <c r="S863" s="142"/>
      <c r="T863" s="142"/>
      <c r="U863" s="140"/>
      <c r="V863" s="456"/>
      <c r="W863" s="142"/>
      <c r="X863" s="142"/>
      <c r="Y863" s="142"/>
      <c r="Z863" s="140"/>
      <c r="AA863" s="456"/>
      <c r="AB863" s="142"/>
      <c r="AC863" s="142"/>
      <c r="AD863" s="142"/>
      <c r="AE863" s="140"/>
      <c r="AF863" s="456"/>
      <c r="AG863" s="142"/>
      <c r="AH863" s="142"/>
      <c r="AI863" s="142"/>
      <c r="AJ863" s="140"/>
      <c r="AK863" s="456"/>
      <c r="AL863" s="142"/>
      <c r="AM863" s="142"/>
      <c r="AN863" s="142"/>
      <c r="AO863" s="438"/>
      <c r="AP863" s="438"/>
      <c r="AQ863" s="438"/>
      <c r="AR863" s="438"/>
      <c r="AS863" s="438"/>
      <c r="AT863" s="438"/>
      <c r="AU863" s="438"/>
      <c r="AV863" s="438"/>
      <c r="AW863" s="438"/>
      <c r="AX863" s="438"/>
      <c r="AY863" s="438"/>
      <c r="AZ863" s="438"/>
      <c r="BA863" s="438"/>
      <c r="BB863" s="438"/>
      <c r="BC863" s="438"/>
      <c r="BD863" s="438"/>
      <c r="BE863" s="438"/>
      <c r="BF863" s="438"/>
      <c r="BG863" s="438"/>
      <c r="BH863" s="438"/>
    </row>
    <row r="864">
      <c r="A864" s="140"/>
      <c r="B864" s="456"/>
      <c r="C864" s="142"/>
      <c r="D864" s="142"/>
      <c r="E864" s="142"/>
      <c r="F864" s="140"/>
      <c r="G864" s="456"/>
      <c r="H864" s="142"/>
      <c r="I864" s="142"/>
      <c r="J864" s="142"/>
      <c r="K864" s="125"/>
      <c r="L864" s="456"/>
      <c r="M864" s="142"/>
      <c r="N864" s="142"/>
      <c r="O864" s="142"/>
      <c r="P864" s="125"/>
      <c r="Q864" s="450"/>
      <c r="R864" s="142"/>
      <c r="S864" s="142"/>
      <c r="T864" s="142"/>
      <c r="U864" s="140"/>
      <c r="V864" s="456"/>
      <c r="W864" s="142"/>
      <c r="X864" s="142"/>
      <c r="Y864" s="142"/>
      <c r="Z864" s="140"/>
      <c r="AA864" s="456"/>
      <c r="AB864" s="142"/>
      <c r="AC864" s="142"/>
      <c r="AD864" s="142"/>
      <c r="AE864" s="140"/>
      <c r="AF864" s="456"/>
      <c r="AG864" s="142"/>
      <c r="AH864" s="142"/>
      <c r="AI864" s="142"/>
      <c r="AJ864" s="140"/>
      <c r="AK864" s="456"/>
      <c r="AL864" s="142"/>
      <c r="AM864" s="142"/>
      <c r="AN864" s="142"/>
      <c r="AO864" s="438"/>
      <c r="AP864" s="438"/>
      <c r="AQ864" s="438"/>
      <c r="AR864" s="438"/>
      <c r="AS864" s="438"/>
      <c r="AT864" s="438"/>
      <c r="AU864" s="438"/>
      <c r="AV864" s="438"/>
      <c r="AW864" s="438"/>
      <c r="AX864" s="438"/>
      <c r="AY864" s="438"/>
      <c r="AZ864" s="438"/>
      <c r="BA864" s="438"/>
      <c r="BB864" s="438"/>
      <c r="BC864" s="438"/>
      <c r="BD864" s="438"/>
      <c r="BE864" s="438"/>
      <c r="BF864" s="438"/>
      <c r="BG864" s="438"/>
      <c r="BH864" s="438"/>
    </row>
    <row r="865">
      <c r="A865" s="140"/>
      <c r="B865" s="456"/>
      <c r="C865" s="142"/>
      <c r="D865" s="142"/>
      <c r="E865" s="142"/>
      <c r="F865" s="140"/>
      <c r="G865" s="456"/>
      <c r="H865" s="142"/>
      <c r="I865" s="142"/>
      <c r="J865" s="142"/>
      <c r="K865" s="125"/>
      <c r="L865" s="456"/>
      <c r="M865" s="142"/>
      <c r="N865" s="142"/>
      <c r="O865" s="142"/>
      <c r="P865" s="125"/>
      <c r="Q865" s="450"/>
      <c r="R865" s="142"/>
      <c r="S865" s="142"/>
      <c r="T865" s="142"/>
      <c r="U865" s="140"/>
      <c r="V865" s="456"/>
      <c r="W865" s="142"/>
      <c r="X865" s="142"/>
      <c r="Y865" s="142"/>
      <c r="Z865" s="140"/>
      <c r="AA865" s="456"/>
      <c r="AB865" s="142"/>
      <c r="AC865" s="142"/>
      <c r="AD865" s="142"/>
      <c r="AE865" s="140"/>
      <c r="AF865" s="456"/>
      <c r="AG865" s="142"/>
      <c r="AH865" s="142"/>
      <c r="AI865" s="142"/>
      <c r="AJ865" s="140"/>
      <c r="AK865" s="456"/>
      <c r="AL865" s="142"/>
      <c r="AM865" s="142"/>
      <c r="AN865" s="142"/>
      <c r="AO865" s="438"/>
      <c r="AP865" s="438"/>
      <c r="AQ865" s="438"/>
      <c r="AR865" s="438"/>
      <c r="AS865" s="438"/>
      <c r="AT865" s="438"/>
      <c r="AU865" s="438"/>
      <c r="AV865" s="438"/>
      <c r="AW865" s="438"/>
      <c r="AX865" s="438"/>
      <c r="AY865" s="438"/>
      <c r="AZ865" s="438"/>
      <c r="BA865" s="438"/>
      <c r="BB865" s="438"/>
      <c r="BC865" s="438"/>
      <c r="BD865" s="438"/>
      <c r="BE865" s="438"/>
      <c r="BF865" s="438"/>
      <c r="BG865" s="438"/>
      <c r="BH865" s="438"/>
    </row>
    <row r="866">
      <c r="A866" s="140"/>
      <c r="B866" s="456"/>
      <c r="C866" s="142"/>
      <c r="D866" s="142"/>
      <c r="E866" s="142"/>
      <c r="F866" s="140"/>
      <c r="G866" s="456"/>
      <c r="H866" s="142"/>
      <c r="I866" s="142"/>
      <c r="J866" s="142"/>
      <c r="K866" s="125"/>
      <c r="L866" s="456"/>
      <c r="M866" s="142"/>
      <c r="N866" s="142"/>
      <c r="O866" s="142"/>
      <c r="P866" s="125"/>
      <c r="Q866" s="450"/>
      <c r="R866" s="142"/>
      <c r="S866" s="142"/>
      <c r="T866" s="142"/>
      <c r="U866" s="140"/>
      <c r="V866" s="456"/>
      <c r="W866" s="142"/>
      <c r="X866" s="142"/>
      <c r="Y866" s="142"/>
      <c r="Z866" s="140"/>
      <c r="AA866" s="456"/>
      <c r="AB866" s="142"/>
      <c r="AC866" s="142"/>
      <c r="AD866" s="142"/>
      <c r="AE866" s="140"/>
      <c r="AF866" s="456"/>
      <c r="AG866" s="142"/>
      <c r="AH866" s="142"/>
      <c r="AI866" s="142"/>
      <c r="AJ866" s="140"/>
      <c r="AK866" s="456"/>
      <c r="AL866" s="142"/>
      <c r="AM866" s="142"/>
      <c r="AN866" s="142"/>
      <c r="AO866" s="438"/>
      <c r="AP866" s="438"/>
      <c r="AQ866" s="438"/>
      <c r="AR866" s="438"/>
      <c r="AS866" s="438"/>
      <c r="AT866" s="438"/>
      <c r="AU866" s="438"/>
      <c r="AV866" s="438"/>
      <c r="AW866" s="438"/>
      <c r="AX866" s="438"/>
      <c r="AY866" s="438"/>
      <c r="AZ866" s="438"/>
      <c r="BA866" s="438"/>
      <c r="BB866" s="438"/>
      <c r="BC866" s="438"/>
      <c r="BD866" s="438"/>
      <c r="BE866" s="438"/>
      <c r="BF866" s="438"/>
      <c r="BG866" s="438"/>
      <c r="BH866" s="438"/>
    </row>
    <row r="867">
      <c r="A867" s="140"/>
      <c r="B867" s="456"/>
      <c r="C867" s="142"/>
      <c r="D867" s="142"/>
      <c r="E867" s="142"/>
      <c r="F867" s="140"/>
      <c r="G867" s="456"/>
      <c r="H867" s="142"/>
      <c r="I867" s="142"/>
      <c r="J867" s="142"/>
      <c r="K867" s="125"/>
      <c r="L867" s="456"/>
      <c r="M867" s="142"/>
      <c r="N867" s="142"/>
      <c r="O867" s="142"/>
      <c r="P867" s="125"/>
      <c r="Q867" s="450"/>
      <c r="R867" s="142"/>
      <c r="S867" s="142"/>
      <c r="T867" s="142"/>
      <c r="U867" s="140"/>
      <c r="V867" s="456"/>
      <c r="W867" s="142"/>
      <c r="X867" s="142"/>
      <c r="Y867" s="142"/>
      <c r="Z867" s="140"/>
      <c r="AA867" s="456"/>
      <c r="AB867" s="142"/>
      <c r="AC867" s="142"/>
      <c r="AD867" s="142"/>
      <c r="AE867" s="140"/>
      <c r="AF867" s="456"/>
      <c r="AG867" s="142"/>
      <c r="AH867" s="142"/>
      <c r="AI867" s="142"/>
      <c r="AJ867" s="140"/>
      <c r="AK867" s="456"/>
      <c r="AL867" s="142"/>
      <c r="AM867" s="142"/>
      <c r="AN867" s="142"/>
      <c r="AO867" s="438"/>
      <c r="AP867" s="438"/>
      <c r="AQ867" s="438"/>
      <c r="AR867" s="438"/>
      <c r="AS867" s="438"/>
      <c r="AT867" s="438"/>
      <c r="AU867" s="438"/>
      <c r="AV867" s="438"/>
      <c r="AW867" s="438"/>
      <c r="AX867" s="438"/>
      <c r="AY867" s="438"/>
      <c r="AZ867" s="438"/>
      <c r="BA867" s="438"/>
      <c r="BB867" s="438"/>
      <c r="BC867" s="438"/>
      <c r="BD867" s="438"/>
      <c r="BE867" s="438"/>
      <c r="BF867" s="438"/>
      <c r="BG867" s="438"/>
      <c r="BH867" s="438"/>
    </row>
    <row r="868">
      <c r="A868" s="140"/>
      <c r="B868" s="456"/>
      <c r="C868" s="142"/>
      <c r="D868" s="142"/>
      <c r="E868" s="142"/>
      <c r="F868" s="140"/>
      <c r="G868" s="456"/>
      <c r="H868" s="142"/>
      <c r="I868" s="142"/>
      <c r="J868" s="142"/>
      <c r="K868" s="125"/>
      <c r="L868" s="456"/>
      <c r="M868" s="142"/>
      <c r="N868" s="142"/>
      <c r="O868" s="142"/>
      <c r="P868" s="125"/>
      <c r="Q868" s="450"/>
      <c r="R868" s="142"/>
      <c r="S868" s="142"/>
      <c r="T868" s="142"/>
      <c r="U868" s="140"/>
      <c r="V868" s="456"/>
      <c r="W868" s="142"/>
      <c r="X868" s="142"/>
      <c r="Y868" s="142"/>
      <c r="Z868" s="140"/>
      <c r="AA868" s="456"/>
      <c r="AB868" s="142"/>
      <c r="AC868" s="142"/>
      <c r="AD868" s="142"/>
      <c r="AE868" s="140"/>
      <c r="AF868" s="456"/>
      <c r="AG868" s="142"/>
      <c r="AH868" s="142"/>
      <c r="AI868" s="142"/>
      <c r="AJ868" s="140"/>
      <c r="AK868" s="456"/>
      <c r="AL868" s="142"/>
      <c r="AM868" s="142"/>
      <c r="AN868" s="142"/>
      <c r="AO868" s="438"/>
      <c r="AP868" s="438"/>
      <c r="AQ868" s="438"/>
      <c r="AR868" s="438"/>
      <c r="AS868" s="438"/>
      <c r="AT868" s="438"/>
      <c r="AU868" s="438"/>
      <c r="AV868" s="438"/>
      <c r="AW868" s="438"/>
      <c r="AX868" s="438"/>
      <c r="AY868" s="438"/>
      <c r="AZ868" s="438"/>
      <c r="BA868" s="438"/>
      <c r="BB868" s="438"/>
      <c r="BC868" s="438"/>
      <c r="BD868" s="438"/>
      <c r="BE868" s="438"/>
      <c r="BF868" s="438"/>
      <c r="BG868" s="438"/>
      <c r="BH868" s="438"/>
    </row>
    <row r="869">
      <c r="A869" s="140"/>
      <c r="B869" s="456"/>
      <c r="C869" s="142"/>
      <c r="D869" s="142"/>
      <c r="E869" s="142"/>
      <c r="F869" s="140"/>
      <c r="G869" s="456"/>
      <c r="H869" s="142"/>
      <c r="I869" s="142"/>
      <c r="J869" s="142"/>
      <c r="K869" s="125"/>
      <c r="L869" s="456"/>
      <c r="M869" s="142"/>
      <c r="N869" s="142"/>
      <c r="O869" s="142"/>
      <c r="P869" s="125"/>
      <c r="Q869" s="450"/>
      <c r="R869" s="142"/>
      <c r="S869" s="142"/>
      <c r="T869" s="142"/>
      <c r="U869" s="140"/>
      <c r="V869" s="456"/>
      <c r="W869" s="142"/>
      <c r="X869" s="142"/>
      <c r="Y869" s="142"/>
      <c r="Z869" s="140"/>
      <c r="AA869" s="456"/>
      <c r="AB869" s="142"/>
      <c r="AC869" s="142"/>
      <c r="AD869" s="142"/>
      <c r="AE869" s="140"/>
      <c r="AF869" s="456"/>
      <c r="AG869" s="142"/>
      <c r="AH869" s="142"/>
      <c r="AI869" s="142"/>
      <c r="AJ869" s="140"/>
      <c r="AK869" s="456"/>
      <c r="AL869" s="142"/>
      <c r="AM869" s="142"/>
      <c r="AN869" s="142"/>
      <c r="AO869" s="438"/>
      <c r="AP869" s="438"/>
      <c r="AQ869" s="438"/>
      <c r="AR869" s="438"/>
      <c r="AS869" s="438"/>
      <c r="AT869" s="438"/>
      <c r="AU869" s="438"/>
      <c r="AV869" s="438"/>
      <c r="AW869" s="438"/>
      <c r="AX869" s="438"/>
      <c r="AY869" s="438"/>
      <c r="AZ869" s="438"/>
      <c r="BA869" s="438"/>
      <c r="BB869" s="438"/>
      <c r="BC869" s="438"/>
      <c r="BD869" s="438"/>
      <c r="BE869" s="438"/>
      <c r="BF869" s="438"/>
      <c r="BG869" s="438"/>
      <c r="BH869" s="438"/>
    </row>
    <row r="870">
      <c r="A870" s="140"/>
      <c r="B870" s="456"/>
      <c r="C870" s="142"/>
      <c r="D870" s="142"/>
      <c r="E870" s="142"/>
      <c r="F870" s="140"/>
      <c r="G870" s="456"/>
      <c r="H870" s="142"/>
      <c r="I870" s="142"/>
      <c r="J870" s="142"/>
      <c r="K870" s="125"/>
      <c r="L870" s="456"/>
      <c r="M870" s="142"/>
      <c r="N870" s="142"/>
      <c r="O870" s="142"/>
      <c r="P870" s="125"/>
      <c r="Q870" s="450"/>
      <c r="R870" s="142"/>
      <c r="S870" s="142"/>
      <c r="T870" s="142"/>
      <c r="U870" s="140"/>
      <c r="V870" s="456"/>
      <c r="W870" s="142"/>
      <c r="X870" s="142"/>
      <c r="Y870" s="142"/>
      <c r="Z870" s="140"/>
      <c r="AA870" s="456"/>
      <c r="AB870" s="142"/>
      <c r="AC870" s="142"/>
      <c r="AD870" s="142"/>
      <c r="AE870" s="140"/>
      <c r="AF870" s="456"/>
      <c r="AG870" s="142"/>
      <c r="AH870" s="142"/>
      <c r="AI870" s="142"/>
      <c r="AJ870" s="140"/>
      <c r="AK870" s="456"/>
      <c r="AL870" s="142"/>
      <c r="AM870" s="142"/>
      <c r="AN870" s="142"/>
      <c r="AO870" s="438"/>
      <c r="AP870" s="438"/>
      <c r="AQ870" s="438"/>
      <c r="AR870" s="438"/>
      <c r="AS870" s="438"/>
      <c r="AT870" s="438"/>
      <c r="AU870" s="438"/>
      <c r="AV870" s="438"/>
      <c r="AW870" s="438"/>
      <c r="AX870" s="438"/>
      <c r="AY870" s="438"/>
      <c r="AZ870" s="438"/>
      <c r="BA870" s="438"/>
      <c r="BB870" s="438"/>
      <c r="BC870" s="438"/>
      <c r="BD870" s="438"/>
      <c r="BE870" s="438"/>
      <c r="BF870" s="438"/>
      <c r="BG870" s="438"/>
      <c r="BH870" s="438"/>
    </row>
    <row r="871">
      <c r="A871" s="140"/>
      <c r="B871" s="456"/>
      <c r="C871" s="142"/>
      <c r="D871" s="142"/>
      <c r="E871" s="142"/>
      <c r="F871" s="140"/>
      <c r="G871" s="456"/>
      <c r="H871" s="142"/>
      <c r="I871" s="142"/>
      <c r="J871" s="142"/>
      <c r="K871" s="125"/>
      <c r="L871" s="456"/>
      <c r="M871" s="142"/>
      <c r="N871" s="142"/>
      <c r="O871" s="142"/>
      <c r="P871" s="125"/>
      <c r="Q871" s="450"/>
      <c r="R871" s="142"/>
      <c r="S871" s="142"/>
      <c r="T871" s="142"/>
      <c r="U871" s="140"/>
      <c r="V871" s="456"/>
      <c r="W871" s="142"/>
      <c r="X871" s="142"/>
      <c r="Y871" s="142"/>
      <c r="Z871" s="140"/>
      <c r="AA871" s="456"/>
      <c r="AB871" s="142"/>
      <c r="AC871" s="142"/>
      <c r="AD871" s="142"/>
      <c r="AE871" s="140"/>
      <c r="AF871" s="456"/>
      <c r="AG871" s="142"/>
      <c r="AH871" s="142"/>
      <c r="AI871" s="142"/>
      <c r="AJ871" s="140"/>
      <c r="AK871" s="456"/>
      <c r="AL871" s="142"/>
      <c r="AM871" s="142"/>
      <c r="AN871" s="142"/>
      <c r="AO871" s="438"/>
      <c r="AP871" s="438"/>
      <c r="AQ871" s="438"/>
      <c r="AR871" s="438"/>
      <c r="AS871" s="438"/>
      <c r="AT871" s="438"/>
      <c r="AU871" s="438"/>
      <c r="AV871" s="438"/>
      <c r="AW871" s="438"/>
      <c r="AX871" s="438"/>
      <c r="AY871" s="438"/>
      <c r="AZ871" s="438"/>
      <c r="BA871" s="438"/>
      <c r="BB871" s="438"/>
      <c r="BC871" s="438"/>
      <c r="BD871" s="438"/>
      <c r="BE871" s="438"/>
      <c r="BF871" s="438"/>
      <c r="BG871" s="438"/>
      <c r="BH871" s="438"/>
    </row>
    <row r="872">
      <c r="A872" s="140"/>
      <c r="B872" s="456"/>
      <c r="C872" s="142"/>
      <c r="D872" s="142"/>
      <c r="E872" s="142"/>
      <c r="F872" s="140"/>
      <c r="G872" s="456"/>
      <c r="H872" s="142"/>
      <c r="I872" s="142"/>
      <c r="J872" s="142"/>
      <c r="K872" s="125"/>
      <c r="L872" s="456"/>
      <c r="M872" s="142"/>
      <c r="N872" s="142"/>
      <c r="O872" s="142"/>
      <c r="P872" s="125"/>
      <c r="Q872" s="450"/>
      <c r="R872" s="142"/>
      <c r="S872" s="142"/>
      <c r="T872" s="142"/>
      <c r="U872" s="140"/>
      <c r="V872" s="456"/>
      <c r="W872" s="142"/>
      <c r="X872" s="142"/>
      <c r="Y872" s="142"/>
      <c r="Z872" s="140"/>
      <c r="AA872" s="456"/>
      <c r="AB872" s="142"/>
      <c r="AC872" s="142"/>
      <c r="AD872" s="142"/>
      <c r="AE872" s="140"/>
      <c r="AF872" s="456"/>
      <c r="AG872" s="142"/>
      <c r="AH872" s="142"/>
      <c r="AI872" s="142"/>
      <c r="AJ872" s="140"/>
      <c r="AK872" s="456"/>
      <c r="AL872" s="142"/>
      <c r="AM872" s="142"/>
      <c r="AN872" s="142"/>
      <c r="AO872" s="438"/>
      <c r="AP872" s="438"/>
      <c r="AQ872" s="438"/>
      <c r="AR872" s="438"/>
      <c r="AS872" s="438"/>
      <c r="AT872" s="438"/>
      <c r="AU872" s="438"/>
      <c r="AV872" s="438"/>
      <c r="AW872" s="438"/>
      <c r="AX872" s="438"/>
      <c r="AY872" s="438"/>
      <c r="AZ872" s="438"/>
      <c r="BA872" s="438"/>
      <c r="BB872" s="438"/>
      <c r="BC872" s="438"/>
      <c r="BD872" s="438"/>
      <c r="BE872" s="438"/>
      <c r="BF872" s="438"/>
      <c r="BG872" s="438"/>
      <c r="BH872" s="438"/>
    </row>
    <row r="873">
      <c r="A873" s="140"/>
      <c r="B873" s="456"/>
      <c r="C873" s="142"/>
      <c r="D873" s="142"/>
      <c r="E873" s="142"/>
      <c r="F873" s="140"/>
      <c r="G873" s="456"/>
      <c r="H873" s="142"/>
      <c r="I873" s="142"/>
      <c r="J873" s="142"/>
      <c r="K873" s="125"/>
      <c r="L873" s="456"/>
      <c r="M873" s="142"/>
      <c r="N873" s="142"/>
      <c r="O873" s="142"/>
      <c r="P873" s="125"/>
      <c r="Q873" s="450"/>
      <c r="R873" s="142"/>
      <c r="S873" s="142"/>
      <c r="T873" s="142"/>
      <c r="U873" s="140"/>
      <c r="V873" s="456"/>
      <c r="W873" s="142"/>
      <c r="X873" s="142"/>
      <c r="Y873" s="142"/>
      <c r="Z873" s="140"/>
      <c r="AA873" s="456"/>
      <c r="AB873" s="142"/>
      <c r="AC873" s="142"/>
      <c r="AD873" s="142"/>
      <c r="AE873" s="140"/>
      <c r="AF873" s="456"/>
      <c r="AG873" s="142"/>
      <c r="AH873" s="142"/>
      <c r="AI873" s="142"/>
      <c r="AJ873" s="140"/>
      <c r="AK873" s="456"/>
      <c r="AL873" s="142"/>
      <c r="AM873" s="142"/>
      <c r="AN873" s="142"/>
      <c r="AO873" s="438"/>
      <c r="AP873" s="438"/>
      <c r="AQ873" s="438"/>
      <c r="AR873" s="438"/>
      <c r="AS873" s="438"/>
      <c r="AT873" s="438"/>
      <c r="AU873" s="438"/>
      <c r="AV873" s="438"/>
      <c r="AW873" s="438"/>
      <c r="AX873" s="438"/>
      <c r="AY873" s="438"/>
      <c r="AZ873" s="438"/>
      <c r="BA873" s="438"/>
      <c r="BB873" s="438"/>
      <c r="BC873" s="438"/>
      <c r="BD873" s="438"/>
      <c r="BE873" s="438"/>
      <c r="BF873" s="438"/>
      <c r="BG873" s="438"/>
      <c r="BH873" s="438"/>
    </row>
    <row r="874">
      <c r="A874" s="140"/>
      <c r="B874" s="456"/>
      <c r="C874" s="142"/>
      <c r="D874" s="142"/>
      <c r="E874" s="142"/>
      <c r="F874" s="140"/>
      <c r="G874" s="456"/>
      <c r="H874" s="142"/>
      <c r="I874" s="142"/>
      <c r="J874" s="142"/>
      <c r="K874" s="125"/>
      <c r="L874" s="456"/>
      <c r="M874" s="142"/>
      <c r="N874" s="142"/>
      <c r="O874" s="142"/>
      <c r="P874" s="125"/>
      <c r="Q874" s="450"/>
      <c r="R874" s="142"/>
      <c r="S874" s="142"/>
      <c r="T874" s="142"/>
      <c r="U874" s="140"/>
      <c r="V874" s="456"/>
      <c r="W874" s="142"/>
      <c r="X874" s="142"/>
      <c r="Y874" s="142"/>
      <c r="Z874" s="140"/>
      <c r="AA874" s="456"/>
      <c r="AB874" s="142"/>
      <c r="AC874" s="142"/>
      <c r="AD874" s="142"/>
      <c r="AE874" s="140"/>
      <c r="AF874" s="456"/>
      <c r="AG874" s="142"/>
      <c r="AH874" s="142"/>
      <c r="AI874" s="142"/>
      <c r="AJ874" s="140"/>
      <c r="AK874" s="456"/>
      <c r="AL874" s="142"/>
      <c r="AM874" s="142"/>
      <c r="AN874" s="142"/>
      <c r="AO874" s="438"/>
      <c r="AP874" s="438"/>
      <c r="AQ874" s="438"/>
      <c r="AR874" s="438"/>
      <c r="AS874" s="438"/>
      <c r="AT874" s="438"/>
      <c r="AU874" s="438"/>
      <c r="AV874" s="438"/>
      <c r="AW874" s="438"/>
      <c r="AX874" s="438"/>
      <c r="AY874" s="438"/>
      <c r="AZ874" s="438"/>
      <c r="BA874" s="438"/>
      <c r="BB874" s="438"/>
      <c r="BC874" s="438"/>
      <c r="BD874" s="438"/>
      <c r="BE874" s="438"/>
      <c r="BF874" s="438"/>
      <c r="BG874" s="438"/>
      <c r="BH874" s="438"/>
    </row>
    <row r="875">
      <c r="A875" s="140"/>
      <c r="B875" s="456"/>
      <c r="C875" s="142"/>
      <c r="D875" s="142"/>
      <c r="E875" s="142"/>
      <c r="F875" s="140"/>
      <c r="G875" s="456"/>
      <c r="H875" s="142"/>
      <c r="I875" s="142"/>
      <c r="J875" s="142"/>
      <c r="K875" s="125"/>
      <c r="L875" s="456"/>
      <c r="M875" s="142"/>
      <c r="N875" s="142"/>
      <c r="O875" s="142"/>
      <c r="P875" s="125"/>
      <c r="Q875" s="450"/>
      <c r="R875" s="142"/>
      <c r="S875" s="142"/>
      <c r="T875" s="142"/>
      <c r="U875" s="140"/>
      <c r="V875" s="456"/>
      <c r="W875" s="142"/>
      <c r="X875" s="142"/>
      <c r="Y875" s="142"/>
      <c r="Z875" s="140"/>
      <c r="AA875" s="456"/>
      <c r="AB875" s="142"/>
      <c r="AC875" s="142"/>
      <c r="AD875" s="142"/>
      <c r="AE875" s="140"/>
      <c r="AF875" s="456"/>
      <c r="AG875" s="142"/>
      <c r="AH875" s="142"/>
      <c r="AI875" s="142"/>
      <c r="AJ875" s="140"/>
      <c r="AK875" s="456"/>
      <c r="AL875" s="142"/>
      <c r="AM875" s="142"/>
      <c r="AN875" s="142"/>
      <c r="AO875" s="438"/>
      <c r="AP875" s="438"/>
      <c r="AQ875" s="438"/>
      <c r="AR875" s="438"/>
      <c r="AS875" s="438"/>
      <c r="AT875" s="438"/>
      <c r="AU875" s="438"/>
      <c r="AV875" s="438"/>
      <c r="AW875" s="438"/>
      <c r="AX875" s="438"/>
      <c r="AY875" s="438"/>
      <c r="AZ875" s="438"/>
      <c r="BA875" s="438"/>
      <c r="BB875" s="438"/>
      <c r="BC875" s="438"/>
      <c r="BD875" s="438"/>
      <c r="BE875" s="438"/>
      <c r="BF875" s="438"/>
      <c r="BG875" s="438"/>
      <c r="BH875" s="438"/>
    </row>
    <row r="876">
      <c r="A876" s="140"/>
      <c r="B876" s="456"/>
      <c r="C876" s="142"/>
      <c r="D876" s="142"/>
      <c r="E876" s="142"/>
      <c r="F876" s="140"/>
      <c r="G876" s="456"/>
      <c r="H876" s="142"/>
      <c r="I876" s="142"/>
      <c r="J876" s="142"/>
      <c r="K876" s="125"/>
      <c r="L876" s="456"/>
      <c r="M876" s="142"/>
      <c r="N876" s="142"/>
      <c r="O876" s="142"/>
      <c r="P876" s="125"/>
      <c r="Q876" s="450"/>
      <c r="R876" s="142"/>
      <c r="S876" s="142"/>
      <c r="T876" s="142"/>
      <c r="U876" s="140"/>
      <c r="V876" s="456"/>
      <c r="W876" s="142"/>
      <c r="X876" s="142"/>
      <c r="Y876" s="142"/>
      <c r="Z876" s="140"/>
      <c r="AA876" s="456"/>
      <c r="AB876" s="142"/>
      <c r="AC876" s="142"/>
      <c r="AD876" s="142"/>
      <c r="AE876" s="140"/>
      <c r="AF876" s="456"/>
      <c r="AG876" s="142"/>
      <c r="AH876" s="142"/>
      <c r="AI876" s="142"/>
      <c r="AJ876" s="140"/>
      <c r="AK876" s="456"/>
      <c r="AL876" s="142"/>
      <c r="AM876" s="142"/>
      <c r="AN876" s="142"/>
      <c r="AO876" s="438"/>
      <c r="AP876" s="438"/>
      <c r="AQ876" s="438"/>
      <c r="AR876" s="438"/>
      <c r="AS876" s="438"/>
      <c r="AT876" s="438"/>
      <c r="AU876" s="438"/>
      <c r="AV876" s="438"/>
      <c r="AW876" s="438"/>
      <c r="AX876" s="438"/>
      <c r="AY876" s="438"/>
      <c r="AZ876" s="438"/>
      <c r="BA876" s="438"/>
      <c r="BB876" s="438"/>
      <c r="BC876" s="438"/>
      <c r="BD876" s="438"/>
      <c r="BE876" s="438"/>
      <c r="BF876" s="438"/>
      <c r="BG876" s="438"/>
      <c r="BH876" s="438"/>
    </row>
    <row r="877">
      <c r="A877" s="140"/>
      <c r="B877" s="456"/>
      <c r="C877" s="142"/>
      <c r="D877" s="142"/>
      <c r="E877" s="142"/>
      <c r="F877" s="140"/>
      <c r="G877" s="456"/>
      <c r="H877" s="142"/>
      <c r="I877" s="142"/>
      <c r="J877" s="142"/>
      <c r="K877" s="125"/>
      <c r="L877" s="456"/>
      <c r="M877" s="142"/>
      <c r="N877" s="142"/>
      <c r="O877" s="142"/>
      <c r="P877" s="125"/>
      <c r="Q877" s="450"/>
      <c r="R877" s="142"/>
      <c r="S877" s="142"/>
      <c r="T877" s="142"/>
      <c r="U877" s="140"/>
      <c r="V877" s="456"/>
      <c r="W877" s="142"/>
      <c r="X877" s="142"/>
      <c r="Y877" s="142"/>
      <c r="Z877" s="140"/>
      <c r="AA877" s="456"/>
      <c r="AB877" s="142"/>
      <c r="AC877" s="142"/>
      <c r="AD877" s="142"/>
      <c r="AE877" s="140"/>
      <c r="AF877" s="456"/>
      <c r="AG877" s="142"/>
      <c r="AH877" s="142"/>
      <c r="AI877" s="142"/>
      <c r="AJ877" s="140"/>
      <c r="AK877" s="456"/>
      <c r="AL877" s="142"/>
      <c r="AM877" s="142"/>
      <c r="AN877" s="142"/>
      <c r="AO877" s="438"/>
      <c r="AP877" s="438"/>
      <c r="AQ877" s="438"/>
      <c r="AR877" s="438"/>
      <c r="AS877" s="438"/>
      <c r="AT877" s="438"/>
      <c r="AU877" s="438"/>
      <c r="AV877" s="438"/>
      <c r="AW877" s="438"/>
      <c r="AX877" s="438"/>
      <c r="AY877" s="438"/>
      <c r="AZ877" s="438"/>
      <c r="BA877" s="438"/>
      <c r="BB877" s="438"/>
      <c r="BC877" s="438"/>
      <c r="BD877" s="438"/>
      <c r="BE877" s="438"/>
      <c r="BF877" s="438"/>
      <c r="BG877" s="438"/>
      <c r="BH877" s="438"/>
    </row>
    <row r="878">
      <c r="A878" s="140"/>
      <c r="B878" s="456"/>
      <c r="C878" s="142"/>
      <c r="D878" s="142"/>
      <c r="E878" s="142"/>
      <c r="F878" s="140"/>
      <c r="G878" s="456"/>
      <c r="H878" s="142"/>
      <c r="I878" s="142"/>
      <c r="J878" s="142"/>
      <c r="K878" s="125"/>
      <c r="L878" s="456"/>
      <c r="M878" s="142"/>
      <c r="N878" s="142"/>
      <c r="O878" s="142"/>
      <c r="P878" s="125"/>
      <c r="Q878" s="450"/>
      <c r="R878" s="142"/>
      <c r="S878" s="142"/>
      <c r="T878" s="142"/>
      <c r="U878" s="140"/>
      <c r="V878" s="456"/>
      <c r="W878" s="142"/>
      <c r="X878" s="142"/>
      <c r="Y878" s="142"/>
      <c r="Z878" s="140"/>
      <c r="AA878" s="456"/>
      <c r="AB878" s="142"/>
      <c r="AC878" s="142"/>
      <c r="AD878" s="142"/>
      <c r="AE878" s="140"/>
      <c r="AF878" s="456"/>
      <c r="AG878" s="142"/>
      <c r="AH878" s="142"/>
      <c r="AI878" s="142"/>
      <c r="AJ878" s="140"/>
      <c r="AK878" s="456"/>
      <c r="AL878" s="142"/>
      <c r="AM878" s="142"/>
      <c r="AN878" s="142"/>
      <c r="AO878" s="438"/>
      <c r="AP878" s="438"/>
      <c r="AQ878" s="438"/>
      <c r="AR878" s="438"/>
      <c r="AS878" s="438"/>
      <c r="AT878" s="438"/>
      <c r="AU878" s="438"/>
      <c r="AV878" s="438"/>
      <c r="AW878" s="438"/>
      <c r="AX878" s="438"/>
      <c r="AY878" s="438"/>
      <c r="AZ878" s="438"/>
      <c r="BA878" s="438"/>
      <c r="BB878" s="438"/>
      <c r="BC878" s="438"/>
      <c r="BD878" s="438"/>
      <c r="BE878" s="438"/>
      <c r="BF878" s="438"/>
      <c r="BG878" s="438"/>
      <c r="BH878" s="438"/>
    </row>
    <row r="879">
      <c r="A879" s="140"/>
      <c r="B879" s="456"/>
      <c r="C879" s="142"/>
      <c r="D879" s="142"/>
      <c r="E879" s="142"/>
      <c r="F879" s="140"/>
      <c r="G879" s="456"/>
      <c r="H879" s="142"/>
      <c r="I879" s="142"/>
      <c r="J879" s="142"/>
      <c r="K879" s="125"/>
      <c r="L879" s="456"/>
      <c r="M879" s="142"/>
      <c r="N879" s="142"/>
      <c r="O879" s="142"/>
      <c r="P879" s="125"/>
      <c r="Q879" s="450"/>
      <c r="R879" s="142"/>
      <c r="S879" s="142"/>
      <c r="T879" s="142"/>
      <c r="U879" s="140"/>
      <c r="V879" s="456"/>
      <c r="W879" s="142"/>
      <c r="X879" s="142"/>
      <c r="Y879" s="142"/>
      <c r="Z879" s="140"/>
      <c r="AA879" s="456"/>
      <c r="AB879" s="142"/>
      <c r="AC879" s="142"/>
      <c r="AD879" s="142"/>
      <c r="AE879" s="140"/>
      <c r="AF879" s="456"/>
      <c r="AG879" s="142"/>
      <c r="AH879" s="142"/>
      <c r="AI879" s="142"/>
      <c r="AJ879" s="140"/>
      <c r="AK879" s="456"/>
      <c r="AL879" s="142"/>
      <c r="AM879" s="142"/>
      <c r="AN879" s="142"/>
      <c r="AO879" s="438"/>
      <c r="AP879" s="438"/>
      <c r="AQ879" s="438"/>
      <c r="AR879" s="438"/>
      <c r="AS879" s="438"/>
      <c r="AT879" s="438"/>
      <c r="AU879" s="438"/>
      <c r="AV879" s="438"/>
      <c r="AW879" s="438"/>
      <c r="AX879" s="438"/>
      <c r="AY879" s="438"/>
      <c r="AZ879" s="438"/>
      <c r="BA879" s="438"/>
      <c r="BB879" s="438"/>
      <c r="BC879" s="438"/>
      <c r="BD879" s="438"/>
      <c r="BE879" s="438"/>
      <c r="BF879" s="438"/>
      <c r="BG879" s="438"/>
      <c r="BH879" s="438"/>
    </row>
    <row r="880">
      <c r="A880" s="140"/>
      <c r="B880" s="456"/>
      <c r="C880" s="142"/>
      <c r="D880" s="142"/>
      <c r="E880" s="142"/>
      <c r="F880" s="140"/>
      <c r="G880" s="456"/>
      <c r="H880" s="142"/>
      <c r="I880" s="142"/>
      <c r="J880" s="142"/>
      <c r="K880" s="125"/>
      <c r="L880" s="456"/>
      <c r="M880" s="142"/>
      <c r="N880" s="142"/>
      <c r="O880" s="142"/>
      <c r="P880" s="125"/>
      <c r="Q880" s="450"/>
      <c r="R880" s="142"/>
      <c r="S880" s="142"/>
      <c r="T880" s="142"/>
      <c r="U880" s="140"/>
      <c r="V880" s="456"/>
      <c r="W880" s="142"/>
      <c r="X880" s="142"/>
      <c r="Y880" s="142"/>
      <c r="Z880" s="140"/>
      <c r="AA880" s="456"/>
      <c r="AB880" s="142"/>
      <c r="AC880" s="142"/>
      <c r="AD880" s="142"/>
      <c r="AE880" s="140"/>
      <c r="AF880" s="456"/>
      <c r="AG880" s="142"/>
      <c r="AH880" s="142"/>
      <c r="AI880" s="142"/>
      <c r="AJ880" s="140"/>
      <c r="AK880" s="456"/>
      <c r="AL880" s="142"/>
      <c r="AM880" s="142"/>
      <c r="AN880" s="142"/>
      <c r="AO880" s="438"/>
      <c r="AP880" s="438"/>
      <c r="AQ880" s="438"/>
      <c r="AR880" s="438"/>
      <c r="AS880" s="438"/>
      <c r="AT880" s="438"/>
      <c r="AU880" s="438"/>
      <c r="AV880" s="438"/>
      <c r="AW880" s="438"/>
      <c r="AX880" s="438"/>
      <c r="AY880" s="438"/>
      <c r="AZ880" s="438"/>
      <c r="BA880" s="438"/>
      <c r="BB880" s="438"/>
      <c r="BC880" s="438"/>
      <c r="BD880" s="438"/>
      <c r="BE880" s="438"/>
      <c r="BF880" s="438"/>
      <c r="BG880" s="438"/>
      <c r="BH880" s="438"/>
    </row>
    <row r="881">
      <c r="A881" s="140"/>
      <c r="B881" s="456"/>
      <c r="C881" s="142"/>
      <c r="D881" s="142"/>
      <c r="E881" s="142"/>
      <c r="F881" s="140"/>
      <c r="G881" s="456"/>
      <c r="H881" s="142"/>
      <c r="I881" s="142"/>
      <c r="J881" s="142"/>
      <c r="K881" s="125"/>
      <c r="L881" s="456"/>
      <c r="M881" s="142"/>
      <c r="N881" s="142"/>
      <c r="O881" s="142"/>
      <c r="P881" s="125"/>
      <c r="Q881" s="450"/>
      <c r="R881" s="142"/>
      <c r="S881" s="142"/>
      <c r="T881" s="142"/>
      <c r="U881" s="140"/>
      <c r="V881" s="456"/>
      <c r="W881" s="142"/>
      <c r="X881" s="142"/>
      <c r="Y881" s="142"/>
      <c r="Z881" s="140"/>
      <c r="AA881" s="456"/>
      <c r="AB881" s="142"/>
      <c r="AC881" s="142"/>
      <c r="AD881" s="142"/>
      <c r="AE881" s="140"/>
      <c r="AF881" s="456"/>
      <c r="AG881" s="142"/>
      <c r="AH881" s="142"/>
      <c r="AI881" s="142"/>
      <c r="AJ881" s="140"/>
      <c r="AK881" s="456"/>
      <c r="AL881" s="142"/>
      <c r="AM881" s="142"/>
      <c r="AN881" s="142"/>
      <c r="AO881" s="438"/>
      <c r="AP881" s="438"/>
      <c r="AQ881" s="438"/>
      <c r="AR881" s="438"/>
      <c r="AS881" s="438"/>
      <c r="AT881" s="438"/>
      <c r="AU881" s="438"/>
      <c r="AV881" s="438"/>
      <c r="AW881" s="438"/>
      <c r="AX881" s="438"/>
      <c r="AY881" s="438"/>
      <c r="AZ881" s="438"/>
      <c r="BA881" s="438"/>
      <c r="BB881" s="438"/>
      <c r="BC881" s="438"/>
      <c r="BD881" s="438"/>
      <c r="BE881" s="438"/>
      <c r="BF881" s="438"/>
      <c r="BG881" s="438"/>
      <c r="BH881" s="438"/>
    </row>
    <row r="882">
      <c r="A882" s="140"/>
      <c r="B882" s="456"/>
      <c r="C882" s="142"/>
      <c r="D882" s="142"/>
      <c r="E882" s="142"/>
      <c r="F882" s="140"/>
      <c r="G882" s="456"/>
      <c r="H882" s="142"/>
      <c r="I882" s="142"/>
      <c r="J882" s="142"/>
      <c r="K882" s="125"/>
      <c r="L882" s="456"/>
      <c r="M882" s="142"/>
      <c r="N882" s="142"/>
      <c r="O882" s="142"/>
      <c r="P882" s="125"/>
      <c r="Q882" s="450"/>
      <c r="R882" s="142"/>
      <c r="S882" s="142"/>
      <c r="T882" s="142"/>
      <c r="U882" s="140"/>
      <c r="V882" s="456"/>
      <c r="W882" s="142"/>
      <c r="X882" s="142"/>
      <c r="Y882" s="142"/>
      <c r="Z882" s="140"/>
      <c r="AA882" s="456"/>
      <c r="AB882" s="142"/>
      <c r="AC882" s="142"/>
      <c r="AD882" s="142"/>
      <c r="AE882" s="140"/>
      <c r="AF882" s="456"/>
      <c r="AG882" s="142"/>
      <c r="AH882" s="142"/>
      <c r="AI882" s="142"/>
      <c r="AJ882" s="140"/>
      <c r="AK882" s="456"/>
      <c r="AL882" s="142"/>
      <c r="AM882" s="142"/>
      <c r="AN882" s="142"/>
      <c r="AO882" s="438"/>
      <c r="AP882" s="438"/>
      <c r="AQ882" s="438"/>
      <c r="AR882" s="438"/>
      <c r="AS882" s="438"/>
      <c r="AT882" s="438"/>
      <c r="AU882" s="438"/>
      <c r="AV882" s="438"/>
      <c r="AW882" s="438"/>
      <c r="AX882" s="438"/>
      <c r="AY882" s="438"/>
      <c r="AZ882" s="438"/>
      <c r="BA882" s="438"/>
      <c r="BB882" s="438"/>
      <c r="BC882" s="438"/>
      <c r="BD882" s="438"/>
      <c r="BE882" s="438"/>
      <c r="BF882" s="438"/>
      <c r="BG882" s="438"/>
      <c r="BH882" s="438"/>
    </row>
    <row r="883">
      <c r="A883" s="140"/>
      <c r="B883" s="456"/>
      <c r="C883" s="142"/>
      <c r="D883" s="142"/>
      <c r="E883" s="142"/>
      <c r="F883" s="140"/>
      <c r="G883" s="456"/>
      <c r="H883" s="142"/>
      <c r="I883" s="142"/>
      <c r="J883" s="142"/>
      <c r="K883" s="125"/>
      <c r="L883" s="456"/>
      <c r="M883" s="142"/>
      <c r="N883" s="142"/>
      <c r="O883" s="142"/>
      <c r="P883" s="125"/>
      <c r="Q883" s="450"/>
      <c r="R883" s="142"/>
      <c r="S883" s="142"/>
      <c r="T883" s="142"/>
      <c r="U883" s="140"/>
      <c r="V883" s="456"/>
      <c r="W883" s="142"/>
      <c r="X883" s="142"/>
      <c r="Y883" s="142"/>
      <c r="Z883" s="140"/>
      <c r="AA883" s="456"/>
      <c r="AB883" s="142"/>
      <c r="AC883" s="142"/>
      <c r="AD883" s="142"/>
      <c r="AE883" s="140"/>
      <c r="AF883" s="456"/>
      <c r="AG883" s="142"/>
      <c r="AH883" s="142"/>
      <c r="AI883" s="142"/>
      <c r="AJ883" s="140"/>
      <c r="AK883" s="456"/>
      <c r="AL883" s="142"/>
      <c r="AM883" s="142"/>
      <c r="AN883" s="142"/>
      <c r="AO883" s="438"/>
      <c r="AP883" s="438"/>
      <c r="AQ883" s="438"/>
      <c r="AR883" s="438"/>
      <c r="AS883" s="438"/>
      <c r="AT883" s="438"/>
      <c r="AU883" s="438"/>
      <c r="AV883" s="438"/>
      <c r="AW883" s="438"/>
      <c r="AX883" s="438"/>
      <c r="AY883" s="438"/>
      <c r="AZ883" s="438"/>
      <c r="BA883" s="438"/>
      <c r="BB883" s="438"/>
      <c r="BC883" s="438"/>
      <c r="BD883" s="438"/>
      <c r="BE883" s="438"/>
      <c r="BF883" s="438"/>
      <c r="BG883" s="438"/>
      <c r="BH883" s="438"/>
    </row>
    <row r="884">
      <c r="A884" s="140"/>
      <c r="B884" s="456"/>
      <c r="C884" s="142"/>
      <c r="D884" s="142"/>
      <c r="E884" s="142"/>
      <c r="F884" s="140"/>
      <c r="G884" s="456"/>
      <c r="H884" s="142"/>
      <c r="I884" s="142"/>
      <c r="J884" s="142"/>
      <c r="K884" s="125"/>
      <c r="L884" s="456"/>
      <c r="M884" s="142"/>
      <c r="N884" s="142"/>
      <c r="O884" s="142"/>
      <c r="P884" s="125"/>
      <c r="Q884" s="450"/>
      <c r="R884" s="142"/>
      <c r="S884" s="142"/>
      <c r="T884" s="142"/>
      <c r="U884" s="140"/>
      <c r="V884" s="456"/>
      <c r="W884" s="142"/>
      <c r="X884" s="142"/>
      <c r="Y884" s="142"/>
      <c r="Z884" s="140"/>
      <c r="AA884" s="456"/>
      <c r="AB884" s="142"/>
      <c r="AC884" s="142"/>
      <c r="AD884" s="142"/>
      <c r="AE884" s="140"/>
      <c r="AF884" s="456"/>
      <c r="AG884" s="142"/>
      <c r="AH884" s="142"/>
      <c r="AI884" s="142"/>
      <c r="AJ884" s="140"/>
      <c r="AK884" s="456"/>
      <c r="AL884" s="142"/>
      <c r="AM884" s="142"/>
      <c r="AN884" s="142"/>
      <c r="AO884" s="438"/>
      <c r="AP884" s="438"/>
      <c r="AQ884" s="438"/>
      <c r="AR884" s="438"/>
      <c r="AS884" s="438"/>
      <c r="AT884" s="438"/>
      <c r="AU884" s="438"/>
      <c r="AV884" s="438"/>
      <c r="AW884" s="438"/>
      <c r="AX884" s="438"/>
      <c r="AY884" s="438"/>
      <c r="AZ884" s="438"/>
      <c r="BA884" s="438"/>
      <c r="BB884" s="438"/>
      <c r="BC884" s="438"/>
      <c r="BD884" s="438"/>
      <c r="BE884" s="438"/>
      <c r="BF884" s="438"/>
      <c r="BG884" s="438"/>
      <c r="BH884" s="438"/>
    </row>
    <row r="885">
      <c r="A885" s="140"/>
      <c r="B885" s="456"/>
      <c r="C885" s="142"/>
      <c r="D885" s="142"/>
      <c r="E885" s="142"/>
      <c r="F885" s="140"/>
      <c r="G885" s="456"/>
      <c r="H885" s="142"/>
      <c r="I885" s="142"/>
      <c r="J885" s="142"/>
      <c r="K885" s="125"/>
      <c r="L885" s="456"/>
      <c r="M885" s="142"/>
      <c r="N885" s="142"/>
      <c r="O885" s="142"/>
      <c r="P885" s="125"/>
      <c r="Q885" s="450"/>
      <c r="R885" s="142"/>
      <c r="S885" s="142"/>
      <c r="T885" s="142"/>
      <c r="U885" s="140"/>
      <c r="V885" s="456"/>
      <c r="W885" s="142"/>
      <c r="X885" s="142"/>
      <c r="Y885" s="142"/>
      <c r="Z885" s="140"/>
      <c r="AA885" s="456"/>
      <c r="AB885" s="142"/>
      <c r="AC885" s="142"/>
      <c r="AD885" s="142"/>
      <c r="AE885" s="140"/>
      <c r="AF885" s="456"/>
      <c r="AG885" s="142"/>
      <c r="AH885" s="142"/>
      <c r="AI885" s="142"/>
      <c r="AJ885" s="140"/>
      <c r="AK885" s="456"/>
      <c r="AL885" s="142"/>
      <c r="AM885" s="142"/>
      <c r="AN885" s="142"/>
      <c r="AO885" s="438"/>
      <c r="AP885" s="438"/>
      <c r="AQ885" s="438"/>
      <c r="AR885" s="438"/>
      <c r="AS885" s="438"/>
      <c r="AT885" s="438"/>
      <c r="AU885" s="438"/>
      <c r="AV885" s="438"/>
      <c r="AW885" s="438"/>
      <c r="AX885" s="438"/>
      <c r="AY885" s="438"/>
      <c r="AZ885" s="438"/>
      <c r="BA885" s="438"/>
      <c r="BB885" s="438"/>
      <c r="BC885" s="438"/>
      <c r="BD885" s="438"/>
      <c r="BE885" s="438"/>
      <c r="BF885" s="438"/>
      <c r="BG885" s="438"/>
      <c r="BH885" s="438"/>
    </row>
    <row r="886">
      <c r="A886" s="140"/>
      <c r="B886" s="456"/>
      <c r="C886" s="142"/>
      <c r="D886" s="142"/>
      <c r="E886" s="142"/>
      <c r="F886" s="140"/>
      <c r="G886" s="456"/>
      <c r="H886" s="142"/>
      <c r="I886" s="142"/>
      <c r="J886" s="142"/>
      <c r="K886" s="125"/>
      <c r="L886" s="456"/>
      <c r="M886" s="142"/>
      <c r="N886" s="142"/>
      <c r="O886" s="142"/>
      <c r="P886" s="125"/>
      <c r="Q886" s="450"/>
      <c r="R886" s="142"/>
      <c r="S886" s="142"/>
      <c r="T886" s="142"/>
      <c r="U886" s="140"/>
      <c r="V886" s="456"/>
      <c r="W886" s="142"/>
      <c r="X886" s="142"/>
      <c r="Y886" s="142"/>
      <c r="Z886" s="140"/>
      <c r="AA886" s="456"/>
      <c r="AB886" s="142"/>
      <c r="AC886" s="142"/>
      <c r="AD886" s="142"/>
      <c r="AE886" s="140"/>
      <c r="AF886" s="456"/>
      <c r="AG886" s="142"/>
      <c r="AH886" s="142"/>
      <c r="AI886" s="142"/>
      <c r="AJ886" s="140"/>
      <c r="AK886" s="456"/>
      <c r="AL886" s="142"/>
      <c r="AM886" s="142"/>
      <c r="AN886" s="142"/>
      <c r="AO886" s="438"/>
      <c r="AP886" s="438"/>
      <c r="AQ886" s="438"/>
      <c r="AR886" s="438"/>
      <c r="AS886" s="438"/>
      <c r="AT886" s="438"/>
      <c r="AU886" s="438"/>
      <c r="AV886" s="438"/>
      <c r="AW886" s="438"/>
      <c r="AX886" s="438"/>
      <c r="AY886" s="438"/>
      <c r="AZ886" s="438"/>
      <c r="BA886" s="438"/>
      <c r="BB886" s="438"/>
      <c r="BC886" s="438"/>
      <c r="BD886" s="438"/>
      <c r="BE886" s="438"/>
      <c r="BF886" s="438"/>
      <c r="BG886" s="438"/>
      <c r="BH886" s="438"/>
    </row>
    <row r="887">
      <c r="A887" s="140"/>
      <c r="B887" s="456"/>
      <c r="C887" s="142"/>
      <c r="D887" s="142"/>
      <c r="E887" s="142"/>
      <c r="F887" s="140"/>
      <c r="G887" s="456"/>
      <c r="H887" s="142"/>
      <c r="I887" s="142"/>
      <c r="J887" s="142"/>
      <c r="K887" s="125"/>
      <c r="L887" s="456"/>
      <c r="M887" s="142"/>
      <c r="N887" s="142"/>
      <c r="O887" s="142"/>
      <c r="P887" s="125"/>
      <c r="Q887" s="450"/>
      <c r="R887" s="142"/>
      <c r="S887" s="142"/>
      <c r="T887" s="142"/>
      <c r="U887" s="140"/>
      <c r="V887" s="456"/>
      <c r="W887" s="142"/>
      <c r="X887" s="142"/>
      <c r="Y887" s="142"/>
      <c r="Z887" s="140"/>
      <c r="AA887" s="456"/>
      <c r="AB887" s="142"/>
      <c r="AC887" s="142"/>
      <c r="AD887" s="142"/>
      <c r="AE887" s="140"/>
      <c r="AF887" s="456"/>
      <c r="AG887" s="142"/>
      <c r="AH887" s="142"/>
      <c r="AI887" s="142"/>
      <c r="AJ887" s="140"/>
      <c r="AK887" s="456"/>
      <c r="AL887" s="142"/>
      <c r="AM887" s="142"/>
      <c r="AN887" s="142"/>
      <c r="AO887" s="438"/>
      <c r="AP887" s="438"/>
      <c r="AQ887" s="438"/>
      <c r="AR887" s="438"/>
      <c r="AS887" s="438"/>
      <c r="AT887" s="438"/>
      <c r="AU887" s="438"/>
      <c r="AV887" s="438"/>
      <c r="AW887" s="438"/>
      <c r="AX887" s="438"/>
      <c r="AY887" s="438"/>
      <c r="AZ887" s="438"/>
      <c r="BA887" s="438"/>
      <c r="BB887" s="438"/>
      <c r="BC887" s="438"/>
      <c r="BD887" s="438"/>
      <c r="BE887" s="438"/>
      <c r="BF887" s="438"/>
      <c r="BG887" s="438"/>
      <c r="BH887" s="438"/>
    </row>
    <row r="888">
      <c r="A888" s="140"/>
      <c r="B888" s="456"/>
      <c r="C888" s="142"/>
      <c r="D888" s="142"/>
      <c r="E888" s="142"/>
      <c r="F888" s="140"/>
      <c r="G888" s="456"/>
      <c r="H888" s="142"/>
      <c r="I888" s="142"/>
      <c r="J888" s="142"/>
      <c r="K888" s="125"/>
      <c r="L888" s="456"/>
      <c r="M888" s="142"/>
      <c r="N888" s="142"/>
      <c r="O888" s="142"/>
      <c r="P888" s="125"/>
      <c r="Q888" s="450"/>
      <c r="R888" s="142"/>
      <c r="S888" s="142"/>
      <c r="T888" s="142"/>
      <c r="U888" s="140"/>
      <c r="V888" s="456"/>
      <c r="W888" s="142"/>
      <c r="X888" s="142"/>
      <c r="Y888" s="142"/>
      <c r="Z888" s="140"/>
      <c r="AA888" s="456"/>
      <c r="AB888" s="142"/>
      <c r="AC888" s="142"/>
      <c r="AD888" s="142"/>
      <c r="AE888" s="140"/>
      <c r="AF888" s="456"/>
      <c r="AG888" s="142"/>
      <c r="AH888" s="142"/>
      <c r="AI888" s="142"/>
      <c r="AJ888" s="140"/>
      <c r="AK888" s="456"/>
      <c r="AL888" s="142"/>
      <c r="AM888" s="142"/>
      <c r="AN888" s="142"/>
      <c r="AO888" s="438"/>
      <c r="AP888" s="438"/>
      <c r="AQ888" s="438"/>
      <c r="AR888" s="438"/>
      <c r="AS888" s="438"/>
      <c r="AT888" s="438"/>
      <c r="AU888" s="438"/>
      <c r="AV888" s="438"/>
      <c r="AW888" s="438"/>
      <c r="AX888" s="438"/>
      <c r="AY888" s="438"/>
      <c r="AZ888" s="438"/>
      <c r="BA888" s="438"/>
      <c r="BB888" s="438"/>
      <c r="BC888" s="438"/>
      <c r="BD888" s="438"/>
      <c r="BE888" s="438"/>
      <c r="BF888" s="438"/>
      <c r="BG888" s="438"/>
      <c r="BH888" s="438"/>
    </row>
    <row r="889">
      <c r="A889" s="140"/>
      <c r="B889" s="456"/>
      <c r="C889" s="142"/>
      <c r="D889" s="142"/>
      <c r="E889" s="142"/>
      <c r="F889" s="140"/>
      <c r="G889" s="456"/>
      <c r="H889" s="142"/>
      <c r="I889" s="142"/>
      <c r="J889" s="142"/>
      <c r="K889" s="125"/>
      <c r="L889" s="456"/>
      <c r="M889" s="142"/>
      <c r="N889" s="142"/>
      <c r="O889" s="142"/>
      <c r="P889" s="125"/>
      <c r="Q889" s="450"/>
      <c r="R889" s="142"/>
      <c r="S889" s="142"/>
      <c r="T889" s="142"/>
      <c r="U889" s="140"/>
      <c r="V889" s="456"/>
      <c r="W889" s="142"/>
      <c r="X889" s="142"/>
      <c r="Y889" s="142"/>
      <c r="Z889" s="140"/>
      <c r="AA889" s="456"/>
      <c r="AB889" s="142"/>
      <c r="AC889" s="142"/>
      <c r="AD889" s="142"/>
      <c r="AE889" s="140"/>
      <c r="AF889" s="456"/>
      <c r="AG889" s="142"/>
      <c r="AH889" s="142"/>
      <c r="AI889" s="142"/>
      <c r="AJ889" s="140"/>
      <c r="AK889" s="456"/>
      <c r="AL889" s="142"/>
      <c r="AM889" s="142"/>
      <c r="AN889" s="142"/>
      <c r="AO889" s="438"/>
      <c r="AP889" s="438"/>
      <c r="AQ889" s="438"/>
      <c r="AR889" s="438"/>
      <c r="AS889" s="438"/>
      <c r="AT889" s="438"/>
      <c r="AU889" s="438"/>
      <c r="AV889" s="438"/>
      <c r="AW889" s="438"/>
      <c r="AX889" s="438"/>
      <c r="AY889" s="438"/>
      <c r="AZ889" s="438"/>
      <c r="BA889" s="438"/>
      <c r="BB889" s="438"/>
      <c r="BC889" s="438"/>
      <c r="BD889" s="438"/>
      <c r="BE889" s="438"/>
      <c r="BF889" s="438"/>
      <c r="BG889" s="438"/>
      <c r="BH889" s="438"/>
    </row>
    <row r="890">
      <c r="A890" s="140"/>
      <c r="B890" s="456"/>
      <c r="C890" s="142"/>
      <c r="D890" s="142"/>
      <c r="E890" s="142"/>
      <c r="F890" s="140"/>
      <c r="G890" s="456"/>
      <c r="H890" s="142"/>
      <c r="I890" s="142"/>
      <c r="J890" s="142"/>
      <c r="K890" s="125"/>
      <c r="L890" s="456"/>
      <c r="M890" s="142"/>
      <c r="N890" s="142"/>
      <c r="O890" s="142"/>
      <c r="P890" s="125"/>
      <c r="Q890" s="450"/>
      <c r="R890" s="142"/>
      <c r="S890" s="142"/>
      <c r="T890" s="142"/>
      <c r="U890" s="140"/>
      <c r="V890" s="456"/>
      <c r="W890" s="142"/>
      <c r="X890" s="142"/>
      <c r="Y890" s="142"/>
      <c r="Z890" s="140"/>
      <c r="AA890" s="456"/>
      <c r="AB890" s="142"/>
      <c r="AC890" s="142"/>
      <c r="AD890" s="142"/>
      <c r="AE890" s="140"/>
      <c r="AF890" s="456"/>
      <c r="AG890" s="142"/>
      <c r="AH890" s="142"/>
      <c r="AI890" s="142"/>
      <c r="AJ890" s="140"/>
      <c r="AK890" s="456"/>
      <c r="AL890" s="142"/>
      <c r="AM890" s="142"/>
      <c r="AN890" s="142"/>
      <c r="AO890" s="438"/>
      <c r="AP890" s="438"/>
      <c r="AQ890" s="438"/>
      <c r="AR890" s="438"/>
      <c r="AS890" s="438"/>
      <c r="AT890" s="438"/>
      <c r="AU890" s="438"/>
      <c r="AV890" s="438"/>
      <c r="AW890" s="438"/>
      <c r="AX890" s="438"/>
      <c r="AY890" s="438"/>
      <c r="AZ890" s="438"/>
      <c r="BA890" s="438"/>
      <c r="BB890" s="438"/>
      <c r="BC890" s="438"/>
      <c r="BD890" s="438"/>
      <c r="BE890" s="438"/>
      <c r="BF890" s="438"/>
      <c r="BG890" s="438"/>
      <c r="BH890" s="438"/>
    </row>
    <row r="891">
      <c r="A891" s="140"/>
      <c r="B891" s="456"/>
      <c r="C891" s="142"/>
      <c r="D891" s="142"/>
      <c r="E891" s="142"/>
      <c r="F891" s="140"/>
      <c r="G891" s="456"/>
      <c r="H891" s="142"/>
      <c r="I891" s="142"/>
      <c r="J891" s="142"/>
      <c r="K891" s="125"/>
      <c r="L891" s="456"/>
      <c r="M891" s="142"/>
      <c r="N891" s="142"/>
      <c r="O891" s="142"/>
      <c r="P891" s="125"/>
      <c r="Q891" s="450"/>
      <c r="R891" s="142"/>
      <c r="S891" s="142"/>
      <c r="T891" s="142"/>
      <c r="U891" s="140"/>
      <c r="V891" s="456"/>
      <c r="W891" s="142"/>
      <c r="X891" s="142"/>
      <c r="Y891" s="142"/>
      <c r="Z891" s="140"/>
      <c r="AA891" s="456"/>
      <c r="AB891" s="142"/>
      <c r="AC891" s="142"/>
      <c r="AD891" s="142"/>
      <c r="AE891" s="140"/>
      <c r="AF891" s="456"/>
      <c r="AG891" s="142"/>
      <c r="AH891" s="142"/>
      <c r="AI891" s="142"/>
      <c r="AJ891" s="140"/>
      <c r="AK891" s="456"/>
      <c r="AL891" s="142"/>
      <c r="AM891" s="142"/>
      <c r="AN891" s="142"/>
      <c r="AO891" s="438"/>
      <c r="AP891" s="438"/>
      <c r="AQ891" s="438"/>
      <c r="AR891" s="438"/>
      <c r="AS891" s="438"/>
      <c r="AT891" s="438"/>
      <c r="AU891" s="438"/>
      <c r="AV891" s="438"/>
      <c r="AW891" s="438"/>
      <c r="AX891" s="438"/>
      <c r="AY891" s="438"/>
      <c r="AZ891" s="438"/>
      <c r="BA891" s="438"/>
      <c r="BB891" s="438"/>
      <c r="BC891" s="438"/>
      <c r="BD891" s="438"/>
      <c r="BE891" s="438"/>
      <c r="BF891" s="438"/>
      <c r="BG891" s="438"/>
      <c r="BH891" s="438"/>
    </row>
    <row r="892">
      <c r="A892" s="140"/>
      <c r="B892" s="456"/>
      <c r="C892" s="142"/>
      <c r="D892" s="142"/>
      <c r="E892" s="142"/>
      <c r="F892" s="140"/>
      <c r="G892" s="456"/>
      <c r="H892" s="142"/>
      <c r="I892" s="142"/>
      <c r="J892" s="142"/>
      <c r="K892" s="125"/>
      <c r="L892" s="456"/>
      <c r="M892" s="142"/>
      <c r="N892" s="142"/>
      <c r="O892" s="142"/>
      <c r="P892" s="125"/>
      <c r="Q892" s="450"/>
      <c r="R892" s="142"/>
      <c r="S892" s="142"/>
      <c r="T892" s="142"/>
      <c r="U892" s="140"/>
      <c r="V892" s="456"/>
      <c r="W892" s="142"/>
      <c r="X892" s="142"/>
      <c r="Y892" s="142"/>
      <c r="Z892" s="140"/>
      <c r="AA892" s="456"/>
      <c r="AB892" s="142"/>
      <c r="AC892" s="142"/>
      <c r="AD892" s="142"/>
      <c r="AE892" s="140"/>
      <c r="AF892" s="456"/>
      <c r="AG892" s="142"/>
      <c r="AH892" s="142"/>
      <c r="AI892" s="142"/>
      <c r="AJ892" s="140"/>
      <c r="AK892" s="456"/>
      <c r="AL892" s="142"/>
      <c r="AM892" s="142"/>
      <c r="AN892" s="142"/>
      <c r="AO892" s="438"/>
      <c r="AP892" s="438"/>
      <c r="AQ892" s="438"/>
      <c r="AR892" s="438"/>
      <c r="AS892" s="438"/>
      <c r="AT892" s="438"/>
      <c r="AU892" s="438"/>
      <c r="AV892" s="438"/>
      <c r="AW892" s="438"/>
      <c r="AX892" s="438"/>
      <c r="AY892" s="438"/>
      <c r="AZ892" s="438"/>
      <c r="BA892" s="438"/>
      <c r="BB892" s="438"/>
      <c r="BC892" s="438"/>
      <c r="BD892" s="438"/>
      <c r="BE892" s="438"/>
      <c r="BF892" s="438"/>
      <c r="BG892" s="438"/>
      <c r="BH892" s="438"/>
    </row>
    <row r="893">
      <c r="A893" s="140"/>
      <c r="B893" s="456"/>
      <c r="C893" s="142"/>
      <c r="D893" s="142"/>
      <c r="E893" s="142"/>
      <c r="F893" s="140"/>
      <c r="G893" s="456"/>
      <c r="H893" s="142"/>
      <c r="I893" s="142"/>
      <c r="J893" s="142"/>
      <c r="K893" s="125"/>
      <c r="L893" s="456"/>
      <c r="M893" s="142"/>
      <c r="N893" s="142"/>
      <c r="O893" s="142"/>
      <c r="P893" s="125"/>
      <c r="Q893" s="450"/>
      <c r="R893" s="142"/>
      <c r="S893" s="142"/>
      <c r="T893" s="142"/>
      <c r="U893" s="140"/>
      <c r="V893" s="456"/>
      <c r="W893" s="142"/>
      <c r="X893" s="142"/>
      <c r="Y893" s="142"/>
      <c r="Z893" s="140"/>
      <c r="AA893" s="456"/>
      <c r="AB893" s="142"/>
      <c r="AC893" s="142"/>
      <c r="AD893" s="142"/>
      <c r="AE893" s="140"/>
      <c r="AF893" s="456"/>
      <c r="AG893" s="142"/>
      <c r="AH893" s="142"/>
      <c r="AI893" s="142"/>
      <c r="AJ893" s="140"/>
      <c r="AK893" s="456"/>
      <c r="AL893" s="142"/>
      <c r="AM893" s="142"/>
      <c r="AN893" s="142"/>
      <c r="AO893" s="438"/>
      <c r="AP893" s="438"/>
      <c r="AQ893" s="438"/>
      <c r="AR893" s="438"/>
      <c r="AS893" s="438"/>
      <c r="AT893" s="438"/>
      <c r="AU893" s="438"/>
      <c r="AV893" s="438"/>
      <c r="AW893" s="438"/>
      <c r="AX893" s="438"/>
      <c r="AY893" s="438"/>
      <c r="AZ893" s="438"/>
      <c r="BA893" s="438"/>
      <c r="BB893" s="438"/>
      <c r="BC893" s="438"/>
      <c r="BD893" s="438"/>
      <c r="BE893" s="438"/>
      <c r="BF893" s="438"/>
      <c r="BG893" s="438"/>
      <c r="BH893" s="438"/>
    </row>
    <row r="894">
      <c r="A894" s="140"/>
      <c r="B894" s="456"/>
      <c r="C894" s="142"/>
      <c r="D894" s="142"/>
      <c r="E894" s="142"/>
      <c r="F894" s="140"/>
      <c r="G894" s="456"/>
      <c r="H894" s="142"/>
      <c r="I894" s="142"/>
      <c r="J894" s="142"/>
      <c r="K894" s="125"/>
      <c r="L894" s="456"/>
      <c r="M894" s="142"/>
      <c r="N894" s="142"/>
      <c r="O894" s="142"/>
      <c r="P894" s="125"/>
      <c r="Q894" s="450"/>
      <c r="R894" s="142"/>
      <c r="S894" s="142"/>
      <c r="T894" s="142"/>
      <c r="U894" s="140"/>
      <c r="V894" s="456"/>
      <c r="W894" s="142"/>
      <c r="X894" s="142"/>
      <c r="Y894" s="142"/>
      <c r="Z894" s="140"/>
      <c r="AA894" s="456"/>
      <c r="AB894" s="142"/>
      <c r="AC894" s="142"/>
      <c r="AD894" s="142"/>
      <c r="AE894" s="140"/>
      <c r="AF894" s="456"/>
      <c r="AG894" s="142"/>
      <c r="AH894" s="142"/>
      <c r="AI894" s="142"/>
      <c r="AJ894" s="140"/>
      <c r="AK894" s="456"/>
      <c r="AL894" s="142"/>
      <c r="AM894" s="142"/>
      <c r="AN894" s="142"/>
      <c r="AO894" s="438"/>
      <c r="AP894" s="438"/>
      <c r="AQ894" s="438"/>
      <c r="AR894" s="438"/>
      <c r="AS894" s="438"/>
      <c r="AT894" s="438"/>
      <c r="AU894" s="438"/>
      <c r="AV894" s="438"/>
      <c r="AW894" s="438"/>
      <c r="AX894" s="438"/>
      <c r="AY894" s="438"/>
      <c r="AZ894" s="438"/>
      <c r="BA894" s="438"/>
      <c r="BB894" s="438"/>
      <c r="BC894" s="438"/>
      <c r="BD894" s="438"/>
      <c r="BE894" s="438"/>
      <c r="BF894" s="438"/>
      <c r="BG894" s="438"/>
      <c r="BH894" s="438"/>
    </row>
    <row r="895">
      <c r="A895" s="140"/>
      <c r="B895" s="456"/>
      <c r="C895" s="142"/>
      <c r="D895" s="142"/>
      <c r="E895" s="142"/>
      <c r="F895" s="140"/>
      <c r="G895" s="456"/>
      <c r="H895" s="142"/>
      <c r="I895" s="142"/>
      <c r="J895" s="142"/>
      <c r="K895" s="125"/>
      <c r="L895" s="456"/>
      <c r="M895" s="142"/>
      <c r="N895" s="142"/>
      <c r="O895" s="142"/>
      <c r="P895" s="125"/>
      <c r="Q895" s="450"/>
      <c r="R895" s="142"/>
      <c r="S895" s="142"/>
      <c r="T895" s="142"/>
      <c r="U895" s="140"/>
      <c r="V895" s="456"/>
      <c r="W895" s="142"/>
      <c r="X895" s="142"/>
      <c r="Y895" s="142"/>
      <c r="Z895" s="140"/>
      <c r="AA895" s="456"/>
      <c r="AB895" s="142"/>
      <c r="AC895" s="142"/>
      <c r="AD895" s="142"/>
      <c r="AE895" s="140"/>
      <c r="AF895" s="456"/>
      <c r="AG895" s="142"/>
      <c r="AH895" s="142"/>
      <c r="AI895" s="142"/>
      <c r="AJ895" s="140"/>
      <c r="AK895" s="456"/>
      <c r="AL895" s="142"/>
      <c r="AM895" s="142"/>
      <c r="AN895" s="142"/>
      <c r="AO895" s="438"/>
      <c r="AP895" s="438"/>
      <c r="AQ895" s="438"/>
      <c r="AR895" s="438"/>
      <c r="AS895" s="438"/>
      <c r="AT895" s="438"/>
      <c r="AU895" s="438"/>
      <c r="AV895" s="438"/>
      <c r="AW895" s="438"/>
      <c r="AX895" s="438"/>
      <c r="AY895" s="438"/>
      <c r="AZ895" s="438"/>
      <c r="BA895" s="438"/>
      <c r="BB895" s="438"/>
      <c r="BC895" s="438"/>
      <c r="BD895" s="438"/>
      <c r="BE895" s="438"/>
      <c r="BF895" s="438"/>
      <c r="BG895" s="438"/>
      <c r="BH895" s="438"/>
    </row>
    <row r="896">
      <c r="A896" s="140"/>
      <c r="B896" s="456"/>
      <c r="C896" s="142"/>
      <c r="D896" s="142"/>
      <c r="E896" s="142"/>
      <c r="F896" s="140"/>
      <c r="G896" s="456"/>
      <c r="H896" s="142"/>
      <c r="I896" s="142"/>
      <c r="J896" s="142"/>
      <c r="K896" s="125"/>
      <c r="L896" s="456"/>
      <c r="M896" s="142"/>
      <c r="N896" s="142"/>
      <c r="O896" s="142"/>
      <c r="P896" s="125"/>
      <c r="Q896" s="450"/>
      <c r="R896" s="142"/>
      <c r="S896" s="142"/>
      <c r="T896" s="142"/>
      <c r="U896" s="140"/>
      <c r="V896" s="456"/>
      <c r="W896" s="142"/>
      <c r="X896" s="142"/>
      <c r="Y896" s="142"/>
      <c r="Z896" s="140"/>
      <c r="AA896" s="456"/>
      <c r="AB896" s="142"/>
      <c r="AC896" s="142"/>
      <c r="AD896" s="142"/>
      <c r="AE896" s="140"/>
      <c r="AF896" s="456"/>
      <c r="AG896" s="142"/>
      <c r="AH896" s="142"/>
      <c r="AI896" s="142"/>
      <c r="AJ896" s="140"/>
      <c r="AK896" s="456"/>
      <c r="AL896" s="142"/>
      <c r="AM896" s="142"/>
      <c r="AN896" s="142"/>
      <c r="AO896" s="438"/>
      <c r="AP896" s="438"/>
      <c r="AQ896" s="438"/>
      <c r="AR896" s="438"/>
      <c r="AS896" s="438"/>
      <c r="AT896" s="438"/>
      <c r="AU896" s="438"/>
      <c r="AV896" s="438"/>
      <c r="AW896" s="438"/>
      <c r="AX896" s="438"/>
      <c r="AY896" s="438"/>
      <c r="AZ896" s="438"/>
      <c r="BA896" s="438"/>
      <c r="BB896" s="438"/>
      <c r="BC896" s="438"/>
      <c r="BD896" s="438"/>
      <c r="BE896" s="438"/>
      <c r="BF896" s="438"/>
      <c r="BG896" s="438"/>
      <c r="BH896" s="438"/>
    </row>
    <row r="897">
      <c r="A897" s="140"/>
      <c r="B897" s="456"/>
      <c r="C897" s="142"/>
      <c r="D897" s="142"/>
      <c r="E897" s="142"/>
      <c r="F897" s="140"/>
      <c r="G897" s="456"/>
      <c r="H897" s="142"/>
      <c r="I897" s="142"/>
      <c r="J897" s="142"/>
      <c r="K897" s="125"/>
      <c r="L897" s="456"/>
      <c r="M897" s="142"/>
      <c r="N897" s="142"/>
      <c r="O897" s="142"/>
      <c r="P897" s="125"/>
      <c r="Q897" s="450"/>
      <c r="R897" s="142"/>
      <c r="S897" s="142"/>
      <c r="T897" s="142"/>
      <c r="U897" s="140"/>
      <c r="V897" s="456"/>
      <c r="W897" s="142"/>
      <c r="X897" s="142"/>
      <c r="Y897" s="142"/>
      <c r="Z897" s="140"/>
      <c r="AA897" s="456"/>
      <c r="AB897" s="142"/>
      <c r="AC897" s="142"/>
      <c r="AD897" s="142"/>
      <c r="AE897" s="140"/>
      <c r="AF897" s="456"/>
      <c r="AG897" s="142"/>
      <c r="AH897" s="142"/>
      <c r="AI897" s="142"/>
      <c r="AJ897" s="140"/>
      <c r="AK897" s="456"/>
      <c r="AL897" s="142"/>
      <c r="AM897" s="142"/>
      <c r="AN897" s="142"/>
      <c r="AO897" s="438"/>
      <c r="AP897" s="438"/>
      <c r="AQ897" s="438"/>
      <c r="AR897" s="438"/>
      <c r="AS897" s="438"/>
      <c r="AT897" s="438"/>
      <c r="AU897" s="438"/>
      <c r="AV897" s="438"/>
      <c r="AW897" s="438"/>
      <c r="AX897" s="438"/>
      <c r="AY897" s="438"/>
      <c r="AZ897" s="438"/>
      <c r="BA897" s="438"/>
      <c r="BB897" s="438"/>
      <c r="BC897" s="438"/>
      <c r="BD897" s="438"/>
      <c r="BE897" s="438"/>
      <c r="BF897" s="438"/>
      <c r="BG897" s="438"/>
      <c r="BH897" s="438"/>
    </row>
    <row r="898">
      <c r="A898" s="140"/>
      <c r="B898" s="456"/>
      <c r="C898" s="142"/>
      <c r="D898" s="142"/>
      <c r="E898" s="142"/>
      <c r="F898" s="140"/>
      <c r="G898" s="456"/>
      <c r="H898" s="142"/>
      <c r="I898" s="142"/>
      <c r="J898" s="142"/>
      <c r="K898" s="125"/>
      <c r="L898" s="456"/>
      <c r="M898" s="142"/>
      <c r="N898" s="142"/>
      <c r="O898" s="142"/>
      <c r="P898" s="125"/>
      <c r="Q898" s="450"/>
      <c r="R898" s="142"/>
      <c r="S898" s="142"/>
      <c r="T898" s="142"/>
      <c r="U898" s="140"/>
      <c r="V898" s="456"/>
      <c r="W898" s="142"/>
      <c r="X898" s="142"/>
      <c r="Y898" s="142"/>
      <c r="Z898" s="140"/>
      <c r="AA898" s="456"/>
      <c r="AB898" s="142"/>
      <c r="AC898" s="142"/>
      <c r="AD898" s="142"/>
      <c r="AE898" s="140"/>
      <c r="AF898" s="456"/>
      <c r="AG898" s="142"/>
      <c r="AH898" s="142"/>
      <c r="AI898" s="142"/>
      <c r="AJ898" s="140"/>
      <c r="AK898" s="456"/>
      <c r="AL898" s="142"/>
      <c r="AM898" s="142"/>
      <c r="AN898" s="142"/>
      <c r="AO898" s="438"/>
      <c r="AP898" s="438"/>
      <c r="AQ898" s="438"/>
      <c r="AR898" s="438"/>
      <c r="AS898" s="438"/>
      <c r="AT898" s="438"/>
      <c r="AU898" s="438"/>
      <c r="AV898" s="438"/>
      <c r="AW898" s="438"/>
      <c r="AX898" s="438"/>
      <c r="AY898" s="438"/>
      <c r="AZ898" s="438"/>
      <c r="BA898" s="438"/>
      <c r="BB898" s="438"/>
      <c r="BC898" s="438"/>
      <c r="BD898" s="438"/>
      <c r="BE898" s="438"/>
      <c r="BF898" s="438"/>
      <c r="BG898" s="438"/>
      <c r="BH898" s="438"/>
    </row>
    <row r="899">
      <c r="A899" s="140"/>
      <c r="B899" s="456"/>
      <c r="C899" s="142"/>
      <c r="D899" s="142"/>
      <c r="E899" s="142"/>
      <c r="F899" s="140"/>
      <c r="G899" s="456"/>
      <c r="H899" s="142"/>
      <c r="I899" s="142"/>
      <c r="J899" s="142"/>
      <c r="K899" s="125"/>
      <c r="L899" s="456"/>
      <c r="M899" s="142"/>
      <c r="N899" s="142"/>
      <c r="O899" s="142"/>
      <c r="P899" s="125"/>
      <c r="Q899" s="450"/>
      <c r="R899" s="142"/>
      <c r="S899" s="142"/>
      <c r="T899" s="142"/>
      <c r="U899" s="140"/>
      <c r="V899" s="456"/>
      <c r="W899" s="142"/>
      <c r="X899" s="142"/>
      <c r="Y899" s="142"/>
      <c r="Z899" s="140"/>
      <c r="AA899" s="456"/>
      <c r="AB899" s="142"/>
      <c r="AC899" s="142"/>
      <c r="AD899" s="142"/>
      <c r="AE899" s="140"/>
      <c r="AF899" s="456"/>
      <c r="AG899" s="142"/>
      <c r="AH899" s="142"/>
      <c r="AI899" s="142"/>
      <c r="AJ899" s="140"/>
      <c r="AK899" s="456"/>
      <c r="AL899" s="142"/>
      <c r="AM899" s="142"/>
      <c r="AN899" s="142"/>
      <c r="AO899" s="438"/>
      <c r="AP899" s="438"/>
      <c r="AQ899" s="438"/>
      <c r="AR899" s="438"/>
      <c r="AS899" s="438"/>
      <c r="AT899" s="438"/>
      <c r="AU899" s="438"/>
      <c r="AV899" s="438"/>
      <c r="AW899" s="438"/>
      <c r="AX899" s="438"/>
      <c r="AY899" s="438"/>
      <c r="AZ899" s="438"/>
      <c r="BA899" s="438"/>
      <c r="BB899" s="438"/>
      <c r="BC899" s="438"/>
      <c r="BD899" s="438"/>
      <c r="BE899" s="438"/>
      <c r="BF899" s="438"/>
      <c r="BG899" s="438"/>
      <c r="BH899" s="438"/>
    </row>
    <row r="900">
      <c r="A900" s="140"/>
      <c r="B900" s="456"/>
      <c r="C900" s="142"/>
      <c r="D900" s="142"/>
      <c r="E900" s="142"/>
      <c r="F900" s="140"/>
      <c r="G900" s="456"/>
      <c r="H900" s="142"/>
      <c r="I900" s="142"/>
      <c r="J900" s="142"/>
      <c r="K900" s="125"/>
      <c r="L900" s="456"/>
      <c r="M900" s="142"/>
      <c r="N900" s="142"/>
      <c r="O900" s="142"/>
      <c r="P900" s="125"/>
      <c r="Q900" s="450"/>
      <c r="R900" s="142"/>
      <c r="S900" s="142"/>
      <c r="T900" s="142"/>
      <c r="U900" s="140"/>
      <c r="V900" s="456"/>
      <c r="W900" s="142"/>
      <c r="X900" s="142"/>
      <c r="Y900" s="142"/>
      <c r="Z900" s="140"/>
      <c r="AA900" s="456"/>
      <c r="AB900" s="142"/>
      <c r="AC900" s="142"/>
      <c r="AD900" s="142"/>
      <c r="AE900" s="140"/>
      <c r="AF900" s="456"/>
      <c r="AG900" s="142"/>
      <c r="AH900" s="142"/>
      <c r="AI900" s="142"/>
      <c r="AJ900" s="140"/>
      <c r="AK900" s="456"/>
      <c r="AL900" s="142"/>
      <c r="AM900" s="142"/>
      <c r="AN900" s="142"/>
      <c r="AO900" s="438"/>
      <c r="AP900" s="438"/>
      <c r="AQ900" s="438"/>
      <c r="AR900" s="438"/>
      <c r="AS900" s="438"/>
      <c r="AT900" s="438"/>
      <c r="AU900" s="438"/>
      <c r="AV900" s="438"/>
      <c r="AW900" s="438"/>
      <c r="AX900" s="438"/>
      <c r="AY900" s="438"/>
      <c r="AZ900" s="438"/>
      <c r="BA900" s="438"/>
      <c r="BB900" s="438"/>
      <c r="BC900" s="438"/>
      <c r="BD900" s="438"/>
      <c r="BE900" s="438"/>
      <c r="BF900" s="438"/>
      <c r="BG900" s="438"/>
      <c r="BH900" s="438"/>
    </row>
    <row r="901">
      <c r="A901" s="140"/>
      <c r="B901" s="456"/>
      <c r="C901" s="142"/>
      <c r="D901" s="142"/>
      <c r="E901" s="142"/>
      <c r="F901" s="140"/>
      <c r="G901" s="456"/>
      <c r="H901" s="142"/>
      <c r="I901" s="142"/>
      <c r="J901" s="142"/>
      <c r="K901" s="125"/>
      <c r="L901" s="456"/>
      <c r="M901" s="142"/>
      <c r="N901" s="142"/>
      <c r="O901" s="142"/>
      <c r="P901" s="125"/>
      <c r="Q901" s="450"/>
      <c r="R901" s="142"/>
      <c r="S901" s="142"/>
      <c r="T901" s="142"/>
      <c r="U901" s="140"/>
      <c r="V901" s="456"/>
      <c r="W901" s="142"/>
      <c r="X901" s="142"/>
      <c r="Y901" s="142"/>
      <c r="Z901" s="140"/>
      <c r="AA901" s="456"/>
      <c r="AB901" s="142"/>
      <c r="AC901" s="142"/>
      <c r="AD901" s="142"/>
      <c r="AE901" s="140"/>
      <c r="AF901" s="456"/>
      <c r="AG901" s="142"/>
      <c r="AH901" s="142"/>
      <c r="AI901" s="142"/>
      <c r="AJ901" s="140"/>
      <c r="AK901" s="456"/>
      <c r="AL901" s="142"/>
      <c r="AM901" s="142"/>
      <c r="AN901" s="142"/>
      <c r="AO901" s="438"/>
      <c r="AP901" s="438"/>
      <c r="AQ901" s="438"/>
      <c r="AR901" s="438"/>
      <c r="AS901" s="438"/>
      <c r="AT901" s="438"/>
      <c r="AU901" s="438"/>
      <c r="AV901" s="438"/>
      <c r="AW901" s="438"/>
      <c r="AX901" s="438"/>
      <c r="AY901" s="438"/>
      <c r="AZ901" s="438"/>
      <c r="BA901" s="438"/>
      <c r="BB901" s="438"/>
      <c r="BC901" s="438"/>
      <c r="BD901" s="438"/>
      <c r="BE901" s="438"/>
      <c r="BF901" s="438"/>
      <c r="BG901" s="438"/>
      <c r="BH901" s="438"/>
    </row>
    <row r="902">
      <c r="A902" s="140"/>
      <c r="B902" s="456"/>
      <c r="C902" s="142"/>
      <c r="D902" s="142"/>
      <c r="E902" s="142"/>
      <c r="F902" s="140"/>
      <c r="G902" s="456"/>
      <c r="H902" s="142"/>
      <c r="I902" s="142"/>
      <c r="J902" s="142"/>
      <c r="K902" s="125"/>
      <c r="L902" s="456"/>
      <c r="M902" s="142"/>
      <c r="N902" s="142"/>
      <c r="O902" s="142"/>
      <c r="P902" s="125"/>
      <c r="Q902" s="450"/>
      <c r="R902" s="142"/>
      <c r="S902" s="142"/>
      <c r="T902" s="142"/>
      <c r="U902" s="140"/>
      <c r="V902" s="456"/>
      <c r="W902" s="142"/>
      <c r="X902" s="142"/>
      <c r="Y902" s="142"/>
      <c r="Z902" s="140"/>
      <c r="AA902" s="456"/>
      <c r="AB902" s="142"/>
      <c r="AC902" s="142"/>
      <c r="AD902" s="142"/>
      <c r="AE902" s="140"/>
      <c r="AF902" s="456"/>
      <c r="AG902" s="142"/>
      <c r="AH902" s="142"/>
      <c r="AI902" s="142"/>
      <c r="AJ902" s="140"/>
      <c r="AK902" s="456"/>
      <c r="AL902" s="142"/>
      <c r="AM902" s="142"/>
      <c r="AN902" s="142"/>
      <c r="AO902" s="438"/>
      <c r="AP902" s="438"/>
      <c r="AQ902" s="438"/>
      <c r="AR902" s="438"/>
      <c r="AS902" s="438"/>
      <c r="AT902" s="438"/>
      <c r="AU902" s="438"/>
      <c r="AV902" s="438"/>
      <c r="AW902" s="438"/>
      <c r="AX902" s="438"/>
      <c r="AY902" s="438"/>
      <c r="AZ902" s="438"/>
      <c r="BA902" s="438"/>
      <c r="BB902" s="438"/>
      <c r="BC902" s="438"/>
      <c r="BD902" s="438"/>
      <c r="BE902" s="438"/>
      <c r="BF902" s="438"/>
      <c r="BG902" s="438"/>
      <c r="BH902" s="438"/>
    </row>
    <row r="903">
      <c r="A903" s="140"/>
      <c r="B903" s="456"/>
      <c r="C903" s="142"/>
      <c r="D903" s="142"/>
      <c r="E903" s="142"/>
      <c r="F903" s="140"/>
      <c r="G903" s="456"/>
      <c r="H903" s="142"/>
      <c r="I903" s="142"/>
      <c r="J903" s="142"/>
      <c r="K903" s="125"/>
      <c r="L903" s="456"/>
      <c r="M903" s="142"/>
      <c r="N903" s="142"/>
      <c r="O903" s="142"/>
      <c r="P903" s="125"/>
      <c r="Q903" s="450"/>
      <c r="R903" s="142"/>
      <c r="S903" s="142"/>
      <c r="T903" s="142"/>
      <c r="U903" s="140"/>
      <c r="V903" s="456"/>
      <c r="W903" s="142"/>
      <c r="X903" s="142"/>
      <c r="Y903" s="142"/>
      <c r="Z903" s="140"/>
      <c r="AA903" s="456"/>
      <c r="AB903" s="142"/>
      <c r="AC903" s="142"/>
      <c r="AD903" s="142"/>
      <c r="AE903" s="140"/>
      <c r="AF903" s="456"/>
      <c r="AG903" s="142"/>
      <c r="AH903" s="142"/>
      <c r="AI903" s="142"/>
      <c r="AJ903" s="140"/>
      <c r="AK903" s="456"/>
      <c r="AL903" s="142"/>
      <c r="AM903" s="142"/>
      <c r="AN903" s="142"/>
      <c r="AO903" s="438"/>
      <c r="AP903" s="438"/>
      <c r="AQ903" s="438"/>
      <c r="AR903" s="438"/>
      <c r="AS903" s="438"/>
      <c r="AT903" s="438"/>
      <c r="AU903" s="438"/>
      <c r="AV903" s="438"/>
      <c r="AW903" s="438"/>
      <c r="AX903" s="438"/>
      <c r="AY903" s="438"/>
      <c r="AZ903" s="438"/>
      <c r="BA903" s="438"/>
      <c r="BB903" s="438"/>
      <c r="BC903" s="438"/>
      <c r="BD903" s="438"/>
      <c r="BE903" s="438"/>
      <c r="BF903" s="438"/>
      <c r="BG903" s="438"/>
      <c r="BH903" s="438"/>
    </row>
    <row r="904">
      <c r="A904" s="140"/>
      <c r="B904" s="456"/>
      <c r="C904" s="142"/>
      <c r="D904" s="142"/>
      <c r="E904" s="142"/>
      <c r="F904" s="140"/>
      <c r="G904" s="456"/>
      <c r="H904" s="142"/>
      <c r="I904" s="142"/>
      <c r="J904" s="142"/>
      <c r="K904" s="125"/>
      <c r="L904" s="456"/>
      <c r="M904" s="142"/>
      <c r="N904" s="142"/>
      <c r="O904" s="142"/>
      <c r="P904" s="125"/>
      <c r="Q904" s="450"/>
      <c r="R904" s="142"/>
      <c r="S904" s="142"/>
      <c r="T904" s="142"/>
      <c r="U904" s="140"/>
      <c r="V904" s="456"/>
      <c r="W904" s="142"/>
      <c r="X904" s="142"/>
      <c r="Y904" s="142"/>
      <c r="Z904" s="140"/>
      <c r="AA904" s="456"/>
      <c r="AB904" s="142"/>
      <c r="AC904" s="142"/>
      <c r="AD904" s="142"/>
      <c r="AE904" s="140"/>
      <c r="AF904" s="456"/>
      <c r="AG904" s="142"/>
      <c r="AH904" s="142"/>
      <c r="AI904" s="142"/>
      <c r="AJ904" s="140"/>
      <c r="AK904" s="456"/>
      <c r="AL904" s="142"/>
      <c r="AM904" s="142"/>
      <c r="AN904" s="142"/>
      <c r="AO904" s="438"/>
      <c r="AP904" s="438"/>
      <c r="AQ904" s="438"/>
      <c r="AR904" s="438"/>
      <c r="AS904" s="438"/>
      <c r="AT904" s="438"/>
      <c r="AU904" s="438"/>
      <c r="AV904" s="438"/>
      <c r="AW904" s="438"/>
      <c r="AX904" s="438"/>
      <c r="AY904" s="438"/>
      <c r="AZ904" s="438"/>
      <c r="BA904" s="438"/>
      <c r="BB904" s="438"/>
      <c r="BC904" s="438"/>
      <c r="BD904" s="438"/>
      <c r="BE904" s="438"/>
      <c r="BF904" s="438"/>
      <c r="BG904" s="438"/>
      <c r="BH904" s="438"/>
    </row>
    <row r="905">
      <c r="A905" s="140"/>
      <c r="B905" s="456"/>
      <c r="C905" s="142"/>
      <c r="D905" s="142"/>
      <c r="E905" s="142"/>
      <c r="F905" s="140"/>
      <c r="G905" s="456"/>
      <c r="H905" s="142"/>
      <c r="I905" s="142"/>
      <c r="J905" s="142"/>
      <c r="K905" s="125"/>
      <c r="L905" s="456"/>
      <c r="M905" s="142"/>
      <c r="N905" s="142"/>
      <c r="O905" s="142"/>
      <c r="P905" s="125"/>
      <c r="Q905" s="450"/>
      <c r="R905" s="142"/>
      <c r="S905" s="142"/>
      <c r="T905" s="142"/>
      <c r="U905" s="140"/>
      <c r="V905" s="456"/>
      <c r="W905" s="142"/>
      <c r="X905" s="142"/>
      <c r="Y905" s="142"/>
      <c r="Z905" s="140"/>
      <c r="AA905" s="456"/>
      <c r="AB905" s="142"/>
      <c r="AC905" s="142"/>
      <c r="AD905" s="142"/>
      <c r="AE905" s="140"/>
      <c r="AF905" s="456"/>
      <c r="AG905" s="142"/>
      <c r="AH905" s="142"/>
      <c r="AI905" s="142"/>
      <c r="AJ905" s="140"/>
      <c r="AK905" s="456"/>
      <c r="AL905" s="142"/>
      <c r="AM905" s="142"/>
      <c r="AN905" s="142"/>
      <c r="AO905" s="438"/>
      <c r="AP905" s="438"/>
      <c r="AQ905" s="438"/>
      <c r="AR905" s="438"/>
      <c r="AS905" s="438"/>
      <c r="AT905" s="438"/>
      <c r="AU905" s="438"/>
      <c r="AV905" s="438"/>
      <c r="AW905" s="438"/>
      <c r="AX905" s="438"/>
      <c r="AY905" s="438"/>
      <c r="AZ905" s="438"/>
      <c r="BA905" s="438"/>
      <c r="BB905" s="438"/>
      <c r="BC905" s="438"/>
      <c r="BD905" s="438"/>
      <c r="BE905" s="438"/>
      <c r="BF905" s="438"/>
      <c r="BG905" s="438"/>
      <c r="BH905" s="438"/>
    </row>
    <row r="906">
      <c r="A906" s="140"/>
      <c r="B906" s="456"/>
      <c r="C906" s="142"/>
      <c r="D906" s="142"/>
      <c r="E906" s="142"/>
      <c r="F906" s="140"/>
      <c r="G906" s="456"/>
      <c r="H906" s="142"/>
      <c r="I906" s="142"/>
      <c r="J906" s="142"/>
      <c r="K906" s="125"/>
      <c r="L906" s="456"/>
      <c r="M906" s="142"/>
      <c r="N906" s="142"/>
      <c r="O906" s="142"/>
      <c r="P906" s="125"/>
      <c r="Q906" s="450"/>
      <c r="R906" s="142"/>
      <c r="S906" s="142"/>
      <c r="T906" s="142"/>
      <c r="U906" s="140"/>
      <c r="V906" s="456"/>
      <c r="W906" s="142"/>
      <c r="X906" s="142"/>
      <c r="Y906" s="142"/>
      <c r="Z906" s="140"/>
      <c r="AA906" s="456"/>
      <c r="AB906" s="142"/>
      <c r="AC906" s="142"/>
      <c r="AD906" s="142"/>
      <c r="AE906" s="140"/>
      <c r="AF906" s="456"/>
      <c r="AG906" s="142"/>
      <c r="AH906" s="142"/>
      <c r="AI906" s="142"/>
      <c r="AJ906" s="140"/>
      <c r="AK906" s="456"/>
      <c r="AL906" s="142"/>
      <c r="AM906" s="142"/>
      <c r="AN906" s="142"/>
      <c r="AO906" s="438"/>
      <c r="AP906" s="438"/>
      <c r="AQ906" s="438"/>
      <c r="AR906" s="438"/>
      <c r="AS906" s="438"/>
      <c r="AT906" s="438"/>
      <c r="AU906" s="438"/>
      <c r="AV906" s="438"/>
      <c r="AW906" s="438"/>
      <c r="AX906" s="438"/>
      <c r="AY906" s="438"/>
      <c r="AZ906" s="438"/>
      <c r="BA906" s="438"/>
      <c r="BB906" s="438"/>
      <c r="BC906" s="438"/>
      <c r="BD906" s="438"/>
      <c r="BE906" s="438"/>
      <c r="BF906" s="438"/>
      <c r="BG906" s="438"/>
      <c r="BH906" s="438"/>
    </row>
    <row r="907">
      <c r="A907" s="140"/>
      <c r="B907" s="456"/>
      <c r="C907" s="142"/>
      <c r="D907" s="142"/>
      <c r="E907" s="142"/>
      <c r="F907" s="140"/>
      <c r="G907" s="456"/>
      <c r="H907" s="142"/>
      <c r="I907" s="142"/>
      <c r="J907" s="142"/>
      <c r="K907" s="125"/>
      <c r="L907" s="456"/>
      <c r="M907" s="142"/>
      <c r="N907" s="142"/>
      <c r="O907" s="142"/>
      <c r="P907" s="125"/>
      <c r="Q907" s="450"/>
      <c r="R907" s="142"/>
      <c r="S907" s="142"/>
      <c r="T907" s="142"/>
      <c r="U907" s="140"/>
      <c r="V907" s="456"/>
      <c r="W907" s="142"/>
      <c r="X907" s="142"/>
      <c r="Y907" s="142"/>
      <c r="Z907" s="140"/>
      <c r="AA907" s="456"/>
      <c r="AB907" s="142"/>
      <c r="AC907" s="142"/>
      <c r="AD907" s="142"/>
      <c r="AE907" s="140"/>
      <c r="AF907" s="456"/>
      <c r="AG907" s="142"/>
      <c r="AH907" s="142"/>
      <c r="AI907" s="142"/>
      <c r="AJ907" s="140"/>
      <c r="AK907" s="456"/>
      <c r="AL907" s="142"/>
      <c r="AM907" s="142"/>
      <c r="AN907" s="142"/>
      <c r="AO907" s="438"/>
      <c r="AP907" s="438"/>
      <c r="AQ907" s="438"/>
      <c r="AR907" s="438"/>
      <c r="AS907" s="438"/>
      <c r="AT907" s="438"/>
      <c r="AU907" s="438"/>
      <c r="AV907" s="438"/>
      <c r="AW907" s="438"/>
      <c r="AX907" s="438"/>
      <c r="AY907" s="438"/>
      <c r="AZ907" s="438"/>
      <c r="BA907" s="438"/>
      <c r="BB907" s="438"/>
      <c r="BC907" s="438"/>
      <c r="BD907" s="438"/>
      <c r="BE907" s="438"/>
      <c r="BF907" s="438"/>
      <c r="BG907" s="438"/>
      <c r="BH907" s="438"/>
    </row>
    <row r="908">
      <c r="A908" s="140"/>
      <c r="B908" s="456"/>
      <c r="C908" s="142"/>
      <c r="D908" s="142"/>
      <c r="E908" s="142"/>
      <c r="F908" s="140"/>
      <c r="G908" s="456"/>
      <c r="H908" s="142"/>
      <c r="I908" s="142"/>
      <c r="J908" s="142"/>
      <c r="K908" s="125"/>
      <c r="L908" s="456"/>
      <c r="M908" s="142"/>
      <c r="N908" s="142"/>
      <c r="O908" s="142"/>
      <c r="P908" s="125"/>
      <c r="Q908" s="450"/>
      <c r="R908" s="142"/>
      <c r="S908" s="142"/>
      <c r="T908" s="142"/>
      <c r="U908" s="140"/>
      <c r="V908" s="456"/>
      <c r="W908" s="142"/>
      <c r="X908" s="142"/>
      <c r="Y908" s="142"/>
      <c r="Z908" s="140"/>
      <c r="AA908" s="456"/>
      <c r="AB908" s="142"/>
      <c r="AC908" s="142"/>
      <c r="AD908" s="142"/>
      <c r="AE908" s="140"/>
      <c r="AF908" s="456"/>
      <c r="AG908" s="142"/>
      <c r="AH908" s="142"/>
      <c r="AI908" s="142"/>
      <c r="AJ908" s="140"/>
      <c r="AK908" s="456"/>
      <c r="AL908" s="142"/>
      <c r="AM908" s="142"/>
      <c r="AN908" s="142"/>
      <c r="AO908" s="438"/>
      <c r="AP908" s="438"/>
      <c r="AQ908" s="438"/>
      <c r="AR908" s="438"/>
      <c r="AS908" s="438"/>
      <c r="AT908" s="438"/>
      <c r="AU908" s="438"/>
      <c r="AV908" s="438"/>
      <c r="AW908" s="438"/>
      <c r="AX908" s="438"/>
      <c r="AY908" s="438"/>
      <c r="AZ908" s="438"/>
      <c r="BA908" s="438"/>
      <c r="BB908" s="438"/>
      <c r="BC908" s="438"/>
      <c r="BD908" s="438"/>
      <c r="BE908" s="438"/>
      <c r="BF908" s="438"/>
      <c r="BG908" s="438"/>
      <c r="BH908" s="438"/>
    </row>
    <row r="909">
      <c r="A909" s="140"/>
      <c r="B909" s="456"/>
      <c r="C909" s="142"/>
      <c r="D909" s="142"/>
      <c r="E909" s="142"/>
      <c r="F909" s="140"/>
      <c r="G909" s="456"/>
      <c r="H909" s="142"/>
      <c r="I909" s="142"/>
      <c r="J909" s="142"/>
      <c r="K909" s="125"/>
      <c r="L909" s="456"/>
      <c r="M909" s="142"/>
      <c r="N909" s="142"/>
      <c r="O909" s="142"/>
      <c r="P909" s="125"/>
      <c r="Q909" s="450"/>
      <c r="R909" s="142"/>
      <c r="S909" s="142"/>
      <c r="T909" s="142"/>
      <c r="U909" s="140"/>
      <c r="V909" s="456"/>
      <c r="W909" s="142"/>
      <c r="X909" s="142"/>
      <c r="Y909" s="142"/>
      <c r="Z909" s="140"/>
      <c r="AA909" s="456"/>
      <c r="AB909" s="142"/>
      <c r="AC909" s="142"/>
      <c r="AD909" s="142"/>
      <c r="AE909" s="140"/>
      <c r="AF909" s="456"/>
      <c r="AG909" s="142"/>
      <c r="AH909" s="142"/>
      <c r="AI909" s="142"/>
      <c r="AJ909" s="140"/>
      <c r="AK909" s="456"/>
      <c r="AL909" s="142"/>
      <c r="AM909" s="142"/>
      <c r="AN909" s="142"/>
      <c r="AO909" s="438"/>
      <c r="AP909" s="438"/>
      <c r="AQ909" s="438"/>
      <c r="AR909" s="438"/>
      <c r="AS909" s="438"/>
      <c r="AT909" s="438"/>
      <c r="AU909" s="438"/>
      <c r="AV909" s="438"/>
      <c r="AW909" s="438"/>
      <c r="AX909" s="438"/>
      <c r="AY909" s="438"/>
      <c r="AZ909" s="438"/>
      <c r="BA909" s="438"/>
      <c r="BB909" s="438"/>
      <c r="BC909" s="438"/>
      <c r="BD909" s="438"/>
      <c r="BE909" s="438"/>
      <c r="BF909" s="438"/>
      <c r="BG909" s="438"/>
      <c r="BH909" s="438"/>
    </row>
    <row r="910">
      <c r="A910" s="140"/>
      <c r="B910" s="456"/>
      <c r="C910" s="142"/>
      <c r="D910" s="142"/>
      <c r="E910" s="142"/>
      <c r="F910" s="140"/>
      <c r="G910" s="456"/>
      <c r="H910" s="142"/>
      <c r="I910" s="142"/>
      <c r="J910" s="142"/>
      <c r="K910" s="125"/>
      <c r="L910" s="456"/>
      <c r="M910" s="142"/>
      <c r="N910" s="142"/>
      <c r="O910" s="142"/>
      <c r="P910" s="125"/>
      <c r="Q910" s="450"/>
      <c r="R910" s="142"/>
      <c r="S910" s="142"/>
      <c r="T910" s="142"/>
      <c r="U910" s="140"/>
      <c r="V910" s="456"/>
      <c r="W910" s="142"/>
      <c r="X910" s="142"/>
      <c r="Y910" s="142"/>
      <c r="Z910" s="140"/>
      <c r="AA910" s="456"/>
      <c r="AB910" s="142"/>
      <c r="AC910" s="142"/>
      <c r="AD910" s="142"/>
      <c r="AE910" s="140"/>
      <c r="AF910" s="456"/>
      <c r="AG910" s="142"/>
      <c r="AH910" s="142"/>
      <c r="AI910" s="142"/>
      <c r="AJ910" s="140"/>
      <c r="AK910" s="456"/>
      <c r="AL910" s="142"/>
      <c r="AM910" s="142"/>
      <c r="AN910" s="142"/>
      <c r="AO910" s="438"/>
      <c r="AP910" s="438"/>
      <c r="AQ910" s="438"/>
      <c r="AR910" s="438"/>
      <c r="AS910" s="438"/>
      <c r="AT910" s="438"/>
      <c r="AU910" s="438"/>
      <c r="AV910" s="438"/>
      <c r="AW910" s="438"/>
      <c r="AX910" s="438"/>
      <c r="AY910" s="438"/>
      <c r="AZ910" s="438"/>
      <c r="BA910" s="438"/>
      <c r="BB910" s="438"/>
      <c r="BC910" s="438"/>
      <c r="BD910" s="438"/>
      <c r="BE910" s="438"/>
      <c r="BF910" s="438"/>
      <c r="BG910" s="438"/>
      <c r="BH910" s="438"/>
    </row>
    <row r="911">
      <c r="A911" s="140"/>
      <c r="B911" s="456"/>
      <c r="C911" s="142"/>
      <c r="D911" s="142"/>
      <c r="E911" s="142"/>
      <c r="F911" s="140"/>
      <c r="G911" s="456"/>
      <c r="H911" s="142"/>
      <c r="I911" s="142"/>
      <c r="J911" s="142"/>
      <c r="K911" s="125"/>
      <c r="L911" s="456"/>
      <c r="M911" s="142"/>
      <c r="N911" s="142"/>
      <c r="O911" s="142"/>
      <c r="P911" s="125"/>
      <c r="Q911" s="450"/>
      <c r="R911" s="142"/>
      <c r="S911" s="142"/>
      <c r="T911" s="142"/>
      <c r="U911" s="140"/>
      <c r="V911" s="456"/>
      <c r="W911" s="142"/>
      <c r="X911" s="142"/>
      <c r="Y911" s="142"/>
      <c r="Z911" s="140"/>
      <c r="AA911" s="456"/>
      <c r="AB911" s="142"/>
      <c r="AC911" s="142"/>
      <c r="AD911" s="142"/>
      <c r="AE911" s="140"/>
      <c r="AF911" s="456"/>
      <c r="AG911" s="142"/>
      <c r="AH911" s="142"/>
      <c r="AI911" s="142"/>
      <c r="AJ911" s="140"/>
      <c r="AK911" s="456"/>
      <c r="AL911" s="142"/>
      <c r="AM911" s="142"/>
      <c r="AN911" s="142"/>
      <c r="AO911" s="438"/>
      <c r="AP911" s="438"/>
      <c r="AQ911" s="438"/>
      <c r="AR911" s="438"/>
      <c r="AS911" s="438"/>
      <c r="AT911" s="438"/>
      <c r="AU911" s="438"/>
      <c r="AV911" s="438"/>
      <c r="AW911" s="438"/>
      <c r="AX911" s="438"/>
      <c r="AY911" s="438"/>
      <c r="AZ911" s="438"/>
      <c r="BA911" s="438"/>
      <c r="BB911" s="438"/>
      <c r="BC911" s="438"/>
      <c r="BD911" s="438"/>
      <c r="BE911" s="438"/>
      <c r="BF911" s="438"/>
      <c r="BG911" s="438"/>
      <c r="BH911" s="438"/>
    </row>
    <row r="912">
      <c r="A912" s="140"/>
      <c r="B912" s="456"/>
      <c r="C912" s="142"/>
      <c r="D912" s="142"/>
      <c r="E912" s="142"/>
      <c r="F912" s="140"/>
      <c r="G912" s="456"/>
      <c r="H912" s="142"/>
      <c r="I912" s="142"/>
      <c r="J912" s="142"/>
      <c r="K912" s="125"/>
      <c r="L912" s="456"/>
      <c r="M912" s="142"/>
      <c r="N912" s="142"/>
      <c r="O912" s="142"/>
      <c r="P912" s="125"/>
      <c r="Q912" s="450"/>
      <c r="R912" s="142"/>
      <c r="S912" s="142"/>
      <c r="T912" s="142"/>
      <c r="U912" s="140"/>
      <c r="V912" s="456"/>
      <c r="W912" s="142"/>
      <c r="X912" s="142"/>
      <c r="Y912" s="142"/>
      <c r="Z912" s="140"/>
      <c r="AA912" s="456"/>
      <c r="AB912" s="142"/>
      <c r="AC912" s="142"/>
      <c r="AD912" s="142"/>
      <c r="AE912" s="140"/>
      <c r="AF912" s="456"/>
      <c r="AG912" s="142"/>
      <c r="AH912" s="142"/>
      <c r="AI912" s="142"/>
      <c r="AJ912" s="140"/>
      <c r="AK912" s="456"/>
      <c r="AL912" s="142"/>
      <c r="AM912" s="142"/>
      <c r="AN912" s="142"/>
      <c r="AO912" s="438"/>
      <c r="AP912" s="438"/>
      <c r="AQ912" s="438"/>
      <c r="AR912" s="438"/>
      <c r="AS912" s="438"/>
      <c r="AT912" s="438"/>
      <c r="AU912" s="438"/>
      <c r="AV912" s="438"/>
      <c r="AW912" s="438"/>
      <c r="AX912" s="438"/>
      <c r="AY912" s="438"/>
      <c r="AZ912" s="438"/>
      <c r="BA912" s="438"/>
      <c r="BB912" s="438"/>
      <c r="BC912" s="438"/>
      <c r="BD912" s="438"/>
      <c r="BE912" s="438"/>
      <c r="BF912" s="438"/>
      <c r="BG912" s="438"/>
      <c r="BH912" s="438"/>
    </row>
    <row r="913">
      <c r="A913" s="140"/>
      <c r="B913" s="456"/>
      <c r="C913" s="142"/>
      <c r="D913" s="142"/>
      <c r="E913" s="142"/>
      <c r="F913" s="140"/>
      <c r="G913" s="456"/>
      <c r="H913" s="142"/>
      <c r="I913" s="142"/>
      <c r="J913" s="142"/>
      <c r="K913" s="125"/>
      <c r="L913" s="456"/>
      <c r="M913" s="142"/>
      <c r="N913" s="142"/>
      <c r="O913" s="142"/>
      <c r="P913" s="125"/>
      <c r="Q913" s="450"/>
      <c r="R913" s="142"/>
      <c r="S913" s="142"/>
      <c r="T913" s="142"/>
      <c r="U913" s="140"/>
      <c r="V913" s="456"/>
      <c r="W913" s="142"/>
      <c r="X913" s="142"/>
      <c r="Y913" s="142"/>
      <c r="Z913" s="140"/>
      <c r="AA913" s="456"/>
      <c r="AB913" s="142"/>
      <c r="AC913" s="142"/>
      <c r="AD913" s="142"/>
      <c r="AE913" s="140"/>
      <c r="AF913" s="456"/>
      <c r="AG913" s="142"/>
      <c r="AH913" s="142"/>
      <c r="AI913" s="142"/>
      <c r="AJ913" s="140"/>
      <c r="AK913" s="456"/>
      <c r="AL913" s="142"/>
      <c r="AM913" s="142"/>
      <c r="AN913" s="142"/>
      <c r="AO913" s="438"/>
      <c r="AP913" s="438"/>
      <c r="AQ913" s="438"/>
      <c r="AR913" s="438"/>
      <c r="AS913" s="438"/>
      <c r="AT913" s="438"/>
      <c r="AU913" s="438"/>
      <c r="AV913" s="438"/>
      <c r="AW913" s="438"/>
      <c r="AX913" s="438"/>
      <c r="AY913" s="438"/>
      <c r="AZ913" s="438"/>
      <c r="BA913" s="438"/>
      <c r="BB913" s="438"/>
      <c r="BC913" s="438"/>
      <c r="BD913" s="438"/>
      <c r="BE913" s="438"/>
      <c r="BF913" s="438"/>
      <c r="BG913" s="438"/>
      <c r="BH913" s="438"/>
    </row>
    <row r="914">
      <c r="A914" s="140"/>
      <c r="B914" s="456"/>
      <c r="C914" s="142"/>
      <c r="D914" s="142"/>
      <c r="E914" s="142"/>
      <c r="F914" s="140"/>
      <c r="G914" s="456"/>
      <c r="H914" s="142"/>
      <c r="I914" s="142"/>
      <c r="J914" s="142"/>
      <c r="K914" s="125"/>
      <c r="L914" s="456"/>
      <c r="M914" s="142"/>
      <c r="N914" s="142"/>
      <c r="O914" s="142"/>
      <c r="P914" s="125"/>
      <c r="Q914" s="450"/>
      <c r="R914" s="142"/>
      <c r="S914" s="142"/>
      <c r="T914" s="142"/>
      <c r="U914" s="140"/>
      <c r="V914" s="456"/>
      <c r="W914" s="142"/>
      <c r="X914" s="142"/>
      <c r="Y914" s="142"/>
      <c r="Z914" s="140"/>
      <c r="AA914" s="456"/>
      <c r="AB914" s="142"/>
      <c r="AC914" s="142"/>
      <c r="AD914" s="142"/>
      <c r="AE914" s="140"/>
      <c r="AF914" s="456"/>
      <c r="AG914" s="142"/>
      <c r="AH914" s="142"/>
      <c r="AI914" s="142"/>
      <c r="AJ914" s="140"/>
      <c r="AK914" s="456"/>
      <c r="AL914" s="142"/>
      <c r="AM914" s="142"/>
      <c r="AN914" s="142"/>
      <c r="AO914" s="438"/>
      <c r="AP914" s="438"/>
      <c r="AQ914" s="438"/>
      <c r="AR914" s="438"/>
      <c r="AS914" s="438"/>
      <c r="AT914" s="438"/>
      <c r="AU914" s="438"/>
      <c r="AV914" s="438"/>
      <c r="AW914" s="438"/>
      <c r="AX914" s="438"/>
      <c r="AY914" s="438"/>
      <c r="AZ914" s="438"/>
      <c r="BA914" s="438"/>
      <c r="BB914" s="438"/>
      <c r="BC914" s="438"/>
      <c r="BD914" s="438"/>
      <c r="BE914" s="438"/>
      <c r="BF914" s="438"/>
      <c r="BG914" s="438"/>
      <c r="BH914" s="438"/>
    </row>
    <row r="915">
      <c r="A915" s="140"/>
      <c r="B915" s="456"/>
      <c r="C915" s="142"/>
      <c r="D915" s="142"/>
      <c r="E915" s="142"/>
      <c r="F915" s="140"/>
      <c r="G915" s="456"/>
      <c r="H915" s="142"/>
      <c r="I915" s="142"/>
      <c r="J915" s="142"/>
      <c r="K915" s="125"/>
      <c r="L915" s="456"/>
      <c r="M915" s="142"/>
      <c r="N915" s="142"/>
      <c r="O915" s="142"/>
      <c r="P915" s="125"/>
      <c r="Q915" s="450"/>
      <c r="R915" s="142"/>
      <c r="S915" s="142"/>
      <c r="T915" s="142"/>
      <c r="U915" s="140"/>
      <c r="V915" s="456"/>
      <c r="W915" s="142"/>
      <c r="X915" s="142"/>
      <c r="Y915" s="142"/>
      <c r="Z915" s="140"/>
      <c r="AA915" s="456"/>
      <c r="AB915" s="142"/>
      <c r="AC915" s="142"/>
      <c r="AD915" s="142"/>
      <c r="AE915" s="140"/>
      <c r="AF915" s="456"/>
      <c r="AG915" s="142"/>
      <c r="AH915" s="142"/>
      <c r="AI915" s="142"/>
      <c r="AJ915" s="140"/>
      <c r="AK915" s="456"/>
      <c r="AL915" s="142"/>
      <c r="AM915" s="142"/>
      <c r="AN915" s="142"/>
      <c r="AO915" s="438"/>
      <c r="AP915" s="438"/>
      <c r="AQ915" s="438"/>
      <c r="AR915" s="438"/>
      <c r="AS915" s="438"/>
      <c r="AT915" s="438"/>
      <c r="AU915" s="438"/>
      <c r="AV915" s="438"/>
      <c r="AW915" s="438"/>
      <c r="AX915" s="438"/>
      <c r="AY915" s="438"/>
      <c r="AZ915" s="438"/>
      <c r="BA915" s="438"/>
      <c r="BB915" s="438"/>
      <c r="BC915" s="438"/>
      <c r="BD915" s="438"/>
      <c r="BE915" s="438"/>
      <c r="BF915" s="438"/>
      <c r="BG915" s="438"/>
      <c r="BH915" s="438"/>
    </row>
    <row r="916">
      <c r="A916" s="140"/>
      <c r="B916" s="456"/>
      <c r="C916" s="142"/>
      <c r="D916" s="142"/>
      <c r="E916" s="142"/>
      <c r="F916" s="140"/>
      <c r="G916" s="456"/>
      <c r="H916" s="142"/>
      <c r="I916" s="142"/>
      <c r="J916" s="142"/>
      <c r="K916" s="125"/>
      <c r="L916" s="456"/>
      <c r="M916" s="142"/>
      <c r="N916" s="142"/>
      <c r="O916" s="142"/>
      <c r="P916" s="125"/>
      <c r="Q916" s="450"/>
      <c r="R916" s="142"/>
      <c r="S916" s="142"/>
      <c r="T916" s="142"/>
      <c r="U916" s="140"/>
      <c r="V916" s="456"/>
      <c r="W916" s="142"/>
      <c r="X916" s="142"/>
      <c r="Y916" s="142"/>
      <c r="Z916" s="140"/>
      <c r="AA916" s="456"/>
      <c r="AB916" s="142"/>
      <c r="AC916" s="142"/>
      <c r="AD916" s="142"/>
      <c r="AE916" s="140"/>
      <c r="AF916" s="456"/>
      <c r="AG916" s="142"/>
      <c r="AH916" s="142"/>
      <c r="AI916" s="142"/>
      <c r="AJ916" s="140"/>
      <c r="AK916" s="456"/>
      <c r="AL916" s="142"/>
      <c r="AM916" s="142"/>
      <c r="AN916" s="142"/>
      <c r="AO916" s="438"/>
      <c r="AP916" s="438"/>
      <c r="AQ916" s="438"/>
      <c r="AR916" s="438"/>
      <c r="AS916" s="438"/>
      <c r="AT916" s="438"/>
      <c r="AU916" s="438"/>
      <c r="AV916" s="438"/>
      <c r="AW916" s="438"/>
      <c r="AX916" s="438"/>
      <c r="AY916" s="438"/>
      <c r="AZ916" s="438"/>
      <c r="BA916" s="438"/>
      <c r="BB916" s="438"/>
      <c r="BC916" s="438"/>
      <c r="BD916" s="438"/>
      <c r="BE916" s="438"/>
      <c r="BF916" s="438"/>
      <c r="BG916" s="438"/>
      <c r="BH916" s="438"/>
    </row>
    <row r="917">
      <c r="A917" s="140"/>
      <c r="B917" s="456"/>
      <c r="C917" s="142"/>
      <c r="D917" s="142"/>
      <c r="E917" s="142"/>
      <c r="F917" s="140"/>
      <c r="G917" s="456"/>
      <c r="H917" s="142"/>
      <c r="I917" s="142"/>
      <c r="J917" s="142"/>
      <c r="K917" s="125"/>
      <c r="L917" s="456"/>
      <c r="M917" s="142"/>
      <c r="N917" s="142"/>
      <c r="O917" s="142"/>
      <c r="P917" s="125"/>
      <c r="Q917" s="450"/>
      <c r="R917" s="142"/>
      <c r="S917" s="142"/>
      <c r="T917" s="142"/>
      <c r="U917" s="140"/>
      <c r="V917" s="456"/>
      <c r="W917" s="142"/>
      <c r="X917" s="142"/>
      <c r="Y917" s="142"/>
      <c r="Z917" s="140"/>
      <c r="AA917" s="456"/>
      <c r="AB917" s="142"/>
      <c r="AC917" s="142"/>
      <c r="AD917" s="142"/>
      <c r="AE917" s="140"/>
      <c r="AF917" s="456"/>
      <c r="AG917" s="142"/>
      <c r="AH917" s="142"/>
      <c r="AI917" s="142"/>
      <c r="AJ917" s="140"/>
      <c r="AK917" s="456"/>
      <c r="AL917" s="142"/>
      <c r="AM917" s="142"/>
      <c r="AN917" s="142"/>
      <c r="AO917" s="438"/>
      <c r="AP917" s="438"/>
      <c r="AQ917" s="438"/>
      <c r="AR917" s="438"/>
      <c r="AS917" s="438"/>
      <c r="AT917" s="438"/>
      <c r="AU917" s="438"/>
      <c r="AV917" s="438"/>
      <c r="AW917" s="438"/>
      <c r="AX917" s="438"/>
      <c r="AY917" s="438"/>
      <c r="AZ917" s="438"/>
      <c r="BA917" s="438"/>
      <c r="BB917" s="438"/>
      <c r="BC917" s="438"/>
      <c r="BD917" s="438"/>
      <c r="BE917" s="438"/>
      <c r="BF917" s="438"/>
      <c r="BG917" s="438"/>
      <c r="BH917" s="438"/>
    </row>
    <row r="918">
      <c r="A918" s="140"/>
      <c r="B918" s="456"/>
      <c r="C918" s="142"/>
      <c r="D918" s="142"/>
      <c r="E918" s="142"/>
      <c r="F918" s="140"/>
      <c r="G918" s="456"/>
      <c r="H918" s="142"/>
      <c r="I918" s="142"/>
      <c r="J918" s="142"/>
      <c r="K918" s="125"/>
      <c r="L918" s="456"/>
      <c r="M918" s="142"/>
      <c r="N918" s="142"/>
      <c r="O918" s="142"/>
      <c r="P918" s="125"/>
      <c r="Q918" s="450"/>
      <c r="R918" s="142"/>
      <c r="S918" s="142"/>
      <c r="T918" s="142"/>
      <c r="U918" s="140"/>
      <c r="V918" s="456"/>
      <c r="W918" s="142"/>
      <c r="X918" s="142"/>
      <c r="Y918" s="142"/>
      <c r="Z918" s="140"/>
      <c r="AA918" s="456"/>
      <c r="AB918" s="142"/>
      <c r="AC918" s="142"/>
      <c r="AD918" s="142"/>
      <c r="AE918" s="140"/>
      <c r="AF918" s="456"/>
      <c r="AG918" s="142"/>
      <c r="AH918" s="142"/>
      <c r="AI918" s="142"/>
      <c r="AJ918" s="140"/>
      <c r="AK918" s="456"/>
      <c r="AL918" s="142"/>
      <c r="AM918" s="142"/>
      <c r="AN918" s="142"/>
      <c r="AO918" s="438"/>
      <c r="AP918" s="438"/>
      <c r="AQ918" s="438"/>
      <c r="AR918" s="438"/>
      <c r="AS918" s="438"/>
      <c r="AT918" s="438"/>
      <c r="AU918" s="438"/>
      <c r="AV918" s="438"/>
      <c r="AW918" s="438"/>
      <c r="AX918" s="438"/>
      <c r="AY918" s="438"/>
      <c r="AZ918" s="438"/>
      <c r="BA918" s="438"/>
      <c r="BB918" s="438"/>
      <c r="BC918" s="438"/>
      <c r="BD918" s="438"/>
      <c r="BE918" s="438"/>
      <c r="BF918" s="438"/>
      <c r="BG918" s="438"/>
      <c r="BH918" s="438"/>
    </row>
    <row r="919">
      <c r="A919" s="140"/>
      <c r="B919" s="456"/>
      <c r="C919" s="142"/>
      <c r="D919" s="142"/>
      <c r="E919" s="142"/>
      <c r="F919" s="140"/>
      <c r="G919" s="456"/>
      <c r="H919" s="142"/>
      <c r="I919" s="142"/>
      <c r="J919" s="142"/>
      <c r="K919" s="125"/>
      <c r="L919" s="456"/>
      <c r="M919" s="142"/>
      <c r="N919" s="142"/>
      <c r="O919" s="142"/>
      <c r="P919" s="125"/>
      <c r="Q919" s="450"/>
      <c r="R919" s="142"/>
      <c r="S919" s="142"/>
      <c r="T919" s="142"/>
      <c r="U919" s="140"/>
      <c r="V919" s="456"/>
      <c r="W919" s="142"/>
      <c r="X919" s="142"/>
      <c r="Y919" s="142"/>
      <c r="Z919" s="140"/>
      <c r="AA919" s="456"/>
      <c r="AB919" s="142"/>
      <c r="AC919" s="142"/>
      <c r="AD919" s="142"/>
      <c r="AE919" s="140"/>
      <c r="AF919" s="456"/>
      <c r="AG919" s="142"/>
      <c r="AH919" s="142"/>
      <c r="AI919" s="142"/>
      <c r="AJ919" s="140"/>
      <c r="AK919" s="456"/>
      <c r="AL919" s="142"/>
      <c r="AM919" s="142"/>
      <c r="AN919" s="142"/>
      <c r="AO919" s="438"/>
      <c r="AP919" s="438"/>
      <c r="AQ919" s="438"/>
      <c r="AR919" s="438"/>
      <c r="AS919" s="438"/>
      <c r="AT919" s="438"/>
      <c r="AU919" s="438"/>
      <c r="AV919" s="438"/>
      <c r="AW919" s="438"/>
      <c r="AX919" s="438"/>
      <c r="AY919" s="438"/>
      <c r="AZ919" s="438"/>
      <c r="BA919" s="438"/>
      <c r="BB919" s="438"/>
      <c r="BC919" s="438"/>
      <c r="BD919" s="438"/>
      <c r="BE919" s="438"/>
      <c r="BF919" s="438"/>
      <c r="BG919" s="438"/>
      <c r="BH919" s="438"/>
    </row>
    <row r="920">
      <c r="A920" s="140"/>
      <c r="B920" s="456"/>
      <c r="C920" s="142"/>
      <c r="D920" s="142"/>
      <c r="E920" s="142"/>
      <c r="F920" s="140"/>
      <c r="G920" s="456"/>
      <c r="H920" s="142"/>
      <c r="I920" s="142"/>
      <c r="J920" s="142"/>
      <c r="K920" s="125"/>
      <c r="L920" s="456"/>
      <c r="M920" s="142"/>
      <c r="N920" s="142"/>
      <c r="O920" s="142"/>
      <c r="P920" s="125"/>
      <c r="Q920" s="450"/>
      <c r="R920" s="142"/>
      <c r="S920" s="142"/>
      <c r="T920" s="142"/>
      <c r="U920" s="140"/>
      <c r="V920" s="456"/>
      <c r="W920" s="142"/>
      <c r="X920" s="142"/>
      <c r="Y920" s="142"/>
      <c r="Z920" s="140"/>
      <c r="AA920" s="456"/>
      <c r="AB920" s="142"/>
      <c r="AC920" s="142"/>
      <c r="AD920" s="142"/>
      <c r="AE920" s="140"/>
      <c r="AF920" s="456"/>
      <c r="AG920" s="142"/>
      <c r="AH920" s="142"/>
      <c r="AI920" s="142"/>
      <c r="AJ920" s="140"/>
      <c r="AK920" s="456"/>
      <c r="AL920" s="142"/>
      <c r="AM920" s="142"/>
      <c r="AN920" s="142"/>
      <c r="AO920" s="438"/>
      <c r="AP920" s="438"/>
      <c r="AQ920" s="438"/>
      <c r="AR920" s="438"/>
      <c r="AS920" s="438"/>
      <c r="AT920" s="438"/>
      <c r="AU920" s="438"/>
      <c r="AV920" s="438"/>
      <c r="AW920" s="438"/>
      <c r="AX920" s="438"/>
      <c r="AY920" s="438"/>
      <c r="AZ920" s="438"/>
      <c r="BA920" s="438"/>
      <c r="BB920" s="438"/>
      <c r="BC920" s="438"/>
      <c r="BD920" s="438"/>
      <c r="BE920" s="438"/>
      <c r="BF920" s="438"/>
      <c r="BG920" s="438"/>
      <c r="BH920" s="438"/>
    </row>
    <row r="921">
      <c r="A921" s="140"/>
      <c r="B921" s="456"/>
      <c r="C921" s="142"/>
      <c r="D921" s="142"/>
      <c r="E921" s="142"/>
      <c r="F921" s="140"/>
      <c r="G921" s="456"/>
      <c r="H921" s="142"/>
      <c r="I921" s="142"/>
      <c r="J921" s="142"/>
      <c r="K921" s="125"/>
      <c r="L921" s="456"/>
      <c r="M921" s="142"/>
      <c r="N921" s="142"/>
      <c r="O921" s="142"/>
      <c r="P921" s="125"/>
      <c r="Q921" s="450"/>
      <c r="R921" s="142"/>
      <c r="S921" s="142"/>
      <c r="T921" s="142"/>
      <c r="U921" s="140"/>
      <c r="V921" s="456"/>
      <c r="W921" s="142"/>
      <c r="X921" s="142"/>
      <c r="Y921" s="142"/>
      <c r="Z921" s="140"/>
      <c r="AA921" s="456"/>
      <c r="AB921" s="142"/>
      <c r="AC921" s="142"/>
      <c r="AD921" s="142"/>
      <c r="AE921" s="140"/>
      <c r="AF921" s="456"/>
      <c r="AG921" s="142"/>
      <c r="AH921" s="142"/>
      <c r="AI921" s="142"/>
      <c r="AJ921" s="140"/>
      <c r="AK921" s="456"/>
      <c r="AL921" s="142"/>
      <c r="AM921" s="142"/>
      <c r="AN921" s="142"/>
      <c r="AO921" s="438"/>
      <c r="AP921" s="438"/>
      <c r="AQ921" s="438"/>
      <c r="AR921" s="438"/>
      <c r="AS921" s="438"/>
      <c r="AT921" s="438"/>
      <c r="AU921" s="438"/>
      <c r="AV921" s="438"/>
      <c r="AW921" s="438"/>
      <c r="AX921" s="438"/>
      <c r="AY921" s="438"/>
      <c r="AZ921" s="438"/>
      <c r="BA921" s="438"/>
      <c r="BB921" s="438"/>
      <c r="BC921" s="438"/>
      <c r="BD921" s="438"/>
      <c r="BE921" s="438"/>
      <c r="BF921" s="438"/>
      <c r="BG921" s="438"/>
      <c r="BH921" s="438"/>
    </row>
    <row r="922">
      <c r="A922" s="140"/>
      <c r="B922" s="456"/>
      <c r="C922" s="142"/>
      <c r="D922" s="142"/>
      <c r="E922" s="142"/>
      <c r="F922" s="140"/>
      <c r="G922" s="456"/>
      <c r="H922" s="142"/>
      <c r="I922" s="142"/>
      <c r="J922" s="142"/>
      <c r="K922" s="125"/>
      <c r="L922" s="456"/>
      <c r="M922" s="142"/>
      <c r="N922" s="142"/>
      <c r="O922" s="142"/>
      <c r="P922" s="125"/>
      <c r="Q922" s="450"/>
      <c r="R922" s="142"/>
      <c r="S922" s="142"/>
      <c r="T922" s="142"/>
      <c r="U922" s="140"/>
      <c r="V922" s="456"/>
      <c r="W922" s="142"/>
      <c r="X922" s="142"/>
      <c r="Y922" s="142"/>
      <c r="Z922" s="140"/>
      <c r="AA922" s="456"/>
      <c r="AB922" s="142"/>
      <c r="AC922" s="142"/>
      <c r="AD922" s="142"/>
      <c r="AE922" s="140"/>
      <c r="AF922" s="456"/>
      <c r="AG922" s="142"/>
      <c r="AH922" s="142"/>
      <c r="AI922" s="142"/>
      <c r="AJ922" s="140"/>
      <c r="AK922" s="456"/>
      <c r="AL922" s="142"/>
      <c r="AM922" s="142"/>
      <c r="AN922" s="142"/>
      <c r="AO922" s="438"/>
      <c r="AP922" s="438"/>
      <c r="AQ922" s="438"/>
      <c r="AR922" s="438"/>
      <c r="AS922" s="438"/>
      <c r="AT922" s="438"/>
      <c r="AU922" s="438"/>
      <c r="AV922" s="438"/>
      <c r="AW922" s="438"/>
      <c r="AX922" s="438"/>
      <c r="AY922" s="438"/>
      <c r="AZ922" s="438"/>
      <c r="BA922" s="438"/>
      <c r="BB922" s="438"/>
      <c r="BC922" s="438"/>
      <c r="BD922" s="438"/>
      <c r="BE922" s="438"/>
      <c r="BF922" s="438"/>
      <c r="BG922" s="438"/>
      <c r="BH922" s="438"/>
    </row>
    <row r="923">
      <c r="A923" s="140"/>
      <c r="B923" s="456"/>
      <c r="C923" s="142"/>
      <c r="D923" s="142"/>
      <c r="E923" s="142"/>
      <c r="F923" s="140"/>
      <c r="G923" s="456"/>
      <c r="H923" s="142"/>
      <c r="I923" s="142"/>
      <c r="J923" s="142"/>
      <c r="K923" s="125"/>
      <c r="L923" s="456"/>
      <c r="M923" s="142"/>
      <c r="N923" s="142"/>
      <c r="O923" s="142"/>
      <c r="P923" s="125"/>
      <c r="Q923" s="450"/>
      <c r="R923" s="142"/>
      <c r="S923" s="142"/>
      <c r="T923" s="142"/>
      <c r="U923" s="140"/>
      <c r="V923" s="456"/>
      <c r="W923" s="142"/>
      <c r="X923" s="142"/>
      <c r="Y923" s="142"/>
      <c r="Z923" s="140"/>
      <c r="AA923" s="456"/>
      <c r="AB923" s="142"/>
      <c r="AC923" s="142"/>
      <c r="AD923" s="142"/>
      <c r="AE923" s="140"/>
      <c r="AF923" s="456"/>
      <c r="AG923" s="142"/>
      <c r="AH923" s="142"/>
      <c r="AI923" s="142"/>
      <c r="AJ923" s="140"/>
      <c r="AK923" s="456"/>
      <c r="AL923" s="142"/>
      <c r="AM923" s="142"/>
      <c r="AN923" s="142"/>
      <c r="AO923" s="438"/>
      <c r="AP923" s="438"/>
      <c r="AQ923" s="438"/>
      <c r="AR923" s="438"/>
      <c r="AS923" s="438"/>
      <c r="AT923" s="438"/>
      <c r="AU923" s="438"/>
      <c r="AV923" s="438"/>
      <c r="AW923" s="438"/>
      <c r="AX923" s="438"/>
      <c r="AY923" s="438"/>
      <c r="AZ923" s="438"/>
      <c r="BA923" s="438"/>
      <c r="BB923" s="438"/>
      <c r="BC923" s="438"/>
      <c r="BD923" s="438"/>
      <c r="BE923" s="438"/>
      <c r="BF923" s="438"/>
      <c r="BG923" s="438"/>
      <c r="BH923" s="438"/>
    </row>
    <row r="924">
      <c r="A924" s="140"/>
      <c r="B924" s="456"/>
      <c r="C924" s="142"/>
      <c r="D924" s="142"/>
      <c r="E924" s="142"/>
      <c r="F924" s="140"/>
      <c r="G924" s="456"/>
      <c r="H924" s="142"/>
      <c r="I924" s="142"/>
      <c r="J924" s="142"/>
      <c r="K924" s="125"/>
      <c r="L924" s="456"/>
      <c r="M924" s="142"/>
      <c r="N924" s="142"/>
      <c r="O924" s="142"/>
      <c r="P924" s="125"/>
      <c r="Q924" s="450"/>
      <c r="R924" s="142"/>
      <c r="S924" s="142"/>
      <c r="T924" s="142"/>
      <c r="U924" s="140"/>
      <c r="V924" s="456"/>
      <c r="W924" s="142"/>
      <c r="X924" s="142"/>
      <c r="Y924" s="142"/>
      <c r="Z924" s="140"/>
      <c r="AA924" s="456"/>
      <c r="AB924" s="142"/>
      <c r="AC924" s="142"/>
      <c r="AD924" s="142"/>
      <c r="AE924" s="140"/>
      <c r="AF924" s="456"/>
      <c r="AG924" s="142"/>
      <c r="AH924" s="142"/>
      <c r="AI924" s="142"/>
      <c r="AJ924" s="140"/>
      <c r="AK924" s="456"/>
      <c r="AL924" s="142"/>
      <c r="AM924" s="142"/>
      <c r="AN924" s="142"/>
      <c r="AO924" s="438"/>
      <c r="AP924" s="438"/>
      <c r="AQ924" s="438"/>
      <c r="AR924" s="438"/>
      <c r="AS924" s="438"/>
      <c r="AT924" s="438"/>
      <c r="AU924" s="438"/>
      <c r="AV924" s="438"/>
      <c r="AW924" s="438"/>
      <c r="AX924" s="438"/>
      <c r="AY924" s="438"/>
      <c r="AZ924" s="438"/>
      <c r="BA924" s="438"/>
      <c r="BB924" s="438"/>
      <c r="BC924" s="438"/>
      <c r="BD924" s="438"/>
      <c r="BE924" s="438"/>
      <c r="BF924" s="438"/>
      <c r="BG924" s="438"/>
      <c r="BH924" s="438"/>
    </row>
    <row r="925">
      <c r="A925" s="140"/>
      <c r="B925" s="456"/>
      <c r="C925" s="142"/>
      <c r="D925" s="142"/>
      <c r="E925" s="142"/>
      <c r="F925" s="140"/>
      <c r="G925" s="456"/>
      <c r="H925" s="142"/>
      <c r="I925" s="142"/>
      <c r="J925" s="142"/>
      <c r="K925" s="125"/>
      <c r="L925" s="456"/>
      <c r="M925" s="142"/>
      <c r="N925" s="142"/>
      <c r="O925" s="142"/>
      <c r="P925" s="125"/>
      <c r="Q925" s="450"/>
      <c r="R925" s="142"/>
      <c r="S925" s="142"/>
      <c r="T925" s="142"/>
      <c r="U925" s="140"/>
      <c r="V925" s="456"/>
      <c r="W925" s="142"/>
      <c r="X925" s="142"/>
      <c r="Y925" s="142"/>
      <c r="Z925" s="140"/>
      <c r="AA925" s="456"/>
      <c r="AB925" s="142"/>
      <c r="AC925" s="142"/>
      <c r="AD925" s="142"/>
      <c r="AE925" s="140"/>
      <c r="AF925" s="456"/>
      <c r="AG925" s="142"/>
      <c r="AH925" s="142"/>
      <c r="AI925" s="142"/>
      <c r="AJ925" s="140"/>
      <c r="AK925" s="456"/>
      <c r="AL925" s="142"/>
      <c r="AM925" s="142"/>
      <c r="AN925" s="142"/>
      <c r="AO925" s="438"/>
      <c r="AP925" s="438"/>
      <c r="AQ925" s="438"/>
      <c r="AR925" s="438"/>
      <c r="AS925" s="438"/>
      <c r="AT925" s="438"/>
      <c r="AU925" s="438"/>
      <c r="AV925" s="438"/>
      <c r="AW925" s="438"/>
      <c r="AX925" s="438"/>
      <c r="AY925" s="438"/>
      <c r="AZ925" s="438"/>
      <c r="BA925" s="438"/>
      <c r="BB925" s="438"/>
      <c r="BC925" s="438"/>
      <c r="BD925" s="438"/>
      <c r="BE925" s="438"/>
      <c r="BF925" s="438"/>
      <c r="BG925" s="438"/>
      <c r="BH925" s="438"/>
    </row>
    <row r="926">
      <c r="A926" s="140"/>
      <c r="B926" s="456"/>
      <c r="C926" s="142"/>
      <c r="D926" s="142"/>
      <c r="E926" s="142"/>
      <c r="F926" s="140"/>
      <c r="G926" s="456"/>
      <c r="H926" s="142"/>
      <c r="I926" s="142"/>
      <c r="J926" s="142"/>
      <c r="K926" s="125"/>
      <c r="L926" s="456"/>
      <c r="M926" s="142"/>
      <c r="N926" s="142"/>
      <c r="O926" s="142"/>
      <c r="P926" s="125"/>
      <c r="Q926" s="450"/>
      <c r="R926" s="142"/>
      <c r="S926" s="142"/>
      <c r="T926" s="142"/>
      <c r="U926" s="140"/>
      <c r="V926" s="456"/>
      <c r="W926" s="142"/>
      <c r="X926" s="142"/>
      <c r="Y926" s="142"/>
      <c r="Z926" s="140"/>
      <c r="AA926" s="456"/>
      <c r="AB926" s="142"/>
      <c r="AC926" s="142"/>
      <c r="AD926" s="142"/>
      <c r="AE926" s="140"/>
      <c r="AF926" s="456"/>
      <c r="AG926" s="142"/>
      <c r="AH926" s="142"/>
      <c r="AI926" s="142"/>
      <c r="AJ926" s="140"/>
      <c r="AK926" s="456"/>
      <c r="AL926" s="142"/>
      <c r="AM926" s="142"/>
      <c r="AN926" s="142"/>
      <c r="AO926" s="438"/>
      <c r="AP926" s="438"/>
      <c r="AQ926" s="438"/>
      <c r="AR926" s="438"/>
      <c r="AS926" s="438"/>
      <c r="AT926" s="438"/>
      <c r="AU926" s="438"/>
      <c r="AV926" s="438"/>
      <c r="AW926" s="438"/>
      <c r="AX926" s="438"/>
      <c r="AY926" s="438"/>
      <c r="AZ926" s="438"/>
      <c r="BA926" s="438"/>
      <c r="BB926" s="438"/>
      <c r="BC926" s="438"/>
      <c r="BD926" s="438"/>
      <c r="BE926" s="438"/>
      <c r="BF926" s="438"/>
      <c r="BG926" s="438"/>
      <c r="BH926" s="438"/>
    </row>
    <row r="927">
      <c r="A927" s="140"/>
      <c r="B927" s="456"/>
      <c r="C927" s="142"/>
      <c r="D927" s="142"/>
      <c r="E927" s="142"/>
      <c r="F927" s="140"/>
      <c r="G927" s="456"/>
      <c r="H927" s="142"/>
      <c r="I927" s="142"/>
      <c r="J927" s="142"/>
      <c r="K927" s="125"/>
      <c r="L927" s="456"/>
      <c r="M927" s="142"/>
      <c r="N927" s="142"/>
      <c r="O927" s="142"/>
      <c r="P927" s="125"/>
      <c r="Q927" s="450"/>
      <c r="R927" s="142"/>
      <c r="S927" s="142"/>
      <c r="T927" s="142"/>
      <c r="U927" s="140"/>
      <c r="V927" s="456"/>
      <c r="W927" s="142"/>
      <c r="X927" s="142"/>
      <c r="Y927" s="142"/>
      <c r="Z927" s="140"/>
      <c r="AA927" s="456"/>
      <c r="AB927" s="142"/>
      <c r="AC927" s="142"/>
      <c r="AD927" s="142"/>
      <c r="AE927" s="140"/>
      <c r="AF927" s="456"/>
      <c r="AG927" s="142"/>
      <c r="AH927" s="142"/>
      <c r="AI927" s="142"/>
      <c r="AJ927" s="140"/>
      <c r="AK927" s="456"/>
      <c r="AL927" s="142"/>
      <c r="AM927" s="142"/>
      <c r="AN927" s="142"/>
      <c r="AO927" s="438"/>
      <c r="AP927" s="438"/>
      <c r="AQ927" s="438"/>
      <c r="AR927" s="438"/>
      <c r="AS927" s="438"/>
      <c r="AT927" s="438"/>
      <c r="AU927" s="438"/>
      <c r="AV927" s="438"/>
      <c r="AW927" s="438"/>
      <c r="AX927" s="438"/>
      <c r="AY927" s="438"/>
      <c r="AZ927" s="438"/>
      <c r="BA927" s="438"/>
      <c r="BB927" s="438"/>
      <c r="BC927" s="438"/>
      <c r="BD927" s="438"/>
      <c r="BE927" s="438"/>
      <c r="BF927" s="438"/>
      <c r="BG927" s="438"/>
      <c r="BH927" s="438"/>
    </row>
    <row r="928">
      <c r="A928" s="140"/>
      <c r="B928" s="456"/>
      <c r="C928" s="142"/>
      <c r="D928" s="142"/>
      <c r="E928" s="142"/>
      <c r="F928" s="140"/>
      <c r="G928" s="456"/>
      <c r="H928" s="142"/>
      <c r="I928" s="142"/>
      <c r="J928" s="142"/>
      <c r="K928" s="125"/>
      <c r="L928" s="456"/>
      <c r="M928" s="142"/>
      <c r="N928" s="142"/>
      <c r="O928" s="142"/>
      <c r="P928" s="125"/>
      <c r="Q928" s="450"/>
      <c r="R928" s="142"/>
      <c r="S928" s="142"/>
      <c r="T928" s="142"/>
      <c r="U928" s="140"/>
      <c r="V928" s="456"/>
      <c r="W928" s="142"/>
      <c r="X928" s="142"/>
      <c r="Y928" s="142"/>
      <c r="Z928" s="140"/>
      <c r="AA928" s="456"/>
      <c r="AB928" s="142"/>
      <c r="AC928" s="142"/>
      <c r="AD928" s="142"/>
      <c r="AE928" s="140"/>
      <c r="AF928" s="456"/>
      <c r="AG928" s="142"/>
      <c r="AH928" s="142"/>
      <c r="AI928" s="142"/>
      <c r="AJ928" s="140"/>
      <c r="AK928" s="456"/>
      <c r="AL928" s="142"/>
      <c r="AM928" s="142"/>
      <c r="AN928" s="142"/>
      <c r="AO928" s="438"/>
      <c r="AP928" s="438"/>
      <c r="AQ928" s="438"/>
      <c r="AR928" s="438"/>
      <c r="AS928" s="438"/>
      <c r="AT928" s="438"/>
      <c r="AU928" s="438"/>
      <c r="AV928" s="438"/>
      <c r="AW928" s="438"/>
      <c r="AX928" s="438"/>
      <c r="AY928" s="438"/>
      <c r="AZ928" s="438"/>
      <c r="BA928" s="438"/>
      <c r="BB928" s="438"/>
      <c r="BC928" s="438"/>
      <c r="BD928" s="438"/>
      <c r="BE928" s="438"/>
      <c r="BF928" s="438"/>
      <c r="BG928" s="438"/>
      <c r="BH928" s="438"/>
    </row>
    <row r="929">
      <c r="A929" s="140"/>
      <c r="B929" s="456"/>
      <c r="C929" s="142"/>
      <c r="D929" s="142"/>
      <c r="E929" s="142"/>
      <c r="F929" s="140"/>
      <c r="G929" s="456"/>
      <c r="H929" s="142"/>
      <c r="I929" s="142"/>
      <c r="J929" s="142"/>
      <c r="K929" s="125"/>
      <c r="L929" s="456"/>
      <c r="M929" s="142"/>
      <c r="N929" s="142"/>
      <c r="O929" s="142"/>
      <c r="P929" s="125"/>
      <c r="Q929" s="450"/>
      <c r="R929" s="142"/>
      <c r="S929" s="142"/>
      <c r="T929" s="142"/>
      <c r="U929" s="140"/>
      <c r="V929" s="456"/>
      <c r="W929" s="142"/>
      <c r="X929" s="142"/>
      <c r="Y929" s="142"/>
      <c r="Z929" s="140"/>
      <c r="AA929" s="456"/>
      <c r="AB929" s="142"/>
      <c r="AC929" s="142"/>
      <c r="AD929" s="142"/>
      <c r="AE929" s="140"/>
      <c r="AF929" s="456"/>
      <c r="AG929" s="142"/>
      <c r="AH929" s="142"/>
      <c r="AI929" s="142"/>
      <c r="AJ929" s="140"/>
      <c r="AK929" s="456"/>
      <c r="AL929" s="142"/>
      <c r="AM929" s="142"/>
      <c r="AN929" s="142"/>
      <c r="AO929" s="438"/>
      <c r="AP929" s="438"/>
      <c r="AQ929" s="438"/>
      <c r="AR929" s="438"/>
      <c r="AS929" s="438"/>
      <c r="AT929" s="438"/>
      <c r="AU929" s="438"/>
      <c r="AV929" s="438"/>
      <c r="AW929" s="438"/>
      <c r="AX929" s="438"/>
      <c r="AY929" s="438"/>
      <c r="AZ929" s="438"/>
      <c r="BA929" s="438"/>
      <c r="BB929" s="438"/>
      <c r="BC929" s="438"/>
      <c r="BD929" s="438"/>
      <c r="BE929" s="438"/>
      <c r="BF929" s="438"/>
      <c r="BG929" s="438"/>
      <c r="BH929" s="438"/>
    </row>
    <row r="930">
      <c r="A930" s="140"/>
      <c r="B930" s="456"/>
      <c r="C930" s="142"/>
      <c r="D930" s="142"/>
      <c r="E930" s="142"/>
      <c r="F930" s="140"/>
      <c r="G930" s="456"/>
      <c r="H930" s="142"/>
      <c r="I930" s="142"/>
      <c r="J930" s="142"/>
      <c r="K930" s="125"/>
      <c r="L930" s="456"/>
      <c r="M930" s="142"/>
      <c r="N930" s="142"/>
      <c r="O930" s="142"/>
      <c r="P930" s="125"/>
      <c r="Q930" s="450"/>
      <c r="R930" s="142"/>
      <c r="S930" s="142"/>
      <c r="T930" s="142"/>
      <c r="U930" s="140"/>
      <c r="V930" s="456"/>
      <c r="W930" s="142"/>
      <c r="X930" s="142"/>
      <c r="Y930" s="142"/>
      <c r="Z930" s="140"/>
      <c r="AA930" s="456"/>
      <c r="AB930" s="142"/>
      <c r="AC930" s="142"/>
      <c r="AD930" s="142"/>
      <c r="AE930" s="140"/>
      <c r="AF930" s="456"/>
      <c r="AG930" s="142"/>
      <c r="AH930" s="142"/>
      <c r="AI930" s="142"/>
      <c r="AJ930" s="140"/>
      <c r="AK930" s="456"/>
      <c r="AL930" s="142"/>
      <c r="AM930" s="142"/>
      <c r="AN930" s="142"/>
      <c r="AO930" s="438"/>
      <c r="AP930" s="438"/>
      <c r="AQ930" s="438"/>
      <c r="AR930" s="438"/>
      <c r="AS930" s="438"/>
      <c r="AT930" s="438"/>
      <c r="AU930" s="438"/>
      <c r="AV930" s="438"/>
      <c r="AW930" s="438"/>
      <c r="AX930" s="438"/>
      <c r="AY930" s="438"/>
      <c r="AZ930" s="438"/>
      <c r="BA930" s="438"/>
      <c r="BB930" s="438"/>
      <c r="BC930" s="438"/>
      <c r="BD930" s="438"/>
      <c r="BE930" s="438"/>
      <c r="BF930" s="438"/>
      <c r="BG930" s="438"/>
      <c r="BH930" s="438"/>
    </row>
    <row r="931">
      <c r="A931" s="140"/>
      <c r="B931" s="456"/>
      <c r="C931" s="142"/>
      <c r="D931" s="142"/>
      <c r="E931" s="142"/>
      <c r="F931" s="140"/>
      <c r="G931" s="456"/>
      <c r="H931" s="142"/>
      <c r="I931" s="142"/>
      <c r="J931" s="142"/>
      <c r="K931" s="125"/>
      <c r="L931" s="456"/>
      <c r="M931" s="142"/>
      <c r="N931" s="142"/>
      <c r="O931" s="142"/>
      <c r="P931" s="125"/>
      <c r="Q931" s="450"/>
      <c r="R931" s="142"/>
      <c r="S931" s="142"/>
      <c r="T931" s="142"/>
      <c r="U931" s="140"/>
      <c r="V931" s="456"/>
      <c r="W931" s="142"/>
      <c r="X931" s="142"/>
      <c r="Y931" s="142"/>
      <c r="Z931" s="140"/>
      <c r="AA931" s="456"/>
      <c r="AB931" s="142"/>
      <c r="AC931" s="142"/>
      <c r="AD931" s="142"/>
      <c r="AE931" s="140"/>
      <c r="AF931" s="456"/>
      <c r="AG931" s="142"/>
      <c r="AH931" s="142"/>
      <c r="AI931" s="142"/>
      <c r="AJ931" s="140"/>
      <c r="AK931" s="456"/>
      <c r="AL931" s="142"/>
      <c r="AM931" s="142"/>
      <c r="AN931" s="142"/>
      <c r="AO931" s="438"/>
      <c r="AP931" s="438"/>
      <c r="AQ931" s="438"/>
      <c r="AR931" s="438"/>
      <c r="AS931" s="438"/>
      <c r="AT931" s="438"/>
      <c r="AU931" s="438"/>
      <c r="AV931" s="438"/>
      <c r="AW931" s="438"/>
      <c r="AX931" s="438"/>
      <c r="AY931" s="438"/>
      <c r="AZ931" s="438"/>
      <c r="BA931" s="438"/>
      <c r="BB931" s="438"/>
      <c r="BC931" s="438"/>
      <c r="BD931" s="438"/>
      <c r="BE931" s="438"/>
      <c r="BF931" s="438"/>
      <c r="BG931" s="438"/>
      <c r="BH931" s="438"/>
    </row>
    <row r="932">
      <c r="A932" s="140"/>
      <c r="B932" s="456"/>
      <c r="C932" s="142"/>
      <c r="D932" s="142"/>
      <c r="E932" s="142"/>
      <c r="F932" s="140"/>
      <c r="G932" s="456"/>
      <c r="H932" s="142"/>
      <c r="I932" s="142"/>
      <c r="J932" s="142"/>
      <c r="K932" s="125"/>
      <c r="L932" s="456"/>
      <c r="M932" s="142"/>
      <c r="N932" s="142"/>
      <c r="O932" s="142"/>
      <c r="P932" s="125"/>
      <c r="Q932" s="450"/>
      <c r="R932" s="142"/>
      <c r="S932" s="142"/>
      <c r="T932" s="142"/>
      <c r="U932" s="140"/>
      <c r="V932" s="456"/>
      <c r="W932" s="142"/>
      <c r="X932" s="142"/>
      <c r="Y932" s="142"/>
      <c r="Z932" s="140"/>
      <c r="AA932" s="456"/>
      <c r="AB932" s="142"/>
      <c r="AC932" s="142"/>
      <c r="AD932" s="142"/>
      <c r="AE932" s="140"/>
      <c r="AF932" s="456"/>
      <c r="AG932" s="142"/>
      <c r="AH932" s="142"/>
      <c r="AI932" s="142"/>
      <c r="AJ932" s="140"/>
      <c r="AK932" s="456"/>
      <c r="AL932" s="142"/>
      <c r="AM932" s="142"/>
      <c r="AN932" s="142"/>
      <c r="AO932" s="438"/>
      <c r="AP932" s="438"/>
      <c r="AQ932" s="438"/>
      <c r="AR932" s="438"/>
      <c r="AS932" s="438"/>
      <c r="AT932" s="438"/>
      <c r="AU932" s="438"/>
      <c r="AV932" s="438"/>
      <c r="AW932" s="438"/>
      <c r="AX932" s="438"/>
      <c r="AY932" s="438"/>
      <c r="AZ932" s="438"/>
      <c r="BA932" s="438"/>
      <c r="BB932" s="438"/>
      <c r="BC932" s="438"/>
      <c r="BD932" s="438"/>
      <c r="BE932" s="438"/>
      <c r="BF932" s="438"/>
      <c r="BG932" s="438"/>
      <c r="BH932" s="438"/>
    </row>
    <row r="933">
      <c r="A933" s="140"/>
      <c r="B933" s="456"/>
      <c r="C933" s="142"/>
      <c r="D933" s="142"/>
      <c r="E933" s="142"/>
      <c r="F933" s="140"/>
      <c r="G933" s="456"/>
      <c r="H933" s="142"/>
      <c r="I933" s="142"/>
      <c r="J933" s="142"/>
      <c r="K933" s="125"/>
      <c r="L933" s="456"/>
      <c r="M933" s="142"/>
      <c r="N933" s="142"/>
      <c r="O933" s="142"/>
      <c r="P933" s="125"/>
      <c r="Q933" s="450"/>
      <c r="R933" s="142"/>
      <c r="S933" s="142"/>
      <c r="T933" s="142"/>
      <c r="U933" s="140"/>
      <c r="V933" s="456"/>
      <c r="W933" s="142"/>
      <c r="X933" s="142"/>
      <c r="Y933" s="142"/>
      <c r="Z933" s="140"/>
      <c r="AA933" s="456"/>
      <c r="AB933" s="142"/>
      <c r="AC933" s="142"/>
      <c r="AD933" s="142"/>
      <c r="AE933" s="140"/>
      <c r="AF933" s="456"/>
      <c r="AG933" s="142"/>
      <c r="AH933" s="142"/>
      <c r="AI933" s="142"/>
      <c r="AJ933" s="140"/>
      <c r="AK933" s="456"/>
      <c r="AL933" s="142"/>
      <c r="AM933" s="142"/>
      <c r="AN933" s="142"/>
      <c r="AO933" s="438"/>
      <c r="AP933" s="438"/>
      <c r="AQ933" s="438"/>
      <c r="AR933" s="438"/>
      <c r="AS933" s="438"/>
      <c r="AT933" s="438"/>
      <c r="AU933" s="438"/>
      <c r="AV933" s="438"/>
      <c r="AW933" s="438"/>
      <c r="AX933" s="438"/>
      <c r="AY933" s="438"/>
      <c r="AZ933" s="438"/>
      <c r="BA933" s="438"/>
      <c r="BB933" s="438"/>
      <c r="BC933" s="438"/>
      <c r="BD933" s="438"/>
      <c r="BE933" s="438"/>
      <c r="BF933" s="438"/>
      <c r="BG933" s="438"/>
      <c r="BH933" s="438"/>
    </row>
    <row r="934">
      <c r="A934" s="140"/>
      <c r="B934" s="456"/>
      <c r="C934" s="142"/>
      <c r="D934" s="142"/>
      <c r="E934" s="142"/>
      <c r="F934" s="140"/>
      <c r="G934" s="456"/>
      <c r="H934" s="142"/>
      <c r="I934" s="142"/>
      <c r="J934" s="142"/>
      <c r="K934" s="125"/>
      <c r="L934" s="456"/>
      <c r="M934" s="142"/>
      <c r="N934" s="142"/>
      <c r="O934" s="142"/>
      <c r="P934" s="125"/>
      <c r="Q934" s="450"/>
      <c r="R934" s="142"/>
      <c r="S934" s="142"/>
      <c r="T934" s="142"/>
      <c r="U934" s="140"/>
      <c r="V934" s="456"/>
      <c r="W934" s="142"/>
      <c r="X934" s="142"/>
      <c r="Y934" s="142"/>
      <c r="Z934" s="140"/>
      <c r="AA934" s="456"/>
      <c r="AB934" s="142"/>
      <c r="AC934" s="142"/>
      <c r="AD934" s="142"/>
      <c r="AE934" s="140"/>
      <c r="AF934" s="456"/>
      <c r="AG934" s="142"/>
      <c r="AH934" s="142"/>
      <c r="AI934" s="142"/>
      <c r="AJ934" s="140"/>
      <c r="AK934" s="456"/>
      <c r="AL934" s="142"/>
      <c r="AM934" s="142"/>
      <c r="AN934" s="142"/>
      <c r="AO934" s="438"/>
      <c r="AP934" s="438"/>
      <c r="AQ934" s="438"/>
      <c r="AR934" s="438"/>
      <c r="AS934" s="438"/>
      <c r="AT934" s="438"/>
      <c r="AU934" s="438"/>
      <c r="AV934" s="438"/>
      <c r="AW934" s="438"/>
      <c r="AX934" s="438"/>
      <c r="AY934" s="438"/>
      <c r="AZ934" s="438"/>
      <c r="BA934" s="438"/>
      <c r="BB934" s="438"/>
      <c r="BC934" s="438"/>
      <c r="BD934" s="438"/>
      <c r="BE934" s="438"/>
      <c r="BF934" s="438"/>
      <c r="BG934" s="438"/>
      <c r="BH934" s="438"/>
    </row>
    <row r="935">
      <c r="A935" s="140"/>
      <c r="B935" s="456"/>
      <c r="C935" s="142"/>
      <c r="D935" s="142"/>
      <c r="E935" s="142"/>
      <c r="F935" s="140"/>
      <c r="G935" s="456"/>
      <c r="H935" s="142"/>
      <c r="I935" s="142"/>
      <c r="J935" s="142"/>
      <c r="K935" s="125"/>
      <c r="L935" s="456"/>
      <c r="M935" s="142"/>
      <c r="N935" s="142"/>
      <c r="O935" s="142"/>
      <c r="P935" s="125"/>
      <c r="Q935" s="450"/>
      <c r="R935" s="142"/>
      <c r="S935" s="142"/>
      <c r="T935" s="142"/>
      <c r="U935" s="140"/>
      <c r="V935" s="456"/>
      <c r="W935" s="142"/>
      <c r="X935" s="142"/>
      <c r="Y935" s="142"/>
      <c r="Z935" s="140"/>
      <c r="AA935" s="456"/>
      <c r="AB935" s="142"/>
      <c r="AC935" s="142"/>
      <c r="AD935" s="142"/>
      <c r="AE935" s="140"/>
      <c r="AF935" s="456"/>
      <c r="AG935" s="142"/>
      <c r="AH935" s="142"/>
      <c r="AI935" s="142"/>
      <c r="AJ935" s="140"/>
      <c r="AK935" s="456"/>
      <c r="AL935" s="142"/>
      <c r="AM935" s="142"/>
      <c r="AN935" s="142"/>
      <c r="AO935" s="438"/>
      <c r="AP935" s="438"/>
      <c r="AQ935" s="438"/>
      <c r="AR935" s="438"/>
      <c r="AS935" s="438"/>
      <c r="AT935" s="438"/>
      <c r="AU935" s="438"/>
      <c r="AV935" s="438"/>
      <c r="AW935" s="438"/>
      <c r="AX935" s="438"/>
      <c r="AY935" s="438"/>
      <c r="AZ935" s="438"/>
      <c r="BA935" s="438"/>
      <c r="BB935" s="438"/>
      <c r="BC935" s="438"/>
      <c r="BD935" s="438"/>
      <c r="BE935" s="438"/>
      <c r="BF935" s="438"/>
      <c r="BG935" s="438"/>
      <c r="BH935" s="438"/>
    </row>
    <row r="936">
      <c r="A936" s="140"/>
      <c r="B936" s="456"/>
      <c r="C936" s="142"/>
      <c r="D936" s="142"/>
      <c r="E936" s="142"/>
      <c r="F936" s="140"/>
      <c r="G936" s="456"/>
      <c r="H936" s="142"/>
      <c r="I936" s="142"/>
      <c r="J936" s="142"/>
      <c r="K936" s="125"/>
      <c r="L936" s="456"/>
      <c r="M936" s="142"/>
      <c r="N936" s="142"/>
      <c r="O936" s="142"/>
      <c r="P936" s="125"/>
      <c r="Q936" s="450"/>
      <c r="R936" s="142"/>
      <c r="S936" s="142"/>
      <c r="T936" s="142"/>
      <c r="U936" s="140"/>
      <c r="V936" s="456"/>
      <c r="W936" s="142"/>
      <c r="X936" s="142"/>
      <c r="Y936" s="142"/>
      <c r="Z936" s="140"/>
      <c r="AA936" s="456"/>
      <c r="AB936" s="142"/>
      <c r="AC936" s="142"/>
      <c r="AD936" s="142"/>
      <c r="AE936" s="140"/>
      <c r="AF936" s="456"/>
      <c r="AG936" s="142"/>
      <c r="AH936" s="142"/>
      <c r="AI936" s="142"/>
      <c r="AJ936" s="140"/>
      <c r="AK936" s="456"/>
      <c r="AL936" s="142"/>
      <c r="AM936" s="142"/>
      <c r="AN936" s="142"/>
      <c r="AO936" s="438"/>
      <c r="AP936" s="438"/>
      <c r="AQ936" s="438"/>
      <c r="AR936" s="438"/>
      <c r="AS936" s="438"/>
      <c r="AT936" s="438"/>
      <c r="AU936" s="438"/>
      <c r="AV936" s="438"/>
      <c r="AW936" s="438"/>
      <c r="AX936" s="438"/>
      <c r="AY936" s="438"/>
      <c r="AZ936" s="438"/>
      <c r="BA936" s="438"/>
      <c r="BB936" s="438"/>
      <c r="BC936" s="438"/>
      <c r="BD936" s="438"/>
      <c r="BE936" s="438"/>
      <c r="BF936" s="438"/>
      <c r="BG936" s="438"/>
      <c r="BH936" s="438"/>
    </row>
    <row r="937">
      <c r="A937" s="140"/>
      <c r="B937" s="456"/>
      <c r="C937" s="142"/>
      <c r="D937" s="142"/>
      <c r="E937" s="142"/>
      <c r="F937" s="140"/>
      <c r="G937" s="456"/>
      <c r="H937" s="142"/>
      <c r="I937" s="142"/>
      <c r="J937" s="142"/>
      <c r="K937" s="125"/>
      <c r="L937" s="456"/>
      <c r="M937" s="142"/>
      <c r="N937" s="142"/>
      <c r="O937" s="142"/>
      <c r="P937" s="125"/>
      <c r="Q937" s="450"/>
      <c r="R937" s="142"/>
      <c r="S937" s="142"/>
      <c r="T937" s="142"/>
      <c r="U937" s="140"/>
      <c r="V937" s="456"/>
      <c r="W937" s="142"/>
      <c r="X937" s="142"/>
      <c r="Y937" s="142"/>
      <c r="Z937" s="140"/>
      <c r="AA937" s="456"/>
      <c r="AB937" s="142"/>
      <c r="AC937" s="142"/>
      <c r="AD937" s="142"/>
      <c r="AE937" s="140"/>
      <c r="AF937" s="456"/>
      <c r="AG937" s="142"/>
      <c r="AH937" s="142"/>
      <c r="AI937" s="142"/>
      <c r="AJ937" s="140"/>
      <c r="AK937" s="456"/>
      <c r="AL937" s="142"/>
      <c r="AM937" s="142"/>
      <c r="AN937" s="142"/>
      <c r="AO937" s="438"/>
      <c r="AP937" s="438"/>
      <c r="AQ937" s="438"/>
      <c r="AR937" s="438"/>
      <c r="AS937" s="438"/>
      <c r="AT937" s="438"/>
      <c r="AU937" s="438"/>
      <c r="AV937" s="438"/>
      <c r="AW937" s="438"/>
      <c r="AX937" s="438"/>
      <c r="AY937" s="438"/>
      <c r="AZ937" s="438"/>
      <c r="BA937" s="438"/>
      <c r="BB937" s="438"/>
      <c r="BC937" s="438"/>
      <c r="BD937" s="438"/>
      <c r="BE937" s="438"/>
      <c r="BF937" s="438"/>
      <c r="BG937" s="438"/>
      <c r="BH937" s="438"/>
    </row>
    <row r="938">
      <c r="A938" s="140"/>
      <c r="B938" s="456"/>
      <c r="C938" s="142"/>
      <c r="D938" s="142"/>
      <c r="E938" s="142"/>
      <c r="F938" s="140"/>
      <c r="G938" s="456"/>
      <c r="H938" s="142"/>
      <c r="I938" s="142"/>
      <c r="J938" s="142"/>
      <c r="K938" s="125"/>
      <c r="L938" s="456"/>
      <c r="M938" s="142"/>
      <c r="N938" s="142"/>
      <c r="O938" s="142"/>
      <c r="P938" s="125"/>
      <c r="Q938" s="450"/>
      <c r="R938" s="142"/>
      <c r="S938" s="142"/>
      <c r="T938" s="142"/>
      <c r="U938" s="140"/>
      <c r="V938" s="456"/>
      <c r="W938" s="142"/>
      <c r="X938" s="142"/>
      <c r="Y938" s="142"/>
      <c r="Z938" s="140"/>
      <c r="AA938" s="456"/>
      <c r="AB938" s="142"/>
      <c r="AC938" s="142"/>
      <c r="AD938" s="142"/>
      <c r="AE938" s="140"/>
      <c r="AF938" s="456"/>
      <c r="AG938" s="142"/>
      <c r="AH938" s="142"/>
      <c r="AI938" s="142"/>
      <c r="AJ938" s="140"/>
      <c r="AK938" s="456"/>
      <c r="AL938" s="142"/>
      <c r="AM938" s="142"/>
      <c r="AN938" s="142"/>
      <c r="AO938" s="438"/>
      <c r="AP938" s="438"/>
      <c r="AQ938" s="438"/>
      <c r="AR938" s="438"/>
      <c r="AS938" s="438"/>
      <c r="AT938" s="438"/>
      <c r="AU938" s="438"/>
      <c r="AV938" s="438"/>
      <c r="AW938" s="438"/>
      <c r="AX938" s="438"/>
      <c r="AY938" s="438"/>
      <c r="AZ938" s="438"/>
      <c r="BA938" s="438"/>
      <c r="BB938" s="438"/>
      <c r="BC938" s="438"/>
      <c r="BD938" s="438"/>
      <c r="BE938" s="438"/>
      <c r="BF938" s="438"/>
      <c r="BG938" s="438"/>
      <c r="BH938" s="438"/>
    </row>
    <row r="939">
      <c r="A939" s="140"/>
      <c r="B939" s="456"/>
      <c r="C939" s="142"/>
      <c r="D939" s="142"/>
      <c r="E939" s="142"/>
      <c r="F939" s="140"/>
      <c r="G939" s="456"/>
      <c r="H939" s="142"/>
      <c r="I939" s="142"/>
      <c r="J939" s="142"/>
      <c r="K939" s="125"/>
      <c r="L939" s="456"/>
      <c r="M939" s="142"/>
      <c r="N939" s="142"/>
      <c r="O939" s="142"/>
      <c r="P939" s="125"/>
      <c r="Q939" s="450"/>
      <c r="R939" s="142"/>
      <c r="S939" s="142"/>
      <c r="T939" s="142"/>
      <c r="U939" s="140"/>
      <c r="V939" s="456"/>
      <c r="W939" s="142"/>
      <c r="X939" s="142"/>
      <c r="Y939" s="142"/>
      <c r="Z939" s="140"/>
      <c r="AA939" s="456"/>
      <c r="AB939" s="142"/>
      <c r="AC939" s="142"/>
      <c r="AD939" s="142"/>
      <c r="AE939" s="140"/>
      <c r="AF939" s="456"/>
      <c r="AG939" s="142"/>
      <c r="AH939" s="142"/>
      <c r="AI939" s="142"/>
      <c r="AJ939" s="140"/>
      <c r="AK939" s="456"/>
      <c r="AL939" s="142"/>
      <c r="AM939" s="142"/>
      <c r="AN939" s="142"/>
      <c r="AO939" s="438"/>
      <c r="AP939" s="438"/>
      <c r="AQ939" s="438"/>
      <c r="AR939" s="438"/>
      <c r="AS939" s="438"/>
      <c r="AT939" s="438"/>
      <c r="AU939" s="438"/>
      <c r="AV939" s="438"/>
      <c r="AW939" s="438"/>
      <c r="AX939" s="438"/>
      <c r="AY939" s="438"/>
      <c r="AZ939" s="438"/>
      <c r="BA939" s="438"/>
      <c r="BB939" s="438"/>
      <c r="BC939" s="438"/>
      <c r="BD939" s="438"/>
      <c r="BE939" s="438"/>
      <c r="BF939" s="438"/>
      <c r="BG939" s="438"/>
      <c r="BH939" s="438"/>
    </row>
    <row r="940">
      <c r="A940" s="140"/>
      <c r="B940" s="456"/>
      <c r="C940" s="142"/>
      <c r="D940" s="142"/>
      <c r="E940" s="142"/>
      <c r="F940" s="140"/>
      <c r="G940" s="456"/>
      <c r="H940" s="142"/>
      <c r="I940" s="142"/>
      <c r="J940" s="142"/>
      <c r="K940" s="125"/>
      <c r="L940" s="456"/>
      <c r="M940" s="142"/>
      <c r="N940" s="142"/>
      <c r="O940" s="142"/>
      <c r="P940" s="125"/>
      <c r="Q940" s="450"/>
      <c r="R940" s="142"/>
      <c r="S940" s="142"/>
      <c r="T940" s="142"/>
      <c r="U940" s="140"/>
      <c r="V940" s="456"/>
      <c r="W940" s="142"/>
      <c r="X940" s="142"/>
      <c r="Y940" s="142"/>
      <c r="Z940" s="140"/>
      <c r="AA940" s="456"/>
      <c r="AB940" s="142"/>
      <c r="AC940" s="142"/>
      <c r="AD940" s="142"/>
      <c r="AE940" s="140"/>
      <c r="AF940" s="456"/>
      <c r="AG940" s="142"/>
      <c r="AH940" s="142"/>
      <c r="AI940" s="142"/>
      <c r="AJ940" s="140"/>
      <c r="AK940" s="456"/>
      <c r="AL940" s="142"/>
      <c r="AM940" s="142"/>
      <c r="AN940" s="142"/>
      <c r="AO940" s="438"/>
      <c r="AP940" s="438"/>
      <c r="AQ940" s="438"/>
      <c r="AR940" s="438"/>
      <c r="AS940" s="438"/>
      <c r="AT940" s="438"/>
      <c r="AU940" s="438"/>
      <c r="AV940" s="438"/>
      <c r="AW940" s="438"/>
      <c r="AX940" s="438"/>
      <c r="AY940" s="438"/>
      <c r="AZ940" s="438"/>
      <c r="BA940" s="438"/>
      <c r="BB940" s="438"/>
      <c r="BC940" s="438"/>
      <c r="BD940" s="438"/>
      <c r="BE940" s="438"/>
      <c r="BF940" s="438"/>
      <c r="BG940" s="438"/>
      <c r="BH940" s="438"/>
    </row>
    <row r="941">
      <c r="A941" s="140"/>
      <c r="B941" s="456"/>
      <c r="C941" s="142"/>
      <c r="D941" s="142"/>
      <c r="E941" s="142"/>
      <c r="F941" s="140"/>
      <c r="G941" s="456"/>
      <c r="H941" s="142"/>
      <c r="I941" s="142"/>
      <c r="J941" s="142"/>
      <c r="K941" s="125"/>
      <c r="L941" s="456"/>
      <c r="M941" s="142"/>
      <c r="N941" s="142"/>
      <c r="O941" s="142"/>
      <c r="P941" s="125"/>
      <c r="Q941" s="450"/>
      <c r="R941" s="142"/>
      <c r="S941" s="142"/>
      <c r="T941" s="142"/>
      <c r="U941" s="140"/>
      <c r="V941" s="456"/>
      <c r="W941" s="142"/>
      <c r="X941" s="142"/>
      <c r="Y941" s="142"/>
      <c r="Z941" s="140"/>
      <c r="AA941" s="456"/>
      <c r="AB941" s="142"/>
      <c r="AC941" s="142"/>
      <c r="AD941" s="142"/>
      <c r="AE941" s="140"/>
      <c r="AF941" s="456"/>
      <c r="AG941" s="142"/>
      <c r="AH941" s="142"/>
      <c r="AI941" s="142"/>
      <c r="AJ941" s="140"/>
      <c r="AK941" s="456"/>
      <c r="AL941" s="142"/>
      <c r="AM941" s="142"/>
      <c r="AN941" s="142"/>
      <c r="AO941" s="438"/>
      <c r="AP941" s="438"/>
      <c r="AQ941" s="438"/>
      <c r="AR941" s="438"/>
      <c r="AS941" s="438"/>
      <c r="AT941" s="438"/>
      <c r="AU941" s="438"/>
      <c r="AV941" s="438"/>
      <c r="AW941" s="438"/>
      <c r="AX941" s="438"/>
      <c r="AY941" s="438"/>
      <c r="AZ941" s="438"/>
      <c r="BA941" s="438"/>
      <c r="BB941" s="438"/>
      <c r="BC941" s="438"/>
      <c r="BD941" s="438"/>
      <c r="BE941" s="438"/>
      <c r="BF941" s="438"/>
      <c r="BG941" s="438"/>
      <c r="BH941" s="438"/>
    </row>
    <row r="942">
      <c r="A942" s="140"/>
      <c r="B942" s="456"/>
      <c r="C942" s="142"/>
      <c r="D942" s="142"/>
      <c r="E942" s="142"/>
      <c r="F942" s="140"/>
      <c r="G942" s="456"/>
      <c r="H942" s="142"/>
      <c r="I942" s="142"/>
      <c r="J942" s="142"/>
      <c r="K942" s="125"/>
      <c r="L942" s="456"/>
      <c r="M942" s="142"/>
      <c r="N942" s="142"/>
      <c r="O942" s="142"/>
      <c r="P942" s="125"/>
      <c r="Q942" s="450"/>
      <c r="R942" s="142"/>
      <c r="S942" s="142"/>
      <c r="T942" s="142"/>
      <c r="U942" s="140"/>
      <c r="V942" s="456"/>
      <c r="W942" s="142"/>
      <c r="X942" s="142"/>
      <c r="Y942" s="142"/>
      <c r="Z942" s="140"/>
      <c r="AA942" s="456"/>
      <c r="AB942" s="142"/>
      <c r="AC942" s="142"/>
      <c r="AD942" s="142"/>
      <c r="AE942" s="140"/>
      <c r="AF942" s="456"/>
      <c r="AG942" s="142"/>
      <c r="AH942" s="142"/>
      <c r="AI942" s="142"/>
      <c r="AJ942" s="140"/>
      <c r="AK942" s="456"/>
      <c r="AL942" s="142"/>
      <c r="AM942" s="142"/>
      <c r="AN942" s="142"/>
      <c r="AO942" s="438"/>
      <c r="AP942" s="438"/>
      <c r="AQ942" s="438"/>
      <c r="AR942" s="438"/>
      <c r="AS942" s="438"/>
      <c r="AT942" s="438"/>
      <c r="AU942" s="438"/>
      <c r="AV942" s="438"/>
      <c r="AW942" s="438"/>
      <c r="AX942" s="438"/>
      <c r="AY942" s="438"/>
      <c r="AZ942" s="438"/>
      <c r="BA942" s="438"/>
      <c r="BB942" s="438"/>
      <c r="BC942" s="438"/>
      <c r="BD942" s="438"/>
      <c r="BE942" s="438"/>
      <c r="BF942" s="438"/>
      <c r="BG942" s="438"/>
      <c r="BH942" s="438"/>
    </row>
    <row r="943">
      <c r="A943" s="140"/>
      <c r="B943" s="456"/>
      <c r="C943" s="142"/>
      <c r="D943" s="142"/>
      <c r="E943" s="142"/>
      <c r="F943" s="140"/>
      <c r="G943" s="456"/>
      <c r="H943" s="142"/>
      <c r="I943" s="142"/>
      <c r="J943" s="142"/>
      <c r="K943" s="125"/>
      <c r="L943" s="456"/>
      <c r="M943" s="142"/>
      <c r="N943" s="142"/>
      <c r="O943" s="142"/>
      <c r="P943" s="125"/>
      <c r="Q943" s="450"/>
      <c r="R943" s="142"/>
      <c r="S943" s="142"/>
      <c r="T943" s="142"/>
      <c r="U943" s="140"/>
      <c r="V943" s="456"/>
      <c r="W943" s="142"/>
      <c r="X943" s="142"/>
      <c r="Y943" s="142"/>
      <c r="Z943" s="140"/>
      <c r="AA943" s="456"/>
      <c r="AB943" s="142"/>
      <c r="AC943" s="142"/>
      <c r="AD943" s="142"/>
      <c r="AE943" s="140"/>
      <c r="AF943" s="456"/>
      <c r="AG943" s="142"/>
      <c r="AH943" s="142"/>
      <c r="AI943" s="142"/>
      <c r="AJ943" s="140"/>
      <c r="AK943" s="456"/>
      <c r="AL943" s="142"/>
      <c r="AM943" s="142"/>
      <c r="AN943" s="142"/>
      <c r="AO943" s="438"/>
      <c r="AP943" s="438"/>
      <c r="AQ943" s="438"/>
      <c r="AR943" s="438"/>
      <c r="AS943" s="438"/>
      <c r="AT943" s="438"/>
      <c r="AU943" s="438"/>
      <c r="AV943" s="438"/>
      <c r="AW943" s="438"/>
      <c r="AX943" s="438"/>
      <c r="AY943" s="438"/>
      <c r="AZ943" s="438"/>
      <c r="BA943" s="438"/>
      <c r="BB943" s="438"/>
      <c r="BC943" s="438"/>
      <c r="BD943" s="438"/>
      <c r="BE943" s="438"/>
      <c r="BF943" s="438"/>
      <c r="BG943" s="438"/>
      <c r="BH943" s="438"/>
    </row>
    <row r="944">
      <c r="A944" s="140"/>
      <c r="B944" s="456"/>
      <c r="C944" s="142"/>
      <c r="D944" s="142"/>
      <c r="E944" s="142"/>
      <c r="F944" s="140"/>
      <c r="G944" s="456"/>
      <c r="H944" s="142"/>
      <c r="I944" s="142"/>
      <c r="J944" s="142"/>
      <c r="K944" s="125"/>
      <c r="L944" s="456"/>
      <c r="M944" s="142"/>
      <c r="N944" s="142"/>
      <c r="O944" s="142"/>
      <c r="P944" s="125"/>
      <c r="Q944" s="450"/>
      <c r="R944" s="142"/>
      <c r="S944" s="142"/>
      <c r="T944" s="142"/>
      <c r="U944" s="140"/>
      <c r="V944" s="456"/>
      <c r="W944" s="142"/>
      <c r="X944" s="142"/>
      <c r="Y944" s="142"/>
      <c r="Z944" s="140"/>
      <c r="AA944" s="456"/>
      <c r="AB944" s="142"/>
      <c r="AC944" s="142"/>
      <c r="AD944" s="142"/>
      <c r="AE944" s="140"/>
      <c r="AF944" s="456"/>
      <c r="AG944" s="142"/>
      <c r="AH944" s="142"/>
      <c r="AI944" s="142"/>
      <c r="AJ944" s="140"/>
      <c r="AK944" s="456"/>
      <c r="AL944" s="142"/>
      <c r="AM944" s="142"/>
      <c r="AN944" s="142"/>
      <c r="AO944" s="438"/>
      <c r="AP944" s="438"/>
      <c r="AQ944" s="438"/>
      <c r="AR944" s="438"/>
      <c r="AS944" s="438"/>
      <c r="AT944" s="438"/>
      <c r="AU944" s="438"/>
      <c r="AV944" s="438"/>
      <c r="AW944" s="438"/>
      <c r="AX944" s="438"/>
      <c r="AY944" s="438"/>
      <c r="AZ944" s="438"/>
      <c r="BA944" s="438"/>
      <c r="BB944" s="438"/>
      <c r="BC944" s="438"/>
      <c r="BD944" s="438"/>
      <c r="BE944" s="438"/>
      <c r="BF944" s="438"/>
      <c r="BG944" s="438"/>
      <c r="BH944" s="438"/>
    </row>
    <row r="945">
      <c r="A945" s="140"/>
      <c r="B945" s="456"/>
      <c r="C945" s="142"/>
      <c r="D945" s="142"/>
      <c r="E945" s="142"/>
      <c r="F945" s="140"/>
      <c r="G945" s="456"/>
      <c r="H945" s="142"/>
      <c r="I945" s="142"/>
      <c r="J945" s="142"/>
      <c r="K945" s="125"/>
      <c r="L945" s="456"/>
      <c r="M945" s="142"/>
      <c r="N945" s="142"/>
      <c r="O945" s="142"/>
      <c r="P945" s="125"/>
      <c r="Q945" s="450"/>
      <c r="R945" s="142"/>
      <c r="S945" s="142"/>
      <c r="T945" s="142"/>
      <c r="U945" s="140"/>
      <c r="V945" s="456"/>
      <c r="W945" s="142"/>
      <c r="X945" s="142"/>
      <c r="Y945" s="142"/>
      <c r="Z945" s="140"/>
      <c r="AA945" s="456"/>
      <c r="AB945" s="142"/>
      <c r="AC945" s="142"/>
      <c r="AD945" s="142"/>
      <c r="AE945" s="140"/>
      <c r="AF945" s="456"/>
      <c r="AG945" s="142"/>
      <c r="AH945" s="142"/>
      <c r="AI945" s="142"/>
      <c r="AJ945" s="140"/>
      <c r="AK945" s="456"/>
      <c r="AL945" s="142"/>
      <c r="AM945" s="142"/>
      <c r="AN945" s="142"/>
      <c r="AO945" s="438"/>
      <c r="AP945" s="438"/>
      <c r="AQ945" s="438"/>
      <c r="AR945" s="438"/>
      <c r="AS945" s="438"/>
      <c r="AT945" s="438"/>
      <c r="AU945" s="438"/>
      <c r="AV945" s="438"/>
      <c r="AW945" s="438"/>
      <c r="AX945" s="438"/>
      <c r="AY945" s="438"/>
      <c r="AZ945" s="438"/>
      <c r="BA945" s="438"/>
      <c r="BB945" s="438"/>
      <c r="BC945" s="438"/>
      <c r="BD945" s="438"/>
      <c r="BE945" s="438"/>
      <c r="BF945" s="438"/>
      <c r="BG945" s="438"/>
      <c r="BH945" s="438"/>
    </row>
    <row r="946">
      <c r="A946" s="140"/>
      <c r="B946" s="456"/>
      <c r="C946" s="142"/>
      <c r="D946" s="142"/>
      <c r="E946" s="142"/>
      <c r="F946" s="140"/>
      <c r="G946" s="456"/>
      <c r="H946" s="142"/>
      <c r="I946" s="142"/>
      <c r="J946" s="142"/>
      <c r="K946" s="125"/>
      <c r="L946" s="456"/>
      <c r="M946" s="142"/>
      <c r="N946" s="142"/>
      <c r="O946" s="142"/>
      <c r="P946" s="125"/>
      <c r="Q946" s="450"/>
      <c r="R946" s="142"/>
      <c r="S946" s="142"/>
      <c r="T946" s="142"/>
      <c r="U946" s="140"/>
      <c r="V946" s="456"/>
      <c r="W946" s="142"/>
      <c r="X946" s="142"/>
      <c r="Y946" s="142"/>
      <c r="Z946" s="140"/>
      <c r="AA946" s="456"/>
      <c r="AB946" s="142"/>
      <c r="AC946" s="142"/>
      <c r="AD946" s="142"/>
      <c r="AE946" s="140"/>
      <c r="AF946" s="456"/>
      <c r="AG946" s="142"/>
      <c r="AH946" s="142"/>
      <c r="AI946" s="142"/>
      <c r="AJ946" s="140"/>
      <c r="AK946" s="456"/>
      <c r="AL946" s="142"/>
      <c r="AM946" s="142"/>
      <c r="AN946" s="142"/>
      <c r="AO946" s="438"/>
      <c r="AP946" s="438"/>
      <c r="AQ946" s="438"/>
      <c r="AR946" s="438"/>
      <c r="AS946" s="438"/>
      <c r="AT946" s="438"/>
      <c r="AU946" s="438"/>
      <c r="AV946" s="438"/>
      <c r="AW946" s="438"/>
      <c r="AX946" s="438"/>
      <c r="AY946" s="438"/>
      <c r="AZ946" s="438"/>
      <c r="BA946" s="438"/>
      <c r="BB946" s="438"/>
      <c r="BC946" s="438"/>
      <c r="BD946" s="438"/>
      <c r="BE946" s="438"/>
      <c r="BF946" s="438"/>
      <c r="BG946" s="438"/>
      <c r="BH946" s="438"/>
    </row>
    <row r="947">
      <c r="A947" s="140"/>
      <c r="B947" s="456"/>
      <c r="C947" s="142"/>
      <c r="D947" s="142"/>
      <c r="E947" s="142"/>
      <c r="F947" s="140"/>
      <c r="G947" s="456"/>
      <c r="H947" s="142"/>
      <c r="I947" s="142"/>
      <c r="J947" s="142"/>
      <c r="K947" s="125"/>
      <c r="L947" s="456"/>
      <c r="M947" s="142"/>
      <c r="N947" s="142"/>
      <c r="O947" s="142"/>
      <c r="P947" s="125"/>
      <c r="Q947" s="450"/>
      <c r="R947" s="142"/>
      <c r="S947" s="142"/>
      <c r="T947" s="142"/>
      <c r="U947" s="140"/>
      <c r="V947" s="456"/>
      <c r="W947" s="142"/>
      <c r="X947" s="142"/>
      <c r="Y947" s="142"/>
      <c r="Z947" s="140"/>
      <c r="AA947" s="456"/>
      <c r="AB947" s="142"/>
      <c r="AC947" s="142"/>
      <c r="AD947" s="142"/>
      <c r="AE947" s="140"/>
      <c r="AF947" s="456"/>
      <c r="AG947" s="142"/>
      <c r="AH947" s="142"/>
      <c r="AI947" s="142"/>
      <c r="AJ947" s="140"/>
      <c r="AK947" s="456"/>
      <c r="AL947" s="142"/>
      <c r="AM947" s="142"/>
      <c r="AN947" s="142"/>
      <c r="AO947" s="438"/>
      <c r="AP947" s="438"/>
      <c r="AQ947" s="438"/>
      <c r="AR947" s="438"/>
      <c r="AS947" s="438"/>
      <c r="AT947" s="438"/>
      <c r="AU947" s="438"/>
      <c r="AV947" s="438"/>
      <c r="AW947" s="438"/>
      <c r="AX947" s="438"/>
      <c r="AY947" s="438"/>
      <c r="AZ947" s="438"/>
      <c r="BA947" s="438"/>
      <c r="BB947" s="438"/>
      <c r="BC947" s="438"/>
      <c r="BD947" s="438"/>
      <c r="BE947" s="438"/>
      <c r="BF947" s="438"/>
      <c r="BG947" s="438"/>
      <c r="BH947" s="438"/>
    </row>
    <row r="948">
      <c r="A948" s="140"/>
      <c r="B948" s="456"/>
      <c r="C948" s="142"/>
      <c r="D948" s="142"/>
      <c r="E948" s="142"/>
      <c r="F948" s="140"/>
      <c r="G948" s="456"/>
      <c r="H948" s="142"/>
      <c r="I948" s="142"/>
      <c r="J948" s="142"/>
      <c r="K948" s="125"/>
      <c r="L948" s="456"/>
      <c r="M948" s="142"/>
      <c r="N948" s="142"/>
      <c r="O948" s="142"/>
      <c r="P948" s="125"/>
      <c r="Q948" s="450"/>
      <c r="R948" s="142"/>
      <c r="S948" s="142"/>
      <c r="T948" s="142"/>
      <c r="U948" s="140"/>
      <c r="V948" s="456"/>
      <c r="W948" s="142"/>
      <c r="X948" s="142"/>
      <c r="Y948" s="142"/>
      <c r="Z948" s="140"/>
      <c r="AA948" s="456"/>
      <c r="AB948" s="142"/>
      <c r="AC948" s="142"/>
      <c r="AD948" s="142"/>
      <c r="AE948" s="140"/>
      <c r="AF948" s="456"/>
      <c r="AG948" s="142"/>
      <c r="AH948" s="142"/>
      <c r="AI948" s="142"/>
      <c r="AJ948" s="140"/>
      <c r="AK948" s="456"/>
      <c r="AL948" s="142"/>
      <c r="AM948" s="142"/>
      <c r="AN948" s="142"/>
      <c r="AO948" s="438"/>
      <c r="AP948" s="438"/>
      <c r="AQ948" s="438"/>
      <c r="AR948" s="438"/>
      <c r="AS948" s="438"/>
      <c r="AT948" s="438"/>
      <c r="AU948" s="438"/>
      <c r="AV948" s="438"/>
      <c r="AW948" s="438"/>
      <c r="AX948" s="438"/>
      <c r="AY948" s="438"/>
      <c r="AZ948" s="438"/>
      <c r="BA948" s="438"/>
      <c r="BB948" s="438"/>
      <c r="BC948" s="438"/>
      <c r="BD948" s="438"/>
      <c r="BE948" s="438"/>
      <c r="BF948" s="438"/>
      <c r="BG948" s="438"/>
      <c r="BH948" s="438"/>
    </row>
    <row r="949">
      <c r="A949" s="140"/>
      <c r="B949" s="456"/>
      <c r="C949" s="142"/>
      <c r="D949" s="142"/>
      <c r="E949" s="142"/>
      <c r="F949" s="140"/>
      <c r="G949" s="456"/>
      <c r="H949" s="142"/>
      <c r="I949" s="142"/>
      <c r="J949" s="142"/>
      <c r="K949" s="125"/>
      <c r="L949" s="456"/>
      <c r="M949" s="142"/>
      <c r="N949" s="142"/>
      <c r="O949" s="142"/>
      <c r="P949" s="125"/>
      <c r="Q949" s="450"/>
      <c r="R949" s="142"/>
      <c r="S949" s="142"/>
      <c r="T949" s="142"/>
      <c r="U949" s="140"/>
      <c r="V949" s="456"/>
      <c r="W949" s="142"/>
      <c r="X949" s="142"/>
      <c r="Y949" s="142"/>
      <c r="Z949" s="140"/>
      <c r="AA949" s="456"/>
      <c r="AB949" s="142"/>
      <c r="AC949" s="142"/>
      <c r="AD949" s="142"/>
      <c r="AE949" s="140"/>
      <c r="AF949" s="456"/>
      <c r="AG949" s="142"/>
      <c r="AH949" s="142"/>
      <c r="AI949" s="142"/>
      <c r="AJ949" s="140"/>
      <c r="AK949" s="456"/>
      <c r="AL949" s="142"/>
      <c r="AM949" s="142"/>
      <c r="AN949" s="142"/>
      <c r="AO949" s="438"/>
      <c r="AP949" s="438"/>
      <c r="AQ949" s="438"/>
      <c r="AR949" s="438"/>
      <c r="AS949" s="438"/>
      <c r="AT949" s="438"/>
      <c r="AU949" s="438"/>
      <c r="AV949" s="438"/>
      <c r="AW949" s="438"/>
      <c r="AX949" s="438"/>
      <c r="AY949" s="438"/>
      <c r="AZ949" s="438"/>
      <c r="BA949" s="438"/>
      <c r="BB949" s="438"/>
      <c r="BC949" s="438"/>
      <c r="BD949" s="438"/>
      <c r="BE949" s="438"/>
      <c r="BF949" s="438"/>
      <c r="BG949" s="438"/>
      <c r="BH949" s="438"/>
    </row>
    <row r="950">
      <c r="A950" s="140"/>
      <c r="B950" s="456"/>
      <c r="C950" s="142"/>
      <c r="D950" s="142"/>
      <c r="E950" s="142"/>
      <c r="F950" s="140"/>
      <c r="G950" s="456"/>
      <c r="H950" s="142"/>
      <c r="I950" s="142"/>
      <c r="J950" s="142"/>
      <c r="K950" s="125"/>
      <c r="L950" s="456"/>
      <c r="M950" s="142"/>
      <c r="N950" s="142"/>
      <c r="O950" s="142"/>
      <c r="P950" s="125"/>
      <c r="Q950" s="450"/>
      <c r="R950" s="142"/>
      <c r="S950" s="142"/>
      <c r="T950" s="142"/>
      <c r="U950" s="140"/>
      <c r="V950" s="456"/>
      <c r="W950" s="142"/>
      <c r="X950" s="142"/>
      <c r="Y950" s="142"/>
      <c r="Z950" s="140"/>
      <c r="AA950" s="456"/>
      <c r="AB950" s="142"/>
      <c r="AC950" s="142"/>
      <c r="AD950" s="142"/>
      <c r="AE950" s="140"/>
      <c r="AF950" s="456"/>
      <c r="AG950" s="142"/>
      <c r="AH950" s="142"/>
      <c r="AI950" s="142"/>
      <c r="AJ950" s="140"/>
      <c r="AK950" s="456"/>
      <c r="AL950" s="142"/>
      <c r="AM950" s="142"/>
      <c r="AN950" s="142"/>
      <c r="AO950" s="438"/>
      <c r="AP950" s="438"/>
      <c r="AQ950" s="438"/>
      <c r="AR950" s="438"/>
      <c r="AS950" s="438"/>
      <c r="AT950" s="438"/>
      <c r="AU950" s="438"/>
      <c r="AV950" s="438"/>
      <c r="AW950" s="438"/>
      <c r="AX950" s="438"/>
      <c r="AY950" s="438"/>
      <c r="AZ950" s="438"/>
      <c r="BA950" s="438"/>
      <c r="BB950" s="438"/>
      <c r="BC950" s="438"/>
      <c r="BD950" s="438"/>
      <c r="BE950" s="438"/>
      <c r="BF950" s="438"/>
      <c r="BG950" s="438"/>
      <c r="BH950" s="438"/>
    </row>
    <row r="951">
      <c r="A951" s="140"/>
      <c r="B951" s="456"/>
      <c r="C951" s="142"/>
      <c r="D951" s="142"/>
      <c r="E951" s="142"/>
      <c r="F951" s="140"/>
      <c r="G951" s="456"/>
      <c r="H951" s="142"/>
      <c r="I951" s="142"/>
      <c r="J951" s="142"/>
      <c r="K951" s="125"/>
      <c r="L951" s="456"/>
      <c r="M951" s="142"/>
      <c r="N951" s="142"/>
      <c r="O951" s="142"/>
      <c r="P951" s="125"/>
      <c r="Q951" s="450"/>
      <c r="R951" s="142"/>
      <c r="S951" s="142"/>
      <c r="T951" s="142"/>
      <c r="U951" s="140"/>
      <c r="V951" s="456"/>
      <c r="W951" s="142"/>
      <c r="X951" s="142"/>
      <c r="Y951" s="142"/>
      <c r="Z951" s="140"/>
      <c r="AA951" s="456"/>
      <c r="AB951" s="142"/>
      <c r="AC951" s="142"/>
      <c r="AD951" s="142"/>
      <c r="AE951" s="140"/>
      <c r="AF951" s="456"/>
      <c r="AG951" s="142"/>
      <c r="AH951" s="142"/>
      <c r="AI951" s="142"/>
      <c r="AJ951" s="140"/>
      <c r="AK951" s="456"/>
      <c r="AL951" s="142"/>
      <c r="AM951" s="142"/>
      <c r="AN951" s="142"/>
      <c r="AO951" s="438"/>
      <c r="AP951" s="438"/>
      <c r="AQ951" s="438"/>
      <c r="AR951" s="438"/>
      <c r="AS951" s="438"/>
      <c r="AT951" s="438"/>
      <c r="AU951" s="438"/>
      <c r="AV951" s="438"/>
      <c r="AW951" s="438"/>
      <c r="AX951" s="438"/>
      <c r="AY951" s="438"/>
      <c r="AZ951" s="438"/>
      <c r="BA951" s="438"/>
      <c r="BB951" s="438"/>
      <c r="BC951" s="438"/>
      <c r="BD951" s="438"/>
      <c r="BE951" s="438"/>
      <c r="BF951" s="438"/>
      <c r="BG951" s="438"/>
      <c r="BH951" s="438"/>
    </row>
    <row r="952">
      <c r="A952" s="140"/>
      <c r="B952" s="456"/>
      <c r="C952" s="142"/>
      <c r="D952" s="142"/>
      <c r="E952" s="142"/>
      <c r="F952" s="140"/>
      <c r="G952" s="456"/>
      <c r="H952" s="142"/>
      <c r="I952" s="142"/>
      <c r="J952" s="142"/>
      <c r="K952" s="125"/>
      <c r="L952" s="456"/>
      <c r="M952" s="142"/>
      <c r="N952" s="142"/>
      <c r="O952" s="142"/>
      <c r="P952" s="125"/>
      <c r="Q952" s="450"/>
      <c r="R952" s="142"/>
      <c r="S952" s="142"/>
      <c r="T952" s="142"/>
      <c r="U952" s="140"/>
      <c r="V952" s="456"/>
      <c r="W952" s="142"/>
      <c r="X952" s="142"/>
      <c r="Y952" s="142"/>
      <c r="Z952" s="140"/>
      <c r="AA952" s="456"/>
      <c r="AB952" s="142"/>
      <c r="AC952" s="142"/>
      <c r="AD952" s="142"/>
      <c r="AE952" s="140"/>
      <c r="AF952" s="456"/>
      <c r="AG952" s="142"/>
      <c r="AH952" s="142"/>
      <c r="AI952" s="142"/>
      <c r="AJ952" s="140"/>
      <c r="AK952" s="456"/>
      <c r="AL952" s="142"/>
      <c r="AM952" s="142"/>
      <c r="AN952" s="142"/>
      <c r="AO952" s="438"/>
      <c r="AP952" s="438"/>
      <c r="AQ952" s="438"/>
      <c r="AR952" s="438"/>
      <c r="AS952" s="438"/>
      <c r="AT952" s="438"/>
      <c r="AU952" s="438"/>
      <c r="AV952" s="438"/>
      <c r="AW952" s="438"/>
      <c r="AX952" s="438"/>
      <c r="AY952" s="438"/>
      <c r="AZ952" s="438"/>
      <c r="BA952" s="438"/>
      <c r="BB952" s="438"/>
      <c r="BC952" s="438"/>
      <c r="BD952" s="438"/>
      <c r="BE952" s="438"/>
      <c r="BF952" s="438"/>
      <c r="BG952" s="438"/>
      <c r="BH952" s="438"/>
    </row>
    <row r="953">
      <c r="A953" s="140"/>
      <c r="B953" s="456"/>
      <c r="C953" s="142"/>
      <c r="D953" s="142"/>
      <c r="E953" s="142"/>
      <c r="F953" s="140"/>
      <c r="G953" s="456"/>
      <c r="H953" s="142"/>
      <c r="I953" s="142"/>
      <c r="J953" s="142"/>
      <c r="K953" s="125"/>
      <c r="L953" s="456"/>
      <c r="M953" s="142"/>
      <c r="N953" s="142"/>
      <c r="O953" s="142"/>
      <c r="P953" s="125"/>
      <c r="Q953" s="450"/>
      <c r="R953" s="142"/>
      <c r="S953" s="142"/>
      <c r="T953" s="142"/>
      <c r="U953" s="140"/>
      <c r="V953" s="456"/>
      <c r="W953" s="142"/>
      <c r="X953" s="142"/>
      <c r="Y953" s="142"/>
      <c r="Z953" s="140"/>
      <c r="AA953" s="456"/>
      <c r="AB953" s="142"/>
      <c r="AC953" s="142"/>
      <c r="AD953" s="142"/>
      <c r="AE953" s="140"/>
      <c r="AF953" s="456"/>
      <c r="AG953" s="142"/>
      <c r="AH953" s="142"/>
      <c r="AI953" s="142"/>
      <c r="AJ953" s="140"/>
      <c r="AK953" s="456"/>
      <c r="AL953" s="142"/>
      <c r="AM953" s="142"/>
      <c r="AN953" s="142"/>
      <c r="AO953" s="438"/>
      <c r="AP953" s="438"/>
      <c r="AQ953" s="438"/>
      <c r="AR953" s="438"/>
      <c r="AS953" s="438"/>
      <c r="AT953" s="438"/>
      <c r="AU953" s="438"/>
      <c r="AV953" s="438"/>
      <c r="AW953" s="438"/>
      <c r="AX953" s="438"/>
      <c r="AY953" s="438"/>
      <c r="AZ953" s="438"/>
      <c r="BA953" s="438"/>
      <c r="BB953" s="438"/>
      <c r="BC953" s="438"/>
      <c r="BD953" s="438"/>
      <c r="BE953" s="438"/>
      <c r="BF953" s="438"/>
      <c r="BG953" s="438"/>
      <c r="BH953" s="438"/>
    </row>
    <row r="954">
      <c r="A954" s="140"/>
      <c r="B954" s="456"/>
      <c r="C954" s="142"/>
      <c r="D954" s="142"/>
      <c r="E954" s="142"/>
      <c r="F954" s="140"/>
      <c r="G954" s="456"/>
      <c r="H954" s="142"/>
      <c r="I954" s="142"/>
      <c r="J954" s="142"/>
      <c r="K954" s="125"/>
      <c r="L954" s="456"/>
      <c r="M954" s="142"/>
      <c r="N954" s="142"/>
      <c r="O954" s="142"/>
      <c r="P954" s="125"/>
      <c r="Q954" s="450"/>
      <c r="R954" s="142"/>
      <c r="S954" s="142"/>
      <c r="T954" s="142"/>
      <c r="U954" s="140"/>
      <c r="V954" s="456"/>
      <c r="W954" s="142"/>
      <c r="X954" s="142"/>
      <c r="Y954" s="142"/>
      <c r="Z954" s="140"/>
      <c r="AA954" s="456"/>
      <c r="AB954" s="142"/>
      <c r="AC954" s="142"/>
      <c r="AD954" s="142"/>
      <c r="AE954" s="140"/>
      <c r="AF954" s="456"/>
      <c r="AG954" s="142"/>
      <c r="AH954" s="142"/>
      <c r="AI954" s="142"/>
      <c r="AJ954" s="140"/>
      <c r="AK954" s="456"/>
      <c r="AL954" s="142"/>
      <c r="AM954" s="142"/>
      <c r="AN954" s="142"/>
      <c r="AO954" s="438"/>
      <c r="AP954" s="438"/>
      <c r="AQ954" s="438"/>
      <c r="AR954" s="438"/>
      <c r="AS954" s="438"/>
      <c r="AT954" s="438"/>
      <c r="AU954" s="438"/>
      <c r="AV954" s="438"/>
      <c r="AW954" s="438"/>
      <c r="AX954" s="438"/>
      <c r="AY954" s="438"/>
      <c r="AZ954" s="438"/>
      <c r="BA954" s="438"/>
      <c r="BB954" s="438"/>
      <c r="BC954" s="438"/>
      <c r="BD954" s="438"/>
      <c r="BE954" s="438"/>
      <c r="BF954" s="438"/>
      <c r="BG954" s="438"/>
      <c r="BH954" s="438"/>
    </row>
    <row r="955">
      <c r="A955" s="140"/>
      <c r="B955" s="456"/>
      <c r="C955" s="142"/>
      <c r="D955" s="142"/>
      <c r="E955" s="142"/>
      <c r="F955" s="140"/>
      <c r="G955" s="456"/>
      <c r="H955" s="142"/>
      <c r="I955" s="142"/>
      <c r="J955" s="142"/>
      <c r="K955" s="125"/>
      <c r="L955" s="456"/>
      <c r="M955" s="142"/>
      <c r="N955" s="142"/>
      <c r="O955" s="142"/>
      <c r="P955" s="125"/>
      <c r="Q955" s="450"/>
      <c r="R955" s="142"/>
      <c r="S955" s="142"/>
      <c r="T955" s="142"/>
      <c r="U955" s="140"/>
      <c r="V955" s="456"/>
      <c r="W955" s="142"/>
      <c r="X955" s="142"/>
      <c r="Y955" s="142"/>
      <c r="Z955" s="140"/>
      <c r="AA955" s="456"/>
      <c r="AB955" s="142"/>
      <c r="AC955" s="142"/>
      <c r="AD955" s="142"/>
      <c r="AE955" s="140"/>
      <c r="AF955" s="456"/>
      <c r="AG955" s="142"/>
      <c r="AH955" s="142"/>
      <c r="AI955" s="142"/>
      <c r="AJ955" s="140"/>
      <c r="AK955" s="456"/>
      <c r="AL955" s="142"/>
      <c r="AM955" s="142"/>
      <c r="AN955" s="142"/>
      <c r="AO955" s="438"/>
      <c r="AP955" s="438"/>
      <c r="AQ955" s="438"/>
      <c r="AR955" s="438"/>
      <c r="AS955" s="438"/>
      <c r="AT955" s="438"/>
      <c r="AU955" s="438"/>
      <c r="AV955" s="438"/>
      <c r="AW955" s="438"/>
      <c r="AX955" s="438"/>
      <c r="AY955" s="438"/>
      <c r="AZ955" s="438"/>
      <c r="BA955" s="438"/>
      <c r="BB955" s="438"/>
      <c r="BC955" s="438"/>
      <c r="BD955" s="438"/>
      <c r="BE955" s="438"/>
      <c r="BF955" s="438"/>
      <c r="BG955" s="438"/>
      <c r="BH955" s="438"/>
    </row>
    <row r="956">
      <c r="A956" s="140"/>
      <c r="B956" s="456"/>
      <c r="C956" s="142"/>
      <c r="D956" s="142"/>
      <c r="E956" s="142"/>
      <c r="F956" s="140"/>
      <c r="G956" s="456"/>
      <c r="H956" s="142"/>
      <c r="I956" s="142"/>
      <c r="J956" s="142"/>
      <c r="K956" s="125"/>
      <c r="L956" s="456"/>
      <c r="M956" s="142"/>
      <c r="N956" s="142"/>
      <c r="O956" s="142"/>
      <c r="P956" s="125"/>
      <c r="Q956" s="450"/>
      <c r="R956" s="142"/>
      <c r="S956" s="142"/>
      <c r="T956" s="142"/>
      <c r="U956" s="140"/>
      <c r="V956" s="456"/>
      <c r="W956" s="142"/>
      <c r="X956" s="142"/>
      <c r="Y956" s="142"/>
      <c r="Z956" s="140"/>
      <c r="AA956" s="456"/>
      <c r="AB956" s="142"/>
      <c r="AC956" s="142"/>
      <c r="AD956" s="142"/>
      <c r="AE956" s="140"/>
      <c r="AF956" s="456"/>
      <c r="AG956" s="142"/>
      <c r="AH956" s="142"/>
      <c r="AI956" s="142"/>
      <c r="AJ956" s="140"/>
      <c r="AK956" s="456"/>
      <c r="AL956" s="142"/>
      <c r="AM956" s="142"/>
      <c r="AN956" s="142"/>
      <c r="AO956" s="438"/>
      <c r="AP956" s="438"/>
      <c r="AQ956" s="438"/>
      <c r="AR956" s="438"/>
      <c r="AS956" s="438"/>
      <c r="AT956" s="438"/>
      <c r="AU956" s="438"/>
      <c r="AV956" s="438"/>
      <c r="AW956" s="438"/>
      <c r="AX956" s="438"/>
      <c r="AY956" s="438"/>
      <c r="AZ956" s="438"/>
      <c r="BA956" s="438"/>
      <c r="BB956" s="438"/>
      <c r="BC956" s="438"/>
      <c r="BD956" s="438"/>
      <c r="BE956" s="438"/>
      <c r="BF956" s="438"/>
      <c r="BG956" s="438"/>
      <c r="BH956" s="438"/>
    </row>
    <row r="957">
      <c r="A957" s="140"/>
      <c r="B957" s="456"/>
      <c r="C957" s="142"/>
      <c r="D957" s="142"/>
      <c r="E957" s="142"/>
      <c r="F957" s="140"/>
      <c r="G957" s="456"/>
      <c r="H957" s="142"/>
      <c r="I957" s="142"/>
      <c r="J957" s="142"/>
      <c r="K957" s="125"/>
      <c r="L957" s="456"/>
      <c r="M957" s="142"/>
      <c r="N957" s="142"/>
      <c r="O957" s="142"/>
      <c r="P957" s="125"/>
      <c r="Q957" s="450"/>
      <c r="R957" s="142"/>
      <c r="S957" s="142"/>
      <c r="T957" s="142"/>
      <c r="U957" s="140"/>
      <c r="V957" s="456"/>
      <c r="W957" s="142"/>
      <c r="X957" s="142"/>
      <c r="Y957" s="142"/>
      <c r="Z957" s="140"/>
      <c r="AA957" s="456"/>
      <c r="AB957" s="142"/>
      <c r="AC957" s="142"/>
      <c r="AD957" s="142"/>
      <c r="AE957" s="140"/>
      <c r="AF957" s="456"/>
      <c r="AG957" s="142"/>
      <c r="AH957" s="142"/>
      <c r="AI957" s="142"/>
      <c r="AJ957" s="140"/>
      <c r="AK957" s="456"/>
      <c r="AL957" s="142"/>
      <c r="AM957" s="142"/>
      <c r="AN957" s="142"/>
      <c r="AO957" s="438"/>
      <c r="AP957" s="438"/>
      <c r="AQ957" s="438"/>
      <c r="AR957" s="438"/>
      <c r="AS957" s="438"/>
      <c r="AT957" s="438"/>
      <c r="AU957" s="438"/>
      <c r="AV957" s="438"/>
      <c r="AW957" s="438"/>
      <c r="AX957" s="438"/>
      <c r="AY957" s="438"/>
      <c r="AZ957" s="438"/>
      <c r="BA957" s="438"/>
      <c r="BB957" s="438"/>
      <c r="BC957" s="438"/>
      <c r="BD957" s="438"/>
      <c r="BE957" s="438"/>
      <c r="BF957" s="438"/>
      <c r="BG957" s="438"/>
      <c r="BH957" s="438"/>
    </row>
    <row r="958">
      <c r="A958" s="140"/>
      <c r="B958" s="456"/>
      <c r="C958" s="142"/>
      <c r="D958" s="142"/>
      <c r="E958" s="142"/>
      <c r="F958" s="140"/>
      <c r="G958" s="456"/>
      <c r="H958" s="142"/>
      <c r="I958" s="142"/>
      <c r="J958" s="142"/>
      <c r="K958" s="125"/>
      <c r="L958" s="456"/>
      <c r="M958" s="142"/>
      <c r="N958" s="142"/>
      <c r="O958" s="142"/>
      <c r="P958" s="125"/>
      <c r="Q958" s="450"/>
      <c r="R958" s="142"/>
      <c r="S958" s="142"/>
      <c r="T958" s="142"/>
      <c r="U958" s="140"/>
      <c r="V958" s="456"/>
      <c r="W958" s="142"/>
      <c r="X958" s="142"/>
      <c r="Y958" s="142"/>
      <c r="Z958" s="140"/>
      <c r="AA958" s="456"/>
      <c r="AB958" s="142"/>
      <c r="AC958" s="142"/>
      <c r="AD958" s="142"/>
      <c r="AE958" s="140"/>
      <c r="AF958" s="456"/>
      <c r="AG958" s="142"/>
      <c r="AH958" s="142"/>
      <c r="AI958" s="142"/>
      <c r="AJ958" s="140"/>
      <c r="AK958" s="456"/>
      <c r="AL958" s="142"/>
      <c r="AM958" s="142"/>
      <c r="AN958" s="142"/>
      <c r="AO958" s="438"/>
      <c r="AP958" s="438"/>
      <c r="AQ958" s="438"/>
      <c r="AR958" s="438"/>
      <c r="AS958" s="438"/>
      <c r="AT958" s="438"/>
      <c r="AU958" s="438"/>
      <c r="AV958" s="438"/>
      <c r="AW958" s="438"/>
      <c r="AX958" s="438"/>
      <c r="AY958" s="438"/>
      <c r="AZ958" s="438"/>
      <c r="BA958" s="438"/>
      <c r="BB958" s="438"/>
      <c r="BC958" s="438"/>
      <c r="BD958" s="438"/>
      <c r="BE958" s="438"/>
      <c r="BF958" s="438"/>
      <c r="BG958" s="438"/>
      <c r="BH958" s="438"/>
    </row>
    <row r="959">
      <c r="A959" s="140"/>
      <c r="B959" s="456"/>
      <c r="C959" s="142"/>
      <c r="D959" s="142"/>
      <c r="E959" s="142"/>
      <c r="F959" s="140"/>
      <c r="G959" s="456"/>
      <c r="H959" s="142"/>
      <c r="I959" s="142"/>
      <c r="J959" s="142"/>
      <c r="K959" s="125"/>
      <c r="L959" s="456"/>
      <c r="M959" s="142"/>
      <c r="N959" s="142"/>
      <c r="O959" s="142"/>
      <c r="P959" s="125"/>
      <c r="Q959" s="450"/>
      <c r="R959" s="142"/>
      <c r="S959" s="142"/>
      <c r="T959" s="142"/>
      <c r="U959" s="140"/>
      <c r="V959" s="456"/>
      <c r="W959" s="142"/>
      <c r="X959" s="142"/>
      <c r="Y959" s="142"/>
      <c r="Z959" s="140"/>
      <c r="AA959" s="456"/>
      <c r="AB959" s="142"/>
      <c r="AC959" s="142"/>
      <c r="AD959" s="142"/>
      <c r="AE959" s="140"/>
      <c r="AF959" s="456"/>
      <c r="AG959" s="142"/>
      <c r="AH959" s="142"/>
      <c r="AI959" s="142"/>
      <c r="AJ959" s="140"/>
      <c r="AK959" s="456"/>
      <c r="AL959" s="142"/>
      <c r="AM959" s="142"/>
      <c r="AN959" s="142"/>
      <c r="AO959" s="438"/>
      <c r="AP959" s="438"/>
      <c r="AQ959" s="438"/>
      <c r="AR959" s="438"/>
      <c r="AS959" s="438"/>
      <c r="AT959" s="438"/>
      <c r="AU959" s="438"/>
      <c r="AV959" s="438"/>
      <c r="AW959" s="438"/>
      <c r="AX959" s="438"/>
      <c r="AY959" s="438"/>
      <c r="AZ959" s="438"/>
      <c r="BA959" s="438"/>
      <c r="BB959" s="438"/>
      <c r="BC959" s="438"/>
      <c r="BD959" s="438"/>
      <c r="BE959" s="438"/>
      <c r="BF959" s="438"/>
      <c r="BG959" s="438"/>
      <c r="BH959" s="438"/>
    </row>
    <row r="960">
      <c r="A960" s="140"/>
      <c r="B960" s="456"/>
      <c r="C960" s="142"/>
      <c r="D960" s="142"/>
      <c r="E960" s="142"/>
      <c r="F960" s="140"/>
      <c r="G960" s="456"/>
      <c r="H960" s="142"/>
      <c r="I960" s="142"/>
      <c r="J960" s="142"/>
      <c r="K960" s="125"/>
      <c r="L960" s="456"/>
      <c r="M960" s="142"/>
      <c r="N960" s="142"/>
      <c r="O960" s="142"/>
      <c r="P960" s="125"/>
      <c r="Q960" s="450"/>
      <c r="R960" s="142"/>
      <c r="S960" s="142"/>
      <c r="T960" s="142"/>
      <c r="U960" s="140"/>
      <c r="V960" s="456"/>
      <c r="W960" s="142"/>
      <c r="X960" s="142"/>
      <c r="Y960" s="142"/>
      <c r="Z960" s="140"/>
      <c r="AA960" s="456"/>
      <c r="AB960" s="142"/>
      <c r="AC960" s="142"/>
      <c r="AD960" s="142"/>
      <c r="AE960" s="140"/>
      <c r="AF960" s="456"/>
      <c r="AG960" s="142"/>
      <c r="AH960" s="142"/>
      <c r="AI960" s="142"/>
      <c r="AJ960" s="140"/>
      <c r="AK960" s="456"/>
      <c r="AL960" s="142"/>
      <c r="AM960" s="142"/>
      <c r="AN960" s="142"/>
      <c r="AO960" s="438"/>
      <c r="AP960" s="438"/>
      <c r="AQ960" s="438"/>
      <c r="AR960" s="438"/>
      <c r="AS960" s="438"/>
      <c r="AT960" s="438"/>
      <c r="AU960" s="438"/>
      <c r="AV960" s="438"/>
      <c r="AW960" s="438"/>
      <c r="AX960" s="438"/>
      <c r="AY960" s="438"/>
      <c r="AZ960" s="438"/>
      <c r="BA960" s="438"/>
      <c r="BB960" s="438"/>
      <c r="BC960" s="438"/>
      <c r="BD960" s="438"/>
      <c r="BE960" s="438"/>
      <c r="BF960" s="438"/>
      <c r="BG960" s="438"/>
      <c r="BH960" s="438"/>
    </row>
    <row r="961">
      <c r="A961" s="140"/>
      <c r="B961" s="456"/>
      <c r="C961" s="142"/>
      <c r="D961" s="142"/>
      <c r="E961" s="142"/>
      <c r="F961" s="140"/>
      <c r="G961" s="456"/>
      <c r="H961" s="142"/>
      <c r="I961" s="142"/>
      <c r="J961" s="142"/>
      <c r="K961" s="125"/>
      <c r="L961" s="456"/>
      <c r="M961" s="142"/>
      <c r="N961" s="142"/>
      <c r="O961" s="142"/>
      <c r="P961" s="125"/>
      <c r="Q961" s="450"/>
      <c r="R961" s="142"/>
      <c r="S961" s="142"/>
      <c r="T961" s="142"/>
      <c r="U961" s="140"/>
      <c r="V961" s="456"/>
      <c r="W961" s="142"/>
      <c r="X961" s="142"/>
      <c r="Y961" s="142"/>
      <c r="Z961" s="140"/>
      <c r="AA961" s="456"/>
      <c r="AB961" s="142"/>
      <c r="AC961" s="142"/>
      <c r="AD961" s="142"/>
      <c r="AE961" s="140"/>
      <c r="AF961" s="456"/>
      <c r="AG961" s="142"/>
      <c r="AH961" s="142"/>
      <c r="AI961" s="142"/>
      <c r="AJ961" s="140"/>
      <c r="AK961" s="456"/>
      <c r="AL961" s="142"/>
      <c r="AM961" s="142"/>
      <c r="AN961" s="142"/>
      <c r="AO961" s="438"/>
      <c r="AP961" s="438"/>
      <c r="AQ961" s="438"/>
      <c r="AR961" s="438"/>
      <c r="AS961" s="438"/>
      <c r="AT961" s="438"/>
      <c r="AU961" s="438"/>
      <c r="AV961" s="438"/>
      <c r="AW961" s="438"/>
      <c r="AX961" s="438"/>
      <c r="AY961" s="438"/>
      <c r="AZ961" s="438"/>
      <c r="BA961" s="438"/>
      <c r="BB961" s="438"/>
      <c r="BC961" s="438"/>
      <c r="BD961" s="438"/>
      <c r="BE961" s="438"/>
      <c r="BF961" s="438"/>
      <c r="BG961" s="438"/>
      <c r="BH961" s="438"/>
    </row>
    <row r="962">
      <c r="A962" s="140"/>
      <c r="B962" s="456"/>
      <c r="C962" s="142"/>
      <c r="D962" s="142"/>
      <c r="E962" s="142"/>
      <c r="F962" s="140"/>
      <c r="G962" s="456"/>
      <c r="H962" s="142"/>
      <c r="I962" s="142"/>
      <c r="J962" s="142"/>
      <c r="K962" s="125"/>
      <c r="L962" s="456"/>
      <c r="M962" s="142"/>
      <c r="N962" s="142"/>
      <c r="O962" s="142"/>
      <c r="P962" s="125"/>
      <c r="Q962" s="450"/>
      <c r="R962" s="142"/>
      <c r="S962" s="142"/>
      <c r="T962" s="142"/>
      <c r="U962" s="140"/>
      <c r="V962" s="456"/>
      <c r="W962" s="142"/>
      <c r="X962" s="142"/>
      <c r="Y962" s="142"/>
      <c r="Z962" s="140"/>
      <c r="AA962" s="456"/>
      <c r="AB962" s="142"/>
      <c r="AC962" s="142"/>
      <c r="AD962" s="142"/>
      <c r="AE962" s="140"/>
      <c r="AF962" s="456"/>
      <c r="AG962" s="142"/>
      <c r="AH962" s="142"/>
      <c r="AI962" s="142"/>
      <c r="AJ962" s="140"/>
      <c r="AK962" s="456"/>
      <c r="AL962" s="142"/>
      <c r="AM962" s="142"/>
      <c r="AN962" s="142"/>
      <c r="AO962" s="438"/>
      <c r="AP962" s="438"/>
      <c r="AQ962" s="438"/>
      <c r="AR962" s="438"/>
      <c r="AS962" s="438"/>
      <c r="AT962" s="438"/>
      <c r="AU962" s="438"/>
      <c r="AV962" s="438"/>
      <c r="AW962" s="438"/>
      <c r="AX962" s="438"/>
      <c r="AY962" s="438"/>
      <c r="AZ962" s="438"/>
      <c r="BA962" s="438"/>
      <c r="BB962" s="438"/>
      <c r="BC962" s="438"/>
      <c r="BD962" s="438"/>
      <c r="BE962" s="438"/>
      <c r="BF962" s="438"/>
      <c r="BG962" s="438"/>
      <c r="BH962" s="438"/>
    </row>
    <row r="963">
      <c r="A963" s="140"/>
      <c r="B963" s="456"/>
      <c r="C963" s="142"/>
      <c r="D963" s="142"/>
      <c r="E963" s="142"/>
      <c r="F963" s="140"/>
      <c r="G963" s="456"/>
      <c r="H963" s="142"/>
      <c r="I963" s="142"/>
      <c r="J963" s="142"/>
      <c r="K963" s="125"/>
      <c r="L963" s="456"/>
      <c r="M963" s="142"/>
      <c r="N963" s="142"/>
      <c r="O963" s="142"/>
      <c r="P963" s="125"/>
      <c r="Q963" s="450"/>
      <c r="R963" s="142"/>
      <c r="S963" s="142"/>
      <c r="T963" s="142"/>
      <c r="U963" s="140"/>
      <c r="V963" s="456"/>
      <c r="W963" s="142"/>
      <c r="X963" s="142"/>
      <c r="Y963" s="142"/>
      <c r="Z963" s="140"/>
      <c r="AA963" s="456"/>
      <c r="AB963" s="142"/>
      <c r="AC963" s="142"/>
      <c r="AD963" s="142"/>
      <c r="AE963" s="140"/>
      <c r="AF963" s="456"/>
      <c r="AG963" s="142"/>
      <c r="AH963" s="142"/>
      <c r="AI963" s="142"/>
      <c r="AJ963" s="140"/>
      <c r="AK963" s="456"/>
      <c r="AL963" s="142"/>
      <c r="AM963" s="142"/>
      <c r="AN963" s="142"/>
      <c r="AO963" s="438"/>
      <c r="AP963" s="438"/>
      <c r="AQ963" s="438"/>
      <c r="AR963" s="438"/>
      <c r="AS963" s="438"/>
      <c r="AT963" s="438"/>
      <c r="AU963" s="438"/>
      <c r="AV963" s="438"/>
      <c r="AW963" s="438"/>
      <c r="AX963" s="438"/>
      <c r="AY963" s="438"/>
      <c r="AZ963" s="438"/>
      <c r="BA963" s="438"/>
      <c r="BB963" s="438"/>
      <c r="BC963" s="438"/>
      <c r="BD963" s="438"/>
      <c r="BE963" s="438"/>
      <c r="BF963" s="438"/>
      <c r="BG963" s="438"/>
      <c r="BH963" s="438"/>
    </row>
    <row r="964">
      <c r="A964" s="140"/>
      <c r="B964" s="456"/>
      <c r="C964" s="142"/>
      <c r="D964" s="142"/>
      <c r="E964" s="142"/>
      <c r="F964" s="140"/>
      <c r="G964" s="456"/>
      <c r="H964" s="142"/>
      <c r="I964" s="142"/>
      <c r="J964" s="142"/>
      <c r="K964" s="125"/>
      <c r="L964" s="456"/>
      <c r="M964" s="142"/>
      <c r="N964" s="142"/>
      <c r="O964" s="142"/>
      <c r="P964" s="125"/>
      <c r="Q964" s="450"/>
      <c r="R964" s="142"/>
      <c r="S964" s="142"/>
      <c r="T964" s="142"/>
      <c r="U964" s="140"/>
      <c r="V964" s="456"/>
      <c r="W964" s="142"/>
      <c r="X964" s="142"/>
      <c r="Y964" s="142"/>
      <c r="Z964" s="140"/>
      <c r="AA964" s="456"/>
      <c r="AB964" s="142"/>
      <c r="AC964" s="142"/>
      <c r="AD964" s="142"/>
      <c r="AE964" s="140"/>
      <c r="AF964" s="456"/>
      <c r="AG964" s="142"/>
      <c r="AH964" s="142"/>
      <c r="AI964" s="142"/>
      <c r="AJ964" s="140"/>
      <c r="AK964" s="456"/>
      <c r="AL964" s="142"/>
      <c r="AM964" s="142"/>
      <c r="AN964" s="142"/>
      <c r="AO964" s="438"/>
      <c r="AP964" s="438"/>
      <c r="AQ964" s="438"/>
      <c r="AR964" s="438"/>
      <c r="AS964" s="438"/>
      <c r="AT964" s="438"/>
      <c r="AU964" s="438"/>
      <c r="AV964" s="438"/>
      <c r="AW964" s="438"/>
      <c r="AX964" s="438"/>
      <c r="AY964" s="438"/>
      <c r="AZ964" s="438"/>
      <c r="BA964" s="438"/>
      <c r="BB964" s="438"/>
      <c r="BC964" s="438"/>
      <c r="BD964" s="438"/>
      <c r="BE964" s="438"/>
      <c r="BF964" s="438"/>
      <c r="BG964" s="438"/>
      <c r="BH964" s="438"/>
    </row>
    <row r="965">
      <c r="A965" s="140"/>
      <c r="B965" s="456"/>
      <c r="C965" s="142"/>
      <c r="D965" s="142"/>
      <c r="E965" s="142"/>
      <c r="F965" s="140"/>
      <c r="G965" s="456"/>
      <c r="H965" s="142"/>
      <c r="I965" s="142"/>
      <c r="J965" s="142"/>
      <c r="K965" s="125"/>
      <c r="L965" s="456"/>
      <c r="M965" s="142"/>
      <c r="N965" s="142"/>
      <c r="O965" s="142"/>
      <c r="P965" s="125"/>
      <c r="Q965" s="450"/>
      <c r="R965" s="142"/>
      <c r="S965" s="142"/>
      <c r="T965" s="142"/>
      <c r="U965" s="140"/>
      <c r="V965" s="456"/>
      <c r="W965" s="142"/>
      <c r="X965" s="142"/>
      <c r="Y965" s="142"/>
      <c r="Z965" s="140"/>
      <c r="AA965" s="456"/>
      <c r="AB965" s="142"/>
      <c r="AC965" s="142"/>
      <c r="AD965" s="142"/>
      <c r="AE965" s="140"/>
      <c r="AF965" s="456"/>
      <c r="AG965" s="142"/>
      <c r="AH965" s="142"/>
      <c r="AI965" s="142"/>
      <c r="AJ965" s="140"/>
      <c r="AK965" s="456"/>
      <c r="AL965" s="142"/>
      <c r="AM965" s="142"/>
      <c r="AN965" s="142"/>
      <c r="AO965" s="438"/>
      <c r="AP965" s="438"/>
      <c r="AQ965" s="438"/>
      <c r="AR965" s="438"/>
      <c r="AS965" s="438"/>
      <c r="AT965" s="438"/>
      <c r="AU965" s="438"/>
      <c r="AV965" s="438"/>
      <c r="AW965" s="438"/>
      <c r="AX965" s="438"/>
      <c r="AY965" s="438"/>
      <c r="AZ965" s="438"/>
      <c r="BA965" s="438"/>
      <c r="BB965" s="438"/>
      <c r="BC965" s="438"/>
      <c r="BD965" s="438"/>
      <c r="BE965" s="438"/>
      <c r="BF965" s="438"/>
      <c r="BG965" s="438"/>
      <c r="BH965" s="438"/>
    </row>
    <row r="966">
      <c r="A966" s="140"/>
      <c r="B966" s="456"/>
      <c r="C966" s="142"/>
      <c r="D966" s="142"/>
      <c r="E966" s="142"/>
      <c r="F966" s="140"/>
      <c r="G966" s="456"/>
      <c r="H966" s="142"/>
      <c r="I966" s="142"/>
      <c r="J966" s="142"/>
      <c r="K966" s="125"/>
      <c r="L966" s="456"/>
      <c r="M966" s="142"/>
      <c r="N966" s="142"/>
      <c r="O966" s="142"/>
      <c r="P966" s="125"/>
      <c r="Q966" s="450"/>
      <c r="R966" s="142"/>
      <c r="S966" s="142"/>
      <c r="T966" s="142"/>
      <c r="U966" s="140"/>
      <c r="V966" s="456"/>
      <c r="W966" s="142"/>
      <c r="X966" s="142"/>
      <c r="Y966" s="142"/>
      <c r="Z966" s="140"/>
      <c r="AA966" s="456"/>
      <c r="AB966" s="142"/>
      <c r="AC966" s="142"/>
      <c r="AD966" s="142"/>
      <c r="AE966" s="140"/>
      <c r="AF966" s="456"/>
      <c r="AG966" s="142"/>
      <c r="AH966" s="142"/>
      <c r="AI966" s="142"/>
      <c r="AJ966" s="140"/>
      <c r="AK966" s="456"/>
      <c r="AL966" s="142"/>
      <c r="AM966" s="142"/>
      <c r="AN966" s="142"/>
      <c r="AO966" s="438"/>
      <c r="AP966" s="438"/>
      <c r="AQ966" s="438"/>
      <c r="AR966" s="438"/>
      <c r="AS966" s="438"/>
      <c r="AT966" s="438"/>
      <c r="AU966" s="438"/>
      <c r="AV966" s="438"/>
      <c r="AW966" s="438"/>
      <c r="AX966" s="438"/>
      <c r="AY966" s="438"/>
      <c r="AZ966" s="438"/>
      <c r="BA966" s="438"/>
      <c r="BB966" s="438"/>
      <c r="BC966" s="438"/>
      <c r="BD966" s="438"/>
      <c r="BE966" s="438"/>
      <c r="BF966" s="438"/>
      <c r="BG966" s="438"/>
      <c r="BH966" s="438"/>
    </row>
    <row r="967">
      <c r="A967" s="140"/>
      <c r="B967" s="456"/>
      <c r="C967" s="142"/>
      <c r="D967" s="142"/>
      <c r="E967" s="142"/>
      <c r="F967" s="140"/>
      <c r="G967" s="456"/>
      <c r="H967" s="142"/>
      <c r="I967" s="142"/>
      <c r="J967" s="142"/>
      <c r="K967" s="125"/>
      <c r="L967" s="456"/>
      <c r="M967" s="142"/>
      <c r="N967" s="142"/>
      <c r="O967" s="142"/>
      <c r="P967" s="125"/>
      <c r="Q967" s="450"/>
      <c r="R967" s="142"/>
      <c r="S967" s="142"/>
      <c r="T967" s="142"/>
      <c r="U967" s="140"/>
      <c r="V967" s="456"/>
      <c r="W967" s="142"/>
      <c r="X967" s="142"/>
      <c r="Y967" s="142"/>
      <c r="Z967" s="140"/>
      <c r="AA967" s="456"/>
      <c r="AB967" s="142"/>
      <c r="AC967" s="142"/>
      <c r="AD967" s="142"/>
      <c r="AE967" s="140"/>
      <c r="AF967" s="456"/>
      <c r="AG967" s="142"/>
      <c r="AH967" s="142"/>
      <c r="AI967" s="142"/>
      <c r="AJ967" s="140"/>
      <c r="AK967" s="456"/>
      <c r="AL967" s="142"/>
      <c r="AM967" s="142"/>
      <c r="AN967" s="142"/>
      <c r="AO967" s="438"/>
      <c r="AP967" s="438"/>
      <c r="AQ967" s="438"/>
      <c r="AR967" s="438"/>
      <c r="AS967" s="438"/>
      <c r="AT967" s="438"/>
      <c r="AU967" s="438"/>
      <c r="AV967" s="438"/>
      <c r="AW967" s="438"/>
      <c r="AX967" s="438"/>
      <c r="AY967" s="438"/>
      <c r="AZ967" s="438"/>
      <c r="BA967" s="438"/>
      <c r="BB967" s="438"/>
      <c r="BC967" s="438"/>
      <c r="BD967" s="438"/>
      <c r="BE967" s="438"/>
      <c r="BF967" s="438"/>
      <c r="BG967" s="438"/>
      <c r="BH967" s="438"/>
    </row>
    <row r="968">
      <c r="A968" s="140"/>
      <c r="B968" s="456"/>
      <c r="C968" s="142"/>
      <c r="D968" s="142"/>
      <c r="E968" s="142"/>
      <c r="F968" s="140"/>
      <c r="G968" s="456"/>
      <c r="H968" s="142"/>
      <c r="I968" s="142"/>
      <c r="J968" s="142"/>
      <c r="K968" s="125"/>
      <c r="L968" s="456"/>
      <c r="M968" s="142"/>
      <c r="N968" s="142"/>
      <c r="O968" s="142"/>
      <c r="P968" s="125"/>
      <c r="Q968" s="450"/>
      <c r="R968" s="142"/>
      <c r="S968" s="142"/>
      <c r="T968" s="142"/>
      <c r="U968" s="140"/>
      <c r="V968" s="456"/>
      <c r="W968" s="142"/>
      <c r="X968" s="142"/>
      <c r="Y968" s="142"/>
      <c r="Z968" s="140"/>
      <c r="AA968" s="456"/>
      <c r="AB968" s="142"/>
      <c r="AC968" s="142"/>
      <c r="AD968" s="142"/>
      <c r="AE968" s="140"/>
      <c r="AF968" s="456"/>
      <c r="AG968" s="142"/>
      <c r="AH968" s="142"/>
      <c r="AI968" s="142"/>
      <c r="AJ968" s="140"/>
      <c r="AK968" s="456"/>
      <c r="AL968" s="142"/>
      <c r="AM968" s="142"/>
      <c r="AN968" s="142"/>
      <c r="AO968" s="438"/>
      <c r="AP968" s="438"/>
      <c r="AQ968" s="438"/>
      <c r="AR968" s="438"/>
      <c r="AS968" s="438"/>
      <c r="AT968" s="438"/>
      <c r="AU968" s="438"/>
      <c r="AV968" s="438"/>
      <c r="AW968" s="438"/>
      <c r="AX968" s="438"/>
      <c r="AY968" s="438"/>
      <c r="AZ968" s="438"/>
      <c r="BA968" s="438"/>
      <c r="BB968" s="438"/>
      <c r="BC968" s="438"/>
      <c r="BD968" s="438"/>
      <c r="BE968" s="438"/>
      <c r="BF968" s="438"/>
      <c r="BG968" s="438"/>
      <c r="BH968" s="438"/>
    </row>
    <row r="969">
      <c r="A969" s="140"/>
      <c r="B969" s="456"/>
      <c r="C969" s="142"/>
      <c r="D969" s="142"/>
      <c r="E969" s="142"/>
      <c r="F969" s="140"/>
      <c r="G969" s="456"/>
      <c r="H969" s="142"/>
      <c r="I969" s="142"/>
      <c r="J969" s="142"/>
      <c r="K969" s="125"/>
      <c r="L969" s="456"/>
      <c r="M969" s="142"/>
      <c r="N969" s="142"/>
      <c r="O969" s="142"/>
      <c r="P969" s="125"/>
      <c r="Q969" s="450"/>
      <c r="R969" s="142"/>
      <c r="S969" s="142"/>
      <c r="T969" s="142"/>
      <c r="U969" s="140"/>
      <c r="V969" s="456"/>
      <c r="W969" s="142"/>
      <c r="X969" s="142"/>
      <c r="Y969" s="142"/>
      <c r="Z969" s="140"/>
      <c r="AA969" s="456"/>
      <c r="AB969" s="142"/>
      <c r="AC969" s="142"/>
      <c r="AD969" s="142"/>
      <c r="AE969" s="140"/>
      <c r="AF969" s="456"/>
      <c r="AG969" s="142"/>
      <c r="AH969" s="142"/>
      <c r="AI969" s="142"/>
      <c r="AJ969" s="140"/>
      <c r="AK969" s="456"/>
      <c r="AL969" s="142"/>
      <c r="AM969" s="142"/>
      <c r="AN969" s="142"/>
      <c r="AO969" s="438"/>
      <c r="AP969" s="438"/>
      <c r="AQ969" s="438"/>
      <c r="AR969" s="438"/>
      <c r="AS969" s="438"/>
      <c r="AT969" s="438"/>
      <c r="AU969" s="438"/>
      <c r="AV969" s="438"/>
      <c r="AW969" s="438"/>
      <c r="AX969" s="438"/>
      <c r="AY969" s="438"/>
      <c r="AZ969" s="438"/>
      <c r="BA969" s="438"/>
      <c r="BB969" s="438"/>
      <c r="BC969" s="438"/>
      <c r="BD969" s="438"/>
      <c r="BE969" s="438"/>
      <c r="BF969" s="438"/>
      <c r="BG969" s="438"/>
      <c r="BH969" s="438"/>
    </row>
    <row r="970">
      <c r="A970" s="140"/>
      <c r="B970" s="456"/>
      <c r="C970" s="142"/>
      <c r="D970" s="142"/>
      <c r="E970" s="142"/>
      <c r="F970" s="140"/>
      <c r="G970" s="456"/>
      <c r="H970" s="142"/>
      <c r="I970" s="142"/>
      <c r="J970" s="142"/>
      <c r="K970" s="125"/>
      <c r="L970" s="456"/>
      <c r="M970" s="142"/>
      <c r="N970" s="142"/>
      <c r="O970" s="142"/>
      <c r="P970" s="125"/>
      <c r="Q970" s="450"/>
      <c r="R970" s="142"/>
      <c r="S970" s="142"/>
      <c r="T970" s="142"/>
      <c r="U970" s="140"/>
      <c r="V970" s="456"/>
      <c r="W970" s="142"/>
      <c r="X970" s="142"/>
      <c r="Y970" s="142"/>
      <c r="Z970" s="140"/>
      <c r="AA970" s="456"/>
      <c r="AB970" s="142"/>
      <c r="AC970" s="142"/>
      <c r="AD970" s="142"/>
      <c r="AE970" s="140"/>
      <c r="AF970" s="456"/>
      <c r="AG970" s="142"/>
      <c r="AH970" s="142"/>
      <c r="AI970" s="142"/>
      <c r="AJ970" s="140"/>
      <c r="AK970" s="456"/>
      <c r="AL970" s="142"/>
      <c r="AM970" s="142"/>
      <c r="AN970" s="142"/>
      <c r="AO970" s="438"/>
      <c r="AP970" s="438"/>
      <c r="AQ970" s="438"/>
      <c r="AR970" s="438"/>
      <c r="AS970" s="438"/>
      <c r="AT970" s="438"/>
      <c r="AU970" s="438"/>
      <c r="AV970" s="438"/>
      <c r="AW970" s="438"/>
      <c r="AX970" s="438"/>
      <c r="AY970" s="438"/>
      <c r="AZ970" s="438"/>
      <c r="BA970" s="438"/>
      <c r="BB970" s="438"/>
      <c r="BC970" s="438"/>
      <c r="BD970" s="438"/>
      <c r="BE970" s="438"/>
      <c r="BF970" s="438"/>
      <c r="BG970" s="438"/>
      <c r="BH970" s="438"/>
    </row>
    <row r="971">
      <c r="A971" s="140"/>
      <c r="B971" s="456"/>
      <c r="C971" s="142"/>
      <c r="D971" s="142"/>
      <c r="E971" s="142"/>
      <c r="F971" s="140"/>
      <c r="G971" s="456"/>
      <c r="H971" s="142"/>
      <c r="I971" s="142"/>
      <c r="J971" s="142"/>
      <c r="K971" s="125"/>
      <c r="L971" s="456"/>
      <c r="M971" s="142"/>
      <c r="N971" s="142"/>
      <c r="O971" s="142"/>
      <c r="P971" s="125"/>
      <c r="Q971" s="450"/>
      <c r="R971" s="142"/>
      <c r="S971" s="142"/>
      <c r="T971" s="142"/>
      <c r="U971" s="140"/>
      <c r="V971" s="456"/>
      <c r="W971" s="142"/>
      <c r="X971" s="142"/>
      <c r="Y971" s="142"/>
      <c r="Z971" s="140"/>
      <c r="AA971" s="456"/>
      <c r="AB971" s="142"/>
      <c r="AC971" s="142"/>
      <c r="AD971" s="142"/>
      <c r="AE971" s="140"/>
      <c r="AF971" s="456"/>
      <c r="AG971" s="142"/>
      <c r="AH971" s="142"/>
      <c r="AI971" s="142"/>
      <c r="AJ971" s="140"/>
      <c r="AK971" s="456"/>
      <c r="AL971" s="142"/>
      <c r="AM971" s="142"/>
      <c r="AN971" s="142"/>
      <c r="AO971" s="438"/>
      <c r="AP971" s="438"/>
      <c r="AQ971" s="438"/>
      <c r="AR971" s="438"/>
      <c r="AS971" s="438"/>
      <c r="AT971" s="438"/>
      <c r="AU971" s="438"/>
      <c r="AV971" s="438"/>
      <c r="AW971" s="438"/>
      <c r="AX971" s="438"/>
      <c r="AY971" s="438"/>
      <c r="AZ971" s="438"/>
      <c r="BA971" s="438"/>
      <c r="BB971" s="438"/>
      <c r="BC971" s="438"/>
      <c r="BD971" s="438"/>
      <c r="BE971" s="438"/>
      <c r="BF971" s="438"/>
      <c r="BG971" s="438"/>
      <c r="BH971" s="438"/>
    </row>
    <row r="972">
      <c r="A972" s="140"/>
      <c r="B972" s="456"/>
      <c r="C972" s="142"/>
      <c r="D972" s="142"/>
      <c r="E972" s="142"/>
      <c r="F972" s="140"/>
      <c r="G972" s="456"/>
      <c r="H972" s="142"/>
      <c r="I972" s="142"/>
      <c r="J972" s="142"/>
      <c r="K972" s="125"/>
      <c r="L972" s="456"/>
      <c r="M972" s="142"/>
      <c r="N972" s="142"/>
      <c r="O972" s="142"/>
      <c r="P972" s="125"/>
      <c r="Q972" s="450"/>
      <c r="R972" s="142"/>
      <c r="S972" s="142"/>
      <c r="T972" s="142"/>
      <c r="U972" s="140"/>
      <c r="V972" s="456"/>
      <c r="W972" s="142"/>
      <c r="X972" s="142"/>
      <c r="Y972" s="142"/>
      <c r="Z972" s="140"/>
      <c r="AA972" s="456"/>
      <c r="AB972" s="142"/>
      <c r="AC972" s="142"/>
      <c r="AD972" s="142"/>
      <c r="AE972" s="140"/>
      <c r="AF972" s="456"/>
      <c r="AG972" s="142"/>
      <c r="AH972" s="142"/>
      <c r="AI972" s="142"/>
      <c r="AJ972" s="140"/>
      <c r="AK972" s="456"/>
      <c r="AL972" s="142"/>
      <c r="AM972" s="142"/>
      <c r="AN972" s="142"/>
      <c r="AO972" s="438"/>
      <c r="AP972" s="438"/>
      <c r="AQ972" s="438"/>
      <c r="AR972" s="438"/>
      <c r="AS972" s="438"/>
      <c r="AT972" s="438"/>
      <c r="AU972" s="438"/>
      <c r="AV972" s="438"/>
      <c r="AW972" s="438"/>
      <c r="AX972" s="438"/>
      <c r="AY972" s="438"/>
      <c r="AZ972" s="438"/>
      <c r="BA972" s="438"/>
      <c r="BB972" s="438"/>
      <c r="BC972" s="438"/>
      <c r="BD972" s="438"/>
      <c r="BE972" s="438"/>
      <c r="BF972" s="438"/>
      <c r="BG972" s="438"/>
      <c r="BH972" s="438"/>
    </row>
    <row r="973">
      <c r="A973" s="140"/>
      <c r="B973" s="456"/>
      <c r="C973" s="142"/>
      <c r="D973" s="142"/>
      <c r="E973" s="142"/>
      <c r="F973" s="140"/>
      <c r="G973" s="456"/>
      <c r="H973" s="142"/>
      <c r="I973" s="142"/>
      <c r="J973" s="142"/>
      <c r="K973" s="125"/>
      <c r="L973" s="456"/>
      <c r="M973" s="142"/>
      <c r="N973" s="142"/>
      <c r="O973" s="142"/>
      <c r="P973" s="125"/>
      <c r="Q973" s="450"/>
      <c r="R973" s="142"/>
      <c r="S973" s="142"/>
      <c r="T973" s="142"/>
      <c r="U973" s="140"/>
      <c r="V973" s="456"/>
      <c r="W973" s="142"/>
      <c r="X973" s="142"/>
      <c r="Y973" s="142"/>
      <c r="Z973" s="140"/>
      <c r="AA973" s="456"/>
      <c r="AB973" s="142"/>
      <c r="AC973" s="142"/>
      <c r="AD973" s="142"/>
      <c r="AE973" s="140"/>
      <c r="AF973" s="456"/>
      <c r="AG973" s="142"/>
      <c r="AH973" s="142"/>
      <c r="AI973" s="142"/>
      <c r="AJ973" s="140"/>
      <c r="AK973" s="456"/>
      <c r="AL973" s="142"/>
      <c r="AM973" s="142"/>
      <c r="AN973" s="142"/>
      <c r="AO973" s="438"/>
      <c r="AP973" s="438"/>
      <c r="AQ973" s="438"/>
      <c r="AR973" s="438"/>
      <c r="AS973" s="438"/>
      <c r="AT973" s="438"/>
      <c r="AU973" s="438"/>
      <c r="AV973" s="438"/>
      <c r="AW973" s="438"/>
      <c r="AX973" s="438"/>
      <c r="AY973" s="438"/>
      <c r="AZ973" s="438"/>
      <c r="BA973" s="438"/>
      <c r="BB973" s="438"/>
      <c r="BC973" s="438"/>
      <c r="BD973" s="438"/>
      <c r="BE973" s="438"/>
      <c r="BF973" s="438"/>
      <c r="BG973" s="438"/>
      <c r="BH973" s="438"/>
    </row>
    <row r="974">
      <c r="A974" s="140"/>
      <c r="B974" s="456"/>
      <c r="C974" s="142"/>
      <c r="D974" s="142"/>
      <c r="E974" s="142"/>
      <c r="F974" s="140"/>
      <c r="G974" s="456"/>
      <c r="H974" s="142"/>
      <c r="I974" s="142"/>
      <c r="J974" s="142"/>
      <c r="K974" s="125"/>
      <c r="L974" s="456"/>
      <c r="M974" s="142"/>
      <c r="N974" s="142"/>
      <c r="O974" s="142"/>
      <c r="P974" s="125"/>
      <c r="Q974" s="450"/>
      <c r="R974" s="142"/>
      <c r="S974" s="142"/>
      <c r="T974" s="142"/>
      <c r="U974" s="140"/>
      <c r="V974" s="456"/>
      <c r="W974" s="142"/>
      <c r="X974" s="142"/>
      <c r="Y974" s="142"/>
      <c r="Z974" s="140"/>
      <c r="AA974" s="456"/>
      <c r="AB974" s="142"/>
      <c r="AC974" s="142"/>
      <c r="AD974" s="142"/>
      <c r="AE974" s="140"/>
      <c r="AF974" s="456"/>
      <c r="AG974" s="142"/>
      <c r="AH974" s="142"/>
      <c r="AI974" s="142"/>
      <c r="AJ974" s="140"/>
      <c r="AK974" s="456"/>
      <c r="AL974" s="142"/>
      <c r="AM974" s="142"/>
      <c r="AN974" s="142"/>
      <c r="AO974" s="438"/>
      <c r="AP974" s="438"/>
      <c r="AQ974" s="438"/>
      <c r="AR974" s="438"/>
      <c r="AS974" s="438"/>
      <c r="AT974" s="438"/>
      <c r="AU974" s="438"/>
      <c r="AV974" s="438"/>
      <c r="AW974" s="438"/>
      <c r="AX974" s="438"/>
      <c r="AY974" s="438"/>
      <c r="AZ974" s="438"/>
      <c r="BA974" s="438"/>
      <c r="BB974" s="438"/>
      <c r="BC974" s="438"/>
      <c r="BD974" s="438"/>
      <c r="BE974" s="438"/>
      <c r="BF974" s="438"/>
      <c r="BG974" s="438"/>
      <c r="BH974" s="438"/>
    </row>
    <row r="975">
      <c r="A975" s="140"/>
      <c r="B975" s="456"/>
      <c r="C975" s="142"/>
      <c r="D975" s="142"/>
      <c r="E975" s="142"/>
      <c r="F975" s="140"/>
      <c r="G975" s="456"/>
      <c r="H975" s="142"/>
      <c r="I975" s="142"/>
      <c r="J975" s="142"/>
      <c r="K975" s="125"/>
      <c r="L975" s="456"/>
      <c r="M975" s="142"/>
      <c r="N975" s="142"/>
      <c r="O975" s="142"/>
      <c r="P975" s="125"/>
      <c r="Q975" s="450"/>
      <c r="R975" s="142"/>
      <c r="S975" s="142"/>
      <c r="T975" s="142"/>
      <c r="U975" s="140"/>
      <c r="V975" s="456"/>
      <c r="W975" s="142"/>
      <c r="X975" s="142"/>
      <c r="Y975" s="142"/>
      <c r="Z975" s="140"/>
      <c r="AA975" s="456"/>
      <c r="AB975" s="142"/>
      <c r="AC975" s="142"/>
      <c r="AD975" s="142"/>
      <c r="AE975" s="140"/>
      <c r="AF975" s="456"/>
      <c r="AG975" s="142"/>
      <c r="AH975" s="142"/>
      <c r="AI975" s="142"/>
      <c r="AJ975" s="140"/>
      <c r="AK975" s="456"/>
      <c r="AL975" s="142"/>
      <c r="AM975" s="142"/>
      <c r="AN975" s="142"/>
      <c r="AO975" s="438"/>
      <c r="AP975" s="438"/>
      <c r="AQ975" s="438"/>
      <c r="AR975" s="438"/>
      <c r="AS975" s="438"/>
      <c r="AT975" s="438"/>
      <c r="AU975" s="438"/>
      <c r="AV975" s="438"/>
      <c r="AW975" s="438"/>
      <c r="AX975" s="438"/>
      <c r="AY975" s="438"/>
      <c r="AZ975" s="438"/>
      <c r="BA975" s="438"/>
      <c r="BB975" s="438"/>
      <c r="BC975" s="438"/>
      <c r="BD975" s="438"/>
      <c r="BE975" s="438"/>
      <c r="BF975" s="438"/>
      <c r="BG975" s="438"/>
      <c r="BH975" s="438"/>
    </row>
    <row r="976">
      <c r="A976" s="140"/>
      <c r="B976" s="456"/>
      <c r="C976" s="142"/>
      <c r="D976" s="142"/>
      <c r="E976" s="142"/>
      <c r="F976" s="140"/>
      <c r="G976" s="456"/>
      <c r="H976" s="142"/>
      <c r="I976" s="142"/>
      <c r="J976" s="142"/>
      <c r="K976" s="125"/>
      <c r="L976" s="456"/>
      <c r="M976" s="142"/>
      <c r="N976" s="142"/>
      <c r="O976" s="142"/>
      <c r="P976" s="125"/>
      <c r="Q976" s="450"/>
      <c r="R976" s="142"/>
      <c r="S976" s="142"/>
      <c r="T976" s="142"/>
      <c r="U976" s="140"/>
      <c r="V976" s="456"/>
      <c r="W976" s="142"/>
      <c r="X976" s="142"/>
      <c r="Y976" s="142"/>
      <c r="Z976" s="140"/>
      <c r="AA976" s="456"/>
      <c r="AB976" s="142"/>
      <c r="AC976" s="142"/>
      <c r="AD976" s="142"/>
      <c r="AE976" s="140"/>
      <c r="AF976" s="456"/>
      <c r="AG976" s="142"/>
      <c r="AH976" s="142"/>
      <c r="AI976" s="142"/>
      <c r="AJ976" s="140"/>
      <c r="AK976" s="456"/>
      <c r="AL976" s="142"/>
      <c r="AM976" s="142"/>
      <c r="AN976" s="142"/>
      <c r="AO976" s="438"/>
      <c r="AP976" s="438"/>
      <c r="AQ976" s="438"/>
      <c r="AR976" s="438"/>
      <c r="AS976" s="438"/>
      <c r="AT976" s="438"/>
      <c r="AU976" s="438"/>
      <c r="AV976" s="438"/>
      <c r="AW976" s="438"/>
      <c r="AX976" s="438"/>
      <c r="AY976" s="438"/>
      <c r="AZ976" s="438"/>
      <c r="BA976" s="438"/>
      <c r="BB976" s="438"/>
      <c r="BC976" s="438"/>
      <c r="BD976" s="438"/>
      <c r="BE976" s="438"/>
      <c r="BF976" s="438"/>
      <c r="BG976" s="438"/>
      <c r="BH976" s="438"/>
    </row>
    <row r="977">
      <c r="A977" s="140"/>
      <c r="B977" s="456"/>
      <c r="C977" s="142"/>
      <c r="D977" s="142"/>
      <c r="E977" s="142"/>
      <c r="F977" s="140"/>
      <c r="G977" s="456"/>
      <c r="H977" s="142"/>
      <c r="I977" s="142"/>
      <c r="J977" s="142"/>
      <c r="K977" s="125"/>
      <c r="L977" s="456"/>
      <c r="M977" s="142"/>
      <c r="N977" s="142"/>
      <c r="O977" s="142"/>
      <c r="P977" s="125"/>
      <c r="Q977" s="450"/>
      <c r="R977" s="142"/>
      <c r="S977" s="142"/>
      <c r="T977" s="142"/>
      <c r="U977" s="140"/>
      <c r="V977" s="456"/>
      <c r="W977" s="142"/>
      <c r="X977" s="142"/>
      <c r="Y977" s="142"/>
      <c r="Z977" s="140"/>
      <c r="AA977" s="456"/>
      <c r="AB977" s="142"/>
      <c r="AC977" s="142"/>
      <c r="AD977" s="142"/>
      <c r="AE977" s="140"/>
      <c r="AF977" s="456"/>
      <c r="AG977" s="142"/>
      <c r="AH977" s="142"/>
      <c r="AI977" s="142"/>
      <c r="AJ977" s="140"/>
      <c r="AK977" s="456"/>
      <c r="AL977" s="142"/>
      <c r="AM977" s="142"/>
      <c r="AN977" s="142"/>
      <c r="AO977" s="438"/>
      <c r="AP977" s="438"/>
      <c r="AQ977" s="438"/>
      <c r="AR977" s="438"/>
      <c r="AS977" s="438"/>
      <c r="AT977" s="438"/>
      <c r="AU977" s="438"/>
      <c r="AV977" s="438"/>
      <c r="AW977" s="438"/>
      <c r="AX977" s="438"/>
      <c r="AY977" s="438"/>
      <c r="AZ977" s="438"/>
      <c r="BA977" s="438"/>
      <c r="BB977" s="438"/>
      <c r="BC977" s="438"/>
      <c r="BD977" s="438"/>
      <c r="BE977" s="438"/>
      <c r="BF977" s="438"/>
      <c r="BG977" s="438"/>
      <c r="BH977" s="438"/>
    </row>
    <row r="978">
      <c r="A978" s="140"/>
      <c r="B978" s="456"/>
      <c r="C978" s="142"/>
      <c r="D978" s="142"/>
      <c r="E978" s="142"/>
      <c r="F978" s="140"/>
      <c r="G978" s="456"/>
      <c r="H978" s="142"/>
      <c r="I978" s="142"/>
      <c r="J978" s="142"/>
      <c r="K978" s="125"/>
      <c r="L978" s="456"/>
      <c r="M978" s="142"/>
      <c r="N978" s="142"/>
      <c r="O978" s="142"/>
      <c r="P978" s="125"/>
      <c r="Q978" s="450"/>
      <c r="R978" s="142"/>
      <c r="S978" s="142"/>
      <c r="T978" s="142"/>
      <c r="U978" s="140"/>
      <c r="V978" s="456"/>
      <c r="W978" s="142"/>
      <c r="X978" s="142"/>
      <c r="Y978" s="142"/>
      <c r="Z978" s="140"/>
      <c r="AA978" s="456"/>
      <c r="AB978" s="142"/>
      <c r="AC978" s="142"/>
      <c r="AD978" s="142"/>
      <c r="AE978" s="140"/>
      <c r="AF978" s="456"/>
      <c r="AG978" s="142"/>
      <c r="AH978" s="142"/>
      <c r="AI978" s="142"/>
      <c r="AJ978" s="140"/>
      <c r="AK978" s="456"/>
      <c r="AL978" s="142"/>
      <c r="AM978" s="142"/>
      <c r="AN978" s="142"/>
      <c r="AO978" s="438"/>
      <c r="AP978" s="438"/>
      <c r="AQ978" s="438"/>
      <c r="AR978" s="438"/>
      <c r="AS978" s="438"/>
      <c r="AT978" s="438"/>
      <c r="AU978" s="438"/>
      <c r="AV978" s="438"/>
      <c r="AW978" s="438"/>
      <c r="AX978" s="438"/>
      <c r="AY978" s="438"/>
      <c r="AZ978" s="438"/>
      <c r="BA978" s="438"/>
      <c r="BB978" s="438"/>
      <c r="BC978" s="438"/>
      <c r="BD978" s="438"/>
      <c r="BE978" s="438"/>
      <c r="BF978" s="438"/>
      <c r="BG978" s="438"/>
      <c r="BH978" s="438"/>
    </row>
    <row r="979">
      <c r="A979" s="140"/>
      <c r="B979" s="456"/>
      <c r="C979" s="142"/>
      <c r="D979" s="142"/>
      <c r="E979" s="142"/>
      <c r="F979" s="140"/>
      <c r="G979" s="456"/>
      <c r="H979" s="142"/>
      <c r="I979" s="142"/>
      <c r="J979" s="142"/>
      <c r="K979" s="125"/>
      <c r="L979" s="456"/>
      <c r="M979" s="142"/>
      <c r="N979" s="142"/>
      <c r="O979" s="142"/>
      <c r="P979" s="125"/>
      <c r="Q979" s="450"/>
      <c r="R979" s="142"/>
      <c r="S979" s="142"/>
      <c r="T979" s="142"/>
      <c r="U979" s="140"/>
      <c r="V979" s="456"/>
      <c r="W979" s="142"/>
      <c r="X979" s="142"/>
      <c r="Y979" s="142"/>
      <c r="Z979" s="140"/>
      <c r="AA979" s="456"/>
      <c r="AB979" s="142"/>
      <c r="AC979" s="142"/>
      <c r="AD979" s="142"/>
      <c r="AE979" s="140"/>
      <c r="AF979" s="456"/>
      <c r="AG979" s="142"/>
      <c r="AH979" s="142"/>
      <c r="AI979" s="142"/>
      <c r="AJ979" s="140"/>
      <c r="AK979" s="456"/>
      <c r="AL979" s="142"/>
      <c r="AM979" s="142"/>
      <c r="AN979" s="142"/>
      <c r="AO979" s="438"/>
      <c r="AP979" s="438"/>
      <c r="AQ979" s="438"/>
      <c r="AR979" s="438"/>
      <c r="AS979" s="438"/>
      <c r="AT979" s="438"/>
      <c r="AU979" s="438"/>
      <c r="AV979" s="438"/>
      <c r="AW979" s="438"/>
      <c r="AX979" s="438"/>
      <c r="AY979" s="438"/>
      <c r="AZ979" s="438"/>
      <c r="BA979" s="438"/>
      <c r="BB979" s="438"/>
      <c r="BC979" s="438"/>
      <c r="BD979" s="438"/>
      <c r="BE979" s="438"/>
      <c r="BF979" s="438"/>
      <c r="BG979" s="438"/>
      <c r="BH979" s="438"/>
    </row>
    <row r="980">
      <c r="A980" s="140"/>
      <c r="B980" s="456"/>
      <c r="C980" s="142"/>
      <c r="D980" s="142"/>
      <c r="E980" s="142"/>
      <c r="F980" s="140"/>
      <c r="G980" s="456"/>
      <c r="H980" s="142"/>
      <c r="I980" s="142"/>
      <c r="J980" s="142"/>
      <c r="K980" s="125"/>
      <c r="L980" s="456"/>
      <c r="M980" s="142"/>
      <c r="N980" s="142"/>
      <c r="O980" s="142"/>
      <c r="P980" s="125"/>
      <c r="Q980" s="450"/>
      <c r="R980" s="142"/>
      <c r="S980" s="142"/>
      <c r="T980" s="142"/>
      <c r="U980" s="140"/>
      <c r="V980" s="456"/>
      <c r="W980" s="142"/>
      <c r="X980" s="142"/>
      <c r="Y980" s="142"/>
      <c r="Z980" s="140"/>
      <c r="AA980" s="456"/>
      <c r="AB980" s="142"/>
      <c r="AC980" s="142"/>
      <c r="AD980" s="142"/>
      <c r="AE980" s="140"/>
      <c r="AF980" s="456"/>
      <c r="AG980" s="142"/>
      <c r="AH980" s="142"/>
      <c r="AI980" s="142"/>
      <c r="AJ980" s="140"/>
      <c r="AK980" s="456"/>
      <c r="AL980" s="142"/>
      <c r="AM980" s="142"/>
      <c r="AN980" s="142"/>
      <c r="AO980" s="438"/>
      <c r="AP980" s="438"/>
      <c r="AQ980" s="438"/>
      <c r="AR980" s="438"/>
      <c r="AS980" s="438"/>
      <c r="AT980" s="438"/>
      <c r="AU980" s="438"/>
      <c r="AV980" s="438"/>
      <c r="AW980" s="438"/>
      <c r="AX980" s="438"/>
      <c r="AY980" s="438"/>
      <c r="AZ980" s="438"/>
      <c r="BA980" s="438"/>
      <c r="BB980" s="438"/>
      <c r="BC980" s="438"/>
      <c r="BD980" s="438"/>
      <c r="BE980" s="438"/>
      <c r="BF980" s="438"/>
      <c r="BG980" s="438"/>
      <c r="BH980" s="438"/>
    </row>
    <row r="981">
      <c r="A981" s="140"/>
      <c r="B981" s="456"/>
      <c r="C981" s="142"/>
      <c r="D981" s="142"/>
      <c r="E981" s="142"/>
      <c r="F981" s="140"/>
      <c r="G981" s="456"/>
      <c r="H981" s="142"/>
      <c r="I981" s="142"/>
      <c r="J981" s="142"/>
      <c r="K981" s="125"/>
      <c r="L981" s="456"/>
      <c r="M981" s="142"/>
      <c r="N981" s="142"/>
      <c r="O981" s="142"/>
      <c r="P981" s="125"/>
      <c r="Q981" s="450"/>
      <c r="R981" s="142"/>
      <c r="S981" s="142"/>
      <c r="T981" s="142"/>
      <c r="U981" s="140"/>
      <c r="V981" s="456"/>
      <c r="W981" s="142"/>
      <c r="X981" s="142"/>
      <c r="Y981" s="142"/>
      <c r="Z981" s="140"/>
      <c r="AA981" s="456"/>
      <c r="AB981" s="142"/>
      <c r="AC981" s="142"/>
      <c r="AD981" s="142"/>
      <c r="AE981" s="140"/>
      <c r="AF981" s="456"/>
      <c r="AG981" s="142"/>
      <c r="AH981" s="142"/>
      <c r="AI981" s="142"/>
      <c r="AJ981" s="140"/>
      <c r="AK981" s="456"/>
      <c r="AL981" s="142"/>
      <c r="AM981" s="142"/>
      <c r="AN981" s="142"/>
      <c r="AO981" s="438"/>
      <c r="AP981" s="438"/>
      <c r="AQ981" s="438"/>
      <c r="AR981" s="438"/>
      <c r="AS981" s="438"/>
      <c r="AT981" s="438"/>
      <c r="AU981" s="438"/>
      <c r="AV981" s="438"/>
      <c r="AW981" s="438"/>
      <c r="AX981" s="438"/>
      <c r="AY981" s="438"/>
      <c r="AZ981" s="438"/>
      <c r="BA981" s="438"/>
      <c r="BB981" s="438"/>
      <c r="BC981" s="438"/>
      <c r="BD981" s="438"/>
      <c r="BE981" s="438"/>
      <c r="BF981" s="438"/>
      <c r="BG981" s="438"/>
      <c r="BH981" s="438"/>
    </row>
    <row r="982">
      <c r="A982" s="140"/>
      <c r="B982" s="456"/>
      <c r="C982" s="142"/>
      <c r="D982" s="142"/>
      <c r="E982" s="142"/>
      <c r="F982" s="140"/>
      <c r="G982" s="456"/>
      <c r="H982" s="142"/>
      <c r="I982" s="142"/>
      <c r="J982" s="142"/>
      <c r="K982" s="125"/>
      <c r="L982" s="456"/>
      <c r="M982" s="142"/>
      <c r="N982" s="142"/>
      <c r="O982" s="142"/>
      <c r="P982" s="125"/>
      <c r="Q982" s="450"/>
      <c r="R982" s="142"/>
      <c r="S982" s="142"/>
      <c r="T982" s="142"/>
      <c r="U982" s="140"/>
      <c r="V982" s="456"/>
      <c r="W982" s="142"/>
      <c r="X982" s="142"/>
      <c r="Y982" s="142"/>
      <c r="Z982" s="140"/>
      <c r="AA982" s="456"/>
      <c r="AB982" s="142"/>
      <c r="AC982" s="142"/>
      <c r="AD982" s="142"/>
      <c r="AE982" s="140"/>
      <c r="AF982" s="456"/>
      <c r="AG982" s="142"/>
      <c r="AH982" s="142"/>
      <c r="AI982" s="142"/>
      <c r="AJ982" s="140"/>
      <c r="AK982" s="456"/>
      <c r="AL982" s="142"/>
      <c r="AM982" s="142"/>
      <c r="AN982" s="142"/>
      <c r="AO982" s="438"/>
      <c r="AP982" s="438"/>
      <c r="AQ982" s="438"/>
      <c r="AR982" s="438"/>
      <c r="AS982" s="438"/>
      <c r="AT982" s="438"/>
      <c r="AU982" s="438"/>
      <c r="AV982" s="438"/>
      <c r="AW982" s="438"/>
      <c r="AX982" s="438"/>
      <c r="AY982" s="438"/>
      <c r="AZ982" s="438"/>
      <c r="BA982" s="438"/>
      <c r="BB982" s="438"/>
      <c r="BC982" s="438"/>
      <c r="BD982" s="438"/>
      <c r="BE982" s="438"/>
      <c r="BF982" s="438"/>
      <c r="BG982" s="438"/>
      <c r="BH982" s="438"/>
    </row>
    <row r="983">
      <c r="A983" s="140"/>
      <c r="B983" s="456"/>
      <c r="C983" s="142"/>
      <c r="D983" s="142"/>
      <c r="E983" s="142"/>
      <c r="F983" s="140"/>
      <c r="G983" s="456"/>
      <c r="H983" s="142"/>
      <c r="I983" s="142"/>
      <c r="J983" s="142"/>
      <c r="K983" s="125"/>
      <c r="L983" s="456"/>
      <c r="M983" s="142"/>
      <c r="N983" s="142"/>
      <c r="O983" s="142"/>
      <c r="P983" s="125"/>
      <c r="Q983" s="450"/>
      <c r="R983" s="142"/>
      <c r="S983" s="142"/>
      <c r="T983" s="142"/>
      <c r="U983" s="140"/>
      <c r="V983" s="456"/>
      <c r="W983" s="142"/>
      <c r="X983" s="142"/>
      <c r="Y983" s="142"/>
      <c r="Z983" s="140"/>
      <c r="AA983" s="456"/>
      <c r="AB983" s="142"/>
      <c r="AC983" s="142"/>
      <c r="AD983" s="142"/>
      <c r="AE983" s="140"/>
      <c r="AF983" s="456"/>
      <c r="AG983" s="142"/>
      <c r="AH983" s="142"/>
      <c r="AI983" s="142"/>
      <c r="AJ983" s="140"/>
      <c r="AK983" s="456"/>
      <c r="AL983" s="142"/>
      <c r="AM983" s="142"/>
      <c r="AN983" s="142"/>
      <c r="AO983" s="438"/>
      <c r="AP983" s="438"/>
      <c r="AQ983" s="438"/>
      <c r="AR983" s="438"/>
      <c r="AS983" s="438"/>
      <c r="AT983" s="438"/>
      <c r="AU983" s="438"/>
      <c r="AV983" s="438"/>
      <c r="AW983" s="438"/>
      <c r="AX983" s="438"/>
      <c r="AY983" s="438"/>
      <c r="AZ983" s="438"/>
      <c r="BA983" s="438"/>
      <c r="BB983" s="438"/>
      <c r="BC983" s="438"/>
      <c r="BD983" s="438"/>
      <c r="BE983" s="438"/>
      <c r="BF983" s="438"/>
      <c r="BG983" s="438"/>
      <c r="BH983" s="438"/>
    </row>
    <row r="984">
      <c r="A984" s="140"/>
      <c r="B984" s="456"/>
      <c r="C984" s="142"/>
      <c r="D984" s="142"/>
      <c r="E984" s="142"/>
      <c r="F984" s="140"/>
      <c r="G984" s="456"/>
      <c r="H984" s="142"/>
      <c r="I984" s="142"/>
      <c r="J984" s="142"/>
      <c r="K984" s="125"/>
      <c r="L984" s="456"/>
      <c r="M984" s="142"/>
      <c r="N984" s="142"/>
      <c r="O984" s="142"/>
      <c r="P984" s="125"/>
      <c r="Q984" s="450"/>
      <c r="R984" s="142"/>
      <c r="S984" s="142"/>
      <c r="T984" s="142"/>
      <c r="U984" s="140"/>
      <c r="V984" s="456"/>
      <c r="W984" s="142"/>
      <c r="X984" s="142"/>
      <c r="Y984" s="142"/>
      <c r="Z984" s="140"/>
      <c r="AA984" s="456"/>
      <c r="AB984" s="142"/>
      <c r="AC984" s="142"/>
      <c r="AD984" s="142"/>
      <c r="AE984" s="140"/>
      <c r="AF984" s="456"/>
      <c r="AG984" s="142"/>
      <c r="AH984" s="142"/>
      <c r="AI984" s="142"/>
      <c r="AJ984" s="140"/>
      <c r="AK984" s="456"/>
      <c r="AL984" s="142"/>
      <c r="AM984" s="142"/>
      <c r="AN984" s="142"/>
      <c r="AO984" s="438"/>
      <c r="AP984" s="438"/>
      <c r="AQ984" s="438"/>
      <c r="AR984" s="438"/>
      <c r="AS984" s="438"/>
      <c r="AT984" s="438"/>
      <c r="AU984" s="438"/>
      <c r="AV984" s="438"/>
      <c r="AW984" s="438"/>
      <c r="AX984" s="438"/>
      <c r="AY984" s="438"/>
      <c r="AZ984" s="438"/>
      <c r="BA984" s="438"/>
      <c r="BB984" s="438"/>
      <c r="BC984" s="438"/>
      <c r="BD984" s="438"/>
      <c r="BE984" s="438"/>
      <c r="BF984" s="438"/>
      <c r="BG984" s="438"/>
      <c r="BH984" s="438"/>
    </row>
    <row r="985">
      <c r="A985" s="140"/>
      <c r="B985" s="456"/>
      <c r="C985" s="142"/>
      <c r="D985" s="142"/>
      <c r="E985" s="142"/>
      <c r="F985" s="140"/>
      <c r="G985" s="456"/>
      <c r="H985" s="142"/>
      <c r="I985" s="142"/>
      <c r="J985" s="142"/>
      <c r="K985" s="125"/>
      <c r="L985" s="456"/>
      <c r="M985" s="142"/>
      <c r="N985" s="142"/>
      <c r="O985" s="142"/>
      <c r="P985" s="125"/>
      <c r="Q985" s="450"/>
      <c r="R985" s="142"/>
      <c r="S985" s="142"/>
      <c r="T985" s="142"/>
      <c r="U985" s="140"/>
      <c r="V985" s="456"/>
      <c r="W985" s="142"/>
      <c r="X985" s="142"/>
      <c r="Y985" s="142"/>
      <c r="Z985" s="140"/>
      <c r="AA985" s="456"/>
      <c r="AB985" s="142"/>
      <c r="AC985" s="142"/>
      <c r="AD985" s="142"/>
      <c r="AE985" s="140"/>
      <c r="AF985" s="456"/>
      <c r="AG985" s="142"/>
      <c r="AH985" s="142"/>
      <c r="AI985" s="142"/>
      <c r="AJ985" s="140"/>
      <c r="AK985" s="456"/>
      <c r="AL985" s="142"/>
      <c r="AM985" s="142"/>
      <c r="AN985" s="142"/>
      <c r="AO985" s="438"/>
      <c r="AP985" s="438"/>
      <c r="AQ985" s="438"/>
      <c r="AR985" s="438"/>
      <c r="AS985" s="438"/>
      <c r="AT985" s="438"/>
      <c r="AU985" s="438"/>
      <c r="AV985" s="438"/>
      <c r="AW985" s="438"/>
      <c r="AX985" s="438"/>
      <c r="AY985" s="438"/>
      <c r="AZ985" s="438"/>
      <c r="BA985" s="438"/>
      <c r="BB985" s="438"/>
      <c r="BC985" s="438"/>
      <c r="BD985" s="438"/>
      <c r="BE985" s="438"/>
      <c r="BF985" s="438"/>
      <c r="BG985" s="438"/>
      <c r="BH985" s="438"/>
    </row>
    <row r="986">
      <c r="A986" s="140"/>
      <c r="B986" s="456"/>
      <c r="C986" s="142"/>
      <c r="D986" s="142"/>
      <c r="E986" s="142"/>
      <c r="F986" s="140"/>
      <c r="G986" s="456"/>
      <c r="H986" s="142"/>
      <c r="I986" s="142"/>
      <c r="J986" s="142"/>
      <c r="K986" s="125"/>
      <c r="L986" s="456"/>
      <c r="M986" s="142"/>
      <c r="N986" s="142"/>
      <c r="O986" s="142"/>
      <c r="P986" s="125"/>
      <c r="Q986" s="450"/>
      <c r="R986" s="142"/>
      <c r="S986" s="142"/>
      <c r="T986" s="142"/>
      <c r="U986" s="140"/>
      <c r="V986" s="456"/>
      <c r="W986" s="142"/>
      <c r="X986" s="142"/>
      <c r="Y986" s="142"/>
      <c r="Z986" s="140"/>
      <c r="AA986" s="456"/>
      <c r="AB986" s="142"/>
      <c r="AC986" s="142"/>
      <c r="AD986" s="142"/>
      <c r="AE986" s="140"/>
      <c r="AF986" s="456"/>
      <c r="AG986" s="142"/>
      <c r="AH986" s="142"/>
      <c r="AI986" s="142"/>
      <c r="AJ986" s="140"/>
      <c r="AK986" s="456"/>
      <c r="AL986" s="142"/>
      <c r="AM986" s="142"/>
      <c r="AN986" s="142"/>
      <c r="AO986" s="438"/>
      <c r="AP986" s="438"/>
      <c r="AQ986" s="438"/>
      <c r="AR986" s="438"/>
      <c r="AS986" s="438"/>
      <c r="AT986" s="438"/>
      <c r="AU986" s="438"/>
      <c r="AV986" s="438"/>
      <c r="AW986" s="438"/>
      <c r="AX986" s="438"/>
      <c r="AY986" s="438"/>
      <c r="AZ986" s="438"/>
      <c r="BA986" s="438"/>
      <c r="BB986" s="438"/>
      <c r="BC986" s="438"/>
      <c r="BD986" s="438"/>
      <c r="BE986" s="438"/>
      <c r="BF986" s="438"/>
      <c r="BG986" s="438"/>
      <c r="BH986" s="438"/>
    </row>
    <row r="987">
      <c r="A987" s="140"/>
      <c r="B987" s="456"/>
      <c r="C987" s="142"/>
      <c r="D987" s="142"/>
      <c r="E987" s="142"/>
      <c r="F987" s="140"/>
      <c r="G987" s="456"/>
      <c r="H987" s="142"/>
      <c r="I987" s="142"/>
      <c r="J987" s="142"/>
      <c r="K987" s="125"/>
      <c r="L987" s="456"/>
      <c r="M987" s="142"/>
      <c r="N987" s="142"/>
      <c r="O987" s="142"/>
      <c r="P987" s="125"/>
      <c r="Q987" s="450"/>
      <c r="R987" s="142"/>
      <c r="S987" s="142"/>
      <c r="T987" s="142"/>
      <c r="U987" s="140"/>
      <c r="V987" s="456"/>
      <c r="W987" s="142"/>
      <c r="X987" s="142"/>
      <c r="Y987" s="142"/>
      <c r="Z987" s="140"/>
      <c r="AA987" s="456"/>
      <c r="AB987" s="142"/>
      <c r="AC987" s="142"/>
      <c r="AD987" s="142"/>
      <c r="AE987" s="140"/>
      <c r="AF987" s="456"/>
      <c r="AG987" s="142"/>
      <c r="AH987" s="142"/>
      <c r="AI987" s="142"/>
      <c r="AJ987" s="140"/>
      <c r="AK987" s="456"/>
      <c r="AL987" s="142"/>
      <c r="AM987" s="142"/>
      <c r="AN987" s="142"/>
      <c r="AO987" s="438"/>
      <c r="AP987" s="438"/>
      <c r="AQ987" s="438"/>
      <c r="AR987" s="438"/>
      <c r="AS987" s="438"/>
      <c r="AT987" s="438"/>
      <c r="AU987" s="438"/>
      <c r="AV987" s="438"/>
      <c r="AW987" s="438"/>
      <c r="AX987" s="438"/>
      <c r="AY987" s="438"/>
      <c r="AZ987" s="438"/>
      <c r="BA987" s="438"/>
      <c r="BB987" s="438"/>
      <c r="BC987" s="438"/>
      <c r="BD987" s="438"/>
      <c r="BE987" s="438"/>
      <c r="BF987" s="438"/>
      <c r="BG987" s="438"/>
      <c r="BH987" s="438"/>
    </row>
    <row r="988">
      <c r="A988" s="140"/>
      <c r="B988" s="456"/>
      <c r="C988" s="142"/>
      <c r="D988" s="142"/>
      <c r="E988" s="142"/>
      <c r="F988" s="140"/>
      <c r="G988" s="456"/>
      <c r="H988" s="142"/>
      <c r="I988" s="142"/>
      <c r="J988" s="142"/>
      <c r="K988" s="125"/>
      <c r="L988" s="456"/>
      <c r="M988" s="142"/>
      <c r="N988" s="142"/>
      <c r="O988" s="142"/>
      <c r="P988" s="125"/>
      <c r="Q988" s="450"/>
      <c r="R988" s="142"/>
      <c r="S988" s="142"/>
      <c r="T988" s="142"/>
      <c r="U988" s="140"/>
      <c r="V988" s="456"/>
      <c r="W988" s="142"/>
      <c r="X988" s="142"/>
      <c r="Y988" s="142"/>
      <c r="Z988" s="140"/>
      <c r="AA988" s="456"/>
      <c r="AB988" s="142"/>
      <c r="AC988" s="142"/>
      <c r="AD988" s="142"/>
      <c r="AE988" s="140"/>
      <c r="AF988" s="456"/>
      <c r="AG988" s="142"/>
      <c r="AH988" s="142"/>
      <c r="AI988" s="142"/>
      <c r="AJ988" s="140"/>
      <c r="AK988" s="456"/>
      <c r="AL988" s="142"/>
      <c r="AM988" s="142"/>
      <c r="AN988" s="142"/>
      <c r="AO988" s="438"/>
      <c r="AP988" s="438"/>
      <c r="AQ988" s="438"/>
      <c r="AR988" s="438"/>
      <c r="AS988" s="438"/>
      <c r="AT988" s="438"/>
      <c r="AU988" s="438"/>
      <c r="AV988" s="438"/>
      <c r="AW988" s="438"/>
      <c r="AX988" s="438"/>
      <c r="AY988" s="438"/>
      <c r="AZ988" s="438"/>
      <c r="BA988" s="438"/>
      <c r="BB988" s="438"/>
      <c r="BC988" s="438"/>
      <c r="BD988" s="438"/>
      <c r="BE988" s="438"/>
      <c r="BF988" s="438"/>
      <c r="BG988" s="438"/>
      <c r="BH988" s="438"/>
    </row>
    <row r="989">
      <c r="A989" s="140"/>
      <c r="B989" s="456"/>
      <c r="C989" s="142"/>
      <c r="D989" s="142"/>
      <c r="E989" s="142"/>
      <c r="F989" s="140"/>
      <c r="G989" s="456"/>
      <c r="H989" s="142"/>
      <c r="I989" s="142"/>
      <c r="J989" s="142"/>
      <c r="K989" s="125"/>
      <c r="L989" s="456"/>
      <c r="M989" s="142"/>
      <c r="N989" s="142"/>
      <c r="O989" s="142"/>
      <c r="P989" s="125"/>
      <c r="Q989" s="450"/>
      <c r="R989" s="142"/>
      <c r="S989" s="142"/>
      <c r="T989" s="142"/>
      <c r="U989" s="140"/>
      <c r="V989" s="456"/>
      <c r="W989" s="142"/>
      <c r="X989" s="142"/>
      <c r="Y989" s="142"/>
      <c r="Z989" s="140"/>
      <c r="AA989" s="456"/>
      <c r="AB989" s="142"/>
      <c r="AC989" s="142"/>
      <c r="AD989" s="142"/>
      <c r="AE989" s="140"/>
      <c r="AF989" s="456"/>
      <c r="AG989" s="142"/>
      <c r="AH989" s="142"/>
      <c r="AI989" s="142"/>
      <c r="AJ989" s="140"/>
      <c r="AK989" s="456"/>
      <c r="AL989" s="142"/>
      <c r="AM989" s="142"/>
      <c r="AN989" s="142"/>
      <c r="AO989" s="438"/>
      <c r="AP989" s="438"/>
      <c r="AQ989" s="438"/>
      <c r="AR989" s="438"/>
      <c r="AS989" s="438"/>
      <c r="AT989" s="438"/>
      <c r="AU989" s="438"/>
      <c r="AV989" s="438"/>
      <c r="AW989" s="438"/>
      <c r="AX989" s="438"/>
      <c r="AY989" s="438"/>
      <c r="AZ989" s="438"/>
      <c r="BA989" s="438"/>
      <c r="BB989" s="438"/>
      <c r="BC989" s="438"/>
      <c r="BD989" s="438"/>
      <c r="BE989" s="438"/>
      <c r="BF989" s="438"/>
      <c r="BG989" s="438"/>
      <c r="BH989" s="438"/>
    </row>
    <row r="990">
      <c r="A990" s="140"/>
      <c r="B990" s="456"/>
      <c r="C990" s="142"/>
      <c r="D990" s="142"/>
      <c r="E990" s="142"/>
      <c r="F990" s="140"/>
      <c r="G990" s="456"/>
      <c r="H990" s="142"/>
      <c r="I990" s="142"/>
      <c r="J990" s="142"/>
      <c r="K990" s="125"/>
      <c r="L990" s="456"/>
      <c r="M990" s="142"/>
      <c r="N990" s="142"/>
      <c r="O990" s="142"/>
      <c r="P990" s="125"/>
      <c r="Q990" s="450"/>
      <c r="R990" s="142"/>
      <c r="S990" s="142"/>
      <c r="T990" s="142"/>
      <c r="U990" s="140"/>
      <c r="V990" s="456"/>
      <c r="W990" s="142"/>
      <c r="X990" s="142"/>
      <c r="Y990" s="142"/>
      <c r="Z990" s="140"/>
      <c r="AA990" s="456"/>
      <c r="AB990" s="142"/>
      <c r="AC990" s="142"/>
      <c r="AD990" s="142"/>
      <c r="AE990" s="140"/>
      <c r="AF990" s="456"/>
      <c r="AG990" s="142"/>
      <c r="AH990" s="142"/>
      <c r="AI990" s="142"/>
      <c r="AJ990" s="140"/>
      <c r="AK990" s="456"/>
      <c r="AL990" s="142"/>
      <c r="AM990" s="142"/>
      <c r="AN990" s="142"/>
      <c r="AO990" s="438"/>
      <c r="AP990" s="438"/>
      <c r="AQ990" s="438"/>
      <c r="AR990" s="438"/>
      <c r="AS990" s="438"/>
      <c r="AT990" s="438"/>
      <c r="AU990" s="438"/>
      <c r="AV990" s="438"/>
      <c r="AW990" s="438"/>
      <c r="AX990" s="438"/>
      <c r="AY990" s="438"/>
      <c r="AZ990" s="438"/>
      <c r="BA990" s="438"/>
      <c r="BB990" s="438"/>
      <c r="BC990" s="438"/>
      <c r="BD990" s="438"/>
      <c r="BE990" s="438"/>
      <c r="BF990" s="438"/>
      <c r="BG990" s="438"/>
      <c r="BH990" s="438"/>
    </row>
    <row r="991">
      <c r="A991" s="140"/>
      <c r="B991" s="456"/>
      <c r="C991" s="142"/>
      <c r="D991" s="142"/>
      <c r="E991" s="142"/>
      <c r="F991" s="140"/>
      <c r="G991" s="456"/>
      <c r="H991" s="142"/>
      <c r="I991" s="142"/>
      <c r="J991" s="142"/>
      <c r="K991" s="125"/>
      <c r="L991" s="456"/>
      <c r="M991" s="142"/>
      <c r="N991" s="142"/>
      <c r="O991" s="142"/>
      <c r="P991" s="125"/>
      <c r="Q991" s="450"/>
      <c r="R991" s="142"/>
      <c r="S991" s="142"/>
      <c r="T991" s="142"/>
      <c r="U991" s="140"/>
      <c r="V991" s="456"/>
      <c r="W991" s="142"/>
      <c r="X991" s="142"/>
      <c r="Y991" s="142"/>
      <c r="Z991" s="140"/>
      <c r="AA991" s="456"/>
      <c r="AB991" s="142"/>
      <c r="AC991" s="142"/>
      <c r="AD991" s="142"/>
      <c r="AE991" s="140"/>
      <c r="AF991" s="456"/>
      <c r="AG991" s="142"/>
      <c r="AH991" s="142"/>
      <c r="AI991" s="142"/>
      <c r="AJ991" s="140"/>
      <c r="AK991" s="456"/>
      <c r="AL991" s="142"/>
      <c r="AM991" s="142"/>
      <c r="AN991" s="142"/>
      <c r="AO991" s="438"/>
      <c r="AP991" s="438"/>
      <c r="AQ991" s="438"/>
      <c r="AR991" s="438"/>
      <c r="AS991" s="438"/>
      <c r="AT991" s="438"/>
      <c r="AU991" s="438"/>
      <c r="AV991" s="438"/>
      <c r="AW991" s="438"/>
      <c r="AX991" s="438"/>
      <c r="AY991" s="438"/>
      <c r="AZ991" s="438"/>
      <c r="BA991" s="438"/>
      <c r="BB991" s="438"/>
      <c r="BC991" s="438"/>
      <c r="BD991" s="438"/>
      <c r="BE991" s="438"/>
      <c r="BF991" s="438"/>
      <c r="BG991" s="438"/>
      <c r="BH991" s="438"/>
    </row>
    <row r="992">
      <c r="A992" s="140"/>
      <c r="B992" s="456"/>
      <c r="C992" s="142"/>
      <c r="D992" s="142"/>
      <c r="E992" s="142"/>
      <c r="F992" s="140"/>
      <c r="G992" s="456"/>
      <c r="H992" s="142"/>
      <c r="I992" s="142"/>
      <c r="J992" s="142"/>
      <c r="K992" s="125"/>
      <c r="L992" s="456"/>
      <c r="M992" s="142"/>
      <c r="N992" s="142"/>
      <c r="O992" s="142"/>
      <c r="P992" s="125"/>
      <c r="Q992" s="450"/>
      <c r="R992" s="142"/>
      <c r="S992" s="142"/>
      <c r="T992" s="142"/>
      <c r="U992" s="140"/>
      <c r="V992" s="456"/>
      <c r="W992" s="142"/>
      <c r="X992" s="142"/>
      <c r="Y992" s="142"/>
      <c r="Z992" s="140"/>
      <c r="AA992" s="456"/>
      <c r="AB992" s="142"/>
      <c r="AC992" s="142"/>
      <c r="AD992" s="142"/>
      <c r="AE992" s="140"/>
      <c r="AF992" s="456"/>
      <c r="AG992" s="142"/>
      <c r="AH992" s="142"/>
      <c r="AI992" s="142"/>
      <c r="AJ992" s="140"/>
      <c r="AK992" s="456"/>
      <c r="AL992" s="142"/>
      <c r="AM992" s="142"/>
      <c r="AN992" s="142"/>
      <c r="AO992" s="438"/>
      <c r="AP992" s="438"/>
      <c r="AQ992" s="438"/>
      <c r="AR992" s="438"/>
      <c r="AS992" s="438"/>
      <c r="AT992" s="438"/>
      <c r="AU992" s="438"/>
      <c r="AV992" s="438"/>
      <c r="AW992" s="438"/>
      <c r="AX992" s="438"/>
      <c r="AY992" s="438"/>
      <c r="AZ992" s="438"/>
      <c r="BA992" s="438"/>
      <c r="BB992" s="438"/>
      <c r="BC992" s="438"/>
      <c r="BD992" s="438"/>
      <c r="BE992" s="438"/>
      <c r="BF992" s="438"/>
      <c r="BG992" s="438"/>
      <c r="BH992" s="438"/>
    </row>
    <row r="993">
      <c r="A993" s="140"/>
      <c r="B993" s="456"/>
      <c r="C993" s="142"/>
      <c r="D993" s="142"/>
      <c r="E993" s="142"/>
      <c r="F993" s="140"/>
      <c r="G993" s="456"/>
      <c r="H993" s="142"/>
      <c r="I993" s="142"/>
      <c r="J993" s="142"/>
      <c r="K993" s="125"/>
      <c r="L993" s="456"/>
      <c r="M993" s="142"/>
      <c r="N993" s="142"/>
      <c r="O993" s="142"/>
      <c r="P993" s="125"/>
      <c r="Q993" s="450"/>
      <c r="R993" s="142"/>
      <c r="S993" s="142"/>
      <c r="T993" s="142"/>
      <c r="U993" s="140"/>
      <c r="V993" s="456"/>
      <c r="W993" s="142"/>
      <c r="X993" s="142"/>
      <c r="Y993" s="142"/>
      <c r="Z993" s="140"/>
      <c r="AA993" s="456"/>
      <c r="AB993" s="142"/>
      <c r="AC993" s="142"/>
      <c r="AD993" s="142"/>
      <c r="AE993" s="140"/>
      <c r="AF993" s="456"/>
      <c r="AG993" s="142"/>
      <c r="AH993" s="142"/>
      <c r="AI993" s="142"/>
      <c r="AJ993" s="140"/>
      <c r="AK993" s="456"/>
      <c r="AL993" s="142"/>
      <c r="AM993" s="142"/>
      <c r="AN993" s="142"/>
      <c r="AO993" s="438"/>
      <c r="AP993" s="438"/>
      <c r="AQ993" s="438"/>
      <c r="AR993" s="438"/>
      <c r="AS993" s="438"/>
      <c r="AT993" s="438"/>
      <c r="AU993" s="438"/>
      <c r="AV993" s="438"/>
      <c r="AW993" s="438"/>
      <c r="AX993" s="438"/>
      <c r="AY993" s="438"/>
      <c r="AZ993" s="438"/>
      <c r="BA993" s="438"/>
      <c r="BB993" s="438"/>
      <c r="BC993" s="438"/>
      <c r="BD993" s="438"/>
      <c r="BE993" s="438"/>
      <c r="BF993" s="438"/>
      <c r="BG993" s="438"/>
      <c r="BH993" s="438"/>
    </row>
    <row r="994">
      <c r="A994" s="140"/>
      <c r="B994" s="456"/>
      <c r="C994" s="142"/>
      <c r="D994" s="142"/>
      <c r="E994" s="142"/>
      <c r="F994" s="140"/>
      <c r="G994" s="456"/>
      <c r="H994" s="142"/>
      <c r="I994" s="142"/>
      <c r="J994" s="142"/>
      <c r="K994" s="125"/>
      <c r="L994" s="456"/>
      <c r="M994" s="142"/>
      <c r="N994" s="142"/>
      <c r="O994" s="142"/>
      <c r="P994" s="125"/>
      <c r="Q994" s="450"/>
      <c r="R994" s="142"/>
      <c r="S994" s="142"/>
      <c r="T994" s="142"/>
      <c r="U994" s="140"/>
      <c r="V994" s="456"/>
      <c r="W994" s="142"/>
      <c r="X994" s="142"/>
      <c r="Y994" s="142"/>
      <c r="Z994" s="140"/>
      <c r="AA994" s="456"/>
      <c r="AB994" s="142"/>
      <c r="AC994" s="142"/>
      <c r="AD994" s="142"/>
      <c r="AE994" s="140"/>
      <c r="AF994" s="456"/>
      <c r="AG994" s="142"/>
      <c r="AH994" s="142"/>
      <c r="AI994" s="142"/>
      <c r="AJ994" s="140"/>
      <c r="AK994" s="456"/>
      <c r="AL994" s="142"/>
      <c r="AM994" s="142"/>
      <c r="AN994" s="142"/>
      <c r="AO994" s="438"/>
      <c r="AP994" s="438"/>
      <c r="AQ994" s="438"/>
      <c r="AR994" s="438"/>
      <c r="AS994" s="438"/>
      <c r="AT994" s="438"/>
      <c r="AU994" s="438"/>
      <c r="AV994" s="438"/>
      <c r="AW994" s="438"/>
      <c r="AX994" s="438"/>
      <c r="AY994" s="438"/>
      <c r="AZ994" s="438"/>
      <c r="BA994" s="438"/>
      <c r="BB994" s="438"/>
      <c r="BC994" s="438"/>
      <c r="BD994" s="438"/>
      <c r="BE994" s="438"/>
      <c r="BF994" s="438"/>
      <c r="BG994" s="438"/>
      <c r="BH994" s="438"/>
    </row>
    <row r="995">
      <c r="A995" s="140"/>
      <c r="B995" s="456"/>
      <c r="C995" s="142"/>
      <c r="D995" s="142"/>
      <c r="E995" s="142"/>
      <c r="F995" s="140"/>
      <c r="G995" s="456"/>
      <c r="H995" s="142"/>
      <c r="I995" s="142"/>
      <c r="J995" s="142"/>
      <c r="K995" s="125"/>
      <c r="L995" s="456"/>
      <c r="M995" s="142"/>
      <c r="N995" s="142"/>
      <c r="O995" s="142"/>
      <c r="P995" s="125"/>
      <c r="Q995" s="450"/>
      <c r="R995" s="142"/>
      <c r="S995" s="142"/>
      <c r="T995" s="142"/>
      <c r="U995" s="140"/>
      <c r="V995" s="456"/>
      <c r="W995" s="142"/>
      <c r="X995" s="142"/>
      <c r="Y995" s="142"/>
      <c r="Z995" s="140"/>
      <c r="AA995" s="456"/>
      <c r="AB995" s="142"/>
      <c r="AC995" s="142"/>
      <c r="AD995" s="142"/>
      <c r="AE995" s="140"/>
      <c r="AF995" s="456"/>
      <c r="AG995" s="142"/>
      <c r="AH995" s="142"/>
      <c r="AI995" s="142"/>
      <c r="AJ995" s="140"/>
      <c r="AK995" s="456"/>
      <c r="AL995" s="142"/>
      <c r="AM995" s="142"/>
      <c r="AN995" s="142"/>
      <c r="AO995" s="438"/>
      <c r="AP995" s="438"/>
      <c r="AQ995" s="438"/>
      <c r="AR995" s="438"/>
      <c r="AS995" s="438"/>
      <c r="AT995" s="438"/>
      <c r="AU995" s="438"/>
      <c r="AV995" s="438"/>
      <c r="AW995" s="438"/>
      <c r="AX995" s="438"/>
      <c r="AY995" s="438"/>
      <c r="AZ995" s="438"/>
      <c r="BA995" s="438"/>
      <c r="BB995" s="438"/>
      <c r="BC995" s="438"/>
      <c r="BD995" s="438"/>
      <c r="BE995" s="438"/>
      <c r="BF995" s="438"/>
      <c r="BG995" s="438"/>
      <c r="BH995" s="438"/>
    </row>
    <row r="996">
      <c r="A996" s="140"/>
      <c r="B996" s="456"/>
      <c r="C996" s="142"/>
      <c r="D996" s="142"/>
      <c r="E996" s="142"/>
      <c r="F996" s="140"/>
      <c r="G996" s="456"/>
      <c r="H996" s="142"/>
      <c r="I996" s="142"/>
      <c r="J996" s="142"/>
      <c r="K996" s="125"/>
      <c r="L996" s="456"/>
      <c r="M996" s="142"/>
      <c r="N996" s="142"/>
      <c r="O996" s="142"/>
      <c r="P996" s="125"/>
      <c r="Q996" s="450"/>
      <c r="R996" s="142"/>
      <c r="S996" s="142"/>
      <c r="T996" s="142"/>
      <c r="U996" s="140"/>
      <c r="V996" s="456"/>
      <c r="W996" s="142"/>
      <c r="X996" s="142"/>
      <c r="Y996" s="142"/>
      <c r="Z996" s="140"/>
      <c r="AA996" s="456"/>
      <c r="AB996" s="142"/>
      <c r="AC996" s="142"/>
      <c r="AD996" s="142"/>
      <c r="AE996" s="140"/>
      <c r="AF996" s="456"/>
      <c r="AG996" s="142"/>
      <c r="AH996" s="142"/>
      <c r="AI996" s="142"/>
      <c r="AJ996" s="140"/>
      <c r="AK996" s="456"/>
      <c r="AL996" s="142"/>
      <c r="AM996" s="142"/>
      <c r="AN996" s="142"/>
      <c r="AO996" s="438"/>
      <c r="AP996" s="438"/>
      <c r="AQ996" s="438"/>
      <c r="AR996" s="438"/>
      <c r="AS996" s="438"/>
      <c r="AT996" s="438"/>
      <c r="AU996" s="438"/>
      <c r="AV996" s="438"/>
      <c r="AW996" s="438"/>
      <c r="AX996" s="438"/>
      <c r="AY996" s="438"/>
      <c r="AZ996" s="438"/>
      <c r="BA996" s="438"/>
      <c r="BB996" s="438"/>
      <c r="BC996" s="438"/>
      <c r="BD996" s="438"/>
      <c r="BE996" s="438"/>
      <c r="BF996" s="438"/>
      <c r="BG996" s="438"/>
      <c r="BH996" s="438"/>
    </row>
    <row r="997">
      <c r="A997" s="140"/>
      <c r="B997" s="456"/>
      <c r="C997" s="142"/>
      <c r="D997" s="142"/>
      <c r="E997" s="142"/>
      <c r="F997" s="140"/>
      <c r="G997" s="456"/>
      <c r="H997" s="142"/>
      <c r="I997" s="142"/>
      <c r="J997" s="142"/>
      <c r="K997" s="125"/>
      <c r="L997" s="456"/>
      <c r="M997" s="142"/>
      <c r="N997" s="142"/>
      <c r="O997" s="142"/>
      <c r="P997" s="125"/>
      <c r="Q997" s="450"/>
      <c r="R997" s="142"/>
      <c r="S997" s="142"/>
      <c r="T997" s="142"/>
      <c r="U997" s="140"/>
      <c r="V997" s="456"/>
      <c r="W997" s="142"/>
      <c r="X997" s="142"/>
      <c r="Y997" s="142"/>
      <c r="Z997" s="140"/>
      <c r="AA997" s="456"/>
      <c r="AB997" s="142"/>
      <c r="AC997" s="142"/>
      <c r="AD997" s="142"/>
      <c r="AE997" s="140"/>
      <c r="AF997" s="456"/>
      <c r="AG997" s="142"/>
      <c r="AH997" s="142"/>
      <c r="AI997" s="142"/>
      <c r="AJ997" s="140"/>
      <c r="AK997" s="456"/>
      <c r="AL997" s="142"/>
      <c r="AM997" s="142"/>
      <c r="AN997" s="142"/>
      <c r="AO997" s="438"/>
      <c r="AP997" s="438"/>
      <c r="AQ997" s="438"/>
      <c r="AR997" s="438"/>
      <c r="AS997" s="438"/>
      <c r="AT997" s="438"/>
      <c r="AU997" s="438"/>
      <c r="AV997" s="438"/>
      <c r="AW997" s="438"/>
      <c r="AX997" s="438"/>
      <c r="AY997" s="438"/>
      <c r="AZ997" s="438"/>
      <c r="BA997" s="438"/>
      <c r="BB997" s="438"/>
      <c r="BC997" s="438"/>
      <c r="BD997" s="438"/>
      <c r="BE997" s="438"/>
      <c r="BF997" s="438"/>
      <c r="BG997" s="438"/>
      <c r="BH997" s="438"/>
    </row>
    <row r="998">
      <c r="A998" s="140"/>
      <c r="B998" s="456"/>
      <c r="C998" s="142"/>
      <c r="D998" s="142"/>
      <c r="E998" s="142"/>
      <c r="F998" s="140"/>
      <c r="G998" s="456"/>
      <c r="H998" s="142"/>
      <c r="I998" s="142"/>
      <c r="J998" s="142"/>
      <c r="K998" s="125"/>
      <c r="L998" s="456"/>
      <c r="M998" s="142"/>
      <c r="N998" s="142"/>
      <c r="O998" s="142"/>
      <c r="P998" s="125"/>
      <c r="Q998" s="450"/>
      <c r="R998" s="142"/>
      <c r="S998" s="142"/>
      <c r="T998" s="142"/>
      <c r="U998" s="140"/>
      <c r="V998" s="456"/>
      <c r="W998" s="142"/>
      <c r="X998" s="142"/>
      <c r="Y998" s="142"/>
      <c r="Z998" s="140"/>
      <c r="AA998" s="456"/>
      <c r="AB998" s="142"/>
      <c r="AC998" s="142"/>
      <c r="AD998" s="142"/>
      <c r="AE998" s="140"/>
      <c r="AF998" s="456"/>
      <c r="AG998" s="142"/>
      <c r="AH998" s="142"/>
      <c r="AI998" s="142"/>
      <c r="AJ998" s="140"/>
      <c r="AK998" s="456"/>
      <c r="AL998" s="142"/>
      <c r="AM998" s="142"/>
      <c r="AN998" s="142"/>
      <c r="AO998" s="438"/>
      <c r="AP998" s="438"/>
      <c r="AQ998" s="438"/>
      <c r="AR998" s="438"/>
      <c r="AS998" s="438"/>
      <c r="AT998" s="438"/>
      <c r="AU998" s="438"/>
      <c r="AV998" s="438"/>
      <c r="AW998" s="438"/>
      <c r="AX998" s="438"/>
      <c r="AY998" s="438"/>
      <c r="AZ998" s="438"/>
      <c r="BA998" s="438"/>
      <c r="BB998" s="438"/>
      <c r="BC998" s="438"/>
      <c r="BD998" s="438"/>
      <c r="BE998" s="438"/>
      <c r="BF998" s="438"/>
      <c r="BG998" s="438"/>
      <c r="BH998" s="438"/>
    </row>
    <row r="999">
      <c r="A999" s="140"/>
      <c r="B999" s="456"/>
      <c r="C999" s="142"/>
      <c r="D999" s="142"/>
      <c r="E999" s="142"/>
      <c r="F999" s="140"/>
      <c r="G999" s="456"/>
      <c r="H999" s="142"/>
      <c r="I999" s="142"/>
      <c r="J999" s="142"/>
      <c r="K999" s="125"/>
      <c r="L999" s="456"/>
      <c r="M999" s="142"/>
      <c r="N999" s="142"/>
      <c r="O999" s="142"/>
      <c r="P999" s="125"/>
      <c r="Q999" s="450"/>
      <c r="R999" s="142"/>
      <c r="S999" s="142"/>
      <c r="T999" s="142"/>
      <c r="U999" s="140"/>
      <c r="V999" s="456"/>
      <c r="W999" s="142"/>
      <c r="X999" s="142"/>
      <c r="Y999" s="142"/>
      <c r="Z999" s="140"/>
      <c r="AA999" s="456"/>
      <c r="AB999" s="142"/>
      <c r="AC999" s="142"/>
      <c r="AD999" s="142"/>
      <c r="AE999" s="140"/>
      <c r="AF999" s="456"/>
      <c r="AG999" s="142"/>
      <c r="AH999" s="142"/>
      <c r="AI999" s="142"/>
      <c r="AJ999" s="140"/>
      <c r="AK999" s="456"/>
      <c r="AL999" s="142"/>
      <c r="AM999" s="142"/>
      <c r="AN999" s="142"/>
      <c r="AO999" s="438"/>
      <c r="AP999" s="438"/>
      <c r="AQ999" s="438"/>
      <c r="AR999" s="438"/>
      <c r="AS999" s="438"/>
      <c r="AT999" s="438"/>
      <c r="AU999" s="438"/>
      <c r="AV999" s="438"/>
      <c r="AW999" s="438"/>
      <c r="AX999" s="438"/>
      <c r="AY999" s="438"/>
      <c r="AZ999" s="438"/>
      <c r="BA999" s="438"/>
      <c r="BB999" s="438"/>
      <c r="BC999" s="438"/>
      <c r="BD999" s="438"/>
      <c r="BE999" s="438"/>
      <c r="BF999" s="438"/>
      <c r="BG999" s="438"/>
      <c r="BH999" s="438"/>
    </row>
    <row r="1000">
      <c r="A1000" s="140"/>
      <c r="B1000" s="456"/>
      <c r="C1000" s="142"/>
      <c r="D1000" s="142"/>
      <c r="E1000" s="142"/>
      <c r="F1000" s="140"/>
      <c r="G1000" s="456"/>
      <c r="H1000" s="142"/>
      <c r="I1000" s="142"/>
      <c r="J1000" s="142"/>
      <c r="K1000" s="125"/>
      <c r="L1000" s="456"/>
      <c r="M1000" s="142"/>
      <c r="N1000" s="142"/>
      <c r="O1000" s="142"/>
      <c r="P1000" s="125"/>
      <c r="Q1000" s="450"/>
      <c r="R1000" s="142"/>
      <c r="S1000" s="142"/>
      <c r="T1000" s="142"/>
      <c r="U1000" s="140"/>
      <c r="V1000" s="456"/>
      <c r="W1000" s="142"/>
      <c r="X1000" s="142"/>
      <c r="Y1000" s="142"/>
      <c r="Z1000" s="140"/>
      <c r="AA1000" s="456"/>
      <c r="AB1000" s="142"/>
      <c r="AC1000" s="142"/>
      <c r="AD1000" s="142"/>
      <c r="AE1000" s="140"/>
      <c r="AF1000" s="456"/>
      <c r="AG1000" s="142"/>
      <c r="AH1000" s="142"/>
      <c r="AI1000" s="142"/>
      <c r="AJ1000" s="140"/>
      <c r="AK1000" s="456"/>
      <c r="AL1000" s="142"/>
      <c r="AM1000" s="142"/>
      <c r="AN1000" s="142"/>
      <c r="AO1000" s="438"/>
      <c r="AP1000" s="438"/>
      <c r="AQ1000" s="438"/>
      <c r="AR1000" s="438"/>
      <c r="AS1000" s="438"/>
      <c r="AT1000" s="438"/>
      <c r="AU1000" s="438"/>
      <c r="AV1000" s="438"/>
      <c r="AW1000" s="438"/>
      <c r="AX1000" s="438"/>
      <c r="AY1000" s="438"/>
      <c r="AZ1000" s="438"/>
      <c r="BA1000" s="438"/>
      <c r="BB1000" s="438"/>
      <c r="BC1000" s="438"/>
      <c r="BD1000" s="438"/>
      <c r="BE1000" s="438"/>
      <c r="BF1000" s="438"/>
      <c r="BG1000" s="438"/>
      <c r="BH1000" s="438"/>
    </row>
  </sheetData>
  <mergeCells count="17">
    <mergeCell ref="AL1:AN3"/>
    <mergeCell ref="AQ1:AS3"/>
    <mergeCell ref="AV1:AX3"/>
    <mergeCell ref="BA1:BC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0" width="43.38"/>
    <col customWidth="1" min="11" max="11" width="39.38"/>
  </cols>
  <sheetData>
    <row r="1">
      <c r="A1" s="72" t="s">
        <v>10617</v>
      </c>
      <c r="B1" s="484" t="s">
        <v>10618</v>
      </c>
      <c r="C1" s="72" t="s">
        <v>10619</v>
      </c>
      <c r="D1" s="484" t="s">
        <v>10620</v>
      </c>
      <c r="E1" s="75" t="str">
        <f>IFERROR(__xludf.DUMMYFUNCTION("GOOGLETRANSLATE(A1,""zh-tw"",""es-MX"")"),"Para guardar tu partida en diferentes versiones, simplemente mueve el archivo de guardado de www-&gt;save a la misma ubicación en la nueva versión.")</f>
        <v>Para guardar tu partida en diferentes versiones, simplemente mueve el archivo de guardado de www-&gt;save a la misma ubicación en la nueva versión.</v>
      </c>
      <c r="F1" s="485" t="str">
        <f>IFERROR(__xludf.DUMMYFUNCTION("GOOGLETRANSLATE(A1,""zh-tw"",""KO"")"),"다른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1" s="123" t="s">
        <v>10621</v>
      </c>
      <c r="H1" s="484" t="s">
        <v>10622</v>
      </c>
      <c r="I1" s="188" t="s">
        <v>10623</v>
      </c>
      <c r="J1" s="485" t="s">
        <v>10624</v>
      </c>
      <c r="K1" s="110" t="s">
        <v>10625</v>
      </c>
      <c r="L1" s="66"/>
      <c r="M1" s="66"/>
      <c r="N1" s="66"/>
      <c r="O1" s="66"/>
      <c r="P1" s="66"/>
      <c r="Q1" s="66"/>
      <c r="R1" s="66"/>
      <c r="S1" s="66"/>
      <c r="T1" s="66"/>
      <c r="U1" s="66"/>
      <c r="V1" s="66"/>
      <c r="W1" s="66"/>
      <c r="X1" s="66"/>
    </row>
    <row r="2">
      <c r="A2" s="72" t="s">
        <v>10626</v>
      </c>
      <c r="B2" s="484" t="s">
        <v>10627</v>
      </c>
      <c r="C2" s="72" t="s">
        <v>10628</v>
      </c>
      <c r="D2" s="484" t="str">
        <f>IFERROR(__xludf.DUMMYFUNCTION("GOOGLETRANSLATE(A2,""zh-tw"",""zh"")"),"ALT可加速动画与音乐变奏的演绎")</f>
        <v>ALT可加速动画与音乐变奏的演绎</v>
      </c>
      <c r="E2" s="75" t="str">
        <f>IFERROR(__xludf.DUMMYFUNCTION("GOOGLETRANSLATE(A2,""zh-tw"",""es-MX"")"),"ALT puede acelerar el rendimiento de las animaciones y las variaciones musicales.")</f>
        <v>ALT puede acelerar el rendimiento de las animaciones y las variaciones musicales.</v>
      </c>
      <c r="F2" s="485" t="str">
        <f>IFERROR(__xludf.DUMMYFUNCTION("GOOGLETRANSLATE(A2,""zh-tw"",""KO"")"),"ALT는 애니메이션 및 음악 변형의 성능을 향상시킬 수 있습니다.")</f>
        <v>ALT는 애니메이션 및 음악 변형의 성능을 향상시킬 수 있습니다.</v>
      </c>
      <c r="G2" s="142" t="s">
        <v>10629</v>
      </c>
      <c r="H2" s="486" t="s">
        <v>10630</v>
      </c>
      <c r="I2" s="134" t="s">
        <v>10631</v>
      </c>
      <c r="J2" s="485" t="s">
        <v>10632</v>
      </c>
      <c r="K2" s="110" t="s">
        <v>10633</v>
      </c>
      <c r="L2" s="66"/>
      <c r="M2" s="66"/>
      <c r="N2" s="66"/>
      <c r="O2" s="66"/>
      <c r="P2" s="66"/>
      <c r="Q2" s="66"/>
      <c r="R2" s="66"/>
      <c r="S2" s="66"/>
      <c r="T2" s="66"/>
      <c r="U2" s="66"/>
      <c r="V2" s="66"/>
      <c r="W2" s="66"/>
      <c r="X2" s="66"/>
    </row>
    <row r="3">
      <c r="A3" s="72" t="s">
        <v>10634</v>
      </c>
      <c r="B3" s="484" t="s">
        <v>10635</v>
      </c>
      <c r="C3" s="72" t="s">
        <v>10636</v>
      </c>
      <c r="D3" s="484" t="str">
        <f>IFERROR(__xludf.DUMMYFUNCTION("GOOGLETRANSLATE(A3,""zh-tw"",""zh"")"),"CTRL可加速对话")</f>
        <v>CTRL可加速对话</v>
      </c>
      <c r="E3" s="75" t="str">
        <f>IFERROR(__xludf.DUMMYFUNCTION("GOOGLETRANSLATE(A3,""zh-tw"",""es-MX"")"),"La tecla CTRL puede acelerar las conversaciones.")</f>
        <v>La tecla CTRL puede acelerar las conversaciones.</v>
      </c>
      <c r="F3" s="485" t="str">
        <f>IFERROR(__xludf.DUMMYFUNCTION("GOOGLETRANSLATE(A3,""zh-tw"",""KO"")"),"CTRL 키를 누르면 대화 속도가 빨라집니다.")</f>
        <v>CTRL 키를 누르면 대화 속도가 빨라집니다.</v>
      </c>
      <c r="G3" s="123" t="s">
        <v>10637</v>
      </c>
      <c r="H3" s="484" t="s">
        <v>10638</v>
      </c>
      <c r="I3" s="188" t="s">
        <v>10639</v>
      </c>
      <c r="J3" s="485" t="s">
        <v>10640</v>
      </c>
      <c r="K3" s="110" t="s">
        <v>10641</v>
      </c>
      <c r="L3" s="66"/>
      <c r="M3" s="66"/>
      <c r="N3" s="66"/>
      <c r="O3" s="66"/>
      <c r="P3" s="66"/>
      <c r="Q3" s="66"/>
      <c r="R3" s="66"/>
      <c r="S3" s="66"/>
      <c r="T3" s="66"/>
      <c r="U3" s="66"/>
      <c r="V3" s="66"/>
      <c r="W3" s="66"/>
      <c r="X3" s="66"/>
    </row>
    <row r="4">
      <c r="A4" s="72" t="s">
        <v>10642</v>
      </c>
      <c r="B4" s="484" t="s">
        <v>10643</v>
      </c>
      <c r="C4" s="72" t="s">
        <v>10644</v>
      </c>
      <c r="D4" s="484" t="str">
        <f>IFERROR(__xludf.DUMMYFUNCTION("GOOGLETRANSLATE(A4,""zh-tw"",""zh"")"),"Z键可以推进对话")</f>
        <v>Z键可以推进对话</v>
      </c>
      <c r="E4" s="75" t="str">
        <f>IFERROR(__xludf.DUMMYFUNCTION("GOOGLETRANSLATE(A4,""zh-tw"",""es-MX"")"),"La tecla Z hace avanzar el diálogo.")</f>
        <v>La tecla Z hace avanzar el diálogo.</v>
      </c>
      <c r="F4" s="485" t="str">
        <f>IFERROR(__xludf.DUMMYFUNCTION("GOOGLETRANSLATE(A4,""zh-tw"",""KO"")"),"Z 키를 누르면 대화가 진행됩니다.")</f>
        <v>Z 키를 누르면 대화가 진행됩니다.</v>
      </c>
      <c r="G4" s="142" t="s">
        <v>10645</v>
      </c>
      <c r="H4" s="484" t="s">
        <v>10646</v>
      </c>
      <c r="I4" s="188" t="s">
        <v>10647</v>
      </c>
      <c r="J4" s="485" t="s">
        <v>10648</v>
      </c>
      <c r="K4" s="110" t="s">
        <v>10649</v>
      </c>
      <c r="L4" s="66"/>
      <c r="M4" s="66"/>
      <c r="N4" s="66"/>
      <c r="O4" s="66"/>
      <c r="P4" s="66"/>
      <c r="Q4" s="66"/>
      <c r="R4" s="66"/>
      <c r="S4" s="66"/>
      <c r="T4" s="66"/>
      <c r="U4" s="66"/>
      <c r="V4" s="66"/>
      <c r="W4" s="66"/>
      <c r="X4" s="66"/>
    </row>
    <row r="5">
      <c r="A5" s="72" t="s">
        <v>10650</v>
      </c>
      <c r="B5" s="484" t="s">
        <v>10651</v>
      </c>
      <c r="C5" s="72" t="s">
        <v>10652</v>
      </c>
      <c r="D5" s="484" t="str">
        <f>IFERROR(__xludf.DUMMYFUNCTION("GOOGLETRANSLATE(A5,""zh-tw"",""zh"")"),"在取得相机后，F7可快速截图")</f>
        <v>在取得相机后，F7可快速截图</v>
      </c>
      <c r="E5" s="75" t="str">
        <f>IFERROR(__xludf.DUMMYFUNCTION("GOOGLETRANSLATE(A5,""zh-tw"",""es-MX"")"),"Tras obtener la cámara, el F7 puede tomar una captura de pantalla rápidamente.")</f>
        <v>Tras obtener la cámara, el F7 puede tomar una captura de pantalla rápidamente.</v>
      </c>
      <c r="F5" s="485" t="str">
        <f>IFERROR(__xludf.DUMMYFUNCTION("GOOGLETRANSLATE(A5,""zh-tw"",""KO"")"),"카메라를 획득한 후 F7은 빠르게 스크린샷을 찍을 수 있습니다.")</f>
        <v>카메라를 획득한 후 F7은 빠르게 스크린샷을 찍을 수 있습니다.</v>
      </c>
      <c r="G5" s="142" t="s">
        <v>10653</v>
      </c>
      <c r="H5" s="484" t="s">
        <v>10654</v>
      </c>
      <c r="I5" s="188" t="s">
        <v>10655</v>
      </c>
      <c r="J5" s="485" t="s">
        <v>10656</v>
      </c>
      <c r="K5" s="110" t="s">
        <v>10657</v>
      </c>
      <c r="L5" s="66"/>
      <c r="M5" s="66"/>
      <c r="N5" s="66"/>
      <c r="O5" s="66"/>
      <c r="P5" s="66"/>
      <c r="Q5" s="66"/>
      <c r="R5" s="66"/>
      <c r="S5" s="66"/>
      <c r="T5" s="66"/>
      <c r="U5" s="66"/>
      <c r="V5" s="66"/>
      <c r="W5" s="66"/>
      <c r="X5" s="66"/>
    </row>
    <row r="6">
      <c r="A6" s="72" t="s">
        <v>10658</v>
      </c>
      <c r="B6" s="484" t="s">
        <v>10659</v>
      </c>
      <c r="C6" s="72" t="s">
        <v>10660</v>
      </c>
      <c r="D6" s="484" t="str">
        <f>IFERROR(__xludf.DUMMYFUNCTION("GOOGLETRANSLATE(A6,""zh-tw"",""zh"")"),"F12可显示控制台")</f>
        <v>F12可显示控制台</v>
      </c>
      <c r="E6" s="75" t="str">
        <f>IFERROR(__xludf.DUMMYFUNCTION("GOOGLETRANSLATE(A6,""zh-tw"",""es-MX"")"),"Pulse F12 para mostrar la consola.")</f>
        <v>Pulse F12 para mostrar la consola.</v>
      </c>
      <c r="F6" s="485" t="str">
        <f>IFERROR(__xludf.DUMMYFUNCTION("GOOGLETRANSLATE(A6,""zh-tw"",""KO"")"),"F12 키를 눌러 콘솔을 표시하십시오.")</f>
        <v>F12 키를 눌러 콘솔을 표시하십시오.</v>
      </c>
      <c r="G6" s="142" t="s">
        <v>10661</v>
      </c>
      <c r="H6" s="484" t="s">
        <v>10662</v>
      </c>
      <c r="I6" s="188" t="s">
        <v>10663</v>
      </c>
      <c r="J6" s="485" t="s">
        <v>10664</v>
      </c>
      <c r="K6" s="110" t="s">
        <v>10665</v>
      </c>
      <c r="L6" s="66"/>
      <c r="M6" s="66"/>
      <c r="N6" s="66"/>
      <c r="O6" s="66"/>
      <c r="P6" s="66"/>
      <c r="Q6" s="66"/>
      <c r="R6" s="66"/>
      <c r="S6" s="66"/>
      <c r="T6" s="66"/>
      <c r="U6" s="66"/>
      <c r="V6" s="66"/>
      <c r="W6" s="66"/>
      <c r="X6" s="66"/>
    </row>
    <row r="7">
      <c r="A7" s="72" t="s">
        <v>10666</v>
      </c>
      <c r="B7" s="484" t="s">
        <v>10667</v>
      </c>
      <c r="C7" s="72" t="s">
        <v>10668</v>
      </c>
      <c r="D7" s="484"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75" t="str">
        <f>IFERROR(__xludf.DUMMYFUNCTION("GOOGLETRANSLATE(A7,""zh-tw"",""es-MX"")"),"La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7" s="485" t="str">
        <f>IFERROR(__xludf.DUMMYFUNCTION("GOOGLETRANSLATE(A7,""zh-tw"",""KO"")"),"빨간색 진행 막대는 애정도를 나타냅니다. 막대가 가득 차면 하트(❤️)가 하나씩 추가되며, 최대 7개까지 쌓을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쌓을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123" t="s">
        <v>10669</v>
      </c>
      <c r="H7" s="484" t="s">
        <v>10670</v>
      </c>
      <c r="I7" s="188" t="s">
        <v>10671</v>
      </c>
      <c r="J7" s="485" t="s">
        <v>10672</v>
      </c>
      <c r="K7" s="72" t="s">
        <v>10673</v>
      </c>
      <c r="L7" s="66"/>
      <c r="M7" s="66"/>
      <c r="N7" s="66"/>
      <c r="O7" s="66"/>
      <c r="P7" s="66"/>
      <c r="Q7" s="66"/>
      <c r="R7" s="66"/>
      <c r="S7" s="66"/>
      <c r="T7" s="66"/>
      <c r="U7" s="66"/>
      <c r="V7" s="66"/>
      <c r="W7" s="66"/>
      <c r="X7" s="66"/>
    </row>
    <row r="8">
      <c r="A8" s="72" t="s">
        <v>10674</v>
      </c>
      <c r="B8" s="484" t="s">
        <v>10675</v>
      </c>
      <c r="C8" s="72" t="s">
        <v>10676</v>
      </c>
      <c r="D8" s="484"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75" t="str">
        <f>IFERROR(__xludf.DUMMYFUNCTION("GOOGLETRANSLATE(A8,""zh-tw"",""es-MX"")"),"Los valores para 7 estrellas de afinidad son: 100-200-300-400-500-600-700. En la versión 0.6, una experiencia de juego completa se obtiene con solo 4 estrellas; no es necesario alcanzar las 7 estrellas.")</f>
        <v>Los valores para 7 estrellas de afinidad son: 100-200-300-400-500-600-700. En la versión 0.6, una experiencia de juego completa se obtiene con solo 4 estrellas; no es necesario alcanzar las 7 estrellas.</v>
      </c>
      <c r="F8" s="485" t="str">
        <f>IFERROR(__xludf.DUMMYFUNCTION("GOOGLETRANSLATE(A8,""zh-tw"",""KO"")"),"친밀도 별 7개에 대한 값은 100-200-300-400-500-600-700입니다. 버전 0.6에서는 별 4개만으로도 게임을 완벽하게 즐길 수 있으며, 별 7개를 달성할 필요는 없습니다.")</f>
        <v>친밀도 별 7개에 대한 값은 100-200-300-400-500-600-700입니다. 버전 0.6에서는 별 4개만으로도 게임을 완벽하게 즐길 수 있으며, 별 7개를 달성할 필요는 없습니다.</v>
      </c>
      <c r="G8" s="123" t="s">
        <v>10677</v>
      </c>
      <c r="H8" s="484" t="s">
        <v>10678</v>
      </c>
      <c r="I8" s="188" t="s">
        <v>10679</v>
      </c>
      <c r="J8" s="485" t="s">
        <v>10680</v>
      </c>
      <c r="K8" s="110" t="s">
        <v>10681</v>
      </c>
      <c r="L8" s="66"/>
      <c r="M8" s="66"/>
      <c r="N8" s="66"/>
      <c r="O8" s="66"/>
      <c r="P8" s="66"/>
      <c r="Q8" s="66"/>
      <c r="R8" s="66"/>
      <c r="S8" s="66"/>
      <c r="T8" s="66"/>
      <c r="U8" s="66"/>
      <c r="V8" s="66"/>
      <c r="W8" s="66"/>
      <c r="X8" s="66"/>
    </row>
    <row r="9">
      <c r="A9" s="72" t="s">
        <v>10682</v>
      </c>
      <c r="B9" s="484" t="s">
        <v>10683</v>
      </c>
      <c r="C9" s="72" t="s">
        <v>10684</v>
      </c>
      <c r="D9" s="484" t="str">
        <f>IFERROR(__xludf.DUMMYFUNCTION("GOOGLETRANSLATE(A9,""zh-tw"",""zh"")"),"目前版本想要快速满红心和紫心的作法就是和妹妹玩游戏以及夜袭")</f>
        <v>目前版本想要快速满红心和紫心的作法就是和妹妹玩游戏以及夜袭</v>
      </c>
      <c r="E9" s="75" t="str">
        <f>IFERROR(__xludf.DUMMYFUNCTION("GOOGLETRANSLATE(A9,""zh-tw"",""es-MX"")"),"El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9" s="485"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142" t="s">
        <v>10685</v>
      </c>
      <c r="H9" s="484" t="s">
        <v>10686</v>
      </c>
      <c r="I9" s="188" t="s">
        <v>10687</v>
      </c>
      <c r="J9" s="485" t="s">
        <v>10688</v>
      </c>
      <c r="K9" s="72" t="s">
        <v>10689</v>
      </c>
      <c r="L9" s="66"/>
      <c r="M9" s="66"/>
      <c r="N9" s="66"/>
      <c r="O9" s="66"/>
      <c r="P9" s="66"/>
      <c r="Q9" s="66"/>
      <c r="R9" s="66"/>
      <c r="S9" s="66"/>
      <c r="T9" s="66"/>
      <c r="U9" s="66"/>
      <c r="V9" s="66"/>
      <c r="W9" s="66"/>
      <c r="X9" s="66"/>
    </row>
    <row r="10">
      <c r="A10" s="72" t="s">
        <v>10690</v>
      </c>
      <c r="B10" s="484" t="s">
        <v>10691</v>
      </c>
      <c r="C10" s="72" t="s">
        <v>10692</v>
      </c>
      <c r="D10" s="484" t="str">
        <f>IFERROR(__xludf.DUMMYFUNCTION("GOOGLETRANSLATE(A10,""zh-tw"",""zh"")"),"想和妹妹共浴吗? 请先到达2爱心")</f>
        <v>想和妹妹共浴吗? 请先到达2爱心</v>
      </c>
      <c r="E10" s="75" t="str">
        <f>IFERROR(__xludf.DUMMYFUNCTION("GOOGLETRANSLATE(A10,""zh-tw"",""es-MX"")"),"¿Quieres bañarte con tu hermana? Primero, consigue 2 corazones.")</f>
        <v>¿Quieres bañarte con tu hermana? Primero, consigue 2 corazones.</v>
      </c>
      <c r="F10" s="485" t="str">
        <f>IFERROR(__xludf.DUMMYFUNCTION("GOOGLETRANSLATE(A10,""zh-tw"",""KO"")"),"여동생과 함께 목욕하고 싶으세요? 먼저 하트 2개를 달성하세요.")</f>
        <v>여동생과 함께 목욕하고 싶으세요? 먼저 하트 2개를 달성하세요.</v>
      </c>
      <c r="G10" s="142" t="s">
        <v>10693</v>
      </c>
      <c r="H10" s="484" t="s">
        <v>10694</v>
      </c>
      <c r="I10" s="188" t="s">
        <v>10695</v>
      </c>
      <c r="J10" s="485" t="s">
        <v>10696</v>
      </c>
      <c r="K10" s="110" t="s">
        <v>10697</v>
      </c>
      <c r="L10" s="66"/>
      <c r="M10" s="66"/>
      <c r="N10" s="66"/>
      <c r="O10" s="66"/>
      <c r="P10" s="66"/>
      <c r="Q10" s="66"/>
      <c r="R10" s="66"/>
      <c r="S10" s="66"/>
      <c r="T10" s="66"/>
      <c r="U10" s="66"/>
      <c r="V10" s="66"/>
      <c r="W10" s="66"/>
      <c r="X10" s="66"/>
    </row>
    <row r="11">
      <c r="A11" s="72" t="s">
        <v>10698</v>
      </c>
      <c r="B11" s="484" t="s">
        <v>10699</v>
      </c>
      <c r="C11" s="72" t="s">
        <v>10700</v>
      </c>
      <c r="D11" s="484" t="str">
        <f>IFERROR(__xludf.DUMMYFUNCTION("GOOGLETRANSLATE(A11,""zh-tw"",""zh"")"),"假如很不幸地遇到遇到卡点，可以发呆到下午5点自动回家")</f>
        <v>假如很不幸地遇到遇到卡点，可以发呆到下午5点自动回家</v>
      </c>
      <c r="E11" s="75" t="str">
        <f>IFERROR(__xludf.DUMMYFUNCTION("GOOGLETRANSLATE(A11,""zh-tw"",""es-MX"")"),"Si,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1" s="485"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123" t="s">
        <v>10701</v>
      </c>
      <c r="H11" s="484" t="s">
        <v>10702</v>
      </c>
      <c r="I11" s="188" t="s">
        <v>10703</v>
      </c>
      <c r="J11" s="485" t="s">
        <v>10704</v>
      </c>
      <c r="K11" s="110" t="s">
        <v>10705</v>
      </c>
      <c r="L11" s="66"/>
      <c r="M11" s="66"/>
      <c r="N11" s="66"/>
      <c r="O11" s="66"/>
      <c r="P11" s="66"/>
      <c r="Q11" s="66"/>
      <c r="R11" s="66"/>
      <c r="S11" s="66"/>
      <c r="T11" s="66"/>
      <c r="U11" s="66"/>
      <c r="V11" s="66"/>
      <c r="W11" s="66"/>
      <c r="X11" s="66"/>
    </row>
    <row r="12">
      <c r="A12" s="72" t="s">
        <v>10706</v>
      </c>
      <c r="B12" s="484" t="s">
        <v>10707</v>
      </c>
      <c r="C12" s="72" t="s">
        <v>10708</v>
      </c>
      <c r="D12" s="484" t="str">
        <f>IFERROR(__xludf.DUMMYFUNCTION("GOOGLETRANSLATE(A12,""zh-tw"",""zh"")"),"当哥哥性欲值高于一定数值才会触发夜袭")</f>
        <v>当哥哥性欲值高于一定数值才会触发夜袭</v>
      </c>
      <c r="E12" s="75" t="str">
        <f>IFERROR(__xludf.DUMMYFUNCTION("GOOGLETRANSLATE(A12,""zh-tw"",""es-MX"")"),"La incursión nocturna solo se activará cuando el deseo sexual del hermano mayor supere cierto valor.")</f>
        <v>La incursión nocturna solo se activará cuando el deseo sexual del hermano mayor supere cierto valor.</v>
      </c>
      <c r="F12" s="485" t="str">
        <f>IFERROR(__xludf.DUMMYFUNCTION("GOOGLETRANSLATE(A12,""zh-tw"",""KO"")"),"야간 습격은 형의 성욕이 특정 수치를 초과할 때만 발생합니다.")</f>
        <v>야간 습격은 형의 성욕이 특정 수치를 초과할 때만 발생합니다.</v>
      </c>
      <c r="G12" s="123" t="s">
        <v>10709</v>
      </c>
      <c r="H12" s="484" t="s">
        <v>10710</v>
      </c>
      <c r="I12" s="188" t="s">
        <v>10711</v>
      </c>
      <c r="J12" s="485" t="s">
        <v>10712</v>
      </c>
      <c r="K12" s="110" t="s">
        <v>10713</v>
      </c>
      <c r="L12" s="66"/>
      <c r="M12" s="66"/>
      <c r="N12" s="66"/>
      <c r="O12" s="66"/>
      <c r="P12" s="66"/>
      <c r="Q12" s="66"/>
      <c r="R12" s="66"/>
      <c r="S12" s="66"/>
      <c r="T12" s="66"/>
      <c r="U12" s="66"/>
      <c r="V12" s="66"/>
      <c r="W12" s="66"/>
      <c r="X12" s="66"/>
    </row>
    <row r="13">
      <c r="A13" s="72" t="s">
        <v>10714</v>
      </c>
      <c r="B13" s="484" t="s">
        <v>10715</v>
      </c>
      <c r="C13" s="72" t="s">
        <v>10716</v>
      </c>
      <c r="D13" s="484" t="str">
        <f>IFERROR(__xludf.DUMMYFUNCTION("GOOGLETRANSLATE(A13,""zh-tw"",""zh"")"),"若打爆了扭蛋机别担心，使用塔罗牌能随时再召唤")</f>
        <v>若打爆了扭蛋机别担心，使用塔罗牌能随时再召唤</v>
      </c>
      <c r="E13" s="75" t="str">
        <f>IFERROR(__xludf.DUMMYFUNCTION("GOOGLETRANSLATE(A13,""zh-tw"",""es-MX"")"),"No te preocupes si rompes la máquina de gashapon; puedes volver a invocarla en cualquier momento usando cartas del tarot.")</f>
        <v>No te preocupes si rompes la máquina de gashapon; puedes volver a invocarla en cualquier momento usando cartas del tarot.</v>
      </c>
      <c r="F13" s="485"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123" t="s">
        <v>10717</v>
      </c>
      <c r="H13" s="484" t="s">
        <v>10718</v>
      </c>
      <c r="I13" s="134" t="s">
        <v>10719</v>
      </c>
      <c r="J13" s="485" t="s">
        <v>10720</v>
      </c>
      <c r="K13" s="110" t="s">
        <v>10721</v>
      </c>
      <c r="L13" s="66"/>
      <c r="M13" s="66"/>
      <c r="N13" s="66"/>
      <c r="O13" s="66"/>
      <c r="P13" s="66"/>
      <c r="Q13" s="66"/>
      <c r="R13" s="66"/>
      <c r="S13" s="66"/>
      <c r="T13" s="66"/>
      <c r="U13" s="66"/>
      <c r="V13" s="66"/>
      <c r="W13" s="66"/>
      <c r="X13" s="66"/>
    </row>
    <row r="14">
      <c r="A14" s="72" t="s">
        <v>10722</v>
      </c>
      <c r="B14" s="484" t="s">
        <v>10723</v>
      </c>
      <c r="C14" s="72" t="s">
        <v>10724</v>
      </c>
      <c r="D14" s="484" t="str">
        <f>IFERROR(__xludf.DUMMYFUNCTION("GOOGLETRANSLATE(A14,""zh-tw"",""zh"")"),"从后方接近扭蛋机，扭蛋机会跳起")</f>
        <v>从后方接近扭蛋机，扭蛋机会跳起</v>
      </c>
      <c r="E14" s="75" t="str">
        <f>IFERROR(__xludf.DUMMYFUNCTION("GOOGLETRANSLATE(A14,""zh-tw"",""es-MX"")"),"Acércate a la máquina de gashapon por detrás y aparecerá.")</f>
        <v>Acércate a la máquina de gashapon por detrás y aparecerá.</v>
      </c>
      <c r="F14" s="485" t="str">
        <f>IFERROR(__xludf.DUMMYFUNCTION("GOOGLETRANSLATE(A14,""zh-tw"",""KO"")"),"가챠 기계 뒤쪽으로 다가가면 팝업으로 나타납니다.")</f>
        <v>가챠 기계 뒤쪽으로 다가가면 팝업으로 나타납니다.</v>
      </c>
      <c r="G14" s="123" t="s">
        <v>10725</v>
      </c>
      <c r="H14" s="484" t="s">
        <v>10726</v>
      </c>
      <c r="I14" s="188" t="s">
        <v>10727</v>
      </c>
      <c r="J14" s="485" t="s">
        <v>10728</v>
      </c>
      <c r="K14" s="110" t="s">
        <v>10729</v>
      </c>
      <c r="L14" s="66"/>
      <c r="M14" s="66"/>
      <c r="N14" s="66"/>
      <c r="O14" s="66"/>
      <c r="P14" s="66"/>
      <c r="Q14" s="66"/>
      <c r="R14" s="66"/>
      <c r="S14" s="66"/>
      <c r="T14" s="66"/>
      <c r="U14" s="66"/>
      <c r="V14" s="66"/>
      <c r="W14" s="66"/>
      <c r="X14" s="66"/>
    </row>
    <row r="15">
      <c r="A15" s="72" t="s">
        <v>10730</v>
      </c>
      <c r="B15" s="484" t="s">
        <v>10731</v>
      </c>
      <c r="C15" s="72" t="s">
        <v>10732</v>
      </c>
      <c r="D15" s="484" t="str">
        <f>IFERROR(__xludf.DUMMYFUNCTION("GOOGLETRANSLATE(A15,""zh-tw"",""zh"")"),"扭蛋奖品可以使用远距离武器攻击，快速开启")</f>
        <v>扭蛋奖品可以使用远距离武器攻击，快速开启</v>
      </c>
      <c r="E15" s="75" t="str">
        <f>IFERROR(__xludf.DUMMYFUNCTION("GOOGLETRANSLATE(A15,""zh-tw"",""es-MX"")"),"Los premios de Gacha se pueden usar para atacar con armas a distancia y se pueden obtener rápidamente.")</f>
        <v>Los premios de Gacha se pueden usar para atacar con armas a distancia y se pueden obtener rápidamente.</v>
      </c>
      <c r="F15" s="485" t="str">
        <f>IFERROR(__xludf.DUMMYFUNCTION("GOOGLETRANSLATE(A15,""zh-tw"",""KO"")"),"가챠 상품은 원거리 무기 공격에 사용할 수 있으며 빠르게 열 수 있습니다.")</f>
        <v>가챠 상품은 원거리 무기 공격에 사용할 수 있으며 빠르게 열 수 있습니다.</v>
      </c>
      <c r="G15" s="123" t="s">
        <v>10733</v>
      </c>
      <c r="H15" s="484" t="s">
        <v>10734</v>
      </c>
      <c r="I15" s="188" t="s">
        <v>10735</v>
      </c>
      <c r="J15" s="485" t="s">
        <v>10736</v>
      </c>
      <c r="K15" s="110" t="s">
        <v>10737</v>
      </c>
      <c r="L15" s="66"/>
      <c r="M15" s="66"/>
      <c r="N15" s="66"/>
      <c r="O15" s="66"/>
      <c r="P15" s="66"/>
      <c r="Q15" s="66"/>
      <c r="R15" s="66"/>
      <c r="S15" s="66"/>
      <c r="T15" s="66"/>
      <c r="U15" s="66"/>
      <c r="V15" s="66"/>
      <c r="W15" s="66"/>
      <c r="X15" s="66"/>
    </row>
    <row r="16">
      <c r="A16" s="72" t="s">
        <v>10738</v>
      </c>
      <c r="B16" s="484" t="s">
        <v>10739</v>
      </c>
      <c r="C16" s="72" t="s">
        <v>10740</v>
      </c>
      <c r="D16" s="484" t="str">
        <f>IFERROR(__xludf.DUMMYFUNCTION("GOOGLETRANSLATE(A16,""zh-tw"",""zh"")"),"扭蛋机的金蛋只有2%概率出现")</f>
        <v>扭蛋机的金蛋只有2%概率出现</v>
      </c>
      <c r="E16" s="75" t="str">
        <f>IFERROR(__xludf.DUMMYFUNCTION("GOOGLETRANSLATE(A16,""zh-tw"",""es-MX"")"),"El huevo dorado en la máquina de gashapon solo tiene un 2% de probabilidad de aparecer.")</f>
        <v>El huevo dorado en la máquina de gashapon solo tiene un 2% de probabilidad de aparecer.</v>
      </c>
      <c r="F16" s="485" t="str">
        <f>IFERROR(__xludf.DUMMYFUNCTION("GOOGLETRANSLATE(A16,""zh-tw"",""KO"")"),"가샤폰 기계에서 황금알이 나올 확률은 단 2%입니다.")</f>
        <v>가샤폰 기계에서 황금알이 나올 확률은 단 2%입니다.</v>
      </c>
      <c r="G16" s="123" t="s">
        <v>10741</v>
      </c>
      <c r="H16" s="484" t="s">
        <v>10742</v>
      </c>
      <c r="I16" s="188" t="s">
        <v>10743</v>
      </c>
      <c r="J16" s="485" t="s">
        <v>10744</v>
      </c>
      <c r="K16" s="110" t="s">
        <v>10745</v>
      </c>
      <c r="L16" s="66"/>
      <c r="M16" s="66"/>
      <c r="N16" s="66"/>
      <c r="O16" s="66"/>
      <c r="P16" s="66"/>
      <c r="Q16" s="66"/>
      <c r="R16" s="66"/>
      <c r="S16" s="66"/>
      <c r="T16" s="66"/>
      <c r="U16" s="66"/>
      <c r="V16" s="66"/>
      <c r="W16" s="66"/>
      <c r="X16" s="66"/>
    </row>
    <row r="17">
      <c r="A17" s="72" t="s">
        <v>10746</v>
      </c>
      <c r="B17" s="484" t="s">
        <v>10747</v>
      </c>
      <c r="C17" s="72" t="s">
        <v>10748</v>
      </c>
      <c r="D17" s="484" t="str">
        <f>IFERROR(__xludf.DUMMYFUNCTION("GOOGLETRANSLATE(A17,""zh-tw"",""zh"")"),"扭蛋机的爱好与妹妹差不多")</f>
        <v>扭蛋机的爱好与妹妹差不多</v>
      </c>
      <c r="E17" s="75" t="str">
        <f>IFERROR(__xludf.DUMMYFUNCTION("GOOGLETRANSLATE(A17,""zh-tw"",""es-MX"")"),"Mi afición por las máquinas de gashapon es similar a la de mi hermana.")</f>
        <v>Mi afición por las máquinas de gashapon es similar a la de mi hermana.</v>
      </c>
      <c r="F17" s="485" t="str">
        <f>IFERROR(__xludf.DUMMYFUNCTION("GOOGLETRANSLATE(A17,""zh-tw"",""KO"")"),"저는 여동생처럼 가챠 기계를 정말 좋아해요.")</f>
        <v>저는 여동생처럼 가챠 기계를 정말 좋아해요.</v>
      </c>
      <c r="G17" s="123" t="s">
        <v>10749</v>
      </c>
      <c r="H17" s="484" t="s">
        <v>10750</v>
      </c>
      <c r="I17" s="188" t="s">
        <v>10751</v>
      </c>
      <c r="J17" s="485" t="s">
        <v>10752</v>
      </c>
      <c r="K17" s="72" t="s">
        <v>10753</v>
      </c>
      <c r="L17" s="66"/>
      <c r="M17" s="66"/>
      <c r="N17" s="66"/>
      <c r="O17" s="66"/>
      <c r="P17" s="66"/>
      <c r="Q17" s="66"/>
      <c r="R17" s="66"/>
      <c r="S17" s="66"/>
      <c r="T17" s="66"/>
      <c r="U17" s="66"/>
      <c r="V17" s="66"/>
      <c r="W17" s="66"/>
      <c r="X17" s="66"/>
    </row>
    <row r="18">
      <c r="A18" s="72" t="s">
        <v>10754</v>
      </c>
      <c r="B18" s="484" t="s">
        <v>10755</v>
      </c>
      <c r="C18" s="72" t="s">
        <v>10756</v>
      </c>
      <c r="D18" s="484" t="str">
        <f>IFERROR(__xludf.DUMMYFUNCTION("GOOGLETRANSLATE(A18,""zh-tw"",""zh"")"),"在投钱进入扭蛋机前，最好先保证机器完好无损，因为机器血量会影响扭蛋数量")</f>
        <v>在投钱进入扭蛋机前，最好先保证机器完好无损，因为机器血量会影响扭蛋数量</v>
      </c>
      <c r="E18" s="75" t="str">
        <f>IFERROR(__xludf.DUMMYFUNCTION("GOOGLETRANSLATE(A18,""zh-tw"",""es-MX"")"),"Antes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8" s="485"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142" t="s">
        <v>10757</v>
      </c>
      <c r="H18" s="484" t="s">
        <v>10758</v>
      </c>
      <c r="I18" s="188" t="s">
        <v>10759</v>
      </c>
      <c r="J18" s="485" t="s">
        <v>10760</v>
      </c>
      <c r="K18" s="110" t="s">
        <v>10761</v>
      </c>
      <c r="L18" s="66"/>
      <c r="M18" s="66"/>
      <c r="N18" s="66"/>
      <c r="O18" s="66"/>
      <c r="P18" s="66"/>
      <c r="Q18" s="66"/>
      <c r="R18" s="66"/>
      <c r="S18" s="66"/>
      <c r="T18" s="66"/>
      <c r="U18" s="66"/>
      <c r="V18" s="66"/>
      <c r="W18" s="66"/>
      <c r="X18" s="66"/>
    </row>
    <row r="19">
      <c r="A19" s="72" t="s">
        <v>10762</v>
      </c>
      <c r="B19" s="484" t="s">
        <v>10763</v>
      </c>
      <c r="C19" s="72" t="s">
        <v>10764</v>
      </c>
      <c r="D19" s="484" t="str">
        <f>IFERROR(__xludf.DUMMYFUNCTION("GOOGLETRANSLATE(A19,""zh-tw"",""zh"")"),"召唤门若位置不好，可以破坏并重新召唤")</f>
        <v>召唤门若位置不好，可以破坏并重新召唤</v>
      </c>
      <c r="E19" s="75" t="str">
        <f>IFERROR(__xludf.DUMMYFUNCTION("GOOGLETRANSLATE(A19,""zh-tw"",""es-MX"")"),"Si el portal de invocación está mal ubicado, puede ser destruido y vuelto a invocar.")</f>
        <v>Si el portal de invocación está mal ubicado, puede ser destruido y vuelto a invocar.</v>
      </c>
      <c r="F19" s="485" t="str">
        <f>IFERROR(__xludf.DUMMYFUNCTION("GOOGLETRANSLATE(A19,""zh-tw"",""KO"")"),"소환 포털의 위치가 부적절하면 파괴한 후 다시 소환할 수 있습니다.")</f>
        <v>소환 포털의 위치가 부적절하면 파괴한 후 다시 소환할 수 있습니다.</v>
      </c>
      <c r="G19" s="142" t="s">
        <v>10765</v>
      </c>
      <c r="H19" s="484" t="s">
        <v>10766</v>
      </c>
      <c r="I19" s="188" t="s">
        <v>10767</v>
      </c>
      <c r="J19" s="485" t="s">
        <v>10768</v>
      </c>
      <c r="K19" s="110" t="s">
        <v>10769</v>
      </c>
      <c r="L19" s="66"/>
      <c r="M19" s="66"/>
      <c r="N19" s="66"/>
      <c r="O19" s="66"/>
      <c r="P19" s="66"/>
      <c r="Q19" s="66"/>
      <c r="R19" s="66"/>
      <c r="S19" s="66"/>
      <c r="T19" s="66"/>
      <c r="U19" s="66"/>
      <c r="V19" s="66"/>
      <c r="W19" s="66"/>
      <c r="X19" s="66"/>
    </row>
    <row r="20">
      <c r="A20" s="72" t="s">
        <v>10770</v>
      </c>
      <c r="B20" s="484" t="s">
        <v>10771</v>
      </c>
      <c r="C20" s="72" t="s">
        <v>10772</v>
      </c>
      <c r="D20" s="484" t="str">
        <f>IFERROR(__xludf.DUMMYFUNCTION("GOOGLETRANSLATE(A20,""zh-tw"",""zh"")"),"在洗面所的偷窥，会因为开门的多寡而影响被妹妹发现的机率")</f>
        <v>在洗面所的偷窥，会因为开门的多寡而影响被妹妹发现的机率</v>
      </c>
      <c r="E20" s="75" t="str">
        <f>IFERROR(__xludf.DUMMYFUNCTION("GOOGLETRANSLATE(A20,""zh-tw"",""es-MX"")"),"Las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0" s="485"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142" t="s">
        <v>10773</v>
      </c>
      <c r="H20" s="484" t="s">
        <v>10774</v>
      </c>
      <c r="I20" s="134" t="s">
        <v>10775</v>
      </c>
      <c r="J20" s="485" t="s">
        <v>10776</v>
      </c>
      <c r="K20" s="72" t="s">
        <v>10777</v>
      </c>
      <c r="L20" s="66"/>
      <c r="M20" s="66"/>
      <c r="N20" s="66"/>
      <c r="O20" s="66"/>
      <c r="P20" s="66"/>
      <c r="Q20" s="66"/>
      <c r="R20" s="66"/>
      <c r="S20" s="66"/>
      <c r="T20" s="66"/>
      <c r="U20" s="66"/>
      <c r="V20" s="66"/>
      <c r="W20" s="66"/>
      <c r="X20" s="66"/>
    </row>
    <row r="21">
      <c r="A21" s="72" t="s">
        <v>10778</v>
      </c>
      <c r="B21" s="484" t="s">
        <v>10779</v>
      </c>
      <c r="C21" s="72" t="s">
        <v>10780</v>
      </c>
      <c r="D21" s="484" t="str">
        <f>IFERROR(__xludf.DUMMYFUNCTION("GOOGLETRANSLATE(A21,""zh-tw"",""zh"")"),"机甲消失后，该地图名称会改变")</f>
        <v>机甲消失后，该地图名称会改变</v>
      </c>
      <c r="E21" s="75" t="str">
        <f>IFERROR(__xludf.DUMMYFUNCTION("GOOGLETRANSLATE(A21,""zh-tw"",""es-MX"")"),"El nombre del mapa cambiará después de que el robot desaparezca.")</f>
        <v>El nombre del mapa cambiará después de que el robot desaparezca.</v>
      </c>
      <c r="F21" s="485" t="str">
        <f>IFERROR(__xludf.DUMMYFUNCTION("GOOGLETRANSLATE(A21,""zh-tw"",""KO"")"),"메카닉이 사라지면 맵 이름이 바뀝니다.")</f>
        <v>메카닉이 사라지면 맵 이름이 바뀝니다.</v>
      </c>
      <c r="G21" s="142" t="s">
        <v>10781</v>
      </c>
      <c r="H21" s="484" t="s">
        <v>10782</v>
      </c>
      <c r="I21" s="134" t="s">
        <v>10783</v>
      </c>
      <c r="J21" s="485" t="s">
        <v>10784</v>
      </c>
      <c r="K21" s="72" t="s">
        <v>10785</v>
      </c>
      <c r="L21" s="66"/>
      <c r="M21" s="66"/>
      <c r="N21" s="66"/>
      <c r="O21" s="66"/>
      <c r="P21" s="66"/>
      <c r="Q21" s="66"/>
      <c r="R21" s="66"/>
      <c r="S21" s="66"/>
      <c r="T21" s="66"/>
      <c r="U21" s="66"/>
      <c r="V21" s="66"/>
      <c r="W21" s="66"/>
      <c r="X21" s="66"/>
    </row>
    <row r="22">
      <c r="A22" s="72" t="s">
        <v>10786</v>
      </c>
      <c r="B22" s="484" t="s">
        <v>10787</v>
      </c>
      <c r="C22" s="72" t="s">
        <v>10788</v>
      </c>
      <c r="D22" s="484" t="str">
        <f>IFERROR(__xludf.DUMMYFUNCTION("GOOGLETRANSLATE(A22,""zh-tw"",""zh"")"),"矿车行进中，可使用远距离武器攻击方向舵")</f>
        <v>矿车行进中，可使用远距离武器攻击方向舵</v>
      </c>
      <c r="E22" s="75" t="str">
        <f>IFERROR(__xludf.DUMMYFUNCTION("GOOGLETRANSLATE(A22,""zh-tw"",""es-MX"")"),"Mientras la vagoneta está en movimiento, el timón puede ser atacado con armas de largo alcance.")</f>
        <v>Mientras la vagoneta está en movimiento, el timón puede ser atacado con armas de largo alcance.</v>
      </c>
      <c r="F22" s="485" t="str">
        <f>IFERROR(__xludf.DUMMYFUNCTION("GOOGLETRANSLATE(A22,""zh-tw"",""KO"")"),"광산 수레가 움직이는 동안에는 장거리 무기로 키를 공격할 수 있습니다.")</f>
        <v>광산 수레가 움직이는 동안에는 장거리 무기로 키를 공격할 수 있습니다.</v>
      </c>
      <c r="G22" s="142" t="s">
        <v>10789</v>
      </c>
      <c r="H22" s="484" t="s">
        <v>10790</v>
      </c>
      <c r="I22" s="188" t="s">
        <v>10791</v>
      </c>
      <c r="J22" s="487" t="s">
        <v>10792</v>
      </c>
      <c r="K22" s="110" t="s">
        <v>10793</v>
      </c>
      <c r="L22" s="66"/>
      <c r="M22" s="66"/>
      <c r="N22" s="66"/>
      <c r="O22" s="66"/>
      <c r="P22" s="66"/>
      <c r="Q22" s="66"/>
      <c r="R22" s="66"/>
      <c r="S22" s="66"/>
      <c r="T22" s="66"/>
      <c r="U22" s="66"/>
      <c r="V22" s="66"/>
      <c r="W22" s="66"/>
      <c r="X22" s="66"/>
    </row>
    <row r="23">
      <c r="A23" s="72" t="s">
        <v>10794</v>
      </c>
      <c r="B23" s="484" t="s">
        <v>10795</v>
      </c>
      <c r="C23" s="72" t="s">
        <v>10796</v>
      </c>
      <c r="D23" s="484" t="str">
        <f>IFERROR(__xludf.DUMMYFUNCTION("GOOGLETRANSLATE(A23,""zh-tw"",""zh"")"),"电击类武器碰到水...你懂的~ 包含下雨天")</f>
        <v>电击类武器碰到水...你懂的~ 包含下雨天</v>
      </c>
      <c r="E23" s="75" t="str">
        <f>IFERROR(__xludf.DUMMYFUNCTION("GOOGLETRANSLATE(A23,""zh-tw"",""es-MX"")"),"Las armas de descarga eléctrica que entran en contacto con el agua... ya sabes lo que eso significa, incluso en días de lluvia.")</f>
        <v>Las armas de descarga eléctrica que entran en contacto con el agua... ya sabes lo que eso significa, incluso en días de lluvia.</v>
      </c>
      <c r="F23" s="485"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142" t="s">
        <v>10797</v>
      </c>
      <c r="H23" s="484" t="s">
        <v>10798</v>
      </c>
      <c r="I23" s="188" t="s">
        <v>10799</v>
      </c>
      <c r="J23" s="485" t="s">
        <v>10800</v>
      </c>
      <c r="K23" s="110" t="s">
        <v>10801</v>
      </c>
      <c r="L23" s="66"/>
      <c r="M23" s="66"/>
      <c r="N23" s="66"/>
      <c r="O23" s="66"/>
      <c r="P23" s="66"/>
      <c r="Q23" s="66"/>
      <c r="R23" s="66"/>
      <c r="S23" s="66"/>
      <c r="T23" s="66"/>
      <c r="U23" s="66"/>
      <c r="V23" s="66"/>
      <c r="W23" s="66"/>
      <c r="X23" s="66"/>
    </row>
    <row r="24">
      <c r="A24" s="72" t="s">
        <v>10802</v>
      </c>
      <c r="B24" s="484" t="s">
        <v>10803</v>
      </c>
      <c r="C24" s="72" t="s">
        <v>10804</v>
      </c>
      <c r="D24" s="484" t="str">
        <f>IFERROR(__xludf.DUMMYFUNCTION("GOOGLETRANSLATE(A24,""zh-tw"",""zh"")"),"炸弹除了无视防御炸岩石、炸水面，还可以炸自己")</f>
        <v>炸弹除了无视防御炸岩石、炸水面，还可以炸自己</v>
      </c>
      <c r="E24" s="75" t="str">
        <f>IFERROR(__xludf.DUMMYFUNCTION("GOOGLETRANSLATE(A24,""zh-tw"",""es-MX"")"),"Además de ignorar las defensas y destruir rocas y agua, las bombas también pueden autodestruirse.")</f>
        <v>Además de ignorar las defensas y destruir rocas y agua, las bombas también pueden autodestruirse.</v>
      </c>
      <c r="F24" s="485"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142" t="s">
        <v>10805</v>
      </c>
      <c r="H24" s="484" t="s">
        <v>10806</v>
      </c>
      <c r="I24" s="188" t="s">
        <v>10807</v>
      </c>
      <c r="J24" s="485" t="s">
        <v>10808</v>
      </c>
      <c r="K24" s="72" t="s">
        <v>10809</v>
      </c>
      <c r="L24" s="66"/>
      <c r="M24" s="66"/>
      <c r="N24" s="66"/>
      <c r="O24" s="66"/>
      <c r="P24" s="66"/>
      <c r="Q24" s="66"/>
      <c r="R24" s="66"/>
      <c r="S24" s="66"/>
      <c r="T24" s="66"/>
      <c r="U24" s="66"/>
      <c r="V24" s="66"/>
      <c r="W24" s="66"/>
      <c r="X24" s="66"/>
    </row>
    <row r="25">
      <c r="A25" s="72" t="s">
        <v>10810</v>
      </c>
      <c r="B25" s="484" t="s">
        <v>10811</v>
      </c>
      <c r="C25" s="72" t="s">
        <v>10812</v>
      </c>
      <c r="D25" s="484" t="s">
        <v>10813</v>
      </c>
      <c r="E25" s="75" t="str">
        <f>IFERROR(__xludf.DUMMYFUNCTION("GOOGLETRANSLATE(A25,""zh-tw"",""es-MX"")"),"He oído... que el Caballero huele muy bien, tal vez podamos tener buenas perspectivas de futuro.")</f>
        <v>He oído... que el Caballero huele muy bien, tal vez podamos tener buenas perspectivas de futuro.</v>
      </c>
      <c r="F25" s="485" t="str">
        <f>IFERROR(__xludf.DUMMYFUNCTION("GOOGLETRANSLATE(A25,""zh-tw"",""KO"")"),"듣기로는… 나이트에게서 정말 좋은 냄새가 난다고 하더군요. 어쩌면 미래를 기대할 수 있을지도 몰라요.")</f>
        <v>듣기로는… 나이트에게서 정말 좋은 냄새가 난다고 하더군요. 어쩌면 미래를 기대할 수 있을지도 몰라요.</v>
      </c>
      <c r="G25" s="142" t="s">
        <v>10814</v>
      </c>
      <c r="H25" s="484" t="s">
        <v>10815</v>
      </c>
      <c r="I25" s="188" t="s">
        <v>10816</v>
      </c>
      <c r="J25" s="485" t="s">
        <v>10817</v>
      </c>
      <c r="K25" s="110" t="s">
        <v>10818</v>
      </c>
      <c r="L25" s="66"/>
      <c r="M25" s="66"/>
      <c r="N25" s="66"/>
      <c r="O25" s="66"/>
      <c r="P25" s="66"/>
      <c r="Q25" s="66"/>
      <c r="R25" s="66"/>
      <c r="S25" s="66"/>
      <c r="T25" s="66"/>
      <c r="U25" s="66"/>
      <c r="V25" s="66"/>
      <c r="W25" s="66"/>
      <c r="X25" s="66"/>
    </row>
    <row r="26">
      <c r="A26" s="488" t="s">
        <v>10819</v>
      </c>
      <c r="B26" s="484" t="s">
        <v>10820</v>
      </c>
      <c r="C26" s="72" t="s">
        <v>10821</v>
      </c>
      <c r="D26" s="484" t="s">
        <v>10822</v>
      </c>
      <c r="E26" s="75" t="str">
        <f>IFERROR(__xludf.DUMMYFUNCTION("GOOGLETRANSLATE(A26,""zh-tw"",""es-MX"")"),"¿Qué talla de sujetador usa mi hermana? He oído que es G~H.")</f>
        <v>¿Qué talla de sujetador usa mi hermana? He oído que es G~H.</v>
      </c>
      <c r="F26" s="485" t="str">
        <f>IFERROR(__xludf.DUMMYFUNCTION("GOOGLETRANSLATE(A26,""zh-tw"",""KO"")"),"내 여동생 브라 사이즈가 어떻게 돼? G~H라고 들었어.")</f>
        <v>내 여동생 브라 사이즈가 어떻게 돼? G~H라고 들었어.</v>
      </c>
      <c r="G26" s="142" t="s">
        <v>10823</v>
      </c>
      <c r="H26" s="484" t="s">
        <v>10824</v>
      </c>
      <c r="I26" s="188" t="s">
        <v>10825</v>
      </c>
      <c r="J26" s="485" t="s">
        <v>10826</v>
      </c>
      <c r="K26" s="72" t="s">
        <v>10827</v>
      </c>
      <c r="L26" s="66"/>
      <c r="M26" s="66"/>
      <c r="N26" s="66"/>
      <c r="O26" s="66"/>
      <c r="P26" s="66"/>
      <c r="Q26" s="66"/>
      <c r="R26" s="66"/>
      <c r="S26" s="66"/>
      <c r="T26" s="66"/>
      <c r="U26" s="66"/>
      <c r="V26" s="66"/>
      <c r="W26" s="66"/>
      <c r="X26" s="66"/>
    </row>
    <row r="27">
      <c r="A27" s="72" t="s">
        <v>10828</v>
      </c>
      <c r="B27" s="484" t="s">
        <v>10829</v>
      </c>
      <c r="C27" s="72" t="s">
        <v>10830</v>
      </c>
      <c r="D27" s="484" t="str">
        <f>IFERROR(__xludf.DUMMYFUNCTION("GOOGLETRANSLATE(A27,""zh-tw"",""zh"")"),"当成为贤者的哥哥在胡思乱想时...")</f>
        <v>当成为贤者的哥哥在胡思乱想时...</v>
      </c>
      <c r="E27" s="75" t="str">
        <f>IFERROR(__xludf.DUMMYFUNCTION("GOOGLETRANSLATE(A27,""zh-tw"",""es-MX"")"),"Mientras tanto, el hermano mayor, ahora un sabio, estaba absorto en sus pensamientos...")</f>
        <v>Mientras tanto, el hermano mayor, ahora un sabio, estaba absorto en sus pensamientos...</v>
      </c>
      <c r="F27" s="485" t="str">
        <f>IFERROR(__xludf.DUMMYFUNCTION("GOOGLETRANSLATE(A27,""zh-tw"",""KO"")"),"이제 현자가 된 형은 깊은 생각에 잠겨 있었다...")</f>
        <v>이제 현자가 된 형은 깊은 생각에 잠겨 있었다...</v>
      </c>
      <c r="G27" s="142" t="s">
        <v>10831</v>
      </c>
      <c r="H27" s="484" t="s">
        <v>10832</v>
      </c>
      <c r="I27" s="188" t="s">
        <v>10833</v>
      </c>
      <c r="J27" s="485" t="s">
        <v>10834</v>
      </c>
      <c r="K27" s="110" t="s">
        <v>10835</v>
      </c>
      <c r="L27" s="66"/>
      <c r="M27" s="66"/>
      <c r="N27" s="66"/>
      <c r="O27" s="66"/>
      <c r="P27" s="66"/>
      <c r="Q27" s="66"/>
      <c r="R27" s="66"/>
      <c r="S27" s="66"/>
      <c r="T27" s="66"/>
      <c r="U27" s="66"/>
      <c r="V27" s="66"/>
      <c r="W27" s="66"/>
      <c r="X27" s="66"/>
    </row>
    <row r="28">
      <c r="A28" s="72" t="s">
        <v>10836</v>
      </c>
      <c r="B28" s="484" t="s">
        <v>10837</v>
      </c>
      <c r="C28" s="75" t="str">
        <f>IFERROR(__xludf.DUMMYFUNCTION("GOOGLETRANSLATE(A28,""zh-tw"",""en"")"),"When equipped with ""Girl's Smile"", the side effects of the Sage state will be ignored.")</f>
        <v>When equipped with "Girl's Smile", the side effects of the Sage state will be ignored.</v>
      </c>
      <c r="D28" s="484" t="str">
        <f>IFERROR(__xludf.DUMMYFUNCTION("GOOGLETRANSLATE(A28,""zh-tw"",""zh"")"),"当装备""少女的笑容""时，会无视贤者状态副作用")</f>
        <v>当装备"少女的笑容"时，会无视贤者状态副作用</v>
      </c>
      <c r="E28" s="75" t="str">
        <f>IFERROR(__xludf.DUMMYFUNCTION("GOOGLETRANSLATE(A28,""zh-tw"",""es-MX"")"),"Cuando se equipa con ""Sonrisa de chica"", los efectos secundarios del estado Sabio serán ignorados.")</f>
        <v>Cuando se equipa con "Sonrisa de chica", los efectos secundarios del estado Sabio serán ignorados.</v>
      </c>
      <c r="F28" s="485" t="str">
        <f>IFERROR(__xludf.DUMMYFUNCTION("GOOGLETRANSLATE(A28,""zh-tw"",""KO"")"),"""소녀의 미소""를 장착하면 현자 상태의 부작용이 무시됩니다.")</f>
        <v>"소녀의 미소"를 장착하면 현자 상태의 부작용이 무시됩니다.</v>
      </c>
      <c r="G28" s="142" t="s">
        <v>10838</v>
      </c>
      <c r="H28" s="484" t="s">
        <v>10839</v>
      </c>
      <c r="I28" s="188" t="s">
        <v>10840</v>
      </c>
      <c r="J28" s="485" t="s">
        <v>10841</v>
      </c>
      <c r="K28" s="110" t="s">
        <v>10842</v>
      </c>
      <c r="L28" s="66"/>
      <c r="M28" s="66"/>
      <c r="N28" s="66"/>
      <c r="O28" s="66"/>
      <c r="P28" s="66"/>
      <c r="Q28" s="66"/>
      <c r="R28" s="66"/>
      <c r="S28" s="66"/>
      <c r="T28" s="66"/>
      <c r="U28" s="66"/>
      <c r="V28" s="66"/>
      <c r="W28" s="66"/>
      <c r="X28" s="66"/>
    </row>
    <row r="29">
      <c r="A29" s="72" t="s">
        <v>10843</v>
      </c>
      <c r="B29" s="484" t="s">
        <v>10844</v>
      </c>
      <c r="C29" s="72" t="s">
        <v>10845</v>
      </c>
      <c r="D29" s="484" t="s">
        <v>10846</v>
      </c>
      <c r="E29" s="75" t="str">
        <f>IFERROR(__xludf.DUMMYFUNCTION("GOOGLETRANSLATE(A29,""zh-tw"",""es-MX"")"),"La criatura indescriptible del inodoro tiene diferentes nombres en diferentes versiones lingüísticas.")</f>
        <v>La criatura indescriptible del inodoro tiene diferentes nombres en diferentes versiones lingüísticas.</v>
      </c>
      <c r="F29" s="485" t="str">
        <f>IFERROR(__xludf.DUMMYFUNCTION("GOOGLETRANSLATE(A29,""zh-tw"",""KO"")"),"화장실에 있는 형언할 수 없는 생물은 언어 버전에 따라 다른 이름으로 불립니다.")</f>
        <v>화장실에 있는 형언할 수 없는 생물은 언어 버전에 따라 다른 이름으로 불립니다.</v>
      </c>
      <c r="G29" s="142" t="s">
        <v>10847</v>
      </c>
      <c r="H29" s="484" t="s">
        <v>10848</v>
      </c>
      <c r="I29" s="188" t="s">
        <v>10849</v>
      </c>
      <c r="J29" s="485" t="s">
        <v>10850</v>
      </c>
      <c r="K29" s="110" t="s">
        <v>10851</v>
      </c>
      <c r="L29" s="66"/>
      <c r="M29" s="66"/>
      <c r="N29" s="66"/>
      <c r="O29" s="66"/>
      <c r="P29" s="66"/>
      <c r="Q29" s="66"/>
      <c r="R29" s="66"/>
      <c r="S29" s="66"/>
      <c r="T29" s="66"/>
      <c r="U29" s="66"/>
      <c r="V29" s="66"/>
      <c r="W29" s="66"/>
      <c r="X29" s="66"/>
    </row>
    <row r="30">
      <c r="A30" s="72" t="s">
        <v>10852</v>
      </c>
      <c r="B30" s="484" t="s">
        <v>10853</v>
      </c>
      <c r="C30" s="72" t="s">
        <v>10854</v>
      </c>
      <c r="D30" s="484" t="str">
        <f>IFERROR(__xludf.DUMMYFUNCTION("GOOGLETRANSLATE(A30,""zh-tw"",""zh"")"),"在厕所的不可名状生物，其实是哥哥从深渊带回来的")</f>
        <v>在厕所的不可名状生物，其实是哥哥从深渊带回来的</v>
      </c>
      <c r="E30" s="75" t="str">
        <f>IFERROR(__xludf.DUMMYFUNCTION("GOOGLETRANSLATE(A30,""zh-tw"",""es-MX"")"),"La criatura indescriptible que encontré en el inodoro fue, en realidad, rescatada del abismo por mi hermano.")</f>
        <v>La criatura indescriptible que encontré en el inodoro fue, en realidad, rescatada del abismo por mi hermano.</v>
      </c>
      <c r="F30" s="485"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142" t="s">
        <v>10855</v>
      </c>
      <c r="H30" s="484" t="s">
        <v>10856</v>
      </c>
      <c r="I30" s="188" t="s">
        <v>10857</v>
      </c>
      <c r="J30" s="485" t="s">
        <v>10858</v>
      </c>
      <c r="K30" s="110" t="s">
        <v>10859</v>
      </c>
      <c r="L30" s="66"/>
      <c r="M30" s="66"/>
      <c r="N30" s="66"/>
      <c r="O30" s="66"/>
      <c r="P30" s="66"/>
      <c r="Q30" s="66"/>
      <c r="R30" s="66"/>
      <c r="S30" s="66"/>
      <c r="T30" s="66"/>
      <c r="U30" s="66"/>
      <c r="V30" s="66"/>
      <c r="W30" s="66"/>
      <c r="X30" s="66"/>
    </row>
    <row r="31">
      <c r="A31" s="72" t="s">
        <v>10860</v>
      </c>
      <c r="B31" s="484" t="s">
        <v>10861</v>
      </c>
      <c r="C31" s="72" t="s">
        <v>10862</v>
      </c>
      <c r="D31" s="484" t="str">
        <f>IFERROR(__xludf.DUMMYFUNCTION("GOOGLETRANSLATE(A31,""zh-tw"",""zh"")"),"在雨天修理饮料贩卖机的人是谁呢?目前仍是个谜")</f>
        <v>在雨天修理饮料贩卖机的人是谁呢?目前仍是个谜</v>
      </c>
      <c r="E31" s="75" t="str">
        <f>IFERROR(__xludf.DUMMYFUNCTION("GOOGLETRANSLATE(A31,""zh-tw"",""es-MX"")"),"¿Quién reparó la máquina expendedora bajo la lluvia? Eso sigue siendo un misterio.")</f>
        <v>¿Quién reparó la máquina expendedora bajo la lluvia? Eso sigue siendo un misterio.</v>
      </c>
      <c r="F31" s="485" t="str">
        <f>IFERROR(__xludf.DUMMYFUNCTION("GOOGLETRANSLATE(A31,""zh-tw"",""KO"")"),"누가 빗속에서 자판기를 고쳤을까? 그건 여전히 미스터리다.")</f>
        <v>누가 빗속에서 자판기를 고쳤을까? 그건 여전히 미스터리다.</v>
      </c>
      <c r="G31" s="142" t="s">
        <v>10863</v>
      </c>
      <c r="H31" s="484" t="s">
        <v>10864</v>
      </c>
      <c r="I31" s="188" t="s">
        <v>10865</v>
      </c>
      <c r="J31" s="485" t="s">
        <v>10866</v>
      </c>
      <c r="K31" s="110" t="s">
        <v>10867</v>
      </c>
      <c r="L31" s="66"/>
      <c r="M31" s="66"/>
      <c r="N31" s="66"/>
      <c r="O31" s="66"/>
      <c r="P31" s="66"/>
      <c r="Q31" s="66"/>
      <c r="R31" s="66"/>
      <c r="S31" s="66"/>
      <c r="T31" s="66"/>
      <c r="U31" s="66"/>
      <c r="V31" s="66"/>
      <c r="W31" s="66"/>
      <c r="X31" s="66"/>
    </row>
    <row r="32">
      <c r="A32" s="72" t="s">
        <v>10868</v>
      </c>
      <c r="B32" s="484" t="s">
        <v>10869</v>
      </c>
      <c r="C32" s="72" t="s">
        <v>10870</v>
      </c>
      <c r="D32" s="484" t="str">
        <f>IFERROR(__xludf.DUMMYFUNCTION("GOOGLETRANSLATE(A32,""zh-tw"",""zh"")"),"早上可透过窗外状况，得知外出时的天气")</f>
        <v>早上可透过窗外状况，得知外出时的天气</v>
      </c>
      <c r="E32" s="75" t="str">
        <f>IFERROR(__xludf.DUMMYFUNCTION("GOOGLETRANSLATE(A32,""zh-tw"",""es-MX"")"),"Por la mañana, puedes consultar el pronóstico del tiempo fuera de la ventana para saber qué tiempo hará cuando salgas.")</f>
        <v>Por la mañana, puedes consultar el pronóstico del tiempo fuera de la ventana para saber qué tiempo hará cuando salgas.</v>
      </c>
      <c r="F32" s="485" t="str">
        <f>IFERROR(__xludf.DUMMYFUNCTION("GOOGLETRANSLATE(A32,""zh-tw"",""KO"")"),"아침에 창밖 날씨를 확인하면 외출할 때 날씨가 어떨지 알 수 있습니다.")</f>
        <v>아침에 창밖 날씨를 확인하면 외출할 때 날씨가 어떨지 알 수 있습니다.</v>
      </c>
      <c r="G32" s="142" t="s">
        <v>10871</v>
      </c>
      <c r="H32" s="484" t="s">
        <v>10872</v>
      </c>
      <c r="I32" s="188" t="s">
        <v>10873</v>
      </c>
      <c r="J32" s="485" t="s">
        <v>10874</v>
      </c>
      <c r="K32" s="110" t="s">
        <v>10875</v>
      </c>
      <c r="L32" s="66"/>
      <c r="M32" s="66"/>
      <c r="N32" s="66"/>
      <c r="O32" s="66"/>
      <c r="P32" s="66"/>
      <c r="Q32" s="66"/>
      <c r="R32" s="66"/>
      <c r="S32" s="66"/>
      <c r="T32" s="66"/>
      <c r="U32" s="66"/>
      <c r="V32" s="66"/>
      <c r="W32" s="66"/>
      <c r="X32" s="66"/>
    </row>
    <row r="33">
      <c r="A33" s="72" t="s">
        <v>10876</v>
      </c>
      <c r="B33" s="484" t="s">
        <v>10877</v>
      </c>
      <c r="C33" s="72" t="s">
        <v>10878</v>
      </c>
      <c r="D33" s="484" t="s">
        <v>10879</v>
      </c>
      <c r="E33" s="75" t="str">
        <f>IFERROR(__xludf.DUMMYFUNCTION("GOOGLETRANSLATE(A33,""zh-tw"",""es-MX"")"),"Cuanto más adorable sea la criatura, mayor suele ser su poder de ataque.")</f>
        <v>Cuanto más adorable sea la criatura, mayor suele ser su poder de ataque.</v>
      </c>
      <c r="F33" s="485" t="str">
        <f>IFERROR(__xludf.DUMMYFUNCTION("GOOGLETRANSLATE(A33,""zh-tw"",""KO"")"),"생물이 귀여울수록 공격력이 높은 경우가 많습니다.")</f>
        <v>생물이 귀여울수록 공격력이 높은 경우가 많습니다.</v>
      </c>
      <c r="G33" s="142" t="s">
        <v>10880</v>
      </c>
      <c r="H33" s="484" t="s">
        <v>10881</v>
      </c>
      <c r="I33" s="188" t="s">
        <v>10882</v>
      </c>
      <c r="J33" s="485" t="s">
        <v>10883</v>
      </c>
      <c r="K33" s="110" t="s">
        <v>10884</v>
      </c>
      <c r="L33" s="66"/>
      <c r="M33" s="66"/>
      <c r="N33" s="66"/>
      <c r="O33" s="66"/>
      <c r="P33" s="66"/>
      <c r="Q33" s="66"/>
      <c r="R33" s="66"/>
      <c r="S33" s="66"/>
      <c r="T33" s="66"/>
      <c r="U33" s="66"/>
      <c r="V33" s="66"/>
      <c r="W33" s="66"/>
      <c r="X33" s="66"/>
    </row>
    <row r="34">
      <c r="A34" s="72" t="s">
        <v>10885</v>
      </c>
      <c r="B34" s="484" t="s">
        <v>10886</v>
      </c>
      <c r="C34" s="72" t="s">
        <v>10887</v>
      </c>
      <c r="D34" s="484"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75" t="str">
        <f>IFERROR(__xludf.DUMMYFUNCTION("GOOGLETRANSLATE(A34,""zh-tw"",""es-MX"")"),"&lt;42&gt;,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4" s="485" t="str">
        <f>IFERROR(__xludf.DUMMYFUNCTION("GOOGLETRANSLATE(A34,""zh-tw"",""KO"")"),"&lt;42&gt;,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4" s="142" t="s">
        <v>10888</v>
      </c>
      <c r="H34" s="484" t="s">
        <v>10889</v>
      </c>
      <c r="I34" s="134" t="s">
        <v>10890</v>
      </c>
      <c r="J34" s="485" t="s">
        <v>10891</v>
      </c>
      <c r="K34" s="110" t="s">
        <v>10892</v>
      </c>
      <c r="L34" s="66"/>
      <c r="M34" s="66"/>
      <c r="N34" s="66"/>
      <c r="O34" s="66"/>
      <c r="P34" s="66"/>
      <c r="Q34" s="66"/>
      <c r="R34" s="66"/>
      <c r="S34" s="66"/>
      <c r="T34" s="66"/>
      <c r="U34" s="66"/>
      <c r="V34" s="66"/>
      <c r="W34" s="66"/>
      <c r="X34" s="66"/>
    </row>
    <row r="35">
      <c r="A35" s="72" t="s">
        <v>10893</v>
      </c>
      <c r="B35" s="484" t="s">
        <v>10894</v>
      </c>
      <c r="C35" s="72" t="s">
        <v>10895</v>
      </c>
      <c r="D35" s="484" t="str">
        <f>IFERROR(__xludf.DUMMYFUNCTION("GOOGLETRANSLATE(A35,""zh-tw"",""zh"")"),"一个水怪黏液大约等于两个史莱姆黏液")</f>
        <v>一个水怪黏液大约等于两个史莱姆黏液</v>
      </c>
      <c r="E35" s="75" t="str">
        <f>IFERROR(__xludf.DUMMYFUNCTION("GOOGLETRANSLATE(A35,""zh-tw"",""es-MX"")"),"Un slime monstruoso es aproximadamente equivalente a dos slimes de limo.")</f>
        <v>Un slime monstruoso es aproximadamente equivalente a dos slimes de limo.</v>
      </c>
      <c r="F35" s="485" t="str">
        <f>IFERROR(__xludf.DUMMYFUNCTION("GOOGLETRANSLATE(A35,""zh-tw"",""KO"")"),"몬스터 슬라임 한 마리는 슬라임 두 마리와 거의 같습니다.")</f>
        <v>몬스터 슬라임 한 마리는 슬라임 두 마리와 거의 같습니다.</v>
      </c>
      <c r="G35" s="142" t="s">
        <v>10896</v>
      </c>
      <c r="H35" s="484" t="s">
        <v>10897</v>
      </c>
      <c r="I35" s="188" t="s">
        <v>10898</v>
      </c>
      <c r="J35" s="485" t="s">
        <v>10899</v>
      </c>
      <c r="K35" s="110" t="s">
        <v>10900</v>
      </c>
      <c r="L35" s="66"/>
      <c r="M35" s="66"/>
      <c r="N35" s="66"/>
      <c r="O35" s="66"/>
      <c r="P35" s="66"/>
      <c r="Q35" s="66"/>
      <c r="R35" s="66"/>
      <c r="S35" s="66"/>
      <c r="T35" s="66"/>
      <c r="U35" s="66"/>
      <c r="V35" s="66"/>
      <c r="W35" s="66"/>
      <c r="X35" s="66"/>
    </row>
    <row r="36">
      <c r="A36" s="72" t="s">
        <v>10901</v>
      </c>
      <c r="B36" s="484" t="s">
        <v>10902</v>
      </c>
      <c r="C36" s="72" t="s">
        <v>10903</v>
      </c>
      <c r="D36" s="484" t="str">
        <f>IFERROR(__xludf.DUMMYFUNCTION("GOOGLETRANSLATE(A36,""zh-tw"",""zh"")"),"遗迹BOSS每七天会重生，而且每次重生会更强，也可以使用""世界""塔罗牌")</f>
        <v>遗迹BOSS每七天会重生，而且每次重生会更强，也可以使用"世界"塔罗牌</v>
      </c>
      <c r="E36" s="75" t="str">
        <f>IFERROR(__xludf.DUMMYFUNCTION("GOOGLETRANSLATE(A36,""zh-tw"",""es-MX"")"),"El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6" s="485"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142" t="s">
        <v>10904</v>
      </c>
      <c r="H36" s="484" t="s">
        <v>10905</v>
      </c>
      <c r="I36" s="188" t="s">
        <v>10906</v>
      </c>
      <c r="J36" s="485" t="s">
        <v>10907</v>
      </c>
      <c r="K36" s="110" t="s">
        <v>10908</v>
      </c>
      <c r="L36" s="66"/>
      <c r="M36" s="66"/>
      <c r="N36" s="66"/>
      <c r="O36" s="66"/>
      <c r="P36" s="66"/>
      <c r="Q36" s="66"/>
      <c r="R36" s="66"/>
      <c r="S36" s="66"/>
      <c r="T36" s="66"/>
      <c r="U36" s="66"/>
      <c r="V36" s="66"/>
      <c r="W36" s="66"/>
      <c r="X36" s="66"/>
    </row>
    <row r="37">
      <c r="A37" s="72" t="s">
        <v>10909</v>
      </c>
      <c r="B37" s="484" t="s">
        <v>10910</v>
      </c>
      <c r="C37" s="72" t="s">
        <v>10911</v>
      </c>
      <c r="D37" s="484" t="s">
        <v>10912</v>
      </c>
      <c r="E37" s="75" t="str">
        <f>IFERROR(__xludf.DUMMYFUNCTION("GOOGLETRANSLATE(A37,""zh-tw"",""es-MX"")"),"¿Es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7" s="485"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142" t="s">
        <v>10913</v>
      </c>
      <c r="H37" s="484" t="s">
        <v>10914</v>
      </c>
      <c r="I37" s="188" t="s">
        <v>10915</v>
      </c>
      <c r="J37" s="485" t="s">
        <v>10916</v>
      </c>
      <c r="K37" s="110" t="s">
        <v>10917</v>
      </c>
      <c r="L37" s="66"/>
      <c r="M37" s="66"/>
      <c r="N37" s="66"/>
      <c r="O37" s="66"/>
      <c r="P37" s="66"/>
      <c r="Q37" s="66"/>
      <c r="R37" s="66"/>
      <c r="S37" s="66"/>
      <c r="T37" s="66"/>
      <c r="U37" s="66"/>
      <c r="V37" s="66"/>
      <c r="W37" s="66"/>
      <c r="X37" s="66"/>
    </row>
    <row r="38">
      <c r="A38" s="72" t="s">
        <v>10918</v>
      </c>
      <c r="B38" s="484" t="s">
        <v>10919</v>
      </c>
      <c r="C38" s="72" t="s">
        <v>10920</v>
      </c>
      <c r="D38" s="484" t="s">
        <v>10921</v>
      </c>
      <c r="E38" s="75" t="str">
        <f>IFERROR(__xludf.DUMMYFUNCTION("GOOGLETRANSLATE(A38,""zh-tw"",""es-MX"")"),"Los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8" s="485" t="str">
        <f>IFERROR(__xludf.DUMMYFUNCTION("GOOGLETRANSLATE(A38,""zh-tw"",""KO"")"),"공격 속도를 증가시키는 효과(예: 고양이 발 장갑)는 마법 효과도 강화합니다.")</f>
        <v>공격 속도를 증가시키는 효과(예: 고양이 발 장갑)는 마법 효과도 강화합니다.</v>
      </c>
      <c r="G38" s="142" t="s">
        <v>10922</v>
      </c>
      <c r="H38" s="485"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188" t="s">
        <v>10923</v>
      </c>
      <c r="J38" s="485" t="s">
        <v>10924</v>
      </c>
      <c r="K38" s="110" t="s">
        <v>10925</v>
      </c>
      <c r="L38" s="66"/>
      <c r="M38" s="66"/>
      <c r="N38" s="66"/>
      <c r="O38" s="66"/>
      <c r="P38" s="66"/>
      <c r="Q38" s="66"/>
      <c r="R38" s="66"/>
      <c r="S38" s="66"/>
      <c r="T38" s="66"/>
      <c r="U38" s="66"/>
      <c r="V38" s="66"/>
      <c r="W38" s="66"/>
      <c r="X38" s="66"/>
    </row>
    <row r="39">
      <c r="A39" s="72" t="s">
        <v>10926</v>
      </c>
      <c r="B39" s="484" t="s">
        <v>10927</v>
      </c>
      <c r="C39" s="72" t="s">
        <v>10928</v>
      </c>
      <c r="D39" s="484"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75" t="str">
        <f>IFERROR(__xludf.DUMMYFUNCTION("GOOGLETRANSLATE(A39,""zh-tw"",""es-MX"")"),"Mejorar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39" s="485"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142" t="s">
        <v>10929</v>
      </c>
      <c r="H39" s="485"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188" t="s">
        <v>10930</v>
      </c>
      <c r="J39" s="485" t="s">
        <v>10931</v>
      </c>
      <c r="K39" s="110" t="s">
        <v>10932</v>
      </c>
      <c r="L39" s="66"/>
      <c r="M39" s="66"/>
      <c r="N39" s="66"/>
      <c r="O39" s="66"/>
      <c r="P39" s="66"/>
      <c r="Q39" s="66"/>
      <c r="R39" s="66"/>
      <c r="S39" s="66"/>
      <c r="T39" s="66"/>
      <c r="U39" s="66"/>
      <c r="V39" s="66"/>
      <c r="W39" s="66"/>
      <c r="X39" s="66"/>
    </row>
    <row r="40">
      <c r="A40" s="72" t="s">
        <v>10933</v>
      </c>
      <c r="B40" s="484" t="s">
        <v>10934</v>
      </c>
      <c r="C40" s="72" t="s">
        <v>10935</v>
      </c>
      <c r="D40" s="484"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75" t="str">
        <f>IFERROR(__xludf.DUMMYFUNCTION("GOOGLETRANSLATE(A40,""zh-tw"",""es-MX"")"),"En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0" s="485"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142" t="s">
        <v>10936</v>
      </c>
      <c r="H40" s="485"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188" t="s">
        <v>10937</v>
      </c>
      <c r="J40" s="485" t="s">
        <v>10938</v>
      </c>
      <c r="K40" s="110" t="s">
        <v>10939</v>
      </c>
      <c r="L40" s="66"/>
      <c r="M40" s="66"/>
      <c r="N40" s="66"/>
      <c r="O40" s="66"/>
      <c r="P40" s="66"/>
      <c r="Q40" s="66"/>
      <c r="R40" s="66"/>
      <c r="S40" s="66"/>
      <c r="T40" s="66"/>
      <c r="U40" s="66"/>
      <c r="V40" s="66"/>
      <c r="W40" s="66"/>
      <c r="X40" s="66"/>
    </row>
    <row r="41">
      <c r="A41" s="72" t="s">
        <v>10940</v>
      </c>
      <c r="B41" s="484" t="s">
        <v>10941</v>
      </c>
      <c r="C41" s="72" t="s">
        <v>10942</v>
      </c>
      <c r="D41" s="484" t="str">
        <f>IFERROR(__xludf.DUMMYFUNCTION("GOOGLETRANSLATE(A41,""zh-tw"",""zh"")"),"利用道具，不只能和怪物，也能使NPC交换位置")</f>
        <v>利用道具，不只能和怪物，也能使NPC交换位置</v>
      </c>
      <c r="E41" s="75" t="str">
        <f>IFERROR(__xludf.DUMMYFUNCTION("GOOGLETRANSLATE(A41,""zh-tw"",""es-MX"")"),"Mediante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1" s="485" t="str">
        <f>IFERROR(__xludf.DUMMYFUNCTION("GOOGLETRANSLATE(A41,""zh-tw"",""KO"")"),"아이템을 사용하면 몬스터뿐만 아니라 NPC와도 위치를 바꿀 수 있습니다.")</f>
        <v>아이템을 사용하면 몬스터뿐만 아니라 NPC와도 위치를 바꿀 수 있습니다.</v>
      </c>
      <c r="G41" s="142" t="s">
        <v>10943</v>
      </c>
      <c r="H41" s="485" t="str">
        <f>IFERROR(__xludf.DUMMYFUNCTION("GOOGLETRANSLATE(A41,""zh-tw"",""de"")"),"Mithilfe von Gegenständen kann man nicht nur mit Monstern, sondern auch mit NPCs die Position tauschen.")</f>
        <v>Mithilfe von Gegenständen kann man nicht nur mit Monstern, sondern auch mit NPCs die Position tauschen.</v>
      </c>
      <c r="I41" s="188" t="s">
        <v>10944</v>
      </c>
      <c r="J41" s="485" t="s">
        <v>10945</v>
      </c>
      <c r="K41" s="110" t="s">
        <v>10946</v>
      </c>
      <c r="L41" s="66"/>
      <c r="M41" s="66"/>
      <c r="N41" s="66"/>
      <c r="O41" s="66"/>
      <c r="P41" s="66"/>
      <c r="Q41" s="66"/>
      <c r="R41" s="66"/>
      <c r="S41" s="66"/>
      <c r="T41" s="66"/>
      <c r="U41" s="66"/>
      <c r="V41" s="66"/>
      <c r="W41" s="66"/>
      <c r="X41" s="66"/>
    </row>
    <row r="42">
      <c r="A42" s="72" t="s">
        <v>10947</v>
      </c>
      <c r="B42" s="484" t="s">
        <v>10948</v>
      </c>
      <c r="C42" s="72" t="s">
        <v>10949</v>
      </c>
      <c r="D42" s="484" t="s">
        <v>10950</v>
      </c>
      <c r="E42" s="75" t="str">
        <f>IFERROR(__xludf.DUMMYFUNCTION("GOOGLETRANSLATE(A42,""zh-tw"",""es-MX"")"),"Los monstruos también tienen sentido del olfato, y algunos huyen ante un mal olor.")</f>
        <v>Los monstruos también tienen sentido del olfato, y algunos huyen ante un mal olor.</v>
      </c>
      <c r="F42" s="485" t="str">
        <f>IFERROR(__xludf.DUMMYFUNCTION("GOOGLETRANSLATE(A42,""zh-tw"",""KO"")"),"괴물들도 후각을 가지고 있으며, 일부 괴물들은 악취를 맡으면 도망칩니다.")</f>
        <v>괴물들도 후각을 가지고 있으며, 일부 괴물들은 악취를 맡으면 도망칩니다.</v>
      </c>
      <c r="G42" s="142" t="s">
        <v>10951</v>
      </c>
      <c r="H42" s="485" t="str">
        <f>IFERROR(__xludf.DUMMYFUNCTION("GOOGLETRANSLATE(A42,""zh-tw"",""de"")"),"Auch Monster besitzen einen Geruchssinn, und manche Monster fliehen vor einem üblen Geruch.")</f>
        <v>Auch Monster besitzen einen Geruchssinn, und manche Monster fliehen vor einem üblen Geruch.</v>
      </c>
      <c r="I42" s="188" t="s">
        <v>10952</v>
      </c>
      <c r="J42" s="485" t="s">
        <v>10953</v>
      </c>
      <c r="K42" s="110" t="s">
        <v>10954</v>
      </c>
      <c r="L42" s="66"/>
      <c r="M42" s="66"/>
      <c r="N42" s="66"/>
      <c r="O42" s="66"/>
      <c r="P42" s="66"/>
      <c r="Q42" s="66"/>
      <c r="R42" s="66"/>
      <c r="S42" s="66"/>
      <c r="T42" s="66"/>
      <c r="U42" s="66"/>
      <c r="V42" s="66"/>
      <c r="W42" s="66"/>
      <c r="X42" s="66"/>
    </row>
    <row r="43">
      <c r="A43" s="72" t="s">
        <v>10955</v>
      </c>
      <c r="B43" s="484" t="s">
        <v>10956</v>
      </c>
      <c r="C43" s="72" t="s">
        <v>10957</v>
      </c>
      <c r="D43" s="484" t="str">
        <f>IFERROR(__xludf.DUMMYFUNCTION("GOOGLETRANSLATE(A43,""zh-tw"",""zh"")"),"当妹妹玩游戏时，可以对妹妹恶作剧。
若要触发特殊的开腿选项，需要先完成DLC的任务")</f>
        <v>当妹妹玩游戏时，可以对妹妹恶作剧。
若要触发特殊的开腿选项，需要先完成DLC的任务</v>
      </c>
      <c r="E43" s="75" t="str">
        <f>IFERROR(__xludf.DUMMYFUNCTION("GOOGLETRANSLATE(A43,""zh-tw"",""es-MX"")"),"Puedes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3" s="485" t="str">
        <f>IFERROR(__xludf.DUMMYFUNCTION("GOOGLETRANSLATE(A43,""zh-tw"",""KO"")"),"여동생이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3" s="123" t="s">
        <v>10958</v>
      </c>
      <c r="H43" s="485" t="str">
        <f>IFERROR(__xludf.DUMMYFUNCTION("GOOGLETRANSLATE(A43,""zh-tw"",""de"")"),"Du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3" s="188" t="s">
        <v>10959</v>
      </c>
      <c r="J43" s="485" t="s">
        <v>10960</v>
      </c>
      <c r="K43" s="110" t="s">
        <v>10961</v>
      </c>
      <c r="L43" s="66"/>
      <c r="M43" s="66"/>
      <c r="N43" s="66"/>
      <c r="O43" s="66"/>
      <c r="P43" s="66"/>
      <c r="Q43" s="66"/>
      <c r="R43" s="66"/>
      <c r="S43" s="66"/>
      <c r="T43" s="66"/>
      <c r="U43" s="66"/>
      <c r="V43" s="66"/>
      <c r="W43" s="66"/>
      <c r="X43" s="66"/>
    </row>
    <row r="44">
      <c r="A44" s="72" t="s">
        <v>10962</v>
      </c>
      <c r="B44" s="484" t="s">
        <v>10963</v>
      </c>
      <c r="C44" s="72" t="s">
        <v>10964</v>
      </c>
      <c r="D44" s="484" t="str">
        <f>IFERROR(__xludf.DUMMYFUNCTION("GOOGLETRANSLATE(A44,""zh-tw"",""zh"")"),"妹妹治愈后，除了早上起得来，睡眠时间也会变晚")</f>
        <v>妹妹治愈后，除了早上起得来，睡眠时间也会变晚</v>
      </c>
      <c r="E44" s="75" t="str">
        <f>IFERROR(__xludf.DUMMYFUNCTION("GOOGLETRANSLATE(A44,""zh-tw"",""es-MX"")"),"Después de que mi hermana se recuperó, pudo despertarse por la mañana y también empezó a acostarse más tarde.")</f>
        <v>Después de que mi hermana se recuperó, pudo despertarse por la mañana y también empezó a acostarse más tarde.</v>
      </c>
      <c r="F44" s="485"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142" t="s">
        <v>10965</v>
      </c>
      <c r="H44" s="485"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188" t="s">
        <v>10966</v>
      </c>
      <c r="J44" s="485" t="s">
        <v>10967</v>
      </c>
      <c r="K44" s="110" t="s">
        <v>10968</v>
      </c>
      <c r="L44" s="66"/>
      <c r="M44" s="66"/>
      <c r="N44" s="66"/>
      <c r="O44" s="66"/>
      <c r="P44" s="66"/>
      <c r="Q44" s="66"/>
      <c r="R44" s="66"/>
      <c r="S44" s="66"/>
      <c r="T44" s="66"/>
      <c r="U44" s="66"/>
      <c r="V44" s="66"/>
      <c r="W44" s="66"/>
      <c r="X44" s="66"/>
    </row>
    <row r="45">
      <c r="A45" s="72" t="s">
        <v>10969</v>
      </c>
      <c r="B45" s="484" t="s">
        <v>10970</v>
      </c>
      <c r="C45" s="72" t="s">
        <v>10971</v>
      </c>
      <c r="D45" s="484"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75" t="str">
        <f>IFERROR(__xludf.DUMMYFUNCTION("GOOGLETRANSLATE(A45,""zh-tw"",""es-MX"")"),"Las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5" s="485"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142" t="s">
        <v>10972</v>
      </c>
      <c r="H45" s="485"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188" t="s">
        <v>10973</v>
      </c>
      <c r="J45" s="485" t="s">
        <v>10974</v>
      </c>
      <c r="K45" s="72" t="s">
        <v>10975</v>
      </c>
      <c r="L45" s="66"/>
      <c r="M45" s="66"/>
      <c r="N45" s="66"/>
      <c r="O45" s="66"/>
      <c r="P45" s="66"/>
      <c r="Q45" s="66"/>
      <c r="R45" s="66"/>
      <c r="S45" s="66"/>
      <c r="T45" s="66"/>
      <c r="U45" s="66"/>
      <c r="V45" s="66"/>
      <c r="W45" s="66"/>
      <c r="X45" s="66"/>
    </row>
    <row r="46">
      <c r="A46" s="72" t="s">
        <v>10976</v>
      </c>
      <c r="B46" s="484" t="s">
        <v>10977</v>
      </c>
      <c r="C46" s="72" t="s">
        <v>10978</v>
      </c>
      <c r="D46" s="484" t="str">
        <f>IFERROR(__xludf.DUMMYFUNCTION("GOOGLETRANSLATE(A46,""zh-tw"",""zh"")"),"商店老板娘叫做aki，另外妹妹的声优也是aki")</f>
        <v>商店老板娘叫做aki，另外妹妹的声优也是aki</v>
      </c>
      <c r="E46" s="75" t="str">
        <f>IFERROR(__xludf.DUMMYFUNCTION("GOOGLETRANSLATE(A46,""zh-tw"",""es-MX"")"),"La dueña de la tienda se llama Aki, y la actriz de doblaje de la hermana menor también se llama Aki.")</f>
        <v>La dueña de la tienda se llama Aki, y la actriz de doblaje de la hermana menor también se llama Aki.</v>
      </c>
      <c r="F46" s="485" t="str">
        <f>IFERROR(__xludf.DUMMYFUNCTION("GOOGLETRANSLATE(A46,""zh-tw"",""KO"")"),"가게 주인의 이름은 아키이고, 여동생의 성우도 아키입니다.")</f>
        <v>가게 주인의 이름은 아키이고, 여동생의 성우도 아키입니다.</v>
      </c>
      <c r="G46" s="142" t="s">
        <v>10979</v>
      </c>
      <c r="H46" s="485"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188" t="s">
        <v>10980</v>
      </c>
      <c r="J46" s="485" t="s">
        <v>10981</v>
      </c>
      <c r="K46" s="72" t="s">
        <v>10982</v>
      </c>
      <c r="L46" s="66"/>
      <c r="M46" s="66"/>
      <c r="N46" s="66"/>
      <c r="O46" s="66"/>
      <c r="P46" s="66"/>
      <c r="Q46" s="66"/>
      <c r="R46" s="66"/>
      <c r="S46" s="66"/>
      <c r="T46" s="66"/>
      <c r="U46" s="66"/>
      <c r="V46" s="66"/>
      <c r="W46" s="66"/>
      <c r="X46" s="66"/>
    </row>
    <row r="47">
      <c r="A47" s="72" t="s">
        <v>10983</v>
      </c>
      <c r="B47" s="484" t="s">
        <v>10984</v>
      </c>
      <c r="C47" s="75" t="s">
        <v>10985</v>
      </c>
      <c r="D47" s="484" t="str">
        <f>IFERROR(__xludf.DUMMYFUNCTION("GOOGLETRANSLATE(A47,""zh-tw"",""zh"")"),"Ehwaz符文会在扔出去后和触碰到的敌人交换位置")</f>
        <v>Ehwaz符文会在扔出去后和触碰到的敌人交换位置</v>
      </c>
      <c r="E47" s="75" t="str">
        <f>IFERROR(__xludf.DUMMYFUNCTION("GOOGLETRANSLATE(A47,""zh-tw"",""es-MX"")"),"Tras ser lanzada, la runa Ehwaz intercambiará posiciones con cualquier enemigo que toque.")</f>
        <v>Tras ser lanzada, la runa Ehwaz intercambiará posiciones con cualquier enemigo que toque.</v>
      </c>
      <c r="F47" s="485" t="str">
        <f>IFERROR(__xludf.DUMMYFUNCTION("GOOGLETRANSLATE(A47,""zh-tw"",""KO"")"),"에흐와즈 룬은 던진 후 닿는 모든 적과 위치를 바꿉니다.")</f>
        <v>에흐와즈 룬은 던진 후 닿는 모든 적과 위치를 바꿉니다.</v>
      </c>
      <c r="G47" s="142" t="s">
        <v>10986</v>
      </c>
      <c r="H47" s="485" t="str">
        <f>IFERROR(__xludf.DUMMYFUNCTION("GOOGLETRANSLATE(A47,""zh-tw"",""de"")"),"Die Ehwaz-Rune tauscht nach dem Werfen mit jedem Gegner, den sie berührt, die Position.")</f>
        <v>Die Ehwaz-Rune tauscht nach dem Werfen mit jedem Gegner, den sie berührt, die Position.</v>
      </c>
      <c r="I47" s="188" t="s">
        <v>10987</v>
      </c>
      <c r="J47" s="485" t="s">
        <v>10988</v>
      </c>
      <c r="K47" s="110" t="s">
        <v>10989</v>
      </c>
      <c r="L47" s="66"/>
      <c r="M47" s="66"/>
      <c r="N47" s="66"/>
      <c r="O47" s="66"/>
      <c r="P47" s="66"/>
      <c r="Q47" s="66"/>
      <c r="R47" s="66"/>
      <c r="S47" s="66"/>
      <c r="T47" s="66"/>
      <c r="U47" s="66"/>
      <c r="V47" s="66"/>
      <c r="W47" s="66"/>
      <c r="X47" s="66"/>
    </row>
    <row r="48">
      <c r="A48" s="72" t="s">
        <v>10990</v>
      </c>
      <c r="B48" s="484" t="s">
        <v>10991</v>
      </c>
      <c r="C48" s="72" t="s">
        <v>10992</v>
      </c>
      <c r="D48" s="484" t="s">
        <v>10993</v>
      </c>
      <c r="E48" s="75" t="str">
        <f>IFERROR(__xludf.DUMMYFUNCTION("GOOGLETRANSLATE(A48,""zh-tw"",""es-MX"")"),"Las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8" s="485"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142" t="s">
        <v>10994</v>
      </c>
      <c r="H48" s="485"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188" t="s">
        <v>10995</v>
      </c>
      <c r="J48" s="485" t="s">
        <v>10996</v>
      </c>
      <c r="K48" s="72" t="s">
        <v>10997</v>
      </c>
      <c r="L48" s="66"/>
      <c r="M48" s="66"/>
      <c r="N48" s="66"/>
      <c r="O48" s="66"/>
      <c r="P48" s="66"/>
      <c r="Q48" s="66"/>
      <c r="R48" s="66"/>
      <c r="S48" s="66"/>
      <c r="T48" s="66"/>
      <c r="U48" s="66"/>
      <c r="V48" s="66"/>
      <c r="W48" s="66"/>
      <c r="X48" s="66"/>
    </row>
    <row r="49">
      <c r="A49" s="72" t="s">
        <v>10998</v>
      </c>
      <c r="B49" s="484" t="s">
        <v>10999</v>
      </c>
      <c r="C49" s="72" t="s">
        <v>11000</v>
      </c>
      <c r="D49" s="484" t="str">
        <f>IFERROR(__xludf.DUMMYFUNCTION("GOOGLETRANSLATE(A49,""zh-tw"",""zh"")"),"Jera符文，丢出去可以变换接触到的敌人或掉落物，也就是复制的作用(未实装)")</f>
        <v>Jera符文，丢出去可以变换接触到的敌人或掉落物，也就是复制的作用(未实装)</v>
      </c>
      <c r="E49" s="75" t="str">
        <f>IFERROR(__xludf.DUMMYFUNCTION("GOOGLETRANSLATE(A49,""zh-tw"",""es-MX"")"),"La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49" s="485"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142" t="s">
        <v>11001</v>
      </c>
      <c r="H49" s="485" t="str">
        <f>IFERROR(__xludf.DUMMYFUNCTION("GOOGLETRANSLATE(A49,""zh-tw"",""de"")"),"Die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49" s="188" t="s">
        <v>11002</v>
      </c>
      <c r="J49" s="485" t="s">
        <v>11003</v>
      </c>
      <c r="K49" s="110" t="s">
        <v>11004</v>
      </c>
      <c r="L49" s="66"/>
      <c r="M49" s="66"/>
      <c r="N49" s="66"/>
      <c r="O49" s="66"/>
      <c r="P49" s="66"/>
      <c r="Q49" s="66"/>
      <c r="R49" s="66"/>
      <c r="S49" s="66"/>
      <c r="T49" s="66"/>
      <c r="U49" s="66"/>
      <c r="V49" s="66"/>
      <c r="W49" s="66"/>
      <c r="X49" s="66"/>
    </row>
    <row r="50">
      <c r="A50" s="72" t="s">
        <v>11005</v>
      </c>
      <c r="B50" s="484" t="s">
        <v>11006</v>
      </c>
      <c r="C50" s="72" t="s">
        <v>11007</v>
      </c>
      <c r="D50" s="484" t="str">
        <f>IFERROR(__xludf.DUMMYFUNCTION("GOOGLETRANSLATE(A50,""zh-tw"",""zh"")"),"Perth符文，丢出去会造成范围影响，范围内的敌人或掉落物会被随机替换(未实装)")</f>
        <v>Perth符文，丢出去会造成范围影响，范围内的敌人或掉落物会被随机替换(未实装)</v>
      </c>
      <c r="E50" s="75" t="str">
        <f>IFERROR(__xludf.DUMMYFUNCTION("GOOGLETRANSLATE(A50,""zh-tw"",""es-MX"")"),"La runa Perth, al ser lanzada, crea un ataque de área de efecto que reemplaza aleatoriamente a los enemigos o los objetos caídos dentro de esa área (aún no implementado).")</f>
        <v>La runa Perth, al ser lanzada, crea un ataque de área de efecto que reemplaza aleatoriamente a los enemigos o los objetos caídos dentro de esa área (aún no implementado).</v>
      </c>
      <c r="F50" s="485" t="str">
        <f>IFERROR(__xludf.DUMMYFUNCTION("GOOGLETRANSLATE(A50,""zh-tw"",""KO"")"),"퍼스 룬을 던지면 해당 범위 내의 적이나 떨어진 아이템을 무작위로 교체하는 광역 공격이 발생합니다(아직 구현되지 않음).")</f>
        <v>퍼스 룬을 던지면 해당 범위 내의 적이나 떨어진 아이템을 무작위로 교체하는 광역 공격이 발생합니다(아직 구현되지 않음).</v>
      </c>
      <c r="G50" s="142" t="s">
        <v>11008</v>
      </c>
      <c r="H50" s="485" t="str">
        <f>IFERROR(__xludf.DUMMYFUNCTION("GOOGLETRANSLATE(A50,""zh-tw"",""de"")"),"Die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0" s="188" t="s">
        <v>11009</v>
      </c>
      <c r="J50" s="485" t="s">
        <v>11010</v>
      </c>
      <c r="K50" s="110" t="s">
        <v>11011</v>
      </c>
      <c r="L50" s="66"/>
      <c r="M50" s="66"/>
      <c r="N50" s="66"/>
      <c r="O50" s="66"/>
      <c r="P50" s="66"/>
      <c r="Q50" s="66"/>
      <c r="R50" s="66"/>
      <c r="S50" s="66"/>
      <c r="T50" s="66"/>
      <c r="U50" s="66"/>
      <c r="V50" s="66"/>
      <c r="W50" s="66"/>
      <c r="X50" s="66"/>
    </row>
    <row r="51">
      <c r="A51" s="72" t="s">
        <v>11012</v>
      </c>
      <c r="B51" s="484" t="s">
        <v>11013</v>
      </c>
      <c r="C51" s="72" t="s">
        <v>11014</v>
      </c>
      <c r="D51" s="484"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75" t="str">
        <f>IFERROR(__xludf.DUMMYFUNCTION("GOOGLETRANSLATE(A51,""zh-tw"",""es-MX"")"),"La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1" s="485" t="str">
        <f>IFERROR(__xludf.DUMMYFUNCTION("GOOGLETRANSLATE(A51,""zh-tw"",""KO"")"),"아이스크림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1" s="142" t="s">
        <v>11015</v>
      </c>
      <c r="H51" s="485"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188" t="s">
        <v>11016</v>
      </c>
      <c r="J51" s="485" t="s">
        <v>11017</v>
      </c>
      <c r="K51" s="110" t="s">
        <v>11018</v>
      </c>
      <c r="L51" s="66"/>
      <c r="M51" s="66"/>
      <c r="N51" s="66"/>
      <c r="O51" s="66"/>
      <c r="P51" s="66"/>
      <c r="Q51" s="66"/>
      <c r="R51" s="66"/>
      <c r="S51" s="66"/>
      <c r="T51" s="66"/>
      <c r="U51" s="66"/>
      <c r="V51" s="66"/>
      <c r="W51" s="66"/>
      <c r="X51" s="66"/>
    </row>
    <row r="52">
      <c r="A52" s="72" t="s">
        <v>11019</v>
      </c>
      <c r="B52" s="484" t="s">
        <v>11020</v>
      </c>
      <c r="C52" s="72" t="s">
        <v>11021</v>
      </c>
      <c r="D52" s="484" t="str">
        <f>IFERROR(__xludf.DUMMYFUNCTION("GOOGLETRANSLATE(A52,""zh-tw"",""zh"")"),"如果扭蛋掉到骑士的脚边，他会帮你捡起")</f>
        <v>如果扭蛋掉到骑士的脚边，他会帮你捡起</v>
      </c>
      <c r="E52" s="75" t="str">
        <f>IFERROR(__xludf.DUMMYFUNCTION("GOOGLETRANSLATE(A52,""zh-tw"",""es-MX"")"),"Si el gashapon cae cerca de los pies del caballero, él lo recogerá por ti.")</f>
        <v>Si el gashapon cae cerca de los pies del caballero, él lo recogerá por ti.</v>
      </c>
      <c r="F52" s="485" t="str">
        <f>IFERROR(__xludf.DUMMYFUNCTION("GOOGLETRANSLATE(A52,""zh-tw"",""KO"")"),"가샤폰이 기사의 발 근처에 떨어지면 기사가 주워줄 것입니다.")</f>
        <v>가샤폰이 기사의 발 근처에 떨어지면 기사가 주워줄 것입니다.</v>
      </c>
      <c r="G52" s="142" t="s">
        <v>11022</v>
      </c>
      <c r="H52" s="485" t="str">
        <f>IFERROR(__xludf.DUMMYFUNCTION("GOOGLETRANSLATE(A52,""zh-tw"",""de"")"),"Wenn der Gashapon in die Nähe der Füße des Ritters fällt, wird er ihn für dich aufheben.")</f>
        <v>Wenn der Gashapon in die Nähe der Füße des Ritters fällt, wird er ihn für dich aufheben.</v>
      </c>
      <c r="I52" s="188" t="s">
        <v>11023</v>
      </c>
      <c r="J52" s="485" t="s">
        <v>11024</v>
      </c>
      <c r="K52" s="110" t="s">
        <v>11025</v>
      </c>
      <c r="L52" s="66"/>
      <c r="M52" s="66"/>
      <c r="N52" s="66"/>
      <c r="O52" s="66"/>
      <c r="P52" s="66"/>
      <c r="Q52" s="66"/>
      <c r="R52" s="66"/>
      <c r="S52" s="66"/>
      <c r="T52" s="66"/>
      <c r="U52" s="66"/>
      <c r="V52" s="66"/>
      <c r="W52" s="66"/>
      <c r="X52" s="66"/>
    </row>
    <row r="53">
      <c r="A53" s="72" t="s">
        <v>11026</v>
      </c>
      <c r="B53" s="484" t="s">
        <v>11027</v>
      </c>
      <c r="C53" s="72" t="s">
        <v>11028</v>
      </c>
      <c r="D53" s="484" t="s">
        <v>11029</v>
      </c>
      <c r="E53" s="75" t="str">
        <f>IFERROR(__xludf.DUMMYFUNCTION("GOOGLETRANSLATE(A53,""zh-tw"",""es-MX"")"),"La durabilidad máxima predeterminada para todas las armas es de 114514, derivada de &lt;El sueño de una noche de verano&gt;.")</f>
        <v>La durabilidad máxima predeterminada para todas las armas es de 114514, derivada de &lt;El sueño de una noche de verano&gt;.</v>
      </c>
      <c r="F53" s="485"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142" t="s">
        <v>11030</v>
      </c>
      <c r="H53" s="485"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188" t="s">
        <v>11031</v>
      </c>
      <c r="J53" s="485" t="s">
        <v>11032</v>
      </c>
      <c r="K53" s="110" t="s">
        <v>11033</v>
      </c>
      <c r="L53" s="66"/>
      <c r="M53" s="66"/>
      <c r="N53" s="66"/>
      <c r="O53" s="66"/>
      <c r="P53" s="66"/>
      <c r="Q53" s="66"/>
      <c r="R53" s="66"/>
      <c r="S53" s="66"/>
      <c r="T53" s="66"/>
      <c r="U53" s="66"/>
      <c r="V53" s="66"/>
      <c r="W53" s="66"/>
      <c r="X53" s="66"/>
    </row>
    <row r="54">
      <c r="A54" s="72" t="s">
        <v>11034</v>
      </c>
      <c r="B54" s="484" t="s">
        <v>11035</v>
      </c>
      <c r="C54" s="72" t="s">
        <v>11036</v>
      </c>
      <c r="D54" s="484"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75"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485"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142" t="s">
        <v>11037</v>
      </c>
      <c r="H54" s="485"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188" t="s">
        <v>11038</v>
      </c>
      <c r="J54" s="485" t="s">
        <v>11039</v>
      </c>
      <c r="K54" s="110" t="s">
        <v>11040</v>
      </c>
      <c r="L54" s="66"/>
      <c r="M54" s="66"/>
      <c r="N54" s="66"/>
      <c r="O54" s="66"/>
      <c r="P54" s="66"/>
      <c r="Q54" s="66"/>
      <c r="R54" s="66"/>
      <c r="S54" s="66"/>
      <c r="T54" s="66"/>
      <c r="U54" s="66"/>
      <c r="V54" s="66"/>
      <c r="W54" s="66"/>
      <c r="X54" s="66"/>
    </row>
    <row r="55">
      <c r="A55" s="72" t="s">
        <v>11041</v>
      </c>
      <c r="B55" s="484" t="s">
        <v>11042</v>
      </c>
      <c r="C55" s="72" t="s">
        <v>11043</v>
      </c>
      <c r="D55" s="484" t="s">
        <v>11044</v>
      </c>
      <c r="E55" s="75" t="str">
        <f>IFERROR(__xludf.DUMMYFUNCTION("GOOGLETRANSLATE(A55,""zh-tw"",""es-MX"")"),"La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5" s="485"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142" t="s">
        <v>11045</v>
      </c>
      <c r="H55" s="485"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188" t="s">
        <v>11046</v>
      </c>
      <c r="J55" s="485" t="s">
        <v>11047</v>
      </c>
      <c r="K55" s="72" t="s">
        <v>11048</v>
      </c>
      <c r="L55" s="66"/>
      <c r="M55" s="66"/>
      <c r="N55" s="66"/>
      <c r="O55" s="66"/>
      <c r="P55" s="66"/>
      <c r="Q55" s="66"/>
      <c r="R55" s="66"/>
      <c r="S55" s="66"/>
      <c r="T55" s="66"/>
      <c r="U55" s="66"/>
      <c r="V55" s="66"/>
      <c r="W55" s="66"/>
      <c r="X55" s="66"/>
    </row>
    <row r="56">
      <c r="A56" s="72" t="s">
        <v>11049</v>
      </c>
      <c r="B56" s="484" t="s">
        <v>11050</v>
      </c>
      <c r="C56" s="72" t="s">
        <v>11051</v>
      </c>
      <c r="D56" s="484" t="str">
        <f>IFERROR(__xludf.DUMMYFUNCTION("GOOGLETRANSLATE(A56,""zh-tw"",""zh"")"),"可以对猫娘商店车使用时间暂停器，是个优秀的攻击方式
(P.S.对AKI商店无效)")</f>
        <v>可以对猫娘商店车使用时间暂停器，是个优秀的攻击方式
(P.S.对AKI商店无效)</v>
      </c>
      <c r="E56" s="75" t="str">
        <f>IFERROR(__xludf.DUMMYFUNCTION("GOOGLETRANSLATE(A56,""zh-tw"",""es-MX"")"),"El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6" s="485"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142" t="s">
        <v>11052</v>
      </c>
      <c r="H56" s="485"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188" t="s">
        <v>11053</v>
      </c>
      <c r="J56" s="485" t="s">
        <v>11054</v>
      </c>
      <c r="K56" s="110" t="s">
        <v>11055</v>
      </c>
      <c r="L56" s="66"/>
      <c r="M56" s="66"/>
      <c r="N56" s="66"/>
      <c r="O56" s="66"/>
      <c r="P56" s="66"/>
      <c r="Q56" s="66"/>
      <c r="R56" s="66"/>
      <c r="S56" s="66"/>
      <c r="T56" s="66"/>
      <c r="U56" s="66"/>
      <c r="V56" s="66"/>
      <c r="W56" s="66"/>
      <c r="X56" s="66"/>
    </row>
    <row r="57">
      <c r="A57" s="72" t="s">
        <v>11056</v>
      </c>
      <c r="B57" s="484" t="s">
        <v>11057</v>
      </c>
      <c r="C57" s="72" t="s">
        <v>11058</v>
      </c>
      <c r="D57" s="484" t="s">
        <v>11059</v>
      </c>
      <c r="E57" s="75" t="str">
        <f>IFERROR(__xludf.DUMMYFUNCTION("GOOGLETRANSLATE(A57,""zh-tw"",""es-MX"")"),"Ya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7" s="485"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142" t="s">
        <v>11060</v>
      </c>
      <c r="H57" s="485"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188" t="s">
        <v>11061</v>
      </c>
      <c r="J57" s="485" t="s">
        <v>11062</v>
      </c>
      <c r="K57" s="110" t="s">
        <v>11063</v>
      </c>
      <c r="L57" s="66"/>
      <c r="M57" s="66"/>
      <c r="N57" s="66"/>
      <c r="O57" s="66"/>
      <c r="P57" s="66"/>
      <c r="Q57" s="66"/>
      <c r="R57" s="66"/>
      <c r="S57" s="66"/>
      <c r="T57" s="66"/>
      <c r="U57" s="66"/>
      <c r="V57" s="66"/>
      <c r="W57" s="66"/>
      <c r="X57" s="66"/>
    </row>
    <row r="58">
      <c r="A58" s="72" t="s">
        <v>11064</v>
      </c>
      <c r="B58" s="484" t="s">
        <v>11065</v>
      </c>
      <c r="C58" s="72" t="s">
        <v>11066</v>
      </c>
      <c r="D58" s="484"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75" t="str">
        <f>IFERROR(__xludf.DUMMYFUNCTION("GOOGLETRANSLATE(A58,""zh-tw"",""es-MX"")"),"Una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8" s="485"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142" t="s">
        <v>11067</v>
      </c>
      <c r="H58" s="485"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188" t="s">
        <v>11068</v>
      </c>
      <c r="J58" s="485" t="s">
        <v>11069</v>
      </c>
      <c r="K58" s="110" t="s">
        <v>11070</v>
      </c>
      <c r="L58" s="66"/>
      <c r="M58" s="66"/>
      <c r="N58" s="66"/>
      <c r="O58" s="66"/>
      <c r="P58" s="66"/>
      <c r="Q58" s="66"/>
      <c r="R58" s="66"/>
      <c r="S58" s="66"/>
      <c r="T58" s="66"/>
      <c r="U58" s="66"/>
      <c r="V58" s="66"/>
      <c r="W58" s="66"/>
      <c r="X58" s="66"/>
    </row>
    <row r="59">
      <c r="A59" s="72" t="s">
        <v>11071</v>
      </c>
      <c r="B59" s="484" t="s">
        <v>11072</v>
      </c>
      <c r="C59" s="72" t="s">
        <v>11073</v>
      </c>
      <c r="D59" s="484" t="str">
        <f>IFERROR(__xludf.DUMMYFUNCTION("GOOGLETRANSLATE(A59,""zh-tw"",""zh"")"),"不同天气时，妹妹会涂不同颜色的指甲油。")</f>
        <v>不同天气时，妹妹会涂不同颜色的指甲油。</v>
      </c>
      <c r="E59" s="75" t="str">
        <f>IFERROR(__xludf.DUMMYFUNCTION("GOOGLETRANSLATE(A59,""zh-tw"",""es-MX"")"),"Mi hermana se pinta las uñas de diferentes colores según el clima.")</f>
        <v>Mi hermana se pinta las uñas de diferentes colores según el clima.</v>
      </c>
      <c r="F59" s="485" t="str">
        <f>IFERROR(__xludf.DUMMYFUNCTION("GOOGLETRANSLATE(A59,""zh-tw"",""KO"")"),"내 여동생은 날씨에 따라 손톱에 다른 색깔을 칠해요.")</f>
        <v>내 여동생은 날씨에 따라 손톱에 다른 색깔을 칠해요.</v>
      </c>
      <c r="G59" s="142" t="s">
        <v>11074</v>
      </c>
      <c r="H59" s="485" t="str">
        <f>IFERROR(__xludf.DUMMYFUNCTION("GOOGLETRANSLATE(A59,""zh-tw"",""de"")"),"Meine Schwester lackiert ihre Nägel je nach Wetterlage in verschiedenen Farben.")</f>
        <v>Meine Schwester lackiert ihre Nägel je nach Wetterlage in verschiedenen Farben.</v>
      </c>
      <c r="I59" s="188" t="s">
        <v>11075</v>
      </c>
      <c r="J59" s="485" t="s">
        <v>11076</v>
      </c>
      <c r="K59" s="72" t="s">
        <v>11077</v>
      </c>
      <c r="L59" s="66"/>
      <c r="M59" s="66"/>
      <c r="N59" s="66"/>
      <c r="O59" s="66"/>
      <c r="P59" s="66"/>
      <c r="Q59" s="66"/>
      <c r="R59" s="66"/>
      <c r="S59" s="66"/>
      <c r="T59" s="66"/>
      <c r="U59" s="66"/>
      <c r="V59" s="66"/>
      <c r="W59" s="66"/>
      <c r="X59" s="66"/>
    </row>
    <row r="60">
      <c r="A60" s="72" t="s">
        <v>11078</v>
      </c>
      <c r="B60" s="484" t="s">
        <v>11079</v>
      </c>
      <c r="C60" s="72" t="s">
        <v>11080</v>
      </c>
      <c r="D60" s="484"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75" t="str">
        <f>IFERROR(__xludf.DUMMYFUNCTION("GOOGLETRANSLATE(A60,""zh-tw"",""es-MX"")"),"En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0" s="485"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142" t="s">
        <v>11081</v>
      </c>
      <c r="H60" s="485"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188" t="s">
        <v>11082</v>
      </c>
      <c r="J60" s="485" t="s">
        <v>11083</v>
      </c>
      <c r="K60" s="110" t="s">
        <v>11084</v>
      </c>
      <c r="L60" s="66"/>
      <c r="M60" s="66"/>
      <c r="N60" s="66"/>
      <c r="O60" s="66"/>
      <c r="P60" s="66"/>
      <c r="Q60" s="66"/>
      <c r="R60" s="66"/>
      <c r="S60" s="66"/>
      <c r="T60" s="66"/>
      <c r="U60" s="66"/>
      <c r="V60" s="66"/>
      <c r="W60" s="66"/>
      <c r="X60" s="66"/>
    </row>
    <row r="61">
      <c r="A61" s="72" t="s">
        <v>11085</v>
      </c>
      <c r="B61" s="484" t="s">
        <v>11086</v>
      </c>
      <c r="C61" s="72" t="s">
        <v>11087</v>
      </c>
      <c r="D61" s="484" t="str">
        <f>IFERROR(__xludf.DUMMYFUNCTION("GOOGLETRANSLATE(A61,""zh-tw"",""zh"")"),"心情数值(0~100)是隐藏的，可以从妹妹平时的态度感受出来")</f>
        <v>心情数值(0~100)是隐藏的，可以从妹妹平时的态度感受出来</v>
      </c>
      <c r="E61" s="75" t="str">
        <f>IFERROR(__xludf.DUMMYFUNCTION("GOOGLETRANSLATE(A61,""zh-tw"",""es-MX"")"),"La puntuación del estado de ánimo (0~100) está oculta, pero se puede intuir por la actitud habitual de la hermana menor.")</f>
        <v>La puntuación del estado de ánimo (0~100) está oculta, pero se puede intuir por la actitud habitual de la hermana menor.</v>
      </c>
      <c r="F61" s="485" t="str">
        <f>IFERROR(__xludf.DUMMYFUNCTION("GOOGLETRANSLATE(A61,""zh-tw"",""KO"")"),"기분 점수(0~100)는 숨겨져 있지만, 여동생의 평소 태도를 통해 짐작할 수 있다.")</f>
        <v>기분 점수(0~100)는 숨겨져 있지만, 여동생의 평소 태도를 통해 짐작할 수 있다.</v>
      </c>
      <c r="G61" s="142" t="s">
        <v>11088</v>
      </c>
      <c r="H61" s="485" t="str">
        <f>IFERROR(__xludf.DUMMYFUNCTION("GOOGLETRANSLATE(A61,""zh-tw"",""de"")"),"Die Stimmungsbewertung (0~100) ist nicht sichtbar, lässt sich aber an der üblichen Haltung der jüngeren Schwester ablesen.")</f>
        <v>Die Stimmungsbewertung (0~100) ist nicht sichtbar, lässt sich aber an der üblichen Haltung der jüngeren Schwester ablesen.</v>
      </c>
      <c r="I61" s="188" t="s">
        <v>11089</v>
      </c>
      <c r="J61" s="485" t="s">
        <v>11090</v>
      </c>
      <c r="K61" s="110" t="s">
        <v>11091</v>
      </c>
      <c r="L61" s="66"/>
      <c r="M61" s="66"/>
      <c r="N61" s="66"/>
      <c r="O61" s="66"/>
      <c r="P61" s="66"/>
      <c r="Q61" s="66"/>
      <c r="R61" s="66"/>
      <c r="S61" s="66"/>
      <c r="T61" s="66"/>
      <c r="U61" s="66"/>
      <c r="V61" s="66"/>
      <c r="W61" s="66"/>
      <c r="X61" s="66"/>
    </row>
    <row r="62">
      <c r="A62" s="72" t="s">
        <v>11092</v>
      </c>
      <c r="B62" s="484" t="s">
        <v>11093</v>
      </c>
      <c r="C62" s="72" t="s">
        <v>11094</v>
      </c>
      <c r="D62" s="484" t="str">
        <f>IFERROR(__xludf.DUMMYFUNCTION("GOOGLETRANSLATE(A62,""zh-tw"",""zh"")"),"0.75版本后，使用新存档的玩家，能从一块墓碑上听到很细微的，发出奇怪的咕噜声")</f>
        <v>0.75版本后，使用新存档的玩家，能从一块墓碑上听到很细微的，发出奇怪的咕噜声</v>
      </c>
      <c r="E62" s="75" t="str">
        <f>IFERROR(__xludf.DUMMYFUNCTION("GOOGLETRANSLATE(A62,""zh-tw"",""es-MX"")"),"A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2" s="485"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142" t="s">
        <v>11095</v>
      </c>
      <c r="H62" s="485"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188" t="s">
        <v>11096</v>
      </c>
      <c r="J62" s="485" t="s">
        <v>11097</v>
      </c>
      <c r="K62" s="110" t="s">
        <v>11098</v>
      </c>
      <c r="L62" s="66"/>
      <c r="M62" s="66"/>
      <c r="N62" s="66"/>
      <c r="O62" s="66"/>
      <c r="P62" s="66"/>
      <c r="Q62" s="66"/>
      <c r="R62" s="66"/>
      <c r="S62" s="66"/>
      <c r="T62" s="66"/>
      <c r="U62" s="66"/>
      <c r="V62" s="66"/>
      <c r="W62" s="66"/>
      <c r="X62" s="66"/>
    </row>
    <row r="63">
      <c r="A63" s="72" t="s">
        <v>11099</v>
      </c>
      <c r="B63" s="484" t="s">
        <v>11100</v>
      </c>
      <c r="C63" s="72" t="s">
        <v>11101</v>
      </c>
      <c r="D63" s="484" t="str">
        <f>IFERROR(__xludf.DUMMYFUNCTION("GOOGLETRANSLATE(A63,""zh-tw"",""zh"")"),"妹妹免疫毒素，因此有毒的食物不会使她中毒，但哥哥无法免疫。")</f>
        <v>妹妹免疫毒素，因此有毒的食物不会使她中毒，但哥哥无法免疫。</v>
      </c>
      <c r="E63" s="75" t="str">
        <f>IFERROR(__xludf.DUMMYFUNCTION("GOOGLETRANSLATE(A63,""zh-tw"",""es-MX"")"),"La hermana menor es inmune a las toxinas, por lo que los alimentos venenosos no la envenenarán, pero el hermano mayor no es inmune.")</f>
        <v>La hermana menor es inmune a las toxinas, por lo que los alimentos venenosos no la envenenarán, pero el hermano mayor no es inmune.</v>
      </c>
      <c r="F63" s="485"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142" t="s">
        <v>11102</v>
      </c>
      <c r="H63" s="485"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34" t="s">
        <v>11103</v>
      </c>
      <c r="J63" s="485" t="s">
        <v>11104</v>
      </c>
      <c r="K63" s="110" t="s">
        <v>11105</v>
      </c>
      <c r="L63" s="66"/>
      <c r="M63" s="66"/>
      <c r="N63" s="66"/>
      <c r="O63" s="66"/>
      <c r="P63" s="66"/>
      <c r="Q63" s="66"/>
      <c r="R63" s="66"/>
      <c r="S63" s="66"/>
      <c r="T63" s="66"/>
      <c r="U63" s="66"/>
      <c r="V63" s="66"/>
      <c r="W63" s="66"/>
      <c r="X63" s="66"/>
    </row>
    <row r="64">
      <c r="A64" s="72" t="s">
        <v>11106</v>
      </c>
      <c r="B64" s="484" t="s">
        <v>11107</v>
      </c>
      <c r="C64" s="72" t="s">
        <v>11108</v>
      </c>
      <c r="D64" s="484" t="str">
        <f>IFERROR(__xludf.DUMMYFUNCTION("GOOGLETRANSLATE(A64,""zh-tw"",""zh"")"),"shift键可以切换走路/奔跑姿态")</f>
        <v>shift键可以切换走路/奔跑姿态</v>
      </c>
      <c r="E64" s="75" t="str">
        <f>IFERROR(__xludf.DUMMYFUNCTION("GOOGLETRANSLATE(A64,""zh-tw"",""es-MX"")"),"La tecla Mayús permite alternar entre las posturas de caminar y correr.")</f>
        <v>La tecla Mayús permite alternar entre las posturas de caminar y correr.</v>
      </c>
      <c r="F64" s="485" t="str">
        <f>IFERROR(__xludf.DUMMYFUNCTION("GOOGLETRANSLATE(A64,""zh-tw"",""KO"")"),"Shift 키를 누르면 걷기 자세와 달리기 자세를 전환할 수 있습니다.")</f>
        <v>Shift 키를 누르면 걷기 자세와 달리기 자세를 전환할 수 있습니다.</v>
      </c>
      <c r="G64" s="142" t="s">
        <v>11109</v>
      </c>
      <c r="H64" s="485" t="str">
        <f>IFERROR(__xludf.DUMMYFUNCTION("GOOGLETRANSLATE(A64,""zh-tw"",""de"")"),"Mit der Shift-Taste kann zwischen Geh- und Laufhaltung umgeschaltet werden.")</f>
        <v>Mit der Shift-Taste kann zwischen Geh- und Laufhaltung umgeschaltet werden.</v>
      </c>
      <c r="I64" s="188" t="s">
        <v>11110</v>
      </c>
      <c r="J64" s="485" t="s">
        <v>11111</v>
      </c>
      <c r="K64" s="110" t="s">
        <v>11112</v>
      </c>
      <c r="L64" s="66"/>
      <c r="M64" s="66"/>
      <c r="N64" s="66"/>
      <c r="O64" s="66"/>
      <c r="P64" s="66"/>
      <c r="Q64" s="66"/>
      <c r="R64" s="66"/>
      <c r="S64" s="66"/>
      <c r="T64" s="66"/>
      <c r="U64" s="66"/>
      <c r="V64" s="66"/>
      <c r="W64" s="66"/>
      <c r="X64" s="66"/>
    </row>
    <row r="65">
      <c r="A65" s="72" t="s">
        <v>11113</v>
      </c>
      <c r="B65" s="484" t="s">
        <v>11114</v>
      </c>
      <c r="C65" s="72" t="s">
        <v>11115</v>
      </c>
      <c r="D65" s="484"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75" t="str">
        <f>IFERROR(__xludf.DUMMYFUNCTION("GOOGLETRANSLATE(A65,""zh-tw"",""es-MX"")"),"Algunas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5" s="485"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142" t="s">
        <v>11116</v>
      </c>
      <c r="H65" s="485"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188" t="s">
        <v>11117</v>
      </c>
      <c r="J65" s="485" t="s">
        <v>11118</v>
      </c>
      <c r="K65" s="110" t="s">
        <v>11119</v>
      </c>
      <c r="L65" s="66"/>
      <c r="M65" s="66"/>
      <c r="N65" s="66"/>
      <c r="O65" s="66"/>
      <c r="P65" s="66"/>
      <c r="Q65" s="66"/>
      <c r="R65" s="66"/>
      <c r="S65" s="66"/>
      <c r="T65" s="66"/>
      <c r="U65" s="66"/>
      <c r="V65" s="66"/>
      <c r="W65" s="66"/>
      <c r="X65" s="66"/>
    </row>
    <row r="66">
      <c r="A66" s="72" t="s">
        <v>11120</v>
      </c>
      <c r="B66" s="484" t="s">
        <v>11121</v>
      </c>
      <c r="C66" s="72" t="s">
        <v>11122</v>
      </c>
      <c r="D66" s="484"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75" t="str">
        <f>IFERROR(__xludf.DUMMYFUNCTION("GOOGLETRANSLATE(A66,""zh-tw"",""es-MX"")"),"Realizar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6" s="485"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142" t="s">
        <v>11123</v>
      </c>
      <c r="H66" s="485"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34" t="s">
        <v>11124</v>
      </c>
      <c r="J66" s="485" t="s">
        <v>11125</v>
      </c>
      <c r="K66" s="72" t="s">
        <v>11126</v>
      </c>
      <c r="L66" s="66"/>
      <c r="M66" s="66"/>
      <c r="N66" s="66"/>
      <c r="O66" s="66"/>
      <c r="P66" s="66"/>
      <c r="Q66" s="66"/>
      <c r="R66" s="66"/>
      <c r="S66" s="66"/>
      <c r="T66" s="66"/>
      <c r="U66" s="66"/>
      <c r="V66" s="66"/>
      <c r="W66" s="66"/>
      <c r="X66" s="66"/>
    </row>
    <row r="67">
      <c r="A67" s="72" t="s">
        <v>11127</v>
      </c>
      <c r="B67" s="484" t="s">
        <v>11128</v>
      </c>
      <c r="C67" s="72" t="s">
        <v>11129</v>
      </c>
      <c r="D67" s="484" t="str">
        <f>IFERROR(__xludf.DUMMYFUNCTION("GOOGLETRANSLATE(A67,""zh-tw"",""zh"")"),"背后刺杀的各阶段等级需求(次数)：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7" s="75" t="str">
        <f>IFERROR(__xludf.DUMMYFUNCTION("GOOGLETRANSLATE(A67,""zh-tw"",""es-MX"")"),"Requisitos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7" s="485" t="str">
        <f>IFERROR(__xludf.DUMMYFUNCTION("GOOGLETRANSLATE(A67,""zh-tw"",""KO"")"),"백스탭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7" s="123" t="s">
        <v>11130</v>
      </c>
      <c r="H67" s="485" t="str">
        <f>IFERROR(__xludf.DUMMYFUNCTION("GOOGLETRANSLATE(A67,""zh-tw"",""de"")"),"Levelvoraussetzungen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I67" s="134" t="s">
        <v>11131</v>
      </c>
      <c r="J67" s="484" t="s">
        <v>11132</v>
      </c>
      <c r="K67" s="110" t="s">
        <v>11133</v>
      </c>
      <c r="L67" s="66"/>
      <c r="M67" s="66"/>
      <c r="N67" s="66"/>
      <c r="O67" s="66"/>
      <c r="P67" s="66"/>
      <c r="Q67" s="66"/>
      <c r="R67" s="66"/>
      <c r="S67" s="66"/>
      <c r="T67" s="66"/>
      <c r="U67" s="66"/>
      <c r="V67" s="66"/>
      <c r="W67" s="66"/>
      <c r="X67" s="66"/>
    </row>
    <row r="68">
      <c r="A68" s="72" t="s">
        <v>11134</v>
      </c>
      <c r="B68" s="484" t="s">
        <v>11135</v>
      </c>
      <c r="C68" s="72" t="s">
        <v>11136</v>
      </c>
      <c r="D68" s="484"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75" t="str">
        <f>IFERROR(__xludf.DUMMYFUNCTION("GOOGLETRANSLATE(A68,""zh-tw"",""es-MX"")"),"También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8" s="485" t="str">
        <f>IFERROR(__xludf.DUMMYFUNCTION("GOOGLETRANSLATE(A68,""zh-tw"",""KO"")"),"뒤에서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8" s="142" t="s">
        <v>11137</v>
      </c>
      <c r="H68" s="485"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188" t="s">
        <v>11138</v>
      </c>
      <c r="J68" s="485" t="s">
        <v>11139</v>
      </c>
      <c r="K68" s="110" t="s">
        <v>11140</v>
      </c>
      <c r="L68" s="66"/>
      <c r="M68" s="66"/>
      <c r="N68" s="66"/>
      <c r="O68" s="66"/>
      <c r="P68" s="66"/>
      <c r="Q68" s="66"/>
      <c r="R68" s="66"/>
      <c r="S68" s="66"/>
      <c r="T68" s="66"/>
      <c r="U68" s="66"/>
      <c r="V68" s="66"/>
      <c r="W68" s="66"/>
      <c r="X68" s="66"/>
    </row>
    <row r="69">
      <c r="A69" s="72" t="s">
        <v>11141</v>
      </c>
      <c r="B69" s="484" t="s">
        <v>11142</v>
      </c>
      <c r="C69" s="72" t="s">
        <v>11143</v>
      </c>
      <c r="D69" s="484"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75" t="str">
        <f>IFERROR(__xludf.DUMMYFUNCTION("GOOGLETRANSLATE(A69,""zh-tw"",""es-MX"")"),"La habilidad ""Eliminación de olores"" se puede dominar acercándose sigilosamente a los enemigos o bailando en el baño. El nivel de dominio no se muestra; por favor, compruebe el nivel de habilidad directamente.")</f>
        <v>La habilidad "Eliminación de olores" se puede dominar acercándose sigilosamente a los enemigos o bailando en el baño. El nivel de dominio no se muestra; por favor, compruebe el nivel de habilidad directamente.</v>
      </c>
      <c r="F69" s="485" t="str">
        <f>IFERROR(__xludf.DUMMYFUNCTION("GOOGLETRANSLATE(A69,""zh-tw"",""KO"")"),"'냄새 제거' 기술은 적 뒤로 몰래 다가가거나 화장실에서 춤을 추는 등의 방법으로 숙달할 수 있습니다. 숙달 레벨은 표시되지 않으므로 직접 확인하세요.")</f>
        <v>'냄새 제거' 기술은 적 뒤로 몰래 다가가거나 화장실에서 춤을 추는 등의 방법으로 숙달할 수 있습니다. 숙달 레벨은 표시되지 않으므로 직접 확인하세요.</v>
      </c>
      <c r="G69" s="142" t="s">
        <v>11144</v>
      </c>
      <c r="H69" s="484" t="s">
        <v>11145</v>
      </c>
      <c r="I69" s="188" t="s">
        <v>11146</v>
      </c>
      <c r="J69" s="485" t="s">
        <v>11147</v>
      </c>
      <c r="K69" s="110" t="s">
        <v>11148</v>
      </c>
      <c r="L69" s="66"/>
      <c r="M69" s="66"/>
      <c r="N69" s="66"/>
      <c r="O69" s="66"/>
      <c r="P69" s="66"/>
      <c r="Q69" s="66"/>
      <c r="R69" s="66"/>
      <c r="S69" s="66"/>
      <c r="T69" s="66"/>
      <c r="U69" s="66"/>
      <c r="V69" s="66"/>
      <c r="W69" s="66"/>
      <c r="X69" s="66"/>
    </row>
    <row r="70">
      <c r="A70" s="72" t="s">
        <v>11149</v>
      </c>
      <c r="B70" s="484" t="s">
        <v>11150</v>
      </c>
      <c r="C70" s="72" t="s">
        <v>11151</v>
      </c>
      <c r="D70" s="484"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75" t="str">
        <f>IFERROR(__xludf.DUMMYFUNCTION("GOOGLETRANSLATE(A70,""zh-tw"",""es-MX"")"),"Monstruos de élite: Al derrotar a un cierto número de monstruos, pueden aparecer monstruos mejorados con atributos más fuertes.
Actualmente, esta función se encuentra en su fase inicial; se realizarán mejoras en diversos efectos y en los objetos que se o"&amp;"btienen.")</f>
        <v>Monstruos de élite: Al derrotar a un cierto número de monstruos, pueden aparecer monstruos mejorados con atributos más fuertes.
Actualmente, esta función se encuentra en su fase inicial; se realizarán mejoras en diversos efectos y en los objetos que se obtienen.</v>
      </c>
      <c r="F70" s="485" t="str">
        <f>IFERROR(__xludf.DUMMYFUNCTION("GOOGLETRANSLATE(A70,""zh-tw"",""KO"")"),"정예 몬스터: 일정 수의 몬스터를 처치하면 더욱 강력한 능력을 가진 강화 몬스터가 등장할 수 있습니다.
현재는 초기 구현 단계이며, 향후 다양한 효과와 아이템 드롭이 개선될 예정입니다.")</f>
        <v>정예 몬스터: 일정 수의 몬스터를 처치하면 더욱 강력한 능력을 가진 강화 몬스터가 등장할 수 있습니다.
현재는 초기 구현 단계이며, 향후 다양한 효과와 아이템 드롭이 개선될 예정입니다.</v>
      </c>
      <c r="G70" s="142" t="s">
        <v>11152</v>
      </c>
      <c r="H70" s="484" t="s">
        <v>11153</v>
      </c>
      <c r="I70" s="188" t="s">
        <v>11154</v>
      </c>
      <c r="J70" s="485" t="s">
        <v>11155</v>
      </c>
      <c r="K70" s="110" t="s">
        <v>11156</v>
      </c>
      <c r="L70" s="66"/>
      <c r="M70" s="66"/>
      <c r="N70" s="66"/>
      <c r="O70" s="66"/>
      <c r="P70" s="66"/>
      <c r="Q70" s="66"/>
      <c r="R70" s="66"/>
      <c r="S70" s="66"/>
      <c r="T70" s="66"/>
      <c r="U70" s="66"/>
      <c r="V70" s="66"/>
      <c r="W70" s="66"/>
      <c r="X70" s="66"/>
    </row>
    <row r="71">
      <c r="A71" s="72" t="s">
        <v>11157</v>
      </c>
      <c r="B71" s="484" t="s">
        <v>11158</v>
      </c>
      <c r="C71" s="72" t="s">
        <v>11159</v>
      </c>
      <c r="D71" s="484" t="str">
        <f>IFERROR(__xludf.DUMMYFUNCTION("GOOGLETRANSLATE(A71,""zh-tw"",""zh"")"),"同上，饮料贩卖机也有可能出现菁英饮料贩卖机")</f>
        <v>同上，饮料贩卖机也有可能出现菁英饮料贩卖机</v>
      </c>
      <c r="E71" s="75" t="str">
        <f>IFERROR(__xludf.DUMMYFUNCTION("GOOGLETRANSLATE(A71,""zh-tw"",""es-MX"")"),"Del mismo modo, también podrían aparecer máquinas expendedoras de bebidas de alta gama.")</f>
        <v>Del mismo modo, también podrían aparecer máquinas expendedoras de bebidas de alta gama.</v>
      </c>
      <c r="F71" s="485" t="str">
        <f>IFERROR(__xludf.DUMMYFUNCTION("GOOGLETRANSLATE(A71,""zh-tw"",""KO"")"),"마찬가지로 고급 음료 자판기도 등장할 수 있습니다.")</f>
        <v>마찬가지로 고급 음료 자판기도 등장할 수 있습니다.</v>
      </c>
      <c r="G71" s="142" t="s">
        <v>11160</v>
      </c>
      <c r="H71" s="484" t="s">
        <v>11161</v>
      </c>
      <c r="I71" s="188" t="s">
        <v>11162</v>
      </c>
      <c r="J71" s="485" t="s">
        <v>11163</v>
      </c>
      <c r="K71" s="110" t="s">
        <v>11164</v>
      </c>
      <c r="L71" s="66"/>
      <c r="M71" s="66"/>
      <c r="N71" s="66"/>
      <c r="O71" s="66"/>
      <c r="P71" s="66"/>
      <c r="Q71" s="66"/>
      <c r="R71" s="66"/>
      <c r="S71" s="66"/>
      <c r="T71" s="66"/>
      <c r="U71" s="66"/>
      <c r="V71" s="66"/>
      <c r="W71" s="66"/>
      <c r="X71" s="66"/>
    </row>
    <row r="72">
      <c r="A72" s="72" t="s">
        <v>11165</v>
      </c>
      <c r="B72" s="484" t="s">
        <v>11166</v>
      </c>
      <c r="C72" s="72" t="s">
        <v>11167</v>
      </c>
      <c r="D72" s="484" t="str">
        <f>IFERROR(__xludf.DUMMYFUNCTION("GOOGLETRANSLATE(A72,""zh-tw"",""zh"")"),"史莱姆猫咪其实不是喜欢哥哥，而是喜欢他身上沾到的妹妹香味。")</f>
        <v>史莱姆猫咪其实不是喜欢哥哥，而是喜欢他身上沾到的妹妹香味。</v>
      </c>
      <c r="E72" s="75" t="str">
        <f>IFERROR(__xludf.DUMMYFUNCTION("GOOGLETRANSLATE(A72,""zh-tw"",""es-MX"")"),"Al gato viscoso en realidad no le cae bien su hermano; simplemente le gusta el aroma de su hermana que se le adhiere.")</f>
        <v>Al gato viscoso en realidad no le cae bien su hermano; simplemente le gusta el aroma de su hermana que se le adhiere.</v>
      </c>
      <c r="F72" s="485"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142" t="s">
        <v>11168</v>
      </c>
      <c r="H72" s="484" t="s">
        <v>11169</v>
      </c>
      <c r="I72" s="188" t="s">
        <v>11170</v>
      </c>
      <c r="J72" s="485" t="s">
        <v>11171</v>
      </c>
      <c r="K72" s="72" t="s">
        <v>11172</v>
      </c>
      <c r="L72" s="66"/>
      <c r="M72" s="66"/>
      <c r="N72" s="66"/>
      <c r="O72" s="66"/>
      <c r="P72" s="66"/>
      <c r="Q72" s="66"/>
      <c r="R72" s="66"/>
      <c r="S72" s="66"/>
      <c r="T72" s="66"/>
      <c r="U72" s="66"/>
      <c r="V72" s="66"/>
      <c r="W72" s="66"/>
      <c r="X72" s="66"/>
    </row>
    <row r="73">
      <c r="A73" s="72" t="s">
        <v>11173</v>
      </c>
      <c r="B73" s="484" t="s">
        <v>11174</v>
      </c>
      <c r="C73" s="72" t="s">
        <v>11175</v>
      </c>
      <c r="D73" s="484" t="str">
        <f>IFERROR(__xludf.DUMMYFUNCTION("GOOGLETRANSLATE(A73,""zh-tw"",""zh"")"),"打开的""星之门""可以吸收物体和子弹，阻挡的伤害有上限(被浅羽攻击大约2秒就爆了)")</f>
        <v>打开的"星之门"可以吸收物体和子弹，阻挡的伤害有上限(被浅羽攻击大约2秒就爆了)</v>
      </c>
      <c r="E73" s="75" t="str">
        <f>IFERROR(__xludf.DUMMYFUNCTION("GOOGLETRANSLATE(A73,""zh-tw"",""es-MX"")"),"La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3" s="485"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142" t="s">
        <v>11176</v>
      </c>
      <c r="H73" s="484" t="s">
        <v>11177</v>
      </c>
      <c r="I73" s="188" t="s">
        <v>11178</v>
      </c>
      <c r="J73" s="485" t="s">
        <v>11179</v>
      </c>
      <c r="K73" s="110" t="s">
        <v>11180</v>
      </c>
      <c r="L73" s="66"/>
      <c r="M73" s="66"/>
      <c r="N73" s="66"/>
      <c r="O73" s="66"/>
      <c r="P73" s="66"/>
      <c r="Q73" s="66"/>
      <c r="R73" s="66"/>
      <c r="S73" s="66"/>
      <c r="T73" s="66"/>
      <c r="U73" s="66"/>
      <c r="V73" s="66"/>
      <c r="W73" s="66"/>
      <c r="X73" s="66"/>
    </row>
    <row r="74">
      <c r="A74" s="72" t="s">
        <v>11181</v>
      </c>
      <c r="B74" s="484" t="s">
        <v>11182</v>
      </c>
      <c r="C74" s="72" t="s">
        <v>11183</v>
      </c>
      <c r="D74" s="484"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75" t="str">
        <f>IFERROR(__xludf.DUMMYFUNCTION("GOOGLETRANSLATE(A74,""zh-tw"",""es-MX"")"),"Contacto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4" s="485"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142" t="s">
        <v>11184</v>
      </c>
      <c r="H74" s="484" t="s">
        <v>11185</v>
      </c>
      <c r="I74" s="188" t="s">
        <v>11186</v>
      </c>
      <c r="J74" s="485" t="s">
        <v>11187</v>
      </c>
      <c r="K74" s="110" t="s">
        <v>11188</v>
      </c>
      <c r="L74" s="66"/>
      <c r="M74" s="66"/>
      <c r="N74" s="66"/>
      <c r="O74" s="66"/>
      <c r="P74" s="66"/>
      <c r="Q74" s="66"/>
      <c r="R74" s="66"/>
      <c r="S74" s="66"/>
      <c r="T74" s="66"/>
      <c r="U74" s="66"/>
      <c r="V74" s="66"/>
      <c r="W74" s="66"/>
      <c r="X74" s="66"/>
    </row>
    <row r="75">
      <c r="A75" s="72" t="s">
        <v>11189</v>
      </c>
      <c r="B75" s="484" t="s">
        <v>11190</v>
      </c>
      <c r="C75" s="72" t="s">
        <v>11191</v>
      </c>
      <c r="D75" s="484"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75" t="str">
        <f>IFERROR(__xludf.DUMMYFUNCTION("GOOGLETRANSLATE(A75,""zh-tw"",""es-MX"")"),"Al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podría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podría incluir variaciones con diferentes acciones eróticas contra distintos enemigos.</v>
      </c>
      <c r="F75" s="485" t="str">
        <f>IFERROR(__xludf.DUMMYFUNCTION("GOOGLETRANSLATE(A75,""zh-tw"",""KO"")"),"무장하지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142" t="s">
        <v>11192</v>
      </c>
      <c r="H75" s="485"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188" t="s">
        <v>11193</v>
      </c>
      <c r="J75" s="485" t="s">
        <v>11194</v>
      </c>
      <c r="K75" s="110" t="s">
        <v>11195</v>
      </c>
      <c r="L75" s="66"/>
      <c r="M75" s="66"/>
      <c r="N75" s="66"/>
      <c r="O75" s="66"/>
      <c r="P75" s="66"/>
      <c r="Q75" s="66"/>
      <c r="R75" s="66"/>
      <c r="S75" s="66"/>
      <c r="T75" s="66"/>
      <c r="U75" s="66"/>
      <c r="V75" s="66"/>
      <c r="W75" s="66"/>
      <c r="X75" s="66"/>
    </row>
    <row r="76">
      <c r="A76" s="75" t="s">
        <v>11196</v>
      </c>
      <c r="B76" s="484" t="s">
        <v>11197</v>
      </c>
      <c r="C76" s="75" t="s">
        <v>11198</v>
      </c>
      <c r="D76" s="484" t="str">
        <f>IFERROR(__xludf.DUMMYFUNCTION("GOOGLETRANSLATE(A76,""zh-tw"",""zh"")"),"牛奶是最好的解辣饮品，能大幅缩短解除辣哭了的持续时间")</f>
        <v>牛奶是最好的解辣饮品，能大幅缩短解除辣哭了的持续时间</v>
      </c>
      <c r="E76" s="72" t="s">
        <v>11199</v>
      </c>
      <c r="F76" s="485"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142" t="s">
        <v>11200</v>
      </c>
      <c r="H76" s="485" t="s">
        <v>11201</v>
      </c>
      <c r="I76" s="188" t="s">
        <v>11202</v>
      </c>
      <c r="J76" s="485" t="s">
        <v>11203</v>
      </c>
      <c r="K76" s="110" t="s">
        <v>11204</v>
      </c>
      <c r="L76" s="66"/>
      <c r="M76" s="66"/>
      <c r="N76" s="66"/>
      <c r="O76" s="66"/>
      <c r="P76" s="66"/>
      <c r="Q76" s="66"/>
      <c r="R76" s="66"/>
      <c r="S76" s="66"/>
      <c r="T76" s="66"/>
      <c r="U76" s="66"/>
      <c r="V76" s="66"/>
      <c r="W76" s="66"/>
      <c r="X76" s="66"/>
    </row>
    <row r="77">
      <c r="A77" s="75" t="s">
        <v>11205</v>
      </c>
      <c r="B77" s="485" t="s">
        <v>11206</v>
      </c>
      <c r="C77" s="75" t="s">
        <v>11207</v>
      </c>
      <c r="D77" s="484"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72" t="s">
        <v>11208</v>
      </c>
      <c r="F77" s="485" t="str">
        <f>IFERROR(__xludf.DUMMYFUNCTION("GOOGLETRANSLATE(A77,""zh-tw"",""KO"")"),"거실의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7" s="142" t="s">
        <v>11209</v>
      </c>
      <c r="H77" s="485" t="s">
        <v>11210</v>
      </c>
      <c r="I77" s="188" t="s">
        <v>11211</v>
      </c>
      <c r="J77" s="485" t="s">
        <v>11212</v>
      </c>
      <c r="K77" s="110" t="s">
        <v>11213</v>
      </c>
      <c r="L77" s="66"/>
      <c r="M77" s="66"/>
      <c r="N77" s="66"/>
      <c r="O77" s="66"/>
      <c r="P77" s="66"/>
      <c r="Q77" s="66"/>
      <c r="R77" s="66"/>
      <c r="S77" s="66"/>
      <c r="T77" s="66"/>
      <c r="U77" s="66"/>
      <c r="V77" s="66"/>
      <c r="W77" s="66"/>
      <c r="X77" s="66"/>
    </row>
    <row r="78">
      <c r="A78" s="75" t="s">
        <v>11214</v>
      </c>
      <c r="B78" s="485" t="s">
        <v>11215</v>
      </c>
      <c r="C78" s="75" t="s">
        <v>11216</v>
      </c>
      <c r="D78" s="484" t="str">
        <f>IFERROR(__xludf.DUMMYFUNCTION("GOOGLETRANSLATE(A78,""zh-tw"",""zh"")"),"ASABA通常会出现在路边的草莓丛中")</f>
        <v>ASABA通常会出现在路边的草莓丛中</v>
      </c>
      <c r="E78" s="72" t="s">
        <v>11217</v>
      </c>
      <c r="F78" s="485" t="str">
        <f>IFERROR(__xludf.DUMMYFUNCTION("GOOGLETRANSLATE(A78,""zh-tw"",""KO"")"),"아사바는 보통 길가 딸기 덤불에서 발견됩니다.")</f>
        <v>아사바는 보통 길가 딸기 덤불에서 발견됩니다.</v>
      </c>
      <c r="G78" s="142" t="s">
        <v>11218</v>
      </c>
      <c r="H78" s="485" t="s">
        <v>11219</v>
      </c>
      <c r="I78" s="188" t="s">
        <v>11220</v>
      </c>
      <c r="J78" s="485" t="s">
        <v>11221</v>
      </c>
      <c r="K78" s="110" t="s">
        <v>11222</v>
      </c>
      <c r="L78" s="66"/>
      <c r="M78" s="66"/>
      <c r="N78" s="66"/>
      <c r="O78" s="66"/>
      <c r="P78" s="66"/>
      <c r="Q78" s="66"/>
      <c r="R78" s="66"/>
      <c r="S78" s="66"/>
      <c r="T78" s="66"/>
      <c r="U78" s="66"/>
      <c r="V78" s="66"/>
      <c r="W78" s="66"/>
      <c r="X78" s="66"/>
    </row>
    <row r="79">
      <c r="A79" s="75" t="s">
        <v>11223</v>
      </c>
      <c r="B79" s="485" t="s">
        <v>11224</v>
      </c>
      <c r="C79" s="75" t="s">
        <v>11225</v>
      </c>
      <c r="D79" s="484" t="str">
        <f>IFERROR(__xludf.DUMMYFUNCTION("GOOGLETRANSLATE(A79,""zh-tw"",""zh"")"),"""草莓""食材，目前无实际用途，等待未来更新")</f>
        <v>"草莓"食材，目前无实际用途，等待未来更新</v>
      </c>
      <c r="E79" s="72" t="s">
        <v>11226</v>
      </c>
      <c r="F79" s="485" t="str">
        <f>IFERROR(__xludf.DUMMYFUNCTION("GOOGLETRANSLATE(A79,""zh-tw"",""KO"")"),"""딸기""라는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79" s="142" t="s">
        <v>11227</v>
      </c>
      <c r="H79" s="485" t="s">
        <v>11228</v>
      </c>
      <c r="I79" s="188" t="s">
        <v>11229</v>
      </c>
      <c r="J79" s="485" t="s">
        <v>11230</v>
      </c>
      <c r="K79" s="110" t="s">
        <v>11231</v>
      </c>
      <c r="L79" s="66"/>
      <c r="M79" s="66"/>
      <c r="N79" s="66"/>
      <c r="O79" s="66"/>
      <c r="P79" s="66"/>
      <c r="Q79" s="66"/>
      <c r="R79" s="66"/>
      <c r="S79" s="66"/>
      <c r="T79" s="66"/>
      <c r="U79" s="66"/>
      <c r="V79" s="66"/>
      <c r="W79" s="66"/>
      <c r="X79" s="66"/>
    </row>
    <row r="80">
      <c r="A80" s="72" t="s">
        <v>11232</v>
      </c>
      <c r="B80" s="484" t="s">
        <v>11233</v>
      </c>
      <c r="C80" s="72" t="s">
        <v>11234</v>
      </c>
      <c r="D80" s="484"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72" t="s">
        <v>11235</v>
      </c>
      <c r="F80" s="485"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142" t="s">
        <v>11236</v>
      </c>
      <c r="H80" s="485" t="s">
        <v>11237</v>
      </c>
      <c r="I80" s="134" t="s">
        <v>11238</v>
      </c>
      <c r="J80" s="485" t="s">
        <v>11239</v>
      </c>
      <c r="K80" s="110" t="s">
        <v>11240</v>
      </c>
      <c r="L80" s="66"/>
      <c r="M80" s="66"/>
      <c r="N80" s="66"/>
      <c r="O80" s="66"/>
      <c r="P80" s="66"/>
      <c r="Q80" s="66"/>
      <c r="R80" s="66"/>
      <c r="S80" s="66"/>
      <c r="T80" s="66"/>
      <c r="U80" s="66"/>
      <c r="V80" s="66"/>
      <c r="W80" s="66"/>
      <c r="X80" s="66"/>
    </row>
    <row r="81">
      <c r="A81" s="72" t="s">
        <v>11241</v>
      </c>
      <c r="B81" s="484" t="s">
        <v>11242</v>
      </c>
      <c r="C81" s="72" t="s">
        <v>11243</v>
      </c>
      <c r="D81" s="484" t="str">
        <f>IFERROR(__xludf.DUMMYFUNCTION("GOOGLETRANSLATE(A81,""zh-tw"",""zh"")"),"在""冒险者小道:纪念碑""地图中，石碑可以查看到战败的次数了")</f>
        <v>在"冒险者小道:纪念碑"地图中，石碑可以查看到战败的次数了</v>
      </c>
      <c r="E81" s="75" t="str">
        <f>IFERROR(__xludf.DUMMYFUNCTION("GOOGLETRANSLATE(A81,""zh-tw"",""es-MX"")"),"En el mapa ""Sendero del Aventurero: Monumento"", el monumento de piedra muestra el número de veces que has sido derrotado.")</f>
        <v>En el mapa "Sendero del Aventurero: Monumento", el monumento de piedra muestra el número de veces que has sido derrotado.</v>
      </c>
      <c r="F81" s="485" t="str">
        <f>IFERROR(__xludf.DUMMYFUNCTION("GOOGLETRANSLATE(A81,""zh-tw"",""KO"")"),"""모험가의 길: 기념비"" 지도에서 돌 기념비는 당신이 패배한 횟수를 표시합니다.")</f>
        <v>"모험가의 길: 기념비" 지도에서 돌 기념비는 당신이 패배한 횟수를 표시합니다.</v>
      </c>
      <c r="G81" s="142" t="s">
        <v>11244</v>
      </c>
      <c r="H81" s="489" t="s">
        <v>11245</v>
      </c>
      <c r="I81" s="188" t="s">
        <v>11246</v>
      </c>
      <c r="J81" s="485" t="s">
        <v>11247</v>
      </c>
      <c r="K81" s="110" t="s">
        <v>11248</v>
      </c>
      <c r="L81" s="66"/>
      <c r="M81" s="66"/>
      <c r="N81" s="66"/>
      <c r="O81" s="66"/>
      <c r="P81" s="66"/>
      <c r="Q81" s="66"/>
      <c r="R81" s="66"/>
      <c r="S81" s="66"/>
      <c r="T81" s="66"/>
      <c r="U81" s="66"/>
      <c r="V81" s="66"/>
      <c r="W81" s="66"/>
      <c r="X81" s="66"/>
    </row>
    <row r="82">
      <c r="A82" s="72" t="s">
        <v>11249</v>
      </c>
      <c r="B82" s="484" t="s">
        <v>11250</v>
      </c>
      <c r="C82" s="72" t="s">
        <v>11251</v>
      </c>
      <c r="D82" s="484" t="str">
        <f>IFERROR(__xludf.DUMMYFUNCTION("GOOGLETRANSLATE(A82,""zh-tw"",""zh"")"),"取名补充：
取妹妹相关的名子时，游戏标题和游戏LOGO中的""彼女""将会变更为""妹""")</f>
        <v>取名补充：
取妹妹相关的名子时，游戏标题和游戏LOGO中的"彼女"将会变更为"妹"</v>
      </c>
      <c r="E82" s="75" t="str">
        <f>IFERROR(__xludf.DUMMYFUNCTION("GOOGLETRANSLATE(A82,""zh-tw"",""es-MX"")"),"Información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2" s="485"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142" t="s">
        <v>11252</v>
      </c>
      <c r="H82" s="484" t="s">
        <v>11253</v>
      </c>
      <c r="I82" s="134" t="s">
        <v>11254</v>
      </c>
      <c r="J82" s="485" t="s">
        <v>11255</v>
      </c>
      <c r="K82" s="110" t="s">
        <v>11256</v>
      </c>
      <c r="L82" s="66"/>
      <c r="M82" s="66"/>
      <c r="N82" s="66"/>
      <c r="O82" s="66"/>
      <c r="P82" s="66"/>
      <c r="Q82" s="66"/>
      <c r="R82" s="66"/>
      <c r="S82" s="66"/>
      <c r="T82" s="66"/>
      <c r="U82" s="66"/>
      <c r="V82" s="66"/>
      <c r="W82" s="66"/>
      <c r="X82" s="66"/>
    </row>
    <row r="83">
      <c r="A83" s="75" t="s">
        <v>11257</v>
      </c>
      <c r="B83" s="484" t="s">
        <v>11258</v>
      </c>
      <c r="C83" s="75" t="s">
        <v>11259</v>
      </c>
      <c r="D83" s="484" t="str">
        <f>IFERROR(__xludf.DUMMYFUNCTION("GOOGLETRANSLATE(A83,""zh-tw"",""zh"")"),"安卓版在RPG模式下，透过点击头像框，可以显示FPS；PC版本是F2按键。")</f>
        <v>安卓版在RPG模式下，透过点击头像框，可以显示FPS；PC版本是F2按键。</v>
      </c>
      <c r="E83" s="75" t="str">
        <f>IFERROR(__xludf.DUMMYFUNCTION("GOOGLETRANSLATE(A83,""zh-tw"",""es-MX"")"),"En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3" s="485"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142" t="s">
        <v>11260</v>
      </c>
      <c r="H83" s="485" t="s">
        <v>11261</v>
      </c>
      <c r="I83" s="188" t="s">
        <v>11262</v>
      </c>
      <c r="J83" s="485" t="s">
        <v>11263</v>
      </c>
      <c r="K83" s="110" t="s">
        <v>11264</v>
      </c>
      <c r="L83" s="66"/>
      <c r="M83" s="66"/>
      <c r="N83" s="66"/>
      <c r="O83" s="66"/>
      <c r="P83" s="66"/>
      <c r="Q83" s="66"/>
      <c r="R83" s="66"/>
      <c r="S83" s="66"/>
      <c r="T83" s="66"/>
      <c r="U83" s="66"/>
      <c r="V83" s="66"/>
      <c r="W83" s="66"/>
      <c r="X83" s="66"/>
    </row>
    <row r="84" ht="53.25" customHeight="1">
      <c r="A84" s="75" t="s">
        <v>11265</v>
      </c>
      <c r="B84" s="484" t="s">
        <v>11266</v>
      </c>
      <c r="C84" s="75" t="s">
        <v>11267</v>
      </c>
      <c r="D84" s="484" t="str">
        <f>IFERROR(__xludf.DUMMYFUNCTION("GOOGLETRANSLATE(A84,""zh-tw"",""zh"")"),"安卓版在RPG模式下，透过长按头像框，可以显示作弊码的输入框")</f>
        <v>安卓版在RPG模式下，透过长按头像框，可以显示作弊码的输入框</v>
      </c>
      <c r="E84" s="75" t="str">
        <f>IFERROR(__xludf.DUMMYFUNCTION("GOOGLETRANSLATE(A84,""zh-tw"",""es-MX"")"),"En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4" s="485"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142" t="s">
        <v>11268</v>
      </c>
      <c r="H84" s="485" t="s">
        <v>11269</v>
      </c>
      <c r="I84" s="188" t="s">
        <v>11270</v>
      </c>
      <c r="J84" s="485" t="s">
        <v>11271</v>
      </c>
      <c r="K84" s="110" t="s">
        <v>11272</v>
      </c>
      <c r="L84" s="66"/>
      <c r="M84" s="66"/>
      <c r="N84" s="66"/>
      <c r="O84" s="66"/>
      <c r="P84" s="66"/>
      <c r="Q84" s="66"/>
      <c r="R84" s="66"/>
      <c r="S84" s="66"/>
      <c r="T84" s="66"/>
      <c r="U84" s="66"/>
      <c r="V84" s="66"/>
      <c r="W84" s="66"/>
      <c r="X84" s="66"/>
    </row>
    <row r="85">
      <c r="A85" s="72" t="s">
        <v>11273</v>
      </c>
      <c r="B85" s="484" t="s">
        <v>11274</v>
      </c>
      <c r="C85" s="72" t="s">
        <v>11275</v>
      </c>
      <c r="D85" s="484"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72" t="s">
        <v>11276</v>
      </c>
      <c r="F85" s="485" t="str">
        <f>IFERROR(__xludf.DUMMYFUNCTION("GOOGLETRANSLATE(A85,""zh-tw"",""KO"")"),"치트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1"&amp;"개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부여되며"&amp;"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RPG 모드 외부에서는 입력란이 없으므로 복사 붙여넣기를 하지 말고 직접 입력해 주세요.")</f>
        <v>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RPG 모드 외부에서는 입력란이 없으므로 복사 붙여넣기를 하지 말고 직접 입력해 주세요.</v>
      </c>
      <c r="G85" s="142" t="s">
        <v>11277</v>
      </c>
      <c r="H85" s="484" t="s">
        <v>11278</v>
      </c>
      <c r="I85" s="134" t="s">
        <v>11279</v>
      </c>
      <c r="J85" s="485" t="s">
        <v>11280</v>
      </c>
      <c r="K85" s="72" t="s">
        <v>11281</v>
      </c>
      <c r="L85" s="66"/>
      <c r="M85" s="66"/>
      <c r="N85" s="66"/>
      <c r="O85" s="66"/>
      <c r="P85" s="66"/>
      <c r="Q85" s="66"/>
      <c r="R85" s="66"/>
      <c r="S85" s="66"/>
      <c r="T85" s="66"/>
      <c r="U85" s="66"/>
      <c r="V85" s="66"/>
      <c r="W85" s="66"/>
      <c r="X85" s="66"/>
    </row>
    <row r="86">
      <c r="A86" s="75" t="s">
        <v>11282</v>
      </c>
      <c r="B86" s="485" t="s">
        <v>11283</v>
      </c>
      <c r="C86" s="75" t="s">
        <v>11284</v>
      </c>
      <c r="D86" s="484"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72" t="s">
        <v>11285</v>
      </c>
      <c r="F86" s="485" t="str">
        <f>IFERROR(__xludf.DUMMYFUNCTION("GOOGLETRANSLATE(A86,""zh-tw"",""KO"")"),"뇌물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f>
        <v>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v>
      </c>
      <c r="G86" s="142" t="s">
        <v>11286</v>
      </c>
      <c r="H86" s="485" t="s">
        <v>11287</v>
      </c>
      <c r="I86" s="134" t="s">
        <v>11288</v>
      </c>
      <c r="J86" s="485" t="s">
        <v>11289</v>
      </c>
      <c r="K86" s="72" t="s">
        <v>11290</v>
      </c>
      <c r="L86" s="66"/>
      <c r="M86" s="66"/>
      <c r="N86" s="66"/>
      <c r="O86" s="66"/>
      <c r="P86" s="66"/>
      <c r="Q86" s="66"/>
      <c r="R86" s="66"/>
      <c r="S86" s="66"/>
      <c r="T86" s="66"/>
      <c r="U86" s="66"/>
      <c r="V86" s="66"/>
      <c r="W86" s="66"/>
      <c r="X86" s="66"/>
    </row>
    <row r="87">
      <c r="A87" s="75" t="s">
        <v>11291</v>
      </c>
      <c r="B87" s="485" t="s">
        <v>11292</v>
      </c>
      <c r="C87" s="75" t="s">
        <v>11293</v>
      </c>
      <c r="D87" s="484"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75"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485"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42" t="s">
        <v>11294</v>
      </c>
      <c r="H87" s="485" t="s">
        <v>11295</v>
      </c>
      <c r="I87" s="188" t="s">
        <v>11296</v>
      </c>
      <c r="J87" s="485" t="s">
        <v>11297</v>
      </c>
      <c r="K87" s="110" t="s">
        <v>11298</v>
      </c>
      <c r="L87" s="66"/>
      <c r="M87" s="66"/>
      <c r="N87" s="66"/>
      <c r="O87" s="66"/>
      <c r="P87" s="66"/>
      <c r="Q87" s="66"/>
      <c r="R87" s="66"/>
      <c r="S87" s="66"/>
      <c r="T87" s="66"/>
      <c r="U87" s="66"/>
      <c r="V87" s="66"/>
      <c r="W87" s="66"/>
      <c r="X87" s="66"/>
    </row>
    <row r="88">
      <c r="A88" s="75" t="s">
        <v>11299</v>
      </c>
      <c r="B88" s="485" t="s">
        <v>11300</v>
      </c>
      <c r="C88" s="75" t="s">
        <v>11301</v>
      </c>
      <c r="D88" s="484" t="str">
        <f>IFERROR(__xludf.DUMMYFUNCTION("GOOGLETRANSLATE(A88,""zh-tw"",""zh"")"),"卢恩符文Kenaz，只要是能攻击的对象，都可以发生效果(地图物件、怪物、BOSS、兔子洞...等)")</f>
        <v>卢恩符文Kenaz，只要是能攻击的对象，都可以发生效果(地图物件、怪物、BOSS、兔子洞...等)</v>
      </c>
      <c r="E88" s="75"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485"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42" t="s">
        <v>11302</v>
      </c>
      <c r="H88" s="485" t="s">
        <v>11303</v>
      </c>
      <c r="I88" s="188" t="s">
        <v>11304</v>
      </c>
      <c r="J88" s="485" t="s">
        <v>11305</v>
      </c>
      <c r="K88" s="110" t="s">
        <v>11306</v>
      </c>
      <c r="L88" s="66"/>
      <c r="M88" s="66"/>
      <c r="N88" s="66"/>
      <c r="O88" s="66"/>
      <c r="P88" s="66"/>
      <c r="Q88" s="66"/>
      <c r="R88" s="66"/>
      <c r="S88" s="66"/>
      <c r="T88" s="66"/>
      <c r="U88" s="66"/>
      <c r="V88" s="66"/>
      <c r="W88" s="66"/>
      <c r="X88" s="66"/>
    </row>
    <row r="89">
      <c r="A89" s="72" t="s">
        <v>11307</v>
      </c>
      <c r="B89" s="484" t="s">
        <v>11308</v>
      </c>
      <c r="C89" s="72" t="s">
        <v>11309</v>
      </c>
      <c r="D89" s="484" t="str">
        <f>IFERROR(__xludf.DUMMYFUNCTION("GOOGLETRANSLATE(A89,""zh-tw"",""zh"")"),"不论是哥哥或妹妹，当食材全吃光后...将会触发在仓库中发现泡面的隐藏剧情")</f>
        <v>不论是哥哥或妹妹，当食材全吃光后...将会触发在仓库中发现泡面的隐藏剧情</v>
      </c>
      <c r="E89" s="75"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485"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42" t="s">
        <v>11310</v>
      </c>
      <c r="H89" s="485"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88" t="s">
        <v>11311</v>
      </c>
      <c r="J89" s="485" t="s">
        <v>11312</v>
      </c>
      <c r="K89" s="110" t="s">
        <v>11313</v>
      </c>
      <c r="L89" s="66"/>
      <c r="M89" s="66"/>
      <c r="N89" s="66"/>
      <c r="O89" s="66"/>
      <c r="P89" s="66"/>
      <c r="Q89" s="66"/>
      <c r="R89" s="66"/>
      <c r="S89" s="66"/>
      <c r="T89" s="66"/>
      <c r="U89" s="66"/>
      <c r="V89" s="66"/>
      <c r="W89" s="66"/>
      <c r="X89" s="66"/>
    </row>
    <row r="90">
      <c r="A90" s="75" t="s">
        <v>11314</v>
      </c>
      <c r="B90" s="485" t="s">
        <v>11315</v>
      </c>
      <c r="C90" s="75" t="s">
        <v>11316</v>
      </c>
      <c r="D90" s="484" t="str">
        <f>IFERROR(__xludf.DUMMYFUNCTION("GOOGLETRANSLATE(A90,""zh-tw"",""zh"")"),"矿车移动期间，可以提前跳车(部分效果演绎也会因此发生变化)")</f>
        <v>矿车移动期间，可以提前跳车(部分效果演绎也会因此发生变化)</v>
      </c>
      <c r="E90" s="75"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485"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142" t="s">
        <v>11317</v>
      </c>
      <c r="H90" s="485" t="s">
        <v>11318</v>
      </c>
      <c r="I90" s="188" t="s">
        <v>11319</v>
      </c>
      <c r="J90" s="485" t="s">
        <v>11320</v>
      </c>
      <c r="K90" s="110" t="s">
        <v>11321</v>
      </c>
      <c r="L90" s="66"/>
      <c r="M90" s="66"/>
      <c r="N90" s="66"/>
      <c r="O90" s="66"/>
      <c r="P90" s="66"/>
      <c r="Q90" s="66"/>
      <c r="R90" s="66"/>
      <c r="S90" s="66"/>
      <c r="T90" s="66"/>
      <c r="U90" s="66"/>
      <c r="V90" s="66"/>
      <c r="W90" s="66"/>
      <c r="X90" s="66"/>
    </row>
    <row r="91">
      <c r="A91" s="72" t="s">
        <v>11322</v>
      </c>
      <c r="B91" s="484" t="s">
        <v>11323</v>
      </c>
      <c r="C91" s="72" t="s">
        <v>11324</v>
      </c>
      <c r="D91" s="484"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75"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485"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42" t="s">
        <v>11325</v>
      </c>
      <c r="H91" s="484" t="s">
        <v>11326</v>
      </c>
      <c r="I91" s="188" t="s">
        <v>11327</v>
      </c>
      <c r="J91" s="485" t="s">
        <v>11328</v>
      </c>
      <c r="K91" s="110" t="s">
        <v>11329</v>
      </c>
      <c r="L91" s="66"/>
      <c r="M91" s="66"/>
      <c r="N91" s="66"/>
      <c r="O91" s="66"/>
      <c r="P91" s="66"/>
      <c r="Q91" s="66"/>
      <c r="R91" s="66"/>
      <c r="S91" s="66"/>
      <c r="T91" s="66"/>
      <c r="U91" s="66"/>
      <c r="V91" s="66"/>
      <c r="W91" s="66"/>
      <c r="X91" s="66"/>
    </row>
    <row r="92">
      <c r="A92" s="75" t="s">
        <v>11330</v>
      </c>
      <c r="B92" s="484" t="s">
        <v>11331</v>
      </c>
      <c r="C92" s="75" t="s">
        <v>11332</v>
      </c>
      <c r="D92" s="484" t="str">
        <f>IFERROR(__xludf.DUMMYFUNCTION("GOOGLETRANSLATE(A92,""zh-tw"",""zh"")"),"箱庭的白兔-在兔子洞全部破坏后，会被迫弹到地面")</f>
        <v>箱庭的白兔-在兔子洞全部破坏后，会被迫弹到地面</v>
      </c>
      <c r="E92" s="75"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485"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142" t="s">
        <v>11333</v>
      </c>
      <c r="H92" s="485" t="s">
        <v>11334</v>
      </c>
      <c r="I92" s="188" t="s">
        <v>11335</v>
      </c>
      <c r="J92" s="485" t="s">
        <v>11336</v>
      </c>
      <c r="K92" s="110" t="s">
        <v>11337</v>
      </c>
      <c r="L92" s="66"/>
      <c r="M92" s="66"/>
      <c r="N92" s="66"/>
      <c r="O92" s="66"/>
      <c r="P92" s="66"/>
      <c r="Q92" s="66"/>
      <c r="R92" s="66"/>
      <c r="S92" s="66"/>
      <c r="T92" s="66"/>
      <c r="U92" s="66"/>
      <c r="V92" s="66"/>
      <c r="W92" s="66"/>
      <c r="X92" s="66"/>
    </row>
    <row r="93">
      <c r="A93" s="75" t="s">
        <v>11338</v>
      </c>
      <c r="B93" s="485" t="s">
        <v>11339</v>
      </c>
      <c r="C93" s="75" t="s">
        <v>11340</v>
      </c>
      <c r="D93" s="484" t="str">
        <f>IFERROR(__xludf.DUMMYFUNCTION("GOOGLETRANSLATE(A93,""zh-tw"",""zh"")"),"箱庭的白兔-会强制玩家无法逃离(星之门也会被吞噬)，但是塔罗牌不受影响。")</f>
        <v>箱庭的白兔-会强制玩家无法逃离(星之门也会被吞噬)，但是塔罗牌不受影响。</v>
      </c>
      <c r="E93" s="75"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485"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42" t="s">
        <v>11341</v>
      </c>
      <c r="H93" s="485" t="s">
        <v>11342</v>
      </c>
      <c r="I93" s="188" t="s">
        <v>11343</v>
      </c>
      <c r="J93" s="485" t="s">
        <v>11344</v>
      </c>
      <c r="K93" s="110" t="s">
        <v>11345</v>
      </c>
      <c r="L93" s="66"/>
      <c r="M93" s="66"/>
      <c r="N93" s="66"/>
      <c r="O93" s="66"/>
      <c r="P93" s="66"/>
      <c r="Q93" s="66"/>
      <c r="R93" s="66"/>
      <c r="S93" s="66"/>
      <c r="T93" s="66"/>
      <c r="U93" s="66"/>
      <c r="V93" s="66"/>
      <c r="W93" s="66"/>
      <c r="X93" s="66"/>
    </row>
    <row r="94">
      <c r="A94" s="75" t="s">
        <v>11346</v>
      </c>
      <c r="B94" s="485" t="s">
        <v>11347</v>
      </c>
      <c r="C94" s="75" t="s">
        <v>11348</v>
      </c>
      <c r="D94" s="484" t="str">
        <f>IFERROR(__xludf.DUMMYFUNCTION("GOOGLETRANSLATE(A94,""zh-tw"",""zh"")"),"箱庭的白兔-如果玩家战斗落败，身上的胡萝卜会被没收")</f>
        <v>箱庭的白兔-如果玩家战斗落败，身上的胡萝卜会被没收</v>
      </c>
      <c r="E94" s="75"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485"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42" t="s">
        <v>11349</v>
      </c>
      <c r="H94" s="485" t="s">
        <v>11350</v>
      </c>
      <c r="I94" s="188" t="s">
        <v>11351</v>
      </c>
      <c r="J94" s="485" t="s">
        <v>11352</v>
      </c>
      <c r="K94" s="110" t="s">
        <v>11353</v>
      </c>
      <c r="L94" s="66"/>
      <c r="M94" s="66"/>
      <c r="N94" s="66"/>
      <c r="O94" s="66"/>
      <c r="P94" s="66"/>
      <c r="Q94" s="66"/>
      <c r="R94" s="66"/>
      <c r="S94" s="66"/>
      <c r="T94" s="66"/>
      <c r="U94" s="66"/>
      <c r="V94" s="66"/>
      <c r="W94" s="66"/>
      <c r="X94" s="66"/>
    </row>
    <row r="95">
      <c r="A95" s="72" t="s">
        <v>11354</v>
      </c>
      <c r="B95" s="485" t="s">
        <v>11355</v>
      </c>
      <c r="C95" s="75" t="s">
        <v>11356</v>
      </c>
      <c r="D95" s="484"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75"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485"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42" t="s">
        <v>11357</v>
      </c>
      <c r="H95" s="485" t="s">
        <v>11358</v>
      </c>
      <c r="I95" s="188" t="s">
        <v>11359</v>
      </c>
      <c r="J95" s="485" t="s">
        <v>11360</v>
      </c>
      <c r="K95" s="110" t="s">
        <v>11361</v>
      </c>
      <c r="L95" s="66"/>
      <c r="M95" s="66"/>
      <c r="N95" s="66"/>
      <c r="O95" s="66"/>
      <c r="P95" s="66"/>
      <c r="Q95" s="66"/>
      <c r="R95" s="66"/>
      <c r="S95" s="66"/>
      <c r="T95" s="66"/>
      <c r="U95" s="66"/>
      <c r="V95" s="66"/>
      <c r="W95" s="66"/>
      <c r="X95" s="66"/>
    </row>
    <row r="96">
      <c r="A96" s="72" t="s">
        <v>11362</v>
      </c>
      <c r="B96" s="485" t="s">
        <v>11363</v>
      </c>
      <c r="C96" s="75" t="s">
        <v>11364</v>
      </c>
      <c r="D96" s="484" t="str">
        <f>IFERROR(__xludf.DUMMYFUNCTION("GOOGLETRANSLATE(A96,""zh-tw"",""zh"")"),"ASABA的草莓/胡萝卜，目前对于妹妹与哥哥的饮食方面无特殊影响效果")</f>
        <v>ASABA的草莓/胡萝卜，目前对于妹妹与哥哥的饮食方面无特殊影响效果</v>
      </c>
      <c r="E96" s="75"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485" t="str">
        <f>IFERROR(__xludf.DUMMYFUNCTION("GOOGLETRANSLATE(A96,""zh-tw"",""KO"")"),"아사바가 재배한 딸기와 당근은 아직 여동생과 오빠의 식단에 특별한 영향을 미치지 않았습니다.")</f>
        <v>아사바가 재배한 딸기와 당근은 아직 여동생과 오빠의 식단에 특별한 영향을 미치지 않았습니다.</v>
      </c>
      <c r="G96" s="142" t="s">
        <v>11365</v>
      </c>
      <c r="H96" s="485" t="s">
        <v>11366</v>
      </c>
      <c r="I96" s="188" t="s">
        <v>11367</v>
      </c>
      <c r="J96" s="485" t="s">
        <v>11368</v>
      </c>
      <c r="K96" s="110" t="s">
        <v>11369</v>
      </c>
      <c r="L96" s="66"/>
      <c r="M96" s="66"/>
      <c r="N96" s="66"/>
      <c r="O96" s="66"/>
      <c r="P96" s="66"/>
      <c r="Q96" s="66"/>
      <c r="R96" s="66"/>
      <c r="S96" s="66"/>
      <c r="T96" s="66"/>
      <c r="U96" s="66"/>
      <c r="V96" s="66"/>
      <c r="W96" s="66"/>
      <c r="X96" s="66"/>
    </row>
    <row r="97">
      <c r="A97" s="72" t="s">
        <v>11370</v>
      </c>
      <c r="B97" s="485" t="s">
        <v>11371</v>
      </c>
      <c r="C97" s="75" t="s">
        <v>11372</v>
      </c>
      <c r="D97" s="484" t="str">
        <f>IFERROR(__xludf.DUMMYFUNCTION("GOOGLETRANSLATE(A97,""zh-tw"",""zh"")"),"""ASABA的草莓""比普通草莓更好吃，如果拿这个食材喂ASABA，会激怒它，并触发BOSS战斗")</f>
        <v>"ASABA的草莓"比普通草莓更好吃，如果拿这个食材喂ASABA，会激怒它，并触发BOSS战斗</v>
      </c>
      <c r="E97" s="75"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485"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42" t="s">
        <v>11373</v>
      </c>
      <c r="H97" s="485" t="s">
        <v>11374</v>
      </c>
      <c r="I97" s="188" t="s">
        <v>11375</v>
      </c>
      <c r="J97" s="485" t="s">
        <v>11376</v>
      </c>
      <c r="K97" s="110" t="s">
        <v>11377</v>
      </c>
      <c r="L97" s="66"/>
      <c r="M97" s="66"/>
      <c r="N97" s="66"/>
      <c r="O97" s="66"/>
      <c r="P97" s="66"/>
      <c r="Q97" s="66"/>
      <c r="R97" s="66"/>
      <c r="S97" s="66"/>
      <c r="T97" s="66"/>
      <c r="U97" s="66"/>
      <c r="V97" s="66"/>
      <c r="W97" s="66"/>
      <c r="X97" s="66"/>
    </row>
    <row r="98">
      <c r="A98" s="72" t="s">
        <v>11378</v>
      </c>
      <c r="B98" s="484" t="s">
        <v>11379</v>
      </c>
      <c r="C98" s="72" t="s">
        <v>11380</v>
      </c>
      <c r="D98" s="484"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75" t="str">
        <f>IFERROR(__xludf.DUMMYFUNCTION("GOOGLETRANSLATE(A98,""zh-tw"",""es-MX"")"),"Respecto a ""ASABA Furioso"": mientras salta a izquierda y derecha, puede esquivar todos los ataques. Mientras gira, puede desviar la mayoría de los proyectiles. Buscará una oportunidad para embestir y lanzar un ataque devastador que matará al jugador al "&amp;"instante. Al ser mordido por ASABA, consumirá tus reservas de comida para recuperar salud; si come comida venenosa, se envenenará.")</f>
        <v>Respecto a "ASABA Furioso": mientras salta a izquierda y derecha, puede esquivar todos los ataques. Mientras gira, puede desviar la mayoría de los proyectiles. Buscará una oportunidad para embestir y lanzar un ataque devastador que matará al jugador al instante. Al ser mordido por ASABA, consumirá tus reservas de comida para recuperar salud; si come comida venenosa, se envenenará.</v>
      </c>
      <c r="F98" s="485"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퍼붓는데, 이 공격에 맞으면 플레이어를 즉사시킬 수 있습니다. 아사바에게 물리면 플레이어의 식량을 섭취하여 체력을 회복하며, 독이 있는 음식을 먹으면 중독됩니다.</v>
      </c>
      <c r="G98" s="142" t="s">
        <v>11381</v>
      </c>
      <c r="H98" s="484" t="s">
        <v>11382</v>
      </c>
      <c r="I98" s="134" t="s">
        <v>11383</v>
      </c>
      <c r="J98" s="485" t="s">
        <v>11384</v>
      </c>
      <c r="K98" s="110" t="s">
        <v>11385</v>
      </c>
      <c r="L98" s="66"/>
      <c r="M98" s="66"/>
      <c r="N98" s="66"/>
      <c r="O98" s="66"/>
      <c r="P98" s="66"/>
      <c r="Q98" s="66"/>
      <c r="R98" s="66"/>
      <c r="S98" s="66"/>
      <c r="T98" s="66"/>
      <c r="U98" s="66"/>
      <c r="V98" s="66"/>
      <c r="W98" s="66"/>
      <c r="X98" s="66"/>
    </row>
    <row r="99">
      <c r="A99" s="72" t="s">
        <v>11386</v>
      </c>
      <c r="B99" s="484" t="s">
        <v>11387</v>
      </c>
      <c r="C99" s="72" t="s">
        <v>11388</v>
      </c>
      <c r="D99" s="484"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75"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obtenida al forjar no excederá la durabilidad inicial original del arma. Limitaciones:
7. Forjar solo se puede usar en tierra.
8. Durante la forja, el arma se recuperará al morir el protago"&amp;"nista; si el jugador se mueve a otro mapa, deberá regresar a él; el arma no se recuperará inmediatamente al resucitar.
9. Actualmente, no existe un diseño para múltiples Golems de Hierro.
10. Después de que un arma alcance altas temperaturas, recuperarl"&amp;"a y reforjarla inmediatamente ignora el tiempo de enfriamiento de la temperatura roja.
11. El martillo de forja se puede usar junto con bonificaciones de armas como Garra de Gato y Amplificación de Arma para mejorar los efectos de forja.
12. Cuanto mayo"&amp;"r sea el poder de ataque del personaje, mejor será el efecto de forja.
13. No se puede invocar un Golem de Hierro cuando el personaje está desarmado.
14. En el futuro, será posible pulir para mejorar los efectos de las armas o añadir otros objetos que n"&amp;"o sean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obtenida al forjar no excederá la durabilidad inicial original del arma. Limitaciones:
7. Forjar solo se puede usar en tierra.
8. Durante la forja, el arma se recuperará al morir el protagonista; si el jugador se mueve a otro mapa, deberá regresar a él; el arma no se recuperará inmediatamente al resucitar.
9. Actualmente, no existe un diseño para múltiples Golems de Hierro.
10. Después de que un arma alcance altas temperaturas, recuperarla y reforjarla inmediatamente ignora el tiempo de enfriamiento de la temperatura roja.
11. El martillo de forja se puede usar junto con bonificaciones de armas como Garra de Gato y Amplificación de Arma para mejorar los efectos de forja.
12. Cuanto mayor sea el poder de ataque del personaje, mejor será el efecto de forja.
13. No se puede invocar un Golem de Hierro cuando el personaje está desarmado.
14. En el futuro, será posible pulir para mejorar los efectos de las armas o añadir otros objetos que no sean armas. ¡Manténganse al tanto!</v>
      </c>
      <c r="F99" s="485"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7. 단조는 지상에서만 사용할 수 있습니다.
8. 단조 중 주인공이 사망하면 무기를 되찾을 수 있습니다. 다른 맵으로 이동한 후에는 해당 맵으로 돌아와야 하며, 부활 시 즉시 무기를 되"&amp;"찾을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없습"&amp;"니다.
14. 향후 연마 기능을 통해 무기 효과를 향상시키거나 무기 이외의 아이템을 추가할 수 있게 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7. 단조는 지상에서만 사용할 수 있습니다.
8. 단조 중 주인공이 사망하면 무기를 되찾을 수 있습니다. 다른 맵으로 이동한 후에는 해당 맵으로 돌아와야 하며, 부활 시 즉시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없습니다.
14. 향후 연마 기능을 통해 무기 효과를 향상시키거나 무기 이외의 아이템을 추가할 수 있게 될 예정입니다. 기대해 주세요!</v>
      </c>
      <c r="G99" s="142" t="s">
        <v>11389</v>
      </c>
      <c r="H99" s="485"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de"&amp;"r Waffe, desto größer die Wahrscheinlichkeit und der Wert des Haltbarkeitsbonus pro Schlag.
4. Befinden sich Gegner in der Nähe des Ambosses, wird ein zusätzlicher Bonus gewährt.
5. Wenn die Waffe überhitzt ist, raucht sie. Schmieden bringt in diesem Zu"&amp;"stand keine Vorteile; man muss warten, bis sie sich auf natürliche Weise abgekühlt hat.
6. Die durch Schmieden gewonnene Haltbarkeit überschreitet nicht die ursprüngliche Haltbarkeit der Waffe. Einschränkungen:
7. Schmieden ist nur an Land möglich.
8. "&amp;"Beim Schmieden wird die Waffe nach dem Tod des Protagonisten geborgen. Wechselt der Spieler die Karte, muss er dorthin zurückkehren; die Waffe wird nach der Wiederbelebung nicht sofort geborgen.
9. Derzeit ist die Beschwörung mehrerer Eisengolems nicht v"&amp;"orgesehen.
10. Sobald eine Waffe hohe Temperaturen erreicht hat, wird die Abklingzeit der roten Temperatur ignoriert, wenn sie geborgen und sofort neu geschmiedet wird.
11. Der Schmiedehammer kann in Kombination mit Waffenboni wie Katzenklaue und Waffen"&amp;"verstärkung verwendet werden, um die Schmiedeeffekte zu verbessern.
12. Je höher die Angriffskraft des Charakters, desto besser der Schmiedeeffekt.
13. Ein Eisengolem kann nicht beschworen werden, wenn der Charakter unbewaffnet ist.
14. Zukünftig wird "&amp;"es möglich sein, Waffeneffekte durch Veredelung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der Waffe, desto größer die Wahrscheinlichkeit und der Wert des Haltbarkeitsbonus pro Schlag.
4. Befinden sich Gegner in der Nähe des Ambosses, wird ein zusätzlicher Bonus gewährt.
5. Wenn die Waffe überhitzt ist, raucht sie. Schmieden bringt in diesem Zustand keine Vorteile; man muss warten, bis sie sich auf natürliche Weise abgekühlt hat.
6. Die durch Schmieden gewonnene Haltbarkeit überschreitet nicht die ursprüngliche Haltbarkeit der Waffe. Einschränkungen: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Veredelung zu verbessern oder andere Gegenstände hinzuzufügen. Seid gespannt!</v>
      </c>
      <c r="I99" s="134" t="s">
        <v>11390</v>
      </c>
      <c r="J99" s="485" t="s">
        <v>11391</v>
      </c>
      <c r="K99" s="72" t="s">
        <v>11392</v>
      </c>
      <c r="L99" s="66"/>
      <c r="M99" s="66"/>
      <c r="N99" s="66"/>
      <c r="O99" s="66"/>
      <c r="P99" s="66"/>
      <c r="Q99" s="66"/>
      <c r="R99" s="66"/>
      <c r="S99" s="66"/>
      <c r="T99" s="66"/>
      <c r="U99" s="66"/>
      <c r="V99" s="66"/>
      <c r="W99" s="66"/>
      <c r="X99" s="66"/>
    </row>
    <row r="100">
      <c r="A100" s="72" t="s">
        <v>11393</v>
      </c>
      <c r="B100" s="484" t="s">
        <v>11394</v>
      </c>
      <c r="C100" s="72" t="s">
        <v>11395</v>
      </c>
      <c r="D100" s="484"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75"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485"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42" t="s">
        <v>11396</v>
      </c>
      <c r="H100" s="485"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88" t="s">
        <v>11397</v>
      </c>
      <c r="J100" s="485" t="s">
        <v>11398</v>
      </c>
      <c r="K100" s="110" t="s">
        <v>11399</v>
      </c>
      <c r="L100" s="66"/>
      <c r="M100" s="66"/>
      <c r="N100" s="66"/>
      <c r="O100" s="66"/>
      <c r="P100" s="66"/>
      <c r="Q100" s="66"/>
      <c r="R100" s="66"/>
      <c r="S100" s="66"/>
      <c r="T100" s="66"/>
      <c r="U100" s="66"/>
      <c r="V100" s="66"/>
      <c r="W100" s="66"/>
      <c r="X100" s="66"/>
    </row>
    <row r="101">
      <c r="A101" s="72" t="s">
        <v>11400</v>
      </c>
      <c r="B101" s="484" t="s">
        <v>11401</v>
      </c>
      <c r="C101" s="72" t="s">
        <v>11402</v>
      </c>
      <c r="D101" s="484" t="str">
        <f>IFERROR(__xludf.DUMMYFUNCTION("GOOGLETRANSLATE(A101,""zh-tw"",""zh"")"),"兔子洞只能使用爆炸属性的伤害进行攻击，其他攻击或者从者攻击，皆无效果。")</f>
        <v>兔子洞只能使用爆炸属性的伤害进行攻击，其他攻击或者从者攻击，皆无效果。</v>
      </c>
      <c r="E101" s="75"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485"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42" t="s">
        <v>11403</v>
      </c>
      <c r="H101" s="484" t="s">
        <v>11404</v>
      </c>
      <c r="I101" s="188" t="s">
        <v>11405</v>
      </c>
      <c r="J101" s="485" t="s">
        <v>11406</v>
      </c>
      <c r="K101" s="110" t="s">
        <v>11407</v>
      </c>
      <c r="L101" s="66"/>
      <c r="M101" s="66"/>
      <c r="N101" s="66"/>
      <c r="O101" s="66"/>
      <c r="P101" s="66"/>
      <c r="Q101" s="66"/>
      <c r="R101" s="66"/>
      <c r="S101" s="66"/>
      <c r="T101" s="66"/>
      <c r="U101" s="66"/>
      <c r="V101" s="66"/>
      <c r="W101" s="66"/>
      <c r="X101" s="66"/>
    </row>
    <row r="102">
      <c r="A102" s="72" t="s">
        <v>11408</v>
      </c>
      <c r="B102" s="484" t="s">
        <v>11409</v>
      </c>
      <c r="C102" s="72" t="s">
        <v>11410</v>
      </c>
      <c r="D102" s="484"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75"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485"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42" t="s">
        <v>11411</v>
      </c>
      <c r="H102" s="484" t="s">
        <v>11412</v>
      </c>
      <c r="I102" s="188" t="s">
        <v>11413</v>
      </c>
      <c r="J102" s="485" t="s">
        <v>11414</v>
      </c>
      <c r="K102" s="110" t="s">
        <v>11415</v>
      </c>
      <c r="L102" s="66"/>
      <c r="M102" s="66"/>
      <c r="N102" s="66"/>
      <c r="O102" s="66"/>
      <c r="P102" s="66"/>
      <c r="Q102" s="66"/>
      <c r="R102" s="66"/>
      <c r="S102" s="66"/>
      <c r="T102" s="66"/>
      <c r="U102" s="66"/>
      <c r="V102" s="66"/>
      <c r="W102" s="66"/>
      <c r="X102" s="66"/>
    </row>
    <row r="103">
      <c r="A103" s="72" t="s">
        <v>11416</v>
      </c>
      <c r="B103" s="484" t="s">
        <v>11417</v>
      </c>
      <c r="C103" s="72" t="s">
        <v>11418</v>
      </c>
      <c r="D103" s="484"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75"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485"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23" t="s">
        <v>11419</v>
      </c>
      <c r="H103" s="484" t="s">
        <v>11420</v>
      </c>
      <c r="I103" s="188" t="s">
        <v>11421</v>
      </c>
      <c r="J103" s="484" t="s">
        <v>11422</v>
      </c>
      <c r="K103" s="110" t="s">
        <v>11423</v>
      </c>
      <c r="L103" s="66"/>
      <c r="M103" s="66"/>
      <c r="N103" s="66"/>
      <c r="O103" s="66"/>
      <c r="P103" s="66"/>
      <c r="Q103" s="66"/>
      <c r="R103" s="66"/>
      <c r="S103" s="66"/>
      <c r="T103" s="66"/>
      <c r="U103" s="66"/>
      <c r="V103" s="66"/>
      <c r="W103" s="66"/>
      <c r="X103" s="66"/>
    </row>
    <row r="104">
      <c r="A104" s="72" t="s">
        <v>11424</v>
      </c>
      <c r="B104" s="484" t="s">
        <v>11425</v>
      </c>
      <c r="C104" s="72" t="s">
        <v>11426</v>
      </c>
      <c r="D104" s="484"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75"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aumenta"&amp;"rá la probabilidad de caída, hasta un máximo de un 75% adicional.
4. Sombras de peces en el río: tocar o atacar directamente una sombra de pez generará peces como botín; no se obtendrán otros objetos.
5. Burbujas: Indican la presencia de algo. Atacarlas"&amp;" con bombas o bastones de agua las activará y generará objetos. Tienen una mayor probabilidad de generar enemigos o equipo en el agua, y una menor probabilidad de generar peces.
6. Atacar directamente la superficie del río tiene una mayor probabilidad de"&amp;" generar objetos solo cuando hay cebo disponible. El conjunto de objetos está relativamente equilibrado.
7. Lanzar criaturas vivas al río las convertirá en nutrientes, aumentando la cantidad de objetos nuevos, incluyendo tortugas Sakaban liberadas.
8. P"&amp;"ronósticos de TV... Cambiar el conjunto de objetos no afecta necesariamente la tasa de aparición ni el número de intentos.
9. Todas las bonificaciones de cebo mencionadas anteriormente son acumulables, y el rango de superposición de cebos también se acum"&amp;"ula. Si la tasa de activación aumenta a más del 100%, aparecerán nuevas condiciones de aparición, como el Señor del Río u objetos especiales.
10. Si el área de agua es demasiado pequeña, ciertos tipos de monstruos (como los jefes) no aparecerán. Si el ár"&amp;"ea disponible es demasiado pequeña, el jefe huirá inmediatamente.
---------------------- En resumen: Días lluviosos + mucha suerte + múltiples acumulaciones de gotas de agua en la máquina de gashapon + río grande + área suficiente cerca del puente son la"&amp;"s 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aumentará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485"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드롭"&amp;"됩니다.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미"&amp;"끼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조"&amp;"건입니다.")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이외의 아이템은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42" t="s">
        <v>11427</v>
      </c>
      <c r="H104" s="484" t="s">
        <v>11428</v>
      </c>
      <c r="I104" s="134" t="s">
        <v>11429</v>
      </c>
      <c r="J104" s="485" t="s">
        <v>11430</v>
      </c>
      <c r="K104" s="110" t="s">
        <v>11431</v>
      </c>
      <c r="L104" s="66"/>
      <c r="M104" s="66"/>
      <c r="N104" s="66"/>
      <c r="O104" s="66"/>
      <c r="P104" s="66"/>
      <c r="Q104" s="66"/>
      <c r="R104" s="66"/>
      <c r="S104" s="66"/>
      <c r="T104" s="66"/>
      <c r="U104" s="66"/>
      <c r="V104" s="66"/>
      <c r="W104" s="66"/>
      <c r="X104" s="66"/>
    </row>
    <row r="105">
      <c r="A105" s="72" t="s">
        <v>11432</v>
      </c>
      <c r="B105" s="484" t="s">
        <v>11433</v>
      </c>
      <c r="C105" s="72" t="s">
        <v>11434</v>
      </c>
      <c r="D105" s="484"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75"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485"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42" t="s">
        <v>11435</v>
      </c>
      <c r="H105" s="484" t="s">
        <v>11436</v>
      </c>
      <c r="I105" s="188" t="s">
        <v>11437</v>
      </c>
      <c r="J105" s="485" t="s">
        <v>11438</v>
      </c>
      <c r="K105" s="110" t="s">
        <v>11439</v>
      </c>
      <c r="L105" s="66"/>
      <c r="M105" s="66"/>
      <c r="N105" s="66"/>
      <c r="O105" s="66"/>
      <c r="P105" s="66"/>
      <c r="Q105" s="66"/>
      <c r="R105" s="66"/>
      <c r="S105" s="66"/>
      <c r="T105" s="66"/>
      <c r="U105" s="66"/>
      <c r="V105" s="66"/>
      <c r="W105" s="66"/>
      <c r="X105" s="66"/>
    </row>
    <row r="106">
      <c r="A106" s="72" t="s">
        <v>11440</v>
      </c>
      <c r="B106" s="484" t="s">
        <v>11441</v>
      </c>
      <c r="C106" s="72" t="s">
        <v>11442</v>
      </c>
      <c r="D106" s="484" t="str">
        <f>IFERROR(__xludf.DUMMYFUNCTION("GOOGLETRANSLATE(A106,""zh-tw"",""zh"")"),"毒雾遇上火属性攻击时，可以产生粉尘爆炸")</f>
        <v>毒雾遇上火属性攻击时，可以产生粉尘爆炸</v>
      </c>
      <c r="E106" s="75" t="str">
        <f>IFERROR(__xludf.DUMMYFUNCTION("GOOGLETRANSLATE(A106,""zh-tw"",""es-MX"")"),"Cuando la niebla venenosa se encuentra con un ataque de atributo fuego, puede provocar una explosión de polvo.")</f>
        <v>Cuando la niebla venenosa se encuentra con un ataque de atributo fuego, puede provocar una explosión de polvo.</v>
      </c>
      <c r="F106" s="485" t="str">
        <f>IFERROR(__xludf.DUMMYFUNCTION("GOOGLETRANSLATE(A106,""zh-tw"",""KO"")"),"독성 안개가 화염 속성 공격을 받으면 분진 폭발을 일으킬 수 있습니다.")</f>
        <v>독성 안개가 화염 속성 공격을 받으면 분진 폭발을 일으킬 수 있습니다.</v>
      </c>
      <c r="G106" s="142" t="s">
        <v>11443</v>
      </c>
      <c r="H106" s="484" t="s">
        <v>11444</v>
      </c>
      <c r="I106" s="188" t="s">
        <v>11445</v>
      </c>
      <c r="J106" s="485" t="s">
        <v>11446</v>
      </c>
      <c r="K106" s="110" t="s">
        <v>11447</v>
      </c>
      <c r="L106" s="66"/>
      <c r="M106" s="66"/>
      <c r="N106" s="66"/>
      <c r="O106" s="66"/>
      <c r="P106" s="66"/>
      <c r="Q106" s="66"/>
      <c r="R106" s="66"/>
      <c r="S106" s="66"/>
      <c r="T106" s="66"/>
      <c r="U106" s="66"/>
      <c r="V106" s="66"/>
      <c r="W106" s="66"/>
      <c r="X106" s="66"/>
    </row>
    <row r="107">
      <c r="A107" s="72" t="s">
        <v>11448</v>
      </c>
      <c r="B107" s="484" t="s">
        <v>11449</v>
      </c>
      <c r="C107" s="72" t="s">
        <v>11450</v>
      </c>
      <c r="D107" s="484"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75" t="str">
        <f>IFERROR(__xludf.DUMMYFUNCTION("GOOGLETRANSLATE(A107,""zh-tw"",""es-MX"")"),"Algunos monstruos glotones se dejan tentar fácilmente por armas con forma de comida, como Asaba y los orcos. En estos casos, es más probable que se les mate por la fuerza.")</f>
        <v>Algunos monstruos glotones se dejan tentar fácilmente por armas con forma de comida, como Asaba y los orcos. En estos casos, es más probable que se les mate por la fuerza.</v>
      </c>
      <c r="F107" s="485"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42" t="s">
        <v>11451</v>
      </c>
      <c r="H107" s="484" t="s">
        <v>11452</v>
      </c>
      <c r="I107" s="188" t="s">
        <v>11453</v>
      </c>
      <c r="J107" s="485" t="s">
        <v>11454</v>
      </c>
      <c r="K107" s="110" t="s">
        <v>11455</v>
      </c>
      <c r="L107" s="66"/>
      <c r="M107" s="66"/>
      <c r="N107" s="66"/>
      <c r="O107" s="66"/>
      <c r="P107" s="66"/>
      <c r="Q107" s="66"/>
      <c r="R107" s="66"/>
      <c r="S107" s="66"/>
      <c r="T107" s="66"/>
      <c r="U107" s="66"/>
      <c r="V107" s="66"/>
      <c r="W107" s="66"/>
      <c r="X107" s="66"/>
    </row>
    <row r="108">
      <c r="A108" s="72" t="s">
        <v>11456</v>
      </c>
      <c r="B108" s="484" t="s">
        <v>11457</v>
      </c>
      <c r="C108" s="72" t="s">
        <v>11458</v>
      </c>
      <c r="D108" s="484"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75"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485"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42" t="s">
        <v>11459</v>
      </c>
      <c r="H108" s="484" t="s">
        <v>11460</v>
      </c>
      <c r="I108" s="188" t="s">
        <v>11461</v>
      </c>
      <c r="J108" s="485" t="s">
        <v>11462</v>
      </c>
      <c r="K108" s="110" t="s">
        <v>11463</v>
      </c>
      <c r="L108" s="66"/>
      <c r="M108" s="66"/>
      <c r="N108" s="66"/>
      <c r="O108" s="66"/>
      <c r="P108" s="66"/>
      <c r="Q108" s="66"/>
      <c r="R108" s="66"/>
      <c r="S108" s="66"/>
      <c r="T108" s="66"/>
      <c r="U108" s="66"/>
      <c r="V108" s="66"/>
      <c r="W108" s="66"/>
      <c r="X108" s="66"/>
    </row>
    <row r="109">
      <c r="A109" s="72" t="s">
        <v>11464</v>
      </c>
      <c r="B109" s="484" t="s">
        <v>11465</v>
      </c>
      <c r="C109" s="72" t="s">
        <v>11466</v>
      </c>
      <c r="D109" s="484"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75"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485"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42" t="s">
        <v>11467</v>
      </c>
      <c r="H109" s="485"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34" t="s">
        <v>11468</v>
      </c>
      <c r="J109" s="485" t="s">
        <v>11469</v>
      </c>
      <c r="K109" s="110" t="s">
        <v>11470</v>
      </c>
      <c r="L109" s="66"/>
      <c r="M109" s="66"/>
      <c r="N109" s="66"/>
      <c r="O109" s="66"/>
      <c r="P109" s="66"/>
      <c r="Q109" s="66"/>
      <c r="R109" s="66"/>
      <c r="S109" s="66"/>
      <c r="T109" s="66"/>
      <c r="U109" s="66"/>
      <c r="V109" s="66"/>
      <c r="W109" s="66"/>
      <c r="X109" s="66"/>
    </row>
    <row r="110">
      <c r="A110" s="72" t="s">
        <v>11471</v>
      </c>
      <c r="B110" s="484" t="s">
        <v>11472</v>
      </c>
      <c r="C110" s="72" t="s">
        <v>11473</v>
      </c>
      <c r="D110" s="484" t="s">
        <v>11474</v>
      </c>
      <c r="E110" s="75"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485"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42" t="s">
        <v>11475</v>
      </c>
      <c r="H110" s="486" t="s">
        <v>11476</v>
      </c>
      <c r="I110" s="246" t="s">
        <v>11477</v>
      </c>
      <c r="J110" s="485" t="s">
        <v>11478</v>
      </c>
      <c r="K110" s="110" t="s">
        <v>11479</v>
      </c>
      <c r="L110" s="66"/>
      <c r="M110" s="66"/>
      <c r="N110" s="66"/>
      <c r="O110" s="66"/>
      <c r="P110" s="66"/>
      <c r="Q110" s="66"/>
      <c r="R110" s="66"/>
      <c r="S110" s="66"/>
      <c r="T110" s="66"/>
      <c r="U110" s="66"/>
      <c r="V110" s="66"/>
      <c r="W110" s="66"/>
      <c r="X110" s="66"/>
    </row>
    <row r="111">
      <c r="A111" s="72" t="s">
        <v>11480</v>
      </c>
      <c r="B111" s="484" t="s">
        <v>11481</v>
      </c>
      <c r="C111" s="72" t="s">
        <v>11482</v>
      </c>
      <c r="D111" s="484" t="s">
        <v>11483</v>
      </c>
      <c r="E111" s="72" t="s">
        <v>11484</v>
      </c>
      <c r="F111" s="485"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42" t="s">
        <v>11485</v>
      </c>
      <c r="H111" s="484" t="s">
        <v>11486</v>
      </c>
      <c r="I111" s="246" t="s">
        <v>11487</v>
      </c>
      <c r="J111" s="484" t="s">
        <v>11488</v>
      </c>
      <c r="K111" s="110" t="s">
        <v>11489</v>
      </c>
      <c r="L111" s="214"/>
      <c r="M111" s="66"/>
      <c r="N111" s="66"/>
      <c r="O111" s="66"/>
      <c r="P111" s="66"/>
      <c r="Q111" s="66"/>
      <c r="R111" s="66"/>
      <c r="S111" s="66"/>
      <c r="T111" s="66"/>
      <c r="U111" s="66"/>
      <c r="V111" s="66"/>
      <c r="W111" s="66"/>
      <c r="X111" s="66"/>
    </row>
    <row r="112">
      <c r="A112" s="75" t="s">
        <v>11490</v>
      </c>
      <c r="B112" s="485" t="s">
        <v>11491</v>
      </c>
      <c r="C112" s="72" t="s">
        <v>11492</v>
      </c>
      <c r="D112" s="485" t="s">
        <v>11493</v>
      </c>
      <c r="E112" s="75"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485"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42" t="s">
        <v>11494</v>
      </c>
      <c r="H112" s="485" t="s">
        <v>11495</v>
      </c>
      <c r="I112" s="260" t="s">
        <v>11496</v>
      </c>
      <c r="J112" s="485" t="s">
        <v>11497</v>
      </c>
      <c r="K112" s="75" t="s">
        <v>11498</v>
      </c>
      <c r="L112" s="66"/>
      <c r="M112" s="66"/>
      <c r="N112" s="66"/>
      <c r="O112" s="66"/>
      <c r="P112" s="66"/>
      <c r="Q112" s="66"/>
      <c r="R112" s="66"/>
      <c r="S112" s="66"/>
      <c r="T112" s="66"/>
      <c r="U112" s="66"/>
      <c r="V112" s="66"/>
      <c r="W112" s="66"/>
      <c r="X112" s="66"/>
    </row>
    <row r="113">
      <c r="A113" s="75" t="s">
        <v>11499</v>
      </c>
      <c r="B113" s="485" t="s">
        <v>11500</v>
      </c>
      <c r="C113" s="75" t="s">
        <v>11501</v>
      </c>
      <c r="D113" s="485" t="s">
        <v>11502</v>
      </c>
      <c r="E113" s="75" t="str">
        <f>IFERROR(__xludf.DUMMYFUNCTION("GOOGLETRANSLATE(A113,""zh-tw"",""es-MX"")"),"Actualmente, los jugadores no tienen forma de controlar la ""Concentración de Aura Abisal"". Al matar monstruos en la mazmorra, se acumula Aura Abisal, que disminuye en un porcentaje fijo cada día o desaparece cuando aparece un Pilar Sellado.")</f>
        <v>Actualmente, los jugadores no tienen forma de controlar la "Concentración de Aura Abisal". Al matar monstruos en la mazmorra, se acumula Aura Abisal, que disminuye en un porcentaje fijo cada día o desaparece cuando aparece un Pilar Sellado.</v>
      </c>
      <c r="F113" s="485"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142" t="s">
        <v>11501</v>
      </c>
      <c r="H113" s="485" t="s">
        <v>11503</v>
      </c>
      <c r="I113" s="260" t="s">
        <v>11504</v>
      </c>
      <c r="J113" s="485" t="s">
        <v>11505</v>
      </c>
      <c r="K113" s="75" t="s">
        <v>11506</v>
      </c>
      <c r="L113" s="66"/>
      <c r="M113" s="66"/>
      <c r="N113" s="66"/>
      <c r="O113" s="66"/>
      <c r="P113" s="66"/>
      <c r="Q113" s="66"/>
      <c r="R113" s="66"/>
      <c r="S113" s="66"/>
      <c r="T113" s="66"/>
      <c r="U113" s="66"/>
      <c r="V113" s="66"/>
      <c r="W113" s="66"/>
      <c r="X113" s="66"/>
    </row>
    <row r="114">
      <c r="A114" s="75" t="s">
        <v>11507</v>
      </c>
      <c r="B114" s="485" t="s">
        <v>11508</v>
      </c>
      <c r="C114" s="75" t="s">
        <v>11509</v>
      </c>
      <c r="D114" s="485" t="s">
        <v>11510</v>
      </c>
      <c r="E114" s="75" t="s">
        <v>11511</v>
      </c>
      <c r="F114" s="485" t="s">
        <v>11512</v>
      </c>
      <c r="G114" s="142" t="s">
        <v>11513</v>
      </c>
      <c r="H114" s="485" t="s">
        <v>11514</v>
      </c>
      <c r="I114" s="260" t="s">
        <v>11515</v>
      </c>
      <c r="J114" s="485" t="s">
        <v>11516</v>
      </c>
      <c r="K114" s="75" t="s">
        <v>11517</v>
      </c>
      <c r="L114" s="66"/>
      <c r="M114" s="66"/>
      <c r="N114" s="66"/>
      <c r="O114" s="66"/>
      <c r="P114" s="66"/>
      <c r="Q114" s="66"/>
      <c r="R114" s="66"/>
      <c r="S114" s="66"/>
      <c r="T114" s="66"/>
      <c r="U114" s="66"/>
      <c r="V114" s="66"/>
      <c r="W114" s="66"/>
      <c r="X114" s="66"/>
    </row>
    <row r="115">
      <c r="A115" s="75" t="s">
        <v>11518</v>
      </c>
      <c r="B115" s="485" t="s">
        <v>11519</v>
      </c>
      <c r="C115" s="75" t="s">
        <v>11520</v>
      </c>
      <c r="D115" s="485" t="s">
        <v>11521</v>
      </c>
      <c r="E115" s="75" t="s">
        <v>11522</v>
      </c>
      <c r="F115" s="485" t="s">
        <v>11523</v>
      </c>
      <c r="G115" s="142" t="s">
        <v>11524</v>
      </c>
      <c r="H115" s="485" t="s">
        <v>11525</v>
      </c>
      <c r="I115" s="260" t="s">
        <v>11526</v>
      </c>
      <c r="J115" s="485" t="s">
        <v>11527</v>
      </c>
      <c r="K115" s="75" t="s">
        <v>11528</v>
      </c>
      <c r="L115" s="66"/>
      <c r="M115" s="66"/>
      <c r="N115" s="66"/>
      <c r="O115" s="66"/>
      <c r="P115" s="66"/>
      <c r="Q115" s="66"/>
      <c r="R115" s="66"/>
      <c r="S115" s="66"/>
      <c r="T115" s="66"/>
      <c r="U115" s="66"/>
      <c r="V115" s="66"/>
      <c r="W115" s="66"/>
      <c r="X115" s="66"/>
    </row>
    <row r="116">
      <c r="A116" s="75" t="s">
        <v>11529</v>
      </c>
      <c r="B116" s="485" t="s">
        <v>11530</v>
      </c>
      <c r="C116" s="75" t="s">
        <v>11531</v>
      </c>
      <c r="D116" s="485" t="s">
        <v>11532</v>
      </c>
      <c r="E116" s="75" t="s">
        <v>11533</v>
      </c>
      <c r="F116" s="485" t="s">
        <v>11534</v>
      </c>
      <c r="G116" s="142" t="s">
        <v>11535</v>
      </c>
      <c r="H116" s="485" t="s">
        <v>11536</v>
      </c>
      <c r="I116" s="260" t="s">
        <v>11537</v>
      </c>
      <c r="J116" s="485" t="s">
        <v>11538</v>
      </c>
      <c r="K116" s="75" t="s">
        <v>11531</v>
      </c>
      <c r="L116" s="66"/>
      <c r="M116" s="66"/>
      <c r="N116" s="66"/>
      <c r="O116" s="66"/>
      <c r="P116" s="66"/>
      <c r="Q116" s="66"/>
      <c r="R116" s="66"/>
      <c r="S116" s="66"/>
      <c r="T116" s="66"/>
      <c r="U116" s="66"/>
      <c r="V116" s="66"/>
      <c r="W116" s="66"/>
      <c r="X116" s="66"/>
    </row>
    <row r="117">
      <c r="A117" s="75" t="s">
        <v>11539</v>
      </c>
      <c r="B117" s="485" t="s">
        <v>11540</v>
      </c>
      <c r="C117" s="75" t="s">
        <v>11541</v>
      </c>
      <c r="D117" s="485" t="s">
        <v>11542</v>
      </c>
      <c r="E117" s="75" t="s">
        <v>11543</v>
      </c>
      <c r="F117" s="485" t="s">
        <v>11544</v>
      </c>
      <c r="G117" s="142" t="s">
        <v>11545</v>
      </c>
      <c r="H117" s="485" t="s">
        <v>11546</v>
      </c>
      <c r="I117" s="260" t="s">
        <v>11547</v>
      </c>
      <c r="J117" s="485" t="s">
        <v>11548</v>
      </c>
      <c r="K117" s="75" t="s">
        <v>11541</v>
      </c>
      <c r="L117" s="66"/>
      <c r="M117" s="66"/>
      <c r="N117" s="66"/>
      <c r="O117" s="66"/>
      <c r="P117" s="66"/>
      <c r="Q117" s="66"/>
      <c r="R117" s="66"/>
      <c r="S117" s="66"/>
      <c r="T117" s="66"/>
      <c r="U117" s="66"/>
      <c r="V117" s="66"/>
      <c r="W117" s="66"/>
      <c r="X117" s="66"/>
    </row>
    <row r="118">
      <c r="A118" s="72" t="s">
        <v>11549</v>
      </c>
      <c r="B118" s="484" t="s">
        <v>11550</v>
      </c>
      <c r="C118" s="72" t="s">
        <v>11551</v>
      </c>
      <c r="D118" s="484" t="s">
        <v>11552</v>
      </c>
      <c r="E118" s="75"/>
      <c r="F118" s="485"/>
      <c r="G118" s="72" t="s">
        <v>11553</v>
      </c>
      <c r="H118" s="485"/>
      <c r="I118" s="134" t="s">
        <v>11554</v>
      </c>
      <c r="J118" s="484" t="s">
        <v>11555</v>
      </c>
      <c r="K118" s="75"/>
      <c r="L118" s="66"/>
      <c r="M118" s="66"/>
      <c r="N118" s="66"/>
      <c r="O118" s="66"/>
      <c r="P118" s="66"/>
      <c r="Q118" s="66"/>
      <c r="R118" s="66"/>
      <c r="S118" s="66"/>
      <c r="T118" s="66"/>
      <c r="U118" s="66"/>
      <c r="V118" s="66"/>
      <c r="W118" s="66"/>
      <c r="X118" s="66"/>
    </row>
    <row r="119">
      <c r="A119" s="72" t="s">
        <v>11556</v>
      </c>
      <c r="B119" s="484" t="s">
        <v>11557</v>
      </c>
      <c r="C119" s="72" t="s">
        <v>11558</v>
      </c>
      <c r="D119" s="484" t="s">
        <v>11559</v>
      </c>
      <c r="E119" s="75"/>
      <c r="F119" s="485"/>
      <c r="G119" s="72" t="s">
        <v>11560</v>
      </c>
      <c r="H119" s="485"/>
      <c r="I119" s="134" t="s">
        <v>11561</v>
      </c>
      <c r="J119" s="484" t="s">
        <v>11562</v>
      </c>
      <c r="K119" s="75"/>
      <c r="L119" s="66"/>
      <c r="M119" s="66"/>
      <c r="N119" s="66"/>
      <c r="O119" s="66"/>
      <c r="P119" s="66"/>
      <c r="Q119" s="66"/>
      <c r="R119" s="66"/>
      <c r="S119" s="66"/>
      <c r="T119" s="66"/>
      <c r="U119" s="66"/>
      <c r="V119" s="66"/>
      <c r="W119" s="66"/>
      <c r="X119" s="66"/>
    </row>
    <row r="120">
      <c r="A120" s="72" t="s">
        <v>11563</v>
      </c>
      <c r="B120" s="484" t="s">
        <v>11564</v>
      </c>
      <c r="C120" s="72" t="s">
        <v>11565</v>
      </c>
      <c r="D120" s="484" t="s">
        <v>11566</v>
      </c>
      <c r="E120" s="75"/>
      <c r="F120" s="485"/>
      <c r="G120" s="72" t="s">
        <v>11567</v>
      </c>
      <c r="H120" s="485"/>
      <c r="I120" s="134" t="s">
        <v>11568</v>
      </c>
      <c r="J120" s="484" t="s">
        <v>11569</v>
      </c>
      <c r="K120" s="75"/>
      <c r="L120" s="66"/>
      <c r="M120" s="66"/>
      <c r="N120" s="66"/>
      <c r="O120" s="66"/>
      <c r="P120" s="66"/>
      <c r="Q120" s="66"/>
      <c r="R120" s="66"/>
      <c r="S120" s="66"/>
      <c r="T120" s="66"/>
      <c r="U120" s="66"/>
      <c r="V120" s="66"/>
      <c r="W120" s="66"/>
      <c r="X120" s="66"/>
    </row>
    <row r="121">
      <c r="A121" s="72" t="s">
        <v>11570</v>
      </c>
      <c r="B121" s="485"/>
      <c r="C121" s="72" t="s">
        <v>11571</v>
      </c>
      <c r="D121" s="484" t="s">
        <v>11572</v>
      </c>
      <c r="E121" s="75"/>
      <c r="F121" s="485"/>
      <c r="G121" s="72" t="s">
        <v>11573</v>
      </c>
      <c r="H121" s="485"/>
      <c r="I121" s="134" t="s">
        <v>11574</v>
      </c>
      <c r="J121" s="484" t="s">
        <v>11575</v>
      </c>
      <c r="K121" s="75"/>
      <c r="L121" s="66"/>
      <c r="M121" s="66"/>
      <c r="N121" s="66"/>
      <c r="O121" s="66"/>
      <c r="P121" s="66"/>
      <c r="Q121" s="66"/>
      <c r="R121" s="66"/>
      <c r="S121" s="66"/>
      <c r="T121" s="66"/>
      <c r="U121" s="66"/>
      <c r="V121" s="66"/>
      <c r="W121" s="66"/>
      <c r="X121" s="66"/>
    </row>
    <row r="122">
      <c r="A122" s="72" t="s">
        <v>11576</v>
      </c>
      <c r="B122" s="485"/>
      <c r="C122" s="72" t="s">
        <v>11577</v>
      </c>
      <c r="D122" s="484" t="s">
        <v>11578</v>
      </c>
      <c r="E122" s="75"/>
      <c r="F122" s="485"/>
      <c r="G122" s="72" t="s">
        <v>11579</v>
      </c>
      <c r="H122" s="485"/>
      <c r="I122" s="188"/>
      <c r="J122" s="484" t="s">
        <v>11580</v>
      </c>
      <c r="K122" s="75"/>
      <c r="L122" s="66"/>
      <c r="M122" s="66"/>
      <c r="N122" s="66"/>
      <c r="O122" s="66"/>
      <c r="P122" s="66"/>
      <c r="Q122" s="66"/>
      <c r="R122" s="66"/>
      <c r="S122" s="66"/>
      <c r="T122" s="66"/>
      <c r="U122" s="66"/>
      <c r="V122" s="66"/>
      <c r="W122" s="66"/>
      <c r="X122" s="66"/>
    </row>
    <row r="123">
      <c r="A123" s="75"/>
      <c r="B123" s="485"/>
      <c r="C123" s="75"/>
      <c r="D123" s="485"/>
      <c r="E123" s="75"/>
      <c r="F123" s="485"/>
      <c r="G123" s="210"/>
      <c r="H123" s="485"/>
      <c r="I123" s="188"/>
      <c r="J123" s="485"/>
      <c r="K123" s="75"/>
      <c r="L123" s="66"/>
      <c r="M123" s="66"/>
      <c r="N123" s="66"/>
      <c r="O123" s="66"/>
      <c r="P123" s="66"/>
      <c r="Q123" s="66"/>
      <c r="R123" s="66"/>
      <c r="S123" s="66"/>
      <c r="T123" s="66"/>
      <c r="U123" s="66"/>
      <c r="V123" s="66"/>
      <c r="W123" s="66"/>
      <c r="X123" s="66"/>
    </row>
    <row r="124">
      <c r="A124" s="75"/>
      <c r="B124" s="485"/>
      <c r="C124" s="75"/>
      <c r="D124" s="485"/>
      <c r="E124" s="75"/>
      <c r="F124" s="485"/>
      <c r="G124" s="210"/>
      <c r="H124" s="485"/>
      <c r="I124" s="188"/>
      <c r="J124" s="485"/>
      <c r="K124" s="75"/>
      <c r="L124" s="66"/>
      <c r="M124" s="66"/>
      <c r="N124" s="66"/>
      <c r="O124" s="66"/>
      <c r="P124" s="66"/>
      <c r="Q124" s="66"/>
      <c r="R124" s="66"/>
      <c r="S124" s="66"/>
      <c r="T124" s="66"/>
      <c r="U124" s="66"/>
      <c r="V124" s="66"/>
      <c r="W124" s="66"/>
      <c r="X124" s="66"/>
    </row>
    <row r="125">
      <c r="A125" s="75"/>
      <c r="B125" s="485"/>
      <c r="C125" s="75"/>
      <c r="D125" s="485"/>
      <c r="E125" s="75"/>
      <c r="F125" s="485"/>
      <c r="G125" s="210"/>
      <c r="H125" s="485"/>
      <c r="I125" s="188"/>
      <c r="J125" s="485"/>
      <c r="K125" s="75"/>
      <c r="L125" s="66"/>
      <c r="M125" s="66"/>
      <c r="N125" s="66"/>
      <c r="O125" s="66"/>
      <c r="P125" s="66"/>
      <c r="Q125" s="66"/>
      <c r="R125" s="66"/>
      <c r="S125" s="66"/>
      <c r="T125" s="66"/>
      <c r="U125" s="66"/>
      <c r="V125" s="66"/>
      <c r="W125" s="66"/>
      <c r="X125" s="66"/>
    </row>
    <row r="126">
      <c r="A126" s="75"/>
      <c r="B126" s="485"/>
      <c r="C126" s="75"/>
      <c r="D126" s="485"/>
      <c r="E126" s="75"/>
      <c r="F126" s="485"/>
      <c r="G126" s="210"/>
      <c r="H126" s="485"/>
      <c r="I126" s="188"/>
      <c r="J126" s="485"/>
      <c r="K126" s="75"/>
      <c r="L126" s="66"/>
      <c r="M126" s="66"/>
      <c r="N126" s="66"/>
      <c r="O126" s="66"/>
      <c r="P126" s="66"/>
      <c r="Q126" s="66"/>
      <c r="R126" s="66"/>
      <c r="S126" s="66"/>
      <c r="T126" s="66"/>
      <c r="U126" s="66"/>
      <c r="V126" s="66"/>
      <c r="W126" s="66"/>
      <c r="X126" s="66"/>
    </row>
    <row r="127">
      <c r="A127" s="75"/>
      <c r="B127" s="485"/>
      <c r="C127" s="75"/>
      <c r="D127" s="485"/>
      <c r="E127" s="75"/>
      <c r="F127" s="485"/>
      <c r="G127" s="210"/>
      <c r="H127" s="485"/>
      <c r="I127" s="188"/>
      <c r="J127" s="485"/>
      <c r="K127" s="75"/>
      <c r="L127" s="66"/>
      <c r="M127" s="66"/>
      <c r="N127" s="66"/>
      <c r="O127" s="66"/>
      <c r="P127" s="66"/>
      <c r="Q127" s="66"/>
      <c r="R127" s="66"/>
      <c r="S127" s="66"/>
      <c r="T127" s="66"/>
      <c r="U127" s="66"/>
      <c r="V127" s="66"/>
      <c r="W127" s="66"/>
      <c r="X127" s="66"/>
    </row>
    <row r="128">
      <c r="A128" s="75"/>
      <c r="B128" s="485"/>
      <c r="C128" s="75"/>
      <c r="D128" s="485"/>
      <c r="E128" s="75"/>
      <c r="F128" s="485"/>
      <c r="G128" s="210"/>
      <c r="H128" s="485"/>
      <c r="I128" s="188"/>
      <c r="J128" s="485"/>
      <c r="K128" s="75"/>
      <c r="L128" s="66"/>
      <c r="M128" s="66"/>
      <c r="N128" s="66"/>
      <c r="O128" s="66"/>
      <c r="P128" s="66"/>
      <c r="Q128" s="66"/>
      <c r="R128" s="66"/>
      <c r="S128" s="66"/>
      <c r="T128" s="66"/>
      <c r="U128" s="66"/>
      <c r="V128" s="66"/>
      <c r="W128" s="66"/>
      <c r="X128" s="66"/>
    </row>
    <row r="129">
      <c r="A129" s="75"/>
      <c r="B129" s="485"/>
      <c r="C129" s="75"/>
      <c r="D129" s="485"/>
      <c r="E129" s="75"/>
      <c r="F129" s="485"/>
      <c r="G129" s="210"/>
      <c r="H129" s="485"/>
      <c r="I129" s="188"/>
      <c r="J129" s="485"/>
      <c r="K129" s="75"/>
      <c r="L129" s="66"/>
      <c r="M129" s="66"/>
      <c r="N129" s="66"/>
      <c r="O129" s="66"/>
      <c r="P129" s="66"/>
      <c r="Q129" s="66"/>
      <c r="R129" s="66"/>
      <c r="S129" s="66"/>
      <c r="T129" s="66"/>
      <c r="U129" s="66"/>
      <c r="V129" s="66"/>
      <c r="W129" s="66"/>
      <c r="X129" s="66"/>
    </row>
    <row r="130">
      <c r="A130" s="75"/>
      <c r="B130" s="485"/>
      <c r="C130" s="75"/>
      <c r="D130" s="485"/>
      <c r="E130" s="75"/>
      <c r="F130" s="485"/>
      <c r="G130" s="210"/>
      <c r="H130" s="485"/>
      <c r="I130" s="188"/>
      <c r="J130" s="485"/>
      <c r="K130" s="75"/>
      <c r="L130" s="66"/>
      <c r="M130" s="66"/>
      <c r="N130" s="66"/>
      <c r="O130" s="66"/>
      <c r="P130" s="66"/>
      <c r="Q130" s="66"/>
      <c r="R130" s="66"/>
      <c r="S130" s="66"/>
      <c r="T130" s="66"/>
      <c r="U130" s="66"/>
      <c r="V130" s="66"/>
      <c r="W130" s="66"/>
      <c r="X130" s="66"/>
    </row>
    <row r="131">
      <c r="A131" s="75"/>
      <c r="B131" s="485"/>
      <c r="C131" s="75"/>
      <c r="D131" s="485"/>
      <c r="E131" s="75"/>
      <c r="F131" s="485"/>
      <c r="G131" s="210"/>
      <c r="H131" s="485"/>
      <c r="I131" s="188"/>
      <c r="J131" s="485"/>
      <c r="K131" s="75"/>
      <c r="L131" s="66"/>
      <c r="M131" s="66"/>
      <c r="N131" s="66"/>
      <c r="O131" s="66"/>
      <c r="P131" s="66"/>
      <c r="Q131" s="66"/>
      <c r="R131" s="66"/>
      <c r="S131" s="66"/>
      <c r="T131" s="66"/>
      <c r="U131" s="66"/>
      <c r="V131" s="66"/>
      <c r="W131" s="66"/>
      <c r="X131" s="66"/>
    </row>
    <row r="132">
      <c r="A132" s="75"/>
      <c r="B132" s="485"/>
      <c r="C132" s="75"/>
      <c r="D132" s="485"/>
      <c r="E132" s="75"/>
      <c r="F132" s="485"/>
      <c r="G132" s="210"/>
      <c r="H132" s="485"/>
      <c r="I132" s="188"/>
      <c r="J132" s="485"/>
      <c r="K132" s="75"/>
      <c r="L132" s="66"/>
      <c r="M132" s="66"/>
      <c r="N132" s="66"/>
      <c r="O132" s="66"/>
      <c r="P132" s="66"/>
      <c r="Q132" s="66"/>
      <c r="R132" s="66"/>
      <c r="S132" s="66"/>
      <c r="T132" s="66"/>
      <c r="U132" s="66"/>
      <c r="V132" s="66"/>
      <c r="W132" s="66"/>
      <c r="X132" s="66"/>
    </row>
    <row r="133">
      <c r="A133" s="75"/>
      <c r="B133" s="485"/>
      <c r="C133" s="75"/>
      <c r="D133" s="485"/>
      <c r="E133" s="75"/>
      <c r="F133" s="485"/>
      <c r="G133" s="210"/>
      <c r="H133" s="485"/>
      <c r="I133" s="188"/>
      <c r="J133" s="485"/>
      <c r="K133" s="75"/>
      <c r="L133" s="66"/>
      <c r="M133" s="66"/>
      <c r="N133" s="66"/>
      <c r="O133" s="66"/>
      <c r="P133" s="66"/>
      <c r="Q133" s="66"/>
      <c r="R133" s="66"/>
      <c r="S133" s="66"/>
      <c r="T133" s="66"/>
      <c r="U133" s="66"/>
      <c r="V133" s="66"/>
      <c r="W133" s="66"/>
      <c r="X133" s="66"/>
    </row>
    <row r="134">
      <c r="A134" s="75"/>
      <c r="B134" s="485"/>
      <c r="C134" s="75"/>
      <c r="D134" s="485"/>
      <c r="E134" s="75"/>
      <c r="F134" s="485"/>
      <c r="G134" s="210"/>
      <c r="H134" s="485"/>
      <c r="I134" s="188"/>
      <c r="J134" s="485"/>
      <c r="K134" s="75"/>
      <c r="L134" s="66"/>
      <c r="M134" s="66"/>
      <c r="N134" s="66"/>
      <c r="O134" s="66"/>
      <c r="P134" s="66"/>
      <c r="Q134" s="66"/>
      <c r="R134" s="66"/>
      <c r="S134" s="66"/>
      <c r="T134" s="66"/>
      <c r="U134" s="66"/>
      <c r="V134" s="66"/>
      <c r="W134" s="66"/>
      <c r="X134" s="66"/>
    </row>
    <row r="135">
      <c r="A135" s="75"/>
      <c r="B135" s="485"/>
      <c r="C135" s="75"/>
      <c r="D135" s="485"/>
      <c r="E135" s="75"/>
      <c r="F135" s="485"/>
      <c r="G135" s="210"/>
      <c r="H135" s="485"/>
      <c r="I135" s="188"/>
      <c r="J135" s="485"/>
      <c r="K135" s="75"/>
      <c r="L135" s="66"/>
      <c r="M135" s="66"/>
      <c r="N135" s="66"/>
      <c r="O135" s="66"/>
      <c r="P135" s="66"/>
      <c r="Q135" s="66"/>
      <c r="R135" s="66"/>
      <c r="S135" s="66"/>
      <c r="T135" s="66"/>
      <c r="U135" s="66"/>
      <c r="V135" s="66"/>
      <c r="W135" s="66"/>
      <c r="X135" s="66"/>
    </row>
    <row r="136">
      <c r="A136" s="75"/>
      <c r="B136" s="485"/>
      <c r="C136" s="75"/>
      <c r="D136" s="485"/>
      <c r="E136" s="75"/>
      <c r="F136" s="485"/>
      <c r="G136" s="210"/>
      <c r="H136" s="485"/>
      <c r="I136" s="188"/>
      <c r="J136" s="485"/>
      <c r="K136" s="75"/>
      <c r="L136" s="66"/>
      <c r="M136" s="66"/>
      <c r="N136" s="66"/>
      <c r="O136" s="66"/>
      <c r="P136" s="66"/>
      <c r="Q136" s="66"/>
      <c r="R136" s="66"/>
      <c r="S136" s="66"/>
      <c r="T136" s="66"/>
      <c r="U136" s="66"/>
      <c r="V136" s="66"/>
      <c r="W136" s="66"/>
      <c r="X136" s="66"/>
    </row>
    <row r="137">
      <c r="A137" s="75"/>
      <c r="B137" s="485"/>
      <c r="C137" s="75"/>
      <c r="D137" s="485"/>
      <c r="E137" s="75"/>
      <c r="F137" s="485"/>
      <c r="G137" s="210"/>
      <c r="H137" s="485"/>
      <c r="I137" s="188"/>
      <c r="J137" s="485"/>
      <c r="K137" s="75"/>
      <c r="L137" s="66"/>
      <c r="M137" s="66"/>
      <c r="N137" s="66"/>
      <c r="O137" s="66"/>
      <c r="P137" s="66"/>
      <c r="Q137" s="66"/>
      <c r="R137" s="66"/>
      <c r="S137" s="66"/>
      <c r="T137" s="66"/>
      <c r="U137" s="66"/>
      <c r="V137" s="66"/>
      <c r="W137" s="66"/>
      <c r="X137" s="66"/>
    </row>
    <row r="138">
      <c r="A138" s="75"/>
      <c r="B138" s="485"/>
      <c r="C138" s="75"/>
      <c r="D138" s="485"/>
      <c r="E138" s="75"/>
      <c r="F138" s="485"/>
      <c r="G138" s="210"/>
      <c r="H138" s="485"/>
      <c r="I138" s="188"/>
      <c r="J138" s="485"/>
      <c r="K138" s="75"/>
      <c r="L138" s="66"/>
      <c r="M138" s="66"/>
      <c r="N138" s="66"/>
      <c r="O138" s="66"/>
      <c r="P138" s="66"/>
      <c r="Q138" s="66"/>
      <c r="R138" s="66"/>
      <c r="S138" s="66"/>
      <c r="T138" s="66"/>
      <c r="U138" s="66"/>
      <c r="V138" s="66"/>
      <c r="W138" s="66"/>
      <c r="X138" s="66"/>
    </row>
    <row r="139">
      <c r="A139" s="75"/>
      <c r="B139" s="485"/>
      <c r="C139" s="75"/>
      <c r="D139" s="485"/>
      <c r="E139" s="75"/>
      <c r="F139" s="485"/>
      <c r="G139" s="210"/>
      <c r="H139" s="485"/>
      <c r="I139" s="188"/>
      <c r="J139" s="485"/>
      <c r="K139" s="75"/>
      <c r="L139" s="66"/>
      <c r="M139" s="66"/>
      <c r="N139" s="66"/>
      <c r="O139" s="66"/>
      <c r="P139" s="66"/>
      <c r="Q139" s="66"/>
      <c r="R139" s="66"/>
      <c r="S139" s="66"/>
      <c r="T139" s="66"/>
      <c r="U139" s="66"/>
      <c r="V139" s="66"/>
      <c r="W139" s="66"/>
      <c r="X139" s="66"/>
    </row>
    <row r="140">
      <c r="A140" s="75"/>
      <c r="B140" s="485"/>
      <c r="C140" s="75"/>
      <c r="D140" s="485"/>
      <c r="E140" s="75"/>
      <c r="F140" s="485"/>
      <c r="G140" s="210"/>
      <c r="H140" s="485"/>
      <c r="I140" s="188"/>
      <c r="J140" s="485"/>
      <c r="K140" s="75"/>
      <c r="L140" s="66"/>
      <c r="M140" s="66"/>
      <c r="N140" s="66"/>
      <c r="O140" s="66"/>
      <c r="P140" s="66"/>
      <c r="Q140" s="66"/>
      <c r="R140" s="66"/>
      <c r="S140" s="66"/>
      <c r="T140" s="66"/>
      <c r="U140" s="66"/>
      <c r="V140" s="66"/>
      <c r="W140" s="66"/>
      <c r="X140" s="66"/>
    </row>
    <row r="141">
      <c r="A141" s="75"/>
      <c r="B141" s="485"/>
      <c r="C141" s="75"/>
      <c r="D141" s="485"/>
      <c r="E141" s="75"/>
      <c r="F141" s="485"/>
      <c r="G141" s="210"/>
      <c r="H141" s="485"/>
      <c r="I141" s="188"/>
      <c r="J141" s="485"/>
      <c r="K141" s="75"/>
      <c r="L141" s="66"/>
      <c r="M141" s="66"/>
      <c r="N141" s="66"/>
      <c r="O141" s="66"/>
      <c r="P141" s="66"/>
      <c r="Q141" s="66"/>
      <c r="R141" s="66"/>
      <c r="S141" s="66"/>
      <c r="T141" s="66"/>
      <c r="U141" s="66"/>
      <c r="V141" s="66"/>
      <c r="W141" s="66"/>
      <c r="X141" s="66"/>
    </row>
    <row r="142">
      <c r="A142" s="75"/>
      <c r="B142" s="485"/>
      <c r="C142" s="75"/>
      <c r="D142" s="485"/>
      <c r="E142" s="75"/>
      <c r="F142" s="485"/>
      <c r="G142" s="210"/>
      <c r="H142" s="485"/>
      <c r="I142" s="188"/>
      <c r="J142" s="485"/>
      <c r="K142" s="75"/>
      <c r="L142" s="66"/>
      <c r="M142" s="66"/>
      <c r="N142" s="66"/>
      <c r="O142" s="66"/>
      <c r="P142" s="66"/>
      <c r="Q142" s="66"/>
      <c r="R142" s="66"/>
      <c r="S142" s="66"/>
      <c r="T142" s="66"/>
      <c r="U142" s="66"/>
      <c r="V142" s="66"/>
      <c r="W142" s="66"/>
      <c r="X142" s="66"/>
    </row>
    <row r="143">
      <c r="A143" s="75"/>
      <c r="B143" s="485"/>
      <c r="C143" s="75"/>
      <c r="D143" s="485"/>
      <c r="E143" s="75"/>
      <c r="F143" s="485"/>
      <c r="G143" s="210"/>
      <c r="H143" s="485"/>
      <c r="I143" s="188"/>
      <c r="J143" s="485"/>
      <c r="K143" s="75"/>
      <c r="L143" s="66"/>
      <c r="M143" s="66"/>
      <c r="N143" s="66"/>
      <c r="O143" s="66"/>
      <c r="P143" s="66"/>
      <c r="Q143" s="66"/>
      <c r="R143" s="66"/>
      <c r="S143" s="66"/>
      <c r="T143" s="66"/>
      <c r="U143" s="66"/>
      <c r="V143" s="66"/>
      <c r="W143" s="66"/>
      <c r="X143" s="66"/>
    </row>
    <row r="144">
      <c r="A144" s="75"/>
      <c r="B144" s="485"/>
      <c r="C144" s="75"/>
      <c r="D144" s="485"/>
      <c r="E144" s="75"/>
      <c r="F144" s="485"/>
      <c r="G144" s="210"/>
      <c r="H144" s="485"/>
      <c r="I144" s="188"/>
      <c r="J144" s="485"/>
      <c r="K144" s="75"/>
      <c r="L144" s="66"/>
      <c r="M144" s="66"/>
      <c r="N144" s="66"/>
      <c r="O144" s="66"/>
      <c r="P144" s="66"/>
      <c r="Q144" s="66"/>
      <c r="R144" s="66"/>
      <c r="S144" s="66"/>
      <c r="T144" s="66"/>
      <c r="U144" s="66"/>
      <c r="V144" s="66"/>
      <c r="W144" s="66"/>
      <c r="X144" s="66"/>
    </row>
    <row r="145">
      <c r="A145" s="75"/>
      <c r="B145" s="485"/>
      <c r="C145" s="75"/>
      <c r="D145" s="485"/>
      <c r="E145" s="75"/>
      <c r="F145" s="485"/>
      <c r="G145" s="210"/>
      <c r="H145" s="485"/>
      <c r="I145" s="188"/>
      <c r="J145" s="485"/>
      <c r="K145" s="75"/>
      <c r="L145" s="66"/>
      <c r="M145" s="66"/>
      <c r="N145" s="66"/>
      <c r="O145" s="66"/>
      <c r="P145" s="66"/>
      <c r="Q145" s="66"/>
      <c r="R145" s="66"/>
      <c r="S145" s="66"/>
      <c r="T145" s="66"/>
      <c r="U145" s="66"/>
      <c r="V145" s="66"/>
      <c r="W145" s="66"/>
      <c r="X145" s="66"/>
    </row>
    <row r="146">
      <c r="A146" s="75"/>
      <c r="B146" s="485"/>
      <c r="C146" s="75"/>
      <c r="D146" s="485"/>
      <c r="E146" s="75"/>
      <c r="F146" s="485"/>
      <c r="G146" s="210"/>
      <c r="H146" s="485"/>
      <c r="I146" s="188"/>
      <c r="J146" s="485"/>
      <c r="K146" s="75"/>
      <c r="L146" s="66"/>
      <c r="M146" s="66"/>
      <c r="N146" s="66"/>
      <c r="O146" s="66"/>
      <c r="P146" s="66"/>
      <c r="Q146" s="66"/>
      <c r="R146" s="66"/>
      <c r="S146" s="66"/>
      <c r="T146" s="66"/>
      <c r="U146" s="66"/>
      <c r="V146" s="66"/>
      <c r="W146" s="66"/>
      <c r="X146" s="66"/>
    </row>
    <row r="147">
      <c r="A147" s="75"/>
      <c r="B147" s="485"/>
      <c r="C147" s="75"/>
      <c r="D147" s="485"/>
      <c r="E147" s="75"/>
      <c r="F147" s="485"/>
      <c r="G147" s="210"/>
      <c r="H147" s="485"/>
      <c r="I147" s="188"/>
      <c r="J147" s="485"/>
      <c r="K147" s="75"/>
      <c r="L147" s="66"/>
      <c r="M147" s="66"/>
      <c r="N147" s="66"/>
      <c r="O147" s="66"/>
      <c r="P147" s="66"/>
      <c r="Q147" s="66"/>
      <c r="R147" s="66"/>
      <c r="S147" s="66"/>
      <c r="T147" s="66"/>
      <c r="U147" s="66"/>
      <c r="V147" s="66"/>
      <c r="W147" s="66"/>
      <c r="X147" s="66"/>
    </row>
    <row r="148">
      <c r="A148" s="75"/>
      <c r="B148" s="485"/>
      <c r="C148" s="75"/>
      <c r="D148" s="485"/>
      <c r="E148" s="75"/>
      <c r="F148" s="485"/>
      <c r="G148" s="210"/>
      <c r="H148" s="485"/>
      <c r="I148" s="188"/>
      <c r="J148" s="485"/>
      <c r="K148" s="75"/>
      <c r="L148" s="66"/>
      <c r="M148" s="66"/>
      <c r="N148" s="66"/>
      <c r="O148" s="66"/>
      <c r="P148" s="66"/>
      <c r="Q148" s="66"/>
      <c r="R148" s="66"/>
      <c r="S148" s="66"/>
      <c r="T148" s="66"/>
      <c r="U148" s="66"/>
      <c r="V148" s="66"/>
      <c r="W148" s="66"/>
      <c r="X148" s="66"/>
    </row>
    <row r="149">
      <c r="A149" s="75"/>
      <c r="B149" s="485"/>
      <c r="C149" s="75"/>
      <c r="D149" s="485"/>
      <c r="E149" s="75"/>
      <c r="F149" s="485"/>
      <c r="G149" s="210"/>
      <c r="H149" s="485"/>
      <c r="I149" s="188"/>
      <c r="J149" s="485"/>
      <c r="K149" s="75"/>
      <c r="L149" s="66"/>
      <c r="M149" s="66"/>
      <c r="N149" s="66"/>
      <c r="O149" s="66"/>
      <c r="P149" s="66"/>
      <c r="Q149" s="66"/>
      <c r="R149" s="66"/>
      <c r="S149" s="66"/>
      <c r="T149" s="66"/>
      <c r="U149" s="66"/>
      <c r="V149" s="66"/>
      <c r="W149" s="66"/>
      <c r="X149" s="66"/>
    </row>
    <row r="150">
      <c r="A150" s="75"/>
      <c r="B150" s="485"/>
      <c r="C150" s="75"/>
      <c r="D150" s="485"/>
      <c r="E150" s="75"/>
      <c r="F150" s="485"/>
      <c r="G150" s="210"/>
      <c r="H150" s="485"/>
      <c r="I150" s="188"/>
      <c r="J150" s="485"/>
      <c r="K150" s="75"/>
      <c r="L150" s="66"/>
      <c r="M150" s="66"/>
      <c r="N150" s="66"/>
      <c r="O150" s="66"/>
      <c r="P150" s="66"/>
      <c r="Q150" s="66"/>
      <c r="R150" s="66"/>
      <c r="S150" s="66"/>
      <c r="T150" s="66"/>
      <c r="U150" s="66"/>
      <c r="V150" s="66"/>
      <c r="W150" s="66"/>
      <c r="X150" s="66"/>
    </row>
    <row r="151">
      <c r="A151" s="75"/>
      <c r="B151" s="485"/>
      <c r="C151" s="75"/>
      <c r="D151" s="485"/>
      <c r="E151" s="75"/>
      <c r="F151" s="485"/>
      <c r="G151" s="210"/>
      <c r="H151" s="485"/>
      <c r="I151" s="188"/>
      <c r="J151" s="485"/>
      <c r="K151" s="75"/>
      <c r="L151" s="66"/>
      <c r="M151" s="66"/>
      <c r="N151" s="66"/>
      <c r="O151" s="66"/>
      <c r="P151" s="66"/>
      <c r="Q151" s="66"/>
      <c r="R151" s="66"/>
      <c r="S151" s="66"/>
      <c r="T151" s="66"/>
      <c r="U151" s="66"/>
      <c r="V151" s="66"/>
      <c r="W151" s="66"/>
      <c r="X151" s="66"/>
    </row>
    <row r="152">
      <c r="A152" s="75"/>
      <c r="B152" s="485"/>
      <c r="C152" s="75"/>
      <c r="D152" s="485"/>
      <c r="E152" s="75"/>
      <c r="F152" s="485"/>
      <c r="G152" s="210"/>
      <c r="H152" s="485"/>
      <c r="I152" s="188"/>
      <c r="J152" s="485"/>
      <c r="K152" s="75"/>
      <c r="L152" s="66"/>
      <c r="M152" s="66"/>
      <c r="N152" s="66"/>
      <c r="O152" s="66"/>
      <c r="P152" s="66"/>
      <c r="Q152" s="66"/>
      <c r="R152" s="66"/>
      <c r="S152" s="66"/>
      <c r="T152" s="66"/>
      <c r="U152" s="66"/>
      <c r="V152" s="66"/>
      <c r="W152" s="66"/>
      <c r="X152" s="66"/>
    </row>
    <row r="153">
      <c r="A153" s="75"/>
      <c r="B153" s="485"/>
      <c r="C153" s="75"/>
      <c r="D153" s="485"/>
      <c r="E153" s="75"/>
      <c r="F153" s="485"/>
      <c r="G153" s="210"/>
      <c r="H153" s="485"/>
      <c r="I153" s="188"/>
      <c r="J153" s="485"/>
      <c r="K153" s="75"/>
      <c r="L153" s="66"/>
      <c r="M153" s="66"/>
      <c r="N153" s="66"/>
      <c r="O153" s="66"/>
      <c r="P153" s="66"/>
      <c r="Q153" s="66"/>
      <c r="R153" s="66"/>
      <c r="S153" s="66"/>
      <c r="T153" s="66"/>
      <c r="U153" s="66"/>
      <c r="V153" s="66"/>
      <c r="W153" s="66"/>
      <c r="X153" s="66"/>
    </row>
    <row r="154">
      <c r="A154" s="75"/>
      <c r="B154" s="485"/>
      <c r="C154" s="75"/>
      <c r="D154" s="485"/>
      <c r="E154" s="75"/>
      <c r="F154" s="485"/>
      <c r="G154" s="210"/>
      <c r="H154" s="485"/>
      <c r="I154" s="188"/>
      <c r="J154" s="485"/>
      <c r="K154" s="75"/>
      <c r="L154" s="66"/>
      <c r="M154" s="66"/>
      <c r="N154" s="66"/>
      <c r="O154" s="66"/>
      <c r="P154" s="66"/>
      <c r="Q154" s="66"/>
      <c r="R154" s="66"/>
      <c r="S154" s="66"/>
      <c r="T154" s="66"/>
      <c r="U154" s="66"/>
      <c r="V154" s="66"/>
      <c r="W154" s="66"/>
      <c r="X154" s="66"/>
    </row>
    <row r="155">
      <c r="A155" s="75"/>
      <c r="B155" s="485"/>
      <c r="C155" s="75"/>
      <c r="D155" s="485"/>
      <c r="E155" s="75"/>
      <c r="F155" s="485"/>
      <c r="G155" s="210"/>
      <c r="H155" s="485"/>
      <c r="I155" s="188"/>
      <c r="J155" s="485"/>
      <c r="K155" s="75"/>
      <c r="L155" s="66"/>
      <c r="M155" s="66"/>
      <c r="N155" s="66"/>
      <c r="O155" s="66"/>
      <c r="P155" s="66"/>
      <c r="Q155" s="66"/>
      <c r="R155" s="66"/>
      <c r="S155" s="66"/>
      <c r="T155" s="66"/>
      <c r="U155" s="66"/>
      <c r="V155" s="66"/>
      <c r="W155" s="66"/>
      <c r="X155" s="66"/>
    </row>
    <row r="156">
      <c r="A156" s="75"/>
      <c r="B156" s="485"/>
      <c r="C156" s="75"/>
      <c r="D156" s="485"/>
      <c r="E156" s="75"/>
      <c r="F156" s="485"/>
      <c r="G156" s="210"/>
      <c r="H156" s="485"/>
      <c r="I156" s="188"/>
      <c r="J156" s="485"/>
      <c r="K156" s="75"/>
      <c r="L156" s="66"/>
      <c r="M156" s="66"/>
      <c r="N156" s="66"/>
      <c r="O156" s="66"/>
      <c r="P156" s="66"/>
      <c r="Q156" s="66"/>
      <c r="R156" s="66"/>
      <c r="S156" s="66"/>
      <c r="T156" s="66"/>
      <c r="U156" s="66"/>
      <c r="V156" s="66"/>
      <c r="W156" s="66"/>
      <c r="X156" s="66"/>
    </row>
    <row r="157">
      <c r="A157" s="75"/>
      <c r="B157" s="485"/>
      <c r="C157" s="75"/>
      <c r="D157" s="485"/>
      <c r="E157" s="75"/>
      <c r="F157" s="485"/>
      <c r="G157" s="210"/>
      <c r="H157" s="485"/>
      <c r="I157" s="188"/>
      <c r="J157" s="485"/>
      <c r="K157" s="75"/>
      <c r="L157" s="66"/>
      <c r="M157" s="66"/>
      <c r="N157" s="66"/>
      <c r="O157" s="66"/>
      <c r="P157" s="66"/>
      <c r="Q157" s="66"/>
      <c r="R157" s="66"/>
      <c r="S157" s="66"/>
      <c r="T157" s="66"/>
      <c r="U157" s="66"/>
      <c r="V157" s="66"/>
      <c r="W157" s="66"/>
      <c r="X157" s="66"/>
    </row>
    <row r="158">
      <c r="A158" s="75"/>
      <c r="B158" s="485"/>
      <c r="C158" s="75"/>
      <c r="D158" s="485"/>
      <c r="E158" s="75"/>
      <c r="F158" s="485"/>
      <c r="G158" s="210"/>
      <c r="H158" s="485"/>
      <c r="I158" s="188"/>
      <c r="J158" s="485"/>
      <c r="K158" s="75"/>
      <c r="L158" s="66"/>
      <c r="M158" s="66"/>
      <c r="N158" s="66"/>
      <c r="O158" s="66"/>
      <c r="P158" s="66"/>
      <c r="Q158" s="66"/>
      <c r="R158" s="66"/>
      <c r="S158" s="66"/>
      <c r="T158" s="66"/>
      <c r="U158" s="66"/>
      <c r="V158" s="66"/>
      <c r="W158" s="66"/>
      <c r="X158" s="66"/>
    </row>
    <row r="159">
      <c r="A159" s="75"/>
      <c r="B159" s="485"/>
      <c r="C159" s="75"/>
      <c r="D159" s="485"/>
      <c r="E159" s="75"/>
      <c r="F159" s="485"/>
      <c r="G159" s="210"/>
      <c r="H159" s="485"/>
      <c r="I159" s="188"/>
      <c r="J159" s="485"/>
      <c r="K159" s="75"/>
      <c r="L159" s="66"/>
      <c r="M159" s="66"/>
      <c r="N159" s="66"/>
      <c r="O159" s="66"/>
      <c r="P159" s="66"/>
      <c r="Q159" s="66"/>
      <c r="R159" s="66"/>
      <c r="S159" s="66"/>
      <c r="T159" s="66"/>
      <c r="U159" s="66"/>
      <c r="V159" s="66"/>
      <c r="W159" s="66"/>
      <c r="X159" s="66"/>
    </row>
    <row r="160">
      <c r="A160" s="75"/>
      <c r="B160" s="485"/>
      <c r="C160" s="75"/>
      <c r="D160" s="485"/>
      <c r="E160" s="75"/>
      <c r="F160" s="485"/>
      <c r="G160" s="210"/>
      <c r="H160" s="485"/>
      <c r="I160" s="188"/>
      <c r="J160" s="485"/>
      <c r="K160" s="75"/>
      <c r="L160" s="66"/>
      <c r="M160" s="66"/>
      <c r="N160" s="66"/>
      <c r="O160" s="66"/>
      <c r="P160" s="66"/>
      <c r="Q160" s="66"/>
      <c r="R160" s="66"/>
      <c r="S160" s="66"/>
      <c r="T160" s="66"/>
      <c r="U160" s="66"/>
      <c r="V160" s="66"/>
      <c r="W160" s="66"/>
      <c r="X160" s="66"/>
    </row>
    <row r="161">
      <c r="A161" s="75"/>
      <c r="B161" s="485"/>
      <c r="C161" s="75"/>
      <c r="D161" s="485"/>
      <c r="E161" s="75"/>
      <c r="F161" s="485"/>
      <c r="G161" s="210"/>
      <c r="H161" s="485"/>
      <c r="I161" s="188"/>
      <c r="J161" s="485"/>
      <c r="K161" s="75"/>
      <c r="L161" s="66"/>
      <c r="M161" s="66"/>
      <c r="N161" s="66"/>
      <c r="O161" s="66"/>
      <c r="P161" s="66"/>
      <c r="Q161" s="66"/>
      <c r="R161" s="66"/>
      <c r="S161" s="66"/>
      <c r="T161" s="66"/>
      <c r="U161" s="66"/>
      <c r="V161" s="66"/>
      <c r="W161" s="66"/>
      <c r="X161" s="66"/>
    </row>
    <row r="162">
      <c r="A162" s="75"/>
      <c r="B162" s="485"/>
      <c r="C162" s="75"/>
      <c r="D162" s="485"/>
      <c r="E162" s="75"/>
      <c r="F162" s="485"/>
      <c r="G162" s="210"/>
      <c r="H162" s="485"/>
      <c r="I162" s="188"/>
      <c r="J162" s="485"/>
      <c r="K162" s="75"/>
      <c r="L162" s="66"/>
      <c r="M162" s="66"/>
      <c r="N162" s="66"/>
      <c r="O162" s="66"/>
      <c r="P162" s="66"/>
      <c r="Q162" s="66"/>
      <c r="R162" s="66"/>
      <c r="S162" s="66"/>
      <c r="T162" s="66"/>
      <c r="U162" s="66"/>
      <c r="V162" s="66"/>
      <c r="W162" s="66"/>
      <c r="X162" s="66"/>
    </row>
    <row r="163">
      <c r="A163" s="75"/>
      <c r="B163" s="485"/>
      <c r="C163" s="75"/>
      <c r="D163" s="485"/>
      <c r="E163" s="75"/>
      <c r="F163" s="485"/>
      <c r="G163" s="210"/>
      <c r="H163" s="485"/>
      <c r="I163" s="188"/>
      <c r="J163" s="485"/>
      <c r="K163" s="75"/>
      <c r="L163" s="66"/>
      <c r="M163" s="66"/>
      <c r="N163" s="66"/>
      <c r="O163" s="66"/>
      <c r="P163" s="66"/>
      <c r="Q163" s="66"/>
      <c r="R163" s="66"/>
      <c r="S163" s="66"/>
      <c r="T163" s="66"/>
      <c r="U163" s="66"/>
      <c r="V163" s="66"/>
      <c r="W163" s="66"/>
      <c r="X163" s="66"/>
    </row>
    <row r="164">
      <c r="A164" s="75"/>
      <c r="B164" s="485"/>
      <c r="C164" s="75"/>
      <c r="D164" s="485"/>
      <c r="E164" s="75"/>
      <c r="F164" s="485"/>
      <c r="G164" s="210"/>
      <c r="H164" s="485"/>
      <c r="I164" s="188"/>
      <c r="J164" s="485"/>
      <c r="K164" s="75"/>
      <c r="L164" s="66"/>
      <c r="M164" s="66"/>
      <c r="N164" s="66"/>
      <c r="O164" s="66"/>
      <c r="P164" s="66"/>
      <c r="Q164" s="66"/>
      <c r="R164" s="66"/>
      <c r="S164" s="66"/>
      <c r="T164" s="66"/>
      <c r="U164" s="66"/>
      <c r="V164" s="66"/>
      <c r="W164" s="66"/>
      <c r="X164" s="66"/>
    </row>
    <row r="165">
      <c r="A165" s="75"/>
      <c r="B165" s="485"/>
      <c r="C165" s="75"/>
      <c r="D165" s="485"/>
      <c r="E165" s="75"/>
      <c r="F165" s="485"/>
      <c r="G165" s="210"/>
      <c r="H165" s="485"/>
      <c r="I165" s="188"/>
      <c r="J165" s="485"/>
      <c r="K165" s="75"/>
      <c r="L165" s="66"/>
      <c r="M165" s="66"/>
      <c r="N165" s="66"/>
      <c r="O165" s="66"/>
      <c r="P165" s="66"/>
      <c r="Q165" s="66"/>
      <c r="R165" s="66"/>
      <c r="S165" s="66"/>
      <c r="T165" s="66"/>
      <c r="U165" s="66"/>
      <c r="V165" s="66"/>
      <c r="W165" s="66"/>
      <c r="X165" s="66"/>
    </row>
    <row r="166">
      <c r="A166" s="75"/>
      <c r="B166" s="485"/>
      <c r="C166" s="75"/>
      <c r="D166" s="485"/>
      <c r="E166" s="75"/>
      <c r="F166" s="485"/>
      <c r="G166" s="210"/>
      <c r="H166" s="485"/>
      <c r="I166" s="188"/>
      <c r="J166" s="485"/>
      <c r="K166" s="75"/>
      <c r="L166" s="66"/>
      <c r="M166" s="66"/>
      <c r="N166" s="66"/>
      <c r="O166" s="66"/>
      <c r="P166" s="66"/>
      <c r="Q166" s="66"/>
      <c r="R166" s="66"/>
      <c r="S166" s="66"/>
      <c r="T166" s="66"/>
      <c r="U166" s="66"/>
      <c r="V166" s="66"/>
      <c r="W166" s="66"/>
      <c r="X166" s="66"/>
    </row>
    <row r="167">
      <c r="A167" s="75"/>
      <c r="B167" s="485"/>
      <c r="C167" s="75"/>
      <c r="D167" s="485"/>
      <c r="E167" s="75"/>
      <c r="F167" s="485"/>
      <c r="G167" s="210"/>
      <c r="H167" s="485"/>
      <c r="I167" s="188"/>
      <c r="J167" s="485"/>
      <c r="K167" s="75"/>
      <c r="L167" s="66"/>
      <c r="M167" s="66"/>
      <c r="N167" s="66"/>
      <c r="O167" s="66"/>
      <c r="P167" s="66"/>
      <c r="Q167" s="66"/>
      <c r="R167" s="66"/>
      <c r="S167" s="66"/>
      <c r="T167" s="66"/>
      <c r="U167" s="66"/>
      <c r="V167" s="66"/>
      <c r="W167" s="66"/>
      <c r="X167" s="66"/>
    </row>
    <row r="168">
      <c r="A168" s="75"/>
      <c r="B168" s="485"/>
      <c r="C168" s="75"/>
      <c r="D168" s="485"/>
      <c r="E168" s="75"/>
      <c r="F168" s="485"/>
      <c r="G168" s="210"/>
      <c r="H168" s="485"/>
      <c r="I168" s="188"/>
      <c r="J168" s="485"/>
      <c r="K168" s="75"/>
      <c r="L168" s="66"/>
      <c r="M168" s="66"/>
      <c r="N168" s="66"/>
      <c r="O168" s="66"/>
      <c r="P168" s="66"/>
      <c r="Q168" s="66"/>
      <c r="R168" s="66"/>
      <c r="S168" s="66"/>
      <c r="T168" s="66"/>
      <c r="U168" s="66"/>
      <c r="V168" s="66"/>
      <c r="W168" s="66"/>
      <c r="X168" s="66"/>
    </row>
    <row r="169">
      <c r="A169" s="75"/>
      <c r="B169" s="485"/>
      <c r="C169" s="75"/>
      <c r="D169" s="485"/>
      <c r="E169" s="75"/>
      <c r="F169" s="485"/>
      <c r="G169" s="210"/>
      <c r="H169" s="485"/>
      <c r="I169" s="188"/>
      <c r="J169" s="485"/>
      <c r="K169" s="75"/>
      <c r="L169" s="66"/>
      <c r="M169" s="66"/>
      <c r="N169" s="66"/>
      <c r="O169" s="66"/>
      <c r="P169" s="66"/>
      <c r="Q169" s="66"/>
      <c r="R169" s="66"/>
      <c r="S169" s="66"/>
      <c r="T169" s="66"/>
      <c r="U169" s="66"/>
      <c r="V169" s="66"/>
      <c r="W169" s="66"/>
      <c r="X169" s="66"/>
    </row>
    <row r="170">
      <c r="A170" s="75"/>
      <c r="B170" s="485"/>
      <c r="C170" s="75"/>
      <c r="D170" s="485"/>
      <c r="E170" s="75"/>
      <c r="F170" s="485"/>
      <c r="G170" s="210"/>
      <c r="H170" s="485"/>
      <c r="I170" s="188"/>
      <c r="J170" s="485"/>
      <c r="K170" s="75"/>
      <c r="L170" s="66"/>
      <c r="M170" s="66"/>
      <c r="N170" s="66"/>
      <c r="O170" s="66"/>
      <c r="P170" s="66"/>
      <c r="Q170" s="66"/>
      <c r="R170" s="66"/>
      <c r="S170" s="66"/>
      <c r="T170" s="66"/>
      <c r="U170" s="66"/>
      <c r="V170" s="66"/>
      <c r="W170" s="66"/>
      <c r="X170" s="66"/>
    </row>
    <row r="171">
      <c r="A171" s="75"/>
      <c r="B171" s="485"/>
      <c r="C171" s="75"/>
      <c r="D171" s="485"/>
      <c r="E171" s="75"/>
      <c r="F171" s="485"/>
      <c r="G171" s="210"/>
      <c r="H171" s="485"/>
      <c r="I171" s="188"/>
      <c r="J171" s="485"/>
      <c r="K171" s="75"/>
      <c r="L171" s="66"/>
      <c r="M171" s="66"/>
      <c r="N171" s="66"/>
      <c r="O171" s="66"/>
      <c r="P171" s="66"/>
      <c r="Q171" s="66"/>
      <c r="R171" s="66"/>
      <c r="S171" s="66"/>
      <c r="T171" s="66"/>
      <c r="U171" s="66"/>
      <c r="V171" s="66"/>
      <c r="W171" s="66"/>
      <c r="X171" s="66"/>
    </row>
    <row r="172">
      <c r="A172" s="75"/>
      <c r="B172" s="485"/>
      <c r="C172" s="75"/>
      <c r="D172" s="485"/>
      <c r="E172" s="75"/>
      <c r="F172" s="485"/>
      <c r="G172" s="210"/>
      <c r="H172" s="485"/>
      <c r="I172" s="188"/>
      <c r="J172" s="485"/>
      <c r="K172" s="75"/>
      <c r="L172" s="66"/>
      <c r="M172" s="66"/>
      <c r="N172" s="66"/>
      <c r="O172" s="66"/>
      <c r="P172" s="66"/>
      <c r="Q172" s="66"/>
      <c r="R172" s="66"/>
      <c r="S172" s="66"/>
      <c r="T172" s="66"/>
      <c r="U172" s="66"/>
      <c r="V172" s="66"/>
      <c r="W172" s="66"/>
      <c r="X172" s="66"/>
    </row>
    <row r="173">
      <c r="A173" s="75"/>
      <c r="B173" s="485"/>
      <c r="C173" s="75"/>
      <c r="D173" s="485"/>
      <c r="E173" s="75"/>
      <c r="F173" s="485"/>
      <c r="G173" s="210"/>
      <c r="H173" s="485"/>
      <c r="I173" s="188"/>
      <c r="J173" s="485"/>
      <c r="K173" s="75"/>
      <c r="L173" s="66"/>
      <c r="M173" s="66"/>
      <c r="N173" s="66"/>
      <c r="O173" s="66"/>
      <c r="P173" s="66"/>
      <c r="Q173" s="66"/>
      <c r="R173" s="66"/>
      <c r="S173" s="66"/>
      <c r="T173" s="66"/>
      <c r="U173" s="66"/>
      <c r="V173" s="66"/>
      <c r="W173" s="66"/>
      <c r="X173" s="66"/>
    </row>
    <row r="174">
      <c r="A174" s="75"/>
      <c r="B174" s="485"/>
      <c r="C174" s="75"/>
      <c r="D174" s="485"/>
      <c r="E174" s="75"/>
      <c r="F174" s="485"/>
      <c r="G174" s="210"/>
      <c r="H174" s="485"/>
      <c r="I174" s="188"/>
      <c r="J174" s="485"/>
      <c r="K174" s="75"/>
      <c r="L174" s="66"/>
      <c r="M174" s="66"/>
      <c r="N174" s="66"/>
      <c r="O174" s="66"/>
      <c r="P174" s="66"/>
      <c r="Q174" s="66"/>
      <c r="R174" s="66"/>
      <c r="S174" s="66"/>
      <c r="T174" s="66"/>
      <c r="U174" s="66"/>
      <c r="V174" s="66"/>
      <c r="W174" s="66"/>
      <c r="X174" s="66"/>
    </row>
    <row r="175">
      <c r="A175" s="75"/>
      <c r="B175" s="485"/>
      <c r="C175" s="75"/>
      <c r="D175" s="485"/>
      <c r="E175" s="75"/>
      <c r="F175" s="485"/>
      <c r="G175" s="210"/>
      <c r="H175" s="485"/>
      <c r="I175" s="188"/>
      <c r="J175" s="485"/>
      <c r="K175" s="75"/>
      <c r="L175" s="66"/>
      <c r="M175" s="66"/>
      <c r="N175" s="66"/>
      <c r="O175" s="66"/>
      <c r="P175" s="66"/>
      <c r="Q175" s="66"/>
      <c r="R175" s="66"/>
      <c r="S175" s="66"/>
      <c r="T175" s="66"/>
      <c r="U175" s="66"/>
      <c r="V175" s="66"/>
      <c r="W175" s="66"/>
      <c r="X175" s="66"/>
    </row>
    <row r="176">
      <c r="A176" s="75"/>
      <c r="B176" s="485"/>
      <c r="C176" s="75"/>
      <c r="D176" s="485"/>
      <c r="E176" s="75"/>
      <c r="F176" s="485"/>
      <c r="G176" s="210"/>
      <c r="H176" s="485"/>
      <c r="I176" s="188"/>
      <c r="J176" s="485"/>
      <c r="K176" s="75"/>
      <c r="L176" s="66"/>
      <c r="M176" s="66"/>
      <c r="N176" s="66"/>
      <c r="O176" s="66"/>
      <c r="P176" s="66"/>
      <c r="Q176" s="66"/>
      <c r="R176" s="66"/>
      <c r="S176" s="66"/>
      <c r="T176" s="66"/>
      <c r="U176" s="66"/>
      <c r="V176" s="66"/>
      <c r="W176" s="66"/>
      <c r="X176" s="66"/>
    </row>
    <row r="177">
      <c r="A177" s="75"/>
      <c r="B177" s="485"/>
      <c r="C177" s="75"/>
      <c r="D177" s="485"/>
      <c r="E177" s="75"/>
      <c r="F177" s="485"/>
      <c r="G177" s="210"/>
      <c r="H177" s="485"/>
      <c r="I177" s="188"/>
      <c r="J177" s="485"/>
      <c r="K177" s="75"/>
      <c r="L177" s="66"/>
      <c r="M177" s="66"/>
      <c r="N177" s="66"/>
      <c r="O177" s="66"/>
      <c r="P177" s="66"/>
      <c r="Q177" s="66"/>
      <c r="R177" s="66"/>
      <c r="S177" s="66"/>
      <c r="T177" s="66"/>
      <c r="U177" s="66"/>
      <c r="V177" s="66"/>
      <c r="W177" s="66"/>
      <c r="X177" s="66"/>
    </row>
    <row r="178">
      <c r="A178" s="75"/>
      <c r="B178" s="485"/>
      <c r="C178" s="75"/>
      <c r="D178" s="485"/>
      <c r="E178" s="75"/>
      <c r="F178" s="485"/>
      <c r="G178" s="210"/>
      <c r="H178" s="485"/>
      <c r="I178" s="188"/>
      <c r="J178" s="485"/>
      <c r="K178" s="75"/>
      <c r="L178" s="66"/>
      <c r="M178" s="66"/>
      <c r="N178" s="66"/>
      <c r="O178" s="66"/>
      <c r="P178" s="66"/>
      <c r="Q178" s="66"/>
      <c r="R178" s="66"/>
      <c r="S178" s="66"/>
      <c r="T178" s="66"/>
      <c r="U178" s="66"/>
      <c r="V178" s="66"/>
      <c r="W178" s="66"/>
      <c r="X178" s="66"/>
    </row>
    <row r="179">
      <c r="A179" s="75"/>
      <c r="B179" s="485"/>
      <c r="C179" s="75"/>
      <c r="D179" s="485"/>
      <c r="E179" s="75"/>
      <c r="F179" s="485"/>
      <c r="G179" s="210"/>
      <c r="H179" s="485"/>
      <c r="I179" s="188"/>
      <c r="J179" s="485"/>
      <c r="K179" s="75"/>
      <c r="L179" s="66"/>
      <c r="M179" s="66"/>
      <c r="N179" s="66"/>
      <c r="O179" s="66"/>
      <c r="P179" s="66"/>
      <c r="Q179" s="66"/>
      <c r="R179" s="66"/>
      <c r="S179" s="66"/>
      <c r="T179" s="66"/>
      <c r="U179" s="66"/>
      <c r="V179" s="66"/>
      <c r="W179" s="66"/>
      <c r="X179" s="66"/>
    </row>
    <row r="180">
      <c r="A180" s="75"/>
      <c r="B180" s="485"/>
      <c r="C180" s="75"/>
      <c r="D180" s="485"/>
      <c r="E180" s="75"/>
      <c r="F180" s="485"/>
      <c r="G180" s="210"/>
      <c r="H180" s="485"/>
      <c r="I180" s="188"/>
      <c r="J180" s="485"/>
      <c r="K180" s="75"/>
      <c r="L180" s="66"/>
      <c r="M180" s="66"/>
      <c r="N180" s="66"/>
      <c r="O180" s="66"/>
      <c r="P180" s="66"/>
      <c r="Q180" s="66"/>
      <c r="R180" s="66"/>
      <c r="S180" s="66"/>
      <c r="T180" s="66"/>
      <c r="U180" s="66"/>
      <c r="V180" s="66"/>
      <c r="W180" s="66"/>
      <c r="X180" s="66"/>
    </row>
    <row r="181">
      <c r="A181" s="75"/>
      <c r="B181" s="485"/>
      <c r="C181" s="75"/>
      <c r="D181" s="485"/>
      <c r="E181" s="75"/>
      <c r="F181" s="485"/>
      <c r="G181" s="210"/>
      <c r="H181" s="485"/>
      <c r="I181" s="188"/>
      <c r="J181" s="485"/>
      <c r="K181" s="75"/>
      <c r="L181" s="66"/>
      <c r="M181" s="66"/>
      <c r="N181" s="66"/>
      <c r="O181" s="66"/>
      <c r="P181" s="66"/>
      <c r="Q181" s="66"/>
      <c r="R181" s="66"/>
      <c r="S181" s="66"/>
      <c r="T181" s="66"/>
      <c r="U181" s="66"/>
      <c r="V181" s="66"/>
      <c r="W181" s="66"/>
      <c r="X181" s="66"/>
    </row>
    <row r="182">
      <c r="A182" s="75"/>
      <c r="B182" s="485"/>
      <c r="C182" s="75"/>
      <c r="D182" s="485"/>
      <c r="E182" s="75"/>
      <c r="F182" s="485"/>
      <c r="G182" s="210"/>
      <c r="H182" s="485"/>
      <c r="I182" s="188"/>
      <c r="J182" s="485"/>
      <c r="K182" s="75"/>
      <c r="L182" s="66"/>
      <c r="M182" s="66"/>
      <c r="N182" s="66"/>
      <c r="O182" s="66"/>
      <c r="P182" s="66"/>
      <c r="Q182" s="66"/>
      <c r="R182" s="66"/>
      <c r="S182" s="66"/>
      <c r="T182" s="66"/>
      <c r="U182" s="66"/>
      <c r="V182" s="66"/>
      <c r="W182" s="66"/>
      <c r="X182" s="66"/>
    </row>
    <row r="183">
      <c r="A183" s="75"/>
      <c r="B183" s="485"/>
      <c r="C183" s="75"/>
      <c r="D183" s="485"/>
      <c r="E183" s="75"/>
      <c r="F183" s="485"/>
      <c r="G183" s="210"/>
      <c r="H183" s="485"/>
      <c r="I183" s="188"/>
      <c r="J183" s="485"/>
      <c r="K183" s="75"/>
      <c r="L183" s="66"/>
      <c r="M183" s="66"/>
      <c r="N183" s="66"/>
      <c r="O183" s="66"/>
      <c r="P183" s="66"/>
      <c r="Q183" s="66"/>
      <c r="R183" s="66"/>
      <c r="S183" s="66"/>
      <c r="T183" s="66"/>
      <c r="U183" s="66"/>
      <c r="V183" s="66"/>
      <c r="W183" s="66"/>
      <c r="X183" s="66"/>
    </row>
    <row r="184">
      <c r="A184" s="75"/>
      <c r="B184" s="485"/>
      <c r="C184" s="75"/>
      <c r="D184" s="485"/>
      <c r="E184" s="75"/>
      <c r="F184" s="485"/>
      <c r="G184" s="210"/>
      <c r="H184" s="485"/>
      <c r="I184" s="188"/>
      <c r="J184" s="485"/>
      <c r="K184" s="75"/>
      <c r="L184" s="66"/>
      <c r="M184" s="66"/>
      <c r="N184" s="66"/>
      <c r="O184" s="66"/>
      <c r="P184" s="66"/>
      <c r="Q184" s="66"/>
      <c r="R184" s="66"/>
      <c r="S184" s="66"/>
      <c r="T184" s="66"/>
      <c r="U184" s="66"/>
      <c r="V184" s="66"/>
      <c r="W184" s="66"/>
      <c r="X184" s="66"/>
    </row>
    <row r="185">
      <c r="A185" s="75"/>
      <c r="B185" s="485"/>
      <c r="C185" s="75"/>
      <c r="D185" s="485"/>
      <c r="E185" s="75"/>
      <c r="F185" s="485"/>
      <c r="G185" s="210"/>
      <c r="H185" s="485"/>
      <c r="I185" s="188"/>
      <c r="J185" s="485"/>
      <c r="K185" s="75"/>
      <c r="L185" s="66"/>
      <c r="M185" s="66"/>
      <c r="N185" s="66"/>
      <c r="O185" s="66"/>
      <c r="P185" s="66"/>
      <c r="Q185" s="66"/>
      <c r="R185" s="66"/>
      <c r="S185" s="66"/>
      <c r="T185" s="66"/>
      <c r="U185" s="66"/>
      <c r="V185" s="66"/>
      <c r="W185" s="66"/>
      <c r="X185" s="66"/>
    </row>
    <row r="186">
      <c r="A186" s="75"/>
      <c r="B186" s="485"/>
      <c r="C186" s="75"/>
      <c r="D186" s="485"/>
      <c r="E186" s="75"/>
      <c r="F186" s="485"/>
      <c r="G186" s="210"/>
      <c r="H186" s="485"/>
      <c r="I186" s="188"/>
      <c r="J186" s="485"/>
      <c r="K186" s="75"/>
      <c r="L186" s="66"/>
      <c r="M186" s="66"/>
      <c r="N186" s="66"/>
      <c r="O186" s="66"/>
      <c r="P186" s="66"/>
      <c r="Q186" s="66"/>
      <c r="R186" s="66"/>
      <c r="S186" s="66"/>
      <c r="T186" s="66"/>
      <c r="U186" s="66"/>
      <c r="V186" s="66"/>
      <c r="W186" s="66"/>
      <c r="X186" s="66"/>
    </row>
    <row r="187">
      <c r="A187" s="75"/>
      <c r="B187" s="485"/>
      <c r="C187" s="75"/>
      <c r="D187" s="485"/>
      <c r="E187" s="75"/>
      <c r="F187" s="485"/>
      <c r="G187" s="210"/>
      <c r="H187" s="485"/>
      <c r="I187" s="188"/>
      <c r="J187" s="485"/>
      <c r="K187" s="75"/>
      <c r="L187" s="66"/>
      <c r="M187" s="66"/>
      <c r="N187" s="66"/>
      <c r="O187" s="66"/>
      <c r="P187" s="66"/>
      <c r="Q187" s="66"/>
      <c r="R187" s="66"/>
      <c r="S187" s="66"/>
      <c r="T187" s="66"/>
      <c r="U187" s="66"/>
      <c r="V187" s="66"/>
      <c r="W187" s="66"/>
      <c r="X187" s="66"/>
    </row>
    <row r="188">
      <c r="A188" s="75"/>
      <c r="B188" s="485"/>
      <c r="C188" s="75"/>
      <c r="D188" s="485"/>
      <c r="E188" s="75"/>
      <c r="F188" s="485"/>
      <c r="G188" s="210"/>
      <c r="H188" s="485"/>
      <c r="I188" s="188"/>
      <c r="J188" s="485"/>
      <c r="K188" s="75"/>
      <c r="L188" s="66"/>
      <c r="M188" s="66"/>
      <c r="N188" s="66"/>
      <c r="O188" s="66"/>
      <c r="P188" s="66"/>
      <c r="Q188" s="66"/>
      <c r="R188" s="66"/>
      <c r="S188" s="66"/>
      <c r="T188" s="66"/>
      <c r="U188" s="66"/>
      <c r="V188" s="66"/>
      <c r="W188" s="66"/>
      <c r="X188" s="66"/>
    </row>
    <row r="189">
      <c r="A189" s="75"/>
      <c r="B189" s="485"/>
      <c r="C189" s="75"/>
      <c r="D189" s="485"/>
      <c r="E189" s="75"/>
      <c r="F189" s="485"/>
      <c r="G189" s="210"/>
      <c r="H189" s="485"/>
      <c r="I189" s="188"/>
      <c r="J189" s="485"/>
      <c r="K189" s="75"/>
      <c r="L189" s="66"/>
      <c r="M189" s="66"/>
      <c r="N189" s="66"/>
      <c r="O189" s="66"/>
      <c r="P189" s="66"/>
      <c r="Q189" s="66"/>
      <c r="R189" s="66"/>
      <c r="S189" s="66"/>
      <c r="T189" s="66"/>
      <c r="U189" s="66"/>
      <c r="V189" s="66"/>
      <c r="W189" s="66"/>
      <c r="X189" s="66"/>
    </row>
    <row r="190">
      <c r="A190" s="75"/>
      <c r="B190" s="485"/>
      <c r="C190" s="75"/>
      <c r="D190" s="485"/>
      <c r="E190" s="75"/>
      <c r="F190" s="485"/>
      <c r="G190" s="210"/>
      <c r="H190" s="485"/>
      <c r="I190" s="188"/>
      <c r="J190" s="485"/>
      <c r="K190" s="75"/>
      <c r="L190" s="66"/>
      <c r="M190" s="66"/>
      <c r="N190" s="66"/>
      <c r="O190" s="66"/>
      <c r="P190" s="66"/>
      <c r="Q190" s="66"/>
      <c r="R190" s="66"/>
      <c r="S190" s="66"/>
      <c r="T190" s="66"/>
      <c r="U190" s="66"/>
      <c r="V190" s="66"/>
      <c r="W190" s="66"/>
      <c r="X190" s="66"/>
    </row>
    <row r="191">
      <c r="A191" s="75"/>
      <c r="B191" s="485"/>
      <c r="C191" s="75"/>
      <c r="D191" s="485"/>
      <c r="E191" s="75"/>
      <c r="F191" s="485"/>
      <c r="G191" s="210"/>
      <c r="H191" s="485"/>
      <c r="I191" s="188"/>
      <c r="J191" s="485"/>
      <c r="K191" s="75"/>
      <c r="L191" s="66"/>
      <c r="M191" s="66"/>
      <c r="N191" s="66"/>
      <c r="O191" s="66"/>
      <c r="P191" s="66"/>
      <c r="Q191" s="66"/>
      <c r="R191" s="66"/>
      <c r="S191" s="66"/>
      <c r="T191" s="66"/>
      <c r="U191" s="66"/>
      <c r="V191" s="66"/>
      <c r="W191" s="66"/>
      <c r="X191" s="66"/>
    </row>
    <row r="192">
      <c r="A192" s="75"/>
      <c r="B192" s="485"/>
      <c r="C192" s="75"/>
      <c r="D192" s="485"/>
      <c r="E192" s="75"/>
      <c r="F192" s="485"/>
      <c r="G192" s="210"/>
      <c r="H192" s="485"/>
      <c r="I192" s="188"/>
      <c r="J192" s="485"/>
      <c r="K192" s="75"/>
      <c r="L192" s="66"/>
      <c r="M192" s="66"/>
      <c r="N192" s="66"/>
      <c r="O192" s="66"/>
      <c r="P192" s="66"/>
      <c r="Q192" s="66"/>
      <c r="R192" s="66"/>
      <c r="S192" s="66"/>
      <c r="T192" s="66"/>
      <c r="U192" s="66"/>
      <c r="V192" s="66"/>
      <c r="W192" s="66"/>
      <c r="X192" s="66"/>
    </row>
    <row r="193">
      <c r="A193" s="75"/>
      <c r="B193" s="485"/>
      <c r="C193" s="75"/>
      <c r="D193" s="485"/>
      <c r="E193" s="75"/>
      <c r="F193" s="485"/>
      <c r="G193" s="210"/>
      <c r="H193" s="485"/>
      <c r="I193" s="188"/>
      <c r="J193" s="485"/>
      <c r="K193" s="75"/>
      <c r="L193" s="66"/>
      <c r="M193" s="66"/>
      <c r="N193" s="66"/>
      <c r="O193" s="66"/>
      <c r="P193" s="66"/>
      <c r="Q193" s="66"/>
      <c r="R193" s="66"/>
      <c r="S193" s="66"/>
      <c r="T193" s="66"/>
      <c r="U193" s="66"/>
      <c r="V193" s="66"/>
      <c r="W193" s="66"/>
      <c r="X193" s="66"/>
    </row>
    <row r="194">
      <c r="A194" s="75"/>
      <c r="B194" s="485"/>
      <c r="C194" s="75"/>
      <c r="D194" s="485"/>
      <c r="E194" s="75"/>
      <c r="F194" s="485"/>
      <c r="G194" s="210"/>
      <c r="H194" s="485"/>
      <c r="I194" s="188"/>
      <c r="J194" s="485"/>
      <c r="K194" s="75"/>
      <c r="L194" s="66"/>
      <c r="M194" s="66"/>
      <c r="N194" s="66"/>
      <c r="O194" s="66"/>
      <c r="P194" s="66"/>
      <c r="Q194" s="66"/>
      <c r="R194" s="66"/>
      <c r="S194" s="66"/>
      <c r="T194" s="66"/>
      <c r="U194" s="66"/>
      <c r="V194" s="66"/>
      <c r="W194" s="66"/>
      <c r="X194" s="66"/>
    </row>
    <row r="195">
      <c r="A195" s="75"/>
      <c r="B195" s="485"/>
      <c r="C195" s="75"/>
      <c r="D195" s="485"/>
      <c r="E195" s="75"/>
      <c r="F195" s="485"/>
      <c r="G195" s="210"/>
      <c r="H195" s="485"/>
      <c r="I195" s="188"/>
      <c r="J195" s="485"/>
      <c r="K195" s="75"/>
      <c r="L195" s="66"/>
      <c r="M195" s="66"/>
      <c r="N195" s="66"/>
      <c r="O195" s="66"/>
      <c r="P195" s="66"/>
      <c r="Q195" s="66"/>
      <c r="R195" s="66"/>
      <c r="S195" s="66"/>
      <c r="T195" s="66"/>
      <c r="U195" s="66"/>
      <c r="V195" s="66"/>
      <c r="W195" s="66"/>
      <c r="X195" s="66"/>
    </row>
    <row r="196">
      <c r="A196" s="75"/>
      <c r="B196" s="485"/>
      <c r="C196" s="75"/>
      <c r="D196" s="485"/>
      <c r="E196" s="75"/>
      <c r="F196" s="485"/>
      <c r="G196" s="210"/>
      <c r="H196" s="485"/>
      <c r="I196" s="188"/>
      <c r="J196" s="485"/>
      <c r="K196" s="75"/>
      <c r="L196" s="66"/>
      <c r="M196" s="66"/>
      <c r="N196" s="66"/>
      <c r="O196" s="66"/>
      <c r="P196" s="66"/>
      <c r="Q196" s="66"/>
      <c r="R196" s="66"/>
      <c r="S196" s="66"/>
      <c r="T196" s="66"/>
      <c r="U196" s="66"/>
      <c r="V196" s="66"/>
      <c r="W196" s="66"/>
      <c r="X196" s="66"/>
    </row>
    <row r="197">
      <c r="A197" s="75"/>
      <c r="B197" s="485"/>
      <c r="C197" s="75"/>
      <c r="D197" s="485"/>
      <c r="E197" s="75"/>
      <c r="F197" s="485"/>
      <c r="G197" s="210"/>
      <c r="H197" s="485"/>
      <c r="I197" s="188"/>
      <c r="J197" s="485"/>
      <c r="K197" s="75"/>
      <c r="L197" s="66"/>
      <c r="M197" s="66"/>
      <c r="N197" s="66"/>
      <c r="O197" s="66"/>
      <c r="P197" s="66"/>
      <c r="Q197" s="66"/>
      <c r="R197" s="66"/>
      <c r="S197" s="66"/>
      <c r="T197" s="66"/>
      <c r="U197" s="66"/>
      <c r="V197" s="66"/>
      <c r="W197" s="66"/>
      <c r="X197" s="66"/>
    </row>
    <row r="198">
      <c r="A198" s="75"/>
      <c r="B198" s="485"/>
      <c r="C198" s="75"/>
      <c r="D198" s="485"/>
      <c r="E198" s="75"/>
      <c r="F198" s="485"/>
      <c r="G198" s="210"/>
      <c r="H198" s="485"/>
      <c r="I198" s="188"/>
      <c r="J198" s="485"/>
      <c r="K198" s="75"/>
      <c r="L198" s="66"/>
      <c r="M198" s="66"/>
      <c r="N198" s="66"/>
      <c r="O198" s="66"/>
      <c r="P198" s="66"/>
      <c r="Q198" s="66"/>
      <c r="R198" s="66"/>
      <c r="S198" s="66"/>
      <c r="T198" s="66"/>
      <c r="U198" s="66"/>
      <c r="V198" s="66"/>
      <c r="W198" s="66"/>
      <c r="X198" s="66"/>
    </row>
    <row r="199">
      <c r="A199" s="75"/>
      <c r="B199" s="485"/>
      <c r="C199" s="75"/>
      <c r="D199" s="485"/>
      <c r="E199" s="75"/>
      <c r="F199" s="485"/>
      <c r="G199" s="210"/>
      <c r="H199" s="485"/>
      <c r="I199" s="188"/>
      <c r="J199" s="485"/>
      <c r="K199" s="75"/>
      <c r="L199" s="66"/>
      <c r="M199" s="66"/>
      <c r="N199" s="66"/>
      <c r="O199" s="66"/>
      <c r="P199" s="66"/>
      <c r="Q199" s="66"/>
      <c r="R199" s="66"/>
      <c r="S199" s="66"/>
      <c r="T199" s="66"/>
      <c r="U199" s="66"/>
      <c r="V199" s="66"/>
      <c r="W199" s="66"/>
      <c r="X199" s="66"/>
    </row>
    <row r="200">
      <c r="A200" s="75"/>
      <c r="B200" s="485"/>
      <c r="C200" s="75"/>
      <c r="D200" s="485"/>
      <c r="E200" s="75"/>
      <c r="F200" s="485"/>
      <c r="G200" s="210"/>
      <c r="H200" s="485"/>
      <c r="I200" s="188"/>
      <c r="J200" s="485"/>
      <c r="K200" s="75"/>
      <c r="L200" s="66"/>
      <c r="M200" s="66"/>
      <c r="N200" s="66"/>
      <c r="O200" s="66"/>
      <c r="P200" s="66"/>
      <c r="Q200" s="66"/>
      <c r="R200" s="66"/>
      <c r="S200" s="66"/>
      <c r="T200" s="66"/>
      <c r="U200" s="66"/>
      <c r="V200" s="66"/>
      <c r="W200" s="66"/>
      <c r="X200" s="66"/>
    </row>
    <row r="201">
      <c r="A201" s="75"/>
      <c r="B201" s="485"/>
      <c r="C201" s="75"/>
      <c r="D201" s="485"/>
      <c r="E201" s="75"/>
      <c r="F201" s="485"/>
      <c r="G201" s="210"/>
      <c r="H201" s="485"/>
      <c r="I201" s="188"/>
      <c r="J201" s="485"/>
      <c r="K201" s="75"/>
      <c r="L201" s="66"/>
      <c r="M201" s="66"/>
      <c r="N201" s="66"/>
      <c r="O201" s="66"/>
      <c r="P201" s="66"/>
      <c r="Q201" s="66"/>
      <c r="R201" s="66"/>
      <c r="S201" s="66"/>
      <c r="T201" s="66"/>
      <c r="U201" s="66"/>
      <c r="V201" s="66"/>
      <c r="W201" s="66"/>
      <c r="X201" s="66"/>
    </row>
    <row r="202">
      <c r="A202" s="75"/>
      <c r="B202" s="485"/>
      <c r="C202" s="75"/>
      <c r="D202" s="485"/>
      <c r="E202" s="75"/>
      <c r="F202" s="485"/>
      <c r="G202" s="210"/>
      <c r="H202" s="485"/>
      <c r="I202" s="188"/>
      <c r="J202" s="485"/>
      <c r="K202" s="75"/>
      <c r="L202" s="66"/>
      <c r="M202" s="66"/>
      <c r="N202" s="66"/>
      <c r="O202" s="66"/>
      <c r="P202" s="66"/>
      <c r="Q202" s="66"/>
      <c r="R202" s="66"/>
      <c r="S202" s="66"/>
      <c r="T202" s="66"/>
      <c r="U202" s="66"/>
      <c r="V202" s="66"/>
      <c r="W202" s="66"/>
      <c r="X202" s="66"/>
    </row>
    <row r="203">
      <c r="A203" s="75"/>
      <c r="B203" s="485"/>
      <c r="C203" s="75"/>
      <c r="D203" s="485"/>
      <c r="E203" s="75"/>
      <c r="F203" s="485"/>
      <c r="G203" s="210"/>
      <c r="H203" s="485"/>
      <c r="I203" s="188"/>
      <c r="J203" s="485"/>
      <c r="K203" s="75"/>
      <c r="L203" s="66"/>
      <c r="M203" s="66"/>
      <c r="N203" s="66"/>
      <c r="O203" s="66"/>
      <c r="P203" s="66"/>
      <c r="Q203" s="66"/>
      <c r="R203" s="66"/>
      <c r="S203" s="66"/>
      <c r="T203" s="66"/>
      <c r="U203" s="66"/>
      <c r="V203" s="66"/>
      <c r="W203" s="66"/>
      <c r="X203" s="66"/>
    </row>
    <row r="204">
      <c r="A204" s="75"/>
      <c r="B204" s="485"/>
      <c r="C204" s="75"/>
      <c r="D204" s="485"/>
      <c r="E204" s="75"/>
      <c r="F204" s="485"/>
      <c r="G204" s="210"/>
      <c r="H204" s="485"/>
      <c r="I204" s="188"/>
      <c r="J204" s="485"/>
      <c r="K204" s="75"/>
      <c r="L204" s="66"/>
      <c r="M204" s="66"/>
      <c r="N204" s="66"/>
      <c r="O204" s="66"/>
      <c r="P204" s="66"/>
      <c r="Q204" s="66"/>
      <c r="R204" s="66"/>
      <c r="S204" s="66"/>
      <c r="T204" s="66"/>
      <c r="U204" s="66"/>
      <c r="V204" s="66"/>
      <c r="W204" s="66"/>
      <c r="X204" s="66"/>
    </row>
    <row r="205">
      <c r="A205" s="75"/>
      <c r="B205" s="485"/>
      <c r="C205" s="75"/>
      <c r="D205" s="485"/>
      <c r="E205" s="75"/>
      <c r="F205" s="485"/>
      <c r="G205" s="210"/>
      <c r="H205" s="485"/>
      <c r="I205" s="188"/>
      <c r="J205" s="485"/>
      <c r="K205" s="75"/>
      <c r="L205" s="66"/>
      <c r="M205" s="66"/>
      <c r="N205" s="66"/>
      <c r="O205" s="66"/>
      <c r="P205" s="66"/>
      <c r="Q205" s="66"/>
      <c r="R205" s="66"/>
      <c r="S205" s="66"/>
      <c r="T205" s="66"/>
      <c r="U205" s="66"/>
      <c r="V205" s="66"/>
      <c r="W205" s="66"/>
      <c r="X205" s="66"/>
    </row>
    <row r="206">
      <c r="A206" s="75"/>
      <c r="B206" s="485"/>
      <c r="C206" s="75"/>
      <c r="D206" s="485"/>
      <c r="E206" s="75"/>
      <c r="F206" s="485"/>
      <c r="G206" s="210"/>
      <c r="H206" s="485"/>
      <c r="I206" s="188"/>
      <c r="J206" s="485"/>
      <c r="K206" s="75"/>
      <c r="L206" s="66"/>
      <c r="M206" s="66"/>
      <c r="N206" s="66"/>
      <c r="O206" s="66"/>
      <c r="P206" s="66"/>
      <c r="Q206" s="66"/>
      <c r="R206" s="66"/>
      <c r="S206" s="66"/>
      <c r="T206" s="66"/>
      <c r="U206" s="66"/>
      <c r="V206" s="66"/>
      <c r="W206" s="66"/>
      <c r="X206" s="66"/>
    </row>
    <row r="207">
      <c r="A207" s="75"/>
      <c r="B207" s="485"/>
      <c r="C207" s="75"/>
      <c r="D207" s="485"/>
      <c r="E207" s="75"/>
      <c r="F207" s="485"/>
      <c r="G207" s="210"/>
      <c r="H207" s="485"/>
      <c r="I207" s="188"/>
      <c r="J207" s="485"/>
      <c r="K207" s="75"/>
      <c r="L207" s="66"/>
      <c r="M207" s="66"/>
      <c r="N207" s="66"/>
      <c r="O207" s="66"/>
      <c r="P207" s="66"/>
      <c r="Q207" s="66"/>
      <c r="R207" s="66"/>
      <c r="S207" s="66"/>
      <c r="T207" s="66"/>
      <c r="U207" s="66"/>
      <c r="V207" s="66"/>
      <c r="W207" s="66"/>
      <c r="X207" s="66"/>
    </row>
    <row r="208">
      <c r="A208" s="75"/>
      <c r="B208" s="485"/>
      <c r="C208" s="75"/>
      <c r="D208" s="485"/>
      <c r="E208" s="75"/>
      <c r="F208" s="485"/>
      <c r="G208" s="210"/>
      <c r="H208" s="485"/>
      <c r="I208" s="188"/>
      <c r="J208" s="485"/>
      <c r="K208" s="75"/>
      <c r="L208" s="66"/>
      <c r="M208" s="66"/>
      <c r="N208" s="66"/>
      <c r="O208" s="66"/>
      <c r="P208" s="66"/>
      <c r="Q208" s="66"/>
      <c r="R208" s="66"/>
      <c r="S208" s="66"/>
      <c r="T208" s="66"/>
      <c r="U208" s="66"/>
      <c r="V208" s="66"/>
      <c r="W208" s="66"/>
      <c r="X208" s="66"/>
    </row>
    <row r="209">
      <c r="A209" s="75"/>
      <c r="B209" s="485"/>
      <c r="C209" s="75"/>
      <c r="D209" s="485"/>
      <c r="E209" s="75"/>
      <c r="F209" s="485"/>
      <c r="G209" s="210"/>
      <c r="H209" s="485"/>
      <c r="I209" s="188"/>
      <c r="J209" s="485"/>
      <c r="K209" s="75"/>
      <c r="L209" s="66"/>
      <c r="M209" s="66"/>
      <c r="N209" s="66"/>
      <c r="O209" s="66"/>
      <c r="P209" s="66"/>
      <c r="Q209" s="66"/>
      <c r="R209" s="66"/>
      <c r="S209" s="66"/>
      <c r="T209" s="66"/>
      <c r="U209" s="66"/>
      <c r="V209" s="66"/>
      <c r="W209" s="66"/>
      <c r="X209" s="66"/>
    </row>
    <row r="210">
      <c r="A210" s="75"/>
      <c r="B210" s="485"/>
      <c r="C210" s="75"/>
      <c r="D210" s="485"/>
      <c r="E210" s="75"/>
      <c r="F210" s="485"/>
      <c r="G210" s="210"/>
      <c r="H210" s="485"/>
      <c r="I210" s="188"/>
      <c r="J210" s="485"/>
      <c r="K210" s="75"/>
      <c r="L210" s="66"/>
      <c r="M210" s="66"/>
      <c r="N210" s="66"/>
      <c r="O210" s="66"/>
      <c r="P210" s="66"/>
      <c r="Q210" s="66"/>
      <c r="R210" s="66"/>
      <c r="S210" s="66"/>
      <c r="T210" s="66"/>
      <c r="U210" s="66"/>
      <c r="V210" s="66"/>
      <c r="W210" s="66"/>
      <c r="X210" s="66"/>
    </row>
    <row r="211">
      <c r="A211" s="75"/>
      <c r="B211" s="485"/>
      <c r="C211" s="75"/>
      <c r="D211" s="485"/>
      <c r="E211" s="75"/>
      <c r="F211" s="485"/>
      <c r="G211" s="210"/>
      <c r="H211" s="485"/>
      <c r="I211" s="188"/>
      <c r="J211" s="485"/>
      <c r="K211" s="75"/>
      <c r="L211" s="66"/>
      <c r="M211" s="66"/>
      <c r="N211" s="66"/>
      <c r="O211" s="66"/>
      <c r="P211" s="66"/>
      <c r="Q211" s="66"/>
      <c r="R211" s="66"/>
      <c r="S211" s="66"/>
      <c r="T211" s="66"/>
      <c r="U211" s="66"/>
      <c r="V211" s="66"/>
      <c r="W211" s="66"/>
      <c r="X211" s="66"/>
    </row>
    <row r="212">
      <c r="A212" s="75"/>
      <c r="B212" s="485"/>
      <c r="C212" s="75"/>
      <c r="D212" s="485"/>
      <c r="E212" s="75"/>
      <c r="F212" s="485"/>
      <c r="G212" s="210"/>
      <c r="H212" s="485"/>
      <c r="I212" s="188"/>
      <c r="J212" s="485"/>
      <c r="K212" s="75"/>
      <c r="L212" s="66"/>
      <c r="M212" s="66"/>
      <c r="N212" s="66"/>
      <c r="O212" s="66"/>
      <c r="P212" s="66"/>
      <c r="Q212" s="66"/>
      <c r="R212" s="66"/>
      <c r="S212" s="66"/>
      <c r="T212" s="66"/>
      <c r="U212" s="66"/>
      <c r="V212" s="66"/>
      <c r="W212" s="66"/>
      <c r="X212" s="66"/>
    </row>
    <row r="213">
      <c r="A213" s="75"/>
      <c r="B213" s="485"/>
      <c r="C213" s="75"/>
      <c r="D213" s="485"/>
      <c r="E213" s="75"/>
      <c r="F213" s="485"/>
      <c r="G213" s="210"/>
      <c r="H213" s="485"/>
      <c r="I213" s="188"/>
      <c r="J213" s="485"/>
      <c r="K213" s="75"/>
      <c r="L213" s="66"/>
      <c r="M213" s="66"/>
      <c r="N213" s="66"/>
      <c r="O213" s="66"/>
      <c r="P213" s="66"/>
      <c r="Q213" s="66"/>
      <c r="R213" s="66"/>
      <c r="S213" s="66"/>
      <c r="T213" s="66"/>
      <c r="U213" s="66"/>
      <c r="V213" s="66"/>
      <c r="W213" s="66"/>
      <c r="X213" s="66"/>
    </row>
    <row r="214">
      <c r="A214" s="75"/>
      <c r="B214" s="485"/>
      <c r="C214" s="75"/>
      <c r="D214" s="485"/>
      <c r="E214" s="75"/>
      <c r="F214" s="485"/>
      <c r="G214" s="210"/>
      <c r="H214" s="485"/>
      <c r="I214" s="188"/>
      <c r="J214" s="485"/>
      <c r="K214" s="75"/>
      <c r="L214" s="66"/>
      <c r="M214" s="66"/>
      <c r="N214" s="66"/>
      <c r="O214" s="66"/>
      <c r="P214" s="66"/>
      <c r="Q214" s="66"/>
      <c r="R214" s="66"/>
      <c r="S214" s="66"/>
      <c r="T214" s="66"/>
      <c r="U214" s="66"/>
      <c r="V214" s="66"/>
      <c r="W214" s="66"/>
      <c r="X214" s="66"/>
    </row>
    <row r="215">
      <c r="A215" s="75"/>
      <c r="B215" s="485"/>
      <c r="C215" s="75"/>
      <c r="D215" s="485"/>
      <c r="E215" s="75"/>
      <c r="F215" s="485"/>
      <c r="G215" s="210"/>
      <c r="H215" s="485"/>
      <c r="I215" s="188"/>
      <c r="J215" s="485"/>
      <c r="K215" s="75"/>
      <c r="L215" s="66"/>
      <c r="M215" s="66"/>
      <c r="N215" s="66"/>
      <c r="O215" s="66"/>
      <c r="P215" s="66"/>
      <c r="Q215" s="66"/>
      <c r="R215" s="66"/>
      <c r="S215" s="66"/>
      <c r="T215" s="66"/>
      <c r="U215" s="66"/>
      <c r="V215" s="66"/>
      <c r="W215" s="66"/>
      <c r="X215" s="66"/>
    </row>
    <row r="216">
      <c r="A216" s="75"/>
      <c r="B216" s="485"/>
      <c r="C216" s="75"/>
      <c r="D216" s="485"/>
      <c r="E216" s="75"/>
      <c r="F216" s="485"/>
      <c r="G216" s="210"/>
      <c r="H216" s="485"/>
      <c r="I216" s="188"/>
      <c r="J216" s="485"/>
      <c r="K216" s="75"/>
      <c r="L216" s="66"/>
      <c r="M216" s="66"/>
      <c r="N216" s="66"/>
      <c r="O216" s="66"/>
      <c r="P216" s="66"/>
      <c r="Q216" s="66"/>
      <c r="R216" s="66"/>
      <c r="S216" s="66"/>
      <c r="T216" s="66"/>
      <c r="U216" s="66"/>
      <c r="V216" s="66"/>
      <c r="W216" s="66"/>
      <c r="X216" s="66"/>
    </row>
    <row r="217">
      <c r="A217" s="75"/>
      <c r="B217" s="485"/>
      <c r="C217" s="75"/>
      <c r="D217" s="485"/>
      <c r="E217" s="75"/>
      <c r="F217" s="485"/>
      <c r="G217" s="210"/>
      <c r="H217" s="485"/>
      <c r="I217" s="188"/>
      <c r="J217" s="485"/>
      <c r="K217" s="75"/>
      <c r="L217" s="66"/>
      <c r="M217" s="66"/>
      <c r="N217" s="66"/>
      <c r="O217" s="66"/>
      <c r="P217" s="66"/>
      <c r="Q217" s="66"/>
      <c r="R217" s="66"/>
      <c r="S217" s="66"/>
      <c r="T217" s="66"/>
      <c r="U217" s="66"/>
      <c r="V217" s="66"/>
      <c r="W217" s="66"/>
      <c r="X217" s="66"/>
    </row>
    <row r="218">
      <c r="A218" s="75"/>
      <c r="B218" s="485"/>
      <c r="C218" s="75"/>
      <c r="D218" s="485"/>
      <c r="E218" s="75"/>
      <c r="F218" s="485"/>
      <c r="G218" s="210"/>
      <c r="H218" s="485"/>
      <c r="I218" s="188"/>
      <c r="J218" s="485"/>
      <c r="K218" s="75"/>
      <c r="L218" s="66"/>
      <c r="M218" s="66"/>
      <c r="N218" s="66"/>
      <c r="O218" s="66"/>
      <c r="P218" s="66"/>
      <c r="Q218" s="66"/>
      <c r="R218" s="66"/>
      <c r="S218" s="66"/>
      <c r="T218" s="66"/>
      <c r="U218" s="66"/>
      <c r="V218" s="66"/>
      <c r="W218" s="66"/>
      <c r="X218" s="66"/>
    </row>
    <row r="219">
      <c r="A219" s="75"/>
      <c r="B219" s="485"/>
      <c r="C219" s="75"/>
      <c r="D219" s="485"/>
      <c r="E219" s="75"/>
      <c r="F219" s="485"/>
      <c r="G219" s="210"/>
      <c r="H219" s="485"/>
      <c r="I219" s="188"/>
      <c r="J219" s="485"/>
      <c r="K219" s="75"/>
      <c r="L219" s="66"/>
      <c r="M219" s="66"/>
      <c r="N219" s="66"/>
      <c r="O219" s="66"/>
      <c r="P219" s="66"/>
      <c r="Q219" s="66"/>
      <c r="R219" s="66"/>
      <c r="S219" s="66"/>
      <c r="T219" s="66"/>
      <c r="U219" s="66"/>
      <c r="V219" s="66"/>
      <c r="W219" s="66"/>
      <c r="X219" s="66"/>
    </row>
    <row r="220">
      <c r="A220" s="75"/>
      <c r="B220" s="485"/>
      <c r="C220" s="75"/>
      <c r="D220" s="485"/>
      <c r="E220" s="75"/>
      <c r="F220" s="485"/>
      <c r="G220" s="210"/>
      <c r="H220" s="485"/>
      <c r="I220" s="188"/>
      <c r="J220" s="485"/>
      <c r="K220" s="75"/>
      <c r="L220" s="66"/>
      <c r="M220" s="66"/>
      <c r="N220" s="66"/>
      <c r="O220" s="66"/>
      <c r="P220" s="66"/>
      <c r="Q220" s="66"/>
      <c r="R220" s="66"/>
      <c r="S220" s="66"/>
      <c r="T220" s="66"/>
      <c r="U220" s="66"/>
      <c r="V220" s="66"/>
      <c r="W220" s="66"/>
      <c r="X220" s="66"/>
    </row>
    <row r="221">
      <c r="A221" s="75"/>
      <c r="B221" s="485"/>
      <c r="C221" s="75"/>
      <c r="D221" s="485"/>
      <c r="E221" s="75"/>
      <c r="F221" s="485"/>
      <c r="G221" s="210"/>
      <c r="H221" s="485"/>
      <c r="I221" s="188"/>
      <c r="J221" s="485"/>
      <c r="K221" s="75"/>
      <c r="L221" s="66"/>
      <c r="M221" s="66"/>
      <c r="N221" s="66"/>
      <c r="O221" s="66"/>
      <c r="P221" s="66"/>
      <c r="Q221" s="66"/>
      <c r="R221" s="66"/>
      <c r="S221" s="66"/>
      <c r="T221" s="66"/>
      <c r="U221" s="66"/>
      <c r="V221" s="66"/>
      <c r="W221" s="66"/>
      <c r="X221" s="66"/>
    </row>
    <row r="222">
      <c r="A222" s="75"/>
      <c r="B222" s="485"/>
      <c r="C222" s="75"/>
      <c r="D222" s="485"/>
      <c r="E222" s="75"/>
      <c r="F222" s="485"/>
      <c r="G222" s="210"/>
      <c r="H222" s="485"/>
      <c r="I222" s="188"/>
      <c r="J222" s="485"/>
      <c r="K222" s="75"/>
      <c r="L222" s="66"/>
      <c r="M222" s="66"/>
      <c r="N222" s="66"/>
      <c r="O222" s="66"/>
      <c r="P222" s="66"/>
      <c r="Q222" s="66"/>
      <c r="R222" s="66"/>
      <c r="S222" s="66"/>
      <c r="T222" s="66"/>
      <c r="U222" s="66"/>
      <c r="V222" s="66"/>
      <c r="W222" s="66"/>
      <c r="X222" s="66"/>
    </row>
    <row r="223">
      <c r="A223" s="75"/>
      <c r="B223" s="485"/>
      <c r="C223" s="75"/>
      <c r="D223" s="485"/>
      <c r="E223" s="75"/>
      <c r="F223" s="485"/>
      <c r="G223" s="210"/>
      <c r="H223" s="485"/>
      <c r="I223" s="188"/>
      <c r="J223" s="485"/>
      <c r="K223" s="75"/>
      <c r="L223" s="66"/>
      <c r="M223" s="66"/>
      <c r="N223" s="66"/>
      <c r="O223" s="66"/>
      <c r="P223" s="66"/>
      <c r="Q223" s="66"/>
      <c r="R223" s="66"/>
      <c r="S223" s="66"/>
      <c r="T223" s="66"/>
      <c r="U223" s="66"/>
      <c r="V223" s="66"/>
      <c r="W223" s="66"/>
      <c r="X223" s="66"/>
    </row>
    <row r="224">
      <c r="A224" s="75"/>
      <c r="B224" s="485"/>
      <c r="C224" s="75"/>
      <c r="D224" s="485"/>
      <c r="E224" s="75"/>
      <c r="F224" s="485"/>
      <c r="G224" s="210"/>
      <c r="H224" s="485"/>
      <c r="I224" s="188"/>
      <c r="J224" s="485"/>
      <c r="K224" s="75"/>
      <c r="L224" s="66"/>
      <c r="M224" s="66"/>
      <c r="N224" s="66"/>
      <c r="O224" s="66"/>
      <c r="P224" s="66"/>
      <c r="Q224" s="66"/>
      <c r="R224" s="66"/>
      <c r="S224" s="66"/>
      <c r="T224" s="66"/>
      <c r="U224" s="66"/>
      <c r="V224" s="66"/>
      <c r="W224" s="66"/>
      <c r="X224" s="66"/>
    </row>
    <row r="225">
      <c r="A225" s="75"/>
      <c r="B225" s="485"/>
      <c r="C225" s="75"/>
      <c r="D225" s="485"/>
      <c r="E225" s="75"/>
      <c r="F225" s="485"/>
      <c r="G225" s="210"/>
      <c r="H225" s="485"/>
      <c r="I225" s="188"/>
      <c r="J225" s="485"/>
      <c r="K225" s="75"/>
      <c r="L225" s="66"/>
      <c r="M225" s="66"/>
      <c r="N225" s="66"/>
      <c r="O225" s="66"/>
      <c r="P225" s="66"/>
      <c r="Q225" s="66"/>
      <c r="R225" s="66"/>
      <c r="S225" s="66"/>
      <c r="T225" s="66"/>
      <c r="U225" s="66"/>
      <c r="V225" s="66"/>
      <c r="W225" s="66"/>
      <c r="X225" s="66"/>
    </row>
    <row r="226">
      <c r="A226" s="75"/>
      <c r="B226" s="485"/>
      <c r="C226" s="75"/>
      <c r="D226" s="485"/>
      <c r="E226" s="75"/>
      <c r="F226" s="485"/>
      <c r="G226" s="210"/>
      <c r="H226" s="485"/>
      <c r="I226" s="188"/>
      <c r="J226" s="485"/>
      <c r="K226" s="75"/>
      <c r="L226" s="66"/>
      <c r="M226" s="66"/>
      <c r="N226" s="66"/>
      <c r="O226" s="66"/>
      <c r="P226" s="66"/>
      <c r="Q226" s="66"/>
      <c r="R226" s="66"/>
      <c r="S226" s="66"/>
      <c r="T226" s="66"/>
      <c r="U226" s="66"/>
      <c r="V226" s="66"/>
      <c r="W226" s="66"/>
      <c r="X226" s="66"/>
    </row>
    <row r="227">
      <c r="A227" s="75"/>
      <c r="B227" s="485"/>
      <c r="C227" s="75"/>
      <c r="D227" s="485"/>
      <c r="E227" s="75"/>
      <c r="F227" s="485"/>
      <c r="G227" s="210"/>
      <c r="H227" s="485"/>
      <c r="I227" s="188"/>
      <c r="J227" s="485"/>
      <c r="K227" s="75"/>
      <c r="L227" s="66"/>
      <c r="M227" s="66"/>
      <c r="N227" s="66"/>
      <c r="O227" s="66"/>
      <c r="P227" s="66"/>
      <c r="Q227" s="66"/>
      <c r="R227" s="66"/>
      <c r="S227" s="66"/>
      <c r="T227" s="66"/>
      <c r="U227" s="66"/>
      <c r="V227" s="66"/>
      <c r="W227" s="66"/>
      <c r="X227" s="66"/>
    </row>
    <row r="228">
      <c r="A228" s="75"/>
      <c r="B228" s="485"/>
      <c r="C228" s="75"/>
      <c r="D228" s="485"/>
      <c r="E228" s="75"/>
      <c r="F228" s="485"/>
      <c r="G228" s="210"/>
      <c r="H228" s="485"/>
      <c r="I228" s="188"/>
      <c r="J228" s="485"/>
      <c r="K228" s="75"/>
      <c r="L228" s="66"/>
      <c r="M228" s="66"/>
      <c r="N228" s="66"/>
      <c r="O228" s="66"/>
      <c r="P228" s="66"/>
      <c r="Q228" s="66"/>
      <c r="R228" s="66"/>
      <c r="S228" s="66"/>
      <c r="T228" s="66"/>
      <c r="U228" s="66"/>
      <c r="V228" s="66"/>
      <c r="W228" s="66"/>
      <c r="X228" s="66"/>
    </row>
    <row r="229">
      <c r="A229" s="75"/>
      <c r="B229" s="485"/>
      <c r="C229" s="75"/>
      <c r="D229" s="485"/>
      <c r="E229" s="75"/>
      <c r="F229" s="485"/>
      <c r="G229" s="210"/>
      <c r="H229" s="485"/>
      <c r="I229" s="188"/>
      <c r="J229" s="485"/>
      <c r="K229" s="75"/>
      <c r="L229" s="66"/>
      <c r="M229" s="66"/>
      <c r="N229" s="66"/>
      <c r="O229" s="66"/>
      <c r="P229" s="66"/>
      <c r="Q229" s="66"/>
      <c r="R229" s="66"/>
      <c r="S229" s="66"/>
      <c r="T229" s="66"/>
      <c r="U229" s="66"/>
      <c r="V229" s="66"/>
      <c r="W229" s="66"/>
      <c r="X229" s="66"/>
    </row>
    <row r="230">
      <c r="A230" s="75"/>
      <c r="B230" s="485"/>
      <c r="C230" s="75"/>
      <c r="D230" s="485"/>
      <c r="E230" s="75"/>
      <c r="F230" s="485"/>
      <c r="G230" s="210"/>
      <c r="H230" s="485"/>
      <c r="I230" s="188"/>
      <c r="J230" s="485"/>
      <c r="K230" s="75"/>
      <c r="L230" s="66"/>
      <c r="M230" s="66"/>
      <c r="N230" s="66"/>
      <c r="O230" s="66"/>
      <c r="P230" s="66"/>
      <c r="Q230" s="66"/>
      <c r="R230" s="66"/>
      <c r="S230" s="66"/>
      <c r="T230" s="66"/>
      <c r="U230" s="66"/>
      <c r="V230" s="66"/>
      <c r="W230" s="66"/>
      <c r="X230" s="66"/>
    </row>
    <row r="231">
      <c r="A231" s="75"/>
      <c r="B231" s="485"/>
      <c r="C231" s="75"/>
      <c r="D231" s="485"/>
      <c r="E231" s="75"/>
      <c r="F231" s="485"/>
      <c r="G231" s="210"/>
      <c r="H231" s="485"/>
      <c r="I231" s="188"/>
      <c r="J231" s="485"/>
      <c r="K231" s="75"/>
      <c r="L231" s="66"/>
      <c r="M231" s="66"/>
      <c r="N231" s="66"/>
      <c r="O231" s="66"/>
      <c r="P231" s="66"/>
      <c r="Q231" s="66"/>
      <c r="R231" s="66"/>
      <c r="S231" s="66"/>
      <c r="T231" s="66"/>
      <c r="U231" s="66"/>
      <c r="V231" s="66"/>
      <c r="W231" s="66"/>
      <c r="X231" s="66"/>
    </row>
    <row r="232">
      <c r="A232" s="75"/>
      <c r="B232" s="485"/>
      <c r="C232" s="75"/>
      <c r="D232" s="485"/>
      <c r="E232" s="75"/>
      <c r="F232" s="485"/>
      <c r="G232" s="210"/>
      <c r="H232" s="485"/>
      <c r="I232" s="188"/>
      <c r="J232" s="485"/>
      <c r="K232" s="75"/>
      <c r="L232" s="66"/>
      <c r="M232" s="66"/>
      <c r="N232" s="66"/>
      <c r="O232" s="66"/>
      <c r="P232" s="66"/>
      <c r="Q232" s="66"/>
      <c r="R232" s="66"/>
      <c r="S232" s="66"/>
      <c r="T232" s="66"/>
      <c r="U232" s="66"/>
      <c r="V232" s="66"/>
      <c r="W232" s="66"/>
      <c r="X232" s="66"/>
    </row>
    <row r="233">
      <c r="A233" s="75"/>
      <c r="B233" s="485"/>
      <c r="C233" s="75"/>
      <c r="D233" s="485"/>
      <c r="E233" s="75"/>
      <c r="F233" s="485"/>
      <c r="G233" s="210"/>
      <c r="H233" s="485"/>
      <c r="I233" s="188"/>
      <c r="J233" s="485"/>
      <c r="K233" s="75"/>
      <c r="L233" s="66"/>
      <c r="M233" s="66"/>
      <c r="N233" s="66"/>
      <c r="O233" s="66"/>
      <c r="P233" s="66"/>
      <c r="Q233" s="66"/>
      <c r="R233" s="66"/>
      <c r="S233" s="66"/>
      <c r="T233" s="66"/>
      <c r="U233" s="66"/>
      <c r="V233" s="66"/>
      <c r="W233" s="66"/>
      <c r="X233" s="66"/>
    </row>
    <row r="234">
      <c r="A234" s="75"/>
      <c r="B234" s="485"/>
      <c r="C234" s="75"/>
      <c r="D234" s="485"/>
      <c r="E234" s="75"/>
      <c r="F234" s="485"/>
      <c r="G234" s="210"/>
      <c r="H234" s="485"/>
      <c r="I234" s="188"/>
      <c r="J234" s="485"/>
      <c r="K234" s="75"/>
      <c r="L234" s="66"/>
      <c r="M234" s="66"/>
      <c r="N234" s="66"/>
      <c r="O234" s="66"/>
      <c r="P234" s="66"/>
      <c r="Q234" s="66"/>
      <c r="R234" s="66"/>
      <c r="S234" s="66"/>
      <c r="T234" s="66"/>
      <c r="U234" s="66"/>
      <c r="V234" s="66"/>
      <c r="W234" s="66"/>
      <c r="X234" s="66"/>
    </row>
    <row r="235">
      <c r="A235" s="75"/>
      <c r="B235" s="485"/>
      <c r="C235" s="75"/>
      <c r="D235" s="485"/>
      <c r="E235" s="75"/>
      <c r="F235" s="485"/>
      <c r="G235" s="210"/>
      <c r="H235" s="485"/>
      <c r="I235" s="188"/>
      <c r="J235" s="485"/>
      <c r="K235" s="75"/>
      <c r="L235" s="66"/>
      <c r="M235" s="66"/>
      <c r="N235" s="66"/>
      <c r="O235" s="66"/>
      <c r="P235" s="66"/>
      <c r="Q235" s="66"/>
      <c r="R235" s="66"/>
      <c r="S235" s="66"/>
      <c r="T235" s="66"/>
      <c r="U235" s="66"/>
      <c r="V235" s="66"/>
      <c r="W235" s="66"/>
      <c r="X235" s="66"/>
    </row>
    <row r="236">
      <c r="A236" s="75"/>
      <c r="B236" s="485"/>
      <c r="C236" s="75"/>
      <c r="D236" s="485"/>
      <c r="E236" s="75"/>
      <c r="F236" s="485"/>
      <c r="G236" s="210"/>
      <c r="H236" s="485"/>
      <c r="I236" s="188"/>
      <c r="J236" s="485"/>
      <c r="K236" s="75"/>
      <c r="L236" s="66"/>
      <c r="M236" s="66"/>
      <c r="N236" s="66"/>
      <c r="O236" s="66"/>
      <c r="P236" s="66"/>
      <c r="Q236" s="66"/>
      <c r="R236" s="66"/>
      <c r="S236" s="66"/>
      <c r="T236" s="66"/>
      <c r="U236" s="66"/>
      <c r="V236" s="66"/>
      <c r="W236" s="66"/>
      <c r="X236" s="66"/>
    </row>
    <row r="237">
      <c r="A237" s="75"/>
      <c r="B237" s="485"/>
      <c r="C237" s="75"/>
      <c r="D237" s="485"/>
      <c r="E237" s="75"/>
      <c r="F237" s="485"/>
      <c r="G237" s="210"/>
      <c r="H237" s="485"/>
      <c r="I237" s="188"/>
      <c r="J237" s="485"/>
      <c r="K237" s="75"/>
      <c r="L237" s="66"/>
      <c r="M237" s="66"/>
      <c r="N237" s="66"/>
      <c r="O237" s="66"/>
      <c r="P237" s="66"/>
      <c r="Q237" s="66"/>
      <c r="R237" s="66"/>
      <c r="S237" s="66"/>
      <c r="T237" s="66"/>
      <c r="U237" s="66"/>
      <c r="V237" s="66"/>
      <c r="W237" s="66"/>
      <c r="X237" s="66"/>
    </row>
    <row r="238">
      <c r="A238" s="75"/>
      <c r="B238" s="485"/>
      <c r="C238" s="75"/>
      <c r="D238" s="485"/>
      <c r="E238" s="75"/>
      <c r="F238" s="485"/>
      <c r="G238" s="210"/>
      <c r="H238" s="485"/>
      <c r="I238" s="188"/>
      <c r="J238" s="485"/>
      <c r="K238" s="75"/>
      <c r="L238" s="66"/>
      <c r="M238" s="66"/>
      <c r="N238" s="66"/>
      <c r="O238" s="66"/>
      <c r="P238" s="66"/>
      <c r="Q238" s="66"/>
      <c r="R238" s="66"/>
      <c r="S238" s="66"/>
      <c r="T238" s="66"/>
      <c r="U238" s="66"/>
      <c r="V238" s="66"/>
      <c r="W238" s="66"/>
      <c r="X238" s="66"/>
    </row>
    <row r="239">
      <c r="A239" s="75"/>
      <c r="B239" s="485"/>
      <c r="C239" s="75"/>
      <c r="D239" s="485"/>
      <c r="E239" s="75"/>
      <c r="F239" s="485"/>
      <c r="G239" s="210"/>
      <c r="H239" s="485"/>
      <c r="I239" s="188"/>
      <c r="J239" s="485"/>
      <c r="K239" s="75"/>
      <c r="L239" s="66"/>
      <c r="M239" s="66"/>
      <c r="N239" s="66"/>
      <c r="O239" s="66"/>
      <c r="P239" s="66"/>
      <c r="Q239" s="66"/>
      <c r="R239" s="66"/>
      <c r="S239" s="66"/>
      <c r="T239" s="66"/>
      <c r="U239" s="66"/>
      <c r="V239" s="66"/>
      <c r="W239" s="66"/>
      <c r="X239" s="66"/>
    </row>
    <row r="240">
      <c r="A240" s="75"/>
      <c r="B240" s="485"/>
      <c r="C240" s="75"/>
      <c r="D240" s="485"/>
      <c r="E240" s="75"/>
      <c r="F240" s="485"/>
      <c r="G240" s="210"/>
      <c r="H240" s="485"/>
      <c r="I240" s="188"/>
      <c r="J240" s="485"/>
      <c r="K240" s="75"/>
      <c r="L240" s="66"/>
      <c r="M240" s="66"/>
      <c r="N240" s="66"/>
      <c r="O240" s="66"/>
      <c r="P240" s="66"/>
      <c r="Q240" s="66"/>
      <c r="R240" s="66"/>
      <c r="S240" s="66"/>
      <c r="T240" s="66"/>
      <c r="U240" s="66"/>
      <c r="V240" s="66"/>
      <c r="W240" s="66"/>
      <c r="X240" s="66"/>
    </row>
    <row r="241">
      <c r="A241" s="75"/>
      <c r="B241" s="485"/>
      <c r="C241" s="75"/>
      <c r="D241" s="485"/>
      <c r="E241" s="75"/>
      <c r="F241" s="485"/>
      <c r="G241" s="210"/>
      <c r="H241" s="485"/>
      <c r="I241" s="188"/>
      <c r="J241" s="485"/>
      <c r="K241" s="75"/>
      <c r="L241" s="66"/>
      <c r="M241" s="66"/>
      <c r="N241" s="66"/>
      <c r="O241" s="66"/>
      <c r="P241" s="66"/>
      <c r="Q241" s="66"/>
      <c r="R241" s="66"/>
      <c r="S241" s="66"/>
      <c r="T241" s="66"/>
      <c r="U241" s="66"/>
      <c r="V241" s="66"/>
      <c r="W241" s="66"/>
      <c r="X241" s="66"/>
    </row>
    <row r="242">
      <c r="A242" s="75"/>
      <c r="B242" s="485"/>
      <c r="C242" s="75"/>
      <c r="D242" s="485"/>
      <c r="E242" s="75"/>
      <c r="F242" s="485"/>
      <c r="G242" s="210"/>
      <c r="H242" s="485"/>
      <c r="I242" s="188"/>
      <c r="J242" s="485"/>
      <c r="K242" s="75"/>
      <c r="L242" s="66"/>
      <c r="M242" s="66"/>
      <c r="N242" s="66"/>
      <c r="O242" s="66"/>
      <c r="P242" s="66"/>
      <c r="Q242" s="66"/>
      <c r="R242" s="66"/>
      <c r="S242" s="66"/>
      <c r="T242" s="66"/>
      <c r="U242" s="66"/>
      <c r="V242" s="66"/>
      <c r="W242" s="66"/>
      <c r="X242" s="66"/>
    </row>
    <row r="243">
      <c r="A243" s="75"/>
      <c r="B243" s="485"/>
      <c r="C243" s="75"/>
      <c r="D243" s="485"/>
      <c r="E243" s="75"/>
      <c r="F243" s="485"/>
      <c r="G243" s="210"/>
      <c r="H243" s="485"/>
      <c r="I243" s="188"/>
      <c r="J243" s="485"/>
      <c r="K243" s="75"/>
      <c r="L243" s="66"/>
      <c r="M243" s="66"/>
      <c r="N243" s="66"/>
      <c r="O243" s="66"/>
      <c r="P243" s="66"/>
      <c r="Q243" s="66"/>
      <c r="R243" s="66"/>
      <c r="S243" s="66"/>
      <c r="T243" s="66"/>
      <c r="U243" s="66"/>
      <c r="V243" s="66"/>
      <c r="W243" s="66"/>
      <c r="X243" s="66"/>
    </row>
    <row r="244">
      <c r="A244" s="75"/>
      <c r="B244" s="485"/>
      <c r="C244" s="75"/>
      <c r="D244" s="485"/>
      <c r="E244" s="75"/>
      <c r="F244" s="485"/>
      <c r="G244" s="210"/>
      <c r="H244" s="485"/>
      <c r="I244" s="188"/>
      <c r="J244" s="485"/>
      <c r="K244" s="75"/>
      <c r="L244" s="66"/>
      <c r="M244" s="66"/>
      <c r="N244" s="66"/>
      <c r="O244" s="66"/>
      <c r="P244" s="66"/>
      <c r="Q244" s="66"/>
      <c r="R244" s="66"/>
      <c r="S244" s="66"/>
      <c r="T244" s="66"/>
      <c r="U244" s="66"/>
      <c r="V244" s="66"/>
      <c r="W244" s="66"/>
      <c r="X244" s="66"/>
    </row>
    <row r="245">
      <c r="A245" s="75"/>
      <c r="B245" s="485"/>
      <c r="C245" s="75"/>
      <c r="D245" s="485"/>
      <c r="E245" s="75"/>
      <c r="F245" s="485"/>
      <c r="G245" s="210"/>
      <c r="H245" s="485"/>
      <c r="I245" s="188"/>
      <c r="J245" s="485"/>
      <c r="K245" s="75"/>
      <c r="L245" s="66"/>
      <c r="M245" s="66"/>
      <c r="N245" s="66"/>
      <c r="O245" s="66"/>
      <c r="P245" s="66"/>
      <c r="Q245" s="66"/>
      <c r="R245" s="66"/>
      <c r="S245" s="66"/>
      <c r="T245" s="66"/>
      <c r="U245" s="66"/>
      <c r="V245" s="66"/>
      <c r="W245" s="66"/>
      <c r="X245" s="66"/>
    </row>
    <row r="246">
      <c r="A246" s="75"/>
      <c r="B246" s="485"/>
      <c r="C246" s="75"/>
      <c r="D246" s="485"/>
      <c r="E246" s="75"/>
      <c r="F246" s="485"/>
      <c r="G246" s="210"/>
      <c r="H246" s="485"/>
      <c r="I246" s="188"/>
      <c r="J246" s="485"/>
      <c r="K246" s="75"/>
      <c r="L246" s="66"/>
      <c r="M246" s="66"/>
      <c r="N246" s="66"/>
      <c r="O246" s="66"/>
      <c r="P246" s="66"/>
      <c r="Q246" s="66"/>
      <c r="R246" s="66"/>
      <c r="S246" s="66"/>
      <c r="T246" s="66"/>
      <c r="U246" s="66"/>
      <c r="V246" s="66"/>
      <c r="W246" s="66"/>
      <c r="X246" s="66"/>
    </row>
    <row r="247">
      <c r="A247" s="75"/>
      <c r="B247" s="485"/>
      <c r="C247" s="75"/>
      <c r="D247" s="485"/>
      <c r="E247" s="75"/>
      <c r="F247" s="485"/>
      <c r="G247" s="210"/>
      <c r="H247" s="485"/>
      <c r="I247" s="188"/>
      <c r="J247" s="485"/>
      <c r="K247" s="75"/>
      <c r="L247" s="66"/>
      <c r="M247" s="66"/>
      <c r="N247" s="66"/>
      <c r="O247" s="66"/>
      <c r="P247" s="66"/>
      <c r="Q247" s="66"/>
      <c r="R247" s="66"/>
      <c r="S247" s="66"/>
      <c r="T247" s="66"/>
      <c r="U247" s="66"/>
      <c r="V247" s="66"/>
      <c r="W247" s="66"/>
      <c r="X247" s="66"/>
    </row>
    <row r="248">
      <c r="A248" s="75"/>
      <c r="B248" s="485"/>
      <c r="C248" s="75"/>
      <c r="D248" s="485"/>
      <c r="E248" s="75"/>
      <c r="F248" s="485"/>
      <c r="G248" s="210"/>
      <c r="H248" s="485"/>
      <c r="I248" s="188"/>
      <c r="J248" s="485"/>
      <c r="K248" s="75"/>
      <c r="L248" s="66"/>
      <c r="M248" s="66"/>
      <c r="N248" s="66"/>
      <c r="O248" s="66"/>
      <c r="P248" s="66"/>
      <c r="Q248" s="66"/>
      <c r="R248" s="66"/>
      <c r="S248" s="66"/>
      <c r="T248" s="66"/>
      <c r="U248" s="66"/>
      <c r="V248" s="66"/>
      <c r="W248" s="66"/>
      <c r="X248" s="66"/>
    </row>
    <row r="249">
      <c r="A249" s="75"/>
      <c r="B249" s="485"/>
      <c r="C249" s="75"/>
      <c r="D249" s="485"/>
      <c r="E249" s="75"/>
      <c r="F249" s="485"/>
      <c r="G249" s="210"/>
      <c r="H249" s="485"/>
      <c r="I249" s="188"/>
      <c r="J249" s="485"/>
      <c r="K249" s="75"/>
      <c r="L249" s="66"/>
      <c r="M249" s="66"/>
      <c r="N249" s="66"/>
      <c r="O249" s="66"/>
      <c r="P249" s="66"/>
      <c r="Q249" s="66"/>
      <c r="R249" s="66"/>
      <c r="S249" s="66"/>
      <c r="T249" s="66"/>
      <c r="U249" s="66"/>
      <c r="V249" s="66"/>
      <c r="W249" s="66"/>
      <c r="X249" s="66"/>
    </row>
    <row r="250">
      <c r="A250" s="75"/>
      <c r="B250" s="485"/>
      <c r="C250" s="75"/>
      <c r="D250" s="485"/>
      <c r="E250" s="75"/>
      <c r="F250" s="485"/>
      <c r="G250" s="210"/>
      <c r="H250" s="485"/>
      <c r="I250" s="188"/>
      <c r="J250" s="485"/>
      <c r="K250" s="75"/>
      <c r="L250" s="66"/>
      <c r="M250" s="66"/>
      <c r="N250" s="66"/>
      <c r="O250" s="66"/>
      <c r="P250" s="66"/>
      <c r="Q250" s="66"/>
      <c r="R250" s="66"/>
      <c r="S250" s="66"/>
      <c r="T250" s="66"/>
      <c r="U250" s="66"/>
      <c r="V250" s="66"/>
      <c r="W250" s="66"/>
      <c r="X250" s="66"/>
    </row>
    <row r="251">
      <c r="A251" s="75"/>
      <c r="B251" s="485"/>
      <c r="C251" s="75"/>
      <c r="D251" s="485"/>
      <c r="E251" s="75"/>
      <c r="F251" s="485"/>
      <c r="G251" s="210"/>
      <c r="H251" s="485"/>
      <c r="I251" s="188"/>
      <c r="J251" s="485"/>
      <c r="K251" s="75"/>
      <c r="L251" s="66"/>
      <c r="M251" s="66"/>
      <c r="N251" s="66"/>
      <c r="O251" s="66"/>
      <c r="P251" s="66"/>
      <c r="Q251" s="66"/>
      <c r="R251" s="66"/>
      <c r="S251" s="66"/>
      <c r="T251" s="66"/>
      <c r="U251" s="66"/>
      <c r="V251" s="66"/>
      <c r="W251" s="66"/>
      <c r="X251" s="66"/>
    </row>
    <row r="252">
      <c r="A252" s="75"/>
      <c r="B252" s="485"/>
      <c r="C252" s="75"/>
      <c r="D252" s="485"/>
      <c r="E252" s="75"/>
      <c r="F252" s="485"/>
      <c r="G252" s="210"/>
      <c r="H252" s="485"/>
      <c r="I252" s="188"/>
      <c r="J252" s="485"/>
      <c r="K252" s="75"/>
      <c r="L252" s="66"/>
      <c r="M252" s="66"/>
      <c r="N252" s="66"/>
      <c r="O252" s="66"/>
      <c r="P252" s="66"/>
      <c r="Q252" s="66"/>
      <c r="R252" s="66"/>
      <c r="S252" s="66"/>
      <c r="T252" s="66"/>
      <c r="U252" s="66"/>
      <c r="V252" s="66"/>
      <c r="W252" s="66"/>
      <c r="X252" s="66"/>
    </row>
    <row r="253">
      <c r="A253" s="75"/>
      <c r="B253" s="485"/>
      <c r="C253" s="75"/>
      <c r="D253" s="485"/>
      <c r="E253" s="75"/>
      <c r="F253" s="485"/>
      <c r="G253" s="210"/>
      <c r="H253" s="485"/>
      <c r="I253" s="188"/>
      <c r="J253" s="485"/>
      <c r="K253" s="75"/>
      <c r="L253" s="66"/>
      <c r="M253" s="66"/>
      <c r="N253" s="66"/>
      <c r="O253" s="66"/>
      <c r="P253" s="66"/>
      <c r="Q253" s="66"/>
      <c r="R253" s="66"/>
      <c r="S253" s="66"/>
      <c r="T253" s="66"/>
      <c r="U253" s="66"/>
      <c r="V253" s="66"/>
      <c r="W253" s="66"/>
      <c r="X253" s="66"/>
    </row>
    <row r="254">
      <c r="A254" s="75"/>
      <c r="B254" s="485"/>
      <c r="C254" s="75"/>
      <c r="D254" s="485"/>
      <c r="E254" s="75"/>
      <c r="F254" s="485"/>
      <c r="G254" s="210"/>
      <c r="H254" s="485"/>
      <c r="I254" s="188"/>
      <c r="J254" s="485"/>
      <c r="K254" s="75"/>
      <c r="L254" s="66"/>
      <c r="M254" s="66"/>
      <c r="N254" s="66"/>
      <c r="O254" s="66"/>
      <c r="P254" s="66"/>
      <c r="Q254" s="66"/>
      <c r="R254" s="66"/>
      <c r="S254" s="66"/>
      <c r="T254" s="66"/>
      <c r="U254" s="66"/>
      <c r="V254" s="66"/>
      <c r="W254" s="66"/>
      <c r="X254" s="66"/>
    </row>
    <row r="255">
      <c r="A255" s="75"/>
      <c r="B255" s="485"/>
      <c r="C255" s="75"/>
      <c r="D255" s="485"/>
      <c r="E255" s="75"/>
      <c r="F255" s="485"/>
      <c r="G255" s="210"/>
      <c r="H255" s="485"/>
      <c r="I255" s="188"/>
      <c r="J255" s="485"/>
      <c r="K255" s="75"/>
      <c r="L255" s="66"/>
      <c r="M255" s="66"/>
      <c r="N255" s="66"/>
      <c r="O255" s="66"/>
      <c r="P255" s="66"/>
      <c r="Q255" s="66"/>
      <c r="R255" s="66"/>
      <c r="S255" s="66"/>
      <c r="T255" s="66"/>
      <c r="U255" s="66"/>
      <c r="V255" s="66"/>
      <c r="W255" s="66"/>
      <c r="X255" s="66"/>
    </row>
    <row r="256">
      <c r="A256" s="75"/>
      <c r="B256" s="485"/>
      <c r="C256" s="75"/>
      <c r="D256" s="485"/>
      <c r="E256" s="75"/>
      <c r="F256" s="485"/>
      <c r="G256" s="210"/>
      <c r="H256" s="485"/>
      <c r="I256" s="188"/>
      <c r="J256" s="485"/>
      <c r="K256" s="75"/>
      <c r="L256" s="66"/>
      <c r="M256" s="66"/>
      <c r="N256" s="66"/>
      <c r="O256" s="66"/>
      <c r="P256" s="66"/>
      <c r="Q256" s="66"/>
      <c r="R256" s="66"/>
      <c r="S256" s="66"/>
      <c r="T256" s="66"/>
      <c r="U256" s="66"/>
      <c r="V256" s="66"/>
      <c r="W256" s="66"/>
      <c r="X256" s="66"/>
    </row>
    <row r="257">
      <c r="A257" s="75"/>
      <c r="B257" s="485"/>
      <c r="C257" s="75"/>
      <c r="D257" s="485"/>
      <c r="E257" s="75"/>
      <c r="F257" s="485"/>
      <c r="G257" s="210"/>
      <c r="H257" s="485"/>
      <c r="I257" s="188"/>
      <c r="J257" s="485"/>
      <c r="K257" s="75"/>
      <c r="L257" s="66"/>
      <c r="M257" s="66"/>
      <c r="N257" s="66"/>
      <c r="O257" s="66"/>
      <c r="P257" s="66"/>
      <c r="Q257" s="66"/>
      <c r="R257" s="66"/>
      <c r="S257" s="66"/>
      <c r="T257" s="66"/>
      <c r="U257" s="66"/>
      <c r="V257" s="66"/>
      <c r="W257" s="66"/>
      <c r="X257" s="66"/>
    </row>
    <row r="258">
      <c r="A258" s="75"/>
      <c r="B258" s="485"/>
      <c r="C258" s="75"/>
      <c r="D258" s="485"/>
      <c r="E258" s="75"/>
      <c r="F258" s="485"/>
      <c r="G258" s="210"/>
      <c r="H258" s="485"/>
      <c r="I258" s="188"/>
      <c r="J258" s="485"/>
      <c r="K258" s="75"/>
      <c r="L258" s="66"/>
      <c r="M258" s="66"/>
      <c r="N258" s="66"/>
      <c r="O258" s="66"/>
      <c r="P258" s="66"/>
      <c r="Q258" s="66"/>
      <c r="R258" s="66"/>
      <c r="S258" s="66"/>
      <c r="T258" s="66"/>
      <c r="U258" s="66"/>
      <c r="V258" s="66"/>
      <c r="W258" s="66"/>
      <c r="X258" s="66"/>
    </row>
    <row r="259">
      <c r="A259" s="75"/>
      <c r="B259" s="485"/>
      <c r="C259" s="75"/>
      <c r="D259" s="485"/>
      <c r="E259" s="75"/>
      <c r="F259" s="485"/>
      <c r="G259" s="210"/>
      <c r="H259" s="485"/>
      <c r="I259" s="188"/>
      <c r="J259" s="485"/>
      <c r="K259" s="75"/>
      <c r="L259" s="66"/>
      <c r="M259" s="66"/>
      <c r="N259" s="66"/>
      <c r="O259" s="66"/>
      <c r="P259" s="66"/>
      <c r="Q259" s="66"/>
      <c r="R259" s="66"/>
      <c r="S259" s="66"/>
      <c r="T259" s="66"/>
      <c r="U259" s="66"/>
      <c r="V259" s="66"/>
      <c r="W259" s="66"/>
      <c r="X259" s="66"/>
    </row>
    <row r="260">
      <c r="A260" s="75"/>
      <c r="B260" s="485"/>
      <c r="C260" s="75"/>
      <c r="D260" s="485"/>
      <c r="E260" s="75"/>
      <c r="F260" s="485"/>
      <c r="G260" s="210"/>
      <c r="H260" s="485"/>
      <c r="I260" s="188"/>
      <c r="J260" s="485"/>
      <c r="K260" s="75"/>
      <c r="L260" s="66"/>
      <c r="M260" s="66"/>
      <c r="N260" s="66"/>
      <c r="O260" s="66"/>
      <c r="P260" s="66"/>
      <c r="Q260" s="66"/>
      <c r="R260" s="66"/>
      <c r="S260" s="66"/>
      <c r="T260" s="66"/>
      <c r="U260" s="66"/>
      <c r="V260" s="66"/>
      <c r="W260" s="66"/>
      <c r="X260" s="66"/>
    </row>
    <row r="261">
      <c r="A261" s="75"/>
      <c r="B261" s="485"/>
      <c r="C261" s="75"/>
      <c r="D261" s="485"/>
      <c r="E261" s="75"/>
      <c r="F261" s="485"/>
      <c r="G261" s="210"/>
      <c r="H261" s="485"/>
      <c r="I261" s="188"/>
      <c r="J261" s="485"/>
      <c r="K261" s="75"/>
      <c r="L261" s="66"/>
      <c r="M261" s="66"/>
      <c r="N261" s="66"/>
      <c r="O261" s="66"/>
      <c r="P261" s="66"/>
      <c r="Q261" s="66"/>
      <c r="R261" s="66"/>
      <c r="S261" s="66"/>
      <c r="T261" s="66"/>
      <c r="U261" s="66"/>
      <c r="V261" s="66"/>
      <c r="W261" s="66"/>
      <c r="X261" s="66"/>
    </row>
    <row r="262">
      <c r="A262" s="75"/>
      <c r="B262" s="485"/>
      <c r="C262" s="75"/>
      <c r="D262" s="485"/>
      <c r="E262" s="75"/>
      <c r="F262" s="485"/>
      <c r="G262" s="210"/>
      <c r="H262" s="485"/>
      <c r="I262" s="188"/>
      <c r="J262" s="485"/>
      <c r="K262" s="75"/>
      <c r="L262" s="66"/>
      <c r="M262" s="66"/>
      <c r="N262" s="66"/>
      <c r="O262" s="66"/>
      <c r="P262" s="66"/>
      <c r="Q262" s="66"/>
      <c r="R262" s="66"/>
      <c r="S262" s="66"/>
      <c r="T262" s="66"/>
      <c r="U262" s="66"/>
      <c r="V262" s="66"/>
      <c r="W262" s="66"/>
      <c r="X262" s="66"/>
    </row>
    <row r="263">
      <c r="A263" s="75"/>
      <c r="B263" s="485"/>
      <c r="C263" s="75"/>
      <c r="D263" s="485"/>
      <c r="E263" s="75"/>
      <c r="F263" s="485"/>
      <c r="G263" s="210"/>
      <c r="H263" s="485"/>
      <c r="I263" s="188"/>
      <c r="J263" s="485"/>
      <c r="K263" s="75"/>
      <c r="L263" s="66"/>
      <c r="M263" s="66"/>
      <c r="N263" s="66"/>
      <c r="O263" s="66"/>
      <c r="P263" s="66"/>
      <c r="Q263" s="66"/>
      <c r="R263" s="66"/>
      <c r="S263" s="66"/>
      <c r="T263" s="66"/>
      <c r="U263" s="66"/>
      <c r="V263" s="66"/>
      <c r="W263" s="66"/>
      <c r="X263" s="66"/>
    </row>
    <row r="264">
      <c r="A264" s="75"/>
      <c r="B264" s="485"/>
      <c r="C264" s="75"/>
      <c r="D264" s="485"/>
      <c r="E264" s="75"/>
      <c r="F264" s="485"/>
      <c r="G264" s="210"/>
      <c r="H264" s="485"/>
      <c r="I264" s="188"/>
      <c r="J264" s="485"/>
      <c r="K264" s="75"/>
      <c r="L264" s="66"/>
      <c r="M264" s="66"/>
      <c r="N264" s="66"/>
      <c r="O264" s="66"/>
      <c r="P264" s="66"/>
      <c r="Q264" s="66"/>
      <c r="R264" s="66"/>
      <c r="S264" s="66"/>
      <c r="T264" s="66"/>
      <c r="U264" s="66"/>
      <c r="V264" s="66"/>
      <c r="W264" s="66"/>
      <c r="X264" s="66"/>
    </row>
    <row r="265">
      <c r="A265" s="75"/>
      <c r="B265" s="485"/>
      <c r="C265" s="75"/>
      <c r="D265" s="485"/>
      <c r="E265" s="75"/>
      <c r="F265" s="485"/>
      <c r="G265" s="210"/>
      <c r="H265" s="485"/>
      <c r="I265" s="188"/>
      <c r="J265" s="485"/>
      <c r="K265" s="75"/>
      <c r="L265" s="66"/>
      <c r="M265" s="66"/>
      <c r="N265" s="66"/>
      <c r="O265" s="66"/>
      <c r="P265" s="66"/>
      <c r="Q265" s="66"/>
      <c r="R265" s="66"/>
      <c r="S265" s="66"/>
      <c r="T265" s="66"/>
      <c r="U265" s="66"/>
      <c r="V265" s="66"/>
      <c r="W265" s="66"/>
      <c r="X265" s="66"/>
    </row>
    <row r="266">
      <c r="A266" s="75"/>
      <c r="B266" s="485"/>
      <c r="C266" s="75"/>
      <c r="D266" s="485"/>
      <c r="E266" s="75"/>
      <c r="F266" s="485"/>
      <c r="G266" s="210"/>
      <c r="H266" s="485"/>
      <c r="I266" s="188"/>
      <c r="J266" s="485"/>
      <c r="K266" s="75"/>
      <c r="L266" s="66"/>
      <c r="M266" s="66"/>
      <c r="N266" s="66"/>
      <c r="O266" s="66"/>
      <c r="P266" s="66"/>
      <c r="Q266" s="66"/>
      <c r="R266" s="66"/>
      <c r="S266" s="66"/>
      <c r="T266" s="66"/>
      <c r="U266" s="66"/>
      <c r="V266" s="66"/>
      <c r="W266" s="66"/>
      <c r="X266" s="66"/>
    </row>
    <row r="267">
      <c r="A267" s="75"/>
      <c r="B267" s="485"/>
      <c r="C267" s="75"/>
      <c r="D267" s="485"/>
      <c r="E267" s="75"/>
      <c r="F267" s="485"/>
      <c r="G267" s="210"/>
      <c r="H267" s="485"/>
      <c r="I267" s="188"/>
      <c r="J267" s="485"/>
      <c r="K267" s="75"/>
      <c r="L267" s="66"/>
      <c r="M267" s="66"/>
      <c r="N267" s="66"/>
      <c r="O267" s="66"/>
      <c r="P267" s="66"/>
      <c r="Q267" s="66"/>
      <c r="R267" s="66"/>
      <c r="S267" s="66"/>
      <c r="T267" s="66"/>
      <c r="U267" s="66"/>
      <c r="V267" s="66"/>
      <c r="W267" s="66"/>
      <c r="X267" s="66"/>
    </row>
    <row r="268">
      <c r="A268" s="75"/>
      <c r="B268" s="485"/>
      <c r="C268" s="75"/>
      <c r="D268" s="485"/>
      <c r="E268" s="75"/>
      <c r="F268" s="485"/>
      <c r="G268" s="210"/>
      <c r="H268" s="485"/>
      <c r="I268" s="188"/>
      <c r="J268" s="485"/>
      <c r="K268" s="75"/>
      <c r="L268" s="66"/>
      <c r="M268" s="66"/>
      <c r="N268" s="66"/>
      <c r="O268" s="66"/>
      <c r="P268" s="66"/>
      <c r="Q268" s="66"/>
      <c r="R268" s="66"/>
      <c r="S268" s="66"/>
      <c r="T268" s="66"/>
      <c r="U268" s="66"/>
      <c r="V268" s="66"/>
      <c r="W268" s="66"/>
      <c r="X268" s="66"/>
    </row>
    <row r="269">
      <c r="A269" s="75"/>
      <c r="B269" s="485"/>
      <c r="C269" s="75"/>
      <c r="D269" s="485"/>
      <c r="E269" s="75"/>
      <c r="F269" s="485"/>
      <c r="G269" s="210"/>
      <c r="H269" s="485"/>
      <c r="I269" s="188"/>
      <c r="J269" s="485"/>
      <c r="K269" s="75"/>
      <c r="L269" s="66"/>
      <c r="M269" s="66"/>
      <c r="N269" s="66"/>
      <c r="O269" s="66"/>
      <c r="P269" s="66"/>
      <c r="Q269" s="66"/>
      <c r="R269" s="66"/>
      <c r="S269" s="66"/>
      <c r="T269" s="66"/>
      <c r="U269" s="66"/>
      <c r="V269" s="66"/>
      <c r="W269" s="66"/>
      <c r="X269" s="66"/>
    </row>
    <row r="270">
      <c r="A270" s="75"/>
      <c r="B270" s="485"/>
      <c r="C270" s="75"/>
      <c r="D270" s="485"/>
      <c r="E270" s="75"/>
      <c r="F270" s="485"/>
      <c r="G270" s="210"/>
      <c r="H270" s="485"/>
      <c r="I270" s="188"/>
      <c r="J270" s="485"/>
      <c r="K270" s="75"/>
      <c r="L270" s="66"/>
      <c r="M270" s="66"/>
      <c r="N270" s="66"/>
      <c r="O270" s="66"/>
      <c r="P270" s="66"/>
      <c r="Q270" s="66"/>
      <c r="R270" s="66"/>
      <c r="S270" s="66"/>
      <c r="T270" s="66"/>
      <c r="U270" s="66"/>
      <c r="V270" s="66"/>
      <c r="W270" s="66"/>
      <c r="X270" s="66"/>
    </row>
    <row r="271">
      <c r="A271" s="75"/>
      <c r="B271" s="485"/>
      <c r="C271" s="75"/>
      <c r="D271" s="485"/>
      <c r="E271" s="75"/>
      <c r="F271" s="485"/>
      <c r="G271" s="210"/>
      <c r="H271" s="485"/>
      <c r="I271" s="188"/>
      <c r="J271" s="485"/>
      <c r="K271" s="75"/>
      <c r="L271" s="66"/>
      <c r="M271" s="66"/>
      <c r="N271" s="66"/>
      <c r="O271" s="66"/>
      <c r="P271" s="66"/>
      <c r="Q271" s="66"/>
      <c r="R271" s="66"/>
      <c r="S271" s="66"/>
      <c r="T271" s="66"/>
      <c r="U271" s="66"/>
      <c r="V271" s="66"/>
      <c r="W271" s="66"/>
      <c r="X271" s="66"/>
    </row>
    <row r="272">
      <c r="A272" s="75"/>
      <c r="B272" s="485"/>
      <c r="C272" s="75"/>
      <c r="D272" s="485"/>
      <c r="E272" s="75"/>
      <c r="F272" s="485"/>
      <c r="G272" s="210"/>
      <c r="H272" s="485"/>
      <c r="I272" s="188"/>
      <c r="J272" s="485"/>
      <c r="K272" s="75"/>
      <c r="L272" s="66"/>
      <c r="M272" s="66"/>
      <c r="N272" s="66"/>
      <c r="O272" s="66"/>
      <c r="P272" s="66"/>
      <c r="Q272" s="66"/>
      <c r="R272" s="66"/>
      <c r="S272" s="66"/>
      <c r="T272" s="66"/>
      <c r="U272" s="66"/>
      <c r="V272" s="66"/>
      <c r="W272" s="66"/>
      <c r="X272" s="66"/>
    </row>
    <row r="273">
      <c r="A273" s="75"/>
      <c r="B273" s="485"/>
      <c r="C273" s="75"/>
      <c r="D273" s="485"/>
      <c r="E273" s="75"/>
      <c r="F273" s="485"/>
      <c r="G273" s="210"/>
      <c r="H273" s="485"/>
      <c r="I273" s="188"/>
      <c r="J273" s="485"/>
      <c r="K273" s="75"/>
      <c r="L273" s="66"/>
      <c r="M273" s="66"/>
      <c r="N273" s="66"/>
      <c r="O273" s="66"/>
      <c r="P273" s="66"/>
      <c r="Q273" s="66"/>
      <c r="R273" s="66"/>
      <c r="S273" s="66"/>
      <c r="T273" s="66"/>
      <c r="U273" s="66"/>
      <c r="V273" s="66"/>
      <c r="W273" s="66"/>
      <c r="X273" s="66"/>
    </row>
    <row r="274">
      <c r="A274" s="75"/>
      <c r="B274" s="485"/>
      <c r="C274" s="75"/>
      <c r="D274" s="485"/>
      <c r="E274" s="75"/>
      <c r="F274" s="485"/>
      <c r="G274" s="210"/>
      <c r="H274" s="485"/>
      <c r="I274" s="188"/>
      <c r="J274" s="485"/>
      <c r="K274" s="75"/>
      <c r="L274" s="66"/>
      <c r="M274" s="66"/>
      <c r="N274" s="66"/>
      <c r="O274" s="66"/>
      <c r="P274" s="66"/>
      <c r="Q274" s="66"/>
      <c r="R274" s="66"/>
      <c r="S274" s="66"/>
      <c r="T274" s="66"/>
      <c r="U274" s="66"/>
      <c r="V274" s="66"/>
      <c r="W274" s="66"/>
      <c r="X274" s="66"/>
    </row>
    <row r="275">
      <c r="A275" s="75"/>
      <c r="B275" s="485"/>
      <c r="C275" s="75"/>
      <c r="D275" s="485"/>
      <c r="E275" s="75"/>
      <c r="F275" s="485"/>
      <c r="G275" s="210"/>
      <c r="H275" s="485"/>
      <c r="I275" s="188"/>
      <c r="J275" s="485"/>
      <c r="K275" s="75"/>
      <c r="L275" s="66"/>
      <c r="M275" s="66"/>
      <c r="N275" s="66"/>
      <c r="O275" s="66"/>
      <c r="P275" s="66"/>
      <c r="Q275" s="66"/>
      <c r="R275" s="66"/>
      <c r="S275" s="66"/>
      <c r="T275" s="66"/>
      <c r="U275" s="66"/>
      <c r="V275" s="66"/>
      <c r="W275" s="66"/>
      <c r="X275" s="66"/>
    </row>
    <row r="276">
      <c r="A276" s="75"/>
      <c r="B276" s="485"/>
      <c r="C276" s="75"/>
      <c r="D276" s="485"/>
      <c r="E276" s="75"/>
      <c r="F276" s="485"/>
      <c r="G276" s="210"/>
      <c r="H276" s="485"/>
      <c r="I276" s="188"/>
      <c r="J276" s="485"/>
      <c r="K276" s="75"/>
      <c r="L276" s="66"/>
      <c r="M276" s="66"/>
      <c r="N276" s="66"/>
      <c r="O276" s="66"/>
      <c r="P276" s="66"/>
      <c r="Q276" s="66"/>
      <c r="R276" s="66"/>
      <c r="S276" s="66"/>
      <c r="T276" s="66"/>
      <c r="U276" s="66"/>
      <c r="V276" s="66"/>
      <c r="W276" s="66"/>
      <c r="X276" s="66"/>
    </row>
    <row r="277">
      <c r="A277" s="75"/>
      <c r="B277" s="485"/>
      <c r="C277" s="75"/>
      <c r="D277" s="485"/>
      <c r="E277" s="75"/>
      <c r="F277" s="485"/>
      <c r="G277" s="210"/>
      <c r="H277" s="485"/>
      <c r="I277" s="188"/>
      <c r="J277" s="485"/>
      <c r="K277" s="75"/>
      <c r="L277" s="66"/>
      <c r="M277" s="66"/>
      <c r="N277" s="66"/>
      <c r="O277" s="66"/>
      <c r="P277" s="66"/>
      <c r="Q277" s="66"/>
      <c r="R277" s="66"/>
      <c r="S277" s="66"/>
      <c r="T277" s="66"/>
      <c r="U277" s="66"/>
      <c r="V277" s="66"/>
      <c r="W277" s="66"/>
      <c r="X277" s="66"/>
    </row>
    <row r="278">
      <c r="A278" s="75"/>
      <c r="B278" s="485"/>
      <c r="C278" s="75"/>
      <c r="D278" s="485"/>
      <c r="E278" s="75"/>
      <c r="F278" s="485"/>
      <c r="G278" s="210"/>
      <c r="H278" s="485"/>
      <c r="I278" s="188"/>
      <c r="J278" s="485"/>
      <c r="K278" s="75"/>
      <c r="L278" s="66"/>
      <c r="M278" s="66"/>
      <c r="N278" s="66"/>
      <c r="O278" s="66"/>
      <c r="P278" s="66"/>
      <c r="Q278" s="66"/>
      <c r="R278" s="66"/>
      <c r="S278" s="66"/>
      <c r="T278" s="66"/>
      <c r="U278" s="66"/>
      <c r="V278" s="66"/>
      <c r="W278" s="66"/>
      <c r="X278" s="66"/>
    </row>
    <row r="279">
      <c r="A279" s="75"/>
      <c r="B279" s="485"/>
      <c r="C279" s="75"/>
      <c r="D279" s="485"/>
      <c r="E279" s="75"/>
      <c r="F279" s="485"/>
      <c r="G279" s="210"/>
      <c r="H279" s="485"/>
      <c r="I279" s="188"/>
      <c r="J279" s="485"/>
      <c r="K279" s="75"/>
      <c r="L279" s="66"/>
      <c r="M279" s="66"/>
      <c r="N279" s="66"/>
      <c r="O279" s="66"/>
      <c r="P279" s="66"/>
      <c r="Q279" s="66"/>
      <c r="R279" s="66"/>
      <c r="S279" s="66"/>
      <c r="T279" s="66"/>
      <c r="U279" s="66"/>
      <c r="V279" s="66"/>
      <c r="W279" s="66"/>
      <c r="X279" s="66"/>
    </row>
    <row r="280">
      <c r="A280" s="75"/>
      <c r="B280" s="485"/>
      <c r="C280" s="75"/>
      <c r="D280" s="485"/>
      <c r="E280" s="75"/>
      <c r="F280" s="485"/>
      <c r="G280" s="210"/>
      <c r="H280" s="485"/>
      <c r="I280" s="188"/>
      <c r="J280" s="485"/>
      <c r="K280" s="75"/>
      <c r="L280" s="66"/>
      <c r="M280" s="66"/>
      <c r="N280" s="66"/>
      <c r="O280" s="66"/>
      <c r="P280" s="66"/>
      <c r="Q280" s="66"/>
      <c r="R280" s="66"/>
      <c r="S280" s="66"/>
      <c r="T280" s="66"/>
      <c r="U280" s="66"/>
      <c r="V280" s="66"/>
      <c r="W280" s="66"/>
      <c r="X280" s="66"/>
    </row>
    <row r="281">
      <c r="A281" s="75"/>
      <c r="B281" s="485"/>
      <c r="C281" s="75"/>
      <c r="D281" s="485"/>
      <c r="E281" s="75"/>
      <c r="F281" s="485"/>
      <c r="G281" s="210"/>
      <c r="H281" s="485"/>
      <c r="I281" s="188"/>
      <c r="J281" s="485"/>
      <c r="K281" s="75"/>
      <c r="L281" s="66"/>
      <c r="M281" s="66"/>
      <c r="N281" s="66"/>
      <c r="O281" s="66"/>
      <c r="P281" s="66"/>
      <c r="Q281" s="66"/>
      <c r="R281" s="66"/>
      <c r="S281" s="66"/>
      <c r="T281" s="66"/>
      <c r="U281" s="66"/>
      <c r="V281" s="66"/>
      <c r="W281" s="66"/>
      <c r="X281" s="66"/>
    </row>
    <row r="282">
      <c r="A282" s="75"/>
      <c r="B282" s="485"/>
      <c r="C282" s="75"/>
      <c r="D282" s="485"/>
      <c r="E282" s="75"/>
      <c r="F282" s="485"/>
      <c r="G282" s="210"/>
      <c r="H282" s="485"/>
      <c r="I282" s="188"/>
      <c r="J282" s="485"/>
      <c r="K282" s="75"/>
      <c r="L282" s="66"/>
      <c r="M282" s="66"/>
      <c r="N282" s="66"/>
      <c r="O282" s="66"/>
      <c r="P282" s="66"/>
      <c r="Q282" s="66"/>
      <c r="R282" s="66"/>
      <c r="S282" s="66"/>
      <c r="T282" s="66"/>
      <c r="U282" s="66"/>
      <c r="V282" s="66"/>
      <c r="W282" s="66"/>
      <c r="X282" s="66"/>
    </row>
    <row r="283">
      <c r="A283" s="75"/>
      <c r="B283" s="485"/>
      <c r="C283" s="75"/>
      <c r="D283" s="485"/>
      <c r="E283" s="75"/>
      <c r="F283" s="485"/>
      <c r="G283" s="210"/>
      <c r="H283" s="485"/>
      <c r="I283" s="188"/>
      <c r="J283" s="485"/>
      <c r="K283" s="75"/>
      <c r="L283" s="66"/>
      <c r="M283" s="66"/>
      <c r="N283" s="66"/>
      <c r="O283" s="66"/>
      <c r="P283" s="66"/>
      <c r="Q283" s="66"/>
      <c r="R283" s="66"/>
      <c r="S283" s="66"/>
      <c r="T283" s="66"/>
      <c r="U283" s="66"/>
      <c r="V283" s="66"/>
      <c r="W283" s="66"/>
      <c r="X283" s="66"/>
    </row>
    <row r="284">
      <c r="A284" s="75"/>
      <c r="B284" s="485"/>
      <c r="C284" s="75"/>
      <c r="D284" s="485"/>
      <c r="E284" s="75"/>
      <c r="F284" s="485"/>
      <c r="G284" s="210"/>
      <c r="H284" s="485"/>
      <c r="I284" s="188"/>
      <c r="J284" s="485"/>
      <c r="K284" s="75"/>
      <c r="L284" s="66"/>
      <c r="M284" s="66"/>
      <c r="N284" s="66"/>
      <c r="O284" s="66"/>
      <c r="P284" s="66"/>
      <c r="Q284" s="66"/>
      <c r="R284" s="66"/>
      <c r="S284" s="66"/>
      <c r="T284" s="66"/>
      <c r="U284" s="66"/>
      <c r="V284" s="66"/>
      <c r="W284" s="66"/>
      <c r="X284" s="66"/>
    </row>
    <row r="285">
      <c r="A285" s="75"/>
      <c r="B285" s="485"/>
      <c r="C285" s="75"/>
      <c r="D285" s="485"/>
      <c r="E285" s="75"/>
      <c r="F285" s="485"/>
      <c r="G285" s="210"/>
      <c r="H285" s="485"/>
      <c r="I285" s="188"/>
      <c r="J285" s="485"/>
      <c r="K285" s="75"/>
      <c r="L285" s="66"/>
      <c r="M285" s="66"/>
      <c r="N285" s="66"/>
      <c r="O285" s="66"/>
      <c r="P285" s="66"/>
      <c r="Q285" s="66"/>
      <c r="R285" s="66"/>
      <c r="S285" s="66"/>
      <c r="T285" s="66"/>
      <c r="U285" s="66"/>
      <c r="V285" s="66"/>
      <c r="W285" s="66"/>
      <c r="X285" s="66"/>
    </row>
    <row r="286">
      <c r="A286" s="75"/>
      <c r="B286" s="485"/>
      <c r="C286" s="75"/>
      <c r="D286" s="485"/>
      <c r="E286" s="75"/>
      <c r="F286" s="485"/>
      <c r="G286" s="210"/>
      <c r="H286" s="485"/>
      <c r="I286" s="188"/>
      <c r="J286" s="485"/>
      <c r="K286" s="75"/>
      <c r="L286" s="66"/>
      <c r="M286" s="66"/>
      <c r="N286" s="66"/>
      <c r="O286" s="66"/>
      <c r="P286" s="66"/>
      <c r="Q286" s="66"/>
      <c r="R286" s="66"/>
      <c r="S286" s="66"/>
      <c r="T286" s="66"/>
      <c r="U286" s="66"/>
      <c r="V286" s="66"/>
      <c r="W286" s="66"/>
      <c r="X286" s="66"/>
    </row>
    <row r="287">
      <c r="A287" s="75"/>
      <c r="B287" s="485"/>
      <c r="C287" s="75"/>
      <c r="D287" s="485"/>
      <c r="E287" s="75"/>
      <c r="F287" s="485"/>
      <c r="G287" s="210"/>
      <c r="H287" s="485"/>
      <c r="I287" s="188"/>
      <c r="J287" s="485"/>
      <c r="K287" s="75"/>
      <c r="L287" s="66"/>
      <c r="M287" s="66"/>
      <c r="N287" s="66"/>
      <c r="O287" s="66"/>
      <c r="P287" s="66"/>
      <c r="Q287" s="66"/>
      <c r="R287" s="66"/>
      <c r="S287" s="66"/>
      <c r="T287" s="66"/>
      <c r="U287" s="66"/>
      <c r="V287" s="66"/>
      <c r="W287" s="66"/>
      <c r="X287" s="66"/>
    </row>
    <row r="288">
      <c r="A288" s="75"/>
      <c r="B288" s="485"/>
      <c r="C288" s="75"/>
      <c r="D288" s="485"/>
      <c r="E288" s="75"/>
      <c r="F288" s="485"/>
      <c r="G288" s="210"/>
      <c r="H288" s="485"/>
      <c r="I288" s="188"/>
      <c r="J288" s="485"/>
      <c r="K288" s="75"/>
      <c r="L288" s="66"/>
      <c r="M288" s="66"/>
      <c r="N288" s="66"/>
      <c r="O288" s="66"/>
      <c r="P288" s="66"/>
      <c r="Q288" s="66"/>
      <c r="R288" s="66"/>
      <c r="S288" s="66"/>
      <c r="T288" s="66"/>
      <c r="U288" s="66"/>
      <c r="V288" s="66"/>
      <c r="W288" s="66"/>
      <c r="X288" s="66"/>
    </row>
    <row r="289">
      <c r="A289" s="75"/>
      <c r="B289" s="485"/>
      <c r="C289" s="75"/>
      <c r="D289" s="485"/>
      <c r="E289" s="75"/>
      <c r="F289" s="485"/>
      <c r="G289" s="210"/>
      <c r="H289" s="485"/>
      <c r="I289" s="188"/>
      <c r="J289" s="485"/>
      <c r="K289" s="75"/>
      <c r="L289" s="66"/>
      <c r="M289" s="66"/>
      <c r="N289" s="66"/>
      <c r="O289" s="66"/>
      <c r="P289" s="66"/>
      <c r="Q289" s="66"/>
      <c r="R289" s="66"/>
      <c r="S289" s="66"/>
      <c r="T289" s="66"/>
      <c r="U289" s="66"/>
      <c r="V289" s="66"/>
      <c r="W289" s="66"/>
      <c r="X289" s="66"/>
    </row>
    <row r="290">
      <c r="A290" s="75"/>
      <c r="B290" s="485"/>
      <c r="C290" s="75"/>
      <c r="D290" s="485"/>
      <c r="E290" s="75"/>
      <c r="F290" s="485"/>
      <c r="G290" s="210"/>
      <c r="H290" s="485"/>
      <c r="I290" s="188"/>
      <c r="J290" s="485"/>
      <c r="K290" s="75"/>
      <c r="L290" s="66"/>
      <c r="M290" s="66"/>
      <c r="N290" s="66"/>
      <c r="O290" s="66"/>
      <c r="P290" s="66"/>
      <c r="Q290" s="66"/>
      <c r="R290" s="66"/>
      <c r="S290" s="66"/>
      <c r="T290" s="66"/>
      <c r="U290" s="66"/>
      <c r="V290" s="66"/>
      <c r="W290" s="66"/>
      <c r="X290" s="66"/>
    </row>
    <row r="291">
      <c r="A291" s="75"/>
      <c r="B291" s="485"/>
      <c r="C291" s="75"/>
      <c r="D291" s="485"/>
      <c r="E291" s="75"/>
      <c r="F291" s="485"/>
      <c r="G291" s="210"/>
      <c r="H291" s="485"/>
      <c r="I291" s="188"/>
      <c r="J291" s="485"/>
      <c r="K291" s="75"/>
      <c r="L291" s="66"/>
      <c r="M291" s="66"/>
      <c r="N291" s="66"/>
      <c r="O291" s="66"/>
      <c r="P291" s="66"/>
      <c r="Q291" s="66"/>
      <c r="R291" s="66"/>
      <c r="S291" s="66"/>
      <c r="T291" s="66"/>
      <c r="U291" s="66"/>
      <c r="V291" s="66"/>
      <c r="W291" s="66"/>
      <c r="X291" s="66"/>
    </row>
    <row r="292">
      <c r="A292" s="75"/>
      <c r="B292" s="485"/>
      <c r="C292" s="75"/>
      <c r="D292" s="485"/>
      <c r="E292" s="75"/>
      <c r="F292" s="485"/>
      <c r="G292" s="210"/>
      <c r="H292" s="485"/>
      <c r="I292" s="188"/>
      <c r="J292" s="485"/>
      <c r="K292" s="75"/>
      <c r="L292" s="66"/>
      <c r="M292" s="66"/>
      <c r="N292" s="66"/>
      <c r="O292" s="66"/>
      <c r="P292" s="66"/>
      <c r="Q292" s="66"/>
      <c r="R292" s="66"/>
      <c r="S292" s="66"/>
      <c r="T292" s="66"/>
      <c r="U292" s="66"/>
      <c r="V292" s="66"/>
      <c r="W292" s="66"/>
      <c r="X292" s="66"/>
    </row>
    <row r="293">
      <c r="A293" s="75"/>
      <c r="B293" s="485"/>
      <c r="C293" s="75"/>
      <c r="D293" s="485"/>
      <c r="E293" s="75"/>
      <c r="F293" s="485"/>
      <c r="G293" s="210"/>
      <c r="H293" s="485"/>
      <c r="I293" s="188"/>
      <c r="J293" s="485"/>
      <c r="K293" s="75"/>
      <c r="L293" s="66"/>
      <c r="M293" s="66"/>
      <c r="N293" s="66"/>
      <c r="O293" s="66"/>
      <c r="P293" s="66"/>
      <c r="Q293" s="66"/>
      <c r="R293" s="66"/>
      <c r="S293" s="66"/>
      <c r="T293" s="66"/>
      <c r="U293" s="66"/>
      <c r="V293" s="66"/>
      <c r="W293" s="66"/>
      <c r="X293" s="66"/>
    </row>
    <row r="294">
      <c r="A294" s="75"/>
      <c r="B294" s="485"/>
      <c r="C294" s="75"/>
      <c r="D294" s="485"/>
      <c r="E294" s="75"/>
      <c r="F294" s="485"/>
      <c r="G294" s="210"/>
      <c r="H294" s="485"/>
      <c r="I294" s="188"/>
      <c r="J294" s="485"/>
      <c r="K294" s="75"/>
      <c r="L294" s="66"/>
      <c r="M294" s="66"/>
      <c r="N294" s="66"/>
      <c r="O294" s="66"/>
      <c r="P294" s="66"/>
      <c r="Q294" s="66"/>
      <c r="R294" s="66"/>
      <c r="S294" s="66"/>
      <c r="T294" s="66"/>
      <c r="U294" s="66"/>
      <c r="V294" s="66"/>
      <c r="W294" s="66"/>
      <c r="X294" s="66"/>
    </row>
    <row r="295">
      <c r="A295" s="75"/>
      <c r="B295" s="485"/>
      <c r="C295" s="75"/>
      <c r="D295" s="485"/>
      <c r="E295" s="75"/>
      <c r="F295" s="485"/>
      <c r="G295" s="210"/>
      <c r="H295" s="485"/>
      <c r="I295" s="188"/>
      <c r="J295" s="485"/>
      <c r="K295" s="75"/>
      <c r="L295" s="66"/>
      <c r="M295" s="66"/>
      <c r="N295" s="66"/>
      <c r="O295" s="66"/>
      <c r="P295" s="66"/>
      <c r="Q295" s="66"/>
      <c r="R295" s="66"/>
      <c r="S295" s="66"/>
      <c r="T295" s="66"/>
      <c r="U295" s="66"/>
      <c r="V295" s="66"/>
      <c r="W295" s="66"/>
      <c r="X295" s="66"/>
    </row>
    <row r="296">
      <c r="A296" s="75"/>
      <c r="B296" s="485"/>
      <c r="C296" s="75"/>
      <c r="D296" s="485"/>
      <c r="E296" s="75"/>
      <c r="F296" s="485"/>
      <c r="G296" s="210"/>
      <c r="H296" s="485"/>
      <c r="I296" s="188"/>
      <c r="J296" s="485"/>
      <c r="K296" s="75"/>
      <c r="L296" s="66"/>
      <c r="M296" s="66"/>
      <c r="N296" s="66"/>
      <c r="O296" s="66"/>
      <c r="P296" s="66"/>
      <c r="Q296" s="66"/>
      <c r="R296" s="66"/>
      <c r="S296" s="66"/>
      <c r="T296" s="66"/>
      <c r="U296" s="66"/>
      <c r="V296" s="66"/>
      <c r="W296" s="66"/>
      <c r="X296" s="66"/>
    </row>
    <row r="297">
      <c r="A297" s="75"/>
      <c r="B297" s="485"/>
      <c r="C297" s="75"/>
      <c r="D297" s="485"/>
      <c r="E297" s="75"/>
      <c r="F297" s="485"/>
      <c r="G297" s="210"/>
      <c r="H297" s="485"/>
      <c r="I297" s="188"/>
      <c r="J297" s="485"/>
      <c r="K297" s="75"/>
      <c r="L297" s="66"/>
      <c r="M297" s="66"/>
      <c r="N297" s="66"/>
      <c r="O297" s="66"/>
      <c r="P297" s="66"/>
      <c r="Q297" s="66"/>
      <c r="R297" s="66"/>
      <c r="S297" s="66"/>
      <c r="T297" s="66"/>
      <c r="U297" s="66"/>
      <c r="V297" s="66"/>
      <c r="W297" s="66"/>
      <c r="X297" s="66"/>
    </row>
    <row r="298">
      <c r="A298" s="75"/>
      <c r="B298" s="485"/>
      <c r="C298" s="75"/>
      <c r="D298" s="485"/>
      <c r="E298" s="75"/>
      <c r="F298" s="485"/>
      <c r="G298" s="210"/>
      <c r="H298" s="485"/>
      <c r="I298" s="188"/>
      <c r="J298" s="485"/>
      <c r="K298" s="75"/>
      <c r="L298" s="66"/>
      <c r="M298" s="66"/>
      <c r="N298" s="66"/>
      <c r="O298" s="66"/>
      <c r="P298" s="66"/>
      <c r="Q298" s="66"/>
      <c r="R298" s="66"/>
      <c r="S298" s="66"/>
      <c r="T298" s="66"/>
      <c r="U298" s="66"/>
      <c r="V298" s="66"/>
      <c r="W298" s="66"/>
      <c r="X298" s="66"/>
    </row>
    <row r="299">
      <c r="A299" s="75"/>
      <c r="B299" s="485"/>
      <c r="C299" s="75"/>
      <c r="D299" s="485"/>
      <c r="E299" s="75"/>
      <c r="F299" s="485"/>
      <c r="G299" s="210"/>
      <c r="H299" s="485"/>
      <c r="I299" s="188"/>
      <c r="J299" s="485"/>
      <c r="K299" s="75"/>
      <c r="L299" s="66"/>
      <c r="M299" s="66"/>
      <c r="N299" s="66"/>
      <c r="O299" s="66"/>
      <c r="P299" s="66"/>
      <c r="Q299" s="66"/>
      <c r="R299" s="66"/>
      <c r="S299" s="66"/>
      <c r="T299" s="66"/>
      <c r="U299" s="66"/>
      <c r="V299" s="66"/>
      <c r="W299" s="66"/>
      <c r="X299" s="66"/>
    </row>
    <row r="300">
      <c r="A300" s="75"/>
      <c r="B300" s="485"/>
      <c r="C300" s="75"/>
      <c r="D300" s="485"/>
      <c r="E300" s="75"/>
      <c r="F300" s="485"/>
      <c r="G300" s="210"/>
      <c r="H300" s="485"/>
      <c r="I300" s="188"/>
      <c r="J300" s="485"/>
      <c r="K300" s="75"/>
      <c r="L300" s="66"/>
      <c r="M300" s="66"/>
      <c r="N300" s="66"/>
      <c r="O300" s="66"/>
      <c r="P300" s="66"/>
      <c r="Q300" s="66"/>
      <c r="R300" s="66"/>
      <c r="S300" s="66"/>
      <c r="T300" s="66"/>
      <c r="U300" s="66"/>
      <c r="V300" s="66"/>
      <c r="W300" s="66"/>
      <c r="X300" s="66"/>
    </row>
    <row r="301">
      <c r="A301" s="75"/>
      <c r="B301" s="485"/>
      <c r="C301" s="75"/>
      <c r="D301" s="485"/>
      <c r="E301" s="75"/>
      <c r="F301" s="485"/>
      <c r="G301" s="210"/>
      <c r="H301" s="485"/>
      <c r="I301" s="188"/>
      <c r="J301" s="485"/>
      <c r="K301" s="75"/>
      <c r="L301" s="66"/>
      <c r="M301" s="66"/>
      <c r="N301" s="66"/>
      <c r="O301" s="66"/>
      <c r="P301" s="66"/>
      <c r="Q301" s="66"/>
      <c r="R301" s="66"/>
      <c r="S301" s="66"/>
      <c r="T301" s="66"/>
      <c r="U301" s="66"/>
      <c r="V301" s="66"/>
      <c r="W301" s="66"/>
      <c r="X301" s="66"/>
    </row>
    <row r="302">
      <c r="A302" s="75"/>
      <c r="B302" s="485"/>
      <c r="C302" s="75"/>
      <c r="D302" s="485"/>
      <c r="E302" s="75"/>
      <c r="F302" s="485"/>
      <c r="G302" s="210"/>
      <c r="H302" s="485"/>
      <c r="I302" s="188"/>
      <c r="J302" s="485"/>
      <c r="K302" s="75"/>
      <c r="L302" s="66"/>
      <c r="M302" s="66"/>
      <c r="N302" s="66"/>
      <c r="O302" s="66"/>
      <c r="P302" s="66"/>
      <c r="Q302" s="66"/>
      <c r="R302" s="66"/>
      <c r="S302" s="66"/>
      <c r="T302" s="66"/>
      <c r="U302" s="66"/>
      <c r="V302" s="66"/>
      <c r="W302" s="66"/>
      <c r="X302" s="66"/>
    </row>
    <row r="303">
      <c r="A303" s="75"/>
      <c r="B303" s="485"/>
      <c r="C303" s="75"/>
      <c r="D303" s="485"/>
      <c r="E303" s="75"/>
      <c r="F303" s="485"/>
      <c r="G303" s="210"/>
      <c r="H303" s="485"/>
      <c r="I303" s="188"/>
      <c r="J303" s="485"/>
      <c r="K303" s="75"/>
      <c r="L303" s="66"/>
      <c r="M303" s="66"/>
      <c r="N303" s="66"/>
      <c r="O303" s="66"/>
      <c r="P303" s="66"/>
      <c r="Q303" s="66"/>
      <c r="R303" s="66"/>
      <c r="S303" s="66"/>
      <c r="T303" s="66"/>
      <c r="U303" s="66"/>
      <c r="V303" s="66"/>
      <c r="W303" s="66"/>
      <c r="X303" s="66"/>
    </row>
    <row r="304">
      <c r="A304" s="75"/>
      <c r="B304" s="485"/>
      <c r="C304" s="75"/>
      <c r="D304" s="485"/>
      <c r="E304" s="75"/>
      <c r="F304" s="485"/>
      <c r="G304" s="210"/>
      <c r="H304" s="485"/>
      <c r="I304" s="188"/>
      <c r="J304" s="485"/>
      <c r="K304" s="75"/>
      <c r="L304" s="66"/>
      <c r="M304" s="66"/>
      <c r="N304" s="66"/>
      <c r="O304" s="66"/>
      <c r="P304" s="66"/>
      <c r="Q304" s="66"/>
      <c r="R304" s="66"/>
      <c r="S304" s="66"/>
      <c r="T304" s="66"/>
      <c r="U304" s="66"/>
      <c r="V304" s="66"/>
      <c r="W304" s="66"/>
      <c r="X304" s="66"/>
    </row>
    <row r="305">
      <c r="A305" s="75"/>
      <c r="B305" s="485"/>
      <c r="C305" s="75"/>
      <c r="D305" s="485"/>
      <c r="E305" s="75"/>
      <c r="F305" s="485"/>
      <c r="G305" s="210"/>
      <c r="H305" s="485"/>
      <c r="I305" s="188"/>
      <c r="J305" s="485"/>
      <c r="K305" s="75"/>
      <c r="L305" s="66"/>
      <c r="M305" s="66"/>
      <c r="N305" s="66"/>
      <c r="O305" s="66"/>
      <c r="P305" s="66"/>
      <c r="Q305" s="66"/>
      <c r="R305" s="66"/>
      <c r="S305" s="66"/>
      <c r="T305" s="66"/>
      <c r="U305" s="66"/>
      <c r="V305" s="66"/>
      <c r="W305" s="66"/>
      <c r="X305" s="66"/>
    </row>
    <row r="306">
      <c r="A306" s="75"/>
      <c r="B306" s="485"/>
      <c r="C306" s="75"/>
      <c r="D306" s="485"/>
      <c r="E306" s="75"/>
      <c r="F306" s="485"/>
      <c r="G306" s="210"/>
      <c r="H306" s="485"/>
      <c r="I306" s="188"/>
      <c r="J306" s="485"/>
      <c r="K306" s="75"/>
      <c r="L306" s="66"/>
      <c r="M306" s="66"/>
      <c r="N306" s="66"/>
      <c r="O306" s="66"/>
      <c r="P306" s="66"/>
      <c r="Q306" s="66"/>
      <c r="R306" s="66"/>
      <c r="S306" s="66"/>
      <c r="T306" s="66"/>
      <c r="U306" s="66"/>
      <c r="V306" s="66"/>
      <c r="W306" s="66"/>
      <c r="X306" s="66"/>
    </row>
    <row r="307">
      <c r="A307" s="75"/>
      <c r="B307" s="485"/>
      <c r="C307" s="75"/>
      <c r="D307" s="485"/>
      <c r="E307" s="75"/>
      <c r="F307" s="485"/>
      <c r="G307" s="210"/>
      <c r="H307" s="485"/>
      <c r="I307" s="188"/>
      <c r="J307" s="485"/>
      <c r="K307" s="75"/>
      <c r="L307" s="66"/>
      <c r="M307" s="66"/>
      <c r="N307" s="66"/>
      <c r="O307" s="66"/>
      <c r="P307" s="66"/>
      <c r="Q307" s="66"/>
      <c r="R307" s="66"/>
      <c r="S307" s="66"/>
      <c r="T307" s="66"/>
      <c r="U307" s="66"/>
      <c r="V307" s="66"/>
      <c r="W307" s="66"/>
      <c r="X307" s="66"/>
    </row>
    <row r="308">
      <c r="A308" s="75"/>
      <c r="B308" s="485"/>
      <c r="C308" s="75"/>
      <c r="D308" s="485"/>
      <c r="E308" s="75"/>
      <c r="F308" s="485"/>
      <c r="G308" s="210"/>
      <c r="H308" s="485"/>
      <c r="I308" s="188"/>
      <c r="J308" s="485"/>
      <c r="K308" s="75"/>
      <c r="L308" s="66"/>
      <c r="M308" s="66"/>
      <c r="N308" s="66"/>
      <c r="O308" s="66"/>
      <c r="P308" s="66"/>
      <c r="Q308" s="66"/>
      <c r="R308" s="66"/>
      <c r="S308" s="66"/>
      <c r="T308" s="66"/>
      <c r="U308" s="66"/>
      <c r="V308" s="66"/>
      <c r="W308" s="66"/>
      <c r="X308" s="66"/>
    </row>
    <row r="309">
      <c r="A309" s="75"/>
      <c r="B309" s="485"/>
      <c r="C309" s="75"/>
      <c r="D309" s="485"/>
      <c r="E309" s="75"/>
      <c r="F309" s="485"/>
      <c r="G309" s="210"/>
      <c r="H309" s="485"/>
      <c r="I309" s="188"/>
      <c r="J309" s="485"/>
      <c r="K309" s="75"/>
      <c r="L309" s="66"/>
      <c r="M309" s="66"/>
      <c r="N309" s="66"/>
      <c r="O309" s="66"/>
      <c r="P309" s="66"/>
      <c r="Q309" s="66"/>
      <c r="R309" s="66"/>
      <c r="S309" s="66"/>
      <c r="T309" s="66"/>
      <c r="U309" s="66"/>
      <c r="V309" s="66"/>
      <c r="W309" s="66"/>
      <c r="X309" s="66"/>
    </row>
    <row r="310">
      <c r="A310" s="75"/>
      <c r="B310" s="485"/>
      <c r="C310" s="75"/>
      <c r="D310" s="485"/>
      <c r="E310" s="75"/>
      <c r="F310" s="485"/>
      <c r="G310" s="210"/>
      <c r="H310" s="485"/>
      <c r="I310" s="188"/>
      <c r="J310" s="485"/>
      <c r="K310" s="75"/>
      <c r="L310" s="66"/>
      <c r="M310" s="66"/>
      <c r="N310" s="66"/>
      <c r="O310" s="66"/>
      <c r="P310" s="66"/>
      <c r="Q310" s="66"/>
      <c r="R310" s="66"/>
      <c r="S310" s="66"/>
      <c r="T310" s="66"/>
      <c r="U310" s="66"/>
      <c r="V310" s="66"/>
      <c r="W310" s="66"/>
      <c r="X310" s="66"/>
    </row>
    <row r="311">
      <c r="A311" s="75"/>
      <c r="B311" s="485"/>
      <c r="C311" s="75"/>
      <c r="D311" s="485"/>
      <c r="E311" s="75"/>
      <c r="F311" s="485"/>
      <c r="G311" s="210"/>
      <c r="H311" s="485"/>
      <c r="I311" s="188"/>
      <c r="J311" s="485"/>
      <c r="K311" s="75"/>
      <c r="L311" s="66"/>
      <c r="M311" s="66"/>
      <c r="N311" s="66"/>
      <c r="O311" s="66"/>
      <c r="P311" s="66"/>
      <c r="Q311" s="66"/>
      <c r="R311" s="66"/>
      <c r="S311" s="66"/>
      <c r="T311" s="66"/>
      <c r="U311" s="66"/>
      <c r="V311" s="66"/>
      <c r="W311" s="66"/>
      <c r="X311" s="66"/>
    </row>
    <row r="312">
      <c r="A312" s="75"/>
      <c r="B312" s="485"/>
      <c r="C312" s="75"/>
      <c r="D312" s="485"/>
      <c r="E312" s="75"/>
      <c r="F312" s="485"/>
      <c r="G312" s="210"/>
      <c r="H312" s="485"/>
      <c r="I312" s="188"/>
      <c r="J312" s="485"/>
      <c r="K312" s="75"/>
      <c r="L312" s="66"/>
      <c r="M312" s="66"/>
      <c r="N312" s="66"/>
      <c r="O312" s="66"/>
      <c r="P312" s="66"/>
      <c r="Q312" s="66"/>
      <c r="R312" s="66"/>
      <c r="S312" s="66"/>
      <c r="T312" s="66"/>
      <c r="U312" s="66"/>
      <c r="V312" s="66"/>
      <c r="W312" s="66"/>
      <c r="X312" s="66"/>
    </row>
    <row r="313">
      <c r="A313" s="75"/>
      <c r="B313" s="485"/>
      <c r="C313" s="75"/>
      <c r="D313" s="485"/>
      <c r="E313" s="75"/>
      <c r="F313" s="485"/>
      <c r="G313" s="210"/>
      <c r="H313" s="485"/>
      <c r="I313" s="188"/>
      <c r="J313" s="485"/>
      <c r="K313" s="75"/>
      <c r="L313" s="66"/>
      <c r="M313" s="66"/>
      <c r="N313" s="66"/>
      <c r="O313" s="66"/>
      <c r="P313" s="66"/>
      <c r="Q313" s="66"/>
      <c r="R313" s="66"/>
      <c r="S313" s="66"/>
      <c r="T313" s="66"/>
      <c r="U313" s="66"/>
      <c r="V313" s="66"/>
      <c r="W313" s="66"/>
      <c r="X313" s="66"/>
    </row>
    <row r="314">
      <c r="A314" s="75"/>
      <c r="B314" s="485"/>
      <c r="C314" s="75"/>
      <c r="D314" s="485"/>
      <c r="E314" s="75"/>
      <c r="F314" s="485"/>
      <c r="G314" s="210"/>
      <c r="H314" s="485"/>
      <c r="I314" s="188"/>
      <c r="J314" s="485"/>
      <c r="K314" s="75"/>
      <c r="L314" s="66"/>
      <c r="M314" s="66"/>
      <c r="N314" s="66"/>
      <c r="O314" s="66"/>
      <c r="P314" s="66"/>
      <c r="Q314" s="66"/>
      <c r="R314" s="66"/>
      <c r="S314" s="66"/>
      <c r="T314" s="66"/>
      <c r="U314" s="66"/>
      <c r="V314" s="66"/>
      <c r="W314" s="66"/>
      <c r="X314" s="66"/>
    </row>
    <row r="315">
      <c r="A315" s="75"/>
      <c r="B315" s="485"/>
      <c r="C315" s="75"/>
      <c r="D315" s="485"/>
      <c r="E315" s="75"/>
      <c r="F315" s="485"/>
      <c r="G315" s="210"/>
      <c r="H315" s="485"/>
      <c r="I315" s="188"/>
      <c r="J315" s="485"/>
      <c r="K315" s="75"/>
      <c r="L315" s="66"/>
      <c r="M315" s="66"/>
      <c r="N315" s="66"/>
      <c r="O315" s="66"/>
      <c r="P315" s="66"/>
      <c r="Q315" s="66"/>
      <c r="R315" s="66"/>
      <c r="S315" s="66"/>
      <c r="T315" s="66"/>
      <c r="U315" s="66"/>
      <c r="V315" s="66"/>
      <c r="W315" s="66"/>
      <c r="X315" s="66"/>
    </row>
    <row r="316">
      <c r="A316" s="75"/>
      <c r="B316" s="485"/>
      <c r="C316" s="75"/>
      <c r="D316" s="485"/>
      <c r="E316" s="75"/>
      <c r="F316" s="485"/>
      <c r="G316" s="210"/>
      <c r="H316" s="485"/>
      <c r="I316" s="188"/>
      <c r="J316" s="485"/>
      <c r="K316" s="75"/>
      <c r="L316" s="66"/>
      <c r="M316" s="66"/>
      <c r="N316" s="66"/>
      <c r="O316" s="66"/>
      <c r="P316" s="66"/>
      <c r="Q316" s="66"/>
      <c r="R316" s="66"/>
      <c r="S316" s="66"/>
      <c r="T316" s="66"/>
      <c r="U316" s="66"/>
      <c r="V316" s="66"/>
      <c r="W316" s="66"/>
      <c r="X316" s="66"/>
    </row>
    <row r="317">
      <c r="A317" s="75"/>
      <c r="B317" s="485"/>
      <c r="C317" s="75"/>
      <c r="D317" s="485"/>
      <c r="E317" s="75"/>
      <c r="F317" s="485"/>
      <c r="G317" s="210"/>
      <c r="H317" s="485"/>
      <c r="I317" s="188"/>
      <c r="J317" s="485"/>
      <c r="K317" s="75"/>
      <c r="L317" s="66"/>
      <c r="M317" s="66"/>
      <c r="N317" s="66"/>
      <c r="O317" s="66"/>
      <c r="P317" s="66"/>
      <c r="Q317" s="66"/>
      <c r="R317" s="66"/>
      <c r="S317" s="66"/>
      <c r="T317" s="66"/>
      <c r="U317" s="66"/>
      <c r="V317" s="66"/>
      <c r="W317" s="66"/>
      <c r="X317" s="66"/>
    </row>
    <row r="318">
      <c r="A318" s="75"/>
      <c r="B318" s="485"/>
      <c r="C318" s="75"/>
      <c r="D318" s="485"/>
      <c r="E318" s="75"/>
      <c r="F318" s="485"/>
      <c r="G318" s="210"/>
      <c r="H318" s="485"/>
      <c r="I318" s="188"/>
      <c r="J318" s="485"/>
      <c r="K318" s="75"/>
      <c r="L318" s="66"/>
      <c r="M318" s="66"/>
      <c r="N318" s="66"/>
      <c r="O318" s="66"/>
      <c r="P318" s="66"/>
      <c r="Q318" s="66"/>
      <c r="R318" s="66"/>
      <c r="S318" s="66"/>
      <c r="T318" s="66"/>
      <c r="U318" s="66"/>
      <c r="V318" s="66"/>
      <c r="W318" s="66"/>
      <c r="X318" s="66"/>
    </row>
    <row r="319">
      <c r="A319" s="75"/>
      <c r="B319" s="485"/>
      <c r="C319" s="75"/>
      <c r="D319" s="485"/>
      <c r="E319" s="75"/>
      <c r="F319" s="485"/>
      <c r="G319" s="210"/>
      <c r="H319" s="485"/>
      <c r="I319" s="188"/>
      <c r="J319" s="485"/>
      <c r="K319" s="75"/>
      <c r="L319" s="66"/>
      <c r="M319" s="66"/>
      <c r="N319" s="66"/>
      <c r="O319" s="66"/>
      <c r="P319" s="66"/>
      <c r="Q319" s="66"/>
      <c r="R319" s="66"/>
      <c r="S319" s="66"/>
      <c r="T319" s="66"/>
      <c r="U319" s="66"/>
      <c r="V319" s="66"/>
      <c r="W319" s="66"/>
      <c r="X319" s="66"/>
    </row>
    <row r="320">
      <c r="A320" s="75"/>
      <c r="B320" s="485"/>
      <c r="C320" s="75"/>
      <c r="D320" s="485"/>
      <c r="E320" s="75"/>
      <c r="F320" s="485"/>
      <c r="G320" s="210"/>
      <c r="H320" s="485"/>
      <c r="I320" s="188"/>
      <c r="J320" s="485"/>
      <c r="K320" s="75"/>
      <c r="L320" s="66"/>
      <c r="M320" s="66"/>
      <c r="N320" s="66"/>
      <c r="O320" s="66"/>
      <c r="P320" s="66"/>
      <c r="Q320" s="66"/>
      <c r="R320" s="66"/>
      <c r="S320" s="66"/>
      <c r="T320" s="66"/>
      <c r="U320" s="66"/>
      <c r="V320" s="66"/>
      <c r="W320" s="66"/>
      <c r="X320" s="66"/>
    </row>
    <row r="321">
      <c r="A321" s="75"/>
      <c r="B321" s="485"/>
      <c r="C321" s="75"/>
      <c r="D321" s="485"/>
      <c r="E321" s="75"/>
      <c r="F321" s="485"/>
      <c r="G321" s="210"/>
      <c r="H321" s="485"/>
      <c r="I321" s="188"/>
      <c r="J321" s="485"/>
      <c r="K321" s="75"/>
      <c r="L321" s="66"/>
      <c r="M321" s="66"/>
      <c r="N321" s="66"/>
      <c r="O321" s="66"/>
      <c r="P321" s="66"/>
      <c r="Q321" s="66"/>
      <c r="R321" s="66"/>
      <c r="S321" s="66"/>
      <c r="T321" s="66"/>
      <c r="U321" s="66"/>
      <c r="V321" s="66"/>
      <c r="W321" s="66"/>
      <c r="X321" s="66"/>
    </row>
    <row r="322">
      <c r="A322" s="75"/>
      <c r="B322" s="485"/>
      <c r="C322" s="75"/>
      <c r="D322" s="485"/>
      <c r="E322" s="75"/>
      <c r="F322" s="485"/>
      <c r="G322" s="210"/>
      <c r="H322" s="485"/>
      <c r="I322" s="188"/>
      <c r="J322" s="485"/>
      <c r="K322" s="75"/>
      <c r="L322" s="66"/>
      <c r="M322" s="66"/>
      <c r="N322" s="66"/>
      <c r="O322" s="66"/>
      <c r="P322" s="66"/>
      <c r="Q322" s="66"/>
      <c r="R322" s="66"/>
      <c r="S322" s="66"/>
      <c r="T322" s="66"/>
      <c r="U322" s="66"/>
      <c r="V322" s="66"/>
      <c r="W322" s="66"/>
      <c r="X322" s="66"/>
    </row>
    <row r="323">
      <c r="A323" s="75"/>
      <c r="B323" s="485"/>
      <c r="C323" s="75"/>
      <c r="D323" s="485"/>
      <c r="E323" s="75"/>
      <c r="F323" s="485"/>
      <c r="G323" s="210"/>
      <c r="H323" s="485"/>
      <c r="I323" s="188"/>
      <c r="J323" s="485"/>
      <c r="K323" s="75"/>
      <c r="L323" s="66"/>
      <c r="M323" s="66"/>
      <c r="N323" s="66"/>
      <c r="O323" s="66"/>
      <c r="P323" s="66"/>
      <c r="Q323" s="66"/>
      <c r="R323" s="66"/>
      <c r="S323" s="66"/>
      <c r="T323" s="66"/>
      <c r="U323" s="66"/>
      <c r="V323" s="66"/>
      <c r="W323" s="66"/>
      <c r="X323" s="66"/>
    </row>
    <row r="324">
      <c r="A324" s="75"/>
      <c r="B324" s="485"/>
      <c r="C324" s="75"/>
      <c r="D324" s="485"/>
      <c r="E324" s="75"/>
      <c r="F324" s="485"/>
      <c r="G324" s="210"/>
      <c r="H324" s="485"/>
      <c r="I324" s="188"/>
      <c r="J324" s="485"/>
      <c r="K324" s="75"/>
      <c r="L324" s="66"/>
      <c r="M324" s="66"/>
      <c r="N324" s="66"/>
      <c r="O324" s="66"/>
      <c r="P324" s="66"/>
      <c r="Q324" s="66"/>
      <c r="R324" s="66"/>
      <c r="S324" s="66"/>
      <c r="T324" s="66"/>
      <c r="U324" s="66"/>
      <c r="V324" s="66"/>
      <c r="W324" s="66"/>
      <c r="X324" s="66"/>
    </row>
    <row r="325">
      <c r="A325" s="75"/>
      <c r="B325" s="485"/>
      <c r="C325" s="75"/>
      <c r="D325" s="485"/>
      <c r="E325" s="75"/>
      <c r="F325" s="485"/>
      <c r="G325" s="210"/>
      <c r="H325" s="485"/>
      <c r="I325" s="188"/>
      <c r="J325" s="485"/>
      <c r="K325" s="75"/>
      <c r="L325" s="66"/>
      <c r="M325" s="66"/>
      <c r="N325" s="66"/>
      <c r="O325" s="66"/>
      <c r="P325" s="66"/>
      <c r="Q325" s="66"/>
      <c r="R325" s="66"/>
      <c r="S325" s="66"/>
      <c r="T325" s="66"/>
      <c r="U325" s="66"/>
      <c r="V325" s="66"/>
      <c r="W325" s="66"/>
      <c r="X325" s="66"/>
    </row>
    <row r="326">
      <c r="A326" s="75"/>
      <c r="B326" s="485"/>
      <c r="C326" s="75"/>
      <c r="D326" s="485"/>
      <c r="E326" s="75"/>
      <c r="F326" s="485"/>
      <c r="G326" s="210"/>
      <c r="H326" s="485"/>
      <c r="I326" s="188"/>
      <c r="J326" s="485"/>
      <c r="K326" s="75"/>
      <c r="L326" s="66"/>
      <c r="M326" s="66"/>
      <c r="N326" s="66"/>
      <c r="O326" s="66"/>
      <c r="P326" s="66"/>
      <c r="Q326" s="66"/>
      <c r="R326" s="66"/>
      <c r="S326" s="66"/>
      <c r="T326" s="66"/>
      <c r="U326" s="66"/>
      <c r="V326" s="66"/>
      <c r="W326" s="66"/>
      <c r="X326" s="66"/>
    </row>
    <row r="327">
      <c r="A327" s="75"/>
      <c r="B327" s="485"/>
      <c r="C327" s="75"/>
      <c r="D327" s="485"/>
      <c r="E327" s="75"/>
      <c r="F327" s="485"/>
      <c r="G327" s="210"/>
      <c r="H327" s="485"/>
      <c r="I327" s="188"/>
      <c r="J327" s="485"/>
      <c r="K327" s="75"/>
      <c r="L327" s="66"/>
      <c r="M327" s="66"/>
      <c r="N327" s="66"/>
      <c r="O327" s="66"/>
      <c r="P327" s="66"/>
      <c r="Q327" s="66"/>
      <c r="R327" s="66"/>
      <c r="S327" s="66"/>
      <c r="T327" s="66"/>
      <c r="U327" s="66"/>
      <c r="V327" s="66"/>
      <c r="W327" s="66"/>
      <c r="X327" s="66"/>
    </row>
    <row r="328">
      <c r="A328" s="75"/>
      <c r="B328" s="485"/>
      <c r="C328" s="75"/>
      <c r="D328" s="485"/>
      <c r="E328" s="75"/>
      <c r="F328" s="485"/>
      <c r="G328" s="210"/>
      <c r="H328" s="485"/>
      <c r="I328" s="188"/>
      <c r="J328" s="485"/>
      <c r="K328" s="75"/>
      <c r="L328" s="66"/>
      <c r="M328" s="66"/>
      <c r="N328" s="66"/>
      <c r="O328" s="66"/>
      <c r="P328" s="66"/>
      <c r="Q328" s="66"/>
      <c r="R328" s="66"/>
      <c r="S328" s="66"/>
      <c r="T328" s="66"/>
      <c r="U328" s="66"/>
      <c r="V328" s="66"/>
      <c r="W328" s="66"/>
      <c r="X328" s="66"/>
    </row>
    <row r="329">
      <c r="A329" s="75"/>
      <c r="B329" s="485"/>
      <c r="C329" s="75"/>
      <c r="D329" s="485"/>
      <c r="E329" s="75"/>
      <c r="F329" s="485"/>
      <c r="G329" s="210"/>
      <c r="H329" s="485"/>
      <c r="I329" s="188"/>
      <c r="J329" s="485"/>
      <c r="K329" s="75"/>
      <c r="L329" s="66"/>
      <c r="M329" s="66"/>
      <c r="N329" s="66"/>
      <c r="O329" s="66"/>
      <c r="P329" s="66"/>
      <c r="Q329" s="66"/>
      <c r="R329" s="66"/>
      <c r="S329" s="66"/>
      <c r="T329" s="66"/>
      <c r="U329" s="66"/>
      <c r="V329" s="66"/>
      <c r="W329" s="66"/>
      <c r="X329" s="66"/>
    </row>
    <row r="330">
      <c r="A330" s="75"/>
      <c r="B330" s="485"/>
      <c r="C330" s="75"/>
      <c r="D330" s="485"/>
      <c r="E330" s="75"/>
      <c r="F330" s="485"/>
      <c r="G330" s="210"/>
      <c r="H330" s="485"/>
      <c r="I330" s="188"/>
      <c r="J330" s="485"/>
      <c r="K330" s="75"/>
      <c r="L330" s="66"/>
      <c r="M330" s="66"/>
      <c r="N330" s="66"/>
      <c r="O330" s="66"/>
      <c r="P330" s="66"/>
      <c r="Q330" s="66"/>
      <c r="R330" s="66"/>
      <c r="S330" s="66"/>
      <c r="T330" s="66"/>
      <c r="U330" s="66"/>
      <c r="V330" s="66"/>
      <c r="W330" s="66"/>
      <c r="X330" s="66"/>
    </row>
    <row r="331">
      <c r="A331" s="75"/>
      <c r="B331" s="485"/>
      <c r="C331" s="75"/>
      <c r="D331" s="485"/>
      <c r="E331" s="75"/>
      <c r="F331" s="485"/>
      <c r="G331" s="210"/>
      <c r="H331" s="485"/>
      <c r="I331" s="188"/>
      <c r="J331" s="485"/>
      <c r="K331" s="75"/>
      <c r="L331" s="66"/>
      <c r="M331" s="66"/>
      <c r="N331" s="66"/>
      <c r="O331" s="66"/>
      <c r="P331" s="66"/>
      <c r="Q331" s="66"/>
      <c r="R331" s="66"/>
      <c r="S331" s="66"/>
      <c r="T331" s="66"/>
      <c r="U331" s="66"/>
      <c r="V331" s="66"/>
      <c r="W331" s="66"/>
      <c r="X331" s="66"/>
    </row>
    <row r="332">
      <c r="A332" s="75"/>
      <c r="B332" s="485"/>
      <c r="C332" s="75"/>
      <c r="D332" s="485"/>
      <c r="E332" s="75"/>
      <c r="F332" s="485"/>
      <c r="G332" s="210"/>
      <c r="H332" s="485"/>
      <c r="I332" s="188"/>
      <c r="J332" s="485"/>
      <c r="K332" s="75"/>
      <c r="L332" s="66"/>
      <c r="M332" s="66"/>
      <c r="N332" s="66"/>
      <c r="O332" s="66"/>
      <c r="P332" s="66"/>
      <c r="Q332" s="66"/>
      <c r="R332" s="66"/>
      <c r="S332" s="66"/>
      <c r="T332" s="66"/>
      <c r="U332" s="66"/>
      <c r="V332" s="66"/>
      <c r="W332" s="66"/>
      <c r="X332" s="66"/>
    </row>
    <row r="333">
      <c r="A333" s="75"/>
      <c r="B333" s="485"/>
      <c r="C333" s="75"/>
      <c r="D333" s="485"/>
      <c r="E333" s="75"/>
      <c r="F333" s="485"/>
      <c r="G333" s="210"/>
      <c r="H333" s="485"/>
      <c r="I333" s="188"/>
      <c r="J333" s="485"/>
      <c r="K333" s="75"/>
      <c r="L333" s="66"/>
      <c r="M333" s="66"/>
      <c r="N333" s="66"/>
      <c r="O333" s="66"/>
      <c r="P333" s="66"/>
      <c r="Q333" s="66"/>
      <c r="R333" s="66"/>
      <c r="S333" s="66"/>
      <c r="T333" s="66"/>
      <c r="U333" s="66"/>
      <c r="V333" s="66"/>
      <c r="W333" s="66"/>
      <c r="X333" s="66"/>
    </row>
    <row r="334">
      <c r="A334" s="75"/>
      <c r="B334" s="485"/>
      <c r="C334" s="75"/>
      <c r="D334" s="485"/>
      <c r="E334" s="75"/>
      <c r="F334" s="485"/>
      <c r="G334" s="210"/>
      <c r="H334" s="485"/>
      <c r="I334" s="188"/>
      <c r="J334" s="485"/>
      <c r="K334" s="75"/>
      <c r="L334" s="66"/>
      <c r="M334" s="66"/>
      <c r="N334" s="66"/>
      <c r="O334" s="66"/>
      <c r="P334" s="66"/>
      <c r="Q334" s="66"/>
      <c r="R334" s="66"/>
      <c r="S334" s="66"/>
      <c r="T334" s="66"/>
      <c r="U334" s="66"/>
      <c r="V334" s="66"/>
      <c r="W334" s="66"/>
      <c r="X334" s="66"/>
    </row>
    <row r="335">
      <c r="A335" s="75"/>
      <c r="B335" s="485"/>
      <c r="C335" s="75"/>
      <c r="D335" s="485"/>
      <c r="E335" s="75"/>
      <c r="F335" s="485"/>
      <c r="G335" s="210"/>
      <c r="H335" s="485"/>
      <c r="I335" s="188"/>
      <c r="J335" s="485"/>
      <c r="K335" s="75"/>
      <c r="L335" s="66"/>
      <c r="M335" s="66"/>
      <c r="N335" s="66"/>
      <c r="O335" s="66"/>
      <c r="P335" s="66"/>
      <c r="Q335" s="66"/>
      <c r="R335" s="66"/>
      <c r="S335" s="66"/>
      <c r="T335" s="66"/>
      <c r="U335" s="66"/>
      <c r="V335" s="66"/>
      <c r="W335" s="66"/>
      <c r="X335" s="66"/>
    </row>
    <row r="336">
      <c r="A336" s="75"/>
      <c r="B336" s="485"/>
      <c r="C336" s="75"/>
      <c r="D336" s="485"/>
      <c r="E336" s="75"/>
      <c r="F336" s="485"/>
      <c r="G336" s="210"/>
      <c r="H336" s="485"/>
      <c r="I336" s="188"/>
      <c r="J336" s="485"/>
      <c r="K336" s="75"/>
      <c r="L336" s="66"/>
      <c r="M336" s="66"/>
      <c r="N336" s="66"/>
      <c r="O336" s="66"/>
      <c r="P336" s="66"/>
      <c r="Q336" s="66"/>
      <c r="R336" s="66"/>
      <c r="S336" s="66"/>
      <c r="T336" s="66"/>
      <c r="U336" s="66"/>
      <c r="V336" s="66"/>
      <c r="W336" s="66"/>
      <c r="X336" s="66"/>
    </row>
    <row r="337">
      <c r="A337" s="75"/>
      <c r="B337" s="485"/>
      <c r="C337" s="75"/>
      <c r="D337" s="485"/>
      <c r="E337" s="75"/>
      <c r="F337" s="485"/>
      <c r="G337" s="210"/>
      <c r="H337" s="485"/>
      <c r="I337" s="188"/>
      <c r="J337" s="485"/>
      <c r="K337" s="75"/>
      <c r="L337" s="66"/>
      <c r="M337" s="66"/>
      <c r="N337" s="66"/>
      <c r="O337" s="66"/>
      <c r="P337" s="66"/>
      <c r="Q337" s="66"/>
      <c r="R337" s="66"/>
      <c r="S337" s="66"/>
      <c r="T337" s="66"/>
      <c r="U337" s="66"/>
      <c r="V337" s="66"/>
      <c r="W337" s="66"/>
      <c r="X337" s="66"/>
    </row>
    <row r="338">
      <c r="A338" s="75"/>
      <c r="B338" s="485"/>
      <c r="C338" s="75"/>
      <c r="D338" s="485"/>
      <c r="E338" s="75"/>
      <c r="F338" s="485"/>
      <c r="G338" s="210"/>
      <c r="H338" s="485"/>
      <c r="I338" s="188"/>
      <c r="J338" s="485"/>
      <c r="K338" s="75"/>
      <c r="L338" s="66"/>
      <c r="M338" s="66"/>
      <c r="N338" s="66"/>
      <c r="O338" s="66"/>
      <c r="P338" s="66"/>
      <c r="Q338" s="66"/>
      <c r="R338" s="66"/>
      <c r="S338" s="66"/>
      <c r="T338" s="66"/>
      <c r="U338" s="66"/>
      <c r="V338" s="66"/>
      <c r="W338" s="66"/>
      <c r="X338" s="66"/>
    </row>
    <row r="339">
      <c r="A339" s="75"/>
      <c r="B339" s="485"/>
      <c r="C339" s="75"/>
      <c r="D339" s="485"/>
      <c r="E339" s="75"/>
      <c r="F339" s="485"/>
      <c r="G339" s="210"/>
      <c r="H339" s="485"/>
      <c r="I339" s="188"/>
      <c r="J339" s="485"/>
      <c r="K339" s="75"/>
      <c r="L339" s="66"/>
      <c r="M339" s="66"/>
      <c r="N339" s="66"/>
      <c r="O339" s="66"/>
      <c r="P339" s="66"/>
      <c r="Q339" s="66"/>
      <c r="R339" s="66"/>
      <c r="S339" s="66"/>
      <c r="T339" s="66"/>
      <c r="U339" s="66"/>
      <c r="V339" s="66"/>
      <c r="W339" s="66"/>
      <c r="X339" s="66"/>
    </row>
    <row r="340">
      <c r="A340" s="75"/>
      <c r="B340" s="485"/>
      <c r="C340" s="75"/>
      <c r="D340" s="485"/>
      <c r="E340" s="75"/>
      <c r="F340" s="485"/>
      <c r="G340" s="210"/>
      <c r="H340" s="485"/>
      <c r="I340" s="188"/>
      <c r="J340" s="485"/>
      <c r="K340" s="75"/>
      <c r="L340" s="66"/>
      <c r="M340" s="66"/>
      <c r="N340" s="66"/>
      <c r="O340" s="66"/>
      <c r="P340" s="66"/>
      <c r="Q340" s="66"/>
      <c r="R340" s="66"/>
      <c r="S340" s="66"/>
      <c r="T340" s="66"/>
      <c r="U340" s="66"/>
      <c r="V340" s="66"/>
      <c r="W340" s="66"/>
      <c r="X340" s="66"/>
    </row>
    <row r="341">
      <c r="A341" s="75"/>
      <c r="B341" s="485"/>
      <c r="C341" s="75"/>
      <c r="D341" s="485"/>
      <c r="E341" s="75"/>
      <c r="F341" s="485"/>
      <c r="G341" s="210"/>
      <c r="H341" s="485"/>
      <c r="I341" s="188"/>
      <c r="J341" s="485"/>
      <c r="K341" s="75"/>
      <c r="L341" s="66"/>
      <c r="M341" s="66"/>
      <c r="N341" s="66"/>
      <c r="O341" s="66"/>
      <c r="P341" s="66"/>
      <c r="Q341" s="66"/>
      <c r="R341" s="66"/>
      <c r="S341" s="66"/>
      <c r="T341" s="66"/>
      <c r="U341" s="66"/>
      <c r="V341" s="66"/>
      <c r="W341" s="66"/>
      <c r="X341" s="66"/>
    </row>
    <row r="342">
      <c r="A342" s="75"/>
      <c r="B342" s="485"/>
      <c r="C342" s="75"/>
      <c r="D342" s="485"/>
      <c r="E342" s="75"/>
      <c r="F342" s="485"/>
      <c r="G342" s="210"/>
      <c r="H342" s="485"/>
      <c r="I342" s="188"/>
      <c r="J342" s="485"/>
      <c r="K342" s="75"/>
      <c r="L342" s="66"/>
      <c r="M342" s="66"/>
      <c r="N342" s="66"/>
      <c r="O342" s="66"/>
      <c r="P342" s="66"/>
      <c r="Q342" s="66"/>
      <c r="R342" s="66"/>
      <c r="S342" s="66"/>
      <c r="T342" s="66"/>
      <c r="U342" s="66"/>
      <c r="V342" s="66"/>
      <c r="W342" s="66"/>
      <c r="X342" s="66"/>
    </row>
    <row r="343">
      <c r="A343" s="75"/>
      <c r="B343" s="485"/>
      <c r="C343" s="75"/>
      <c r="D343" s="485"/>
      <c r="E343" s="75"/>
      <c r="F343" s="485"/>
      <c r="G343" s="210"/>
      <c r="H343" s="485"/>
      <c r="I343" s="188"/>
      <c r="J343" s="485"/>
      <c r="K343" s="75"/>
      <c r="L343" s="66"/>
      <c r="M343" s="66"/>
      <c r="N343" s="66"/>
      <c r="O343" s="66"/>
      <c r="P343" s="66"/>
      <c r="Q343" s="66"/>
      <c r="R343" s="66"/>
      <c r="S343" s="66"/>
      <c r="T343" s="66"/>
      <c r="U343" s="66"/>
      <c r="V343" s="66"/>
      <c r="W343" s="66"/>
      <c r="X343" s="66"/>
    </row>
    <row r="344">
      <c r="A344" s="75"/>
      <c r="B344" s="485"/>
      <c r="C344" s="75"/>
      <c r="D344" s="485"/>
      <c r="E344" s="75"/>
      <c r="F344" s="485"/>
      <c r="G344" s="210"/>
      <c r="H344" s="485"/>
      <c r="I344" s="188"/>
      <c r="J344" s="485"/>
      <c r="K344" s="75"/>
      <c r="L344" s="66"/>
      <c r="M344" s="66"/>
      <c r="N344" s="66"/>
      <c r="O344" s="66"/>
      <c r="P344" s="66"/>
      <c r="Q344" s="66"/>
      <c r="R344" s="66"/>
      <c r="S344" s="66"/>
      <c r="T344" s="66"/>
      <c r="U344" s="66"/>
      <c r="V344" s="66"/>
      <c r="W344" s="66"/>
      <c r="X344" s="66"/>
    </row>
    <row r="345">
      <c r="A345" s="75"/>
      <c r="B345" s="485"/>
      <c r="C345" s="75"/>
      <c r="D345" s="485"/>
      <c r="E345" s="75"/>
      <c r="F345" s="485"/>
      <c r="G345" s="210"/>
      <c r="H345" s="485"/>
      <c r="I345" s="188"/>
      <c r="J345" s="485"/>
      <c r="K345" s="75"/>
      <c r="L345" s="66"/>
      <c r="M345" s="66"/>
      <c r="N345" s="66"/>
      <c r="O345" s="66"/>
      <c r="P345" s="66"/>
      <c r="Q345" s="66"/>
      <c r="R345" s="66"/>
      <c r="S345" s="66"/>
      <c r="T345" s="66"/>
      <c r="U345" s="66"/>
      <c r="V345" s="66"/>
      <c r="W345" s="66"/>
      <c r="X345" s="66"/>
    </row>
    <row r="346">
      <c r="A346" s="75"/>
      <c r="B346" s="485"/>
      <c r="C346" s="75"/>
      <c r="D346" s="485"/>
      <c r="E346" s="75"/>
      <c r="F346" s="485"/>
      <c r="G346" s="210"/>
      <c r="H346" s="485"/>
      <c r="I346" s="188"/>
      <c r="J346" s="485"/>
      <c r="K346" s="75"/>
      <c r="L346" s="66"/>
      <c r="M346" s="66"/>
      <c r="N346" s="66"/>
      <c r="O346" s="66"/>
      <c r="P346" s="66"/>
      <c r="Q346" s="66"/>
      <c r="R346" s="66"/>
      <c r="S346" s="66"/>
      <c r="T346" s="66"/>
      <c r="U346" s="66"/>
      <c r="V346" s="66"/>
      <c r="W346" s="66"/>
      <c r="X346" s="66"/>
    </row>
    <row r="347">
      <c r="A347" s="75"/>
      <c r="B347" s="485"/>
      <c r="C347" s="75"/>
      <c r="D347" s="485"/>
      <c r="E347" s="75"/>
      <c r="F347" s="485"/>
      <c r="G347" s="210"/>
      <c r="H347" s="485"/>
      <c r="I347" s="188"/>
      <c r="J347" s="485"/>
      <c r="K347" s="75"/>
      <c r="L347" s="66"/>
      <c r="M347" s="66"/>
      <c r="N347" s="66"/>
      <c r="O347" s="66"/>
      <c r="P347" s="66"/>
      <c r="Q347" s="66"/>
      <c r="R347" s="66"/>
      <c r="S347" s="66"/>
      <c r="T347" s="66"/>
      <c r="U347" s="66"/>
      <c r="V347" s="66"/>
      <c r="W347" s="66"/>
      <c r="X347" s="66"/>
    </row>
    <row r="348">
      <c r="A348" s="75"/>
      <c r="B348" s="485"/>
      <c r="C348" s="75"/>
      <c r="D348" s="485"/>
      <c r="E348" s="75"/>
      <c r="F348" s="485"/>
      <c r="G348" s="210"/>
      <c r="H348" s="485"/>
      <c r="I348" s="188"/>
      <c r="J348" s="485"/>
      <c r="K348" s="75"/>
      <c r="L348" s="66"/>
      <c r="M348" s="66"/>
      <c r="N348" s="66"/>
      <c r="O348" s="66"/>
      <c r="P348" s="66"/>
      <c r="Q348" s="66"/>
      <c r="R348" s="66"/>
      <c r="S348" s="66"/>
      <c r="T348" s="66"/>
      <c r="U348" s="66"/>
      <c r="V348" s="66"/>
      <c r="W348" s="66"/>
      <c r="X348" s="66"/>
    </row>
    <row r="349">
      <c r="A349" s="75"/>
      <c r="B349" s="485"/>
      <c r="C349" s="75"/>
      <c r="D349" s="485"/>
      <c r="E349" s="75"/>
      <c r="F349" s="485"/>
      <c r="G349" s="210"/>
      <c r="H349" s="485"/>
      <c r="I349" s="188"/>
      <c r="J349" s="485"/>
      <c r="K349" s="75"/>
      <c r="L349" s="66"/>
      <c r="M349" s="66"/>
      <c r="N349" s="66"/>
      <c r="O349" s="66"/>
      <c r="P349" s="66"/>
      <c r="Q349" s="66"/>
      <c r="R349" s="66"/>
      <c r="S349" s="66"/>
      <c r="T349" s="66"/>
      <c r="U349" s="66"/>
      <c r="V349" s="66"/>
      <c r="W349" s="66"/>
      <c r="X349" s="66"/>
    </row>
    <row r="350">
      <c r="A350" s="75"/>
      <c r="B350" s="485"/>
      <c r="C350" s="75"/>
      <c r="D350" s="485"/>
      <c r="E350" s="75"/>
      <c r="F350" s="485"/>
      <c r="G350" s="210"/>
      <c r="H350" s="485"/>
      <c r="I350" s="188"/>
      <c r="J350" s="485"/>
      <c r="K350" s="75"/>
      <c r="L350" s="66"/>
      <c r="M350" s="66"/>
      <c r="N350" s="66"/>
      <c r="O350" s="66"/>
      <c r="P350" s="66"/>
      <c r="Q350" s="66"/>
      <c r="R350" s="66"/>
      <c r="S350" s="66"/>
      <c r="T350" s="66"/>
      <c r="U350" s="66"/>
      <c r="V350" s="66"/>
      <c r="W350" s="66"/>
      <c r="X350" s="66"/>
    </row>
    <row r="351">
      <c r="A351" s="75"/>
      <c r="B351" s="485"/>
      <c r="C351" s="75"/>
      <c r="D351" s="485"/>
      <c r="E351" s="75"/>
      <c r="F351" s="485"/>
      <c r="G351" s="210"/>
      <c r="H351" s="485"/>
      <c r="I351" s="188"/>
      <c r="J351" s="485"/>
      <c r="K351" s="75"/>
      <c r="L351" s="66"/>
      <c r="M351" s="66"/>
      <c r="N351" s="66"/>
      <c r="O351" s="66"/>
      <c r="P351" s="66"/>
      <c r="Q351" s="66"/>
      <c r="R351" s="66"/>
      <c r="S351" s="66"/>
      <c r="T351" s="66"/>
      <c r="U351" s="66"/>
      <c r="V351" s="66"/>
      <c r="W351" s="66"/>
      <c r="X351" s="66"/>
    </row>
    <row r="352">
      <c r="A352" s="75"/>
      <c r="B352" s="485"/>
      <c r="C352" s="75"/>
      <c r="D352" s="485"/>
      <c r="E352" s="75"/>
      <c r="F352" s="485"/>
      <c r="G352" s="210"/>
      <c r="H352" s="485"/>
      <c r="I352" s="188"/>
      <c r="J352" s="485"/>
      <c r="K352" s="75"/>
      <c r="L352" s="66"/>
      <c r="M352" s="66"/>
      <c r="N352" s="66"/>
      <c r="O352" s="66"/>
      <c r="P352" s="66"/>
      <c r="Q352" s="66"/>
      <c r="R352" s="66"/>
      <c r="S352" s="66"/>
      <c r="T352" s="66"/>
      <c r="U352" s="66"/>
      <c r="V352" s="66"/>
      <c r="W352" s="66"/>
      <c r="X352" s="66"/>
    </row>
    <row r="353">
      <c r="A353" s="75"/>
      <c r="B353" s="485"/>
      <c r="C353" s="75"/>
      <c r="D353" s="485"/>
      <c r="E353" s="75"/>
      <c r="F353" s="485"/>
      <c r="G353" s="210"/>
      <c r="H353" s="485"/>
      <c r="I353" s="188"/>
      <c r="J353" s="485"/>
      <c r="K353" s="75"/>
      <c r="L353" s="66"/>
      <c r="M353" s="66"/>
      <c r="N353" s="66"/>
      <c r="O353" s="66"/>
      <c r="P353" s="66"/>
      <c r="Q353" s="66"/>
      <c r="R353" s="66"/>
      <c r="S353" s="66"/>
      <c r="T353" s="66"/>
      <c r="U353" s="66"/>
      <c r="V353" s="66"/>
      <c r="W353" s="66"/>
      <c r="X353" s="66"/>
    </row>
    <row r="354">
      <c r="A354" s="75"/>
      <c r="B354" s="485"/>
      <c r="C354" s="75"/>
      <c r="D354" s="485"/>
      <c r="E354" s="75"/>
      <c r="F354" s="485"/>
      <c r="G354" s="210"/>
      <c r="H354" s="485"/>
      <c r="I354" s="188"/>
      <c r="J354" s="485"/>
      <c r="K354" s="75"/>
      <c r="L354" s="66"/>
      <c r="M354" s="66"/>
      <c r="N354" s="66"/>
      <c r="O354" s="66"/>
      <c r="P354" s="66"/>
      <c r="Q354" s="66"/>
      <c r="R354" s="66"/>
      <c r="S354" s="66"/>
      <c r="T354" s="66"/>
      <c r="U354" s="66"/>
      <c r="V354" s="66"/>
      <c r="W354" s="66"/>
      <c r="X354" s="66"/>
    </row>
    <row r="355">
      <c r="A355" s="75"/>
      <c r="B355" s="485"/>
      <c r="C355" s="75"/>
      <c r="D355" s="485"/>
      <c r="E355" s="75"/>
      <c r="F355" s="485"/>
      <c r="G355" s="210"/>
      <c r="H355" s="485"/>
      <c r="I355" s="188"/>
      <c r="J355" s="485"/>
      <c r="K355" s="75"/>
      <c r="L355" s="66"/>
      <c r="M355" s="66"/>
      <c r="N355" s="66"/>
      <c r="O355" s="66"/>
      <c r="P355" s="66"/>
      <c r="Q355" s="66"/>
      <c r="R355" s="66"/>
      <c r="S355" s="66"/>
      <c r="T355" s="66"/>
      <c r="U355" s="66"/>
      <c r="V355" s="66"/>
      <c r="W355" s="66"/>
      <c r="X355" s="66"/>
    </row>
    <row r="356">
      <c r="A356" s="75"/>
      <c r="B356" s="485"/>
      <c r="C356" s="75"/>
      <c r="D356" s="485"/>
      <c r="E356" s="75"/>
      <c r="F356" s="485"/>
      <c r="G356" s="210"/>
      <c r="H356" s="485"/>
      <c r="I356" s="188"/>
      <c r="J356" s="485"/>
      <c r="K356" s="75"/>
      <c r="L356" s="66"/>
      <c r="M356" s="66"/>
      <c r="N356" s="66"/>
      <c r="O356" s="66"/>
      <c r="P356" s="66"/>
      <c r="Q356" s="66"/>
      <c r="R356" s="66"/>
      <c r="S356" s="66"/>
      <c r="T356" s="66"/>
      <c r="U356" s="66"/>
      <c r="V356" s="66"/>
      <c r="W356" s="66"/>
      <c r="X356" s="66"/>
    </row>
    <row r="357">
      <c r="A357" s="75"/>
      <c r="B357" s="485"/>
      <c r="C357" s="75"/>
      <c r="D357" s="485"/>
      <c r="E357" s="75"/>
      <c r="F357" s="485"/>
      <c r="G357" s="210"/>
      <c r="H357" s="485"/>
      <c r="I357" s="188"/>
      <c r="J357" s="485"/>
      <c r="K357" s="75"/>
      <c r="L357" s="66"/>
      <c r="M357" s="66"/>
      <c r="N357" s="66"/>
      <c r="O357" s="66"/>
      <c r="P357" s="66"/>
      <c r="Q357" s="66"/>
      <c r="R357" s="66"/>
      <c r="S357" s="66"/>
      <c r="T357" s="66"/>
      <c r="U357" s="66"/>
      <c r="V357" s="66"/>
      <c r="W357" s="66"/>
      <c r="X357" s="66"/>
    </row>
    <row r="358">
      <c r="A358" s="75"/>
      <c r="B358" s="485"/>
      <c r="C358" s="75"/>
      <c r="D358" s="485"/>
      <c r="E358" s="75"/>
      <c r="F358" s="485"/>
      <c r="G358" s="210"/>
      <c r="H358" s="485"/>
      <c r="I358" s="188"/>
      <c r="J358" s="485"/>
      <c r="K358" s="75"/>
      <c r="L358" s="66"/>
      <c r="M358" s="66"/>
      <c r="N358" s="66"/>
      <c r="O358" s="66"/>
      <c r="P358" s="66"/>
      <c r="Q358" s="66"/>
      <c r="R358" s="66"/>
      <c r="S358" s="66"/>
      <c r="T358" s="66"/>
      <c r="U358" s="66"/>
      <c r="V358" s="66"/>
      <c r="W358" s="66"/>
      <c r="X358" s="66"/>
    </row>
    <row r="359">
      <c r="A359" s="75"/>
      <c r="B359" s="485"/>
      <c r="C359" s="75"/>
      <c r="D359" s="485"/>
      <c r="E359" s="75"/>
      <c r="F359" s="485"/>
      <c r="G359" s="210"/>
      <c r="H359" s="485"/>
      <c r="I359" s="188"/>
      <c r="J359" s="485"/>
      <c r="K359" s="75"/>
      <c r="L359" s="66"/>
      <c r="M359" s="66"/>
      <c r="N359" s="66"/>
      <c r="O359" s="66"/>
      <c r="P359" s="66"/>
      <c r="Q359" s="66"/>
      <c r="R359" s="66"/>
      <c r="S359" s="66"/>
      <c r="T359" s="66"/>
      <c r="U359" s="66"/>
      <c r="V359" s="66"/>
      <c r="W359" s="66"/>
      <c r="X359" s="66"/>
    </row>
    <row r="360">
      <c r="A360" s="75"/>
      <c r="B360" s="485"/>
      <c r="C360" s="75"/>
      <c r="D360" s="485"/>
      <c r="E360" s="75"/>
      <c r="F360" s="485"/>
      <c r="G360" s="210"/>
      <c r="H360" s="485"/>
      <c r="I360" s="188"/>
      <c r="J360" s="485"/>
      <c r="K360" s="75"/>
      <c r="L360" s="66"/>
      <c r="M360" s="66"/>
      <c r="N360" s="66"/>
      <c r="O360" s="66"/>
      <c r="P360" s="66"/>
      <c r="Q360" s="66"/>
      <c r="R360" s="66"/>
      <c r="S360" s="66"/>
      <c r="T360" s="66"/>
      <c r="U360" s="66"/>
      <c r="V360" s="66"/>
      <c r="W360" s="66"/>
      <c r="X360" s="66"/>
    </row>
    <row r="361">
      <c r="A361" s="75"/>
      <c r="B361" s="485"/>
      <c r="C361" s="75"/>
      <c r="D361" s="485"/>
      <c r="E361" s="75"/>
      <c r="F361" s="485"/>
      <c r="G361" s="210"/>
      <c r="H361" s="485"/>
      <c r="I361" s="188"/>
      <c r="J361" s="485"/>
      <c r="K361" s="75"/>
      <c r="L361" s="66"/>
      <c r="M361" s="66"/>
      <c r="N361" s="66"/>
      <c r="O361" s="66"/>
      <c r="P361" s="66"/>
      <c r="Q361" s="66"/>
      <c r="R361" s="66"/>
      <c r="S361" s="66"/>
      <c r="T361" s="66"/>
      <c r="U361" s="66"/>
      <c r="V361" s="66"/>
      <c r="W361" s="66"/>
      <c r="X361" s="66"/>
    </row>
    <row r="362">
      <c r="A362" s="75"/>
      <c r="B362" s="485"/>
      <c r="C362" s="75"/>
      <c r="D362" s="485"/>
      <c r="E362" s="75"/>
      <c r="F362" s="485"/>
      <c r="G362" s="210"/>
      <c r="H362" s="485"/>
      <c r="I362" s="188"/>
      <c r="J362" s="485"/>
      <c r="K362" s="75"/>
      <c r="L362" s="66"/>
      <c r="M362" s="66"/>
      <c r="N362" s="66"/>
      <c r="O362" s="66"/>
      <c r="P362" s="66"/>
      <c r="Q362" s="66"/>
      <c r="R362" s="66"/>
      <c r="S362" s="66"/>
      <c r="T362" s="66"/>
      <c r="U362" s="66"/>
      <c r="V362" s="66"/>
      <c r="W362" s="66"/>
      <c r="X362" s="66"/>
    </row>
    <row r="363">
      <c r="A363" s="75"/>
      <c r="B363" s="485"/>
      <c r="C363" s="75"/>
      <c r="D363" s="485"/>
      <c r="E363" s="75"/>
      <c r="F363" s="485"/>
      <c r="G363" s="210"/>
      <c r="H363" s="485"/>
      <c r="I363" s="188"/>
      <c r="J363" s="485"/>
      <c r="K363" s="75"/>
      <c r="L363" s="66"/>
      <c r="M363" s="66"/>
      <c r="N363" s="66"/>
      <c r="O363" s="66"/>
      <c r="P363" s="66"/>
      <c r="Q363" s="66"/>
      <c r="R363" s="66"/>
      <c r="S363" s="66"/>
      <c r="T363" s="66"/>
      <c r="U363" s="66"/>
      <c r="V363" s="66"/>
      <c r="W363" s="66"/>
      <c r="X363" s="66"/>
    </row>
    <row r="364">
      <c r="A364" s="75"/>
      <c r="B364" s="485"/>
      <c r="C364" s="75"/>
      <c r="D364" s="485"/>
      <c r="E364" s="75"/>
      <c r="F364" s="485"/>
      <c r="G364" s="210"/>
      <c r="H364" s="485"/>
      <c r="I364" s="188"/>
      <c r="J364" s="485"/>
      <c r="K364" s="75"/>
      <c r="L364" s="66"/>
      <c r="M364" s="66"/>
      <c r="N364" s="66"/>
      <c r="O364" s="66"/>
      <c r="P364" s="66"/>
      <c r="Q364" s="66"/>
      <c r="R364" s="66"/>
      <c r="S364" s="66"/>
      <c r="T364" s="66"/>
      <c r="U364" s="66"/>
      <c r="V364" s="66"/>
      <c r="W364" s="66"/>
      <c r="X364" s="66"/>
    </row>
    <row r="365">
      <c r="A365" s="75"/>
      <c r="B365" s="485"/>
      <c r="C365" s="75"/>
      <c r="D365" s="485"/>
      <c r="E365" s="75"/>
      <c r="F365" s="485"/>
      <c r="G365" s="210"/>
      <c r="H365" s="485"/>
      <c r="I365" s="188"/>
      <c r="J365" s="485"/>
      <c r="K365" s="75"/>
      <c r="L365" s="66"/>
      <c r="M365" s="66"/>
      <c r="N365" s="66"/>
      <c r="O365" s="66"/>
      <c r="P365" s="66"/>
      <c r="Q365" s="66"/>
      <c r="R365" s="66"/>
      <c r="S365" s="66"/>
      <c r="T365" s="66"/>
      <c r="U365" s="66"/>
      <c r="V365" s="66"/>
      <c r="W365" s="66"/>
      <c r="X365" s="66"/>
    </row>
    <row r="366">
      <c r="A366" s="75"/>
      <c r="B366" s="485"/>
      <c r="C366" s="75"/>
      <c r="D366" s="485"/>
      <c r="E366" s="75"/>
      <c r="F366" s="485"/>
      <c r="G366" s="210"/>
      <c r="H366" s="485"/>
      <c r="I366" s="188"/>
      <c r="J366" s="485"/>
      <c r="K366" s="75"/>
      <c r="L366" s="66"/>
      <c r="M366" s="66"/>
      <c r="N366" s="66"/>
      <c r="O366" s="66"/>
      <c r="P366" s="66"/>
      <c r="Q366" s="66"/>
      <c r="R366" s="66"/>
      <c r="S366" s="66"/>
      <c r="T366" s="66"/>
      <c r="U366" s="66"/>
      <c r="V366" s="66"/>
      <c r="W366" s="66"/>
      <c r="X366" s="66"/>
    </row>
    <row r="367">
      <c r="A367" s="75"/>
      <c r="B367" s="485"/>
      <c r="C367" s="75"/>
      <c r="D367" s="485"/>
      <c r="E367" s="75"/>
      <c r="F367" s="485"/>
      <c r="G367" s="210"/>
      <c r="H367" s="485"/>
      <c r="I367" s="188"/>
      <c r="J367" s="485"/>
      <c r="K367" s="75"/>
      <c r="L367" s="66"/>
      <c r="M367" s="66"/>
      <c r="N367" s="66"/>
      <c r="O367" s="66"/>
      <c r="P367" s="66"/>
      <c r="Q367" s="66"/>
      <c r="R367" s="66"/>
      <c r="S367" s="66"/>
      <c r="T367" s="66"/>
      <c r="U367" s="66"/>
      <c r="V367" s="66"/>
      <c r="W367" s="66"/>
      <c r="X367" s="66"/>
    </row>
    <row r="368">
      <c r="A368" s="75"/>
      <c r="B368" s="485"/>
      <c r="C368" s="75"/>
      <c r="D368" s="485"/>
      <c r="E368" s="75"/>
      <c r="F368" s="485"/>
      <c r="G368" s="210"/>
      <c r="H368" s="485"/>
      <c r="I368" s="188"/>
      <c r="J368" s="485"/>
      <c r="K368" s="75"/>
      <c r="L368" s="66"/>
      <c r="M368" s="66"/>
      <c r="N368" s="66"/>
      <c r="O368" s="66"/>
      <c r="P368" s="66"/>
      <c r="Q368" s="66"/>
      <c r="R368" s="66"/>
      <c r="S368" s="66"/>
      <c r="T368" s="66"/>
      <c r="U368" s="66"/>
      <c r="V368" s="66"/>
      <c r="W368" s="66"/>
      <c r="X368" s="66"/>
    </row>
    <row r="369">
      <c r="A369" s="75"/>
      <c r="B369" s="485"/>
      <c r="C369" s="75"/>
      <c r="D369" s="485"/>
      <c r="E369" s="75"/>
      <c r="F369" s="485"/>
      <c r="G369" s="210"/>
      <c r="H369" s="485"/>
      <c r="I369" s="188"/>
      <c r="J369" s="485"/>
      <c r="K369" s="75"/>
      <c r="L369" s="66"/>
      <c r="M369" s="66"/>
      <c r="N369" s="66"/>
      <c r="O369" s="66"/>
      <c r="P369" s="66"/>
      <c r="Q369" s="66"/>
      <c r="R369" s="66"/>
      <c r="S369" s="66"/>
      <c r="T369" s="66"/>
      <c r="U369" s="66"/>
      <c r="V369" s="66"/>
      <c r="W369" s="66"/>
      <c r="X369" s="66"/>
    </row>
    <row r="370">
      <c r="A370" s="75"/>
      <c r="B370" s="485"/>
      <c r="C370" s="75"/>
      <c r="D370" s="485"/>
      <c r="E370" s="75"/>
      <c r="F370" s="485"/>
      <c r="G370" s="210"/>
      <c r="H370" s="485"/>
      <c r="I370" s="188"/>
      <c r="J370" s="485"/>
      <c r="K370" s="75"/>
      <c r="L370" s="66"/>
      <c r="M370" s="66"/>
      <c r="N370" s="66"/>
      <c r="O370" s="66"/>
      <c r="P370" s="66"/>
      <c r="Q370" s="66"/>
      <c r="R370" s="66"/>
      <c r="S370" s="66"/>
      <c r="T370" s="66"/>
      <c r="U370" s="66"/>
      <c r="V370" s="66"/>
      <c r="W370" s="66"/>
      <c r="X370" s="66"/>
    </row>
    <row r="371">
      <c r="A371" s="75"/>
      <c r="B371" s="485"/>
      <c r="C371" s="75"/>
      <c r="D371" s="485"/>
      <c r="E371" s="75"/>
      <c r="F371" s="485"/>
      <c r="G371" s="210"/>
      <c r="H371" s="485"/>
      <c r="I371" s="188"/>
      <c r="J371" s="485"/>
      <c r="K371" s="75"/>
      <c r="L371" s="66"/>
      <c r="M371" s="66"/>
      <c r="N371" s="66"/>
      <c r="O371" s="66"/>
      <c r="P371" s="66"/>
      <c r="Q371" s="66"/>
      <c r="R371" s="66"/>
      <c r="S371" s="66"/>
      <c r="T371" s="66"/>
      <c r="U371" s="66"/>
      <c r="V371" s="66"/>
      <c r="W371" s="66"/>
      <c r="X371" s="66"/>
    </row>
    <row r="372">
      <c r="A372" s="75"/>
      <c r="B372" s="485"/>
      <c r="C372" s="75"/>
      <c r="D372" s="485"/>
      <c r="E372" s="75"/>
      <c r="F372" s="485"/>
      <c r="G372" s="210"/>
      <c r="H372" s="485"/>
      <c r="I372" s="188"/>
      <c r="J372" s="485"/>
      <c r="K372" s="75"/>
      <c r="L372" s="66"/>
      <c r="M372" s="66"/>
      <c r="N372" s="66"/>
      <c r="O372" s="66"/>
      <c r="P372" s="66"/>
      <c r="Q372" s="66"/>
      <c r="R372" s="66"/>
      <c r="S372" s="66"/>
      <c r="T372" s="66"/>
      <c r="U372" s="66"/>
      <c r="V372" s="66"/>
      <c r="W372" s="66"/>
      <c r="X372" s="66"/>
    </row>
    <row r="373">
      <c r="A373" s="75"/>
      <c r="B373" s="485"/>
      <c r="C373" s="75"/>
      <c r="D373" s="485"/>
      <c r="E373" s="75"/>
      <c r="F373" s="485"/>
      <c r="G373" s="210"/>
      <c r="H373" s="485"/>
      <c r="I373" s="188"/>
      <c r="J373" s="485"/>
      <c r="K373" s="75"/>
      <c r="L373" s="66"/>
      <c r="M373" s="66"/>
      <c r="N373" s="66"/>
      <c r="O373" s="66"/>
      <c r="P373" s="66"/>
      <c r="Q373" s="66"/>
      <c r="R373" s="66"/>
      <c r="S373" s="66"/>
      <c r="T373" s="66"/>
      <c r="U373" s="66"/>
      <c r="V373" s="66"/>
      <c r="W373" s="66"/>
      <c r="X373" s="66"/>
    </row>
    <row r="374">
      <c r="A374" s="75"/>
      <c r="B374" s="485"/>
      <c r="C374" s="75"/>
      <c r="D374" s="485"/>
      <c r="E374" s="75"/>
      <c r="F374" s="485"/>
      <c r="G374" s="210"/>
      <c r="H374" s="485"/>
      <c r="I374" s="188"/>
      <c r="J374" s="485"/>
      <c r="K374" s="75"/>
      <c r="L374" s="66"/>
      <c r="M374" s="66"/>
      <c r="N374" s="66"/>
      <c r="O374" s="66"/>
      <c r="P374" s="66"/>
      <c r="Q374" s="66"/>
      <c r="R374" s="66"/>
      <c r="S374" s="66"/>
      <c r="T374" s="66"/>
      <c r="U374" s="66"/>
      <c r="V374" s="66"/>
      <c r="W374" s="66"/>
      <c r="X374" s="66"/>
    </row>
    <row r="375">
      <c r="A375" s="75"/>
      <c r="B375" s="485"/>
      <c r="C375" s="75"/>
      <c r="D375" s="485"/>
      <c r="E375" s="75"/>
      <c r="F375" s="485"/>
      <c r="G375" s="210"/>
      <c r="H375" s="485"/>
      <c r="I375" s="188"/>
      <c r="J375" s="485"/>
      <c r="K375" s="75"/>
      <c r="L375" s="66"/>
      <c r="M375" s="66"/>
      <c r="N375" s="66"/>
      <c r="O375" s="66"/>
      <c r="P375" s="66"/>
      <c r="Q375" s="66"/>
      <c r="R375" s="66"/>
      <c r="S375" s="66"/>
      <c r="T375" s="66"/>
      <c r="U375" s="66"/>
      <c r="V375" s="66"/>
      <c r="W375" s="66"/>
      <c r="X375" s="66"/>
    </row>
    <row r="376">
      <c r="A376" s="75"/>
      <c r="B376" s="485"/>
      <c r="C376" s="75"/>
      <c r="D376" s="485"/>
      <c r="E376" s="75"/>
      <c r="F376" s="485"/>
      <c r="G376" s="210"/>
      <c r="H376" s="485"/>
      <c r="I376" s="188"/>
      <c r="J376" s="485"/>
      <c r="K376" s="75"/>
      <c r="L376" s="66"/>
      <c r="M376" s="66"/>
      <c r="N376" s="66"/>
      <c r="O376" s="66"/>
      <c r="P376" s="66"/>
      <c r="Q376" s="66"/>
      <c r="R376" s="66"/>
      <c r="S376" s="66"/>
      <c r="T376" s="66"/>
      <c r="U376" s="66"/>
      <c r="V376" s="66"/>
      <c r="W376" s="66"/>
      <c r="X376" s="66"/>
    </row>
    <row r="377">
      <c r="A377" s="75"/>
      <c r="B377" s="485"/>
      <c r="C377" s="75"/>
      <c r="D377" s="485"/>
      <c r="E377" s="75"/>
      <c r="F377" s="485"/>
      <c r="G377" s="210"/>
      <c r="H377" s="485"/>
      <c r="I377" s="188"/>
      <c r="J377" s="485"/>
      <c r="K377" s="75"/>
      <c r="L377" s="66"/>
      <c r="M377" s="66"/>
      <c r="N377" s="66"/>
      <c r="O377" s="66"/>
      <c r="P377" s="66"/>
      <c r="Q377" s="66"/>
      <c r="R377" s="66"/>
      <c r="S377" s="66"/>
      <c r="T377" s="66"/>
      <c r="U377" s="66"/>
      <c r="V377" s="66"/>
      <c r="W377" s="66"/>
      <c r="X377" s="66"/>
    </row>
    <row r="378">
      <c r="A378" s="75"/>
      <c r="B378" s="485"/>
      <c r="C378" s="75"/>
      <c r="D378" s="485"/>
      <c r="E378" s="75"/>
      <c r="F378" s="485"/>
      <c r="G378" s="210"/>
      <c r="H378" s="485"/>
      <c r="I378" s="188"/>
      <c r="J378" s="485"/>
      <c r="K378" s="75"/>
      <c r="L378" s="66"/>
      <c r="M378" s="66"/>
      <c r="N378" s="66"/>
      <c r="O378" s="66"/>
      <c r="P378" s="66"/>
      <c r="Q378" s="66"/>
      <c r="R378" s="66"/>
      <c r="S378" s="66"/>
      <c r="T378" s="66"/>
      <c r="U378" s="66"/>
      <c r="V378" s="66"/>
      <c r="W378" s="66"/>
      <c r="X378" s="66"/>
    </row>
    <row r="379">
      <c r="A379" s="75"/>
      <c r="B379" s="485"/>
      <c r="C379" s="75"/>
      <c r="D379" s="485"/>
      <c r="E379" s="75"/>
      <c r="F379" s="485"/>
      <c r="G379" s="210"/>
      <c r="H379" s="485"/>
      <c r="I379" s="188"/>
      <c r="J379" s="485"/>
      <c r="K379" s="75"/>
      <c r="L379" s="66"/>
      <c r="M379" s="66"/>
      <c r="N379" s="66"/>
      <c r="O379" s="66"/>
      <c r="P379" s="66"/>
      <c r="Q379" s="66"/>
      <c r="R379" s="66"/>
      <c r="S379" s="66"/>
      <c r="T379" s="66"/>
      <c r="U379" s="66"/>
      <c r="V379" s="66"/>
      <c r="W379" s="66"/>
      <c r="X379" s="66"/>
    </row>
    <row r="380">
      <c r="A380" s="75"/>
      <c r="B380" s="485"/>
      <c r="C380" s="75"/>
      <c r="D380" s="485"/>
      <c r="E380" s="75"/>
      <c r="F380" s="485"/>
      <c r="G380" s="210"/>
      <c r="H380" s="485"/>
      <c r="I380" s="188"/>
      <c r="J380" s="485"/>
      <c r="K380" s="75"/>
      <c r="L380" s="66"/>
      <c r="M380" s="66"/>
      <c r="N380" s="66"/>
      <c r="O380" s="66"/>
      <c r="P380" s="66"/>
      <c r="Q380" s="66"/>
      <c r="R380" s="66"/>
      <c r="S380" s="66"/>
      <c r="T380" s="66"/>
      <c r="U380" s="66"/>
      <c r="V380" s="66"/>
      <c r="W380" s="66"/>
      <c r="X380" s="66"/>
    </row>
    <row r="381">
      <c r="A381" s="75"/>
      <c r="B381" s="485"/>
      <c r="C381" s="75"/>
      <c r="D381" s="485"/>
      <c r="E381" s="75"/>
      <c r="F381" s="485"/>
      <c r="G381" s="210"/>
      <c r="H381" s="485"/>
      <c r="I381" s="188"/>
      <c r="J381" s="485"/>
      <c r="K381" s="75"/>
      <c r="L381" s="66"/>
      <c r="M381" s="66"/>
      <c r="N381" s="66"/>
      <c r="O381" s="66"/>
      <c r="P381" s="66"/>
      <c r="Q381" s="66"/>
      <c r="R381" s="66"/>
      <c r="S381" s="66"/>
      <c r="T381" s="66"/>
      <c r="U381" s="66"/>
      <c r="V381" s="66"/>
      <c r="W381" s="66"/>
      <c r="X381" s="66"/>
    </row>
    <row r="382">
      <c r="A382" s="75"/>
      <c r="B382" s="485"/>
      <c r="C382" s="75"/>
      <c r="D382" s="485"/>
      <c r="E382" s="75"/>
      <c r="F382" s="485"/>
      <c r="G382" s="210"/>
      <c r="H382" s="485"/>
      <c r="I382" s="188"/>
      <c r="J382" s="485"/>
      <c r="K382" s="75"/>
      <c r="L382" s="66"/>
      <c r="M382" s="66"/>
      <c r="N382" s="66"/>
      <c r="O382" s="66"/>
      <c r="P382" s="66"/>
      <c r="Q382" s="66"/>
      <c r="R382" s="66"/>
      <c r="S382" s="66"/>
      <c r="T382" s="66"/>
      <c r="U382" s="66"/>
      <c r="V382" s="66"/>
      <c r="W382" s="66"/>
      <c r="X382" s="66"/>
    </row>
    <row r="383">
      <c r="A383" s="75"/>
      <c r="B383" s="485"/>
      <c r="C383" s="75"/>
      <c r="D383" s="485"/>
      <c r="E383" s="75"/>
      <c r="F383" s="485"/>
      <c r="G383" s="210"/>
      <c r="H383" s="485"/>
      <c r="I383" s="188"/>
      <c r="J383" s="485"/>
      <c r="K383" s="75"/>
      <c r="L383" s="66"/>
      <c r="M383" s="66"/>
      <c r="N383" s="66"/>
      <c r="O383" s="66"/>
      <c r="P383" s="66"/>
      <c r="Q383" s="66"/>
      <c r="R383" s="66"/>
      <c r="S383" s="66"/>
      <c r="T383" s="66"/>
      <c r="U383" s="66"/>
      <c r="V383" s="66"/>
      <c r="W383" s="66"/>
      <c r="X383" s="66"/>
    </row>
    <row r="384">
      <c r="A384" s="75"/>
      <c r="B384" s="485"/>
      <c r="C384" s="75"/>
      <c r="D384" s="485"/>
      <c r="E384" s="75"/>
      <c r="F384" s="485"/>
      <c r="G384" s="210"/>
      <c r="H384" s="485"/>
      <c r="I384" s="188"/>
      <c r="J384" s="485"/>
      <c r="K384" s="75"/>
      <c r="L384" s="66"/>
      <c r="M384" s="66"/>
      <c r="N384" s="66"/>
      <c r="O384" s="66"/>
      <c r="P384" s="66"/>
      <c r="Q384" s="66"/>
      <c r="R384" s="66"/>
      <c r="S384" s="66"/>
      <c r="T384" s="66"/>
      <c r="U384" s="66"/>
      <c r="V384" s="66"/>
      <c r="W384" s="66"/>
      <c r="X384" s="66"/>
    </row>
    <row r="385">
      <c r="A385" s="75"/>
      <c r="B385" s="485"/>
      <c r="C385" s="75"/>
      <c r="D385" s="485"/>
      <c r="E385" s="75"/>
      <c r="F385" s="485"/>
      <c r="G385" s="210"/>
      <c r="H385" s="485"/>
      <c r="I385" s="188"/>
      <c r="J385" s="485"/>
      <c r="K385" s="75"/>
      <c r="L385" s="66"/>
      <c r="M385" s="66"/>
      <c r="N385" s="66"/>
      <c r="O385" s="66"/>
      <c r="P385" s="66"/>
      <c r="Q385" s="66"/>
      <c r="R385" s="66"/>
      <c r="S385" s="66"/>
      <c r="T385" s="66"/>
      <c r="U385" s="66"/>
      <c r="V385" s="66"/>
      <c r="W385" s="66"/>
      <c r="X385" s="66"/>
    </row>
    <row r="386">
      <c r="A386" s="75"/>
      <c r="B386" s="485"/>
      <c r="C386" s="75"/>
      <c r="D386" s="485"/>
      <c r="E386" s="75"/>
      <c r="F386" s="485"/>
      <c r="G386" s="210"/>
      <c r="H386" s="485"/>
      <c r="I386" s="188"/>
      <c r="J386" s="485"/>
      <c r="K386" s="75"/>
      <c r="L386" s="66"/>
      <c r="M386" s="66"/>
      <c r="N386" s="66"/>
      <c r="O386" s="66"/>
      <c r="P386" s="66"/>
      <c r="Q386" s="66"/>
      <c r="R386" s="66"/>
      <c r="S386" s="66"/>
      <c r="T386" s="66"/>
      <c r="U386" s="66"/>
      <c r="V386" s="66"/>
      <c r="W386" s="66"/>
      <c r="X386" s="66"/>
    </row>
    <row r="387">
      <c r="A387" s="75"/>
      <c r="B387" s="485"/>
      <c r="C387" s="75"/>
      <c r="D387" s="485"/>
      <c r="E387" s="75"/>
      <c r="F387" s="485"/>
      <c r="G387" s="210"/>
      <c r="H387" s="485"/>
      <c r="I387" s="188"/>
      <c r="J387" s="485"/>
      <c r="K387" s="75"/>
      <c r="L387" s="66"/>
      <c r="M387" s="66"/>
      <c r="N387" s="66"/>
      <c r="O387" s="66"/>
      <c r="P387" s="66"/>
      <c r="Q387" s="66"/>
      <c r="R387" s="66"/>
      <c r="S387" s="66"/>
      <c r="T387" s="66"/>
      <c r="U387" s="66"/>
      <c r="V387" s="66"/>
      <c r="W387" s="66"/>
      <c r="X387" s="66"/>
    </row>
    <row r="388">
      <c r="A388" s="75"/>
      <c r="B388" s="485"/>
      <c r="C388" s="75"/>
      <c r="D388" s="485"/>
      <c r="E388" s="75"/>
      <c r="F388" s="485"/>
      <c r="G388" s="210"/>
      <c r="H388" s="485"/>
      <c r="I388" s="188"/>
      <c r="J388" s="485"/>
      <c r="K388" s="75"/>
      <c r="L388" s="66"/>
      <c r="M388" s="66"/>
      <c r="N388" s="66"/>
      <c r="O388" s="66"/>
      <c r="P388" s="66"/>
      <c r="Q388" s="66"/>
      <c r="R388" s="66"/>
      <c r="S388" s="66"/>
      <c r="T388" s="66"/>
      <c r="U388" s="66"/>
      <c r="V388" s="66"/>
      <c r="W388" s="66"/>
      <c r="X388" s="66"/>
    </row>
    <row r="389">
      <c r="A389" s="75"/>
      <c r="B389" s="485"/>
      <c r="C389" s="75"/>
      <c r="D389" s="485"/>
      <c r="E389" s="75"/>
      <c r="F389" s="485"/>
      <c r="G389" s="210"/>
      <c r="H389" s="485"/>
      <c r="I389" s="188"/>
      <c r="J389" s="485"/>
      <c r="K389" s="75"/>
      <c r="L389" s="66"/>
      <c r="M389" s="66"/>
      <c r="N389" s="66"/>
      <c r="O389" s="66"/>
      <c r="P389" s="66"/>
      <c r="Q389" s="66"/>
      <c r="R389" s="66"/>
      <c r="S389" s="66"/>
      <c r="T389" s="66"/>
      <c r="U389" s="66"/>
      <c r="V389" s="66"/>
      <c r="W389" s="66"/>
      <c r="X389" s="66"/>
    </row>
    <row r="390">
      <c r="A390" s="75"/>
      <c r="B390" s="485"/>
      <c r="C390" s="75"/>
      <c r="D390" s="485"/>
      <c r="E390" s="75"/>
      <c r="F390" s="485"/>
      <c r="G390" s="210"/>
      <c r="H390" s="485"/>
      <c r="I390" s="188"/>
      <c r="J390" s="485"/>
      <c r="K390" s="75"/>
      <c r="L390" s="66"/>
      <c r="M390" s="66"/>
      <c r="N390" s="66"/>
      <c r="O390" s="66"/>
      <c r="P390" s="66"/>
      <c r="Q390" s="66"/>
      <c r="R390" s="66"/>
      <c r="S390" s="66"/>
      <c r="T390" s="66"/>
      <c r="U390" s="66"/>
      <c r="V390" s="66"/>
      <c r="W390" s="66"/>
      <c r="X390" s="66"/>
    </row>
    <row r="391">
      <c r="A391" s="75"/>
      <c r="B391" s="485"/>
      <c r="C391" s="75"/>
      <c r="D391" s="485"/>
      <c r="E391" s="75"/>
      <c r="F391" s="485"/>
      <c r="G391" s="210"/>
      <c r="H391" s="485"/>
      <c r="I391" s="188"/>
      <c r="J391" s="485"/>
      <c r="K391" s="75"/>
      <c r="L391" s="66"/>
      <c r="M391" s="66"/>
      <c r="N391" s="66"/>
      <c r="O391" s="66"/>
      <c r="P391" s="66"/>
      <c r="Q391" s="66"/>
      <c r="R391" s="66"/>
      <c r="S391" s="66"/>
      <c r="T391" s="66"/>
      <c r="U391" s="66"/>
      <c r="V391" s="66"/>
      <c r="W391" s="66"/>
      <c r="X391" s="66"/>
    </row>
    <row r="392">
      <c r="A392" s="75"/>
      <c r="B392" s="485"/>
      <c r="C392" s="75"/>
      <c r="D392" s="485"/>
      <c r="E392" s="75"/>
      <c r="F392" s="485"/>
      <c r="G392" s="210"/>
      <c r="H392" s="485"/>
      <c r="I392" s="188"/>
      <c r="J392" s="485"/>
      <c r="K392" s="75"/>
      <c r="L392" s="66"/>
      <c r="M392" s="66"/>
      <c r="N392" s="66"/>
      <c r="O392" s="66"/>
      <c r="P392" s="66"/>
      <c r="Q392" s="66"/>
      <c r="R392" s="66"/>
      <c r="S392" s="66"/>
      <c r="T392" s="66"/>
      <c r="U392" s="66"/>
      <c r="V392" s="66"/>
      <c r="W392" s="66"/>
      <c r="X392" s="66"/>
    </row>
    <row r="393">
      <c r="A393" s="75"/>
      <c r="B393" s="485"/>
      <c r="C393" s="75"/>
      <c r="D393" s="485"/>
      <c r="E393" s="75"/>
      <c r="F393" s="485"/>
      <c r="G393" s="210"/>
      <c r="H393" s="485"/>
      <c r="I393" s="188"/>
      <c r="J393" s="485"/>
      <c r="K393" s="75"/>
      <c r="L393" s="66"/>
      <c r="M393" s="66"/>
      <c r="N393" s="66"/>
      <c r="O393" s="66"/>
      <c r="P393" s="66"/>
      <c r="Q393" s="66"/>
      <c r="R393" s="66"/>
      <c r="S393" s="66"/>
      <c r="T393" s="66"/>
      <c r="U393" s="66"/>
      <c r="V393" s="66"/>
      <c r="W393" s="66"/>
      <c r="X393" s="66"/>
    </row>
    <row r="394">
      <c r="A394" s="75"/>
      <c r="B394" s="485"/>
      <c r="C394" s="75"/>
      <c r="D394" s="485"/>
      <c r="E394" s="75"/>
      <c r="F394" s="485"/>
      <c r="G394" s="210"/>
      <c r="H394" s="485"/>
      <c r="I394" s="188"/>
      <c r="J394" s="485"/>
      <c r="K394" s="75"/>
      <c r="L394" s="66"/>
      <c r="M394" s="66"/>
      <c r="N394" s="66"/>
      <c r="O394" s="66"/>
      <c r="P394" s="66"/>
      <c r="Q394" s="66"/>
      <c r="R394" s="66"/>
      <c r="S394" s="66"/>
      <c r="T394" s="66"/>
      <c r="U394" s="66"/>
      <c r="V394" s="66"/>
      <c r="W394" s="66"/>
      <c r="X394" s="66"/>
    </row>
    <row r="395">
      <c r="A395" s="75"/>
      <c r="B395" s="485"/>
      <c r="C395" s="75"/>
      <c r="D395" s="485"/>
      <c r="E395" s="75"/>
      <c r="F395" s="485"/>
      <c r="G395" s="210"/>
      <c r="H395" s="485"/>
      <c r="I395" s="188"/>
      <c r="J395" s="485"/>
      <c r="K395" s="75"/>
      <c r="L395" s="66"/>
      <c r="M395" s="66"/>
      <c r="N395" s="66"/>
      <c r="O395" s="66"/>
      <c r="P395" s="66"/>
      <c r="Q395" s="66"/>
      <c r="R395" s="66"/>
      <c r="S395" s="66"/>
      <c r="T395" s="66"/>
      <c r="U395" s="66"/>
      <c r="V395" s="66"/>
      <c r="W395" s="66"/>
      <c r="X395" s="66"/>
    </row>
    <row r="396">
      <c r="A396" s="75"/>
      <c r="B396" s="485"/>
      <c r="C396" s="75"/>
      <c r="D396" s="485"/>
      <c r="E396" s="75"/>
      <c r="F396" s="485"/>
      <c r="G396" s="210"/>
      <c r="H396" s="485"/>
      <c r="I396" s="188"/>
      <c r="J396" s="485"/>
      <c r="K396" s="75"/>
      <c r="L396" s="66"/>
      <c r="M396" s="66"/>
      <c r="N396" s="66"/>
      <c r="O396" s="66"/>
      <c r="P396" s="66"/>
      <c r="Q396" s="66"/>
      <c r="R396" s="66"/>
      <c r="S396" s="66"/>
      <c r="T396" s="66"/>
      <c r="U396" s="66"/>
      <c r="V396" s="66"/>
      <c r="W396" s="66"/>
      <c r="X396" s="66"/>
    </row>
    <row r="397">
      <c r="A397" s="75"/>
      <c r="B397" s="485"/>
      <c r="C397" s="75"/>
      <c r="D397" s="485"/>
      <c r="E397" s="75"/>
      <c r="F397" s="485"/>
      <c r="G397" s="210"/>
      <c r="H397" s="485"/>
      <c r="I397" s="188"/>
      <c r="J397" s="485"/>
      <c r="K397" s="75"/>
      <c r="L397" s="66"/>
      <c r="M397" s="66"/>
      <c r="N397" s="66"/>
      <c r="O397" s="66"/>
      <c r="P397" s="66"/>
      <c r="Q397" s="66"/>
      <c r="R397" s="66"/>
      <c r="S397" s="66"/>
      <c r="T397" s="66"/>
      <c r="U397" s="66"/>
      <c r="V397" s="66"/>
      <c r="W397" s="66"/>
      <c r="X397" s="66"/>
    </row>
    <row r="398">
      <c r="A398" s="75"/>
      <c r="B398" s="485"/>
      <c r="C398" s="75"/>
      <c r="D398" s="485"/>
      <c r="E398" s="75"/>
      <c r="F398" s="485"/>
      <c r="G398" s="210"/>
      <c r="H398" s="485"/>
      <c r="I398" s="188"/>
      <c r="J398" s="485"/>
      <c r="K398" s="75"/>
      <c r="L398" s="66"/>
      <c r="M398" s="66"/>
      <c r="N398" s="66"/>
      <c r="O398" s="66"/>
      <c r="P398" s="66"/>
      <c r="Q398" s="66"/>
      <c r="R398" s="66"/>
      <c r="S398" s="66"/>
      <c r="T398" s="66"/>
      <c r="U398" s="66"/>
      <c r="V398" s="66"/>
      <c r="W398" s="66"/>
      <c r="X398" s="66"/>
    </row>
    <row r="399">
      <c r="A399" s="75"/>
      <c r="B399" s="485"/>
      <c r="C399" s="75"/>
      <c r="D399" s="485"/>
      <c r="E399" s="75"/>
      <c r="F399" s="485"/>
      <c r="G399" s="210"/>
      <c r="H399" s="485"/>
      <c r="I399" s="188"/>
      <c r="J399" s="485"/>
      <c r="K399" s="75"/>
      <c r="L399" s="66"/>
      <c r="M399" s="66"/>
      <c r="N399" s="66"/>
      <c r="O399" s="66"/>
      <c r="P399" s="66"/>
      <c r="Q399" s="66"/>
      <c r="R399" s="66"/>
      <c r="S399" s="66"/>
      <c r="T399" s="66"/>
      <c r="U399" s="66"/>
      <c r="V399" s="66"/>
      <c r="W399" s="66"/>
      <c r="X399" s="66"/>
    </row>
    <row r="400">
      <c r="A400" s="75"/>
      <c r="B400" s="485"/>
      <c r="C400" s="75"/>
      <c r="D400" s="485"/>
      <c r="E400" s="75"/>
      <c r="F400" s="485"/>
      <c r="G400" s="210"/>
      <c r="H400" s="485"/>
      <c r="I400" s="188"/>
      <c r="J400" s="485"/>
      <c r="K400" s="75"/>
      <c r="L400" s="66"/>
      <c r="M400" s="66"/>
      <c r="N400" s="66"/>
      <c r="O400" s="66"/>
      <c r="P400" s="66"/>
      <c r="Q400" s="66"/>
      <c r="R400" s="66"/>
      <c r="S400" s="66"/>
      <c r="T400" s="66"/>
      <c r="U400" s="66"/>
      <c r="V400" s="66"/>
      <c r="W400" s="66"/>
      <c r="X400" s="66"/>
    </row>
    <row r="401">
      <c r="A401" s="75"/>
      <c r="B401" s="485"/>
      <c r="C401" s="75"/>
      <c r="D401" s="485"/>
      <c r="E401" s="75"/>
      <c r="F401" s="485"/>
      <c r="G401" s="210"/>
      <c r="H401" s="485"/>
      <c r="I401" s="188"/>
      <c r="J401" s="485"/>
      <c r="K401" s="75"/>
      <c r="L401" s="66"/>
      <c r="M401" s="66"/>
      <c r="N401" s="66"/>
      <c r="O401" s="66"/>
      <c r="P401" s="66"/>
      <c r="Q401" s="66"/>
      <c r="R401" s="66"/>
      <c r="S401" s="66"/>
      <c r="T401" s="66"/>
      <c r="U401" s="66"/>
      <c r="V401" s="66"/>
      <c r="W401" s="66"/>
      <c r="X401" s="66"/>
    </row>
    <row r="402">
      <c r="A402" s="75"/>
      <c r="B402" s="485"/>
      <c r="C402" s="75"/>
      <c r="D402" s="485"/>
      <c r="E402" s="75"/>
      <c r="F402" s="485"/>
      <c r="G402" s="210"/>
      <c r="H402" s="485"/>
      <c r="I402" s="188"/>
      <c r="J402" s="485"/>
      <c r="K402" s="75"/>
      <c r="L402" s="66"/>
      <c r="M402" s="66"/>
      <c r="N402" s="66"/>
      <c r="O402" s="66"/>
      <c r="P402" s="66"/>
      <c r="Q402" s="66"/>
      <c r="R402" s="66"/>
      <c r="S402" s="66"/>
      <c r="T402" s="66"/>
      <c r="U402" s="66"/>
      <c r="V402" s="66"/>
      <c r="W402" s="66"/>
      <c r="X402" s="66"/>
    </row>
    <row r="403">
      <c r="A403" s="75"/>
      <c r="B403" s="485"/>
      <c r="C403" s="75"/>
      <c r="D403" s="485"/>
      <c r="E403" s="75"/>
      <c r="F403" s="485"/>
      <c r="G403" s="210"/>
      <c r="H403" s="485"/>
      <c r="I403" s="188"/>
      <c r="J403" s="485"/>
      <c r="K403" s="75"/>
      <c r="L403" s="66"/>
      <c r="M403" s="66"/>
      <c r="N403" s="66"/>
      <c r="O403" s="66"/>
      <c r="P403" s="66"/>
      <c r="Q403" s="66"/>
      <c r="R403" s="66"/>
      <c r="S403" s="66"/>
      <c r="T403" s="66"/>
      <c r="U403" s="66"/>
      <c r="V403" s="66"/>
      <c r="W403" s="66"/>
      <c r="X403" s="66"/>
    </row>
    <row r="404">
      <c r="A404" s="75"/>
      <c r="B404" s="485"/>
      <c r="C404" s="75"/>
      <c r="D404" s="485"/>
      <c r="E404" s="75"/>
      <c r="F404" s="485"/>
      <c r="G404" s="210"/>
      <c r="H404" s="485"/>
      <c r="I404" s="188"/>
      <c r="J404" s="485"/>
      <c r="K404" s="75"/>
      <c r="L404" s="66"/>
      <c r="M404" s="66"/>
      <c r="N404" s="66"/>
      <c r="O404" s="66"/>
      <c r="P404" s="66"/>
      <c r="Q404" s="66"/>
      <c r="R404" s="66"/>
      <c r="S404" s="66"/>
      <c r="T404" s="66"/>
      <c r="U404" s="66"/>
      <c r="V404" s="66"/>
      <c r="W404" s="66"/>
      <c r="X404" s="66"/>
    </row>
    <row r="405">
      <c r="A405" s="75"/>
      <c r="B405" s="485"/>
      <c r="C405" s="75"/>
      <c r="D405" s="485"/>
      <c r="E405" s="75"/>
      <c r="F405" s="485"/>
      <c r="G405" s="210"/>
      <c r="H405" s="485"/>
      <c r="I405" s="188"/>
      <c r="J405" s="485"/>
      <c r="K405" s="75"/>
      <c r="L405" s="66"/>
      <c r="M405" s="66"/>
      <c r="N405" s="66"/>
      <c r="O405" s="66"/>
      <c r="P405" s="66"/>
      <c r="Q405" s="66"/>
      <c r="R405" s="66"/>
      <c r="S405" s="66"/>
      <c r="T405" s="66"/>
      <c r="U405" s="66"/>
      <c r="V405" s="66"/>
      <c r="W405" s="66"/>
      <c r="X405" s="66"/>
    </row>
    <row r="406">
      <c r="A406" s="75"/>
      <c r="B406" s="485"/>
      <c r="C406" s="75"/>
      <c r="D406" s="485"/>
      <c r="E406" s="75"/>
      <c r="F406" s="485"/>
      <c r="G406" s="210"/>
      <c r="H406" s="485"/>
      <c r="I406" s="188"/>
      <c r="J406" s="485"/>
      <c r="K406" s="75"/>
      <c r="L406" s="66"/>
      <c r="M406" s="66"/>
      <c r="N406" s="66"/>
      <c r="O406" s="66"/>
      <c r="P406" s="66"/>
      <c r="Q406" s="66"/>
      <c r="R406" s="66"/>
      <c r="S406" s="66"/>
      <c r="T406" s="66"/>
      <c r="U406" s="66"/>
      <c r="V406" s="66"/>
      <c r="W406" s="66"/>
      <c r="X406" s="66"/>
    </row>
    <row r="407">
      <c r="A407" s="75"/>
      <c r="B407" s="485"/>
      <c r="C407" s="75"/>
      <c r="D407" s="485"/>
      <c r="E407" s="75"/>
      <c r="F407" s="485"/>
      <c r="G407" s="210"/>
      <c r="H407" s="485"/>
      <c r="I407" s="188"/>
      <c r="J407" s="485"/>
      <c r="K407" s="75"/>
      <c r="L407" s="66"/>
      <c r="M407" s="66"/>
      <c r="N407" s="66"/>
      <c r="O407" s="66"/>
      <c r="P407" s="66"/>
      <c r="Q407" s="66"/>
      <c r="R407" s="66"/>
      <c r="S407" s="66"/>
      <c r="T407" s="66"/>
      <c r="U407" s="66"/>
      <c r="V407" s="66"/>
      <c r="W407" s="66"/>
      <c r="X407" s="66"/>
    </row>
    <row r="408">
      <c r="A408" s="75"/>
      <c r="B408" s="485"/>
      <c r="C408" s="75"/>
      <c r="D408" s="485"/>
      <c r="E408" s="75"/>
      <c r="F408" s="485"/>
      <c r="G408" s="210"/>
      <c r="H408" s="485"/>
      <c r="I408" s="188"/>
      <c r="J408" s="485"/>
      <c r="K408" s="75"/>
      <c r="L408" s="66"/>
      <c r="M408" s="66"/>
      <c r="N408" s="66"/>
      <c r="O408" s="66"/>
      <c r="P408" s="66"/>
      <c r="Q408" s="66"/>
      <c r="R408" s="66"/>
      <c r="S408" s="66"/>
      <c r="T408" s="66"/>
      <c r="U408" s="66"/>
      <c r="V408" s="66"/>
      <c r="W408" s="66"/>
      <c r="X408" s="66"/>
    </row>
    <row r="409">
      <c r="A409" s="75"/>
      <c r="B409" s="485"/>
      <c r="C409" s="75"/>
      <c r="D409" s="485"/>
      <c r="E409" s="75"/>
      <c r="F409" s="485"/>
      <c r="G409" s="210"/>
      <c r="H409" s="485"/>
      <c r="I409" s="188"/>
      <c r="J409" s="485"/>
      <c r="K409" s="75"/>
      <c r="L409" s="66"/>
      <c r="M409" s="66"/>
      <c r="N409" s="66"/>
      <c r="O409" s="66"/>
      <c r="P409" s="66"/>
      <c r="Q409" s="66"/>
      <c r="R409" s="66"/>
      <c r="S409" s="66"/>
      <c r="T409" s="66"/>
      <c r="U409" s="66"/>
      <c r="V409" s="66"/>
      <c r="W409" s="66"/>
      <c r="X409" s="66"/>
    </row>
    <row r="410">
      <c r="A410" s="75"/>
      <c r="B410" s="485"/>
      <c r="C410" s="75"/>
      <c r="D410" s="485"/>
      <c r="E410" s="75"/>
      <c r="F410" s="485"/>
      <c r="G410" s="210"/>
      <c r="H410" s="485"/>
      <c r="I410" s="188"/>
      <c r="J410" s="485"/>
      <c r="K410" s="75"/>
      <c r="L410" s="66"/>
      <c r="M410" s="66"/>
      <c r="N410" s="66"/>
      <c r="O410" s="66"/>
      <c r="P410" s="66"/>
      <c r="Q410" s="66"/>
      <c r="R410" s="66"/>
      <c r="S410" s="66"/>
      <c r="T410" s="66"/>
      <c r="U410" s="66"/>
      <c r="V410" s="66"/>
      <c r="W410" s="66"/>
      <c r="X410" s="66"/>
    </row>
    <row r="411">
      <c r="A411" s="75"/>
      <c r="B411" s="485"/>
      <c r="C411" s="75"/>
      <c r="D411" s="485"/>
      <c r="E411" s="75"/>
      <c r="F411" s="485"/>
      <c r="G411" s="210"/>
      <c r="H411" s="485"/>
      <c r="I411" s="188"/>
      <c r="J411" s="485"/>
      <c r="K411" s="75"/>
      <c r="L411" s="66"/>
      <c r="M411" s="66"/>
      <c r="N411" s="66"/>
      <c r="O411" s="66"/>
      <c r="P411" s="66"/>
      <c r="Q411" s="66"/>
      <c r="R411" s="66"/>
      <c r="S411" s="66"/>
      <c r="T411" s="66"/>
      <c r="U411" s="66"/>
      <c r="V411" s="66"/>
      <c r="W411" s="66"/>
      <c r="X411" s="66"/>
    </row>
    <row r="412">
      <c r="A412" s="75"/>
      <c r="B412" s="485"/>
      <c r="C412" s="75"/>
      <c r="D412" s="485"/>
      <c r="E412" s="75"/>
      <c r="F412" s="485"/>
      <c r="G412" s="210"/>
      <c r="H412" s="485"/>
      <c r="I412" s="188"/>
      <c r="J412" s="485"/>
      <c r="K412" s="75"/>
      <c r="L412" s="66"/>
      <c r="M412" s="66"/>
      <c r="N412" s="66"/>
      <c r="O412" s="66"/>
      <c r="P412" s="66"/>
      <c r="Q412" s="66"/>
      <c r="R412" s="66"/>
      <c r="S412" s="66"/>
      <c r="T412" s="66"/>
      <c r="U412" s="66"/>
      <c r="V412" s="66"/>
      <c r="W412" s="66"/>
      <c r="X412" s="66"/>
    </row>
    <row r="413">
      <c r="A413" s="75"/>
      <c r="B413" s="485"/>
      <c r="C413" s="75"/>
      <c r="D413" s="485"/>
      <c r="E413" s="75"/>
      <c r="F413" s="485"/>
      <c r="G413" s="210"/>
      <c r="H413" s="485"/>
      <c r="I413" s="188"/>
      <c r="J413" s="485"/>
      <c r="K413" s="75"/>
      <c r="L413" s="66"/>
      <c r="M413" s="66"/>
      <c r="N413" s="66"/>
      <c r="O413" s="66"/>
      <c r="P413" s="66"/>
      <c r="Q413" s="66"/>
      <c r="R413" s="66"/>
      <c r="S413" s="66"/>
      <c r="T413" s="66"/>
      <c r="U413" s="66"/>
      <c r="V413" s="66"/>
      <c r="W413" s="66"/>
      <c r="X413" s="66"/>
    </row>
    <row r="414">
      <c r="A414" s="75"/>
      <c r="B414" s="485"/>
      <c r="C414" s="75"/>
      <c r="D414" s="485"/>
      <c r="E414" s="75"/>
      <c r="F414" s="485"/>
      <c r="G414" s="210"/>
      <c r="H414" s="485"/>
      <c r="I414" s="188"/>
      <c r="J414" s="485"/>
      <c r="K414" s="75"/>
      <c r="L414" s="66"/>
      <c r="M414" s="66"/>
      <c r="N414" s="66"/>
      <c r="O414" s="66"/>
      <c r="P414" s="66"/>
      <c r="Q414" s="66"/>
      <c r="R414" s="66"/>
      <c r="S414" s="66"/>
      <c r="T414" s="66"/>
      <c r="U414" s="66"/>
      <c r="V414" s="66"/>
      <c r="W414" s="66"/>
      <c r="X414" s="66"/>
    </row>
    <row r="415">
      <c r="A415" s="75"/>
      <c r="B415" s="485"/>
      <c r="C415" s="75"/>
      <c r="D415" s="485"/>
      <c r="E415" s="75"/>
      <c r="F415" s="485"/>
      <c r="G415" s="210"/>
      <c r="H415" s="485"/>
      <c r="I415" s="188"/>
      <c r="J415" s="485"/>
      <c r="K415" s="75"/>
      <c r="L415" s="66"/>
      <c r="M415" s="66"/>
      <c r="N415" s="66"/>
      <c r="O415" s="66"/>
      <c r="P415" s="66"/>
      <c r="Q415" s="66"/>
      <c r="R415" s="66"/>
      <c r="S415" s="66"/>
      <c r="T415" s="66"/>
      <c r="U415" s="66"/>
      <c r="V415" s="66"/>
      <c r="W415" s="66"/>
      <c r="X415" s="66"/>
    </row>
    <row r="416">
      <c r="A416" s="75"/>
      <c r="B416" s="485"/>
      <c r="C416" s="75"/>
      <c r="D416" s="485"/>
      <c r="E416" s="75"/>
      <c r="F416" s="485"/>
      <c r="G416" s="210"/>
      <c r="H416" s="485"/>
      <c r="I416" s="188"/>
      <c r="J416" s="485"/>
      <c r="K416" s="75"/>
      <c r="L416" s="66"/>
      <c r="M416" s="66"/>
      <c r="N416" s="66"/>
      <c r="O416" s="66"/>
      <c r="P416" s="66"/>
      <c r="Q416" s="66"/>
      <c r="R416" s="66"/>
      <c r="S416" s="66"/>
      <c r="T416" s="66"/>
      <c r="U416" s="66"/>
      <c r="V416" s="66"/>
      <c r="W416" s="66"/>
      <c r="X416" s="66"/>
    </row>
    <row r="417">
      <c r="A417" s="75"/>
      <c r="B417" s="485"/>
      <c r="C417" s="75"/>
      <c r="D417" s="485"/>
      <c r="E417" s="75"/>
      <c r="F417" s="485"/>
      <c r="G417" s="210"/>
      <c r="H417" s="485"/>
      <c r="I417" s="188"/>
      <c r="J417" s="485"/>
      <c r="K417" s="75"/>
      <c r="L417" s="66"/>
      <c r="M417" s="66"/>
      <c r="N417" s="66"/>
      <c r="O417" s="66"/>
      <c r="P417" s="66"/>
      <c r="Q417" s="66"/>
      <c r="R417" s="66"/>
      <c r="S417" s="66"/>
      <c r="T417" s="66"/>
      <c r="U417" s="66"/>
      <c r="V417" s="66"/>
      <c r="W417" s="66"/>
      <c r="X417" s="66"/>
    </row>
    <row r="418">
      <c r="A418" s="75"/>
      <c r="B418" s="485"/>
      <c r="C418" s="75"/>
      <c r="D418" s="485"/>
      <c r="E418" s="75"/>
      <c r="F418" s="485"/>
      <c r="G418" s="210"/>
      <c r="H418" s="485"/>
      <c r="I418" s="188"/>
      <c r="J418" s="485"/>
      <c r="K418" s="75"/>
      <c r="L418" s="66"/>
      <c r="M418" s="66"/>
      <c r="N418" s="66"/>
      <c r="O418" s="66"/>
      <c r="P418" s="66"/>
      <c r="Q418" s="66"/>
      <c r="R418" s="66"/>
      <c r="S418" s="66"/>
      <c r="T418" s="66"/>
      <c r="U418" s="66"/>
      <c r="V418" s="66"/>
      <c r="W418" s="66"/>
      <c r="X418" s="66"/>
    </row>
    <row r="419">
      <c r="A419" s="75"/>
      <c r="B419" s="485"/>
      <c r="C419" s="75"/>
      <c r="D419" s="485"/>
      <c r="E419" s="75"/>
      <c r="F419" s="485"/>
      <c r="G419" s="210"/>
      <c r="H419" s="485"/>
      <c r="I419" s="188"/>
      <c r="J419" s="485"/>
      <c r="K419" s="75"/>
      <c r="L419" s="66"/>
      <c r="M419" s="66"/>
      <c r="N419" s="66"/>
      <c r="O419" s="66"/>
      <c r="P419" s="66"/>
      <c r="Q419" s="66"/>
      <c r="R419" s="66"/>
      <c r="S419" s="66"/>
      <c r="T419" s="66"/>
      <c r="U419" s="66"/>
      <c r="V419" s="66"/>
      <c r="W419" s="66"/>
      <c r="X419" s="66"/>
    </row>
    <row r="420">
      <c r="A420" s="75"/>
      <c r="B420" s="485"/>
      <c r="C420" s="75"/>
      <c r="D420" s="485"/>
      <c r="E420" s="75"/>
      <c r="F420" s="485"/>
      <c r="G420" s="210"/>
      <c r="H420" s="485"/>
      <c r="I420" s="188"/>
      <c r="J420" s="485"/>
      <c r="K420" s="75"/>
      <c r="L420" s="66"/>
      <c r="M420" s="66"/>
      <c r="N420" s="66"/>
      <c r="O420" s="66"/>
      <c r="P420" s="66"/>
      <c r="Q420" s="66"/>
      <c r="R420" s="66"/>
      <c r="S420" s="66"/>
      <c r="T420" s="66"/>
      <c r="U420" s="66"/>
      <c r="V420" s="66"/>
      <c r="W420" s="66"/>
      <c r="X420" s="66"/>
    </row>
    <row r="421">
      <c r="A421" s="75"/>
      <c r="B421" s="485"/>
      <c r="C421" s="75"/>
      <c r="D421" s="485"/>
      <c r="E421" s="75"/>
      <c r="F421" s="485"/>
      <c r="G421" s="210"/>
      <c r="H421" s="485"/>
      <c r="I421" s="188"/>
      <c r="J421" s="485"/>
      <c r="K421" s="75"/>
      <c r="L421" s="66"/>
      <c r="M421" s="66"/>
      <c r="N421" s="66"/>
      <c r="O421" s="66"/>
      <c r="P421" s="66"/>
      <c r="Q421" s="66"/>
      <c r="R421" s="66"/>
      <c r="S421" s="66"/>
      <c r="T421" s="66"/>
      <c r="U421" s="66"/>
      <c r="V421" s="66"/>
      <c r="W421" s="66"/>
      <c r="X421" s="66"/>
    </row>
    <row r="422">
      <c r="A422" s="75"/>
      <c r="B422" s="485"/>
      <c r="C422" s="75"/>
      <c r="D422" s="485"/>
      <c r="E422" s="75"/>
      <c r="F422" s="485"/>
      <c r="G422" s="210"/>
      <c r="H422" s="485"/>
      <c r="I422" s="188"/>
      <c r="J422" s="485"/>
      <c r="K422" s="75"/>
      <c r="L422" s="66"/>
      <c r="M422" s="66"/>
      <c r="N422" s="66"/>
      <c r="O422" s="66"/>
      <c r="P422" s="66"/>
      <c r="Q422" s="66"/>
      <c r="R422" s="66"/>
      <c r="S422" s="66"/>
      <c r="T422" s="66"/>
      <c r="U422" s="66"/>
      <c r="V422" s="66"/>
      <c r="W422" s="66"/>
      <c r="X422" s="66"/>
    </row>
    <row r="423">
      <c r="A423" s="75"/>
      <c r="B423" s="485"/>
      <c r="C423" s="75"/>
      <c r="D423" s="485"/>
      <c r="E423" s="75"/>
      <c r="F423" s="485"/>
      <c r="G423" s="210"/>
      <c r="H423" s="485"/>
      <c r="I423" s="188"/>
      <c r="J423" s="485"/>
      <c r="K423" s="75"/>
      <c r="L423" s="66"/>
      <c r="M423" s="66"/>
      <c r="N423" s="66"/>
      <c r="O423" s="66"/>
      <c r="P423" s="66"/>
      <c r="Q423" s="66"/>
      <c r="R423" s="66"/>
      <c r="S423" s="66"/>
      <c r="T423" s="66"/>
      <c r="U423" s="66"/>
      <c r="V423" s="66"/>
      <c r="W423" s="66"/>
      <c r="X423" s="66"/>
    </row>
    <row r="424">
      <c r="A424" s="75"/>
      <c r="B424" s="485"/>
      <c r="C424" s="75"/>
      <c r="D424" s="485"/>
      <c r="E424" s="75"/>
      <c r="F424" s="485"/>
      <c r="G424" s="210"/>
      <c r="H424" s="485"/>
      <c r="I424" s="188"/>
      <c r="J424" s="485"/>
      <c r="K424" s="75"/>
      <c r="L424" s="66"/>
      <c r="M424" s="66"/>
      <c r="N424" s="66"/>
      <c r="O424" s="66"/>
      <c r="P424" s="66"/>
      <c r="Q424" s="66"/>
      <c r="R424" s="66"/>
      <c r="S424" s="66"/>
      <c r="T424" s="66"/>
      <c r="U424" s="66"/>
      <c r="V424" s="66"/>
      <c r="W424" s="66"/>
      <c r="X424" s="66"/>
    </row>
    <row r="425">
      <c r="A425" s="75"/>
      <c r="B425" s="485"/>
      <c r="C425" s="75"/>
      <c r="D425" s="485"/>
      <c r="E425" s="75"/>
      <c r="F425" s="485"/>
      <c r="G425" s="210"/>
      <c r="H425" s="485"/>
      <c r="I425" s="188"/>
      <c r="J425" s="485"/>
      <c r="K425" s="75"/>
      <c r="L425" s="66"/>
      <c r="M425" s="66"/>
      <c r="N425" s="66"/>
      <c r="O425" s="66"/>
      <c r="P425" s="66"/>
      <c r="Q425" s="66"/>
      <c r="R425" s="66"/>
      <c r="S425" s="66"/>
      <c r="T425" s="66"/>
      <c r="U425" s="66"/>
      <c r="V425" s="66"/>
      <c r="W425" s="66"/>
      <c r="X425" s="66"/>
    </row>
    <row r="426">
      <c r="A426" s="75"/>
      <c r="B426" s="485"/>
      <c r="C426" s="75"/>
      <c r="D426" s="485"/>
      <c r="E426" s="75"/>
      <c r="F426" s="485"/>
      <c r="G426" s="210"/>
      <c r="H426" s="485"/>
      <c r="I426" s="188"/>
      <c r="J426" s="485"/>
      <c r="K426" s="75"/>
      <c r="L426" s="66"/>
      <c r="M426" s="66"/>
      <c r="N426" s="66"/>
      <c r="O426" s="66"/>
      <c r="P426" s="66"/>
      <c r="Q426" s="66"/>
      <c r="R426" s="66"/>
      <c r="S426" s="66"/>
      <c r="T426" s="66"/>
      <c r="U426" s="66"/>
      <c r="V426" s="66"/>
      <c r="W426" s="66"/>
      <c r="X426" s="66"/>
    </row>
    <row r="427">
      <c r="A427" s="75"/>
      <c r="B427" s="485"/>
      <c r="C427" s="75"/>
      <c r="D427" s="485"/>
      <c r="E427" s="75"/>
      <c r="F427" s="485"/>
      <c r="G427" s="210"/>
      <c r="H427" s="485"/>
      <c r="I427" s="188"/>
      <c r="J427" s="485"/>
      <c r="K427" s="75"/>
      <c r="L427" s="66"/>
      <c r="M427" s="66"/>
      <c r="N427" s="66"/>
      <c r="O427" s="66"/>
      <c r="P427" s="66"/>
      <c r="Q427" s="66"/>
      <c r="R427" s="66"/>
      <c r="S427" s="66"/>
      <c r="T427" s="66"/>
      <c r="U427" s="66"/>
      <c r="V427" s="66"/>
      <c r="W427" s="66"/>
      <c r="X427" s="66"/>
    </row>
    <row r="428">
      <c r="A428" s="75"/>
      <c r="B428" s="485"/>
      <c r="C428" s="75"/>
      <c r="D428" s="485"/>
      <c r="E428" s="75"/>
      <c r="F428" s="485"/>
      <c r="G428" s="210"/>
      <c r="H428" s="485"/>
      <c r="I428" s="188"/>
      <c r="J428" s="485"/>
      <c r="K428" s="75"/>
      <c r="L428" s="66"/>
      <c r="M428" s="66"/>
      <c r="N428" s="66"/>
      <c r="O428" s="66"/>
      <c r="P428" s="66"/>
      <c r="Q428" s="66"/>
      <c r="R428" s="66"/>
      <c r="S428" s="66"/>
      <c r="T428" s="66"/>
      <c r="U428" s="66"/>
      <c r="V428" s="66"/>
      <c r="W428" s="66"/>
      <c r="X428" s="66"/>
    </row>
    <row r="429">
      <c r="A429" s="75"/>
      <c r="B429" s="485"/>
      <c r="C429" s="75"/>
      <c r="D429" s="485"/>
      <c r="E429" s="75"/>
      <c r="F429" s="485"/>
      <c r="G429" s="210"/>
      <c r="H429" s="485"/>
      <c r="I429" s="188"/>
      <c r="J429" s="485"/>
      <c r="K429" s="75"/>
      <c r="L429" s="66"/>
      <c r="M429" s="66"/>
      <c r="N429" s="66"/>
      <c r="O429" s="66"/>
      <c r="P429" s="66"/>
      <c r="Q429" s="66"/>
      <c r="R429" s="66"/>
      <c r="S429" s="66"/>
      <c r="T429" s="66"/>
      <c r="U429" s="66"/>
      <c r="V429" s="66"/>
      <c r="W429" s="66"/>
      <c r="X429" s="66"/>
    </row>
    <row r="430">
      <c r="A430" s="75"/>
      <c r="B430" s="485"/>
      <c r="C430" s="75"/>
      <c r="D430" s="485"/>
      <c r="E430" s="75"/>
      <c r="F430" s="485"/>
      <c r="G430" s="210"/>
      <c r="H430" s="485"/>
      <c r="I430" s="188"/>
      <c r="J430" s="485"/>
      <c r="K430" s="75"/>
      <c r="L430" s="66"/>
      <c r="M430" s="66"/>
      <c r="N430" s="66"/>
      <c r="O430" s="66"/>
      <c r="P430" s="66"/>
      <c r="Q430" s="66"/>
      <c r="R430" s="66"/>
      <c r="S430" s="66"/>
      <c r="T430" s="66"/>
      <c r="U430" s="66"/>
      <c r="V430" s="66"/>
      <c r="W430" s="66"/>
      <c r="X430" s="66"/>
    </row>
    <row r="431">
      <c r="A431" s="75"/>
      <c r="B431" s="485"/>
      <c r="C431" s="75"/>
      <c r="D431" s="485"/>
      <c r="E431" s="75"/>
      <c r="F431" s="485"/>
      <c r="G431" s="210"/>
      <c r="H431" s="485"/>
      <c r="I431" s="188"/>
      <c r="J431" s="485"/>
      <c r="K431" s="75"/>
      <c r="L431" s="66"/>
      <c r="M431" s="66"/>
      <c r="N431" s="66"/>
      <c r="O431" s="66"/>
      <c r="P431" s="66"/>
      <c r="Q431" s="66"/>
      <c r="R431" s="66"/>
      <c r="S431" s="66"/>
      <c r="T431" s="66"/>
      <c r="U431" s="66"/>
      <c r="V431" s="66"/>
      <c r="W431" s="66"/>
      <c r="X431" s="66"/>
    </row>
    <row r="432">
      <c r="A432" s="75"/>
      <c r="B432" s="485"/>
      <c r="C432" s="75"/>
      <c r="D432" s="485"/>
      <c r="E432" s="75"/>
      <c r="F432" s="485"/>
      <c r="G432" s="210"/>
      <c r="H432" s="485"/>
      <c r="I432" s="188"/>
      <c r="J432" s="485"/>
      <c r="K432" s="75"/>
      <c r="L432" s="66"/>
      <c r="M432" s="66"/>
      <c r="N432" s="66"/>
      <c r="O432" s="66"/>
      <c r="P432" s="66"/>
      <c r="Q432" s="66"/>
      <c r="R432" s="66"/>
      <c r="S432" s="66"/>
      <c r="T432" s="66"/>
      <c r="U432" s="66"/>
      <c r="V432" s="66"/>
      <c r="W432" s="66"/>
      <c r="X432" s="66"/>
    </row>
    <row r="433">
      <c r="A433" s="75"/>
      <c r="B433" s="485"/>
      <c r="C433" s="75"/>
      <c r="D433" s="485"/>
      <c r="E433" s="75"/>
      <c r="F433" s="485"/>
      <c r="G433" s="210"/>
      <c r="H433" s="485"/>
      <c r="I433" s="188"/>
      <c r="J433" s="485"/>
      <c r="K433" s="75"/>
      <c r="L433" s="66"/>
      <c r="M433" s="66"/>
      <c r="N433" s="66"/>
      <c r="O433" s="66"/>
      <c r="P433" s="66"/>
      <c r="Q433" s="66"/>
      <c r="R433" s="66"/>
      <c r="S433" s="66"/>
      <c r="T433" s="66"/>
      <c r="U433" s="66"/>
      <c r="V433" s="66"/>
      <c r="W433" s="66"/>
      <c r="X433" s="66"/>
    </row>
    <row r="434">
      <c r="A434" s="75"/>
      <c r="B434" s="485"/>
      <c r="C434" s="75"/>
      <c r="D434" s="485"/>
      <c r="E434" s="75"/>
      <c r="F434" s="485"/>
      <c r="G434" s="210"/>
      <c r="H434" s="485"/>
      <c r="I434" s="188"/>
      <c r="J434" s="485"/>
      <c r="K434" s="75"/>
      <c r="L434" s="66"/>
      <c r="M434" s="66"/>
      <c r="N434" s="66"/>
      <c r="O434" s="66"/>
      <c r="P434" s="66"/>
      <c r="Q434" s="66"/>
      <c r="R434" s="66"/>
      <c r="S434" s="66"/>
      <c r="T434" s="66"/>
      <c r="U434" s="66"/>
      <c r="V434" s="66"/>
      <c r="W434" s="66"/>
      <c r="X434" s="66"/>
    </row>
    <row r="435">
      <c r="A435" s="75"/>
      <c r="B435" s="485"/>
      <c r="C435" s="75"/>
      <c r="D435" s="485"/>
      <c r="E435" s="75"/>
      <c r="F435" s="485"/>
      <c r="G435" s="210"/>
      <c r="H435" s="485"/>
      <c r="I435" s="188"/>
      <c r="J435" s="485"/>
      <c r="K435" s="75"/>
      <c r="L435" s="66"/>
      <c r="M435" s="66"/>
      <c r="N435" s="66"/>
      <c r="O435" s="66"/>
      <c r="P435" s="66"/>
      <c r="Q435" s="66"/>
      <c r="R435" s="66"/>
      <c r="S435" s="66"/>
      <c r="T435" s="66"/>
      <c r="U435" s="66"/>
      <c r="V435" s="66"/>
      <c r="W435" s="66"/>
      <c r="X435" s="66"/>
    </row>
    <row r="436">
      <c r="A436" s="75"/>
      <c r="B436" s="485"/>
      <c r="C436" s="75"/>
      <c r="D436" s="485"/>
      <c r="E436" s="75"/>
      <c r="F436" s="485"/>
      <c r="G436" s="210"/>
      <c r="H436" s="485"/>
      <c r="I436" s="188"/>
      <c r="J436" s="485"/>
      <c r="K436" s="75"/>
      <c r="L436" s="66"/>
      <c r="M436" s="66"/>
      <c r="N436" s="66"/>
      <c r="O436" s="66"/>
      <c r="P436" s="66"/>
      <c r="Q436" s="66"/>
      <c r="R436" s="66"/>
      <c r="S436" s="66"/>
      <c r="T436" s="66"/>
      <c r="U436" s="66"/>
      <c r="V436" s="66"/>
      <c r="W436" s="66"/>
      <c r="X436" s="66"/>
    </row>
    <row r="437">
      <c r="A437" s="75"/>
      <c r="B437" s="485"/>
      <c r="C437" s="75"/>
      <c r="D437" s="485"/>
      <c r="E437" s="75"/>
      <c r="F437" s="485"/>
      <c r="G437" s="210"/>
      <c r="H437" s="485"/>
      <c r="I437" s="188"/>
      <c r="J437" s="485"/>
      <c r="K437" s="75"/>
      <c r="L437" s="66"/>
      <c r="M437" s="66"/>
      <c r="N437" s="66"/>
      <c r="O437" s="66"/>
      <c r="P437" s="66"/>
      <c r="Q437" s="66"/>
      <c r="R437" s="66"/>
      <c r="S437" s="66"/>
      <c r="T437" s="66"/>
      <c r="U437" s="66"/>
      <c r="V437" s="66"/>
      <c r="W437" s="66"/>
      <c r="X437" s="66"/>
    </row>
    <row r="438">
      <c r="A438" s="75"/>
      <c r="B438" s="485"/>
      <c r="C438" s="75"/>
      <c r="D438" s="485"/>
      <c r="E438" s="75"/>
      <c r="F438" s="485"/>
      <c r="G438" s="210"/>
      <c r="H438" s="485"/>
      <c r="I438" s="188"/>
      <c r="J438" s="485"/>
      <c r="K438" s="75"/>
      <c r="L438" s="66"/>
      <c r="M438" s="66"/>
      <c r="N438" s="66"/>
      <c r="O438" s="66"/>
      <c r="P438" s="66"/>
      <c r="Q438" s="66"/>
      <c r="R438" s="66"/>
      <c r="S438" s="66"/>
      <c r="T438" s="66"/>
      <c r="U438" s="66"/>
      <c r="V438" s="66"/>
      <c r="W438" s="66"/>
      <c r="X438" s="66"/>
    </row>
    <row r="439">
      <c r="A439" s="75"/>
      <c r="B439" s="485"/>
      <c r="C439" s="75"/>
      <c r="D439" s="485"/>
      <c r="E439" s="75"/>
      <c r="F439" s="485"/>
      <c r="G439" s="210"/>
      <c r="H439" s="485"/>
      <c r="I439" s="188"/>
      <c r="J439" s="485"/>
      <c r="K439" s="75"/>
      <c r="L439" s="66"/>
      <c r="M439" s="66"/>
      <c r="N439" s="66"/>
      <c r="O439" s="66"/>
      <c r="P439" s="66"/>
      <c r="Q439" s="66"/>
      <c r="R439" s="66"/>
      <c r="S439" s="66"/>
      <c r="T439" s="66"/>
      <c r="U439" s="66"/>
      <c r="V439" s="66"/>
      <c r="W439" s="66"/>
      <c r="X439" s="66"/>
    </row>
    <row r="440">
      <c r="A440" s="75"/>
      <c r="B440" s="485"/>
      <c r="C440" s="75"/>
      <c r="D440" s="485"/>
      <c r="E440" s="75"/>
      <c r="F440" s="485"/>
      <c r="G440" s="210"/>
      <c r="H440" s="485"/>
      <c r="I440" s="188"/>
      <c r="J440" s="485"/>
      <c r="K440" s="75"/>
      <c r="L440" s="66"/>
      <c r="M440" s="66"/>
      <c r="N440" s="66"/>
      <c r="O440" s="66"/>
      <c r="P440" s="66"/>
      <c r="Q440" s="66"/>
      <c r="R440" s="66"/>
      <c r="S440" s="66"/>
      <c r="T440" s="66"/>
      <c r="U440" s="66"/>
      <c r="V440" s="66"/>
      <c r="W440" s="66"/>
      <c r="X440" s="66"/>
    </row>
    <row r="441">
      <c r="A441" s="75"/>
      <c r="B441" s="485"/>
      <c r="C441" s="75"/>
      <c r="D441" s="485"/>
      <c r="E441" s="75"/>
      <c r="F441" s="485"/>
      <c r="G441" s="210"/>
      <c r="H441" s="485"/>
      <c r="I441" s="188"/>
      <c r="J441" s="485"/>
      <c r="K441" s="75"/>
      <c r="L441" s="66"/>
      <c r="M441" s="66"/>
      <c r="N441" s="66"/>
      <c r="O441" s="66"/>
      <c r="P441" s="66"/>
      <c r="Q441" s="66"/>
      <c r="R441" s="66"/>
      <c r="S441" s="66"/>
      <c r="T441" s="66"/>
      <c r="U441" s="66"/>
      <c r="V441" s="66"/>
      <c r="W441" s="66"/>
      <c r="X441" s="66"/>
    </row>
    <row r="442">
      <c r="A442" s="75"/>
      <c r="B442" s="485"/>
      <c r="C442" s="75"/>
      <c r="D442" s="485"/>
      <c r="E442" s="75"/>
      <c r="F442" s="485"/>
      <c r="G442" s="210"/>
      <c r="H442" s="485"/>
      <c r="I442" s="188"/>
      <c r="J442" s="485"/>
      <c r="K442" s="75"/>
      <c r="L442" s="66"/>
      <c r="M442" s="66"/>
      <c r="N442" s="66"/>
      <c r="O442" s="66"/>
      <c r="P442" s="66"/>
      <c r="Q442" s="66"/>
      <c r="R442" s="66"/>
      <c r="S442" s="66"/>
      <c r="T442" s="66"/>
      <c r="U442" s="66"/>
      <c r="V442" s="66"/>
      <c r="W442" s="66"/>
      <c r="X442" s="66"/>
    </row>
    <row r="443">
      <c r="A443" s="75"/>
      <c r="B443" s="485"/>
      <c r="C443" s="75"/>
      <c r="D443" s="485"/>
      <c r="E443" s="75"/>
      <c r="F443" s="485"/>
      <c r="G443" s="210"/>
      <c r="H443" s="485"/>
      <c r="I443" s="188"/>
      <c r="J443" s="485"/>
      <c r="K443" s="75"/>
      <c r="L443" s="66"/>
      <c r="M443" s="66"/>
      <c r="N443" s="66"/>
      <c r="O443" s="66"/>
      <c r="P443" s="66"/>
      <c r="Q443" s="66"/>
      <c r="R443" s="66"/>
      <c r="S443" s="66"/>
      <c r="T443" s="66"/>
      <c r="U443" s="66"/>
      <c r="V443" s="66"/>
      <c r="W443" s="66"/>
      <c r="X443" s="66"/>
    </row>
    <row r="444">
      <c r="A444" s="75"/>
      <c r="B444" s="485"/>
      <c r="C444" s="75"/>
      <c r="D444" s="485"/>
      <c r="E444" s="75"/>
      <c r="F444" s="485"/>
      <c r="G444" s="210"/>
      <c r="H444" s="485"/>
      <c r="I444" s="188"/>
      <c r="J444" s="485"/>
      <c r="K444" s="75"/>
      <c r="L444" s="66"/>
      <c r="M444" s="66"/>
      <c r="N444" s="66"/>
      <c r="O444" s="66"/>
      <c r="P444" s="66"/>
      <c r="Q444" s="66"/>
      <c r="R444" s="66"/>
      <c r="S444" s="66"/>
      <c r="T444" s="66"/>
      <c r="U444" s="66"/>
      <c r="V444" s="66"/>
      <c r="W444" s="66"/>
      <c r="X444" s="66"/>
    </row>
    <row r="445">
      <c r="A445" s="75"/>
      <c r="B445" s="485"/>
      <c r="C445" s="75"/>
      <c r="D445" s="485"/>
      <c r="E445" s="75"/>
      <c r="F445" s="485"/>
      <c r="G445" s="210"/>
      <c r="H445" s="485"/>
      <c r="I445" s="188"/>
      <c r="J445" s="485"/>
      <c r="K445" s="75"/>
      <c r="L445" s="66"/>
      <c r="M445" s="66"/>
      <c r="N445" s="66"/>
      <c r="O445" s="66"/>
      <c r="P445" s="66"/>
      <c r="Q445" s="66"/>
      <c r="R445" s="66"/>
      <c r="S445" s="66"/>
      <c r="T445" s="66"/>
      <c r="U445" s="66"/>
      <c r="V445" s="66"/>
      <c r="W445" s="66"/>
      <c r="X445" s="66"/>
    </row>
    <row r="446">
      <c r="A446" s="75"/>
      <c r="B446" s="485"/>
      <c r="C446" s="75"/>
      <c r="D446" s="485"/>
      <c r="E446" s="75"/>
      <c r="F446" s="485"/>
      <c r="G446" s="210"/>
      <c r="H446" s="485"/>
      <c r="I446" s="188"/>
      <c r="J446" s="485"/>
      <c r="K446" s="75"/>
      <c r="L446" s="66"/>
      <c r="M446" s="66"/>
      <c r="N446" s="66"/>
      <c r="O446" s="66"/>
      <c r="P446" s="66"/>
      <c r="Q446" s="66"/>
      <c r="R446" s="66"/>
      <c r="S446" s="66"/>
      <c r="T446" s="66"/>
      <c r="U446" s="66"/>
      <c r="V446" s="66"/>
      <c r="W446" s="66"/>
      <c r="X446" s="66"/>
    </row>
    <row r="447">
      <c r="A447" s="75"/>
      <c r="B447" s="485"/>
      <c r="C447" s="75"/>
      <c r="D447" s="485"/>
      <c r="E447" s="75"/>
      <c r="F447" s="485"/>
      <c r="G447" s="210"/>
      <c r="H447" s="485"/>
      <c r="I447" s="188"/>
      <c r="J447" s="485"/>
      <c r="K447" s="75"/>
      <c r="L447" s="66"/>
      <c r="M447" s="66"/>
      <c r="N447" s="66"/>
      <c r="O447" s="66"/>
      <c r="P447" s="66"/>
      <c r="Q447" s="66"/>
      <c r="R447" s="66"/>
      <c r="S447" s="66"/>
      <c r="T447" s="66"/>
      <c r="U447" s="66"/>
      <c r="V447" s="66"/>
      <c r="W447" s="66"/>
      <c r="X447" s="66"/>
    </row>
    <row r="448">
      <c r="A448" s="75"/>
      <c r="B448" s="485"/>
      <c r="C448" s="75"/>
      <c r="D448" s="485"/>
      <c r="E448" s="75"/>
      <c r="F448" s="485"/>
      <c r="G448" s="210"/>
      <c r="H448" s="485"/>
      <c r="I448" s="188"/>
      <c r="J448" s="485"/>
      <c r="K448" s="75"/>
      <c r="L448" s="66"/>
      <c r="M448" s="66"/>
      <c r="N448" s="66"/>
      <c r="O448" s="66"/>
      <c r="P448" s="66"/>
      <c r="Q448" s="66"/>
      <c r="R448" s="66"/>
      <c r="S448" s="66"/>
      <c r="T448" s="66"/>
      <c r="U448" s="66"/>
      <c r="V448" s="66"/>
      <c r="W448" s="66"/>
      <c r="X448" s="66"/>
    </row>
    <row r="449">
      <c r="A449" s="75"/>
      <c r="B449" s="485"/>
      <c r="C449" s="75"/>
      <c r="D449" s="485"/>
      <c r="E449" s="75"/>
      <c r="F449" s="485"/>
      <c r="G449" s="210"/>
      <c r="H449" s="485"/>
      <c r="I449" s="188"/>
      <c r="J449" s="485"/>
      <c r="K449" s="75"/>
      <c r="L449" s="66"/>
      <c r="M449" s="66"/>
      <c r="N449" s="66"/>
      <c r="O449" s="66"/>
      <c r="P449" s="66"/>
      <c r="Q449" s="66"/>
      <c r="R449" s="66"/>
      <c r="S449" s="66"/>
      <c r="T449" s="66"/>
      <c r="U449" s="66"/>
      <c r="V449" s="66"/>
      <c r="W449" s="66"/>
      <c r="X449" s="66"/>
    </row>
    <row r="450">
      <c r="A450" s="75"/>
      <c r="B450" s="485"/>
      <c r="C450" s="75"/>
      <c r="D450" s="485"/>
      <c r="E450" s="75"/>
      <c r="F450" s="485"/>
      <c r="G450" s="210"/>
      <c r="H450" s="485"/>
      <c r="I450" s="188"/>
      <c r="J450" s="485"/>
      <c r="K450" s="75"/>
      <c r="L450" s="66"/>
      <c r="M450" s="66"/>
      <c r="N450" s="66"/>
      <c r="O450" s="66"/>
      <c r="P450" s="66"/>
      <c r="Q450" s="66"/>
      <c r="R450" s="66"/>
      <c r="S450" s="66"/>
      <c r="T450" s="66"/>
      <c r="U450" s="66"/>
      <c r="V450" s="66"/>
      <c r="W450" s="66"/>
      <c r="X450" s="66"/>
    </row>
    <row r="451">
      <c r="A451" s="75"/>
      <c r="B451" s="485"/>
      <c r="C451" s="75"/>
      <c r="D451" s="485"/>
      <c r="E451" s="75"/>
      <c r="F451" s="485"/>
      <c r="G451" s="210"/>
      <c r="H451" s="485"/>
      <c r="I451" s="188"/>
      <c r="J451" s="485"/>
      <c r="K451" s="75"/>
      <c r="L451" s="66"/>
      <c r="M451" s="66"/>
      <c r="N451" s="66"/>
      <c r="O451" s="66"/>
      <c r="P451" s="66"/>
      <c r="Q451" s="66"/>
      <c r="R451" s="66"/>
      <c r="S451" s="66"/>
      <c r="T451" s="66"/>
      <c r="U451" s="66"/>
      <c r="V451" s="66"/>
      <c r="W451" s="66"/>
      <c r="X451" s="66"/>
    </row>
    <row r="452">
      <c r="A452" s="75"/>
      <c r="B452" s="485"/>
      <c r="C452" s="75"/>
      <c r="D452" s="485"/>
      <c r="E452" s="75"/>
      <c r="F452" s="485"/>
      <c r="G452" s="210"/>
      <c r="H452" s="485"/>
      <c r="I452" s="188"/>
      <c r="J452" s="485"/>
      <c r="K452" s="75"/>
      <c r="L452" s="66"/>
      <c r="M452" s="66"/>
      <c r="N452" s="66"/>
      <c r="O452" s="66"/>
      <c r="P452" s="66"/>
      <c r="Q452" s="66"/>
      <c r="R452" s="66"/>
      <c r="S452" s="66"/>
      <c r="T452" s="66"/>
      <c r="U452" s="66"/>
      <c r="V452" s="66"/>
      <c r="W452" s="66"/>
      <c r="X452" s="66"/>
    </row>
    <row r="453">
      <c r="A453" s="75"/>
      <c r="B453" s="485"/>
      <c r="C453" s="75"/>
      <c r="D453" s="485"/>
      <c r="E453" s="75"/>
      <c r="F453" s="485"/>
      <c r="G453" s="210"/>
      <c r="H453" s="485"/>
      <c r="I453" s="188"/>
      <c r="J453" s="485"/>
      <c r="K453" s="75"/>
      <c r="L453" s="66"/>
      <c r="M453" s="66"/>
      <c r="N453" s="66"/>
      <c r="O453" s="66"/>
      <c r="P453" s="66"/>
      <c r="Q453" s="66"/>
      <c r="R453" s="66"/>
      <c r="S453" s="66"/>
      <c r="T453" s="66"/>
      <c r="U453" s="66"/>
      <c r="V453" s="66"/>
      <c r="W453" s="66"/>
      <c r="X453" s="66"/>
    </row>
    <row r="454">
      <c r="A454" s="75"/>
      <c r="B454" s="485"/>
      <c r="C454" s="75"/>
      <c r="D454" s="485"/>
      <c r="E454" s="75"/>
      <c r="F454" s="485"/>
      <c r="G454" s="210"/>
      <c r="H454" s="485"/>
      <c r="I454" s="188"/>
      <c r="J454" s="485"/>
      <c r="K454" s="75"/>
      <c r="L454" s="66"/>
      <c r="M454" s="66"/>
      <c r="N454" s="66"/>
      <c r="O454" s="66"/>
      <c r="P454" s="66"/>
      <c r="Q454" s="66"/>
      <c r="R454" s="66"/>
      <c r="S454" s="66"/>
      <c r="T454" s="66"/>
      <c r="U454" s="66"/>
      <c r="V454" s="66"/>
      <c r="W454" s="66"/>
      <c r="X454" s="66"/>
    </row>
    <row r="455">
      <c r="A455" s="75"/>
      <c r="B455" s="485"/>
      <c r="C455" s="75"/>
      <c r="D455" s="485"/>
      <c r="E455" s="75"/>
      <c r="F455" s="485"/>
      <c r="G455" s="210"/>
      <c r="H455" s="485"/>
      <c r="I455" s="188"/>
      <c r="J455" s="485"/>
      <c r="K455" s="75"/>
      <c r="L455" s="66"/>
      <c r="M455" s="66"/>
      <c r="N455" s="66"/>
      <c r="O455" s="66"/>
      <c r="P455" s="66"/>
      <c r="Q455" s="66"/>
      <c r="R455" s="66"/>
      <c r="S455" s="66"/>
      <c r="T455" s="66"/>
      <c r="U455" s="66"/>
      <c r="V455" s="66"/>
      <c r="W455" s="66"/>
      <c r="X455" s="66"/>
    </row>
    <row r="456">
      <c r="A456" s="75"/>
      <c r="B456" s="485"/>
      <c r="C456" s="75"/>
      <c r="D456" s="485"/>
      <c r="E456" s="75"/>
      <c r="F456" s="485"/>
      <c r="G456" s="210"/>
      <c r="H456" s="485"/>
      <c r="I456" s="188"/>
      <c r="J456" s="485"/>
      <c r="K456" s="75"/>
      <c r="L456" s="66"/>
      <c r="M456" s="66"/>
      <c r="N456" s="66"/>
      <c r="O456" s="66"/>
      <c r="P456" s="66"/>
      <c r="Q456" s="66"/>
      <c r="R456" s="66"/>
      <c r="S456" s="66"/>
      <c r="T456" s="66"/>
      <c r="U456" s="66"/>
      <c r="V456" s="66"/>
      <c r="W456" s="66"/>
      <c r="X456" s="66"/>
    </row>
    <row r="457">
      <c r="A457" s="75"/>
      <c r="B457" s="485"/>
      <c r="C457" s="75"/>
      <c r="D457" s="485"/>
      <c r="E457" s="75"/>
      <c r="F457" s="485"/>
      <c r="G457" s="210"/>
      <c r="H457" s="485"/>
      <c r="I457" s="188"/>
      <c r="J457" s="485"/>
      <c r="K457" s="75"/>
      <c r="L457" s="66"/>
      <c r="M457" s="66"/>
      <c r="N457" s="66"/>
      <c r="O457" s="66"/>
      <c r="P457" s="66"/>
      <c r="Q457" s="66"/>
      <c r="R457" s="66"/>
      <c r="S457" s="66"/>
      <c r="T457" s="66"/>
      <c r="U457" s="66"/>
      <c r="V457" s="66"/>
      <c r="W457" s="66"/>
      <c r="X457" s="66"/>
    </row>
    <row r="458">
      <c r="A458" s="75"/>
      <c r="B458" s="485"/>
      <c r="C458" s="75"/>
      <c r="D458" s="485"/>
      <c r="E458" s="75"/>
      <c r="F458" s="485"/>
      <c r="G458" s="210"/>
      <c r="H458" s="485"/>
      <c r="I458" s="188"/>
      <c r="J458" s="485"/>
      <c r="K458" s="75"/>
      <c r="L458" s="66"/>
      <c r="M458" s="66"/>
      <c r="N458" s="66"/>
      <c r="O458" s="66"/>
      <c r="P458" s="66"/>
      <c r="Q458" s="66"/>
      <c r="R458" s="66"/>
      <c r="S458" s="66"/>
      <c r="T458" s="66"/>
      <c r="U458" s="66"/>
      <c r="V458" s="66"/>
      <c r="W458" s="66"/>
      <c r="X458" s="66"/>
    </row>
    <row r="459">
      <c r="A459" s="75"/>
      <c r="B459" s="485"/>
      <c r="C459" s="75"/>
      <c r="D459" s="485"/>
      <c r="E459" s="75"/>
      <c r="F459" s="485"/>
      <c r="G459" s="210"/>
      <c r="H459" s="485"/>
      <c r="I459" s="188"/>
      <c r="J459" s="485"/>
      <c r="K459" s="75"/>
      <c r="L459" s="66"/>
      <c r="M459" s="66"/>
      <c r="N459" s="66"/>
      <c r="O459" s="66"/>
      <c r="P459" s="66"/>
      <c r="Q459" s="66"/>
      <c r="R459" s="66"/>
      <c r="S459" s="66"/>
      <c r="T459" s="66"/>
      <c r="U459" s="66"/>
      <c r="V459" s="66"/>
      <c r="W459" s="66"/>
      <c r="X459" s="66"/>
    </row>
    <row r="460">
      <c r="A460" s="75"/>
      <c r="B460" s="485"/>
      <c r="C460" s="75"/>
      <c r="D460" s="485"/>
      <c r="E460" s="75"/>
      <c r="F460" s="485"/>
      <c r="G460" s="210"/>
      <c r="H460" s="485"/>
      <c r="I460" s="188"/>
      <c r="J460" s="485"/>
      <c r="K460" s="75"/>
      <c r="L460" s="66"/>
      <c r="M460" s="66"/>
      <c r="N460" s="66"/>
      <c r="O460" s="66"/>
      <c r="P460" s="66"/>
      <c r="Q460" s="66"/>
      <c r="R460" s="66"/>
      <c r="S460" s="66"/>
      <c r="T460" s="66"/>
      <c r="U460" s="66"/>
      <c r="V460" s="66"/>
      <c r="W460" s="66"/>
      <c r="X460" s="66"/>
    </row>
    <row r="461">
      <c r="A461" s="75"/>
      <c r="B461" s="485"/>
      <c r="C461" s="75"/>
      <c r="D461" s="485"/>
      <c r="E461" s="75"/>
      <c r="F461" s="485"/>
      <c r="G461" s="210"/>
      <c r="H461" s="485"/>
      <c r="I461" s="188"/>
      <c r="J461" s="485"/>
      <c r="K461" s="75"/>
      <c r="L461" s="66"/>
      <c r="M461" s="66"/>
      <c r="N461" s="66"/>
      <c r="O461" s="66"/>
      <c r="P461" s="66"/>
      <c r="Q461" s="66"/>
      <c r="R461" s="66"/>
      <c r="S461" s="66"/>
      <c r="T461" s="66"/>
      <c r="U461" s="66"/>
      <c r="V461" s="66"/>
      <c r="W461" s="66"/>
      <c r="X461" s="66"/>
    </row>
    <row r="462">
      <c r="A462" s="75"/>
      <c r="B462" s="485"/>
      <c r="C462" s="75"/>
      <c r="D462" s="485"/>
      <c r="E462" s="75"/>
      <c r="F462" s="485"/>
      <c r="G462" s="210"/>
      <c r="H462" s="485"/>
      <c r="I462" s="188"/>
      <c r="J462" s="485"/>
      <c r="K462" s="75"/>
      <c r="L462" s="66"/>
      <c r="M462" s="66"/>
      <c r="N462" s="66"/>
      <c r="O462" s="66"/>
      <c r="P462" s="66"/>
      <c r="Q462" s="66"/>
      <c r="R462" s="66"/>
      <c r="S462" s="66"/>
      <c r="T462" s="66"/>
      <c r="U462" s="66"/>
      <c r="V462" s="66"/>
      <c r="W462" s="66"/>
      <c r="X462" s="66"/>
    </row>
    <row r="463">
      <c r="A463" s="75"/>
      <c r="B463" s="485"/>
      <c r="C463" s="75"/>
      <c r="D463" s="485"/>
      <c r="E463" s="75"/>
      <c r="F463" s="485"/>
      <c r="G463" s="210"/>
      <c r="H463" s="485"/>
      <c r="I463" s="188"/>
      <c r="J463" s="485"/>
      <c r="K463" s="75"/>
      <c r="L463" s="66"/>
      <c r="M463" s="66"/>
      <c r="N463" s="66"/>
      <c r="O463" s="66"/>
      <c r="P463" s="66"/>
      <c r="Q463" s="66"/>
      <c r="R463" s="66"/>
      <c r="S463" s="66"/>
      <c r="T463" s="66"/>
      <c r="U463" s="66"/>
      <c r="V463" s="66"/>
      <c r="W463" s="66"/>
      <c r="X463" s="66"/>
    </row>
    <row r="464">
      <c r="A464" s="75"/>
      <c r="B464" s="485"/>
      <c r="C464" s="75"/>
      <c r="D464" s="485"/>
      <c r="E464" s="75"/>
      <c r="F464" s="485"/>
      <c r="G464" s="210"/>
      <c r="H464" s="485"/>
      <c r="I464" s="188"/>
      <c r="J464" s="485"/>
      <c r="K464" s="75"/>
      <c r="L464" s="66"/>
      <c r="M464" s="66"/>
      <c r="N464" s="66"/>
      <c r="O464" s="66"/>
      <c r="P464" s="66"/>
      <c r="Q464" s="66"/>
      <c r="R464" s="66"/>
      <c r="S464" s="66"/>
      <c r="T464" s="66"/>
      <c r="U464" s="66"/>
      <c r="V464" s="66"/>
      <c r="W464" s="66"/>
      <c r="X464" s="66"/>
    </row>
    <row r="465">
      <c r="A465" s="75"/>
      <c r="B465" s="485"/>
      <c r="C465" s="75"/>
      <c r="D465" s="485"/>
      <c r="E465" s="75"/>
      <c r="F465" s="485"/>
      <c r="G465" s="210"/>
      <c r="H465" s="485"/>
      <c r="I465" s="188"/>
      <c r="J465" s="485"/>
      <c r="K465" s="75"/>
      <c r="L465" s="66"/>
      <c r="M465" s="66"/>
      <c r="N465" s="66"/>
      <c r="O465" s="66"/>
      <c r="P465" s="66"/>
      <c r="Q465" s="66"/>
      <c r="R465" s="66"/>
      <c r="S465" s="66"/>
      <c r="T465" s="66"/>
      <c r="U465" s="66"/>
      <c r="V465" s="66"/>
      <c r="W465" s="66"/>
      <c r="X465" s="66"/>
    </row>
    <row r="466">
      <c r="A466" s="75"/>
      <c r="B466" s="485"/>
      <c r="C466" s="75"/>
      <c r="D466" s="485"/>
      <c r="E466" s="75"/>
      <c r="F466" s="485"/>
      <c r="G466" s="210"/>
      <c r="H466" s="485"/>
      <c r="I466" s="188"/>
      <c r="J466" s="485"/>
      <c r="K466" s="75"/>
      <c r="L466" s="66"/>
      <c r="M466" s="66"/>
      <c r="N466" s="66"/>
      <c r="O466" s="66"/>
      <c r="P466" s="66"/>
      <c r="Q466" s="66"/>
      <c r="R466" s="66"/>
      <c r="S466" s="66"/>
      <c r="T466" s="66"/>
      <c r="U466" s="66"/>
      <c r="V466" s="66"/>
      <c r="W466" s="66"/>
      <c r="X466" s="66"/>
    </row>
    <row r="467">
      <c r="A467" s="75"/>
      <c r="B467" s="485"/>
      <c r="C467" s="75"/>
      <c r="D467" s="485"/>
      <c r="E467" s="75"/>
      <c r="F467" s="485"/>
      <c r="G467" s="210"/>
      <c r="H467" s="485"/>
      <c r="I467" s="188"/>
      <c r="J467" s="485"/>
      <c r="K467" s="75"/>
      <c r="L467" s="66"/>
      <c r="M467" s="66"/>
      <c r="N467" s="66"/>
      <c r="O467" s="66"/>
      <c r="P467" s="66"/>
      <c r="Q467" s="66"/>
      <c r="R467" s="66"/>
      <c r="S467" s="66"/>
      <c r="T467" s="66"/>
      <c r="U467" s="66"/>
      <c r="V467" s="66"/>
      <c r="W467" s="66"/>
      <c r="X467" s="66"/>
    </row>
    <row r="468">
      <c r="A468" s="75"/>
      <c r="B468" s="485"/>
      <c r="C468" s="75"/>
      <c r="D468" s="485"/>
      <c r="E468" s="75"/>
      <c r="F468" s="485"/>
      <c r="G468" s="210"/>
      <c r="H468" s="485"/>
      <c r="I468" s="188"/>
      <c r="J468" s="485"/>
      <c r="K468" s="75"/>
      <c r="L468" s="66"/>
      <c r="M468" s="66"/>
      <c r="N468" s="66"/>
      <c r="O468" s="66"/>
      <c r="P468" s="66"/>
      <c r="Q468" s="66"/>
      <c r="R468" s="66"/>
      <c r="S468" s="66"/>
      <c r="T468" s="66"/>
      <c r="U468" s="66"/>
      <c r="V468" s="66"/>
      <c r="W468" s="66"/>
      <c r="X468" s="66"/>
    </row>
    <row r="469">
      <c r="A469" s="75"/>
      <c r="B469" s="485"/>
      <c r="C469" s="75"/>
      <c r="D469" s="485"/>
      <c r="E469" s="75"/>
      <c r="F469" s="485"/>
      <c r="G469" s="210"/>
      <c r="H469" s="485"/>
      <c r="I469" s="188"/>
      <c r="J469" s="485"/>
      <c r="K469" s="75"/>
      <c r="L469" s="66"/>
      <c r="M469" s="66"/>
      <c r="N469" s="66"/>
      <c r="O469" s="66"/>
      <c r="P469" s="66"/>
      <c r="Q469" s="66"/>
      <c r="R469" s="66"/>
      <c r="S469" s="66"/>
      <c r="T469" s="66"/>
      <c r="U469" s="66"/>
      <c r="V469" s="66"/>
      <c r="W469" s="66"/>
      <c r="X469" s="66"/>
    </row>
    <row r="470">
      <c r="A470" s="75"/>
      <c r="B470" s="485"/>
      <c r="C470" s="75"/>
      <c r="D470" s="485"/>
      <c r="E470" s="75"/>
      <c r="F470" s="485"/>
      <c r="G470" s="210"/>
      <c r="H470" s="485"/>
      <c r="I470" s="188"/>
      <c r="J470" s="485"/>
      <c r="K470" s="75"/>
      <c r="L470" s="66"/>
      <c r="M470" s="66"/>
      <c r="N470" s="66"/>
      <c r="O470" s="66"/>
      <c r="P470" s="66"/>
      <c r="Q470" s="66"/>
      <c r="R470" s="66"/>
      <c r="S470" s="66"/>
      <c r="T470" s="66"/>
      <c r="U470" s="66"/>
      <c r="V470" s="66"/>
      <c r="W470" s="66"/>
      <c r="X470" s="66"/>
    </row>
    <row r="471">
      <c r="A471" s="75"/>
      <c r="B471" s="485"/>
      <c r="C471" s="75"/>
      <c r="D471" s="485"/>
      <c r="E471" s="75"/>
      <c r="F471" s="485"/>
      <c r="G471" s="210"/>
      <c r="H471" s="485"/>
      <c r="I471" s="188"/>
      <c r="J471" s="485"/>
      <c r="K471" s="75"/>
      <c r="L471" s="66"/>
      <c r="M471" s="66"/>
      <c r="N471" s="66"/>
      <c r="O471" s="66"/>
      <c r="P471" s="66"/>
      <c r="Q471" s="66"/>
      <c r="R471" s="66"/>
      <c r="S471" s="66"/>
      <c r="T471" s="66"/>
      <c r="U471" s="66"/>
      <c r="V471" s="66"/>
      <c r="W471" s="66"/>
      <c r="X471" s="66"/>
    </row>
    <row r="472">
      <c r="A472" s="75"/>
      <c r="B472" s="485"/>
      <c r="C472" s="75"/>
      <c r="D472" s="485"/>
      <c r="E472" s="75"/>
      <c r="F472" s="485"/>
      <c r="G472" s="210"/>
      <c r="H472" s="485"/>
      <c r="I472" s="188"/>
      <c r="J472" s="485"/>
      <c r="K472" s="75"/>
      <c r="L472" s="66"/>
      <c r="M472" s="66"/>
      <c r="N472" s="66"/>
      <c r="O472" s="66"/>
      <c r="P472" s="66"/>
      <c r="Q472" s="66"/>
      <c r="R472" s="66"/>
      <c r="S472" s="66"/>
      <c r="T472" s="66"/>
      <c r="U472" s="66"/>
      <c r="V472" s="66"/>
      <c r="W472" s="66"/>
      <c r="X472" s="66"/>
    </row>
    <row r="473">
      <c r="A473" s="75"/>
      <c r="B473" s="485"/>
      <c r="C473" s="75"/>
      <c r="D473" s="485"/>
      <c r="E473" s="75"/>
      <c r="F473" s="485"/>
      <c r="G473" s="210"/>
      <c r="H473" s="485"/>
      <c r="I473" s="188"/>
      <c r="J473" s="485"/>
      <c r="K473" s="75"/>
      <c r="L473" s="66"/>
      <c r="M473" s="66"/>
      <c r="N473" s="66"/>
      <c r="O473" s="66"/>
      <c r="P473" s="66"/>
      <c r="Q473" s="66"/>
      <c r="R473" s="66"/>
      <c r="S473" s="66"/>
      <c r="T473" s="66"/>
      <c r="U473" s="66"/>
      <c r="V473" s="66"/>
      <c r="W473" s="66"/>
      <c r="X473" s="66"/>
    </row>
    <row r="474">
      <c r="A474" s="75"/>
      <c r="B474" s="485"/>
      <c r="C474" s="75"/>
      <c r="D474" s="485"/>
      <c r="E474" s="75"/>
      <c r="F474" s="485"/>
      <c r="G474" s="210"/>
      <c r="H474" s="485"/>
      <c r="I474" s="188"/>
      <c r="J474" s="485"/>
      <c r="K474" s="75"/>
      <c r="L474" s="66"/>
      <c r="M474" s="66"/>
      <c r="N474" s="66"/>
      <c r="O474" s="66"/>
      <c r="P474" s="66"/>
      <c r="Q474" s="66"/>
      <c r="R474" s="66"/>
      <c r="S474" s="66"/>
      <c r="T474" s="66"/>
      <c r="U474" s="66"/>
      <c r="V474" s="66"/>
      <c r="W474" s="66"/>
      <c r="X474" s="66"/>
    </row>
    <row r="475">
      <c r="A475" s="75"/>
      <c r="B475" s="485"/>
      <c r="C475" s="75"/>
      <c r="D475" s="485"/>
      <c r="E475" s="75"/>
      <c r="F475" s="485"/>
      <c r="G475" s="210"/>
      <c r="H475" s="485"/>
      <c r="I475" s="188"/>
      <c r="J475" s="485"/>
      <c r="K475" s="75"/>
      <c r="L475" s="66"/>
      <c r="M475" s="66"/>
      <c r="N475" s="66"/>
      <c r="O475" s="66"/>
      <c r="P475" s="66"/>
      <c r="Q475" s="66"/>
      <c r="R475" s="66"/>
      <c r="S475" s="66"/>
      <c r="T475" s="66"/>
      <c r="U475" s="66"/>
      <c r="V475" s="66"/>
      <c r="W475" s="66"/>
      <c r="X475" s="66"/>
    </row>
    <row r="476">
      <c r="A476" s="75"/>
      <c r="B476" s="485"/>
      <c r="C476" s="75"/>
      <c r="D476" s="485"/>
      <c r="E476" s="75"/>
      <c r="F476" s="485"/>
      <c r="G476" s="210"/>
      <c r="H476" s="485"/>
      <c r="I476" s="188"/>
      <c r="J476" s="485"/>
      <c r="K476" s="75"/>
      <c r="L476" s="66"/>
      <c r="M476" s="66"/>
      <c r="N476" s="66"/>
      <c r="O476" s="66"/>
      <c r="P476" s="66"/>
      <c r="Q476" s="66"/>
      <c r="R476" s="66"/>
      <c r="S476" s="66"/>
      <c r="T476" s="66"/>
      <c r="U476" s="66"/>
      <c r="V476" s="66"/>
      <c r="W476" s="66"/>
      <c r="X476" s="66"/>
    </row>
    <row r="477">
      <c r="A477" s="75"/>
      <c r="B477" s="485"/>
      <c r="C477" s="75"/>
      <c r="D477" s="485"/>
      <c r="E477" s="75"/>
      <c r="F477" s="485"/>
      <c r="G477" s="210"/>
      <c r="H477" s="485"/>
      <c r="I477" s="188"/>
      <c r="J477" s="485"/>
      <c r="K477" s="75"/>
      <c r="L477" s="66"/>
      <c r="M477" s="66"/>
      <c r="N477" s="66"/>
      <c r="O477" s="66"/>
      <c r="P477" s="66"/>
      <c r="Q477" s="66"/>
      <c r="R477" s="66"/>
      <c r="S477" s="66"/>
      <c r="T477" s="66"/>
      <c r="U477" s="66"/>
      <c r="V477" s="66"/>
      <c r="W477" s="66"/>
      <c r="X477" s="66"/>
    </row>
    <row r="478">
      <c r="A478" s="75"/>
      <c r="B478" s="485"/>
      <c r="C478" s="75"/>
      <c r="D478" s="485"/>
      <c r="E478" s="75"/>
      <c r="F478" s="485"/>
      <c r="G478" s="210"/>
      <c r="H478" s="485"/>
      <c r="I478" s="188"/>
      <c r="J478" s="485"/>
      <c r="K478" s="75"/>
      <c r="L478" s="66"/>
      <c r="M478" s="66"/>
      <c r="N478" s="66"/>
      <c r="O478" s="66"/>
      <c r="P478" s="66"/>
      <c r="Q478" s="66"/>
      <c r="R478" s="66"/>
      <c r="S478" s="66"/>
      <c r="T478" s="66"/>
      <c r="U478" s="66"/>
      <c r="V478" s="66"/>
      <c r="W478" s="66"/>
      <c r="X478" s="66"/>
    </row>
    <row r="479">
      <c r="A479" s="75"/>
      <c r="B479" s="485"/>
      <c r="C479" s="75"/>
      <c r="D479" s="485"/>
      <c r="E479" s="75"/>
      <c r="F479" s="485"/>
      <c r="G479" s="210"/>
      <c r="H479" s="485"/>
      <c r="I479" s="188"/>
      <c r="J479" s="485"/>
      <c r="K479" s="75"/>
      <c r="L479" s="66"/>
      <c r="M479" s="66"/>
      <c r="N479" s="66"/>
      <c r="O479" s="66"/>
      <c r="P479" s="66"/>
      <c r="Q479" s="66"/>
      <c r="R479" s="66"/>
      <c r="S479" s="66"/>
      <c r="T479" s="66"/>
      <c r="U479" s="66"/>
      <c r="V479" s="66"/>
      <c r="W479" s="66"/>
      <c r="X479" s="66"/>
    </row>
    <row r="480">
      <c r="A480" s="75"/>
      <c r="B480" s="485"/>
      <c r="C480" s="75"/>
      <c r="D480" s="485"/>
      <c r="E480" s="75"/>
      <c r="F480" s="485"/>
      <c r="G480" s="210"/>
      <c r="H480" s="485"/>
      <c r="I480" s="188"/>
      <c r="J480" s="485"/>
      <c r="K480" s="75"/>
      <c r="L480" s="66"/>
      <c r="M480" s="66"/>
      <c r="N480" s="66"/>
      <c r="O480" s="66"/>
      <c r="P480" s="66"/>
      <c r="Q480" s="66"/>
      <c r="R480" s="66"/>
      <c r="S480" s="66"/>
      <c r="T480" s="66"/>
      <c r="U480" s="66"/>
      <c r="V480" s="66"/>
      <c r="W480" s="66"/>
      <c r="X480" s="66"/>
    </row>
    <row r="481">
      <c r="A481" s="75"/>
      <c r="B481" s="485"/>
      <c r="C481" s="75"/>
      <c r="D481" s="485"/>
      <c r="E481" s="75"/>
      <c r="F481" s="485"/>
      <c r="G481" s="210"/>
      <c r="H481" s="485"/>
      <c r="I481" s="188"/>
      <c r="J481" s="485"/>
      <c r="K481" s="75"/>
      <c r="L481" s="66"/>
      <c r="M481" s="66"/>
      <c r="N481" s="66"/>
      <c r="O481" s="66"/>
      <c r="P481" s="66"/>
      <c r="Q481" s="66"/>
      <c r="R481" s="66"/>
      <c r="S481" s="66"/>
      <c r="T481" s="66"/>
      <c r="U481" s="66"/>
      <c r="V481" s="66"/>
      <c r="W481" s="66"/>
      <c r="X481" s="66"/>
    </row>
    <row r="482">
      <c r="A482" s="75"/>
      <c r="B482" s="485"/>
      <c r="C482" s="75"/>
      <c r="D482" s="485"/>
      <c r="E482" s="75"/>
      <c r="F482" s="485"/>
      <c r="G482" s="210"/>
      <c r="H482" s="485"/>
      <c r="I482" s="188"/>
      <c r="J482" s="485"/>
      <c r="K482" s="75"/>
      <c r="L482" s="66"/>
      <c r="M482" s="66"/>
      <c r="N482" s="66"/>
      <c r="O482" s="66"/>
      <c r="P482" s="66"/>
      <c r="Q482" s="66"/>
      <c r="R482" s="66"/>
      <c r="S482" s="66"/>
      <c r="T482" s="66"/>
      <c r="U482" s="66"/>
      <c r="V482" s="66"/>
      <c r="W482" s="66"/>
      <c r="X482" s="66"/>
    </row>
    <row r="483">
      <c r="A483" s="75"/>
      <c r="B483" s="485"/>
      <c r="C483" s="75"/>
      <c r="D483" s="485"/>
      <c r="E483" s="75"/>
      <c r="F483" s="485"/>
      <c r="G483" s="210"/>
      <c r="H483" s="485"/>
      <c r="I483" s="188"/>
      <c r="J483" s="485"/>
      <c r="K483" s="75"/>
      <c r="L483" s="66"/>
      <c r="M483" s="66"/>
      <c r="N483" s="66"/>
      <c r="O483" s="66"/>
      <c r="P483" s="66"/>
      <c r="Q483" s="66"/>
      <c r="R483" s="66"/>
      <c r="S483" s="66"/>
      <c r="T483" s="66"/>
      <c r="U483" s="66"/>
      <c r="V483" s="66"/>
      <c r="W483" s="66"/>
      <c r="X483" s="66"/>
    </row>
    <row r="484">
      <c r="A484" s="75"/>
      <c r="B484" s="485"/>
      <c r="C484" s="75"/>
      <c r="D484" s="485"/>
      <c r="E484" s="75"/>
      <c r="F484" s="485"/>
      <c r="G484" s="210"/>
      <c r="H484" s="485"/>
      <c r="I484" s="188"/>
      <c r="J484" s="485"/>
      <c r="K484" s="75"/>
      <c r="L484" s="66"/>
      <c r="M484" s="66"/>
      <c r="N484" s="66"/>
      <c r="O484" s="66"/>
      <c r="P484" s="66"/>
      <c r="Q484" s="66"/>
      <c r="R484" s="66"/>
      <c r="S484" s="66"/>
      <c r="T484" s="66"/>
      <c r="U484" s="66"/>
      <c r="V484" s="66"/>
      <c r="W484" s="66"/>
      <c r="X484" s="66"/>
    </row>
    <row r="485">
      <c r="A485" s="75"/>
      <c r="B485" s="485"/>
      <c r="C485" s="75"/>
      <c r="D485" s="485"/>
      <c r="E485" s="75"/>
      <c r="F485" s="485"/>
      <c r="G485" s="210"/>
      <c r="H485" s="485"/>
      <c r="I485" s="188"/>
      <c r="J485" s="485"/>
      <c r="K485" s="75"/>
      <c r="L485" s="66"/>
      <c r="M485" s="66"/>
      <c r="N485" s="66"/>
      <c r="O485" s="66"/>
      <c r="P485" s="66"/>
      <c r="Q485" s="66"/>
      <c r="R485" s="66"/>
      <c r="S485" s="66"/>
      <c r="T485" s="66"/>
      <c r="U485" s="66"/>
      <c r="V485" s="66"/>
      <c r="W485" s="66"/>
      <c r="X485" s="66"/>
    </row>
    <row r="486">
      <c r="A486" s="75"/>
      <c r="B486" s="485"/>
      <c r="C486" s="75"/>
      <c r="D486" s="485"/>
      <c r="E486" s="75"/>
      <c r="F486" s="485"/>
      <c r="G486" s="210"/>
      <c r="H486" s="485"/>
      <c r="I486" s="188"/>
      <c r="J486" s="485"/>
      <c r="K486" s="75"/>
      <c r="L486" s="66"/>
      <c r="M486" s="66"/>
      <c r="N486" s="66"/>
      <c r="O486" s="66"/>
      <c r="P486" s="66"/>
      <c r="Q486" s="66"/>
      <c r="R486" s="66"/>
      <c r="S486" s="66"/>
      <c r="T486" s="66"/>
      <c r="U486" s="66"/>
      <c r="V486" s="66"/>
      <c r="W486" s="66"/>
      <c r="X486" s="66"/>
    </row>
    <row r="487">
      <c r="A487" s="75"/>
      <c r="B487" s="485"/>
      <c r="C487" s="75"/>
      <c r="D487" s="485"/>
      <c r="E487" s="75"/>
      <c r="F487" s="485"/>
      <c r="G487" s="210"/>
      <c r="H487" s="485"/>
      <c r="I487" s="188"/>
      <c r="J487" s="485"/>
      <c r="K487" s="75"/>
      <c r="L487" s="66"/>
      <c r="M487" s="66"/>
      <c r="N487" s="66"/>
      <c r="O487" s="66"/>
      <c r="P487" s="66"/>
      <c r="Q487" s="66"/>
      <c r="R487" s="66"/>
      <c r="S487" s="66"/>
      <c r="T487" s="66"/>
      <c r="U487" s="66"/>
      <c r="V487" s="66"/>
      <c r="W487" s="66"/>
      <c r="X487" s="66"/>
    </row>
    <row r="488">
      <c r="A488" s="75"/>
      <c r="B488" s="485"/>
      <c r="C488" s="75"/>
      <c r="D488" s="485"/>
      <c r="E488" s="75"/>
      <c r="F488" s="485"/>
      <c r="G488" s="210"/>
      <c r="H488" s="485"/>
      <c r="I488" s="188"/>
      <c r="J488" s="485"/>
      <c r="K488" s="75"/>
      <c r="L488" s="66"/>
      <c r="M488" s="66"/>
      <c r="N488" s="66"/>
      <c r="O488" s="66"/>
      <c r="P488" s="66"/>
      <c r="Q488" s="66"/>
      <c r="R488" s="66"/>
      <c r="S488" s="66"/>
      <c r="T488" s="66"/>
      <c r="U488" s="66"/>
      <c r="V488" s="66"/>
      <c r="W488" s="66"/>
      <c r="X488" s="66"/>
    </row>
    <row r="489">
      <c r="A489" s="75"/>
      <c r="B489" s="485"/>
      <c r="C489" s="75"/>
      <c r="D489" s="485"/>
      <c r="E489" s="75"/>
      <c r="F489" s="485"/>
      <c r="G489" s="210"/>
      <c r="H489" s="485"/>
      <c r="I489" s="188"/>
      <c r="J489" s="485"/>
      <c r="K489" s="75"/>
      <c r="L489" s="66"/>
      <c r="M489" s="66"/>
      <c r="N489" s="66"/>
      <c r="O489" s="66"/>
      <c r="P489" s="66"/>
      <c r="Q489" s="66"/>
      <c r="R489" s="66"/>
      <c r="S489" s="66"/>
      <c r="T489" s="66"/>
      <c r="U489" s="66"/>
      <c r="V489" s="66"/>
      <c r="W489" s="66"/>
      <c r="X489" s="66"/>
    </row>
    <row r="490">
      <c r="A490" s="75"/>
      <c r="B490" s="485"/>
      <c r="C490" s="75"/>
      <c r="D490" s="485"/>
      <c r="E490" s="75"/>
      <c r="F490" s="485"/>
      <c r="G490" s="210"/>
      <c r="H490" s="485"/>
      <c r="I490" s="188"/>
      <c r="J490" s="485"/>
      <c r="K490" s="75"/>
      <c r="L490" s="66"/>
      <c r="M490" s="66"/>
      <c r="N490" s="66"/>
      <c r="O490" s="66"/>
      <c r="P490" s="66"/>
      <c r="Q490" s="66"/>
      <c r="R490" s="66"/>
      <c r="S490" s="66"/>
      <c r="T490" s="66"/>
      <c r="U490" s="66"/>
      <c r="V490" s="66"/>
      <c r="W490" s="66"/>
      <c r="X490" s="66"/>
    </row>
    <row r="491">
      <c r="A491" s="75"/>
      <c r="B491" s="485"/>
      <c r="C491" s="75"/>
      <c r="D491" s="485"/>
      <c r="E491" s="75"/>
      <c r="F491" s="485"/>
      <c r="G491" s="210"/>
      <c r="H491" s="485"/>
      <c r="I491" s="188"/>
      <c r="J491" s="485"/>
      <c r="K491" s="75"/>
      <c r="L491" s="66"/>
      <c r="M491" s="66"/>
      <c r="N491" s="66"/>
      <c r="O491" s="66"/>
      <c r="P491" s="66"/>
      <c r="Q491" s="66"/>
      <c r="R491" s="66"/>
      <c r="S491" s="66"/>
      <c r="T491" s="66"/>
      <c r="U491" s="66"/>
      <c r="V491" s="66"/>
      <c r="W491" s="66"/>
      <c r="X491" s="66"/>
    </row>
    <row r="492">
      <c r="A492" s="75"/>
      <c r="B492" s="485"/>
      <c r="C492" s="75"/>
      <c r="D492" s="485"/>
      <c r="E492" s="75"/>
      <c r="F492" s="485"/>
      <c r="G492" s="210"/>
      <c r="H492" s="485"/>
      <c r="I492" s="188"/>
      <c r="J492" s="485"/>
      <c r="K492" s="75"/>
      <c r="L492" s="66"/>
      <c r="M492" s="66"/>
      <c r="N492" s="66"/>
      <c r="O492" s="66"/>
      <c r="P492" s="66"/>
      <c r="Q492" s="66"/>
      <c r="R492" s="66"/>
      <c r="S492" s="66"/>
      <c r="T492" s="66"/>
      <c r="U492" s="66"/>
      <c r="V492" s="66"/>
      <c r="W492" s="66"/>
      <c r="X492" s="66"/>
    </row>
    <row r="493">
      <c r="A493" s="75"/>
      <c r="B493" s="485"/>
      <c r="C493" s="75"/>
      <c r="D493" s="485"/>
      <c r="E493" s="75"/>
      <c r="F493" s="485"/>
      <c r="G493" s="210"/>
      <c r="H493" s="485"/>
      <c r="I493" s="188"/>
      <c r="J493" s="485"/>
      <c r="K493" s="75"/>
      <c r="L493" s="66"/>
      <c r="M493" s="66"/>
      <c r="N493" s="66"/>
      <c r="O493" s="66"/>
      <c r="P493" s="66"/>
      <c r="Q493" s="66"/>
      <c r="R493" s="66"/>
      <c r="S493" s="66"/>
      <c r="T493" s="66"/>
      <c r="U493" s="66"/>
      <c r="V493" s="66"/>
      <c r="W493" s="66"/>
      <c r="X493" s="66"/>
    </row>
    <row r="494">
      <c r="A494" s="75"/>
      <c r="B494" s="485"/>
      <c r="C494" s="75"/>
      <c r="D494" s="485"/>
      <c r="E494" s="75"/>
      <c r="F494" s="485"/>
      <c r="G494" s="210"/>
      <c r="H494" s="485"/>
      <c r="I494" s="188"/>
      <c r="J494" s="485"/>
      <c r="K494" s="75"/>
      <c r="L494" s="66"/>
      <c r="M494" s="66"/>
      <c r="N494" s="66"/>
      <c r="O494" s="66"/>
      <c r="P494" s="66"/>
      <c r="Q494" s="66"/>
      <c r="R494" s="66"/>
      <c r="S494" s="66"/>
      <c r="T494" s="66"/>
      <c r="U494" s="66"/>
      <c r="V494" s="66"/>
      <c r="W494" s="66"/>
      <c r="X494" s="66"/>
    </row>
    <row r="495">
      <c r="A495" s="75"/>
      <c r="B495" s="485"/>
      <c r="C495" s="75"/>
      <c r="D495" s="485"/>
      <c r="E495" s="75"/>
      <c r="F495" s="485"/>
      <c r="G495" s="210"/>
      <c r="H495" s="485"/>
      <c r="I495" s="188"/>
      <c r="J495" s="485"/>
      <c r="K495" s="75"/>
      <c r="L495" s="66"/>
      <c r="M495" s="66"/>
      <c r="N495" s="66"/>
      <c r="O495" s="66"/>
      <c r="P495" s="66"/>
      <c r="Q495" s="66"/>
      <c r="R495" s="66"/>
      <c r="S495" s="66"/>
      <c r="T495" s="66"/>
      <c r="U495" s="66"/>
      <c r="V495" s="66"/>
      <c r="W495" s="66"/>
      <c r="X495" s="66"/>
    </row>
    <row r="496">
      <c r="A496" s="75"/>
      <c r="B496" s="485"/>
      <c r="C496" s="75"/>
      <c r="D496" s="485"/>
      <c r="E496" s="75"/>
      <c r="F496" s="485"/>
      <c r="G496" s="210"/>
      <c r="H496" s="485"/>
      <c r="I496" s="188"/>
      <c r="J496" s="485"/>
      <c r="K496" s="75"/>
      <c r="L496" s="66"/>
      <c r="M496" s="66"/>
      <c r="N496" s="66"/>
      <c r="O496" s="66"/>
      <c r="P496" s="66"/>
      <c r="Q496" s="66"/>
      <c r="R496" s="66"/>
      <c r="S496" s="66"/>
      <c r="T496" s="66"/>
      <c r="U496" s="66"/>
      <c r="V496" s="66"/>
      <c r="W496" s="66"/>
      <c r="X496" s="66"/>
    </row>
    <row r="497">
      <c r="A497" s="75"/>
      <c r="B497" s="485"/>
      <c r="C497" s="75"/>
      <c r="D497" s="485"/>
      <c r="E497" s="75"/>
      <c r="F497" s="485"/>
      <c r="G497" s="210"/>
      <c r="H497" s="485"/>
      <c r="I497" s="188"/>
      <c r="J497" s="485"/>
      <c r="K497" s="75"/>
      <c r="L497" s="66"/>
      <c r="M497" s="66"/>
      <c r="N497" s="66"/>
      <c r="O497" s="66"/>
      <c r="P497" s="66"/>
      <c r="Q497" s="66"/>
      <c r="R497" s="66"/>
      <c r="S497" s="66"/>
      <c r="T497" s="66"/>
      <c r="U497" s="66"/>
      <c r="V497" s="66"/>
      <c r="W497" s="66"/>
      <c r="X497" s="66"/>
    </row>
    <row r="498">
      <c r="A498" s="75"/>
      <c r="B498" s="485"/>
      <c r="C498" s="75"/>
      <c r="D498" s="485"/>
      <c r="E498" s="75"/>
      <c r="F498" s="485"/>
      <c r="G498" s="210"/>
      <c r="H498" s="485"/>
      <c r="I498" s="188"/>
      <c r="J498" s="485"/>
      <c r="K498" s="75"/>
      <c r="L498" s="66"/>
      <c r="M498" s="66"/>
      <c r="N498" s="66"/>
      <c r="O498" s="66"/>
      <c r="P498" s="66"/>
      <c r="Q498" s="66"/>
      <c r="R498" s="66"/>
      <c r="S498" s="66"/>
      <c r="T498" s="66"/>
      <c r="U498" s="66"/>
      <c r="V498" s="66"/>
      <c r="W498" s="66"/>
      <c r="X498" s="66"/>
    </row>
    <row r="499">
      <c r="A499" s="75"/>
      <c r="B499" s="485"/>
      <c r="C499" s="75"/>
      <c r="D499" s="485"/>
      <c r="E499" s="75"/>
      <c r="F499" s="485"/>
      <c r="G499" s="210"/>
      <c r="H499" s="485"/>
      <c r="I499" s="188"/>
      <c r="J499" s="485"/>
      <c r="K499" s="75"/>
      <c r="L499" s="66"/>
      <c r="M499" s="66"/>
      <c r="N499" s="66"/>
      <c r="O499" s="66"/>
      <c r="P499" s="66"/>
      <c r="Q499" s="66"/>
      <c r="R499" s="66"/>
      <c r="S499" s="66"/>
      <c r="T499" s="66"/>
      <c r="U499" s="66"/>
      <c r="V499" s="66"/>
      <c r="W499" s="66"/>
      <c r="X499" s="66"/>
    </row>
    <row r="500">
      <c r="A500" s="75"/>
      <c r="B500" s="485"/>
      <c r="C500" s="75"/>
      <c r="D500" s="485"/>
      <c r="E500" s="75"/>
      <c r="F500" s="485"/>
      <c r="G500" s="210"/>
      <c r="H500" s="485"/>
      <c r="I500" s="188"/>
      <c r="J500" s="485"/>
      <c r="K500" s="75"/>
      <c r="L500" s="66"/>
      <c r="M500" s="66"/>
      <c r="N500" s="66"/>
      <c r="O500" s="66"/>
      <c r="P500" s="66"/>
      <c r="Q500" s="66"/>
      <c r="R500" s="66"/>
      <c r="S500" s="66"/>
      <c r="T500" s="66"/>
      <c r="U500" s="66"/>
      <c r="V500" s="66"/>
      <c r="W500" s="66"/>
      <c r="X500" s="66"/>
    </row>
    <row r="501">
      <c r="A501" s="75"/>
      <c r="B501" s="485"/>
      <c r="C501" s="75"/>
      <c r="D501" s="485"/>
      <c r="E501" s="75"/>
      <c r="F501" s="485"/>
      <c r="G501" s="210"/>
      <c r="H501" s="485"/>
      <c r="I501" s="188"/>
      <c r="J501" s="485"/>
      <c r="K501" s="75"/>
      <c r="L501" s="66"/>
      <c r="M501" s="66"/>
      <c r="N501" s="66"/>
      <c r="O501" s="66"/>
      <c r="P501" s="66"/>
      <c r="Q501" s="66"/>
      <c r="R501" s="66"/>
      <c r="S501" s="66"/>
      <c r="T501" s="66"/>
      <c r="U501" s="66"/>
      <c r="V501" s="66"/>
      <c r="W501" s="66"/>
      <c r="X501" s="66"/>
    </row>
    <row r="502">
      <c r="A502" s="75"/>
      <c r="B502" s="485"/>
      <c r="C502" s="75"/>
      <c r="D502" s="485"/>
      <c r="E502" s="75"/>
      <c r="F502" s="485"/>
      <c r="G502" s="210"/>
      <c r="H502" s="485"/>
      <c r="I502" s="188"/>
      <c r="J502" s="485"/>
      <c r="K502" s="75"/>
      <c r="L502" s="66"/>
      <c r="M502" s="66"/>
      <c r="N502" s="66"/>
      <c r="O502" s="66"/>
      <c r="P502" s="66"/>
      <c r="Q502" s="66"/>
      <c r="R502" s="66"/>
      <c r="S502" s="66"/>
      <c r="T502" s="66"/>
      <c r="U502" s="66"/>
      <c r="V502" s="66"/>
      <c r="W502" s="66"/>
      <c r="X502" s="66"/>
    </row>
    <row r="503">
      <c r="A503" s="75"/>
      <c r="B503" s="485"/>
      <c r="C503" s="75"/>
      <c r="D503" s="485"/>
      <c r="E503" s="75"/>
      <c r="F503" s="485"/>
      <c r="G503" s="210"/>
      <c r="H503" s="485"/>
      <c r="I503" s="188"/>
      <c r="J503" s="485"/>
      <c r="K503" s="75"/>
      <c r="L503" s="66"/>
      <c r="M503" s="66"/>
      <c r="N503" s="66"/>
      <c r="O503" s="66"/>
      <c r="P503" s="66"/>
      <c r="Q503" s="66"/>
      <c r="R503" s="66"/>
      <c r="S503" s="66"/>
      <c r="T503" s="66"/>
      <c r="U503" s="66"/>
      <c r="V503" s="66"/>
      <c r="W503" s="66"/>
      <c r="X503" s="66"/>
    </row>
    <row r="504">
      <c r="A504" s="75"/>
      <c r="B504" s="485"/>
      <c r="C504" s="75"/>
      <c r="D504" s="485"/>
      <c r="E504" s="75"/>
      <c r="F504" s="485"/>
      <c r="G504" s="210"/>
      <c r="H504" s="485"/>
      <c r="I504" s="188"/>
      <c r="J504" s="485"/>
      <c r="K504" s="75"/>
      <c r="L504" s="66"/>
      <c r="M504" s="66"/>
      <c r="N504" s="66"/>
      <c r="O504" s="66"/>
      <c r="P504" s="66"/>
      <c r="Q504" s="66"/>
      <c r="R504" s="66"/>
      <c r="S504" s="66"/>
      <c r="T504" s="66"/>
      <c r="U504" s="66"/>
      <c r="V504" s="66"/>
      <c r="W504" s="66"/>
      <c r="X504" s="66"/>
    </row>
    <row r="505">
      <c r="A505" s="75"/>
      <c r="B505" s="485"/>
      <c r="C505" s="75"/>
      <c r="D505" s="485"/>
      <c r="E505" s="75"/>
      <c r="F505" s="485"/>
      <c r="G505" s="210"/>
      <c r="H505" s="485"/>
      <c r="I505" s="188"/>
      <c r="J505" s="485"/>
      <c r="K505" s="75"/>
      <c r="L505" s="66"/>
      <c r="M505" s="66"/>
      <c r="N505" s="66"/>
      <c r="O505" s="66"/>
      <c r="P505" s="66"/>
      <c r="Q505" s="66"/>
      <c r="R505" s="66"/>
      <c r="S505" s="66"/>
      <c r="T505" s="66"/>
      <c r="U505" s="66"/>
      <c r="V505" s="66"/>
      <c r="W505" s="66"/>
      <c r="X505" s="66"/>
    </row>
    <row r="506">
      <c r="A506" s="75"/>
      <c r="B506" s="485"/>
      <c r="C506" s="75"/>
      <c r="D506" s="485"/>
      <c r="E506" s="75"/>
      <c r="F506" s="485"/>
      <c r="G506" s="210"/>
      <c r="H506" s="485"/>
      <c r="I506" s="188"/>
      <c r="J506" s="485"/>
      <c r="K506" s="75"/>
      <c r="L506" s="66"/>
      <c r="M506" s="66"/>
      <c r="N506" s="66"/>
      <c r="O506" s="66"/>
      <c r="P506" s="66"/>
      <c r="Q506" s="66"/>
      <c r="R506" s="66"/>
      <c r="S506" s="66"/>
      <c r="T506" s="66"/>
      <c r="U506" s="66"/>
      <c r="V506" s="66"/>
      <c r="W506" s="66"/>
      <c r="X506" s="66"/>
    </row>
    <row r="507">
      <c r="A507" s="75"/>
      <c r="B507" s="485"/>
      <c r="C507" s="75"/>
      <c r="D507" s="485"/>
      <c r="E507" s="75"/>
      <c r="F507" s="485"/>
      <c r="G507" s="210"/>
      <c r="H507" s="485"/>
      <c r="I507" s="188"/>
      <c r="J507" s="485"/>
      <c r="K507" s="75"/>
      <c r="L507" s="66"/>
      <c r="M507" s="66"/>
      <c r="N507" s="66"/>
      <c r="O507" s="66"/>
      <c r="P507" s="66"/>
      <c r="Q507" s="66"/>
      <c r="R507" s="66"/>
      <c r="S507" s="66"/>
      <c r="T507" s="66"/>
      <c r="U507" s="66"/>
      <c r="V507" s="66"/>
      <c r="W507" s="66"/>
      <c r="X507" s="66"/>
    </row>
    <row r="508">
      <c r="A508" s="75"/>
      <c r="B508" s="485"/>
      <c r="C508" s="75"/>
      <c r="D508" s="485"/>
      <c r="E508" s="75"/>
      <c r="F508" s="485"/>
      <c r="G508" s="210"/>
      <c r="H508" s="485"/>
      <c r="I508" s="188"/>
      <c r="J508" s="485"/>
      <c r="K508" s="75"/>
      <c r="L508" s="66"/>
      <c r="M508" s="66"/>
      <c r="N508" s="66"/>
      <c r="O508" s="66"/>
      <c r="P508" s="66"/>
      <c r="Q508" s="66"/>
      <c r="R508" s="66"/>
      <c r="S508" s="66"/>
      <c r="T508" s="66"/>
      <c r="U508" s="66"/>
      <c r="V508" s="66"/>
      <c r="W508" s="66"/>
      <c r="X508" s="66"/>
    </row>
    <row r="509">
      <c r="A509" s="75"/>
      <c r="B509" s="485"/>
      <c r="C509" s="75"/>
      <c r="D509" s="485"/>
      <c r="E509" s="75"/>
      <c r="F509" s="485"/>
      <c r="G509" s="210"/>
      <c r="H509" s="485"/>
      <c r="I509" s="188"/>
      <c r="J509" s="485"/>
      <c r="K509" s="75"/>
      <c r="L509" s="66"/>
      <c r="M509" s="66"/>
      <c r="N509" s="66"/>
      <c r="O509" s="66"/>
      <c r="P509" s="66"/>
      <c r="Q509" s="66"/>
      <c r="R509" s="66"/>
      <c r="S509" s="66"/>
      <c r="T509" s="66"/>
      <c r="U509" s="66"/>
      <c r="V509" s="66"/>
      <c r="W509" s="66"/>
      <c r="X509" s="66"/>
    </row>
    <row r="510">
      <c r="A510" s="75"/>
      <c r="B510" s="485"/>
      <c r="C510" s="75"/>
      <c r="D510" s="485"/>
      <c r="E510" s="75"/>
      <c r="F510" s="485"/>
      <c r="G510" s="210"/>
      <c r="H510" s="485"/>
      <c r="I510" s="188"/>
      <c r="J510" s="485"/>
      <c r="K510" s="75"/>
      <c r="L510" s="66"/>
      <c r="M510" s="66"/>
      <c r="N510" s="66"/>
      <c r="O510" s="66"/>
      <c r="P510" s="66"/>
      <c r="Q510" s="66"/>
      <c r="R510" s="66"/>
      <c r="S510" s="66"/>
      <c r="T510" s="66"/>
      <c r="U510" s="66"/>
      <c r="V510" s="66"/>
      <c r="W510" s="66"/>
      <c r="X510" s="66"/>
    </row>
    <row r="511">
      <c r="A511" s="75"/>
      <c r="B511" s="485"/>
      <c r="C511" s="75"/>
      <c r="D511" s="485"/>
      <c r="E511" s="75"/>
      <c r="F511" s="485"/>
      <c r="G511" s="210"/>
      <c r="H511" s="485"/>
      <c r="I511" s="188"/>
      <c r="J511" s="485"/>
      <c r="K511" s="75"/>
      <c r="L511" s="66"/>
      <c r="M511" s="66"/>
      <c r="N511" s="66"/>
      <c r="O511" s="66"/>
      <c r="P511" s="66"/>
      <c r="Q511" s="66"/>
      <c r="R511" s="66"/>
      <c r="S511" s="66"/>
      <c r="T511" s="66"/>
      <c r="U511" s="66"/>
      <c r="V511" s="66"/>
      <c r="W511" s="66"/>
      <c r="X511" s="66"/>
    </row>
    <row r="512">
      <c r="A512" s="75"/>
      <c r="B512" s="485"/>
      <c r="C512" s="75"/>
      <c r="D512" s="485"/>
      <c r="E512" s="75"/>
      <c r="F512" s="485"/>
      <c r="G512" s="210"/>
      <c r="H512" s="485"/>
      <c r="I512" s="188"/>
      <c r="J512" s="485"/>
      <c r="K512" s="75"/>
      <c r="L512" s="66"/>
      <c r="M512" s="66"/>
      <c r="N512" s="66"/>
      <c r="O512" s="66"/>
      <c r="P512" s="66"/>
      <c r="Q512" s="66"/>
      <c r="R512" s="66"/>
      <c r="S512" s="66"/>
      <c r="T512" s="66"/>
      <c r="U512" s="66"/>
      <c r="V512" s="66"/>
      <c r="W512" s="66"/>
      <c r="X512" s="66"/>
    </row>
    <row r="513">
      <c r="A513" s="75"/>
      <c r="B513" s="485"/>
      <c r="C513" s="75"/>
      <c r="D513" s="485"/>
      <c r="E513" s="75"/>
      <c r="F513" s="485"/>
      <c r="G513" s="210"/>
      <c r="H513" s="485"/>
      <c r="I513" s="188"/>
      <c r="J513" s="485"/>
      <c r="K513" s="75"/>
      <c r="L513" s="66"/>
      <c r="M513" s="66"/>
      <c r="N513" s="66"/>
      <c r="O513" s="66"/>
      <c r="P513" s="66"/>
      <c r="Q513" s="66"/>
      <c r="R513" s="66"/>
      <c r="S513" s="66"/>
      <c r="T513" s="66"/>
      <c r="U513" s="66"/>
      <c r="V513" s="66"/>
      <c r="W513" s="66"/>
      <c r="X513" s="66"/>
    </row>
    <row r="514">
      <c r="A514" s="75"/>
      <c r="B514" s="485"/>
      <c r="C514" s="75"/>
      <c r="D514" s="485"/>
      <c r="E514" s="75"/>
      <c r="F514" s="485"/>
      <c r="G514" s="210"/>
      <c r="H514" s="485"/>
      <c r="I514" s="188"/>
      <c r="J514" s="485"/>
      <c r="K514" s="75"/>
      <c r="L514" s="66"/>
      <c r="M514" s="66"/>
      <c r="N514" s="66"/>
      <c r="O514" s="66"/>
      <c r="P514" s="66"/>
      <c r="Q514" s="66"/>
      <c r="R514" s="66"/>
      <c r="S514" s="66"/>
      <c r="T514" s="66"/>
      <c r="U514" s="66"/>
      <c r="V514" s="66"/>
      <c r="W514" s="66"/>
      <c r="X514" s="66"/>
    </row>
    <row r="515">
      <c r="A515" s="75"/>
      <c r="B515" s="485"/>
      <c r="C515" s="75"/>
      <c r="D515" s="485"/>
      <c r="E515" s="75"/>
      <c r="F515" s="485"/>
      <c r="G515" s="210"/>
      <c r="H515" s="485"/>
      <c r="I515" s="188"/>
      <c r="J515" s="485"/>
      <c r="K515" s="75"/>
      <c r="L515" s="66"/>
      <c r="M515" s="66"/>
      <c r="N515" s="66"/>
      <c r="O515" s="66"/>
      <c r="P515" s="66"/>
      <c r="Q515" s="66"/>
      <c r="R515" s="66"/>
      <c r="S515" s="66"/>
      <c r="T515" s="66"/>
      <c r="U515" s="66"/>
      <c r="V515" s="66"/>
      <c r="W515" s="66"/>
      <c r="X515" s="66"/>
    </row>
    <row r="516">
      <c r="A516" s="75"/>
      <c r="B516" s="485"/>
      <c r="C516" s="75"/>
      <c r="D516" s="485"/>
      <c r="E516" s="75"/>
      <c r="F516" s="485"/>
      <c r="G516" s="210"/>
      <c r="H516" s="485"/>
      <c r="I516" s="188"/>
      <c r="J516" s="485"/>
      <c r="K516" s="75"/>
      <c r="L516" s="66"/>
      <c r="M516" s="66"/>
      <c r="N516" s="66"/>
      <c r="O516" s="66"/>
      <c r="P516" s="66"/>
      <c r="Q516" s="66"/>
      <c r="R516" s="66"/>
      <c r="S516" s="66"/>
      <c r="T516" s="66"/>
      <c r="U516" s="66"/>
      <c r="V516" s="66"/>
      <c r="W516" s="66"/>
      <c r="X516" s="66"/>
    </row>
    <row r="517">
      <c r="A517" s="75"/>
      <c r="B517" s="485"/>
      <c r="C517" s="75"/>
      <c r="D517" s="485"/>
      <c r="E517" s="75"/>
      <c r="F517" s="485"/>
      <c r="G517" s="210"/>
      <c r="H517" s="485"/>
      <c r="I517" s="188"/>
      <c r="J517" s="485"/>
      <c r="K517" s="75"/>
      <c r="L517" s="66"/>
      <c r="M517" s="66"/>
      <c r="N517" s="66"/>
      <c r="O517" s="66"/>
      <c r="P517" s="66"/>
      <c r="Q517" s="66"/>
      <c r="R517" s="66"/>
      <c r="S517" s="66"/>
      <c r="T517" s="66"/>
      <c r="U517" s="66"/>
      <c r="V517" s="66"/>
      <c r="W517" s="66"/>
      <c r="X517" s="66"/>
    </row>
    <row r="518">
      <c r="A518" s="75"/>
      <c r="B518" s="485"/>
      <c r="C518" s="75"/>
      <c r="D518" s="485"/>
      <c r="E518" s="75"/>
      <c r="F518" s="485"/>
      <c r="G518" s="210"/>
      <c r="H518" s="485"/>
      <c r="I518" s="188"/>
      <c r="J518" s="485"/>
      <c r="K518" s="75"/>
      <c r="L518" s="66"/>
      <c r="M518" s="66"/>
      <c r="N518" s="66"/>
      <c r="O518" s="66"/>
      <c r="P518" s="66"/>
      <c r="Q518" s="66"/>
      <c r="R518" s="66"/>
      <c r="S518" s="66"/>
      <c r="T518" s="66"/>
      <c r="U518" s="66"/>
      <c r="V518" s="66"/>
      <c r="W518" s="66"/>
      <c r="X518" s="66"/>
    </row>
    <row r="519">
      <c r="A519" s="75"/>
      <c r="B519" s="485"/>
      <c r="C519" s="75"/>
      <c r="D519" s="485"/>
      <c r="E519" s="75"/>
      <c r="F519" s="485"/>
      <c r="G519" s="210"/>
      <c r="H519" s="485"/>
      <c r="I519" s="188"/>
      <c r="J519" s="485"/>
      <c r="K519" s="75"/>
      <c r="L519" s="66"/>
      <c r="M519" s="66"/>
      <c r="N519" s="66"/>
      <c r="O519" s="66"/>
      <c r="P519" s="66"/>
      <c r="Q519" s="66"/>
      <c r="R519" s="66"/>
      <c r="S519" s="66"/>
      <c r="T519" s="66"/>
      <c r="U519" s="66"/>
      <c r="V519" s="66"/>
      <c r="W519" s="66"/>
      <c r="X519" s="66"/>
    </row>
    <row r="520">
      <c r="A520" s="75"/>
      <c r="B520" s="485"/>
      <c r="C520" s="75"/>
      <c r="D520" s="485"/>
      <c r="E520" s="75"/>
      <c r="F520" s="485"/>
      <c r="G520" s="210"/>
      <c r="H520" s="485"/>
      <c r="I520" s="188"/>
      <c r="J520" s="485"/>
      <c r="K520" s="75"/>
      <c r="L520" s="66"/>
      <c r="M520" s="66"/>
      <c r="N520" s="66"/>
      <c r="O520" s="66"/>
      <c r="P520" s="66"/>
      <c r="Q520" s="66"/>
      <c r="R520" s="66"/>
      <c r="S520" s="66"/>
      <c r="T520" s="66"/>
      <c r="U520" s="66"/>
      <c r="V520" s="66"/>
      <c r="W520" s="66"/>
      <c r="X520" s="66"/>
    </row>
    <row r="521">
      <c r="A521" s="75"/>
      <c r="B521" s="485"/>
      <c r="C521" s="75"/>
      <c r="D521" s="485"/>
      <c r="E521" s="75"/>
      <c r="F521" s="485"/>
      <c r="G521" s="210"/>
      <c r="H521" s="485"/>
      <c r="I521" s="188"/>
      <c r="J521" s="485"/>
      <c r="K521" s="75"/>
      <c r="L521" s="66"/>
      <c r="M521" s="66"/>
      <c r="N521" s="66"/>
      <c r="O521" s="66"/>
      <c r="P521" s="66"/>
      <c r="Q521" s="66"/>
      <c r="R521" s="66"/>
      <c r="S521" s="66"/>
      <c r="T521" s="66"/>
      <c r="U521" s="66"/>
      <c r="V521" s="66"/>
      <c r="W521" s="66"/>
      <c r="X521" s="66"/>
    </row>
    <row r="522">
      <c r="A522" s="75"/>
      <c r="B522" s="485"/>
      <c r="C522" s="75"/>
      <c r="D522" s="485"/>
      <c r="E522" s="75"/>
      <c r="F522" s="485"/>
      <c r="G522" s="210"/>
      <c r="H522" s="485"/>
      <c r="I522" s="188"/>
      <c r="J522" s="485"/>
      <c r="K522" s="75"/>
      <c r="L522" s="66"/>
      <c r="M522" s="66"/>
      <c r="N522" s="66"/>
      <c r="O522" s="66"/>
      <c r="P522" s="66"/>
      <c r="Q522" s="66"/>
      <c r="R522" s="66"/>
      <c r="S522" s="66"/>
      <c r="T522" s="66"/>
      <c r="U522" s="66"/>
      <c r="V522" s="66"/>
      <c r="W522" s="66"/>
      <c r="X522" s="66"/>
    </row>
    <row r="523">
      <c r="A523" s="75"/>
      <c r="B523" s="485"/>
      <c r="C523" s="75"/>
      <c r="D523" s="485"/>
      <c r="E523" s="75"/>
      <c r="F523" s="485"/>
      <c r="G523" s="210"/>
      <c r="H523" s="485"/>
      <c r="I523" s="188"/>
      <c r="J523" s="485"/>
      <c r="K523" s="75"/>
      <c r="L523" s="66"/>
      <c r="M523" s="66"/>
      <c r="N523" s="66"/>
      <c r="O523" s="66"/>
      <c r="P523" s="66"/>
      <c r="Q523" s="66"/>
      <c r="R523" s="66"/>
      <c r="S523" s="66"/>
      <c r="T523" s="66"/>
      <c r="U523" s="66"/>
      <c r="V523" s="66"/>
      <c r="W523" s="66"/>
      <c r="X523" s="66"/>
    </row>
    <row r="524">
      <c r="A524" s="75"/>
      <c r="B524" s="485"/>
      <c r="C524" s="75"/>
      <c r="D524" s="485"/>
      <c r="E524" s="75"/>
      <c r="F524" s="485"/>
      <c r="G524" s="210"/>
      <c r="H524" s="485"/>
      <c r="I524" s="188"/>
      <c r="J524" s="485"/>
      <c r="K524" s="75"/>
      <c r="L524" s="66"/>
      <c r="M524" s="66"/>
      <c r="N524" s="66"/>
      <c r="O524" s="66"/>
      <c r="P524" s="66"/>
      <c r="Q524" s="66"/>
      <c r="R524" s="66"/>
      <c r="S524" s="66"/>
      <c r="T524" s="66"/>
      <c r="U524" s="66"/>
      <c r="V524" s="66"/>
      <c r="W524" s="66"/>
      <c r="X524" s="66"/>
    </row>
    <row r="525">
      <c r="A525" s="75"/>
      <c r="B525" s="485"/>
      <c r="C525" s="75"/>
      <c r="D525" s="485"/>
      <c r="E525" s="75"/>
      <c r="F525" s="485"/>
      <c r="G525" s="210"/>
      <c r="H525" s="485"/>
      <c r="I525" s="188"/>
      <c r="J525" s="485"/>
      <c r="K525" s="75"/>
      <c r="L525" s="66"/>
      <c r="M525" s="66"/>
      <c r="N525" s="66"/>
      <c r="O525" s="66"/>
      <c r="P525" s="66"/>
      <c r="Q525" s="66"/>
      <c r="R525" s="66"/>
      <c r="S525" s="66"/>
      <c r="T525" s="66"/>
      <c r="U525" s="66"/>
      <c r="V525" s="66"/>
      <c r="W525" s="66"/>
      <c r="X525" s="66"/>
    </row>
    <row r="526">
      <c r="A526" s="75"/>
      <c r="B526" s="485"/>
      <c r="C526" s="75"/>
      <c r="D526" s="485"/>
      <c r="E526" s="75"/>
      <c r="F526" s="485"/>
      <c r="G526" s="210"/>
      <c r="H526" s="485"/>
      <c r="I526" s="188"/>
      <c r="J526" s="485"/>
      <c r="K526" s="75"/>
      <c r="L526" s="66"/>
      <c r="M526" s="66"/>
      <c r="N526" s="66"/>
      <c r="O526" s="66"/>
      <c r="P526" s="66"/>
      <c r="Q526" s="66"/>
      <c r="R526" s="66"/>
      <c r="S526" s="66"/>
      <c r="T526" s="66"/>
      <c r="U526" s="66"/>
      <c r="V526" s="66"/>
      <c r="W526" s="66"/>
      <c r="X526" s="66"/>
    </row>
    <row r="527">
      <c r="A527" s="75"/>
      <c r="B527" s="485"/>
      <c r="C527" s="75"/>
      <c r="D527" s="485"/>
      <c r="E527" s="75"/>
      <c r="F527" s="485"/>
      <c r="G527" s="210"/>
      <c r="H527" s="485"/>
      <c r="I527" s="188"/>
      <c r="J527" s="485"/>
      <c r="K527" s="75"/>
      <c r="L527" s="66"/>
      <c r="M527" s="66"/>
      <c r="N527" s="66"/>
      <c r="O527" s="66"/>
      <c r="P527" s="66"/>
      <c r="Q527" s="66"/>
      <c r="R527" s="66"/>
      <c r="S527" s="66"/>
      <c r="T527" s="66"/>
      <c r="U527" s="66"/>
      <c r="V527" s="66"/>
      <c r="W527" s="66"/>
      <c r="X527" s="66"/>
    </row>
    <row r="528">
      <c r="A528" s="75"/>
      <c r="B528" s="485"/>
      <c r="C528" s="75"/>
      <c r="D528" s="485"/>
      <c r="E528" s="75"/>
      <c r="F528" s="485"/>
      <c r="G528" s="210"/>
      <c r="H528" s="485"/>
      <c r="I528" s="188"/>
      <c r="J528" s="485"/>
      <c r="K528" s="75"/>
      <c r="L528" s="66"/>
      <c r="M528" s="66"/>
      <c r="N528" s="66"/>
      <c r="O528" s="66"/>
      <c r="P528" s="66"/>
      <c r="Q528" s="66"/>
      <c r="R528" s="66"/>
      <c r="S528" s="66"/>
      <c r="T528" s="66"/>
      <c r="U528" s="66"/>
      <c r="V528" s="66"/>
      <c r="W528" s="66"/>
      <c r="X528" s="66"/>
    </row>
    <row r="529">
      <c r="A529" s="75"/>
      <c r="B529" s="485"/>
      <c r="C529" s="75"/>
      <c r="D529" s="485"/>
      <c r="E529" s="75"/>
      <c r="F529" s="485"/>
      <c r="G529" s="210"/>
      <c r="H529" s="485"/>
      <c r="I529" s="188"/>
      <c r="J529" s="485"/>
      <c r="K529" s="75"/>
      <c r="L529" s="66"/>
      <c r="M529" s="66"/>
      <c r="N529" s="66"/>
      <c r="O529" s="66"/>
      <c r="P529" s="66"/>
      <c r="Q529" s="66"/>
      <c r="R529" s="66"/>
      <c r="S529" s="66"/>
      <c r="T529" s="66"/>
      <c r="U529" s="66"/>
      <c r="V529" s="66"/>
      <c r="W529" s="66"/>
      <c r="X529" s="66"/>
    </row>
    <row r="530">
      <c r="A530" s="75"/>
      <c r="B530" s="485"/>
      <c r="C530" s="75"/>
      <c r="D530" s="485"/>
      <c r="E530" s="75"/>
      <c r="F530" s="485"/>
      <c r="G530" s="210"/>
      <c r="H530" s="485"/>
      <c r="I530" s="188"/>
      <c r="J530" s="485"/>
      <c r="K530" s="75"/>
      <c r="L530" s="66"/>
      <c r="M530" s="66"/>
      <c r="N530" s="66"/>
      <c r="O530" s="66"/>
      <c r="P530" s="66"/>
      <c r="Q530" s="66"/>
      <c r="R530" s="66"/>
      <c r="S530" s="66"/>
      <c r="T530" s="66"/>
      <c r="U530" s="66"/>
      <c r="V530" s="66"/>
      <c r="W530" s="66"/>
      <c r="X530" s="66"/>
    </row>
    <row r="531">
      <c r="A531" s="75"/>
      <c r="B531" s="485"/>
      <c r="C531" s="75"/>
      <c r="D531" s="485"/>
      <c r="E531" s="75"/>
      <c r="F531" s="485"/>
      <c r="G531" s="210"/>
      <c r="H531" s="485"/>
      <c r="I531" s="188"/>
      <c r="J531" s="485"/>
      <c r="K531" s="75"/>
      <c r="L531" s="66"/>
      <c r="M531" s="66"/>
      <c r="N531" s="66"/>
      <c r="O531" s="66"/>
      <c r="P531" s="66"/>
      <c r="Q531" s="66"/>
      <c r="R531" s="66"/>
      <c r="S531" s="66"/>
      <c r="T531" s="66"/>
      <c r="U531" s="66"/>
      <c r="V531" s="66"/>
      <c r="W531" s="66"/>
      <c r="X531" s="66"/>
    </row>
    <row r="532">
      <c r="A532" s="75"/>
      <c r="B532" s="485"/>
      <c r="C532" s="75"/>
      <c r="D532" s="485"/>
      <c r="E532" s="75"/>
      <c r="F532" s="485"/>
      <c r="G532" s="210"/>
      <c r="H532" s="485"/>
      <c r="I532" s="188"/>
      <c r="J532" s="485"/>
      <c r="K532" s="75"/>
      <c r="L532" s="66"/>
      <c r="M532" s="66"/>
      <c r="N532" s="66"/>
      <c r="O532" s="66"/>
      <c r="P532" s="66"/>
      <c r="Q532" s="66"/>
      <c r="R532" s="66"/>
      <c r="S532" s="66"/>
      <c r="T532" s="66"/>
      <c r="U532" s="66"/>
      <c r="V532" s="66"/>
      <c r="W532" s="66"/>
      <c r="X532" s="66"/>
    </row>
    <row r="533">
      <c r="A533" s="75"/>
      <c r="B533" s="485"/>
      <c r="C533" s="75"/>
      <c r="D533" s="485"/>
      <c r="E533" s="75"/>
      <c r="F533" s="485"/>
      <c r="G533" s="210"/>
      <c r="H533" s="485"/>
      <c r="I533" s="188"/>
      <c r="J533" s="485"/>
      <c r="K533" s="75"/>
      <c r="L533" s="66"/>
      <c r="M533" s="66"/>
      <c r="N533" s="66"/>
      <c r="O533" s="66"/>
      <c r="P533" s="66"/>
      <c r="Q533" s="66"/>
      <c r="R533" s="66"/>
      <c r="S533" s="66"/>
      <c r="T533" s="66"/>
      <c r="U533" s="66"/>
      <c r="V533" s="66"/>
      <c r="W533" s="66"/>
      <c r="X533" s="66"/>
    </row>
    <row r="534">
      <c r="A534" s="75"/>
      <c r="B534" s="485"/>
      <c r="C534" s="75"/>
      <c r="D534" s="485"/>
      <c r="E534" s="75"/>
      <c r="F534" s="485"/>
      <c r="G534" s="210"/>
      <c r="H534" s="485"/>
      <c r="I534" s="188"/>
      <c r="J534" s="485"/>
      <c r="K534" s="75"/>
      <c r="L534" s="66"/>
      <c r="M534" s="66"/>
      <c r="N534" s="66"/>
      <c r="O534" s="66"/>
      <c r="P534" s="66"/>
      <c r="Q534" s="66"/>
      <c r="R534" s="66"/>
      <c r="S534" s="66"/>
      <c r="T534" s="66"/>
      <c r="U534" s="66"/>
      <c r="V534" s="66"/>
      <c r="W534" s="66"/>
      <c r="X534" s="66"/>
    </row>
    <row r="535">
      <c r="A535" s="75"/>
      <c r="B535" s="485"/>
      <c r="C535" s="75"/>
      <c r="D535" s="485"/>
      <c r="E535" s="75"/>
      <c r="F535" s="485"/>
      <c r="G535" s="210"/>
      <c r="H535" s="485"/>
      <c r="I535" s="188"/>
      <c r="J535" s="485"/>
      <c r="K535" s="75"/>
      <c r="L535" s="66"/>
      <c r="M535" s="66"/>
      <c r="N535" s="66"/>
      <c r="O535" s="66"/>
      <c r="P535" s="66"/>
      <c r="Q535" s="66"/>
      <c r="R535" s="66"/>
      <c r="S535" s="66"/>
      <c r="T535" s="66"/>
      <c r="U535" s="66"/>
      <c r="V535" s="66"/>
      <c r="W535" s="66"/>
      <c r="X535" s="66"/>
    </row>
    <row r="536">
      <c r="A536" s="75"/>
      <c r="B536" s="485"/>
      <c r="C536" s="75"/>
      <c r="D536" s="485"/>
      <c r="E536" s="75"/>
      <c r="F536" s="485"/>
      <c r="G536" s="210"/>
      <c r="H536" s="485"/>
      <c r="I536" s="188"/>
      <c r="J536" s="485"/>
      <c r="K536" s="75"/>
      <c r="L536" s="66"/>
      <c r="M536" s="66"/>
      <c r="N536" s="66"/>
      <c r="O536" s="66"/>
      <c r="P536" s="66"/>
      <c r="Q536" s="66"/>
      <c r="R536" s="66"/>
      <c r="S536" s="66"/>
      <c r="T536" s="66"/>
      <c r="U536" s="66"/>
      <c r="V536" s="66"/>
      <c r="W536" s="66"/>
      <c r="X536" s="66"/>
    </row>
    <row r="537">
      <c r="A537" s="75"/>
      <c r="B537" s="485"/>
      <c r="C537" s="75"/>
      <c r="D537" s="485"/>
      <c r="E537" s="75"/>
      <c r="F537" s="485"/>
      <c r="G537" s="210"/>
      <c r="H537" s="485"/>
      <c r="I537" s="188"/>
      <c r="J537" s="485"/>
      <c r="K537" s="75"/>
      <c r="L537" s="66"/>
      <c r="M537" s="66"/>
      <c r="N537" s="66"/>
      <c r="O537" s="66"/>
      <c r="P537" s="66"/>
      <c r="Q537" s="66"/>
      <c r="R537" s="66"/>
      <c r="S537" s="66"/>
      <c r="T537" s="66"/>
      <c r="U537" s="66"/>
      <c r="V537" s="66"/>
      <c r="W537" s="66"/>
      <c r="X537" s="66"/>
    </row>
    <row r="538">
      <c r="A538" s="75"/>
      <c r="B538" s="485"/>
      <c r="C538" s="75"/>
      <c r="D538" s="485"/>
      <c r="E538" s="75"/>
      <c r="F538" s="485"/>
      <c r="G538" s="210"/>
      <c r="H538" s="485"/>
      <c r="I538" s="188"/>
      <c r="J538" s="485"/>
      <c r="K538" s="75"/>
      <c r="L538" s="66"/>
      <c r="M538" s="66"/>
      <c r="N538" s="66"/>
      <c r="O538" s="66"/>
      <c r="P538" s="66"/>
      <c r="Q538" s="66"/>
      <c r="R538" s="66"/>
      <c r="S538" s="66"/>
      <c r="T538" s="66"/>
      <c r="U538" s="66"/>
      <c r="V538" s="66"/>
      <c r="W538" s="66"/>
      <c r="X538" s="66"/>
    </row>
    <row r="539">
      <c r="A539" s="75"/>
      <c r="B539" s="485"/>
      <c r="C539" s="75"/>
      <c r="D539" s="485"/>
      <c r="E539" s="75"/>
      <c r="F539" s="485"/>
      <c r="G539" s="210"/>
      <c r="H539" s="485"/>
      <c r="I539" s="188"/>
      <c r="J539" s="485"/>
      <c r="K539" s="75"/>
      <c r="L539" s="66"/>
      <c r="M539" s="66"/>
      <c r="N539" s="66"/>
      <c r="O539" s="66"/>
      <c r="P539" s="66"/>
      <c r="Q539" s="66"/>
      <c r="R539" s="66"/>
      <c r="S539" s="66"/>
      <c r="T539" s="66"/>
      <c r="U539" s="66"/>
      <c r="V539" s="66"/>
      <c r="W539" s="66"/>
      <c r="X539" s="66"/>
    </row>
    <row r="540">
      <c r="A540" s="75"/>
      <c r="B540" s="485"/>
      <c r="C540" s="75"/>
      <c r="D540" s="485"/>
      <c r="E540" s="75"/>
      <c r="F540" s="485"/>
      <c r="G540" s="210"/>
      <c r="H540" s="485"/>
      <c r="I540" s="188"/>
      <c r="J540" s="485"/>
      <c r="K540" s="75"/>
      <c r="L540" s="66"/>
      <c r="M540" s="66"/>
      <c r="N540" s="66"/>
      <c r="O540" s="66"/>
      <c r="P540" s="66"/>
      <c r="Q540" s="66"/>
      <c r="R540" s="66"/>
      <c r="S540" s="66"/>
      <c r="T540" s="66"/>
      <c r="U540" s="66"/>
      <c r="V540" s="66"/>
      <c r="W540" s="66"/>
      <c r="X540" s="66"/>
    </row>
    <row r="541">
      <c r="A541" s="75"/>
      <c r="B541" s="485"/>
      <c r="C541" s="75"/>
      <c r="D541" s="485"/>
      <c r="E541" s="75"/>
      <c r="F541" s="485"/>
      <c r="G541" s="210"/>
      <c r="H541" s="485"/>
      <c r="I541" s="188"/>
      <c r="J541" s="485"/>
      <c r="K541" s="75"/>
      <c r="L541" s="66"/>
      <c r="M541" s="66"/>
      <c r="N541" s="66"/>
      <c r="O541" s="66"/>
      <c r="P541" s="66"/>
      <c r="Q541" s="66"/>
      <c r="R541" s="66"/>
      <c r="S541" s="66"/>
      <c r="T541" s="66"/>
      <c r="U541" s="66"/>
      <c r="V541" s="66"/>
      <c r="W541" s="66"/>
      <c r="X541" s="66"/>
    </row>
    <row r="542">
      <c r="A542" s="75"/>
      <c r="B542" s="485"/>
      <c r="C542" s="75"/>
      <c r="D542" s="485"/>
      <c r="E542" s="75"/>
      <c r="F542" s="485"/>
      <c r="G542" s="210"/>
      <c r="H542" s="485"/>
      <c r="I542" s="188"/>
      <c r="J542" s="485"/>
      <c r="K542" s="75"/>
      <c r="L542" s="66"/>
      <c r="M542" s="66"/>
      <c r="N542" s="66"/>
      <c r="O542" s="66"/>
      <c r="P542" s="66"/>
      <c r="Q542" s="66"/>
      <c r="R542" s="66"/>
      <c r="S542" s="66"/>
      <c r="T542" s="66"/>
      <c r="U542" s="66"/>
      <c r="V542" s="66"/>
      <c r="W542" s="66"/>
      <c r="X542" s="66"/>
    </row>
    <row r="543">
      <c r="A543" s="75"/>
      <c r="B543" s="485"/>
      <c r="C543" s="75"/>
      <c r="D543" s="485"/>
      <c r="E543" s="75"/>
      <c r="F543" s="485"/>
      <c r="G543" s="210"/>
      <c r="H543" s="485"/>
      <c r="I543" s="188"/>
      <c r="J543" s="485"/>
      <c r="K543" s="75"/>
      <c r="L543" s="66"/>
      <c r="M543" s="66"/>
      <c r="N543" s="66"/>
      <c r="O543" s="66"/>
      <c r="P543" s="66"/>
      <c r="Q543" s="66"/>
      <c r="R543" s="66"/>
      <c r="S543" s="66"/>
      <c r="T543" s="66"/>
      <c r="U543" s="66"/>
      <c r="V543" s="66"/>
      <c r="W543" s="66"/>
      <c r="X543" s="66"/>
    </row>
    <row r="544">
      <c r="A544" s="75"/>
      <c r="B544" s="485"/>
      <c r="C544" s="75"/>
      <c r="D544" s="485"/>
      <c r="E544" s="75"/>
      <c r="F544" s="485"/>
      <c r="G544" s="210"/>
      <c r="H544" s="485"/>
      <c r="I544" s="188"/>
      <c r="J544" s="485"/>
      <c r="K544" s="75"/>
      <c r="L544" s="66"/>
      <c r="M544" s="66"/>
      <c r="N544" s="66"/>
      <c r="O544" s="66"/>
      <c r="P544" s="66"/>
      <c r="Q544" s="66"/>
      <c r="R544" s="66"/>
      <c r="S544" s="66"/>
      <c r="T544" s="66"/>
      <c r="U544" s="66"/>
      <c r="V544" s="66"/>
      <c r="W544" s="66"/>
      <c r="X544" s="66"/>
    </row>
    <row r="545">
      <c r="A545" s="75"/>
      <c r="B545" s="485"/>
      <c r="C545" s="75"/>
      <c r="D545" s="485"/>
      <c r="E545" s="75"/>
      <c r="F545" s="485"/>
      <c r="G545" s="210"/>
      <c r="H545" s="485"/>
      <c r="I545" s="188"/>
      <c r="J545" s="485"/>
      <c r="K545" s="75"/>
      <c r="L545" s="66"/>
      <c r="M545" s="66"/>
      <c r="N545" s="66"/>
      <c r="O545" s="66"/>
      <c r="P545" s="66"/>
      <c r="Q545" s="66"/>
      <c r="R545" s="66"/>
      <c r="S545" s="66"/>
      <c r="T545" s="66"/>
      <c r="U545" s="66"/>
      <c r="V545" s="66"/>
      <c r="W545" s="66"/>
      <c r="X545" s="66"/>
    </row>
    <row r="546">
      <c r="A546" s="75"/>
      <c r="B546" s="485"/>
      <c r="C546" s="75"/>
      <c r="D546" s="485"/>
      <c r="E546" s="75"/>
      <c r="F546" s="485"/>
      <c r="G546" s="210"/>
      <c r="H546" s="485"/>
      <c r="I546" s="188"/>
      <c r="J546" s="485"/>
      <c r="K546" s="75"/>
      <c r="L546" s="66"/>
      <c r="M546" s="66"/>
      <c r="N546" s="66"/>
      <c r="O546" s="66"/>
      <c r="P546" s="66"/>
      <c r="Q546" s="66"/>
      <c r="R546" s="66"/>
      <c r="S546" s="66"/>
      <c r="T546" s="66"/>
      <c r="U546" s="66"/>
      <c r="V546" s="66"/>
      <c r="W546" s="66"/>
      <c r="X546" s="66"/>
    </row>
    <row r="547">
      <c r="A547" s="75"/>
      <c r="B547" s="485"/>
      <c r="C547" s="75"/>
      <c r="D547" s="485"/>
      <c r="E547" s="75"/>
      <c r="F547" s="485"/>
      <c r="G547" s="210"/>
      <c r="H547" s="485"/>
      <c r="I547" s="188"/>
      <c r="J547" s="485"/>
      <c r="K547" s="75"/>
      <c r="L547" s="66"/>
      <c r="M547" s="66"/>
      <c r="N547" s="66"/>
      <c r="O547" s="66"/>
      <c r="P547" s="66"/>
      <c r="Q547" s="66"/>
      <c r="R547" s="66"/>
      <c r="S547" s="66"/>
      <c r="T547" s="66"/>
      <c r="U547" s="66"/>
      <c r="V547" s="66"/>
      <c r="W547" s="66"/>
      <c r="X547" s="66"/>
    </row>
    <row r="548">
      <c r="A548" s="75"/>
      <c r="B548" s="485"/>
      <c r="C548" s="75"/>
      <c r="D548" s="485"/>
      <c r="E548" s="75"/>
      <c r="F548" s="485"/>
      <c r="G548" s="210"/>
      <c r="H548" s="485"/>
      <c r="I548" s="188"/>
      <c r="J548" s="485"/>
      <c r="K548" s="75"/>
      <c r="L548" s="66"/>
      <c r="M548" s="66"/>
      <c r="N548" s="66"/>
      <c r="O548" s="66"/>
      <c r="P548" s="66"/>
      <c r="Q548" s="66"/>
      <c r="R548" s="66"/>
      <c r="S548" s="66"/>
      <c r="T548" s="66"/>
      <c r="U548" s="66"/>
      <c r="V548" s="66"/>
      <c r="W548" s="66"/>
      <c r="X548" s="66"/>
    </row>
    <row r="549">
      <c r="A549" s="75"/>
      <c r="B549" s="485"/>
      <c r="C549" s="75"/>
      <c r="D549" s="485"/>
      <c r="E549" s="75"/>
      <c r="F549" s="485"/>
      <c r="G549" s="210"/>
      <c r="H549" s="485"/>
      <c r="I549" s="188"/>
      <c r="J549" s="485"/>
      <c r="K549" s="75"/>
      <c r="L549" s="66"/>
      <c r="M549" s="66"/>
      <c r="N549" s="66"/>
      <c r="O549" s="66"/>
      <c r="P549" s="66"/>
      <c r="Q549" s="66"/>
      <c r="R549" s="66"/>
      <c r="S549" s="66"/>
      <c r="T549" s="66"/>
      <c r="U549" s="66"/>
      <c r="V549" s="66"/>
      <c r="W549" s="66"/>
      <c r="X549" s="66"/>
    </row>
    <row r="550">
      <c r="A550" s="75"/>
      <c r="B550" s="485"/>
      <c r="C550" s="75"/>
      <c r="D550" s="485"/>
      <c r="E550" s="75"/>
      <c r="F550" s="485"/>
      <c r="G550" s="210"/>
      <c r="H550" s="485"/>
      <c r="I550" s="188"/>
      <c r="J550" s="485"/>
      <c r="K550" s="75"/>
      <c r="L550" s="66"/>
      <c r="M550" s="66"/>
      <c r="N550" s="66"/>
      <c r="O550" s="66"/>
      <c r="P550" s="66"/>
      <c r="Q550" s="66"/>
      <c r="R550" s="66"/>
      <c r="S550" s="66"/>
      <c r="T550" s="66"/>
      <c r="U550" s="66"/>
      <c r="V550" s="66"/>
      <c r="W550" s="66"/>
      <c r="X550" s="66"/>
    </row>
    <row r="551">
      <c r="A551" s="75"/>
      <c r="B551" s="485"/>
      <c r="C551" s="75"/>
      <c r="D551" s="485"/>
      <c r="E551" s="75"/>
      <c r="F551" s="485"/>
      <c r="G551" s="210"/>
      <c r="H551" s="485"/>
      <c r="I551" s="188"/>
      <c r="J551" s="485"/>
      <c r="K551" s="75"/>
      <c r="L551" s="66"/>
      <c r="M551" s="66"/>
      <c r="N551" s="66"/>
      <c r="O551" s="66"/>
      <c r="P551" s="66"/>
      <c r="Q551" s="66"/>
      <c r="R551" s="66"/>
      <c r="S551" s="66"/>
      <c r="T551" s="66"/>
      <c r="U551" s="66"/>
      <c r="V551" s="66"/>
      <c r="W551" s="66"/>
      <c r="X551" s="66"/>
    </row>
    <row r="552">
      <c r="A552" s="75"/>
      <c r="B552" s="485"/>
      <c r="C552" s="75"/>
      <c r="D552" s="485"/>
      <c r="E552" s="75"/>
      <c r="F552" s="485"/>
      <c r="G552" s="210"/>
      <c r="H552" s="485"/>
      <c r="I552" s="188"/>
      <c r="J552" s="485"/>
      <c r="K552" s="75"/>
      <c r="L552" s="66"/>
      <c r="M552" s="66"/>
      <c r="N552" s="66"/>
      <c r="O552" s="66"/>
      <c r="P552" s="66"/>
      <c r="Q552" s="66"/>
      <c r="R552" s="66"/>
      <c r="S552" s="66"/>
      <c r="T552" s="66"/>
      <c r="U552" s="66"/>
      <c r="V552" s="66"/>
      <c r="W552" s="66"/>
      <c r="X552" s="66"/>
    </row>
    <row r="553">
      <c r="A553" s="75"/>
      <c r="B553" s="485"/>
      <c r="C553" s="75"/>
      <c r="D553" s="485"/>
      <c r="E553" s="75"/>
      <c r="F553" s="485"/>
      <c r="G553" s="210"/>
      <c r="H553" s="485"/>
      <c r="I553" s="188"/>
      <c r="J553" s="485"/>
      <c r="K553" s="75"/>
      <c r="L553" s="66"/>
      <c r="M553" s="66"/>
      <c r="N553" s="66"/>
      <c r="O553" s="66"/>
      <c r="P553" s="66"/>
      <c r="Q553" s="66"/>
      <c r="R553" s="66"/>
      <c r="S553" s="66"/>
      <c r="T553" s="66"/>
      <c r="U553" s="66"/>
      <c r="V553" s="66"/>
      <c r="W553" s="66"/>
      <c r="X553" s="66"/>
    </row>
    <row r="554">
      <c r="A554" s="75"/>
      <c r="B554" s="485"/>
      <c r="C554" s="75"/>
      <c r="D554" s="485"/>
      <c r="E554" s="75"/>
      <c r="F554" s="485"/>
      <c r="G554" s="210"/>
      <c r="H554" s="485"/>
      <c r="I554" s="188"/>
      <c r="J554" s="485"/>
      <c r="K554" s="75"/>
      <c r="L554" s="66"/>
      <c r="M554" s="66"/>
      <c r="N554" s="66"/>
      <c r="O554" s="66"/>
      <c r="P554" s="66"/>
      <c r="Q554" s="66"/>
      <c r="R554" s="66"/>
      <c r="S554" s="66"/>
      <c r="T554" s="66"/>
      <c r="U554" s="66"/>
      <c r="V554" s="66"/>
      <c r="W554" s="66"/>
      <c r="X554" s="66"/>
    </row>
    <row r="555">
      <c r="A555" s="75"/>
      <c r="B555" s="485"/>
      <c r="C555" s="75"/>
      <c r="D555" s="485"/>
      <c r="E555" s="75"/>
      <c r="F555" s="485"/>
      <c r="G555" s="210"/>
      <c r="H555" s="485"/>
      <c r="I555" s="188"/>
      <c r="J555" s="485"/>
      <c r="K555" s="75"/>
      <c r="L555" s="66"/>
      <c r="M555" s="66"/>
      <c r="N555" s="66"/>
      <c r="O555" s="66"/>
      <c r="P555" s="66"/>
      <c r="Q555" s="66"/>
      <c r="R555" s="66"/>
      <c r="S555" s="66"/>
      <c r="T555" s="66"/>
      <c r="U555" s="66"/>
      <c r="V555" s="66"/>
      <c r="W555" s="66"/>
      <c r="X555" s="66"/>
    </row>
    <row r="556">
      <c r="A556" s="75"/>
      <c r="B556" s="485"/>
      <c r="C556" s="75"/>
      <c r="D556" s="485"/>
      <c r="E556" s="75"/>
      <c r="F556" s="485"/>
      <c r="G556" s="210"/>
      <c r="H556" s="485"/>
      <c r="I556" s="188"/>
      <c r="J556" s="485"/>
      <c r="K556" s="75"/>
      <c r="L556" s="66"/>
      <c r="M556" s="66"/>
      <c r="N556" s="66"/>
      <c r="O556" s="66"/>
      <c r="P556" s="66"/>
      <c r="Q556" s="66"/>
      <c r="R556" s="66"/>
      <c r="S556" s="66"/>
      <c r="T556" s="66"/>
      <c r="U556" s="66"/>
      <c r="V556" s="66"/>
      <c r="W556" s="66"/>
      <c r="X556" s="66"/>
    </row>
    <row r="557">
      <c r="A557" s="75"/>
      <c r="B557" s="485"/>
      <c r="C557" s="75"/>
      <c r="D557" s="485"/>
      <c r="E557" s="75"/>
      <c r="F557" s="485"/>
      <c r="G557" s="210"/>
      <c r="H557" s="485"/>
      <c r="I557" s="188"/>
      <c r="J557" s="485"/>
      <c r="K557" s="75"/>
      <c r="L557" s="66"/>
      <c r="M557" s="66"/>
      <c r="N557" s="66"/>
      <c r="O557" s="66"/>
      <c r="P557" s="66"/>
      <c r="Q557" s="66"/>
      <c r="R557" s="66"/>
      <c r="S557" s="66"/>
      <c r="T557" s="66"/>
      <c r="U557" s="66"/>
      <c r="V557" s="66"/>
      <c r="W557" s="66"/>
      <c r="X557" s="66"/>
    </row>
    <row r="558">
      <c r="A558" s="75"/>
      <c r="B558" s="485"/>
      <c r="C558" s="75"/>
      <c r="D558" s="485"/>
      <c r="E558" s="75"/>
      <c r="F558" s="485"/>
      <c r="G558" s="210"/>
      <c r="H558" s="485"/>
      <c r="I558" s="188"/>
      <c r="J558" s="485"/>
      <c r="K558" s="75"/>
      <c r="L558" s="66"/>
      <c r="M558" s="66"/>
      <c r="N558" s="66"/>
      <c r="O558" s="66"/>
      <c r="P558" s="66"/>
      <c r="Q558" s="66"/>
      <c r="R558" s="66"/>
      <c r="S558" s="66"/>
      <c r="T558" s="66"/>
      <c r="U558" s="66"/>
      <c r="V558" s="66"/>
      <c r="W558" s="66"/>
      <c r="X558" s="66"/>
    </row>
    <row r="559">
      <c r="A559" s="75"/>
      <c r="B559" s="485"/>
      <c r="C559" s="75"/>
      <c r="D559" s="485"/>
      <c r="E559" s="75"/>
      <c r="F559" s="485"/>
      <c r="G559" s="210"/>
      <c r="H559" s="485"/>
      <c r="I559" s="188"/>
      <c r="J559" s="485"/>
      <c r="K559" s="75"/>
      <c r="L559" s="66"/>
      <c r="M559" s="66"/>
      <c r="N559" s="66"/>
      <c r="O559" s="66"/>
      <c r="P559" s="66"/>
      <c r="Q559" s="66"/>
      <c r="R559" s="66"/>
      <c r="S559" s="66"/>
      <c r="T559" s="66"/>
      <c r="U559" s="66"/>
      <c r="V559" s="66"/>
      <c r="W559" s="66"/>
      <c r="X559" s="66"/>
    </row>
    <row r="560">
      <c r="A560" s="75"/>
      <c r="B560" s="485"/>
      <c r="C560" s="75"/>
      <c r="D560" s="485"/>
      <c r="E560" s="75"/>
      <c r="F560" s="485"/>
      <c r="G560" s="210"/>
      <c r="H560" s="485"/>
      <c r="I560" s="188"/>
      <c r="J560" s="485"/>
      <c r="K560" s="75"/>
      <c r="L560" s="66"/>
      <c r="M560" s="66"/>
      <c r="N560" s="66"/>
      <c r="O560" s="66"/>
      <c r="P560" s="66"/>
      <c r="Q560" s="66"/>
      <c r="R560" s="66"/>
      <c r="S560" s="66"/>
      <c r="T560" s="66"/>
      <c r="U560" s="66"/>
      <c r="V560" s="66"/>
      <c r="W560" s="66"/>
      <c r="X560" s="66"/>
    </row>
    <row r="561">
      <c r="A561" s="75"/>
      <c r="B561" s="485"/>
      <c r="C561" s="75"/>
      <c r="D561" s="485"/>
      <c r="E561" s="75"/>
      <c r="F561" s="485"/>
      <c r="G561" s="210"/>
      <c r="H561" s="485"/>
      <c r="I561" s="188"/>
      <c r="J561" s="485"/>
      <c r="K561" s="75"/>
      <c r="L561" s="66"/>
      <c r="M561" s="66"/>
      <c r="N561" s="66"/>
      <c r="O561" s="66"/>
      <c r="P561" s="66"/>
      <c r="Q561" s="66"/>
      <c r="R561" s="66"/>
      <c r="S561" s="66"/>
      <c r="T561" s="66"/>
      <c r="U561" s="66"/>
      <c r="V561" s="66"/>
      <c r="W561" s="66"/>
      <c r="X561" s="66"/>
    </row>
    <row r="562">
      <c r="A562" s="75"/>
      <c r="B562" s="485"/>
      <c r="C562" s="75"/>
      <c r="D562" s="485"/>
      <c r="E562" s="75"/>
      <c r="F562" s="485"/>
      <c r="G562" s="210"/>
      <c r="H562" s="485"/>
      <c r="I562" s="188"/>
      <c r="J562" s="485"/>
      <c r="K562" s="75"/>
      <c r="L562" s="66"/>
      <c r="M562" s="66"/>
      <c r="N562" s="66"/>
      <c r="O562" s="66"/>
      <c r="P562" s="66"/>
      <c r="Q562" s="66"/>
      <c r="R562" s="66"/>
      <c r="S562" s="66"/>
      <c r="T562" s="66"/>
      <c r="U562" s="66"/>
      <c r="V562" s="66"/>
      <c r="W562" s="66"/>
      <c r="X562" s="66"/>
    </row>
    <row r="563">
      <c r="A563" s="75"/>
      <c r="B563" s="485"/>
      <c r="C563" s="75"/>
      <c r="D563" s="485"/>
      <c r="E563" s="75"/>
      <c r="F563" s="485"/>
      <c r="G563" s="210"/>
      <c r="H563" s="485"/>
      <c r="I563" s="188"/>
      <c r="J563" s="485"/>
      <c r="K563" s="75"/>
      <c r="L563" s="66"/>
      <c r="M563" s="66"/>
      <c r="N563" s="66"/>
      <c r="O563" s="66"/>
      <c r="P563" s="66"/>
      <c r="Q563" s="66"/>
      <c r="R563" s="66"/>
      <c r="S563" s="66"/>
      <c r="T563" s="66"/>
      <c r="U563" s="66"/>
      <c r="V563" s="66"/>
      <c r="W563" s="66"/>
      <c r="X563" s="66"/>
    </row>
    <row r="564">
      <c r="A564" s="75"/>
      <c r="B564" s="485"/>
      <c r="C564" s="75"/>
      <c r="D564" s="485"/>
      <c r="E564" s="75"/>
      <c r="F564" s="485"/>
      <c r="G564" s="210"/>
      <c r="H564" s="485"/>
      <c r="I564" s="188"/>
      <c r="J564" s="485"/>
      <c r="K564" s="75"/>
      <c r="L564" s="66"/>
      <c r="M564" s="66"/>
      <c r="N564" s="66"/>
      <c r="O564" s="66"/>
      <c r="P564" s="66"/>
      <c r="Q564" s="66"/>
      <c r="R564" s="66"/>
      <c r="S564" s="66"/>
      <c r="T564" s="66"/>
      <c r="U564" s="66"/>
      <c r="V564" s="66"/>
      <c r="W564" s="66"/>
      <c r="X564" s="66"/>
    </row>
    <row r="565">
      <c r="A565" s="75"/>
      <c r="B565" s="485"/>
      <c r="C565" s="75"/>
      <c r="D565" s="485"/>
      <c r="E565" s="75"/>
      <c r="F565" s="485"/>
      <c r="G565" s="210"/>
      <c r="H565" s="485"/>
      <c r="I565" s="188"/>
      <c r="J565" s="485"/>
      <c r="K565" s="75"/>
      <c r="L565" s="66"/>
      <c r="M565" s="66"/>
      <c r="N565" s="66"/>
      <c r="O565" s="66"/>
      <c r="P565" s="66"/>
      <c r="Q565" s="66"/>
      <c r="R565" s="66"/>
      <c r="S565" s="66"/>
      <c r="T565" s="66"/>
      <c r="U565" s="66"/>
      <c r="V565" s="66"/>
      <c r="W565" s="66"/>
      <c r="X565" s="66"/>
    </row>
    <row r="566">
      <c r="A566" s="75"/>
      <c r="B566" s="485"/>
      <c r="C566" s="75"/>
      <c r="D566" s="485"/>
      <c r="E566" s="75"/>
      <c r="F566" s="485"/>
      <c r="G566" s="210"/>
      <c r="H566" s="485"/>
      <c r="I566" s="188"/>
      <c r="J566" s="485"/>
      <c r="K566" s="75"/>
      <c r="L566" s="66"/>
      <c r="M566" s="66"/>
      <c r="N566" s="66"/>
      <c r="O566" s="66"/>
      <c r="P566" s="66"/>
      <c r="Q566" s="66"/>
      <c r="R566" s="66"/>
      <c r="S566" s="66"/>
      <c r="T566" s="66"/>
      <c r="U566" s="66"/>
      <c r="V566" s="66"/>
      <c r="W566" s="66"/>
      <c r="X566" s="66"/>
    </row>
    <row r="567">
      <c r="A567" s="75"/>
      <c r="B567" s="485"/>
      <c r="C567" s="75"/>
      <c r="D567" s="485"/>
      <c r="E567" s="75"/>
      <c r="F567" s="485"/>
      <c r="G567" s="210"/>
      <c r="H567" s="485"/>
      <c r="I567" s="188"/>
      <c r="J567" s="485"/>
      <c r="K567" s="75"/>
      <c r="L567" s="66"/>
      <c r="M567" s="66"/>
      <c r="N567" s="66"/>
      <c r="O567" s="66"/>
      <c r="P567" s="66"/>
      <c r="Q567" s="66"/>
      <c r="R567" s="66"/>
      <c r="S567" s="66"/>
      <c r="T567" s="66"/>
      <c r="U567" s="66"/>
      <c r="V567" s="66"/>
      <c r="W567" s="66"/>
      <c r="X567" s="66"/>
    </row>
    <row r="568">
      <c r="A568" s="75"/>
      <c r="B568" s="485"/>
      <c r="C568" s="75"/>
      <c r="D568" s="485"/>
      <c r="E568" s="75"/>
      <c r="F568" s="485"/>
      <c r="G568" s="210"/>
      <c r="H568" s="485"/>
      <c r="I568" s="188"/>
      <c r="J568" s="485"/>
      <c r="K568" s="75"/>
      <c r="L568" s="66"/>
      <c r="M568" s="66"/>
      <c r="N568" s="66"/>
      <c r="O568" s="66"/>
      <c r="P568" s="66"/>
      <c r="Q568" s="66"/>
      <c r="R568" s="66"/>
      <c r="S568" s="66"/>
      <c r="T568" s="66"/>
      <c r="U568" s="66"/>
      <c r="V568" s="66"/>
      <c r="W568" s="66"/>
      <c r="X568" s="66"/>
    </row>
    <row r="569">
      <c r="A569" s="75"/>
      <c r="B569" s="485"/>
      <c r="C569" s="75"/>
      <c r="D569" s="485"/>
      <c r="E569" s="75"/>
      <c r="F569" s="485"/>
      <c r="G569" s="210"/>
      <c r="H569" s="485"/>
      <c r="I569" s="188"/>
      <c r="J569" s="485"/>
      <c r="K569" s="75"/>
      <c r="L569" s="66"/>
      <c r="M569" s="66"/>
      <c r="N569" s="66"/>
      <c r="O569" s="66"/>
      <c r="P569" s="66"/>
      <c r="Q569" s="66"/>
      <c r="R569" s="66"/>
      <c r="S569" s="66"/>
      <c r="T569" s="66"/>
      <c r="U569" s="66"/>
      <c r="V569" s="66"/>
      <c r="W569" s="66"/>
      <c r="X569" s="66"/>
    </row>
    <row r="570">
      <c r="A570" s="75"/>
      <c r="B570" s="485"/>
      <c r="C570" s="75"/>
      <c r="D570" s="485"/>
      <c r="E570" s="75"/>
      <c r="F570" s="485"/>
      <c r="G570" s="210"/>
      <c r="H570" s="485"/>
      <c r="I570" s="188"/>
      <c r="J570" s="485"/>
      <c r="K570" s="75"/>
      <c r="L570" s="66"/>
      <c r="M570" s="66"/>
      <c r="N570" s="66"/>
      <c r="O570" s="66"/>
      <c r="P570" s="66"/>
      <c r="Q570" s="66"/>
      <c r="R570" s="66"/>
      <c r="S570" s="66"/>
      <c r="T570" s="66"/>
      <c r="U570" s="66"/>
      <c r="V570" s="66"/>
      <c r="W570" s="66"/>
      <c r="X570" s="66"/>
    </row>
    <row r="571">
      <c r="A571" s="75"/>
      <c r="B571" s="485"/>
      <c r="C571" s="75"/>
      <c r="D571" s="485"/>
      <c r="E571" s="75"/>
      <c r="F571" s="485"/>
      <c r="G571" s="210"/>
      <c r="H571" s="485"/>
      <c r="I571" s="188"/>
      <c r="J571" s="485"/>
      <c r="K571" s="75"/>
      <c r="L571" s="66"/>
      <c r="M571" s="66"/>
      <c r="N571" s="66"/>
      <c r="O571" s="66"/>
      <c r="P571" s="66"/>
      <c r="Q571" s="66"/>
      <c r="R571" s="66"/>
      <c r="S571" s="66"/>
      <c r="T571" s="66"/>
      <c r="U571" s="66"/>
      <c r="V571" s="66"/>
      <c r="W571" s="66"/>
      <c r="X571" s="66"/>
    </row>
    <row r="572">
      <c r="A572" s="75"/>
      <c r="B572" s="485"/>
      <c r="C572" s="75"/>
      <c r="D572" s="485"/>
      <c r="E572" s="75"/>
      <c r="F572" s="485"/>
      <c r="G572" s="210"/>
      <c r="H572" s="485"/>
      <c r="I572" s="188"/>
      <c r="J572" s="485"/>
      <c r="K572" s="75"/>
      <c r="L572" s="66"/>
      <c r="M572" s="66"/>
      <c r="N572" s="66"/>
      <c r="O572" s="66"/>
      <c r="P572" s="66"/>
      <c r="Q572" s="66"/>
      <c r="R572" s="66"/>
      <c r="S572" s="66"/>
      <c r="T572" s="66"/>
      <c r="U572" s="66"/>
      <c r="V572" s="66"/>
      <c r="W572" s="66"/>
      <c r="X572" s="66"/>
    </row>
    <row r="573">
      <c r="A573" s="75"/>
      <c r="B573" s="485"/>
      <c r="C573" s="75"/>
      <c r="D573" s="485"/>
      <c r="E573" s="75"/>
      <c r="F573" s="485"/>
      <c r="G573" s="210"/>
      <c r="H573" s="485"/>
      <c r="I573" s="188"/>
      <c r="J573" s="485"/>
      <c r="K573" s="75"/>
      <c r="L573" s="66"/>
      <c r="M573" s="66"/>
      <c r="N573" s="66"/>
      <c r="O573" s="66"/>
      <c r="P573" s="66"/>
      <c r="Q573" s="66"/>
      <c r="R573" s="66"/>
      <c r="S573" s="66"/>
      <c r="T573" s="66"/>
      <c r="U573" s="66"/>
      <c r="V573" s="66"/>
      <c r="W573" s="66"/>
      <c r="X573" s="66"/>
    </row>
    <row r="574">
      <c r="A574" s="75"/>
      <c r="B574" s="485"/>
      <c r="C574" s="75"/>
      <c r="D574" s="485"/>
      <c r="E574" s="75"/>
      <c r="F574" s="485"/>
      <c r="G574" s="210"/>
      <c r="H574" s="485"/>
      <c r="I574" s="188"/>
      <c r="J574" s="485"/>
      <c r="K574" s="75"/>
      <c r="L574" s="66"/>
      <c r="M574" s="66"/>
      <c r="N574" s="66"/>
      <c r="O574" s="66"/>
      <c r="P574" s="66"/>
      <c r="Q574" s="66"/>
      <c r="R574" s="66"/>
      <c r="S574" s="66"/>
      <c r="T574" s="66"/>
      <c r="U574" s="66"/>
      <c r="V574" s="66"/>
      <c r="W574" s="66"/>
      <c r="X574" s="66"/>
    </row>
    <row r="575">
      <c r="A575" s="75"/>
      <c r="B575" s="485"/>
      <c r="C575" s="75"/>
      <c r="D575" s="485"/>
      <c r="E575" s="75"/>
      <c r="F575" s="485"/>
      <c r="G575" s="210"/>
      <c r="H575" s="485"/>
      <c r="I575" s="188"/>
      <c r="J575" s="485"/>
      <c r="K575" s="75"/>
      <c r="L575" s="66"/>
      <c r="M575" s="66"/>
      <c r="N575" s="66"/>
      <c r="O575" s="66"/>
      <c r="P575" s="66"/>
      <c r="Q575" s="66"/>
      <c r="R575" s="66"/>
      <c r="S575" s="66"/>
      <c r="T575" s="66"/>
      <c r="U575" s="66"/>
      <c r="V575" s="66"/>
      <c r="W575" s="66"/>
      <c r="X575" s="66"/>
    </row>
    <row r="576">
      <c r="A576" s="75"/>
      <c r="B576" s="485"/>
      <c r="C576" s="75"/>
      <c r="D576" s="485"/>
      <c r="E576" s="75"/>
      <c r="F576" s="485"/>
      <c r="G576" s="210"/>
      <c r="H576" s="485"/>
      <c r="I576" s="188"/>
      <c r="J576" s="485"/>
      <c r="K576" s="75"/>
      <c r="L576" s="66"/>
      <c r="M576" s="66"/>
      <c r="N576" s="66"/>
      <c r="O576" s="66"/>
      <c r="P576" s="66"/>
      <c r="Q576" s="66"/>
      <c r="R576" s="66"/>
      <c r="S576" s="66"/>
      <c r="T576" s="66"/>
      <c r="U576" s="66"/>
      <c r="V576" s="66"/>
      <c r="W576" s="66"/>
      <c r="X576" s="66"/>
    </row>
    <row r="577">
      <c r="A577" s="75"/>
      <c r="B577" s="485"/>
      <c r="C577" s="75"/>
      <c r="D577" s="485"/>
      <c r="E577" s="75"/>
      <c r="F577" s="485"/>
      <c r="G577" s="210"/>
      <c r="H577" s="485"/>
      <c r="I577" s="188"/>
      <c r="J577" s="485"/>
      <c r="K577" s="75"/>
      <c r="L577" s="66"/>
      <c r="M577" s="66"/>
      <c r="N577" s="66"/>
      <c r="O577" s="66"/>
      <c r="P577" s="66"/>
      <c r="Q577" s="66"/>
      <c r="R577" s="66"/>
      <c r="S577" s="66"/>
      <c r="T577" s="66"/>
      <c r="U577" s="66"/>
      <c r="V577" s="66"/>
      <c r="W577" s="66"/>
      <c r="X577" s="66"/>
    </row>
    <row r="578">
      <c r="A578" s="75"/>
      <c r="B578" s="485"/>
      <c r="C578" s="75"/>
      <c r="D578" s="485"/>
      <c r="E578" s="75"/>
      <c r="F578" s="485"/>
      <c r="G578" s="210"/>
      <c r="H578" s="485"/>
      <c r="I578" s="188"/>
      <c r="J578" s="485"/>
      <c r="K578" s="75"/>
      <c r="L578" s="66"/>
      <c r="M578" s="66"/>
      <c r="N578" s="66"/>
      <c r="O578" s="66"/>
      <c r="P578" s="66"/>
      <c r="Q578" s="66"/>
      <c r="R578" s="66"/>
      <c r="S578" s="66"/>
      <c r="T578" s="66"/>
      <c r="U578" s="66"/>
      <c r="V578" s="66"/>
      <c r="W578" s="66"/>
      <c r="X578" s="66"/>
    </row>
    <row r="579">
      <c r="A579" s="75"/>
      <c r="B579" s="485"/>
      <c r="C579" s="75"/>
      <c r="D579" s="485"/>
      <c r="E579" s="75"/>
      <c r="F579" s="485"/>
      <c r="G579" s="210"/>
      <c r="H579" s="485"/>
      <c r="I579" s="188"/>
      <c r="J579" s="485"/>
      <c r="K579" s="75"/>
      <c r="L579" s="66"/>
      <c r="M579" s="66"/>
      <c r="N579" s="66"/>
      <c r="O579" s="66"/>
      <c r="P579" s="66"/>
      <c r="Q579" s="66"/>
      <c r="R579" s="66"/>
      <c r="S579" s="66"/>
      <c r="T579" s="66"/>
      <c r="U579" s="66"/>
      <c r="V579" s="66"/>
      <c r="W579" s="66"/>
      <c r="X579" s="66"/>
    </row>
    <row r="580">
      <c r="A580" s="75"/>
      <c r="B580" s="485"/>
      <c r="C580" s="75"/>
      <c r="D580" s="485"/>
      <c r="E580" s="75"/>
      <c r="F580" s="485"/>
      <c r="G580" s="210"/>
      <c r="H580" s="485"/>
      <c r="I580" s="188"/>
      <c r="J580" s="485"/>
      <c r="K580" s="75"/>
      <c r="L580" s="66"/>
      <c r="M580" s="66"/>
      <c r="N580" s="66"/>
      <c r="O580" s="66"/>
      <c r="P580" s="66"/>
      <c r="Q580" s="66"/>
      <c r="R580" s="66"/>
      <c r="S580" s="66"/>
      <c r="T580" s="66"/>
      <c r="U580" s="66"/>
      <c r="V580" s="66"/>
      <c r="W580" s="66"/>
      <c r="X580" s="66"/>
    </row>
    <row r="581">
      <c r="A581" s="75"/>
      <c r="B581" s="485"/>
      <c r="C581" s="75"/>
      <c r="D581" s="485"/>
      <c r="E581" s="75"/>
      <c r="F581" s="485"/>
      <c r="G581" s="210"/>
      <c r="H581" s="485"/>
      <c r="I581" s="188"/>
      <c r="J581" s="485"/>
      <c r="K581" s="75"/>
      <c r="L581" s="66"/>
      <c r="M581" s="66"/>
      <c r="N581" s="66"/>
      <c r="O581" s="66"/>
      <c r="P581" s="66"/>
      <c r="Q581" s="66"/>
      <c r="R581" s="66"/>
      <c r="S581" s="66"/>
      <c r="T581" s="66"/>
      <c r="U581" s="66"/>
      <c r="V581" s="66"/>
      <c r="W581" s="66"/>
      <c r="X581" s="66"/>
    </row>
    <row r="582">
      <c r="A582" s="75"/>
      <c r="B582" s="485"/>
      <c r="C582" s="75"/>
      <c r="D582" s="485"/>
      <c r="E582" s="75"/>
      <c r="F582" s="485"/>
      <c r="G582" s="210"/>
      <c r="H582" s="485"/>
      <c r="I582" s="188"/>
      <c r="J582" s="485"/>
      <c r="K582" s="75"/>
      <c r="L582" s="66"/>
      <c r="M582" s="66"/>
      <c r="N582" s="66"/>
      <c r="O582" s="66"/>
      <c r="P582" s="66"/>
      <c r="Q582" s="66"/>
      <c r="R582" s="66"/>
      <c r="S582" s="66"/>
      <c r="T582" s="66"/>
      <c r="U582" s="66"/>
      <c r="V582" s="66"/>
      <c r="W582" s="66"/>
      <c r="X582" s="66"/>
    </row>
    <row r="583">
      <c r="A583" s="75"/>
      <c r="B583" s="485"/>
      <c r="C583" s="75"/>
      <c r="D583" s="485"/>
      <c r="E583" s="75"/>
      <c r="F583" s="485"/>
      <c r="G583" s="210"/>
      <c r="H583" s="485"/>
      <c r="I583" s="188"/>
      <c r="J583" s="485"/>
      <c r="K583" s="75"/>
      <c r="L583" s="66"/>
      <c r="M583" s="66"/>
      <c r="N583" s="66"/>
      <c r="O583" s="66"/>
      <c r="P583" s="66"/>
      <c r="Q583" s="66"/>
      <c r="R583" s="66"/>
      <c r="S583" s="66"/>
      <c r="T583" s="66"/>
      <c r="U583" s="66"/>
      <c r="V583" s="66"/>
      <c r="W583" s="66"/>
      <c r="X583" s="66"/>
    </row>
    <row r="584">
      <c r="A584" s="75"/>
      <c r="B584" s="485"/>
      <c r="C584" s="75"/>
      <c r="D584" s="485"/>
      <c r="E584" s="75"/>
      <c r="F584" s="485"/>
      <c r="G584" s="210"/>
      <c r="H584" s="485"/>
      <c r="I584" s="188"/>
      <c r="J584" s="485"/>
      <c r="K584" s="75"/>
      <c r="L584" s="66"/>
      <c r="M584" s="66"/>
      <c r="N584" s="66"/>
      <c r="O584" s="66"/>
      <c r="P584" s="66"/>
      <c r="Q584" s="66"/>
      <c r="R584" s="66"/>
      <c r="S584" s="66"/>
      <c r="T584" s="66"/>
      <c r="U584" s="66"/>
      <c r="V584" s="66"/>
      <c r="W584" s="66"/>
      <c r="X584" s="66"/>
    </row>
    <row r="585">
      <c r="A585" s="75"/>
      <c r="B585" s="485"/>
      <c r="C585" s="75"/>
      <c r="D585" s="485"/>
      <c r="E585" s="75"/>
      <c r="F585" s="485"/>
      <c r="G585" s="210"/>
      <c r="H585" s="485"/>
      <c r="I585" s="188"/>
      <c r="J585" s="485"/>
      <c r="K585" s="75"/>
      <c r="L585" s="66"/>
      <c r="M585" s="66"/>
      <c r="N585" s="66"/>
      <c r="O585" s="66"/>
      <c r="P585" s="66"/>
      <c r="Q585" s="66"/>
      <c r="R585" s="66"/>
      <c r="S585" s="66"/>
      <c r="T585" s="66"/>
      <c r="U585" s="66"/>
      <c r="V585" s="66"/>
      <c r="W585" s="66"/>
      <c r="X585" s="66"/>
    </row>
    <row r="586">
      <c r="A586" s="75"/>
      <c r="B586" s="485"/>
      <c r="C586" s="75"/>
      <c r="D586" s="485"/>
      <c r="E586" s="75"/>
      <c r="F586" s="485"/>
      <c r="G586" s="210"/>
      <c r="H586" s="485"/>
      <c r="I586" s="188"/>
      <c r="J586" s="485"/>
      <c r="K586" s="75"/>
      <c r="L586" s="66"/>
      <c r="M586" s="66"/>
      <c r="N586" s="66"/>
      <c r="O586" s="66"/>
      <c r="P586" s="66"/>
      <c r="Q586" s="66"/>
      <c r="R586" s="66"/>
      <c r="S586" s="66"/>
      <c r="T586" s="66"/>
      <c r="U586" s="66"/>
      <c r="V586" s="66"/>
      <c r="W586" s="66"/>
      <c r="X586" s="66"/>
    </row>
    <row r="587">
      <c r="A587" s="75"/>
      <c r="B587" s="485"/>
      <c r="C587" s="75"/>
      <c r="D587" s="485"/>
      <c r="E587" s="75"/>
      <c r="F587" s="485"/>
      <c r="G587" s="210"/>
      <c r="H587" s="485"/>
      <c r="I587" s="188"/>
      <c r="J587" s="485"/>
      <c r="K587" s="75"/>
      <c r="L587" s="66"/>
      <c r="M587" s="66"/>
      <c r="N587" s="66"/>
      <c r="O587" s="66"/>
      <c r="P587" s="66"/>
      <c r="Q587" s="66"/>
      <c r="R587" s="66"/>
      <c r="S587" s="66"/>
      <c r="T587" s="66"/>
      <c r="U587" s="66"/>
      <c r="V587" s="66"/>
      <c r="W587" s="66"/>
      <c r="X587" s="66"/>
    </row>
    <row r="588">
      <c r="A588" s="75"/>
      <c r="B588" s="485"/>
      <c r="C588" s="75"/>
      <c r="D588" s="485"/>
      <c r="E588" s="75"/>
      <c r="F588" s="485"/>
      <c r="G588" s="210"/>
      <c r="H588" s="485"/>
      <c r="I588" s="188"/>
      <c r="J588" s="485"/>
      <c r="K588" s="75"/>
      <c r="L588" s="66"/>
      <c r="M588" s="66"/>
      <c r="N588" s="66"/>
      <c r="O588" s="66"/>
      <c r="P588" s="66"/>
      <c r="Q588" s="66"/>
      <c r="R588" s="66"/>
      <c r="S588" s="66"/>
      <c r="T588" s="66"/>
      <c r="U588" s="66"/>
      <c r="V588" s="66"/>
      <c r="W588" s="66"/>
      <c r="X588" s="66"/>
    </row>
    <row r="589">
      <c r="A589" s="75"/>
      <c r="B589" s="485"/>
      <c r="C589" s="75"/>
      <c r="D589" s="485"/>
      <c r="E589" s="75"/>
      <c r="F589" s="485"/>
      <c r="G589" s="210"/>
      <c r="H589" s="485"/>
      <c r="I589" s="188"/>
      <c r="J589" s="485"/>
      <c r="K589" s="75"/>
      <c r="L589" s="66"/>
      <c r="M589" s="66"/>
      <c r="N589" s="66"/>
      <c r="O589" s="66"/>
      <c r="P589" s="66"/>
      <c r="Q589" s="66"/>
      <c r="R589" s="66"/>
      <c r="S589" s="66"/>
      <c r="T589" s="66"/>
      <c r="U589" s="66"/>
      <c r="V589" s="66"/>
      <c r="W589" s="66"/>
      <c r="X589" s="66"/>
    </row>
    <row r="590">
      <c r="A590" s="75"/>
      <c r="B590" s="485"/>
      <c r="C590" s="75"/>
      <c r="D590" s="485"/>
      <c r="E590" s="75"/>
      <c r="F590" s="485"/>
      <c r="G590" s="210"/>
      <c r="H590" s="485"/>
      <c r="I590" s="188"/>
      <c r="J590" s="485"/>
      <c r="K590" s="75"/>
      <c r="L590" s="66"/>
      <c r="M590" s="66"/>
      <c r="N590" s="66"/>
      <c r="O590" s="66"/>
      <c r="P590" s="66"/>
      <c r="Q590" s="66"/>
      <c r="R590" s="66"/>
      <c r="S590" s="66"/>
      <c r="T590" s="66"/>
      <c r="U590" s="66"/>
      <c r="V590" s="66"/>
      <c r="W590" s="66"/>
      <c r="X590" s="66"/>
    </row>
    <row r="591">
      <c r="A591" s="75"/>
      <c r="B591" s="485"/>
      <c r="C591" s="75"/>
      <c r="D591" s="485"/>
      <c r="E591" s="75"/>
      <c r="F591" s="485"/>
      <c r="G591" s="210"/>
      <c r="H591" s="485"/>
      <c r="I591" s="188"/>
      <c r="J591" s="485"/>
      <c r="K591" s="75"/>
      <c r="L591" s="66"/>
      <c r="M591" s="66"/>
      <c r="N591" s="66"/>
      <c r="O591" s="66"/>
      <c r="P591" s="66"/>
      <c r="Q591" s="66"/>
      <c r="R591" s="66"/>
      <c r="S591" s="66"/>
      <c r="T591" s="66"/>
      <c r="U591" s="66"/>
      <c r="V591" s="66"/>
      <c r="W591" s="66"/>
      <c r="X591" s="66"/>
    </row>
    <row r="592">
      <c r="A592" s="75"/>
      <c r="B592" s="485"/>
      <c r="C592" s="75"/>
      <c r="D592" s="485"/>
      <c r="E592" s="75"/>
      <c r="F592" s="485"/>
      <c r="G592" s="210"/>
      <c r="H592" s="485"/>
      <c r="I592" s="188"/>
      <c r="J592" s="485"/>
      <c r="K592" s="75"/>
      <c r="L592" s="66"/>
      <c r="M592" s="66"/>
      <c r="N592" s="66"/>
      <c r="O592" s="66"/>
      <c r="P592" s="66"/>
      <c r="Q592" s="66"/>
      <c r="R592" s="66"/>
      <c r="S592" s="66"/>
      <c r="T592" s="66"/>
      <c r="U592" s="66"/>
      <c r="V592" s="66"/>
      <c r="W592" s="66"/>
      <c r="X592" s="66"/>
    </row>
    <row r="593">
      <c r="A593" s="75"/>
      <c r="B593" s="485"/>
      <c r="C593" s="75"/>
      <c r="D593" s="485"/>
      <c r="E593" s="75"/>
      <c r="F593" s="485"/>
      <c r="G593" s="210"/>
      <c r="H593" s="485"/>
      <c r="I593" s="188"/>
      <c r="J593" s="485"/>
      <c r="K593" s="75"/>
      <c r="L593" s="66"/>
      <c r="M593" s="66"/>
      <c r="N593" s="66"/>
      <c r="O593" s="66"/>
      <c r="P593" s="66"/>
      <c r="Q593" s="66"/>
      <c r="R593" s="66"/>
      <c r="S593" s="66"/>
      <c r="T593" s="66"/>
      <c r="U593" s="66"/>
      <c r="V593" s="66"/>
      <c r="W593" s="66"/>
      <c r="X593" s="66"/>
    </row>
    <row r="594">
      <c r="A594" s="75"/>
      <c r="B594" s="485"/>
      <c r="C594" s="75"/>
      <c r="D594" s="485"/>
      <c r="E594" s="75"/>
      <c r="F594" s="485"/>
      <c r="G594" s="210"/>
      <c r="H594" s="485"/>
      <c r="I594" s="188"/>
      <c r="J594" s="485"/>
      <c r="K594" s="75"/>
      <c r="L594" s="66"/>
      <c r="M594" s="66"/>
      <c r="N594" s="66"/>
      <c r="O594" s="66"/>
      <c r="P594" s="66"/>
      <c r="Q594" s="66"/>
      <c r="R594" s="66"/>
      <c r="S594" s="66"/>
      <c r="T594" s="66"/>
      <c r="U594" s="66"/>
      <c r="V594" s="66"/>
      <c r="W594" s="66"/>
      <c r="X594" s="66"/>
    </row>
    <row r="595">
      <c r="A595" s="75"/>
      <c r="B595" s="485"/>
      <c r="C595" s="75"/>
      <c r="D595" s="485"/>
      <c r="E595" s="75"/>
      <c r="F595" s="485"/>
      <c r="G595" s="210"/>
      <c r="H595" s="485"/>
      <c r="I595" s="188"/>
      <c r="J595" s="485"/>
      <c r="K595" s="75"/>
      <c r="L595" s="66"/>
      <c r="M595" s="66"/>
      <c r="N595" s="66"/>
      <c r="O595" s="66"/>
      <c r="P595" s="66"/>
      <c r="Q595" s="66"/>
      <c r="R595" s="66"/>
      <c r="S595" s="66"/>
      <c r="T595" s="66"/>
      <c r="U595" s="66"/>
      <c r="V595" s="66"/>
      <c r="W595" s="66"/>
      <c r="X595" s="66"/>
    </row>
    <row r="596">
      <c r="A596" s="75"/>
      <c r="B596" s="485"/>
      <c r="C596" s="75"/>
      <c r="D596" s="485"/>
      <c r="E596" s="75"/>
      <c r="F596" s="485"/>
      <c r="G596" s="210"/>
      <c r="H596" s="485"/>
      <c r="I596" s="188"/>
      <c r="J596" s="485"/>
      <c r="K596" s="75"/>
      <c r="L596" s="66"/>
      <c r="M596" s="66"/>
      <c r="N596" s="66"/>
      <c r="O596" s="66"/>
      <c r="P596" s="66"/>
      <c r="Q596" s="66"/>
      <c r="R596" s="66"/>
      <c r="S596" s="66"/>
      <c r="T596" s="66"/>
      <c r="U596" s="66"/>
      <c r="V596" s="66"/>
      <c r="W596" s="66"/>
      <c r="X596" s="66"/>
    </row>
    <row r="597">
      <c r="A597" s="75"/>
      <c r="B597" s="485"/>
      <c r="C597" s="75"/>
      <c r="D597" s="485"/>
      <c r="E597" s="75"/>
      <c r="F597" s="485"/>
      <c r="G597" s="210"/>
      <c r="H597" s="485"/>
      <c r="I597" s="188"/>
      <c r="J597" s="485"/>
      <c r="K597" s="75"/>
      <c r="L597" s="66"/>
      <c r="M597" s="66"/>
      <c r="N597" s="66"/>
      <c r="O597" s="66"/>
      <c r="P597" s="66"/>
      <c r="Q597" s="66"/>
      <c r="R597" s="66"/>
      <c r="S597" s="66"/>
      <c r="T597" s="66"/>
      <c r="U597" s="66"/>
      <c r="V597" s="66"/>
      <c r="W597" s="66"/>
      <c r="X597" s="66"/>
    </row>
    <row r="598">
      <c r="A598" s="75"/>
      <c r="B598" s="485"/>
      <c r="C598" s="75"/>
      <c r="D598" s="485"/>
      <c r="E598" s="75"/>
      <c r="F598" s="485"/>
      <c r="G598" s="210"/>
      <c r="H598" s="485"/>
      <c r="I598" s="188"/>
      <c r="J598" s="485"/>
      <c r="K598" s="75"/>
      <c r="L598" s="66"/>
      <c r="M598" s="66"/>
      <c r="N598" s="66"/>
      <c r="O598" s="66"/>
      <c r="P598" s="66"/>
      <c r="Q598" s="66"/>
      <c r="R598" s="66"/>
      <c r="S598" s="66"/>
      <c r="T598" s="66"/>
      <c r="U598" s="66"/>
      <c r="V598" s="66"/>
      <c r="W598" s="66"/>
      <c r="X598" s="66"/>
    </row>
    <row r="599">
      <c r="A599" s="75"/>
      <c r="B599" s="485"/>
      <c r="C599" s="75"/>
      <c r="D599" s="485"/>
      <c r="E599" s="75"/>
      <c r="F599" s="485"/>
      <c r="G599" s="210"/>
      <c r="H599" s="485"/>
      <c r="I599" s="188"/>
      <c r="J599" s="485"/>
      <c r="K599" s="75"/>
      <c r="L599" s="66"/>
      <c r="M599" s="66"/>
      <c r="N599" s="66"/>
      <c r="O599" s="66"/>
      <c r="P599" s="66"/>
      <c r="Q599" s="66"/>
      <c r="R599" s="66"/>
      <c r="S599" s="66"/>
      <c r="T599" s="66"/>
      <c r="U599" s="66"/>
      <c r="V599" s="66"/>
      <c r="W599" s="66"/>
      <c r="X599" s="66"/>
    </row>
    <row r="600">
      <c r="A600" s="75"/>
      <c r="B600" s="485"/>
      <c r="C600" s="75"/>
      <c r="D600" s="485"/>
      <c r="E600" s="75"/>
      <c r="F600" s="485"/>
      <c r="G600" s="210"/>
      <c r="H600" s="485"/>
      <c r="I600" s="188"/>
      <c r="J600" s="485"/>
      <c r="K600" s="75"/>
      <c r="L600" s="66"/>
      <c r="M600" s="66"/>
      <c r="N600" s="66"/>
      <c r="O600" s="66"/>
      <c r="P600" s="66"/>
      <c r="Q600" s="66"/>
      <c r="R600" s="66"/>
      <c r="S600" s="66"/>
      <c r="T600" s="66"/>
      <c r="U600" s="66"/>
      <c r="V600" s="66"/>
      <c r="W600" s="66"/>
      <c r="X600" s="66"/>
    </row>
    <row r="601">
      <c r="A601" s="75"/>
      <c r="B601" s="485"/>
      <c r="C601" s="75"/>
      <c r="D601" s="485"/>
      <c r="E601" s="75"/>
      <c r="F601" s="485"/>
      <c r="G601" s="210"/>
      <c r="H601" s="485"/>
      <c r="I601" s="188"/>
      <c r="J601" s="485"/>
      <c r="K601" s="75"/>
      <c r="L601" s="66"/>
      <c r="M601" s="66"/>
      <c r="N601" s="66"/>
      <c r="O601" s="66"/>
      <c r="P601" s="66"/>
      <c r="Q601" s="66"/>
      <c r="R601" s="66"/>
      <c r="S601" s="66"/>
      <c r="T601" s="66"/>
      <c r="U601" s="66"/>
      <c r="V601" s="66"/>
      <c r="W601" s="66"/>
      <c r="X601" s="66"/>
    </row>
    <row r="602">
      <c r="A602" s="75"/>
      <c r="B602" s="485"/>
      <c r="C602" s="75"/>
      <c r="D602" s="485"/>
      <c r="E602" s="75"/>
      <c r="F602" s="485"/>
      <c r="G602" s="210"/>
      <c r="H602" s="485"/>
      <c r="I602" s="188"/>
      <c r="J602" s="485"/>
      <c r="K602" s="75"/>
      <c r="L602" s="66"/>
      <c r="M602" s="66"/>
      <c r="N602" s="66"/>
      <c r="O602" s="66"/>
      <c r="P602" s="66"/>
      <c r="Q602" s="66"/>
      <c r="R602" s="66"/>
      <c r="S602" s="66"/>
      <c r="T602" s="66"/>
      <c r="U602" s="66"/>
      <c r="V602" s="66"/>
      <c r="W602" s="66"/>
      <c r="X602" s="66"/>
    </row>
    <row r="603">
      <c r="A603" s="75"/>
      <c r="B603" s="485"/>
      <c r="C603" s="75"/>
      <c r="D603" s="485"/>
      <c r="E603" s="75"/>
      <c r="F603" s="485"/>
      <c r="G603" s="210"/>
      <c r="H603" s="485"/>
      <c r="I603" s="188"/>
      <c r="J603" s="485"/>
      <c r="K603" s="75"/>
      <c r="L603" s="66"/>
      <c r="M603" s="66"/>
      <c r="N603" s="66"/>
      <c r="O603" s="66"/>
      <c r="P603" s="66"/>
      <c r="Q603" s="66"/>
      <c r="R603" s="66"/>
      <c r="S603" s="66"/>
      <c r="T603" s="66"/>
      <c r="U603" s="66"/>
      <c r="V603" s="66"/>
      <c r="W603" s="66"/>
      <c r="X603" s="66"/>
    </row>
    <row r="604">
      <c r="A604" s="75"/>
      <c r="B604" s="485"/>
      <c r="C604" s="75"/>
      <c r="D604" s="485"/>
      <c r="E604" s="75"/>
      <c r="F604" s="485"/>
      <c r="G604" s="210"/>
      <c r="H604" s="485"/>
      <c r="I604" s="188"/>
      <c r="J604" s="485"/>
      <c r="K604" s="75"/>
      <c r="L604" s="66"/>
      <c r="M604" s="66"/>
      <c r="N604" s="66"/>
      <c r="O604" s="66"/>
      <c r="P604" s="66"/>
      <c r="Q604" s="66"/>
      <c r="R604" s="66"/>
      <c r="S604" s="66"/>
      <c r="T604" s="66"/>
      <c r="U604" s="66"/>
      <c r="V604" s="66"/>
      <c r="W604" s="66"/>
      <c r="X604" s="66"/>
    </row>
    <row r="605">
      <c r="A605" s="75"/>
      <c r="B605" s="485"/>
      <c r="C605" s="75"/>
      <c r="D605" s="485"/>
      <c r="E605" s="75"/>
      <c r="F605" s="485"/>
      <c r="G605" s="210"/>
      <c r="H605" s="485"/>
      <c r="I605" s="188"/>
      <c r="J605" s="485"/>
      <c r="K605" s="75"/>
      <c r="L605" s="66"/>
      <c r="M605" s="66"/>
      <c r="N605" s="66"/>
      <c r="O605" s="66"/>
      <c r="P605" s="66"/>
      <c r="Q605" s="66"/>
      <c r="R605" s="66"/>
      <c r="S605" s="66"/>
      <c r="T605" s="66"/>
      <c r="U605" s="66"/>
      <c r="V605" s="66"/>
      <c r="W605" s="66"/>
      <c r="X605" s="66"/>
    </row>
    <row r="606">
      <c r="A606" s="75"/>
      <c r="B606" s="485"/>
      <c r="C606" s="75"/>
      <c r="D606" s="485"/>
      <c r="E606" s="75"/>
      <c r="F606" s="485"/>
      <c r="G606" s="210"/>
      <c r="H606" s="485"/>
      <c r="I606" s="188"/>
      <c r="J606" s="485"/>
      <c r="K606" s="75"/>
      <c r="L606" s="66"/>
      <c r="M606" s="66"/>
      <c r="N606" s="66"/>
      <c r="O606" s="66"/>
      <c r="P606" s="66"/>
      <c r="Q606" s="66"/>
      <c r="R606" s="66"/>
      <c r="S606" s="66"/>
      <c r="T606" s="66"/>
      <c r="U606" s="66"/>
      <c r="V606" s="66"/>
      <c r="W606" s="66"/>
      <c r="X606" s="66"/>
    </row>
    <row r="607">
      <c r="A607" s="75"/>
      <c r="B607" s="485"/>
      <c r="C607" s="75"/>
      <c r="D607" s="485"/>
      <c r="E607" s="75"/>
      <c r="F607" s="485"/>
      <c r="G607" s="210"/>
      <c r="H607" s="485"/>
      <c r="I607" s="188"/>
      <c r="J607" s="485"/>
      <c r="K607" s="75"/>
      <c r="L607" s="66"/>
      <c r="M607" s="66"/>
      <c r="N607" s="66"/>
      <c r="O607" s="66"/>
      <c r="P607" s="66"/>
      <c r="Q607" s="66"/>
      <c r="R607" s="66"/>
      <c r="S607" s="66"/>
      <c r="T607" s="66"/>
      <c r="U607" s="66"/>
      <c r="V607" s="66"/>
      <c r="W607" s="66"/>
      <c r="X607" s="66"/>
    </row>
    <row r="608">
      <c r="A608" s="75"/>
      <c r="B608" s="485"/>
      <c r="C608" s="75"/>
      <c r="D608" s="485"/>
      <c r="E608" s="75"/>
      <c r="F608" s="485"/>
      <c r="G608" s="210"/>
      <c r="H608" s="485"/>
      <c r="I608" s="188"/>
      <c r="J608" s="485"/>
      <c r="K608" s="75"/>
      <c r="L608" s="66"/>
      <c r="M608" s="66"/>
      <c r="N608" s="66"/>
      <c r="O608" s="66"/>
      <c r="P608" s="66"/>
      <c r="Q608" s="66"/>
      <c r="R608" s="66"/>
      <c r="S608" s="66"/>
      <c r="T608" s="66"/>
      <c r="U608" s="66"/>
      <c r="V608" s="66"/>
      <c r="W608" s="66"/>
      <c r="X608" s="66"/>
    </row>
    <row r="609">
      <c r="A609" s="75"/>
      <c r="B609" s="485"/>
      <c r="C609" s="75"/>
      <c r="D609" s="485"/>
      <c r="E609" s="75"/>
      <c r="F609" s="485"/>
      <c r="G609" s="210"/>
      <c r="H609" s="485"/>
      <c r="I609" s="188"/>
      <c r="J609" s="485"/>
      <c r="K609" s="75"/>
      <c r="L609" s="66"/>
      <c r="M609" s="66"/>
      <c r="N609" s="66"/>
      <c r="O609" s="66"/>
      <c r="P609" s="66"/>
      <c r="Q609" s="66"/>
      <c r="R609" s="66"/>
      <c r="S609" s="66"/>
      <c r="T609" s="66"/>
      <c r="U609" s="66"/>
      <c r="V609" s="66"/>
      <c r="W609" s="66"/>
      <c r="X609" s="66"/>
    </row>
    <row r="610">
      <c r="A610" s="75"/>
      <c r="B610" s="485"/>
      <c r="C610" s="75"/>
      <c r="D610" s="485"/>
      <c r="E610" s="75"/>
      <c r="F610" s="485"/>
      <c r="G610" s="210"/>
      <c r="H610" s="485"/>
      <c r="I610" s="188"/>
      <c r="J610" s="485"/>
      <c r="K610" s="75"/>
      <c r="L610" s="66"/>
      <c r="M610" s="66"/>
      <c r="N610" s="66"/>
      <c r="O610" s="66"/>
      <c r="P610" s="66"/>
      <c r="Q610" s="66"/>
      <c r="R610" s="66"/>
      <c r="S610" s="66"/>
      <c r="T610" s="66"/>
      <c r="U610" s="66"/>
      <c r="V610" s="66"/>
      <c r="W610" s="66"/>
      <c r="X610" s="66"/>
    </row>
    <row r="611">
      <c r="A611" s="75"/>
      <c r="B611" s="485"/>
      <c r="C611" s="75"/>
      <c r="D611" s="485"/>
      <c r="E611" s="75"/>
      <c r="F611" s="485"/>
      <c r="G611" s="210"/>
      <c r="H611" s="485"/>
      <c r="I611" s="188"/>
      <c r="J611" s="485"/>
      <c r="K611" s="75"/>
      <c r="L611" s="66"/>
      <c r="M611" s="66"/>
      <c r="N611" s="66"/>
      <c r="O611" s="66"/>
      <c r="P611" s="66"/>
      <c r="Q611" s="66"/>
      <c r="R611" s="66"/>
      <c r="S611" s="66"/>
      <c r="T611" s="66"/>
      <c r="U611" s="66"/>
      <c r="V611" s="66"/>
      <c r="W611" s="66"/>
      <c r="X611" s="66"/>
    </row>
    <row r="612">
      <c r="A612" s="75"/>
      <c r="B612" s="485"/>
      <c r="C612" s="75"/>
      <c r="D612" s="485"/>
      <c r="E612" s="75"/>
      <c r="F612" s="485"/>
      <c r="G612" s="210"/>
      <c r="H612" s="485"/>
      <c r="I612" s="188"/>
      <c r="J612" s="485"/>
      <c r="K612" s="75"/>
      <c r="L612" s="66"/>
      <c r="M612" s="66"/>
      <c r="N612" s="66"/>
      <c r="O612" s="66"/>
      <c r="P612" s="66"/>
      <c r="Q612" s="66"/>
      <c r="R612" s="66"/>
      <c r="S612" s="66"/>
      <c r="T612" s="66"/>
      <c r="U612" s="66"/>
      <c r="V612" s="66"/>
      <c r="W612" s="66"/>
      <c r="X612" s="66"/>
    </row>
    <row r="613">
      <c r="A613" s="75"/>
      <c r="B613" s="485"/>
      <c r="C613" s="75"/>
      <c r="D613" s="485"/>
      <c r="E613" s="75"/>
      <c r="F613" s="485"/>
      <c r="G613" s="210"/>
      <c r="H613" s="485"/>
      <c r="I613" s="188"/>
      <c r="J613" s="485"/>
      <c r="K613" s="75"/>
      <c r="L613" s="66"/>
      <c r="M613" s="66"/>
      <c r="N613" s="66"/>
      <c r="O613" s="66"/>
      <c r="P613" s="66"/>
      <c r="Q613" s="66"/>
      <c r="R613" s="66"/>
      <c r="S613" s="66"/>
      <c r="T613" s="66"/>
      <c r="U613" s="66"/>
      <c r="V613" s="66"/>
      <c r="W613" s="66"/>
      <c r="X613" s="66"/>
    </row>
    <row r="614">
      <c r="A614" s="75"/>
      <c r="B614" s="485"/>
      <c r="C614" s="75"/>
      <c r="D614" s="485"/>
      <c r="E614" s="75"/>
      <c r="F614" s="485"/>
      <c r="G614" s="210"/>
      <c r="H614" s="485"/>
      <c r="I614" s="188"/>
      <c r="J614" s="485"/>
      <c r="K614" s="75"/>
      <c r="L614" s="66"/>
      <c r="M614" s="66"/>
      <c r="N614" s="66"/>
      <c r="O614" s="66"/>
      <c r="P614" s="66"/>
      <c r="Q614" s="66"/>
      <c r="R614" s="66"/>
      <c r="S614" s="66"/>
      <c r="T614" s="66"/>
      <c r="U614" s="66"/>
      <c r="V614" s="66"/>
      <c r="W614" s="66"/>
      <c r="X614" s="66"/>
    </row>
    <row r="615">
      <c r="A615" s="75"/>
      <c r="B615" s="485"/>
      <c r="C615" s="75"/>
      <c r="D615" s="485"/>
      <c r="E615" s="75"/>
      <c r="F615" s="485"/>
      <c r="G615" s="210"/>
      <c r="H615" s="485"/>
      <c r="I615" s="188"/>
      <c r="J615" s="485"/>
      <c r="K615" s="75"/>
      <c r="L615" s="66"/>
      <c r="M615" s="66"/>
      <c r="N615" s="66"/>
      <c r="O615" s="66"/>
      <c r="P615" s="66"/>
      <c r="Q615" s="66"/>
      <c r="R615" s="66"/>
      <c r="S615" s="66"/>
      <c r="T615" s="66"/>
      <c r="U615" s="66"/>
      <c r="V615" s="66"/>
      <c r="W615" s="66"/>
      <c r="X615" s="66"/>
    </row>
    <row r="616">
      <c r="A616" s="75"/>
      <c r="B616" s="485"/>
      <c r="C616" s="75"/>
      <c r="D616" s="485"/>
      <c r="E616" s="75"/>
      <c r="F616" s="485"/>
      <c r="G616" s="210"/>
      <c r="H616" s="485"/>
      <c r="I616" s="188"/>
      <c r="J616" s="485"/>
      <c r="K616" s="75"/>
      <c r="L616" s="66"/>
      <c r="M616" s="66"/>
      <c r="N616" s="66"/>
      <c r="O616" s="66"/>
      <c r="P616" s="66"/>
      <c r="Q616" s="66"/>
      <c r="R616" s="66"/>
      <c r="S616" s="66"/>
      <c r="T616" s="66"/>
      <c r="U616" s="66"/>
      <c r="V616" s="66"/>
      <c r="W616" s="66"/>
      <c r="X616" s="66"/>
    </row>
    <row r="617">
      <c r="A617" s="75"/>
      <c r="B617" s="485"/>
      <c r="C617" s="75"/>
      <c r="D617" s="485"/>
      <c r="E617" s="75"/>
      <c r="F617" s="485"/>
      <c r="G617" s="210"/>
      <c r="H617" s="485"/>
      <c r="I617" s="188"/>
      <c r="J617" s="485"/>
      <c r="K617" s="75"/>
      <c r="L617" s="66"/>
      <c r="M617" s="66"/>
      <c r="N617" s="66"/>
      <c r="O617" s="66"/>
      <c r="P617" s="66"/>
      <c r="Q617" s="66"/>
      <c r="R617" s="66"/>
      <c r="S617" s="66"/>
      <c r="T617" s="66"/>
      <c r="U617" s="66"/>
      <c r="V617" s="66"/>
      <c r="W617" s="66"/>
      <c r="X617" s="66"/>
    </row>
    <row r="618">
      <c r="A618" s="75"/>
      <c r="B618" s="485"/>
      <c r="C618" s="75"/>
      <c r="D618" s="485"/>
      <c r="E618" s="75"/>
      <c r="F618" s="485"/>
      <c r="G618" s="210"/>
      <c r="H618" s="485"/>
      <c r="I618" s="188"/>
      <c r="J618" s="485"/>
      <c r="K618" s="75"/>
      <c r="L618" s="66"/>
      <c r="M618" s="66"/>
      <c r="N618" s="66"/>
      <c r="O618" s="66"/>
      <c r="P618" s="66"/>
      <c r="Q618" s="66"/>
      <c r="R618" s="66"/>
      <c r="S618" s="66"/>
      <c r="T618" s="66"/>
      <c r="U618" s="66"/>
      <c r="V618" s="66"/>
      <c r="W618" s="66"/>
      <c r="X618" s="66"/>
    </row>
    <row r="619">
      <c r="A619" s="75"/>
      <c r="B619" s="485"/>
      <c r="C619" s="75"/>
      <c r="D619" s="485"/>
      <c r="E619" s="75"/>
      <c r="F619" s="485"/>
      <c r="G619" s="210"/>
      <c r="H619" s="485"/>
      <c r="I619" s="188"/>
      <c r="J619" s="485"/>
      <c r="K619" s="75"/>
      <c r="L619" s="66"/>
      <c r="M619" s="66"/>
      <c r="N619" s="66"/>
      <c r="O619" s="66"/>
      <c r="P619" s="66"/>
      <c r="Q619" s="66"/>
      <c r="R619" s="66"/>
      <c r="S619" s="66"/>
      <c r="T619" s="66"/>
      <c r="U619" s="66"/>
      <c r="V619" s="66"/>
      <c r="W619" s="66"/>
      <c r="X619" s="66"/>
    </row>
    <row r="620">
      <c r="A620" s="75"/>
      <c r="B620" s="485"/>
      <c r="C620" s="75"/>
      <c r="D620" s="485"/>
      <c r="E620" s="75"/>
      <c r="F620" s="485"/>
      <c r="G620" s="210"/>
      <c r="H620" s="485"/>
      <c r="I620" s="188"/>
      <c r="J620" s="485"/>
      <c r="K620" s="75"/>
      <c r="L620" s="66"/>
      <c r="M620" s="66"/>
      <c r="N620" s="66"/>
      <c r="O620" s="66"/>
      <c r="P620" s="66"/>
      <c r="Q620" s="66"/>
      <c r="R620" s="66"/>
      <c r="S620" s="66"/>
      <c r="T620" s="66"/>
      <c r="U620" s="66"/>
      <c r="V620" s="66"/>
      <c r="W620" s="66"/>
      <c r="X620" s="66"/>
    </row>
    <row r="621">
      <c r="A621" s="75"/>
      <c r="B621" s="485"/>
      <c r="C621" s="75"/>
      <c r="D621" s="485"/>
      <c r="E621" s="75"/>
      <c r="F621" s="485"/>
      <c r="G621" s="210"/>
      <c r="H621" s="485"/>
      <c r="I621" s="188"/>
      <c r="J621" s="485"/>
      <c r="K621" s="75"/>
      <c r="L621" s="66"/>
      <c r="M621" s="66"/>
      <c r="N621" s="66"/>
      <c r="O621" s="66"/>
      <c r="P621" s="66"/>
      <c r="Q621" s="66"/>
      <c r="R621" s="66"/>
      <c r="S621" s="66"/>
      <c r="T621" s="66"/>
      <c r="U621" s="66"/>
      <c r="V621" s="66"/>
      <c r="W621" s="66"/>
      <c r="X621" s="66"/>
    </row>
    <row r="622">
      <c r="A622" s="75"/>
      <c r="B622" s="485"/>
      <c r="C622" s="75"/>
      <c r="D622" s="485"/>
      <c r="E622" s="75"/>
      <c r="F622" s="485"/>
      <c r="G622" s="210"/>
      <c r="H622" s="485"/>
      <c r="I622" s="188"/>
      <c r="J622" s="485"/>
      <c r="K622" s="75"/>
      <c r="L622" s="66"/>
      <c r="M622" s="66"/>
      <c r="N622" s="66"/>
      <c r="O622" s="66"/>
      <c r="P622" s="66"/>
      <c r="Q622" s="66"/>
      <c r="R622" s="66"/>
      <c r="S622" s="66"/>
      <c r="T622" s="66"/>
      <c r="U622" s="66"/>
      <c r="V622" s="66"/>
      <c r="W622" s="66"/>
      <c r="X622" s="66"/>
    </row>
    <row r="623">
      <c r="A623" s="75"/>
      <c r="B623" s="485"/>
      <c r="C623" s="75"/>
      <c r="D623" s="485"/>
      <c r="E623" s="75"/>
      <c r="F623" s="485"/>
      <c r="G623" s="210"/>
      <c r="H623" s="485"/>
      <c r="I623" s="188"/>
      <c r="J623" s="485"/>
      <c r="K623" s="75"/>
      <c r="L623" s="66"/>
      <c r="M623" s="66"/>
      <c r="N623" s="66"/>
      <c r="O623" s="66"/>
      <c r="P623" s="66"/>
      <c r="Q623" s="66"/>
      <c r="R623" s="66"/>
      <c r="S623" s="66"/>
      <c r="T623" s="66"/>
      <c r="U623" s="66"/>
      <c r="V623" s="66"/>
      <c r="W623" s="66"/>
      <c r="X623" s="66"/>
    </row>
    <row r="624">
      <c r="A624" s="75"/>
      <c r="B624" s="485"/>
      <c r="C624" s="75"/>
      <c r="D624" s="485"/>
      <c r="E624" s="75"/>
      <c r="F624" s="485"/>
      <c r="G624" s="210"/>
      <c r="H624" s="485"/>
      <c r="I624" s="188"/>
      <c r="J624" s="485"/>
      <c r="K624" s="75"/>
      <c r="L624" s="66"/>
      <c r="M624" s="66"/>
      <c r="N624" s="66"/>
      <c r="O624" s="66"/>
      <c r="P624" s="66"/>
      <c r="Q624" s="66"/>
      <c r="R624" s="66"/>
      <c r="S624" s="66"/>
      <c r="T624" s="66"/>
      <c r="U624" s="66"/>
      <c r="V624" s="66"/>
      <c r="W624" s="66"/>
      <c r="X624" s="66"/>
    </row>
    <row r="625">
      <c r="A625" s="75"/>
      <c r="B625" s="485"/>
      <c r="C625" s="75"/>
      <c r="D625" s="485"/>
      <c r="E625" s="75"/>
      <c r="F625" s="485"/>
      <c r="G625" s="210"/>
      <c r="H625" s="485"/>
      <c r="I625" s="188"/>
      <c r="J625" s="485"/>
      <c r="K625" s="75"/>
      <c r="L625" s="66"/>
      <c r="M625" s="66"/>
      <c r="N625" s="66"/>
      <c r="O625" s="66"/>
      <c r="P625" s="66"/>
      <c r="Q625" s="66"/>
      <c r="R625" s="66"/>
      <c r="S625" s="66"/>
      <c r="T625" s="66"/>
      <c r="U625" s="66"/>
      <c r="V625" s="66"/>
      <c r="W625" s="66"/>
      <c r="X625" s="66"/>
    </row>
    <row r="626">
      <c r="A626" s="75"/>
      <c r="B626" s="485"/>
      <c r="C626" s="75"/>
      <c r="D626" s="485"/>
      <c r="E626" s="75"/>
      <c r="F626" s="485"/>
      <c r="G626" s="210"/>
      <c r="H626" s="485"/>
      <c r="I626" s="188"/>
      <c r="J626" s="485"/>
      <c r="K626" s="75"/>
      <c r="L626" s="66"/>
      <c r="M626" s="66"/>
      <c r="N626" s="66"/>
      <c r="O626" s="66"/>
      <c r="P626" s="66"/>
      <c r="Q626" s="66"/>
      <c r="R626" s="66"/>
      <c r="S626" s="66"/>
      <c r="T626" s="66"/>
      <c r="U626" s="66"/>
      <c r="V626" s="66"/>
      <c r="W626" s="66"/>
      <c r="X626" s="66"/>
    </row>
    <row r="627">
      <c r="A627" s="75"/>
      <c r="B627" s="485"/>
      <c r="C627" s="75"/>
      <c r="D627" s="485"/>
      <c r="E627" s="75"/>
      <c r="F627" s="485"/>
      <c r="G627" s="210"/>
      <c r="H627" s="485"/>
      <c r="I627" s="188"/>
      <c r="J627" s="485"/>
      <c r="K627" s="75"/>
      <c r="L627" s="66"/>
      <c r="M627" s="66"/>
      <c r="N627" s="66"/>
      <c r="O627" s="66"/>
      <c r="P627" s="66"/>
      <c r="Q627" s="66"/>
      <c r="R627" s="66"/>
      <c r="S627" s="66"/>
      <c r="T627" s="66"/>
      <c r="U627" s="66"/>
      <c r="V627" s="66"/>
      <c r="W627" s="66"/>
      <c r="X627" s="66"/>
    </row>
    <row r="628">
      <c r="A628" s="75"/>
      <c r="B628" s="485"/>
      <c r="C628" s="75"/>
      <c r="D628" s="485"/>
      <c r="E628" s="75"/>
      <c r="F628" s="485"/>
      <c r="G628" s="210"/>
      <c r="H628" s="485"/>
      <c r="I628" s="188"/>
      <c r="J628" s="485"/>
      <c r="K628" s="75"/>
      <c r="L628" s="66"/>
      <c r="M628" s="66"/>
      <c r="N628" s="66"/>
      <c r="O628" s="66"/>
      <c r="P628" s="66"/>
      <c r="Q628" s="66"/>
      <c r="R628" s="66"/>
      <c r="S628" s="66"/>
      <c r="T628" s="66"/>
      <c r="U628" s="66"/>
      <c r="V628" s="66"/>
      <c r="W628" s="66"/>
      <c r="X628" s="66"/>
    </row>
    <row r="629">
      <c r="A629" s="75"/>
      <c r="B629" s="485"/>
      <c r="C629" s="75"/>
      <c r="D629" s="485"/>
      <c r="E629" s="75"/>
      <c r="F629" s="485"/>
      <c r="G629" s="210"/>
      <c r="H629" s="485"/>
      <c r="I629" s="188"/>
      <c r="J629" s="485"/>
      <c r="K629" s="75"/>
      <c r="L629" s="66"/>
      <c r="M629" s="66"/>
      <c r="N629" s="66"/>
      <c r="O629" s="66"/>
      <c r="P629" s="66"/>
      <c r="Q629" s="66"/>
      <c r="R629" s="66"/>
      <c r="S629" s="66"/>
      <c r="T629" s="66"/>
      <c r="U629" s="66"/>
      <c r="V629" s="66"/>
      <c r="W629" s="66"/>
      <c r="X629" s="66"/>
    </row>
    <row r="630">
      <c r="A630" s="75"/>
      <c r="B630" s="485"/>
      <c r="C630" s="75"/>
      <c r="D630" s="485"/>
      <c r="E630" s="75"/>
      <c r="F630" s="485"/>
      <c r="G630" s="210"/>
      <c r="H630" s="485"/>
      <c r="I630" s="188"/>
      <c r="J630" s="485"/>
      <c r="K630" s="75"/>
      <c r="L630" s="66"/>
      <c r="M630" s="66"/>
      <c r="N630" s="66"/>
      <c r="O630" s="66"/>
      <c r="P630" s="66"/>
      <c r="Q630" s="66"/>
      <c r="R630" s="66"/>
      <c r="S630" s="66"/>
      <c r="T630" s="66"/>
      <c r="U630" s="66"/>
      <c r="V630" s="66"/>
      <c r="W630" s="66"/>
      <c r="X630" s="66"/>
    </row>
    <row r="631">
      <c r="A631" s="75"/>
      <c r="B631" s="485"/>
      <c r="C631" s="75"/>
      <c r="D631" s="485"/>
      <c r="E631" s="75"/>
      <c r="F631" s="485"/>
      <c r="G631" s="210"/>
      <c r="H631" s="485"/>
      <c r="I631" s="188"/>
      <c r="J631" s="485"/>
      <c r="K631" s="75"/>
      <c r="L631" s="66"/>
      <c r="M631" s="66"/>
      <c r="N631" s="66"/>
      <c r="O631" s="66"/>
      <c r="P631" s="66"/>
      <c r="Q631" s="66"/>
      <c r="R631" s="66"/>
      <c r="S631" s="66"/>
      <c r="T631" s="66"/>
      <c r="U631" s="66"/>
      <c r="V631" s="66"/>
      <c r="W631" s="66"/>
      <c r="X631" s="66"/>
    </row>
    <row r="632">
      <c r="A632" s="75"/>
      <c r="B632" s="485"/>
      <c r="C632" s="75"/>
      <c r="D632" s="485"/>
      <c r="E632" s="75"/>
      <c r="F632" s="485"/>
      <c r="G632" s="210"/>
      <c r="H632" s="485"/>
      <c r="I632" s="188"/>
      <c r="J632" s="485"/>
      <c r="K632" s="75"/>
      <c r="L632" s="66"/>
      <c r="M632" s="66"/>
      <c r="N632" s="66"/>
      <c r="O632" s="66"/>
      <c r="P632" s="66"/>
      <c r="Q632" s="66"/>
      <c r="R632" s="66"/>
      <c r="S632" s="66"/>
      <c r="T632" s="66"/>
      <c r="U632" s="66"/>
      <c r="V632" s="66"/>
      <c r="W632" s="66"/>
      <c r="X632" s="66"/>
    </row>
    <row r="633">
      <c r="A633" s="75"/>
      <c r="B633" s="485"/>
      <c r="C633" s="75"/>
      <c r="D633" s="485"/>
      <c r="E633" s="75"/>
      <c r="F633" s="485"/>
      <c r="G633" s="210"/>
      <c r="H633" s="485"/>
      <c r="I633" s="188"/>
      <c r="J633" s="485"/>
      <c r="K633" s="75"/>
      <c r="L633" s="66"/>
      <c r="M633" s="66"/>
      <c r="N633" s="66"/>
      <c r="O633" s="66"/>
      <c r="P633" s="66"/>
      <c r="Q633" s="66"/>
      <c r="R633" s="66"/>
      <c r="S633" s="66"/>
      <c r="T633" s="66"/>
      <c r="U633" s="66"/>
      <c r="V633" s="66"/>
      <c r="W633" s="66"/>
      <c r="X633" s="66"/>
    </row>
    <row r="634">
      <c r="A634" s="75"/>
      <c r="B634" s="485"/>
      <c r="C634" s="75"/>
      <c r="D634" s="485"/>
      <c r="E634" s="75"/>
      <c r="F634" s="485"/>
      <c r="G634" s="210"/>
      <c r="H634" s="485"/>
      <c r="I634" s="188"/>
      <c r="J634" s="485"/>
      <c r="K634" s="75"/>
      <c r="L634" s="66"/>
      <c r="M634" s="66"/>
      <c r="N634" s="66"/>
      <c r="O634" s="66"/>
      <c r="P634" s="66"/>
      <c r="Q634" s="66"/>
      <c r="R634" s="66"/>
      <c r="S634" s="66"/>
      <c r="T634" s="66"/>
      <c r="U634" s="66"/>
      <c r="V634" s="66"/>
      <c r="W634" s="66"/>
      <c r="X634" s="66"/>
    </row>
    <row r="635">
      <c r="A635" s="75"/>
      <c r="B635" s="485"/>
      <c r="C635" s="75"/>
      <c r="D635" s="485"/>
      <c r="E635" s="75"/>
      <c r="F635" s="485"/>
      <c r="G635" s="210"/>
      <c r="H635" s="485"/>
      <c r="I635" s="188"/>
      <c r="J635" s="485"/>
      <c r="K635" s="75"/>
      <c r="L635" s="66"/>
      <c r="M635" s="66"/>
      <c r="N635" s="66"/>
      <c r="O635" s="66"/>
      <c r="P635" s="66"/>
      <c r="Q635" s="66"/>
      <c r="R635" s="66"/>
      <c r="S635" s="66"/>
      <c r="T635" s="66"/>
      <c r="U635" s="66"/>
      <c r="V635" s="66"/>
      <c r="W635" s="66"/>
      <c r="X635" s="66"/>
    </row>
    <row r="636">
      <c r="A636" s="75"/>
      <c r="B636" s="485"/>
      <c r="C636" s="75"/>
      <c r="D636" s="485"/>
      <c r="E636" s="75"/>
      <c r="F636" s="485"/>
      <c r="G636" s="210"/>
      <c r="H636" s="485"/>
      <c r="I636" s="188"/>
      <c r="J636" s="485"/>
      <c r="K636" s="75"/>
      <c r="L636" s="66"/>
      <c r="M636" s="66"/>
      <c r="N636" s="66"/>
      <c r="O636" s="66"/>
      <c r="P636" s="66"/>
      <c r="Q636" s="66"/>
      <c r="R636" s="66"/>
      <c r="S636" s="66"/>
      <c r="T636" s="66"/>
      <c r="U636" s="66"/>
      <c r="V636" s="66"/>
      <c r="W636" s="66"/>
      <c r="X636" s="66"/>
    </row>
    <row r="637">
      <c r="A637" s="75"/>
      <c r="B637" s="485"/>
      <c r="C637" s="75"/>
      <c r="D637" s="485"/>
      <c r="E637" s="75"/>
      <c r="F637" s="485"/>
      <c r="G637" s="210"/>
      <c r="H637" s="485"/>
      <c r="I637" s="188"/>
      <c r="J637" s="485"/>
      <c r="K637" s="75"/>
      <c r="L637" s="66"/>
      <c r="M637" s="66"/>
      <c r="N637" s="66"/>
      <c r="O637" s="66"/>
      <c r="P637" s="66"/>
      <c r="Q637" s="66"/>
      <c r="R637" s="66"/>
      <c r="S637" s="66"/>
      <c r="T637" s="66"/>
      <c r="U637" s="66"/>
      <c r="V637" s="66"/>
      <c r="W637" s="66"/>
      <c r="X637" s="66"/>
    </row>
    <row r="638">
      <c r="A638" s="75"/>
      <c r="B638" s="485"/>
      <c r="C638" s="75"/>
      <c r="D638" s="485"/>
      <c r="E638" s="75"/>
      <c r="F638" s="485"/>
      <c r="G638" s="210"/>
      <c r="H638" s="485"/>
      <c r="I638" s="188"/>
      <c r="J638" s="485"/>
      <c r="K638" s="75"/>
      <c r="L638" s="66"/>
      <c r="M638" s="66"/>
      <c r="N638" s="66"/>
      <c r="O638" s="66"/>
      <c r="P638" s="66"/>
      <c r="Q638" s="66"/>
      <c r="R638" s="66"/>
      <c r="S638" s="66"/>
      <c r="T638" s="66"/>
      <c r="U638" s="66"/>
      <c r="V638" s="66"/>
      <c r="W638" s="66"/>
      <c r="X638" s="66"/>
    </row>
    <row r="639">
      <c r="A639" s="75"/>
      <c r="B639" s="485"/>
      <c r="C639" s="75"/>
      <c r="D639" s="485"/>
      <c r="E639" s="75"/>
      <c r="F639" s="485"/>
      <c r="G639" s="210"/>
      <c r="H639" s="485"/>
      <c r="I639" s="188"/>
      <c r="J639" s="485"/>
      <c r="K639" s="75"/>
      <c r="L639" s="66"/>
      <c r="M639" s="66"/>
      <c r="N639" s="66"/>
      <c r="O639" s="66"/>
      <c r="P639" s="66"/>
      <c r="Q639" s="66"/>
      <c r="R639" s="66"/>
      <c r="S639" s="66"/>
      <c r="T639" s="66"/>
      <c r="U639" s="66"/>
      <c r="V639" s="66"/>
      <c r="W639" s="66"/>
      <c r="X639" s="66"/>
    </row>
    <row r="640">
      <c r="A640" s="75"/>
      <c r="B640" s="485"/>
      <c r="C640" s="75"/>
      <c r="D640" s="485"/>
      <c r="E640" s="75"/>
      <c r="F640" s="485"/>
      <c r="G640" s="210"/>
      <c r="H640" s="485"/>
      <c r="I640" s="188"/>
      <c r="J640" s="485"/>
      <c r="K640" s="75"/>
      <c r="L640" s="66"/>
      <c r="M640" s="66"/>
      <c r="N640" s="66"/>
      <c r="O640" s="66"/>
      <c r="P640" s="66"/>
      <c r="Q640" s="66"/>
      <c r="R640" s="66"/>
      <c r="S640" s="66"/>
      <c r="T640" s="66"/>
      <c r="U640" s="66"/>
      <c r="V640" s="66"/>
      <c r="W640" s="66"/>
      <c r="X640" s="66"/>
    </row>
    <row r="641">
      <c r="A641" s="75"/>
      <c r="B641" s="485"/>
      <c r="C641" s="75"/>
      <c r="D641" s="485"/>
      <c r="E641" s="75"/>
      <c r="F641" s="485"/>
      <c r="G641" s="210"/>
      <c r="H641" s="485"/>
      <c r="I641" s="188"/>
      <c r="J641" s="485"/>
      <c r="K641" s="75"/>
      <c r="L641" s="66"/>
      <c r="M641" s="66"/>
      <c r="N641" s="66"/>
      <c r="O641" s="66"/>
      <c r="P641" s="66"/>
      <c r="Q641" s="66"/>
      <c r="R641" s="66"/>
      <c r="S641" s="66"/>
      <c r="T641" s="66"/>
      <c r="U641" s="66"/>
      <c r="V641" s="66"/>
      <c r="W641" s="66"/>
      <c r="X641" s="66"/>
    </row>
    <row r="642">
      <c r="A642" s="75"/>
      <c r="B642" s="485"/>
      <c r="C642" s="75"/>
      <c r="D642" s="485"/>
      <c r="E642" s="75"/>
      <c r="F642" s="485"/>
      <c r="G642" s="210"/>
      <c r="H642" s="485"/>
      <c r="I642" s="188"/>
      <c r="J642" s="485"/>
      <c r="K642" s="75"/>
      <c r="L642" s="66"/>
      <c r="M642" s="66"/>
      <c r="N642" s="66"/>
      <c r="O642" s="66"/>
      <c r="P642" s="66"/>
      <c r="Q642" s="66"/>
      <c r="R642" s="66"/>
      <c r="S642" s="66"/>
      <c r="T642" s="66"/>
      <c r="U642" s="66"/>
      <c r="V642" s="66"/>
      <c r="W642" s="66"/>
      <c r="X642" s="66"/>
    </row>
    <row r="643">
      <c r="A643" s="75"/>
      <c r="B643" s="485"/>
      <c r="C643" s="75"/>
      <c r="D643" s="485"/>
      <c r="E643" s="75"/>
      <c r="F643" s="485"/>
      <c r="G643" s="210"/>
      <c r="H643" s="485"/>
      <c r="I643" s="188"/>
      <c r="J643" s="485"/>
      <c r="K643" s="75"/>
      <c r="L643" s="66"/>
      <c r="M643" s="66"/>
      <c r="N643" s="66"/>
      <c r="O643" s="66"/>
      <c r="P643" s="66"/>
      <c r="Q643" s="66"/>
      <c r="R643" s="66"/>
      <c r="S643" s="66"/>
      <c r="T643" s="66"/>
      <c r="U643" s="66"/>
      <c r="V643" s="66"/>
      <c r="W643" s="66"/>
      <c r="X643" s="66"/>
    </row>
    <row r="644">
      <c r="A644" s="75"/>
      <c r="B644" s="485"/>
      <c r="C644" s="75"/>
      <c r="D644" s="485"/>
      <c r="E644" s="75"/>
      <c r="F644" s="485"/>
      <c r="G644" s="210"/>
      <c r="H644" s="485"/>
      <c r="I644" s="188"/>
      <c r="J644" s="485"/>
      <c r="K644" s="75"/>
      <c r="L644" s="66"/>
      <c r="M644" s="66"/>
      <c r="N644" s="66"/>
      <c r="O644" s="66"/>
      <c r="P644" s="66"/>
      <c r="Q644" s="66"/>
      <c r="R644" s="66"/>
      <c r="S644" s="66"/>
      <c r="T644" s="66"/>
      <c r="U644" s="66"/>
      <c r="V644" s="66"/>
      <c r="W644" s="66"/>
      <c r="X644" s="66"/>
    </row>
    <row r="645">
      <c r="A645" s="75"/>
      <c r="B645" s="485"/>
      <c r="C645" s="75"/>
      <c r="D645" s="485"/>
      <c r="E645" s="75"/>
      <c r="F645" s="485"/>
      <c r="G645" s="210"/>
      <c r="H645" s="485"/>
      <c r="I645" s="188"/>
      <c r="J645" s="485"/>
      <c r="K645" s="75"/>
      <c r="L645" s="66"/>
      <c r="M645" s="66"/>
      <c r="N645" s="66"/>
      <c r="O645" s="66"/>
      <c r="P645" s="66"/>
      <c r="Q645" s="66"/>
      <c r="R645" s="66"/>
      <c r="S645" s="66"/>
      <c r="T645" s="66"/>
      <c r="U645" s="66"/>
      <c r="V645" s="66"/>
      <c r="W645" s="66"/>
      <c r="X645" s="66"/>
    </row>
    <row r="646">
      <c r="A646" s="75"/>
      <c r="B646" s="485"/>
      <c r="C646" s="75"/>
      <c r="D646" s="485"/>
      <c r="E646" s="75"/>
      <c r="F646" s="485"/>
      <c r="G646" s="210"/>
      <c r="H646" s="485"/>
      <c r="I646" s="188"/>
      <c r="J646" s="485"/>
      <c r="K646" s="75"/>
      <c r="L646" s="66"/>
      <c r="M646" s="66"/>
      <c r="N646" s="66"/>
      <c r="O646" s="66"/>
      <c r="P646" s="66"/>
      <c r="Q646" s="66"/>
      <c r="R646" s="66"/>
      <c r="S646" s="66"/>
      <c r="T646" s="66"/>
      <c r="U646" s="66"/>
      <c r="V646" s="66"/>
      <c r="W646" s="66"/>
      <c r="X646" s="66"/>
    </row>
    <row r="647">
      <c r="A647" s="75"/>
      <c r="B647" s="485"/>
      <c r="C647" s="75"/>
      <c r="D647" s="485"/>
      <c r="E647" s="75"/>
      <c r="F647" s="485"/>
      <c r="G647" s="210"/>
      <c r="H647" s="485"/>
      <c r="I647" s="188"/>
      <c r="J647" s="485"/>
      <c r="K647" s="75"/>
      <c r="L647" s="66"/>
      <c r="M647" s="66"/>
      <c r="N647" s="66"/>
      <c r="O647" s="66"/>
      <c r="P647" s="66"/>
      <c r="Q647" s="66"/>
      <c r="R647" s="66"/>
      <c r="S647" s="66"/>
      <c r="T647" s="66"/>
      <c r="U647" s="66"/>
      <c r="V647" s="66"/>
      <c r="W647" s="66"/>
      <c r="X647" s="66"/>
    </row>
    <row r="648">
      <c r="A648" s="75"/>
      <c r="B648" s="485"/>
      <c r="C648" s="75"/>
      <c r="D648" s="485"/>
      <c r="E648" s="75"/>
      <c r="F648" s="485"/>
      <c r="G648" s="210"/>
      <c r="H648" s="485"/>
      <c r="I648" s="188"/>
      <c r="J648" s="485"/>
      <c r="K648" s="75"/>
      <c r="L648" s="66"/>
      <c r="M648" s="66"/>
      <c r="N648" s="66"/>
      <c r="O648" s="66"/>
      <c r="P648" s="66"/>
      <c r="Q648" s="66"/>
      <c r="R648" s="66"/>
      <c r="S648" s="66"/>
      <c r="T648" s="66"/>
      <c r="U648" s="66"/>
      <c r="V648" s="66"/>
      <c r="W648" s="66"/>
      <c r="X648" s="66"/>
    </row>
    <row r="649">
      <c r="A649" s="75"/>
      <c r="B649" s="485"/>
      <c r="C649" s="75"/>
      <c r="D649" s="485"/>
      <c r="E649" s="75"/>
      <c r="F649" s="485"/>
      <c r="G649" s="210"/>
      <c r="H649" s="485"/>
      <c r="I649" s="188"/>
      <c r="J649" s="485"/>
      <c r="K649" s="75"/>
      <c r="L649" s="66"/>
      <c r="M649" s="66"/>
      <c r="N649" s="66"/>
      <c r="O649" s="66"/>
      <c r="P649" s="66"/>
      <c r="Q649" s="66"/>
      <c r="R649" s="66"/>
      <c r="S649" s="66"/>
      <c r="T649" s="66"/>
      <c r="U649" s="66"/>
      <c r="V649" s="66"/>
      <c r="W649" s="66"/>
      <c r="X649" s="66"/>
    </row>
    <row r="650">
      <c r="A650" s="75"/>
      <c r="B650" s="485"/>
      <c r="C650" s="75"/>
      <c r="D650" s="485"/>
      <c r="E650" s="75"/>
      <c r="F650" s="485"/>
      <c r="G650" s="210"/>
      <c r="H650" s="485"/>
      <c r="I650" s="188"/>
      <c r="J650" s="485"/>
      <c r="K650" s="75"/>
      <c r="L650" s="66"/>
      <c r="M650" s="66"/>
      <c r="N650" s="66"/>
      <c r="O650" s="66"/>
      <c r="P650" s="66"/>
      <c r="Q650" s="66"/>
      <c r="R650" s="66"/>
      <c r="S650" s="66"/>
      <c r="T650" s="66"/>
      <c r="U650" s="66"/>
      <c r="V650" s="66"/>
      <c r="W650" s="66"/>
      <c r="X650" s="66"/>
    </row>
    <row r="651">
      <c r="A651" s="75"/>
      <c r="B651" s="485"/>
      <c r="C651" s="75"/>
      <c r="D651" s="485"/>
      <c r="E651" s="75"/>
      <c r="F651" s="485"/>
      <c r="G651" s="210"/>
      <c r="H651" s="485"/>
      <c r="I651" s="188"/>
      <c r="J651" s="485"/>
      <c r="K651" s="75"/>
      <c r="L651" s="66"/>
      <c r="M651" s="66"/>
      <c r="N651" s="66"/>
      <c r="O651" s="66"/>
      <c r="P651" s="66"/>
      <c r="Q651" s="66"/>
      <c r="R651" s="66"/>
      <c r="S651" s="66"/>
      <c r="T651" s="66"/>
      <c r="U651" s="66"/>
      <c r="V651" s="66"/>
      <c r="W651" s="66"/>
      <c r="X651" s="66"/>
    </row>
    <row r="652">
      <c r="A652" s="75"/>
      <c r="B652" s="485"/>
      <c r="C652" s="75"/>
      <c r="D652" s="485"/>
      <c r="E652" s="75"/>
      <c r="F652" s="485"/>
      <c r="G652" s="210"/>
      <c r="H652" s="485"/>
      <c r="I652" s="188"/>
      <c r="J652" s="485"/>
      <c r="K652" s="75"/>
      <c r="L652" s="66"/>
      <c r="M652" s="66"/>
      <c r="N652" s="66"/>
      <c r="O652" s="66"/>
      <c r="P652" s="66"/>
      <c r="Q652" s="66"/>
      <c r="R652" s="66"/>
      <c r="S652" s="66"/>
      <c r="T652" s="66"/>
      <c r="U652" s="66"/>
      <c r="V652" s="66"/>
      <c r="W652" s="66"/>
      <c r="X652" s="66"/>
    </row>
    <row r="653">
      <c r="A653" s="75"/>
      <c r="B653" s="485"/>
      <c r="C653" s="75"/>
      <c r="D653" s="485"/>
      <c r="E653" s="75"/>
      <c r="F653" s="485"/>
      <c r="G653" s="210"/>
      <c r="H653" s="485"/>
      <c r="I653" s="188"/>
      <c r="J653" s="485"/>
      <c r="K653" s="75"/>
      <c r="L653" s="66"/>
      <c r="M653" s="66"/>
      <c r="N653" s="66"/>
      <c r="O653" s="66"/>
      <c r="P653" s="66"/>
      <c r="Q653" s="66"/>
      <c r="R653" s="66"/>
      <c r="S653" s="66"/>
      <c r="T653" s="66"/>
      <c r="U653" s="66"/>
      <c r="V653" s="66"/>
      <c r="W653" s="66"/>
      <c r="X653" s="66"/>
    </row>
    <row r="654">
      <c r="A654" s="75"/>
      <c r="B654" s="485"/>
      <c r="C654" s="75"/>
      <c r="D654" s="485"/>
      <c r="E654" s="75"/>
      <c r="F654" s="485"/>
      <c r="G654" s="210"/>
      <c r="H654" s="485"/>
      <c r="I654" s="188"/>
      <c r="J654" s="485"/>
      <c r="K654" s="75"/>
      <c r="L654" s="66"/>
      <c r="M654" s="66"/>
      <c r="N654" s="66"/>
      <c r="O654" s="66"/>
      <c r="P654" s="66"/>
      <c r="Q654" s="66"/>
      <c r="R654" s="66"/>
      <c r="S654" s="66"/>
      <c r="T654" s="66"/>
      <c r="U654" s="66"/>
      <c r="V654" s="66"/>
      <c r="W654" s="66"/>
      <c r="X654" s="66"/>
    </row>
    <row r="655">
      <c r="A655" s="75"/>
      <c r="B655" s="485"/>
      <c r="C655" s="75"/>
      <c r="D655" s="485"/>
      <c r="E655" s="75"/>
      <c r="F655" s="485"/>
      <c r="G655" s="210"/>
      <c r="H655" s="485"/>
      <c r="I655" s="188"/>
      <c r="J655" s="485"/>
      <c r="K655" s="75"/>
      <c r="L655" s="66"/>
      <c r="M655" s="66"/>
      <c r="N655" s="66"/>
      <c r="O655" s="66"/>
      <c r="P655" s="66"/>
      <c r="Q655" s="66"/>
      <c r="R655" s="66"/>
      <c r="S655" s="66"/>
      <c r="T655" s="66"/>
      <c r="U655" s="66"/>
      <c r="V655" s="66"/>
      <c r="W655" s="66"/>
      <c r="X655" s="66"/>
    </row>
    <row r="656">
      <c r="A656" s="75"/>
      <c r="B656" s="485"/>
      <c r="C656" s="75"/>
      <c r="D656" s="485"/>
      <c r="E656" s="75"/>
      <c r="F656" s="485"/>
      <c r="G656" s="210"/>
      <c r="H656" s="485"/>
      <c r="I656" s="188"/>
      <c r="J656" s="485"/>
      <c r="K656" s="75"/>
      <c r="L656" s="66"/>
      <c r="M656" s="66"/>
      <c r="N656" s="66"/>
      <c r="O656" s="66"/>
      <c r="P656" s="66"/>
      <c r="Q656" s="66"/>
      <c r="R656" s="66"/>
      <c r="S656" s="66"/>
      <c r="T656" s="66"/>
      <c r="U656" s="66"/>
      <c r="V656" s="66"/>
      <c r="W656" s="66"/>
      <c r="X656" s="66"/>
    </row>
    <row r="657">
      <c r="A657" s="75"/>
      <c r="B657" s="485"/>
      <c r="C657" s="75"/>
      <c r="D657" s="485"/>
      <c r="E657" s="75"/>
      <c r="F657" s="485"/>
      <c r="G657" s="210"/>
      <c r="H657" s="485"/>
      <c r="I657" s="188"/>
      <c r="J657" s="485"/>
      <c r="K657" s="75"/>
      <c r="L657" s="66"/>
      <c r="M657" s="66"/>
      <c r="N657" s="66"/>
      <c r="O657" s="66"/>
      <c r="P657" s="66"/>
      <c r="Q657" s="66"/>
      <c r="R657" s="66"/>
      <c r="S657" s="66"/>
      <c r="T657" s="66"/>
      <c r="U657" s="66"/>
      <c r="V657" s="66"/>
      <c r="W657" s="66"/>
      <c r="X657" s="66"/>
    </row>
    <row r="658">
      <c r="A658" s="75"/>
      <c r="B658" s="485"/>
      <c r="C658" s="75"/>
      <c r="D658" s="485"/>
      <c r="E658" s="75"/>
      <c r="F658" s="485"/>
      <c r="G658" s="210"/>
      <c r="H658" s="485"/>
      <c r="I658" s="188"/>
      <c r="J658" s="485"/>
      <c r="K658" s="75"/>
      <c r="L658" s="66"/>
      <c r="M658" s="66"/>
      <c r="N658" s="66"/>
      <c r="O658" s="66"/>
      <c r="P658" s="66"/>
      <c r="Q658" s="66"/>
      <c r="R658" s="66"/>
      <c r="S658" s="66"/>
      <c r="T658" s="66"/>
      <c r="U658" s="66"/>
      <c r="V658" s="66"/>
      <c r="W658" s="66"/>
      <c r="X658" s="66"/>
    </row>
    <row r="659">
      <c r="A659" s="75"/>
      <c r="B659" s="485"/>
      <c r="C659" s="75"/>
      <c r="D659" s="485"/>
      <c r="E659" s="75"/>
      <c r="F659" s="485"/>
      <c r="G659" s="210"/>
      <c r="H659" s="485"/>
      <c r="I659" s="188"/>
      <c r="J659" s="485"/>
      <c r="K659" s="75"/>
      <c r="L659" s="66"/>
      <c r="M659" s="66"/>
      <c r="N659" s="66"/>
      <c r="O659" s="66"/>
      <c r="P659" s="66"/>
      <c r="Q659" s="66"/>
      <c r="R659" s="66"/>
      <c r="S659" s="66"/>
      <c r="T659" s="66"/>
      <c r="U659" s="66"/>
      <c r="V659" s="66"/>
      <c r="W659" s="66"/>
      <c r="X659" s="66"/>
    </row>
    <row r="660">
      <c r="A660" s="75"/>
      <c r="B660" s="485"/>
      <c r="C660" s="75"/>
      <c r="D660" s="485"/>
      <c r="E660" s="75"/>
      <c r="F660" s="485"/>
      <c r="G660" s="210"/>
      <c r="H660" s="485"/>
      <c r="I660" s="188"/>
      <c r="J660" s="485"/>
      <c r="K660" s="75"/>
      <c r="L660" s="66"/>
      <c r="M660" s="66"/>
      <c r="N660" s="66"/>
      <c r="O660" s="66"/>
      <c r="P660" s="66"/>
      <c r="Q660" s="66"/>
      <c r="R660" s="66"/>
      <c r="S660" s="66"/>
      <c r="T660" s="66"/>
      <c r="U660" s="66"/>
      <c r="V660" s="66"/>
      <c r="W660" s="66"/>
      <c r="X660" s="66"/>
    </row>
    <row r="661">
      <c r="A661" s="75"/>
      <c r="B661" s="485"/>
      <c r="C661" s="75"/>
      <c r="D661" s="485"/>
      <c r="E661" s="75"/>
      <c r="F661" s="485"/>
      <c r="G661" s="210"/>
      <c r="H661" s="485"/>
      <c r="I661" s="188"/>
      <c r="J661" s="485"/>
      <c r="K661" s="75"/>
      <c r="L661" s="66"/>
      <c r="M661" s="66"/>
      <c r="N661" s="66"/>
      <c r="O661" s="66"/>
      <c r="P661" s="66"/>
      <c r="Q661" s="66"/>
      <c r="R661" s="66"/>
      <c r="S661" s="66"/>
      <c r="T661" s="66"/>
      <c r="U661" s="66"/>
      <c r="V661" s="66"/>
      <c r="W661" s="66"/>
      <c r="X661" s="66"/>
    </row>
    <row r="662">
      <c r="A662" s="75"/>
      <c r="B662" s="485"/>
      <c r="C662" s="75"/>
      <c r="D662" s="485"/>
      <c r="E662" s="75"/>
      <c r="F662" s="485"/>
      <c r="G662" s="210"/>
      <c r="H662" s="485"/>
      <c r="I662" s="188"/>
      <c r="J662" s="485"/>
      <c r="K662" s="75"/>
      <c r="L662" s="66"/>
      <c r="M662" s="66"/>
      <c r="N662" s="66"/>
      <c r="O662" s="66"/>
      <c r="P662" s="66"/>
      <c r="Q662" s="66"/>
      <c r="R662" s="66"/>
      <c r="S662" s="66"/>
      <c r="T662" s="66"/>
      <c r="U662" s="66"/>
      <c r="V662" s="66"/>
      <c r="W662" s="66"/>
      <c r="X662" s="66"/>
    </row>
    <row r="663">
      <c r="A663" s="75"/>
      <c r="B663" s="485"/>
      <c r="C663" s="75"/>
      <c r="D663" s="485"/>
      <c r="E663" s="75"/>
      <c r="F663" s="485"/>
      <c r="G663" s="210"/>
      <c r="H663" s="485"/>
      <c r="I663" s="188"/>
      <c r="J663" s="485"/>
      <c r="K663" s="75"/>
      <c r="L663" s="66"/>
      <c r="M663" s="66"/>
      <c r="N663" s="66"/>
      <c r="O663" s="66"/>
      <c r="P663" s="66"/>
      <c r="Q663" s="66"/>
      <c r="R663" s="66"/>
      <c r="S663" s="66"/>
      <c r="T663" s="66"/>
      <c r="U663" s="66"/>
      <c r="V663" s="66"/>
      <c r="W663" s="66"/>
      <c r="X663" s="66"/>
    </row>
    <row r="664">
      <c r="A664" s="75"/>
      <c r="B664" s="485"/>
      <c r="C664" s="75"/>
      <c r="D664" s="485"/>
      <c r="E664" s="75"/>
      <c r="F664" s="485"/>
      <c r="G664" s="210"/>
      <c r="H664" s="485"/>
      <c r="I664" s="188"/>
      <c r="J664" s="485"/>
      <c r="K664" s="75"/>
      <c r="L664" s="66"/>
      <c r="M664" s="66"/>
      <c r="N664" s="66"/>
      <c r="O664" s="66"/>
      <c r="P664" s="66"/>
      <c r="Q664" s="66"/>
      <c r="R664" s="66"/>
      <c r="S664" s="66"/>
      <c r="T664" s="66"/>
      <c r="U664" s="66"/>
      <c r="V664" s="66"/>
      <c r="W664" s="66"/>
      <c r="X664" s="66"/>
    </row>
    <row r="665">
      <c r="A665" s="75"/>
      <c r="B665" s="485"/>
      <c r="C665" s="75"/>
      <c r="D665" s="485"/>
      <c r="E665" s="75"/>
      <c r="F665" s="485"/>
      <c r="G665" s="210"/>
      <c r="H665" s="485"/>
      <c r="I665" s="188"/>
      <c r="J665" s="485"/>
      <c r="K665" s="75"/>
      <c r="L665" s="66"/>
      <c r="M665" s="66"/>
      <c r="N665" s="66"/>
      <c r="O665" s="66"/>
      <c r="P665" s="66"/>
      <c r="Q665" s="66"/>
      <c r="R665" s="66"/>
      <c r="S665" s="66"/>
      <c r="T665" s="66"/>
      <c r="U665" s="66"/>
      <c r="V665" s="66"/>
      <c r="W665" s="66"/>
      <c r="X665" s="66"/>
    </row>
    <row r="666">
      <c r="A666" s="75"/>
      <c r="B666" s="485"/>
      <c r="C666" s="75"/>
      <c r="D666" s="485"/>
      <c r="E666" s="75"/>
      <c r="F666" s="485"/>
      <c r="G666" s="210"/>
      <c r="H666" s="485"/>
      <c r="I666" s="188"/>
      <c r="J666" s="485"/>
      <c r="K666" s="75"/>
      <c r="L666" s="66"/>
      <c r="M666" s="66"/>
      <c r="N666" s="66"/>
      <c r="O666" s="66"/>
      <c r="P666" s="66"/>
      <c r="Q666" s="66"/>
      <c r="R666" s="66"/>
      <c r="S666" s="66"/>
      <c r="T666" s="66"/>
      <c r="U666" s="66"/>
      <c r="V666" s="66"/>
      <c r="W666" s="66"/>
      <c r="X666" s="66"/>
    </row>
    <row r="667">
      <c r="A667" s="75"/>
      <c r="B667" s="485"/>
      <c r="C667" s="75"/>
      <c r="D667" s="485"/>
      <c r="E667" s="75"/>
      <c r="F667" s="485"/>
      <c r="G667" s="210"/>
      <c r="H667" s="485"/>
      <c r="I667" s="188"/>
      <c r="J667" s="485"/>
      <c r="K667" s="75"/>
      <c r="L667" s="66"/>
      <c r="M667" s="66"/>
      <c r="N667" s="66"/>
      <c r="O667" s="66"/>
      <c r="P667" s="66"/>
      <c r="Q667" s="66"/>
      <c r="R667" s="66"/>
      <c r="S667" s="66"/>
      <c r="T667" s="66"/>
      <c r="U667" s="66"/>
      <c r="V667" s="66"/>
      <c r="W667" s="66"/>
      <c r="X667" s="66"/>
    </row>
    <row r="668">
      <c r="A668" s="75"/>
      <c r="B668" s="485"/>
      <c r="C668" s="75"/>
      <c r="D668" s="485"/>
      <c r="E668" s="75"/>
      <c r="F668" s="485"/>
      <c r="G668" s="210"/>
      <c r="H668" s="485"/>
      <c r="I668" s="188"/>
      <c r="J668" s="485"/>
      <c r="K668" s="75"/>
      <c r="L668" s="66"/>
      <c r="M668" s="66"/>
      <c r="N668" s="66"/>
      <c r="O668" s="66"/>
      <c r="P668" s="66"/>
      <c r="Q668" s="66"/>
      <c r="R668" s="66"/>
      <c r="S668" s="66"/>
      <c r="T668" s="66"/>
      <c r="U668" s="66"/>
      <c r="V668" s="66"/>
      <c r="W668" s="66"/>
      <c r="X668" s="66"/>
    </row>
    <row r="669">
      <c r="A669" s="75"/>
      <c r="B669" s="485"/>
      <c r="C669" s="75"/>
      <c r="D669" s="485"/>
      <c r="E669" s="75"/>
      <c r="F669" s="485"/>
      <c r="G669" s="210"/>
      <c r="H669" s="485"/>
      <c r="I669" s="188"/>
      <c r="J669" s="485"/>
      <c r="K669" s="75"/>
      <c r="L669" s="66"/>
      <c r="M669" s="66"/>
      <c r="N669" s="66"/>
      <c r="O669" s="66"/>
      <c r="P669" s="66"/>
      <c r="Q669" s="66"/>
      <c r="R669" s="66"/>
      <c r="S669" s="66"/>
      <c r="T669" s="66"/>
      <c r="U669" s="66"/>
      <c r="V669" s="66"/>
      <c r="W669" s="66"/>
      <c r="X669" s="66"/>
    </row>
    <row r="670">
      <c r="A670" s="75"/>
      <c r="B670" s="485"/>
      <c r="C670" s="75"/>
      <c r="D670" s="485"/>
      <c r="E670" s="75"/>
      <c r="F670" s="485"/>
      <c r="G670" s="210"/>
      <c r="H670" s="485"/>
      <c r="I670" s="188"/>
      <c r="J670" s="485"/>
      <c r="K670" s="75"/>
      <c r="L670" s="66"/>
      <c r="M670" s="66"/>
      <c r="N670" s="66"/>
      <c r="O670" s="66"/>
      <c r="P670" s="66"/>
      <c r="Q670" s="66"/>
      <c r="R670" s="66"/>
      <c r="S670" s="66"/>
      <c r="T670" s="66"/>
      <c r="U670" s="66"/>
      <c r="V670" s="66"/>
      <c r="W670" s="66"/>
      <c r="X670" s="66"/>
    </row>
    <row r="671">
      <c r="A671" s="75"/>
      <c r="B671" s="485"/>
      <c r="C671" s="75"/>
      <c r="D671" s="485"/>
      <c r="E671" s="75"/>
      <c r="F671" s="485"/>
      <c r="G671" s="210"/>
      <c r="H671" s="485"/>
      <c r="I671" s="188"/>
      <c r="J671" s="485"/>
      <c r="K671" s="75"/>
      <c r="L671" s="66"/>
      <c r="M671" s="66"/>
      <c r="N671" s="66"/>
      <c r="O671" s="66"/>
      <c r="P671" s="66"/>
      <c r="Q671" s="66"/>
      <c r="R671" s="66"/>
      <c r="S671" s="66"/>
      <c r="T671" s="66"/>
      <c r="U671" s="66"/>
      <c r="V671" s="66"/>
      <c r="W671" s="66"/>
      <c r="X671" s="66"/>
    </row>
    <row r="672">
      <c r="A672" s="75"/>
      <c r="B672" s="485"/>
      <c r="C672" s="75"/>
      <c r="D672" s="485"/>
      <c r="E672" s="75"/>
      <c r="F672" s="485"/>
      <c r="G672" s="210"/>
      <c r="H672" s="485"/>
      <c r="I672" s="188"/>
      <c r="J672" s="485"/>
      <c r="K672" s="75"/>
      <c r="L672" s="66"/>
      <c r="M672" s="66"/>
      <c r="N672" s="66"/>
      <c r="O672" s="66"/>
      <c r="P672" s="66"/>
      <c r="Q672" s="66"/>
      <c r="R672" s="66"/>
      <c r="S672" s="66"/>
      <c r="T672" s="66"/>
      <c r="U672" s="66"/>
      <c r="V672" s="66"/>
      <c r="W672" s="66"/>
      <c r="X672" s="66"/>
    </row>
    <row r="673">
      <c r="A673" s="75"/>
      <c r="B673" s="485"/>
      <c r="C673" s="75"/>
      <c r="D673" s="485"/>
      <c r="E673" s="75"/>
      <c r="F673" s="485"/>
      <c r="G673" s="210"/>
      <c r="H673" s="485"/>
      <c r="I673" s="188"/>
      <c r="J673" s="485"/>
      <c r="K673" s="75"/>
      <c r="L673" s="66"/>
      <c r="M673" s="66"/>
      <c r="N673" s="66"/>
      <c r="O673" s="66"/>
      <c r="P673" s="66"/>
      <c r="Q673" s="66"/>
      <c r="R673" s="66"/>
      <c r="S673" s="66"/>
      <c r="T673" s="66"/>
      <c r="U673" s="66"/>
      <c r="V673" s="66"/>
      <c r="W673" s="66"/>
      <c r="X673" s="66"/>
    </row>
    <row r="674">
      <c r="A674" s="75"/>
      <c r="B674" s="485"/>
      <c r="C674" s="75"/>
      <c r="D674" s="485"/>
      <c r="E674" s="75"/>
      <c r="F674" s="485"/>
      <c r="G674" s="210"/>
      <c r="H674" s="485"/>
      <c r="I674" s="188"/>
      <c r="J674" s="485"/>
      <c r="K674" s="75"/>
      <c r="L674" s="66"/>
      <c r="M674" s="66"/>
      <c r="N674" s="66"/>
      <c r="O674" s="66"/>
      <c r="P674" s="66"/>
      <c r="Q674" s="66"/>
      <c r="R674" s="66"/>
      <c r="S674" s="66"/>
      <c r="T674" s="66"/>
      <c r="U674" s="66"/>
      <c r="V674" s="66"/>
      <c r="W674" s="66"/>
      <c r="X674" s="66"/>
    </row>
    <row r="675">
      <c r="A675" s="75"/>
      <c r="B675" s="485"/>
      <c r="C675" s="75"/>
      <c r="D675" s="485"/>
      <c r="E675" s="75"/>
      <c r="F675" s="485"/>
      <c r="G675" s="210"/>
      <c r="H675" s="485"/>
      <c r="I675" s="188"/>
      <c r="J675" s="485"/>
      <c r="K675" s="75"/>
      <c r="L675" s="66"/>
      <c r="M675" s="66"/>
      <c r="N675" s="66"/>
      <c r="O675" s="66"/>
      <c r="P675" s="66"/>
      <c r="Q675" s="66"/>
      <c r="R675" s="66"/>
      <c r="S675" s="66"/>
      <c r="T675" s="66"/>
      <c r="U675" s="66"/>
      <c r="V675" s="66"/>
      <c r="W675" s="66"/>
      <c r="X675" s="66"/>
    </row>
    <row r="676">
      <c r="A676" s="75"/>
      <c r="B676" s="485"/>
      <c r="C676" s="75"/>
      <c r="D676" s="485"/>
      <c r="E676" s="75"/>
      <c r="F676" s="485"/>
      <c r="G676" s="210"/>
      <c r="H676" s="485"/>
      <c r="I676" s="188"/>
      <c r="J676" s="485"/>
      <c r="K676" s="75"/>
      <c r="L676" s="66"/>
      <c r="M676" s="66"/>
      <c r="N676" s="66"/>
      <c r="O676" s="66"/>
      <c r="P676" s="66"/>
      <c r="Q676" s="66"/>
      <c r="R676" s="66"/>
      <c r="S676" s="66"/>
      <c r="T676" s="66"/>
      <c r="U676" s="66"/>
      <c r="V676" s="66"/>
      <c r="W676" s="66"/>
      <c r="X676" s="66"/>
    </row>
    <row r="677">
      <c r="A677" s="75"/>
      <c r="B677" s="485"/>
      <c r="C677" s="75"/>
      <c r="D677" s="485"/>
      <c r="E677" s="75"/>
      <c r="F677" s="485"/>
      <c r="G677" s="210"/>
      <c r="H677" s="485"/>
      <c r="I677" s="188"/>
      <c r="J677" s="485"/>
      <c r="K677" s="75"/>
      <c r="L677" s="66"/>
      <c r="M677" s="66"/>
      <c r="N677" s="66"/>
      <c r="O677" s="66"/>
      <c r="P677" s="66"/>
      <c r="Q677" s="66"/>
      <c r="R677" s="66"/>
      <c r="S677" s="66"/>
      <c r="T677" s="66"/>
      <c r="U677" s="66"/>
      <c r="V677" s="66"/>
      <c r="W677" s="66"/>
      <c r="X677" s="66"/>
    </row>
    <row r="678">
      <c r="A678" s="75"/>
      <c r="B678" s="485"/>
      <c r="C678" s="75"/>
      <c r="D678" s="485"/>
      <c r="E678" s="75"/>
      <c r="F678" s="485"/>
      <c r="G678" s="210"/>
      <c r="H678" s="485"/>
      <c r="I678" s="188"/>
      <c r="J678" s="485"/>
      <c r="K678" s="75"/>
      <c r="L678" s="66"/>
      <c r="M678" s="66"/>
      <c r="N678" s="66"/>
      <c r="O678" s="66"/>
      <c r="P678" s="66"/>
      <c r="Q678" s="66"/>
      <c r="R678" s="66"/>
      <c r="S678" s="66"/>
      <c r="T678" s="66"/>
      <c r="U678" s="66"/>
      <c r="V678" s="66"/>
      <c r="W678" s="66"/>
      <c r="X678" s="66"/>
    </row>
    <row r="679">
      <c r="A679" s="75"/>
      <c r="B679" s="485"/>
      <c r="C679" s="75"/>
      <c r="D679" s="485"/>
      <c r="E679" s="75"/>
      <c r="F679" s="485"/>
      <c r="G679" s="210"/>
      <c r="H679" s="485"/>
      <c r="I679" s="188"/>
      <c r="J679" s="485"/>
      <c r="K679" s="75"/>
      <c r="L679" s="66"/>
      <c r="M679" s="66"/>
      <c r="N679" s="66"/>
      <c r="O679" s="66"/>
      <c r="P679" s="66"/>
      <c r="Q679" s="66"/>
      <c r="R679" s="66"/>
      <c r="S679" s="66"/>
      <c r="T679" s="66"/>
      <c r="U679" s="66"/>
      <c r="V679" s="66"/>
      <c r="W679" s="66"/>
      <c r="X679" s="66"/>
    </row>
    <row r="680">
      <c r="A680" s="75"/>
      <c r="B680" s="485"/>
      <c r="C680" s="75"/>
      <c r="D680" s="485"/>
      <c r="E680" s="75"/>
      <c r="F680" s="485"/>
      <c r="G680" s="210"/>
      <c r="H680" s="485"/>
      <c r="I680" s="188"/>
      <c r="J680" s="485"/>
      <c r="K680" s="75"/>
      <c r="L680" s="66"/>
      <c r="M680" s="66"/>
      <c r="N680" s="66"/>
      <c r="O680" s="66"/>
      <c r="P680" s="66"/>
      <c r="Q680" s="66"/>
      <c r="R680" s="66"/>
      <c r="S680" s="66"/>
      <c r="T680" s="66"/>
      <c r="U680" s="66"/>
      <c r="V680" s="66"/>
      <c r="W680" s="66"/>
      <c r="X680" s="66"/>
    </row>
    <row r="681">
      <c r="A681" s="75"/>
      <c r="B681" s="485"/>
      <c r="C681" s="75"/>
      <c r="D681" s="485"/>
      <c r="E681" s="75"/>
      <c r="F681" s="485"/>
      <c r="G681" s="210"/>
      <c r="H681" s="485"/>
      <c r="I681" s="188"/>
      <c r="J681" s="485"/>
      <c r="K681" s="75"/>
      <c r="L681" s="66"/>
      <c r="M681" s="66"/>
      <c r="N681" s="66"/>
      <c r="O681" s="66"/>
      <c r="P681" s="66"/>
      <c r="Q681" s="66"/>
      <c r="R681" s="66"/>
      <c r="S681" s="66"/>
      <c r="T681" s="66"/>
      <c r="U681" s="66"/>
      <c r="V681" s="66"/>
      <c r="W681" s="66"/>
      <c r="X681" s="66"/>
    </row>
    <row r="682">
      <c r="A682" s="75"/>
      <c r="B682" s="485"/>
      <c r="C682" s="75"/>
      <c r="D682" s="485"/>
      <c r="E682" s="75"/>
      <c r="F682" s="485"/>
      <c r="G682" s="210"/>
      <c r="H682" s="485"/>
      <c r="I682" s="188"/>
      <c r="J682" s="485"/>
      <c r="K682" s="75"/>
      <c r="L682" s="66"/>
      <c r="M682" s="66"/>
      <c r="N682" s="66"/>
      <c r="O682" s="66"/>
      <c r="P682" s="66"/>
      <c r="Q682" s="66"/>
      <c r="R682" s="66"/>
      <c r="S682" s="66"/>
      <c r="T682" s="66"/>
      <c r="U682" s="66"/>
      <c r="V682" s="66"/>
      <c r="W682" s="66"/>
      <c r="X682" s="66"/>
    </row>
    <row r="683">
      <c r="A683" s="75"/>
      <c r="B683" s="485"/>
      <c r="C683" s="75"/>
      <c r="D683" s="485"/>
      <c r="E683" s="75"/>
      <c r="F683" s="485"/>
      <c r="G683" s="210"/>
      <c r="H683" s="485"/>
      <c r="I683" s="188"/>
      <c r="J683" s="485"/>
      <c r="K683" s="75"/>
      <c r="L683" s="66"/>
      <c r="M683" s="66"/>
      <c r="N683" s="66"/>
      <c r="O683" s="66"/>
      <c r="P683" s="66"/>
      <c r="Q683" s="66"/>
      <c r="R683" s="66"/>
      <c r="S683" s="66"/>
      <c r="T683" s="66"/>
      <c r="U683" s="66"/>
      <c r="V683" s="66"/>
      <c r="W683" s="66"/>
      <c r="X683" s="66"/>
    </row>
    <row r="684">
      <c r="A684" s="75"/>
      <c r="B684" s="485"/>
      <c r="C684" s="75"/>
      <c r="D684" s="485"/>
      <c r="E684" s="75"/>
      <c r="F684" s="485"/>
      <c r="G684" s="210"/>
      <c r="H684" s="485"/>
      <c r="I684" s="188"/>
      <c r="J684" s="485"/>
      <c r="K684" s="75"/>
      <c r="L684" s="66"/>
      <c r="M684" s="66"/>
      <c r="N684" s="66"/>
      <c r="O684" s="66"/>
      <c r="P684" s="66"/>
      <c r="Q684" s="66"/>
      <c r="R684" s="66"/>
      <c r="S684" s="66"/>
      <c r="T684" s="66"/>
      <c r="U684" s="66"/>
      <c r="V684" s="66"/>
      <c r="W684" s="66"/>
      <c r="X684" s="66"/>
    </row>
    <row r="685">
      <c r="A685" s="75"/>
      <c r="B685" s="485"/>
      <c r="C685" s="75"/>
      <c r="D685" s="485"/>
      <c r="E685" s="75"/>
      <c r="F685" s="485"/>
      <c r="G685" s="210"/>
      <c r="H685" s="485"/>
      <c r="I685" s="188"/>
      <c r="J685" s="485"/>
      <c r="K685" s="75"/>
      <c r="L685" s="66"/>
      <c r="M685" s="66"/>
      <c r="N685" s="66"/>
      <c r="O685" s="66"/>
      <c r="P685" s="66"/>
      <c r="Q685" s="66"/>
      <c r="R685" s="66"/>
      <c r="S685" s="66"/>
      <c r="T685" s="66"/>
      <c r="U685" s="66"/>
      <c r="V685" s="66"/>
      <c r="W685" s="66"/>
      <c r="X685" s="66"/>
    </row>
    <row r="686">
      <c r="A686" s="75"/>
      <c r="B686" s="485"/>
      <c r="C686" s="75"/>
      <c r="D686" s="485"/>
      <c r="E686" s="75"/>
      <c r="F686" s="485"/>
      <c r="G686" s="210"/>
      <c r="H686" s="485"/>
      <c r="I686" s="188"/>
      <c r="J686" s="485"/>
      <c r="K686" s="75"/>
      <c r="L686" s="66"/>
      <c r="M686" s="66"/>
      <c r="N686" s="66"/>
      <c r="O686" s="66"/>
      <c r="P686" s="66"/>
      <c r="Q686" s="66"/>
      <c r="R686" s="66"/>
      <c r="S686" s="66"/>
      <c r="T686" s="66"/>
      <c r="U686" s="66"/>
      <c r="V686" s="66"/>
      <c r="W686" s="66"/>
      <c r="X686" s="66"/>
    </row>
    <row r="687">
      <c r="A687" s="75"/>
      <c r="B687" s="485"/>
      <c r="C687" s="75"/>
      <c r="D687" s="485"/>
      <c r="E687" s="75"/>
      <c r="F687" s="485"/>
      <c r="G687" s="210"/>
      <c r="H687" s="485"/>
      <c r="I687" s="188"/>
      <c r="J687" s="485"/>
      <c r="K687" s="75"/>
      <c r="L687" s="66"/>
      <c r="M687" s="66"/>
      <c r="N687" s="66"/>
      <c r="O687" s="66"/>
      <c r="P687" s="66"/>
      <c r="Q687" s="66"/>
      <c r="R687" s="66"/>
      <c r="S687" s="66"/>
      <c r="T687" s="66"/>
      <c r="U687" s="66"/>
      <c r="V687" s="66"/>
      <c r="W687" s="66"/>
      <c r="X687" s="66"/>
    </row>
    <row r="688">
      <c r="A688" s="75"/>
      <c r="B688" s="485"/>
      <c r="C688" s="75"/>
      <c r="D688" s="485"/>
      <c r="E688" s="75"/>
      <c r="F688" s="485"/>
      <c r="G688" s="210"/>
      <c r="H688" s="485"/>
      <c r="I688" s="188"/>
      <c r="J688" s="485"/>
      <c r="K688" s="75"/>
      <c r="L688" s="66"/>
      <c r="M688" s="66"/>
      <c r="N688" s="66"/>
      <c r="O688" s="66"/>
      <c r="P688" s="66"/>
      <c r="Q688" s="66"/>
      <c r="R688" s="66"/>
      <c r="S688" s="66"/>
      <c r="T688" s="66"/>
      <c r="U688" s="66"/>
      <c r="V688" s="66"/>
      <c r="W688" s="66"/>
      <c r="X688" s="66"/>
    </row>
    <row r="689">
      <c r="A689" s="75"/>
      <c r="B689" s="485"/>
      <c r="C689" s="75"/>
      <c r="D689" s="485"/>
      <c r="E689" s="75"/>
      <c r="F689" s="485"/>
      <c r="G689" s="210"/>
      <c r="H689" s="485"/>
      <c r="I689" s="188"/>
      <c r="J689" s="485"/>
      <c r="K689" s="75"/>
      <c r="L689" s="66"/>
      <c r="M689" s="66"/>
      <c r="N689" s="66"/>
      <c r="O689" s="66"/>
      <c r="P689" s="66"/>
      <c r="Q689" s="66"/>
      <c r="R689" s="66"/>
      <c r="S689" s="66"/>
      <c r="T689" s="66"/>
      <c r="U689" s="66"/>
      <c r="V689" s="66"/>
      <c r="W689" s="66"/>
      <c r="X689" s="66"/>
    </row>
    <row r="690">
      <c r="A690" s="75"/>
      <c r="B690" s="485"/>
      <c r="C690" s="75"/>
      <c r="D690" s="485"/>
      <c r="E690" s="75"/>
      <c r="F690" s="485"/>
      <c r="G690" s="210"/>
      <c r="H690" s="485"/>
      <c r="I690" s="188"/>
      <c r="J690" s="485"/>
      <c r="K690" s="75"/>
      <c r="L690" s="66"/>
      <c r="M690" s="66"/>
      <c r="N690" s="66"/>
      <c r="O690" s="66"/>
      <c r="P690" s="66"/>
      <c r="Q690" s="66"/>
      <c r="R690" s="66"/>
      <c r="S690" s="66"/>
      <c r="T690" s="66"/>
      <c r="U690" s="66"/>
      <c r="V690" s="66"/>
      <c r="W690" s="66"/>
      <c r="X690" s="66"/>
    </row>
    <row r="691">
      <c r="A691" s="75"/>
      <c r="B691" s="485"/>
      <c r="C691" s="75"/>
      <c r="D691" s="485"/>
      <c r="E691" s="75"/>
      <c r="F691" s="485"/>
      <c r="G691" s="210"/>
      <c r="H691" s="485"/>
      <c r="I691" s="188"/>
      <c r="J691" s="485"/>
      <c r="K691" s="75"/>
      <c r="L691" s="66"/>
      <c r="M691" s="66"/>
      <c r="N691" s="66"/>
      <c r="O691" s="66"/>
      <c r="P691" s="66"/>
      <c r="Q691" s="66"/>
      <c r="R691" s="66"/>
      <c r="S691" s="66"/>
      <c r="T691" s="66"/>
      <c r="U691" s="66"/>
      <c r="V691" s="66"/>
      <c r="W691" s="66"/>
      <c r="X691" s="66"/>
    </row>
    <row r="692">
      <c r="A692" s="75"/>
      <c r="B692" s="485"/>
      <c r="C692" s="75"/>
      <c r="D692" s="485"/>
      <c r="E692" s="75"/>
      <c r="F692" s="485"/>
      <c r="G692" s="210"/>
      <c r="H692" s="485"/>
      <c r="I692" s="188"/>
      <c r="J692" s="485"/>
      <c r="K692" s="75"/>
      <c r="L692" s="66"/>
      <c r="M692" s="66"/>
      <c r="N692" s="66"/>
      <c r="O692" s="66"/>
      <c r="P692" s="66"/>
      <c r="Q692" s="66"/>
      <c r="R692" s="66"/>
      <c r="S692" s="66"/>
      <c r="T692" s="66"/>
      <c r="U692" s="66"/>
      <c r="V692" s="66"/>
      <c r="W692" s="66"/>
      <c r="X692" s="66"/>
    </row>
    <row r="693">
      <c r="A693" s="75"/>
      <c r="B693" s="485"/>
      <c r="C693" s="75"/>
      <c r="D693" s="485"/>
      <c r="E693" s="75"/>
      <c r="F693" s="485"/>
      <c r="G693" s="210"/>
      <c r="H693" s="485"/>
      <c r="I693" s="188"/>
      <c r="J693" s="485"/>
      <c r="K693" s="75"/>
      <c r="L693" s="66"/>
      <c r="M693" s="66"/>
      <c r="N693" s="66"/>
      <c r="O693" s="66"/>
      <c r="P693" s="66"/>
      <c r="Q693" s="66"/>
      <c r="R693" s="66"/>
      <c r="S693" s="66"/>
      <c r="T693" s="66"/>
      <c r="U693" s="66"/>
      <c r="V693" s="66"/>
      <c r="W693" s="66"/>
      <c r="X693" s="66"/>
    </row>
    <row r="694">
      <c r="A694" s="75"/>
      <c r="B694" s="485"/>
      <c r="C694" s="75"/>
      <c r="D694" s="485"/>
      <c r="E694" s="75"/>
      <c r="F694" s="485"/>
      <c r="G694" s="210"/>
      <c r="H694" s="485"/>
      <c r="I694" s="188"/>
      <c r="J694" s="485"/>
      <c r="K694" s="75"/>
      <c r="L694" s="66"/>
      <c r="M694" s="66"/>
      <c r="N694" s="66"/>
      <c r="O694" s="66"/>
      <c r="P694" s="66"/>
      <c r="Q694" s="66"/>
      <c r="R694" s="66"/>
      <c r="S694" s="66"/>
      <c r="T694" s="66"/>
      <c r="U694" s="66"/>
      <c r="V694" s="66"/>
      <c r="W694" s="66"/>
      <c r="X694" s="66"/>
    </row>
    <row r="695">
      <c r="A695" s="75"/>
      <c r="B695" s="485"/>
      <c r="C695" s="75"/>
      <c r="D695" s="485"/>
      <c r="E695" s="75"/>
      <c r="F695" s="485"/>
      <c r="G695" s="210"/>
      <c r="H695" s="485"/>
      <c r="I695" s="188"/>
      <c r="J695" s="485"/>
      <c r="K695" s="75"/>
      <c r="L695" s="66"/>
      <c r="M695" s="66"/>
      <c r="N695" s="66"/>
      <c r="O695" s="66"/>
      <c r="P695" s="66"/>
      <c r="Q695" s="66"/>
      <c r="R695" s="66"/>
      <c r="S695" s="66"/>
      <c r="T695" s="66"/>
      <c r="U695" s="66"/>
      <c r="V695" s="66"/>
      <c r="W695" s="66"/>
      <c r="X695" s="66"/>
    </row>
    <row r="696">
      <c r="A696" s="75"/>
      <c r="B696" s="485"/>
      <c r="C696" s="75"/>
      <c r="D696" s="485"/>
      <c r="E696" s="75"/>
      <c r="F696" s="485"/>
      <c r="G696" s="210"/>
      <c r="H696" s="485"/>
      <c r="I696" s="188"/>
      <c r="J696" s="485"/>
      <c r="K696" s="75"/>
      <c r="L696" s="66"/>
      <c r="M696" s="66"/>
      <c r="N696" s="66"/>
      <c r="O696" s="66"/>
      <c r="P696" s="66"/>
      <c r="Q696" s="66"/>
      <c r="R696" s="66"/>
      <c r="S696" s="66"/>
      <c r="T696" s="66"/>
      <c r="U696" s="66"/>
      <c r="V696" s="66"/>
      <c r="W696" s="66"/>
      <c r="X696" s="66"/>
    </row>
    <row r="697">
      <c r="A697" s="75"/>
      <c r="B697" s="485"/>
      <c r="C697" s="75"/>
      <c r="D697" s="485"/>
      <c r="E697" s="75"/>
      <c r="F697" s="485"/>
      <c r="G697" s="210"/>
      <c r="H697" s="485"/>
      <c r="I697" s="188"/>
      <c r="J697" s="485"/>
      <c r="K697" s="75"/>
      <c r="L697" s="66"/>
      <c r="M697" s="66"/>
      <c r="N697" s="66"/>
      <c r="O697" s="66"/>
      <c r="P697" s="66"/>
      <c r="Q697" s="66"/>
      <c r="R697" s="66"/>
      <c r="S697" s="66"/>
      <c r="T697" s="66"/>
      <c r="U697" s="66"/>
      <c r="V697" s="66"/>
      <c r="W697" s="66"/>
      <c r="X697" s="66"/>
    </row>
    <row r="698">
      <c r="A698" s="75"/>
      <c r="B698" s="485"/>
      <c r="C698" s="75"/>
      <c r="D698" s="485"/>
      <c r="E698" s="75"/>
      <c r="F698" s="485"/>
      <c r="G698" s="210"/>
      <c r="H698" s="485"/>
      <c r="I698" s="188"/>
      <c r="J698" s="485"/>
      <c r="K698" s="75"/>
      <c r="L698" s="66"/>
      <c r="M698" s="66"/>
      <c r="N698" s="66"/>
      <c r="O698" s="66"/>
      <c r="P698" s="66"/>
      <c r="Q698" s="66"/>
      <c r="R698" s="66"/>
      <c r="S698" s="66"/>
      <c r="T698" s="66"/>
      <c r="U698" s="66"/>
      <c r="V698" s="66"/>
      <c r="W698" s="66"/>
      <c r="X698" s="66"/>
    </row>
    <row r="699">
      <c r="A699" s="75"/>
      <c r="B699" s="485"/>
      <c r="C699" s="75"/>
      <c r="D699" s="485"/>
      <c r="E699" s="75"/>
      <c r="F699" s="485"/>
      <c r="G699" s="210"/>
      <c r="H699" s="485"/>
      <c r="I699" s="188"/>
      <c r="J699" s="485"/>
      <c r="K699" s="75"/>
      <c r="L699" s="66"/>
      <c r="M699" s="66"/>
      <c r="N699" s="66"/>
      <c r="O699" s="66"/>
      <c r="P699" s="66"/>
      <c r="Q699" s="66"/>
      <c r="R699" s="66"/>
      <c r="S699" s="66"/>
      <c r="T699" s="66"/>
      <c r="U699" s="66"/>
      <c r="V699" s="66"/>
      <c r="W699" s="66"/>
      <c r="X699" s="66"/>
    </row>
    <row r="700">
      <c r="A700" s="75"/>
      <c r="B700" s="485"/>
      <c r="C700" s="75"/>
      <c r="D700" s="485"/>
      <c r="E700" s="75"/>
      <c r="F700" s="485"/>
      <c r="G700" s="210"/>
      <c r="H700" s="485"/>
      <c r="I700" s="188"/>
      <c r="J700" s="485"/>
      <c r="K700" s="75"/>
      <c r="L700" s="66"/>
      <c r="M700" s="66"/>
      <c r="N700" s="66"/>
      <c r="O700" s="66"/>
      <c r="P700" s="66"/>
      <c r="Q700" s="66"/>
      <c r="R700" s="66"/>
      <c r="S700" s="66"/>
      <c r="T700" s="66"/>
      <c r="U700" s="66"/>
      <c r="V700" s="66"/>
      <c r="W700" s="66"/>
      <c r="X700" s="66"/>
    </row>
    <row r="701">
      <c r="A701" s="75"/>
      <c r="B701" s="485"/>
      <c r="C701" s="75"/>
      <c r="D701" s="485"/>
      <c r="E701" s="75"/>
      <c r="F701" s="485"/>
      <c r="G701" s="210"/>
      <c r="H701" s="485"/>
      <c r="I701" s="188"/>
      <c r="J701" s="485"/>
      <c r="K701" s="75"/>
      <c r="L701" s="66"/>
      <c r="M701" s="66"/>
      <c r="N701" s="66"/>
      <c r="O701" s="66"/>
      <c r="P701" s="66"/>
      <c r="Q701" s="66"/>
      <c r="R701" s="66"/>
      <c r="S701" s="66"/>
      <c r="T701" s="66"/>
      <c r="U701" s="66"/>
      <c r="V701" s="66"/>
      <c r="W701" s="66"/>
      <c r="X701" s="66"/>
    </row>
    <row r="702">
      <c r="A702" s="75"/>
      <c r="B702" s="485"/>
      <c r="C702" s="75"/>
      <c r="D702" s="485"/>
      <c r="E702" s="75"/>
      <c r="F702" s="485"/>
      <c r="G702" s="210"/>
      <c r="H702" s="485"/>
      <c r="I702" s="188"/>
      <c r="J702" s="485"/>
      <c r="K702" s="75"/>
      <c r="L702" s="66"/>
      <c r="M702" s="66"/>
      <c r="N702" s="66"/>
      <c r="O702" s="66"/>
      <c r="P702" s="66"/>
      <c r="Q702" s="66"/>
      <c r="R702" s="66"/>
      <c r="S702" s="66"/>
      <c r="T702" s="66"/>
      <c r="U702" s="66"/>
      <c r="V702" s="66"/>
      <c r="W702" s="66"/>
      <c r="X702" s="66"/>
    </row>
    <row r="703">
      <c r="A703" s="75"/>
      <c r="B703" s="485"/>
      <c r="C703" s="75"/>
      <c r="D703" s="485"/>
      <c r="E703" s="75"/>
      <c r="F703" s="485"/>
      <c r="G703" s="210"/>
      <c r="H703" s="485"/>
      <c r="I703" s="188"/>
      <c r="J703" s="485"/>
      <c r="K703" s="75"/>
      <c r="L703" s="66"/>
      <c r="M703" s="66"/>
      <c r="N703" s="66"/>
      <c r="O703" s="66"/>
      <c r="P703" s="66"/>
      <c r="Q703" s="66"/>
      <c r="R703" s="66"/>
      <c r="S703" s="66"/>
      <c r="T703" s="66"/>
      <c r="U703" s="66"/>
      <c r="V703" s="66"/>
      <c r="W703" s="66"/>
      <c r="X703" s="66"/>
    </row>
    <row r="704">
      <c r="A704" s="75"/>
      <c r="B704" s="485"/>
      <c r="C704" s="75"/>
      <c r="D704" s="485"/>
      <c r="E704" s="75"/>
      <c r="F704" s="485"/>
      <c r="G704" s="210"/>
      <c r="H704" s="485"/>
      <c r="I704" s="188"/>
      <c r="J704" s="485"/>
      <c r="K704" s="75"/>
      <c r="L704" s="66"/>
      <c r="M704" s="66"/>
      <c r="N704" s="66"/>
      <c r="O704" s="66"/>
      <c r="P704" s="66"/>
      <c r="Q704" s="66"/>
      <c r="R704" s="66"/>
      <c r="S704" s="66"/>
      <c r="T704" s="66"/>
      <c r="U704" s="66"/>
      <c r="V704" s="66"/>
      <c r="W704" s="66"/>
      <c r="X704" s="66"/>
    </row>
    <row r="705">
      <c r="A705" s="75"/>
      <c r="B705" s="485"/>
      <c r="C705" s="75"/>
      <c r="D705" s="485"/>
      <c r="E705" s="75"/>
      <c r="F705" s="485"/>
      <c r="G705" s="210"/>
      <c r="H705" s="485"/>
      <c r="I705" s="188"/>
      <c r="J705" s="485"/>
      <c r="K705" s="75"/>
      <c r="L705" s="66"/>
      <c r="M705" s="66"/>
      <c r="N705" s="66"/>
      <c r="O705" s="66"/>
      <c r="P705" s="66"/>
      <c r="Q705" s="66"/>
      <c r="R705" s="66"/>
      <c r="S705" s="66"/>
      <c r="T705" s="66"/>
      <c r="U705" s="66"/>
      <c r="V705" s="66"/>
      <c r="W705" s="66"/>
      <c r="X705" s="66"/>
    </row>
    <row r="706">
      <c r="A706" s="75"/>
      <c r="B706" s="485"/>
      <c r="C706" s="75"/>
      <c r="D706" s="485"/>
      <c r="E706" s="75"/>
      <c r="F706" s="485"/>
      <c r="G706" s="210"/>
      <c r="H706" s="485"/>
      <c r="I706" s="188"/>
      <c r="J706" s="485"/>
      <c r="K706" s="75"/>
      <c r="L706" s="66"/>
      <c r="M706" s="66"/>
      <c r="N706" s="66"/>
      <c r="O706" s="66"/>
      <c r="P706" s="66"/>
      <c r="Q706" s="66"/>
      <c r="R706" s="66"/>
      <c r="S706" s="66"/>
      <c r="T706" s="66"/>
      <c r="U706" s="66"/>
      <c r="V706" s="66"/>
      <c r="W706" s="66"/>
      <c r="X706" s="66"/>
    </row>
    <row r="707">
      <c r="A707" s="75"/>
      <c r="B707" s="485"/>
      <c r="C707" s="75"/>
      <c r="D707" s="485"/>
      <c r="E707" s="75"/>
      <c r="F707" s="485"/>
      <c r="G707" s="210"/>
      <c r="H707" s="485"/>
      <c r="I707" s="188"/>
      <c r="J707" s="485"/>
      <c r="K707" s="75"/>
      <c r="L707" s="66"/>
      <c r="M707" s="66"/>
      <c r="N707" s="66"/>
      <c r="O707" s="66"/>
      <c r="P707" s="66"/>
      <c r="Q707" s="66"/>
      <c r="R707" s="66"/>
      <c r="S707" s="66"/>
      <c r="T707" s="66"/>
      <c r="U707" s="66"/>
      <c r="V707" s="66"/>
      <c r="W707" s="66"/>
      <c r="X707" s="66"/>
    </row>
    <row r="708">
      <c r="A708" s="75"/>
      <c r="B708" s="485"/>
      <c r="C708" s="75"/>
      <c r="D708" s="485"/>
      <c r="E708" s="75"/>
      <c r="F708" s="485"/>
      <c r="G708" s="210"/>
      <c r="H708" s="485"/>
      <c r="I708" s="188"/>
      <c r="J708" s="485"/>
      <c r="K708" s="75"/>
      <c r="L708" s="66"/>
      <c r="M708" s="66"/>
      <c r="N708" s="66"/>
      <c r="O708" s="66"/>
      <c r="P708" s="66"/>
      <c r="Q708" s="66"/>
      <c r="R708" s="66"/>
      <c r="S708" s="66"/>
      <c r="T708" s="66"/>
      <c r="U708" s="66"/>
      <c r="V708" s="66"/>
      <c r="W708" s="66"/>
      <c r="X708" s="66"/>
    </row>
    <row r="709">
      <c r="A709" s="75"/>
      <c r="B709" s="485"/>
      <c r="C709" s="75"/>
      <c r="D709" s="485"/>
      <c r="E709" s="75"/>
      <c r="F709" s="485"/>
      <c r="G709" s="210"/>
      <c r="H709" s="485"/>
      <c r="I709" s="188"/>
      <c r="J709" s="485"/>
      <c r="K709" s="75"/>
      <c r="L709" s="66"/>
      <c r="M709" s="66"/>
      <c r="N709" s="66"/>
      <c r="O709" s="66"/>
      <c r="P709" s="66"/>
      <c r="Q709" s="66"/>
      <c r="R709" s="66"/>
      <c r="S709" s="66"/>
      <c r="T709" s="66"/>
      <c r="U709" s="66"/>
      <c r="V709" s="66"/>
      <c r="W709" s="66"/>
      <c r="X709" s="66"/>
    </row>
    <row r="710">
      <c r="A710" s="75"/>
      <c r="B710" s="485"/>
      <c r="C710" s="75"/>
      <c r="D710" s="485"/>
      <c r="E710" s="75"/>
      <c r="F710" s="485"/>
      <c r="G710" s="210"/>
      <c r="H710" s="485"/>
      <c r="I710" s="188"/>
      <c r="J710" s="485"/>
      <c r="K710" s="75"/>
      <c r="L710" s="66"/>
      <c r="M710" s="66"/>
      <c r="N710" s="66"/>
      <c r="O710" s="66"/>
      <c r="P710" s="66"/>
      <c r="Q710" s="66"/>
      <c r="R710" s="66"/>
      <c r="S710" s="66"/>
      <c r="T710" s="66"/>
      <c r="U710" s="66"/>
      <c r="V710" s="66"/>
      <c r="W710" s="66"/>
      <c r="X710" s="66"/>
    </row>
    <row r="711">
      <c r="A711" s="75"/>
      <c r="B711" s="485"/>
      <c r="C711" s="75"/>
      <c r="D711" s="485"/>
      <c r="E711" s="75"/>
      <c r="F711" s="485"/>
      <c r="G711" s="210"/>
      <c r="H711" s="485"/>
      <c r="I711" s="188"/>
      <c r="J711" s="485"/>
      <c r="K711" s="75"/>
      <c r="L711" s="66"/>
      <c r="M711" s="66"/>
      <c r="N711" s="66"/>
      <c r="O711" s="66"/>
      <c r="P711" s="66"/>
      <c r="Q711" s="66"/>
      <c r="R711" s="66"/>
      <c r="S711" s="66"/>
      <c r="T711" s="66"/>
      <c r="U711" s="66"/>
      <c r="V711" s="66"/>
      <c r="W711" s="66"/>
      <c r="X711" s="66"/>
    </row>
    <row r="712">
      <c r="A712" s="75"/>
      <c r="B712" s="485"/>
      <c r="C712" s="75"/>
      <c r="D712" s="485"/>
      <c r="E712" s="75"/>
      <c r="F712" s="485"/>
      <c r="G712" s="210"/>
      <c r="H712" s="485"/>
      <c r="I712" s="188"/>
      <c r="J712" s="485"/>
      <c r="K712" s="75"/>
      <c r="L712" s="66"/>
      <c r="M712" s="66"/>
      <c r="N712" s="66"/>
      <c r="O712" s="66"/>
      <c r="P712" s="66"/>
      <c r="Q712" s="66"/>
      <c r="R712" s="66"/>
      <c r="S712" s="66"/>
      <c r="T712" s="66"/>
      <c r="U712" s="66"/>
      <c r="V712" s="66"/>
      <c r="W712" s="66"/>
      <c r="X712" s="66"/>
    </row>
    <row r="713">
      <c r="A713" s="75"/>
      <c r="B713" s="485"/>
      <c r="C713" s="75"/>
      <c r="D713" s="485"/>
      <c r="E713" s="75"/>
      <c r="F713" s="485"/>
      <c r="G713" s="210"/>
      <c r="H713" s="485"/>
      <c r="I713" s="188"/>
      <c r="J713" s="485"/>
      <c r="K713" s="75"/>
      <c r="L713" s="66"/>
      <c r="M713" s="66"/>
      <c r="N713" s="66"/>
      <c r="O713" s="66"/>
      <c r="P713" s="66"/>
      <c r="Q713" s="66"/>
      <c r="R713" s="66"/>
      <c r="S713" s="66"/>
      <c r="T713" s="66"/>
      <c r="U713" s="66"/>
      <c r="V713" s="66"/>
      <c r="W713" s="66"/>
      <c r="X713" s="66"/>
    </row>
    <row r="714">
      <c r="A714" s="75"/>
      <c r="B714" s="485"/>
      <c r="C714" s="75"/>
      <c r="D714" s="485"/>
      <c r="E714" s="75"/>
      <c r="F714" s="485"/>
      <c r="G714" s="210"/>
      <c r="H714" s="485"/>
      <c r="I714" s="188"/>
      <c r="J714" s="485"/>
      <c r="K714" s="75"/>
      <c r="L714" s="66"/>
      <c r="M714" s="66"/>
      <c r="N714" s="66"/>
      <c r="O714" s="66"/>
      <c r="P714" s="66"/>
      <c r="Q714" s="66"/>
      <c r="R714" s="66"/>
      <c r="S714" s="66"/>
      <c r="T714" s="66"/>
      <c r="U714" s="66"/>
      <c r="V714" s="66"/>
      <c r="W714" s="66"/>
      <c r="X714" s="66"/>
    </row>
    <row r="715">
      <c r="A715" s="75"/>
      <c r="B715" s="485"/>
      <c r="C715" s="75"/>
      <c r="D715" s="485"/>
      <c r="E715" s="75"/>
      <c r="F715" s="485"/>
      <c r="G715" s="210"/>
      <c r="H715" s="485"/>
      <c r="I715" s="188"/>
      <c r="J715" s="485"/>
      <c r="K715" s="75"/>
      <c r="L715" s="66"/>
      <c r="M715" s="66"/>
      <c r="N715" s="66"/>
      <c r="O715" s="66"/>
      <c r="P715" s="66"/>
      <c r="Q715" s="66"/>
      <c r="R715" s="66"/>
      <c r="S715" s="66"/>
      <c r="T715" s="66"/>
      <c r="U715" s="66"/>
      <c r="V715" s="66"/>
      <c r="W715" s="66"/>
      <c r="X715" s="66"/>
    </row>
    <row r="716">
      <c r="A716" s="75"/>
      <c r="B716" s="485"/>
      <c r="C716" s="75"/>
      <c r="D716" s="485"/>
      <c r="E716" s="75"/>
      <c r="F716" s="485"/>
      <c r="G716" s="210"/>
      <c r="H716" s="485"/>
      <c r="I716" s="188"/>
      <c r="J716" s="485"/>
      <c r="K716" s="75"/>
      <c r="L716" s="66"/>
      <c r="M716" s="66"/>
      <c r="N716" s="66"/>
      <c r="O716" s="66"/>
      <c r="P716" s="66"/>
      <c r="Q716" s="66"/>
      <c r="R716" s="66"/>
      <c r="S716" s="66"/>
      <c r="T716" s="66"/>
      <c r="U716" s="66"/>
      <c r="V716" s="66"/>
      <c r="W716" s="66"/>
      <c r="X716" s="66"/>
    </row>
    <row r="717">
      <c r="A717" s="75"/>
      <c r="B717" s="485"/>
      <c r="C717" s="75"/>
      <c r="D717" s="485"/>
      <c r="E717" s="75"/>
      <c r="F717" s="485"/>
      <c r="G717" s="210"/>
      <c r="H717" s="485"/>
      <c r="I717" s="188"/>
      <c r="J717" s="485"/>
      <c r="K717" s="75"/>
      <c r="L717" s="66"/>
      <c r="M717" s="66"/>
      <c r="N717" s="66"/>
      <c r="O717" s="66"/>
      <c r="P717" s="66"/>
      <c r="Q717" s="66"/>
      <c r="R717" s="66"/>
      <c r="S717" s="66"/>
      <c r="T717" s="66"/>
      <c r="U717" s="66"/>
      <c r="V717" s="66"/>
      <c r="W717" s="66"/>
      <c r="X717" s="66"/>
    </row>
    <row r="718">
      <c r="A718" s="75"/>
      <c r="B718" s="485"/>
      <c r="C718" s="75"/>
      <c r="D718" s="485"/>
      <c r="E718" s="75"/>
      <c r="F718" s="485"/>
      <c r="G718" s="210"/>
      <c r="H718" s="485"/>
      <c r="I718" s="188"/>
      <c r="J718" s="485"/>
      <c r="K718" s="75"/>
      <c r="L718" s="66"/>
      <c r="M718" s="66"/>
      <c r="N718" s="66"/>
      <c r="O718" s="66"/>
      <c r="P718" s="66"/>
      <c r="Q718" s="66"/>
      <c r="R718" s="66"/>
      <c r="S718" s="66"/>
      <c r="T718" s="66"/>
      <c r="U718" s="66"/>
      <c r="V718" s="66"/>
      <c r="W718" s="66"/>
      <c r="X718" s="66"/>
    </row>
    <row r="719">
      <c r="A719" s="75"/>
      <c r="B719" s="485"/>
      <c r="C719" s="75"/>
      <c r="D719" s="485"/>
      <c r="E719" s="75"/>
      <c r="F719" s="485"/>
      <c r="G719" s="210"/>
      <c r="H719" s="485"/>
      <c r="I719" s="188"/>
      <c r="J719" s="485"/>
      <c r="K719" s="75"/>
      <c r="L719" s="66"/>
      <c r="M719" s="66"/>
      <c r="N719" s="66"/>
      <c r="O719" s="66"/>
      <c r="P719" s="66"/>
      <c r="Q719" s="66"/>
      <c r="R719" s="66"/>
      <c r="S719" s="66"/>
      <c r="T719" s="66"/>
      <c r="U719" s="66"/>
      <c r="V719" s="66"/>
      <c r="W719" s="66"/>
      <c r="X719" s="66"/>
    </row>
    <row r="720">
      <c r="A720" s="75"/>
      <c r="B720" s="485"/>
      <c r="C720" s="75"/>
      <c r="D720" s="485"/>
      <c r="E720" s="75"/>
      <c r="F720" s="485"/>
      <c r="G720" s="210"/>
      <c r="H720" s="485"/>
      <c r="I720" s="188"/>
      <c r="J720" s="485"/>
      <c r="K720" s="75"/>
      <c r="L720" s="66"/>
      <c r="M720" s="66"/>
      <c r="N720" s="66"/>
      <c r="O720" s="66"/>
      <c r="P720" s="66"/>
      <c r="Q720" s="66"/>
      <c r="R720" s="66"/>
      <c r="S720" s="66"/>
      <c r="T720" s="66"/>
      <c r="U720" s="66"/>
      <c r="V720" s="66"/>
      <c r="W720" s="66"/>
      <c r="X720" s="66"/>
    </row>
    <row r="721">
      <c r="A721" s="75"/>
      <c r="B721" s="485"/>
      <c r="C721" s="75"/>
      <c r="D721" s="485"/>
      <c r="E721" s="75"/>
      <c r="F721" s="485"/>
      <c r="G721" s="210"/>
      <c r="H721" s="485"/>
      <c r="I721" s="188"/>
      <c r="J721" s="485"/>
      <c r="K721" s="75"/>
      <c r="L721" s="66"/>
      <c r="M721" s="66"/>
      <c r="N721" s="66"/>
      <c r="O721" s="66"/>
      <c r="P721" s="66"/>
      <c r="Q721" s="66"/>
      <c r="R721" s="66"/>
      <c r="S721" s="66"/>
      <c r="T721" s="66"/>
      <c r="U721" s="66"/>
      <c r="V721" s="66"/>
      <c r="W721" s="66"/>
      <c r="X721" s="66"/>
    </row>
    <row r="722">
      <c r="A722" s="75"/>
      <c r="B722" s="485"/>
      <c r="C722" s="75"/>
      <c r="D722" s="485"/>
      <c r="E722" s="75"/>
      <c r="F722" s="485"/>
      <c r="G722" s="210"/>
      <c r="H722" s="485"/>
      <c r="I722" s="188"/>
      <c r="J722" s="485"/>
      <c r="K722" s="75"/>
      <c r="L722" s="66"/>
      <c r="M722" s="66"/>
      <c r="N722" s="66"/>
      <c r="O722" s="66"/>
      <c r="P722" s="66"/>
      <c r="Q722" s="66"/>
      <c r="R722" s="66"/>
      <c r="S722" s="66"/>
      <c r="T722" s="66"/>
      <c r="U722" s="66"/>
      <c r="V722" s="66"/>
      <c r="W722" s="66"/>
      <c r="X722" s="66"/>
    </row>
    <row r="723">
      <c r="A723" s="75"/>
      <c r="B723" s="485"/>
      <c r="C723" s="75"/>
      <c r="D723" s="485"/>
      <c r="E723" s="75"/>
      <c r="F723" s="485"/>
      <c r="G723" s="210"/>
      <c r="H723" s="485"/>
      <c r="I723" s="188"/>
      <c r="J723" s="485"/>
      <c r="K723" s="75"/>
      <c r="L723" s="66"/>
      <c r="M723" s="66"/>
      <c r="N723" s="66"/>
      <c r="O723" s="66"/>
      <c r="P723" s="66"/>
      <c r="Q723" s="66"/>
      <c r="R723" s="66"/>
      <c r="S723" s="66"/>
      <c r="T723" s="66"/>
      <c r="U723" s="66"/>
      <c r="V723" s="66"/>
      <c r="W723" s="66"/>
      <c r="X723" s="66"/>
    </row>
    <row r="724">
      <c r="A724" s="75"/>
      <c r="B724" s="485"/>
      <c r="C724" s="75"/>
      <c r="D724" s="485"/>
      <c r="E724" s="75"/>
      <c r="F724" s="485"/>
      <c r="G724" s="210"/>
      <c r="H724" s="485"/>
      <c r="I724" s="188"/>
      <c r="J724" s="485"/>
      <c r="K724" s="75"/>
      <c r="L724" s="66"/>
      <c r="M724" s="66"/>
      <c r="N724" s="66"/>
      <c r="O724" s="66"/>
      <c r="P724" s="66"/>
      <c r="Q724" s="66"/>
      <c r="R724" s="66"/>
      <c r="S724" s="66"/>
      <c r="T724" s="66"/>
      <c r="U724" s="66"/>
      <c r="V724" s="66"/>
      <c r="W724" s="66"/>
      <c r="X724" s="66"/>
    </row>
    <row r="725">
      <c r="A725" s="75"/>
      <c r="B725" s="485"/>
      <c r="C725" s="75"/>
      <c r="D725" s="485"/>
      <c r="E725" s="75"/>
      <c r="F725" s="485"/>
      <c r="G725" s="210"/>
      <c r="H725" s="485"/>
      <c r="I725" s="188"/>
      <c r="J725" s="485"/>
      <c r="K725" s="75"/>
      <c r="L725" s="66"/>
      <c r="M725" s="66"/>
      <c r="N725" s="66"/>
      <c r="O725" s="66"/>
      <c r="P725" s="66"/>
      <c r="Q725" s="66"/>
      <c r="R725" s="66"/>
      <c r="S725" s="66"/>
      <c r="T725" s="66"/>
      <c r="U725" s="66"/>
      <c r="V725" s="66"/>
      <c r="W725" s="66"/>
      <c r="X725" s="66"/>
    </row>
    <row r="726">
      <c r="A726" s="75"/>
      <c r="B726" s="485"/>
      <c r="C726" s="75"/>
      <c r="D726" s="485"/>
      <c r="E726" s="75"/>
      <c r="F726" s="485"/>
      <c r="G726" s="210"/>
      <c r="H726" s="485"/>
      <c r="I726" s="188"/>
      <c r="J726" s="485"/>
      <c r="K726" s="75"/>
      <c r="L726" s="66"/>
      <c r="M726" s="66"/>
      <c r="N726" s="66"/>
      <c r="O726" s="66"/>
      <c r="P726" s="66"/>
      <c r="Q726" s="66"/>
      <c r="R726" s="66"/>
      <c r="S726" s="66"/>
      <c r="T726" s="66"/>
      <c r="U726" s="66"/>
      <c r="V726" s="66"/>
      <c r="W726" s="66"/>
      <c r="X726" s="66"/>
    </row>
    <row r="727">
      <c r="A727" s="75"/>
      <c r="B727" s="485"/>
      <c r="C727" s="75"/>
      <c r="D727" s="485"/>
      <c r="E727" s="75"/>
      <c r="F727" s="485"/>
      <c r="G727" s="210"/>
      <c r="H727" s="485"/>
      <c r="I727" s="188"/>
      <c r="J727" s="485"/>
      <c r="K727" s="75"/>
      <c r="L727" s="66"/>
      <c r="M727" s="66"/>
      <c r="N727" s="66"/>
      <c r="O727" s="66"/>
      <c r="P727" s="66"/>
      <c r="Q727" s="66"/>
      <c r="R727" s="66"/>
      <c r="S727" s="66"/>
      <c r="T727" s="66"/>
      <c r="U727" s="66"/>
      <c r="V727" s="66"/>
      <c r="W727" s="66"/>
      <c r="X727" s="66"/>
    </row>
    <row r="728">
      <c r="A728" s="75"/>
      <c r="B728" s="485"/>
      <c r="C728" s="75"/>
      <c r="D728" s="485"/>
      <c r="E728" s="75"/>
      <c r="F728" s="485"/>
      <c r="G728" s="210"/>
      <c r="H728" s="485"/>
      <c r="I728" s="188"/>
      <c r="J728" s="485"/>
      <c r="K728" s="75"/>
      <c r="L728" s="66"/>
      <c r="M728" s="66"/>
      <c r="N728" s="66"/>
      <c r="O728" s="66"/>
      <c r="P728" s="66"/>
      <c r="Q728" s="66"/>
      <c r="R728" s="66"/>
      <c r="S728" s="66"/>
      <c r="T728" s="66"/>
      <c r="U728" s="66"/>
      <c r="V728" s="66"/>
      <c r="W728" s="66"/>
      <c r="X728" s="66"/>
    </row>
    <row r="729">
      <c r="A729" s="75"/>
      <c r="B729" s="485"/>
      <c r="C729" s="75"/>
      <c r="D729" s="485"/>
      <c r="E729" s="75"/>
      <c r="F729" s="485"/>
      <c r="G729" s="210"/>
      <c r="H729" s="485"/>
      <c r="I729" s="188"/>
      <c r="J729" s="485"/>
      <c r="K729" s="75"/>
      <c r="L729" s="66"/>
      <c r="M729" s="66"/>
      <c r="N729" s="66"/>
      <c r="O729" s="66"/>
      <c r="P729" s="66"/>
      <c r="Q729" s="66"/>
      <c r="R729" s="66"/>
      <c r="S729" s="66"/>
      <c r="T729" s="66"/>
      <c r="U729" s="66"/>
      <c r="V729" s="66"/>
      <c r="W729" s="66"/>
      <c r="X729" s="66"/>
    </row>
    <row r="730">
      <c r="A730" s="75"/>
      <c r="B730" s="485"/>
      <c r="C730" s="75"/>
      <c r="D730" s="485"/>
      <c r="E730" s="75"/>
      <c r="F730" s="485"/>
      <c r="G730" s="210"/>
      <c r="H730" s="485"/>
      <c r="I730" s="188"/>
      <c r="J730" s="485"/>
      <c r="K730" s="75"/>
      <c r="L730" s="66"/>
      <c r="M730" s="66"/>
      <c r="N730" s="66"/>
      <c r="O730" s="66"/>
      <c r="P730" s="66"/>
      <c r="Q730" s="66"/>
      <c r="R730" s="66"/>
      <c r="S730" s="66"/>
      <c r="T730" s="66"/>
      <c r="U730" s="66"/>
      <c r="V730" s="66"/>
      <c r="W730" s="66"/>
      <c r="X730" s="66"/>
    </row>
    <row r="731">
      <c r="A731" s="75"/>
      <c r="B731" s="485"/>
      <c r="C731" s="75"/>
      <c r="D731" s="485"/>
      <c r="E731" s="75"/>
      <c r="F731" s="485"/>
      <c r="G731" s="210"/>
      <c r="H731" s="485"/>
      <c r="I731" s="188"/>
      <c r="J731" s="485"/>
      <c r="K731" s="75"/>
      <c r="L731" s="66"/>
      <c r="M731" s="66"/>
      <c r="N731" s="66"/>
      <c r="O731" s="66"/>
      <c r="P731" s="66"/>
      <c r="Q731" s="66"/>
      <c r="R731" s="66"/>
      <c r="S731" s="66"/>
      <c r="T731" s="66"/>
      <c r="U731" s="66"/>
      <c r="V731" s="66"/>
      <c r="W731" s="66"/>
      <c r="X731" s="66"/>
    </row>
    <row r="732">
      <c r="A732" s="75"/>
      <c r="B732" s="485"/>
      <c r="C732" s="75"/>
      <c r="D732" s="485"/>
      <c r="E732" s="75"/>
      <c r="F732" s="485"/>
      <c r="G732" s="210"/>
      <c r="H732" s="485"/>
      <c r="I732" s="188"/>
      <c r="J732" s="485"/>
      <c r="K732" s="75"/>
      <c r="L732" s="66"/>
      <c r="M732" s="66"/>
      <c r="N732" s="66"/>
      <c r="O732" s="66"/>
      <c r="P732" s="66"/>
      <c r="Q732" s="66"/>
      <c r="R732" s="66"/>
      <c r="S732" s="66"/>
      <c r="T732" s="66"/>
      <c r="U732" s="66"/>
      <c r="V732" s="66"/>
      <c r="W732" s="66"/>
      <c r="X732" s="66"/>
    </row>
    <row r="733">
      <c r="A733" s="75"/>
      <c r="B733" s="485"/>
      <c r="C733" s="75"/>
      <c r="D733" s="485"/>
      <c r="E733" s="75"/>
      <c r="F733" s="485"/>
      <c r="G733" s="210"/>
      <c r="H733" s="485"/>
      <c r="I733" s="188"/>
      <c r="J733" s="485"/>
      <c r="K733" s="75"/>
      <c r="L733" s="66"/>
      <c r="M733" s="66"/>
      <c r="N733" s="66"/>
      <c r="O733" s="66"/>
      <c r="P733" s="66"/>
      <c r="Q733" s="66"/>
      <c r="R733" s="66"/>
      <c r="S733" s="66"/>
      <c r="T733" s="66"/>
      <c r="U733" s="66"/>
      <c r="V733" s="66"/>
      <c r="W733" s="66"/>
      <c r="X733" s="66"/>
    </row>
    <row r="734">
      <c r="A734" s="75"/>
      <c r="B734" s="485"/>
      <c r="C734" s="75"/>
      <c r="D734" s="485"/>
      <c r="E734" s="75"/>
      <c r="F734" s="485"/>
      <c r="G734" s="210"/>
      <c r="H734" s="485"/>
      <c r="I734" s="188"/>
      <c r="J734" s="485"/>
      <c r="K734" s="75"/>
      <c r="L734" s="66"/>
      <c r="M734" s="66"/>
      <c r="N734" s="66"/>
      <c r="O734" s="66"/>
      <c r="P734" s="66"/>
      <c r="Q734" s="66"/>
      <c r="R734" s="66"/>
      <c r="S734" s="66"/>
      <c r="T734" s="66"/>
      <c r="U734" s="66"/>
      <c r="V734" s="66"/>
      <c r="W734" s="66"/>
      <c r="X734" s="66"/>
    </row>
    <row r="735">
      <c r="A735" s="75"/>
      <c r="B735" s="485"/>
      <c r="C735" s="75"/>
      <c r="D735" s="485"/>
      <c r="E735" s="75"/>
      <c r="F735" s="485"/>
      <c r="G735" s="210"/>
      <c r="H735" s="485"/>
      <c r="I735" s="188"/>
      <c r="J735" s="485"/>
      <c r="K735" s="75"/>
      <c r="L735" s="66"/>
      <c r="M735" s="66"/>
      <c r="N735" s="66"/>
      <c r="O735" s="66"/>
      <c r="P735" s="66"/>
      <c r="Q735" s="66"/>
      <c r="R735" s="66"/>
      <c r="S735" s="66"/>
      <c r="T735" s="66"/>
      <c r="U735" s="66"/>
      <c r="V735" s="66"/>
      <c r="W735" s="66"/>
      <c r="X735" s="66"/>
    </row>
    <row r="736">
      <c r="A736" s="75"/>
      <c r="B736" s="485"/>
      <c r="C736" s="75"/>
      <c r="D736" s="485"/>
      <c r="E736" s="75"/>
      <c r="F736" s="485"/>
      <c r="G736" s="210"/>
      <c r="H736" s="485"/>
      <c r="I736" s="188"/>
      <c r="J736" s="485"/>
      <c r="K736" s="75"/>
      <c r="L736" s="66"/>
      <c r="M736" s="66"/>
      <c r="N736" s="66"/>
      <c r="O736" s="66"/>
      <c r="P736" s="66"/>
      <c r="Q736" s="66"/>
      <c r="R736" s="66"/>
      <c r="S736" s="66"/>
      <c r="T736" s="66"/>
      <c r="U736" s="66"/>
      <c r="V736" s="66"/>
      <c r="W736" s="66"/>
      <c r="X736" s="66"/>
    </row>
    <row r="737">
      <c r="A737" s="75"/>
      <c r="B737" s="485"/>
      <c r="C737" s="75"/>
      <c r="D737" s="485"/>
      <c r="E737" s="75"/>
      <c r="F737" s="485"/>
      <c r="G737" s="210"/>
      <c r="H737" s="485"/>
      <c r="I737" s="188"/>
      <c r="J737" s="485"/>
      <c r="K737" s="75"/>
      <c r="L737" s="66"/>
      <c r="M737" s="66"/>
      <c r="N737" s="66"/>
      <c r="O737" s="66"/>
      <c r="P737" s="66"/>
      <c r="Q737" s="66"/>
      <c r="R737" s="66"/>
      <c r="S737" s="66"/>
      <c r="T737" s="66"/>
      <c r="U737" s="66"/>
      <c r="V737" s="66"/>
      <c r="W737" s="66"/>
      <c r="X737" s="66"/>
    </row>
    <row r="738">
      <c r="A738" s="75"/>
      <c r="B738" s="485"/>
      <c r="C738" s="75"/>
      <c r="D738" s="485"/>
      <c r="E738" s="75"/>
      <c r="F738" s="485"/>
      <c r="G738" s="210"/>
      <c r="H738" s="485"/>
      <c r="I738" s="188"/>
      <c r="J738" s="485"/>
      <c r="K738" s="75"/>
      <c r="L738" s="66"/>
      <c r="M738" s="66"/>
      <c r="N738" s="66"/>
      <c r="O738" s="66"/>
      <c r="P738" s="66"/>
      <c r="Q738" s="66"/>
      <c r="R738" s="66"/>
      <c r="S738" s="66"/>
      <c r="T738" s="66"/>
      <c r="U738" s="66"/>
      <c r="V738" s="66"/>
      <c r="W738" s="66"/>
      <c r="X738" s="66"/>
    </row>
    <row r="739">
      <c r="A739" s="75"/>
      <c r="B739" s="485"/>
      <c r="C739" s="75"/>
      <c r="D739" s="485"/>
      <c r="E739" s="75"/>
      <c r="F739" s="485"/>
      <c r="G739" s="210"/>
      <c r="H739" s="485"/>
      <c r="I739" s="188"/>
      <c r="J739" s="485"/>
      <c r="K739" s="75"/>
      <c r="L739" s="66"/>
      <c r="M739" s="66"/>
      <c r="N739" s="66"/>
      <c r="O739" s="66"/>
      <c r="P739" s="66"/>
      <c r="Q739" s="66"/>
      <c r="R739" s="66"/>
      <c r="S739" s="66"/>
      <c r="T739" s="66"/>
      <c r="U739" s="66"/>
      <c r="V739" s="66"/>
      <c r="W739" s="66"/>
      <c r="X739" s="66"/>
    </row>
    <row r="740">
      <c r="A740" s="75"/>
      <c r="B740" s="485"/>
      <c r="C740" s="75"/>
      <c r="D740" s="485"/>
      <c r="E740" s="75"/>
      <c r="F740" s="485"/>
      <c r="G740" s="210"/>
      <c r="H740" s="485"/>
      <c r="I740" s="188"/>
      <c r="J740" s="485"/>
      <c r="K740" s="75"/>
      <c r="L740" s="66"/>
      <c r="M740" s="66"/>
      <c r="N740" s="66"/>
      <c r="O740" s="66"/>
      <c r="P740" s="66"/>
      <c r="Q740" s="66"/>
      <c r="R740" s="66"/>
      <c r="S740" s="66"/>
      <c r="T740" s="66"/>
      <c r="U740" s="66"/>
      <c r="V740" s="66"/>
      <c r="W740" s="66"/>
      <c r="X740" s="66"/>
    </row>
    <row r="741">
      <c r="A741" s="75"/>
      <c r="B741" s="485"/>
      <c r="C741" s="75"/>
      <c r="D741" s="485"/>
      <c r="E741" s="75"/>
      <c r="F741" s="485"/>
      <c r="G741" s="210"/>
      <c r="H741" s="485"/>
      <c r="I741" s="188"/>
      <c r="J741" s="485"/>
      <c r="K741" s="75"/>
      <c r="L741" s="66"/>
      <c r="M741" s="66"/>
      <c r="N741" s="66"/>
      <c r="O741" s="66"/>
      <c r="P741" s="66"/>
      <c r="Q741" s="66"/>
      <c r="R741" s="66"/>
      <c r="S741" s="66"/>
      <c r="T741" s="66"/>
      <c r="U741" s="66"/>
      <c r="V741" s="66"/>
      <c r="W741" s="66"/>
      <c r="X741" s="66"/>
    </row>
    <row r="742">
      <c r="A742" s="75"/>
      <c r="B742" s="485"/>
      <c r="C742" s="75"/>
      <c r="D742" s="485"/>
      <c r="E742" s="75"/>
      <c r="F742" s="485"/>
      <c r="G742" s="210"/>
      <c r="H742" s="485"/>
      <c r="I742" s="188"/>
      <c r="J742" s="485"/>
      <c r="K742" s="75"/>
      <c r="L742" s="66"/>
      <c r="M742" s="66"/>
      <c r="N742" s="66"/>
      <c r="O742" s="66"/>
      <c r="P742" s="66"/>
      <c r="Q742" s="66"/>
      <c r="R742" s="66"/>
      <c r="S742" s="66"/>
      <c r="T742" s="66"/>
      <c r="U742" s="66"/>
      <c r="V742" s="66"/>
      <c r="W742" s="66"/>
      <c r="X742" s="66"/>
    </row>
    <row r="743">
      <c r="A743" s="75"/>
      <c r="B743" s="485"/>
      <c r="C743" s="75"/>
      <c r="D743" s="485"/>
      <c r="E743" s="75"/>
      <c r="F743" s="485"/>
      <c r="G743" s="210"/>
      <c r="H743" s="485"/>
      <c r="I743" s="188"/>
      <c r="J743" s="485"/>
      <c r="K743" s="75"/>
      <c r="L743" s="66"/>
      <c r="M743" s="66"/>
      <c r="N743" s="66"/>
      <c r="O743" s="66"/>
      <c r="P743" s="66"/>
      <c r="Q743" s="66"/>
      <c r="R743" s="66"/>
      <c r="S743" s="66"/>
      <c r="T743" s="66"/>
      <c r="U743" s="66"/>
      <c r="V743" s="66"/>
      <c r="W743" s="66"/>
      <c r="X743" s="66"/>
    </row>
    <row r="744">
      <c r="A744" s="75"/>
      <c r="B744" s="485"/>
      <c r="C744" s="75"/>
      <c r="D744" s="485"/>
      <c r="E744" s="75"/>
      <c r="F744" s="485"/>
      <c r="G744" s="210"/>
      <c r="H744" s="485"/>
      <c r="I744" s="188"/>
      <c r="J744" s="485"/>
      <c r="K744" s="75"/>
      <c r="L744" s="66"/>
      <c r="M744" s="66"/>
      <c r="N744" s="66"/>
      <c r="O744" s="66"/>
      <c r="P744" s="66"/>
      <c r="Q744" s="66"/>
      <c r="R744" s="66"/>
      <c r="S744" s="66"/>
      <c r="T744" s="66"/>
      <c r="U744" s="66"/>
      <c r="V744" s="66"/>
      <c r="W744" s="66"/>
      <c r="X744" s="66"/>
    </row>
    <row r="745">
      <c r="A745" s="75"/>
      <c r="B745" s="485"/>
      <c r="C745" s="75"/>
      <c r="D745" s="485"/>
      <c r="E745" s="75"/>
      <c r="F745" s="485"/>
      <c r="G745" s="210"/>
      <c r="H745" s="485"/>
      <c r="I745" s="188"/>
      <c r="J745" s="485"/>
      <c r="K745" s="75"/>
      <c r="L745" s="66"/>
      <c r="M745" s="66"/>
      <c r="N745" s="66"/>
      <c r="O745" s="66"/>
      <c r="P745" s="66"/>
      <c r="Q745" s="66"/>
      <c r="R745" s="66"/>
      <c r="S745" s="66"/>
      <c r="T745" s="66"/>
      <c r="U745" s="66"/>
      <c r="V745" s="66"/>
      <c r="W745" s="66"/>
      <c r="X745" s="66"/>
    </row>
    <row r="746">
      <c r="A746" s="75"/>
      <c r="B746" s="485"/>
      <c r="C746" s="75"/>
      <c r="D746" s="485"/>
      <c r="E746" s="75"/>
      <c r="F746" s="485"/>
      <c r="G746" s="210"/>
      <c r="H746" s="485"/>
      <c r="I746" s="188"/>
      <c r="J746" s="485"/>
      <c r="K746" s="75"/>
      <c r="L746" s="66"/>
      <c r="M746" s="66"/>
      <c r="N746" s="66"/>
      <c r="O746" s="66"/>
      <c r="P746" s="66"/>
      <c r="Q746" s="66"/>
      <c r="R746" s="66"/>
      <c r="S746" s="66"/>
      <c r="T746" s="66"/>
      <c r="U746" s="66"/>
      <c r="V746" s="66"/>
      <c r="W746" s="66"/>
      <c r="X746" s="66"/>
    </row>
    <row r="747">
      <c r="A747" s="75"/>
      <c r="B747" s="485"/>
      <c r="C747" s="75"/>
      <c r="D747" s="485"/>
      <c r="E747" s="75"/>
      <c r="F747" s="485"/>
      <c r="G747" s="210"/>
      <c r="H747" s="485"/>
      <c r="I747" s="188"/>
      <c r="J747" s="485"/>
      <c r="K747" s="75"/>
      <c r="L747" s="66"/>
      <c r="M747" s="66"/>
      <c r="N747" s="66"/>
      <c r="O747" s="66"/>
      <c r="P747" s="66"/>
      <c r="Q747" s="66"/>
      <c r="R747" s="66"/>
      <c r="S747" s="66"/>
      <c r="T747" s="66"/>
      <c r="U747" s="66"/>
      <c r="V747" s="66"/>
      <c r="W747" s="66"/>
      <c r="X747" s="66"/>
    </row>
    <row r="748">
      <c r="A748" s="75"/>
      <c r="B748" s="485"/>
      <c r="C748" s="75"/>
      <c r="D748" s="485"/>
      <c r="E748" s="75"/>
      <c r="F748" s="485"/>
      <c r="G748" s="210"/>
      <c r="H748" s="485"/>
      <c r="I748" s="188"/>
      <c r="J748" s="485"/>
      <c r="K748" s="75"/>
      <c r="L748" s="66"/>
      <c r="M748" s="66"/>
      <c r="N748" s="66"/>
      <c r="O748" s="66"/>
      <c r="P748" s="66"/>
      <c r="Q748" s="66"/>
      <c r="R748" s="66"/>
      <c r="S748" s="66"/>
      <c r="T748" s="66"/>
      <c r="U748" s="66"/>
      <c r="V748" s="66"/>
      <c r="W748" s="66"/>
      <c r="X748" s="66"/>
    </row>
    <row r="749">
      <c r="A749" s="75"/>
      <c r="B749" s="485"/>
      <c r="C749" s="75"/>
      <c r="D749" s="485"/>
      <c r="E749" s="75"/>
      <c r="F749" s="485"/>
      <c r="G749" s="210"/>
      <c r="H749" s="485"/>
      <c r="I749" s="188"/>
      <c r="J749" s="485"/>
      <c r="K749" s="75"/>
      <c r="L749" s="66"/>
      <c r="M749" s="66"/>
      <c r="N749" s="66"/>
      <c r="O749" s="66"/>
      <c r="P749" s="66"/>
      <c r="Q749" s="66"/>
      <c r="R749" s="66"/>
      <c r="S749" s="66"/>
      <c r="T749" s="66"/>
      <c r="U749" s="66"/>
      <c r="V749" s="66"/>
      <c r="W749" s="66"/>
      <c r="X749" s="66"/>
    </row>
    <row r="750">
      <c r="A750" s="75"/>
      <c r="B750" s="485"/>
      <c r="C750" s="75"/>
      <c r="D750" s="485"/>
      <c r="E750" s="75"/>
      <c r="F750" s="485"/>
      <c r="G750" s="210"/>
      <c r="H750" s="485"/>
      <c r="I750" s="188"/>
      <c r="J750" s="485"/>
      <c r="K750" s="75"/>
      <c r="L750" s="66"/>
      <c r="M750" s="66"/>
      <c r="N750" s="66"/>
      <c r="O750" s="66"/>
      <c r="P750" s="66"/>
      <c r="Q750" s="66"/>
      <c r="R750" s="66"/>
      <c r="S750" s="66"/>
      <c r="T750" s="66"/>
      <c r="U750" s="66"/>
      <c r="V750" s="66"/>
      <c r="W750" s="66"/>
      <c r="X750" s="66"/>
    </row>
    <row r="751">
      <c r="A751" s="75"/>
      <c r="B751" s="485"/>
      <c r="C751" s="75"/>
      <c r="D751" s="485"/>
      <c r="E751" s="75"/>
      <c r="F751" s="485"/>
      <c r="G751" s="210"/>
      <c r="H751" s="485"/>
      <c r="I751" s="188"/>
      <c r="J751" s="485"/>
      <c r="K751" s="75"/>
      <c r="L751" s="66"/>
      <c r="M751" s="66"/>
      <c r="N751" s="66"/>
      <c r="O751" s="66"/>
      <c r="P751" s="66"/>
      <c r="Q751" s="66"/>
      <c r="R751" s="66"/>
      <c r="S751" s="66"/>
      <c r="T751" s="66"/>
      <c r="U751" s="66"/>
      <c r="V751" s="66"/>
      <c r="W751" s="66"/>
      <c r="X751" s="66"/>
    </row>
    <row r="752">
      <c r="A752" s="75"/>
      <c r="B752" s="485"/>
      <c r="C752" s="75"/>
      <c r="D752" s="485"/>
      <c r="E752" s="75"/>
      <c r="F752" s="485"/>
      <c r="G752" s="210"/>
      <c r="H752" s="485"/>
      <c r="I752" s="188"/>
      <c r="J752" s="485"/>
      <c r="K752" s="75"/>
      <c r="L752" s="66"/>
      <c r="M752" s="66"/>
      <c r="N752" s="66"/>
      <c r="O752" s="66"/>
      <c r="P752" s="66"/>
      <c r="Q752" s="66"/>
      <c r="R752" s="66"/>
      <c r="S752" s="66"/>
      <c r="T752" s="66"/>
      <c r="U752" s="66"/>
      <c r="V752" s="66"/>
      <c r="W752" s="66"/>
      <c r="X752" s="66"/>
    </row>
    <row r="753">
      <c r="A753" s="75"/>
      <c r="B753" s="485"/>
      <c r="C753" s="75"/>
      <c r="D753" s="485"/>
      <c r="E753" s="75"/>
      <c r="F753" s="485"/>
      <c r="G753" s="210"/>
      <c r="H753" s="485"/>
      <c r="I753" s="188"/>
      <c r="J753" s="485"/>
      <c r="K753" s="75"/>
      <c r="L753" s="66"/>
      <c r="M753" s="66"/>
      <c r="N753" s="66"/>
      <c r="O753" s="66"/>
      <c r="P753" s="66"/>
      <c r="Q753" s="66"/>
      <c r="R753" s="66"/>
      <c r="S753" s="66"/>
      <c r="T753" s="66"/>
      <c r="U753" s="66"/>
      <c r="V753" s="66"/>
      <c r="W753" s="66"/>
      <c r="X753" s="66"/>
    </row>
    <row r="754">
      <c r="A754" s="75"/>
      <c r="B754" s="485"/>
      <c r="C754" s="75"/>
      <c r="D754" s="485"/>
      <c r="E754" s="75"/>
      <c r="F754" s="485"/>
      <c r="G754" s="210"/>
      <c r="H754" s="485"/>
      <c r="I754" s="188"/>
      <c r="J754" s="485"/>
      <c r="K754" s="75"/>
      <c r="L754" s="66"/>
      <c r="M754" s="66"/>
      <c r="N754" s="66"/>
      <c r="O754" s="66"/>
      <c r="P754" s="66"/>
      <c r="Q754" s="66"/>
      <c r="R754" s="66"/>
      <c r="S754" s="66"/>
      <c r="T754" s="66"/>
      <c r="U754" s="66"/>
      <c r="V754" s="66"/>
      <c r="W754" s="66"/>
      <c r="X754" s="66"/>
    </row>
    <row r="755">
      <c r="A755" s="75"/>
      <c r="B755" s="485"/>
      <c r="C755" s="75"/>
      <c r="D755" s="485"/>
      <c r="E755" s="75"/>
      <c r="F755" s="485"/>
      <c r="G755" s="210"/>
      <c r="H755" s="485"/>
      <c r="I755" s="188"/>
      <c r="J755" s="485"/>
      <c r="K755" s="75"/>
      <c r="L755" s="66"/>
      <c r="M755" s="66"/>
      <c r="N755" s="66"/>
      <c r="O755" s="66"/>
      <c r="P755" s="66"/>
      <c r="Q755" s="66"/>
      <c r="R755" s="66"/>
      <c r="S755" s="66"/>
      <c r="T755" s="66"/>
      <c r="U755" s="66"/>
      <c r="V755" s="66"/>
      <c r="W755" s="66"/>
      <c r="X755" s="66"/>
    </row>
    <row r="756">
      <c r="A756" s="75"/>
      <c r="B756" s="485"/>
      <c r="C756" s="75"/>
      <c r="D756" s="485"/>
      <c r="E756" s="75"/>
      <c r="F756" s="485"/>
      <c r="G756" s="210"/>
      <c r="H756" s="485"/>
      <c r="I756" s="188"/>
      <c r="J756" s="485"/>
      <c r="K756" s="75"/>
      <c r="L756" s="66"/>
      <c r="M756" s="66"/>
      <c r="N756" s="66"/>
      <c r="O756" s="66"/>
      <c r="P756" s="66"/>
      <c r="Q756" s="66"/>
      <c r="R756" s="66"/>
      <c r="S756" s="66"/>
      <c r="T756" s="66"/>
      <c r="U756" s="66"/>
      <c r="V756" s="66"/>
      <c r="W756" s="66"/>
      <c r="X756" s="66"/>
    </row>
    <row r="757">
      <c r="A757" s="75"/>
      <c r="B757" s="485"/>
      <c r="C757" s="75"/>
      <c r="D757" s="485"/>
      <c r="E757" s="75"/>
      <c r="F757" s="485"/>
      <c r="G757" s="210"/>
      <c r="H757" s="485"/>
      <c r="I757" s="188"/>
      <c r="J757" s="485"/>
      <c r="K757" s="75"/>
      <c r="L757" s="66"/>
      <c r="M757" s="66"/>
      <c r="N757" s="66"/>
      <c r="O757" s="66"/>
      <c r="P757" s="66"/>
      <c r="Q757" s="66"/>
      <c r="R757" s="66"/>
      <c r="S757" s="66"/>
      <c r="T757" s="66"/>
      <c r="U757" s="66"/>
      <c r="V757" s="66"/>
      <c r="W757" s="66"/>
      <c r="X757" s="66"/>
    </row>
    <row r="758">
      <c r="A758" s="75"/>
      <c r="B758" s="485"/>
      <c r="C758" s="75"/>
      <c r="D758" s="485"/>
      <c r="E758" s="75"/>
      <c r="F758" s="485"/>
      <c r="G758" s="210"/>
      <c r="H758" s="485"/>
      <c r="I758" s="188"/>
      <c r="J758" s="485"/>
      <c r="K758" s="75"/>
      <c r="L758" s="66"/>
      <c r="M758" s="66"/>
      <c r="N758" s="66"/>
      <c r="O758" s="66"/>
      <c r="P758" s="66"/>
      <c r="Q758" s="66"/>
      <c r="R758" s="66"/>
      <c r="S758" s="66"/>
      <c r="T758" s="66"/>
      <c r="U758" s="66"/>
      <c r="V758" s="66"/>
      <c r="W758" s="66"/>
      <c r="X758" s="66"/>
    </row>
    <row r="759">
      <c r="A759" s="75"/>
      <c r="B759" s="485"/>
      <c r="C759" s="75"/>
      <c r="D759" s="485"/>
      <c r="E759" s="75"/>
      <c r="F759" s="485"/>
      <c r="G759" s="210"/>
      <c r="H759" s="485"/>
      <c r="I759" s="188"/>
      <c r="J759" s="485"/>
      <c r="K759" s="75"/>
      <c r="L759" s="66"/>
      <c r="M759" s="66"/>
      <c r="N759" s="66"/>
      <c r="O759" s="66"/>
      <c r="P759" s="66"/>
      <c r="Q759" s="66"/>
      <c r="R759" s="66"/>
      <c r="S759" s="66"/>
      <c r="T759" s="66"/>
      <c r="U759" s="66"/>
      <c r="V759" s="66"/>
      <c r="W759" s="66"/>
      <c r="X759" s="66"/>
    </row>
    <row r="760">
      <c r="A760" s="75"/>
      <c r="B760" s="485"/>
      <c r="C760" s="75"/>
      <c r="D760" s="485"/>
      <c r="E760" s="75"/>
      <c r="F760" s="485"/>
      <c r="G760" s="210"/>
      <c r="H760" s="485"/>
      <c r="I760" s="188"/>
      <c r="J760" s="485"/>
      <c r="K760" s="75"/>
      <c r="L760" s="66"/>
      <c r="M760" s="66"/>
      <c r="N760" s="66"/>
      <c r="O760" s="66"/>
      <c r="P760" s="66"/>
      <c r="Q760" s="66"/>
      <c r="R760" s="66"/>
      <c r="S760" s="66"/>
      <c r="T760" s="66"/>
      <c r="U760" s="66"/>
      <c r="V760" s="66"/>
      <c r="W760" s="66"/>
      <c r="X760" s="66"/>
    </row>
    <row r="761">
      <c r="A761" s="75"/>
      <c r="B761" s="485"/>
      <c r="C761" s="75"/>
      <c r="D761" s="485"/>
      <c r="E761" s="75"/>
      <c r="F761" s="485"/>
      <c r="G761" s="210"/>
      <c r="H761" s="485"/>
      <c r="I761" s="188"/>
      <c r="J761" s="485"/>
      <c r="K761" s="75"/>
      <c r="L761" s="66"/>
      <c r="M761" s="66"/>
      <c r="N761" s="66"/>
      <c r="O761" s="66"/>
      <c r="P761" s="66"/>
      <c r="Q761" s="66"/>
      <c r="R761" s="66"/>
      <c r="S761" s="66"/>
      <c r="T761" s="66"/>
      <c r="U761" s="66"/>
      <c r="V761" s="66"/>
      <c r="W761" s="66"/>
      <c r="X761" s="66"/>
    </row>
    <row r="762">
      <c r="A762" s="75"/>
      <c r="B762" s="485"/>
      <c r="C762" s="75"/>
      <c r="D762" s="485"/>
      <c r="E762" s="75"/>
      <c r="F762" s="485"/>
      <c r="G762" s="210"/>
      <c r="H762" s="485"/>
      <c r="I762" s="188"/>
      <c r="J762" s="485"/>
      <c r="K762" s="75"/>
      <c r="L762" s="66"/>
      <c r="M762" s="66"/>
      <c r="N762" s="66"/>
      <c r="O762" s="66"/>
      <c r="P762" s="66"/>
      <c r="Q762" s="66"/>
      <c r="R762" s="66"/>
      <c r="S762" s="66"/>
      <c r="T762" s="66"/>
      <c r="U762" s="66"/>
      <c r="V762" s="66"/>
      <c r="W762" s="66"/>
      <c r="X762" s="66"/>
    </row>
    <row r="763">
      <c r="A763" s="75"/>
      <c r="B763" s="485"/>
      <c r="C763" s="75"/>
      <c r="D763" s="485"/>
      <c r="E763" s="75"/>
      <c r="F763" s="485"/>
      <c r="G763" s="210"/>
      <c r="H763" s="485"/>
      <c r="I763" s="188"/>
      <c r="J763" s="485"/>
      <c r="K763" s="75"/>
      <c r="L763" s="66"/>
      <c r="M763" s="66"/>
      <c r="N763" s="66"/>
      <c r="O763" s="66"/>
      <c r="P763" s="66"/>
      <c r="Q763" s="66"/>
      <c r="R763" s="66"/>
      <c r="S763" s="66"/>
      <c r="T763" s="66"/>
      <c r="U763" s="66"/>
      <c r="V763" s="66"/>
      <c r="W763" s="66"/>
      <c r="X763" s="66"/>
    </row>
    <row r="764">
      <c r="A764" s="75"/>
      <c r="B764" s="485"/>
      <c r="C764" s="75"/>
      <c r="D764" s="485"/>
      <c r="E764" s="75"/>
      <c r="F764" s="485"/>
      <c r="G764" s="210"/>
      <c r="H764" s="485"/>
      <c r="I764" s="188"/>
      <c r="J764" s="485"/>
      <c r="K764" s="75"/>
      <c r="L764" s="66"/>
      <c r="M764" s="66"/>
      <c r="N764" s="66"/>
      <c r="O764" s="66"/>
      <c r="P764" s="66"/>
      <c r="Q764" s="66"/>
      <c r="R764" s="66"/>
      <c r="S764" s="66"/>
      <c r="T764" s="66"/>
      <c r="U764" s="66"/>
      <c r="V764" s="66"/>
      <c r="W764" s="66"/>
      <c r="X764" s="66"/>
    </row>
    <row r="765">
      <c r="A765" s="75"/>
      <c r="B765" s="485"/>
      <c r="C765" s="75"/>
      <c r="D765" s="485"/>
      <c r="E765" s="75"/>
      <c r="F765" s="485"/>
      <c r="G765" s="210"/>
      <c r="H765" s="485"/>
      <c r="I765" s="188"/>
      <c r="J765" s="485"/>
      <c r="K765" s="75"/>
      <c r="L765" s="66"/>
      <c r="M765" s="66"/>
      <c r="N765" s="66"/>
      <c r="O765" s="66"/>
      <c r="P765" s="66"/>
      <c r="Q765" s="66"/>
      <c r="R765" s="66"/>
      <c r="S765" s="66"/>
      <c r="T765" s="66"/>
      <c r="U765" s="66"/>
      <c r="V765" s="66"/>
      <c r="W765" s="66"/>
      <c r="X765" s="66"/>
    </row>
    <row r="766">
      <c r="A766" s="75"/>
      <c r="B766" s="485"/>
      <c r="C766" s="75"/>
      <c r="D766" s="485"/>
      <c r="E766" s="75"/>
      <c r="F766" s="485"/>
      <c r="G766" s="210"/>
      <c r="H766" s="485"/>
      <c r="I766" s="188"/>
      <c r="J766" s="485"/>
      <c r="K766" s="75"/>
      <c r="L766" s="66"/>
      <c r="M766" s="66"/>
      <c r="N766" s="66"/>
      <c r="O766" s="66"/>
      <c r="P766" s="66"/>
      <c r="Q766" s="66"/>
      <c r="R766" s="66"/>
      <c r="S766" s="66"/>
      <c r="T766" s="66"/>
      <c r="U766" s="66"/>
      <c r="V766" s="66"/>
      <c r="W766" s="66"/>
      <c r="X766" s="66"/>
    </row>
    <row r="767">
      <c r="A767" s="75"/>
      <c r="B767" s="485"/>
      <c r="C767" s="75"/>
      <c r="D767" s="485"/>
      <c r="E767" s="75"/>
      <c r="F767" s="485"/>
      <c r="G767" s="210"/>
      <c r="H767" s="485"/>
      <c r="I767" s="188"/>
      <c r="J767" s="485"/>
      <c r="K767" s="75"/>
      <c r="L767" s="66"/>
      <c r="M767" s="66"/>
      <c r="N767" s="66"/>
      <c r="O767" s="66"/>
      <c r="P767" s="66"/>
      <c r="Q767" s="66"/>
      <c r="R767" s="66"/>
      <c r="S767" s="66"/>
      <c r="T767" s="66"/>
      <c r="U767" s="66"/>
      <c r="V767" s="66"/>
      <c r="W767" s="66"/>
      <c r="X767" s="66"/>
    </row>
    <row r="768">
      <c r="A768" s="75"/>
      <c r="B768" s="485"/>
      <c r="C768" s="75"/>
      <c r="D768" s="485"/>
      <c r="E768" s="75"/>
      <c r="F768" s="485"/>
      <c r="G768" s="210"/>
      <c r="H768" s="485"/>
      <c r="I768" s="188"/>
      <c r="J768" s="485"/>
      <c r="K768" s="75"/>
      <c r="L768" s="66"/>
      <c r="M768" s="66"/>
      <c r="N768" s="66"/>
      <c r="O768" s="66"/>
      <c r="P768" s="66"/>
      <c r="Q768" s="66"/>
      <c r="R768" s="66"/>
      <c r="S768" s="66"/>
      <c r="T768" s="66"/>
      <c r="U768" s="66"/>
      <c r="V768" s="66"/>
      <c r="W768" s="66"/>
      <c r="X768" s="66"/>
    </row>
    <row r="769">
      <c r="A769" s="75"/>
      <c r="B769" s="485"/>
      <c r="C769" s="75"/>
      <c r="D769" s="485"/>
      <c r="E769" s="75"/>
      <c r="F769" s="485"/>
      <c r="G769" s="210"/>
      <c r="H769" s="485"/>
      <c r="I769" s="188"/>
      <c r="J769" s="485"/>
      <c r="K769" s="75"/>
      <c r="L769" s="66"/>
      <c r="M769" s="66"/>
      <c r="N769" s="66"/>
      <c r="O769" s="66"/>
      <c r="P769" s="66"/>
      <c r="Q769" s="66"/>
      <c r="R769" s="66"/>
      <c r="S769" s="66"/>
      <c r="T769" s="66"/>
      <c r="U769" s="66"/>
      <c r="V769" s="66"/>
      <c r="W769" s="66"/>
      <c r="X769" s="66"/>
    </row>
    <row r="770">
      <c r="A770" s="75"/>
      <c r="B770" s="485"/>
      <c r="C770" s="75"/>
      <c r="D770" s="485"/>
      <c r="E770" s="75"/>
      <c r="F770" s="485"/>
      <c r="G770" s="210"/>
      <c r="H770" s="485"/>
      <c r="I770" s="188"/>
      <c r="J770" s="485"/>
      <c r="K770" s="75"/>
      <c r="L770" s="66"/>
      <c r="M770" s="66"/>
      <c r="N770" s="66"/>
      <c r="O770" s="66"/>
      <c r="P770" s="66"/>
      <c r="Q770" s="66"/>
      <c r="R770" s="66"/>
      <c r="S770" s="66"/>
      <c r="T770" s="66"/>
      <c r="U770" s="66"/>
      <c r="V770" s="66"/>
      <c r="W770" s="66"/>
      <c r="X770" s="66"/>
    </row>
    <row r="771">
      <c r="A771" s="75"/>
      <c r="B771" s="485"/>
      <c r="C771" s="75"/>
      <c r="D771" s="485"/>
      <c r="E771" s="75"/>
      <c r="F771" s="485"/>
      <c r="G771" s="210"/>
      <c r="H771" s="485"/>
      <c r="I771" s="188"/>
      <c r="J771" s="485"/>
      <c r="K771" s="75"/>
      <c r="L771" s="66"/>
      <c r="M771" s="66"/>
      <c r="N771" s="66"/>
      <c r="O771" s="66"/>
      <c r="P771" s="66"/>
      <c r="Q771" s="66"/>
      <c r="R771" s="66"/>
      <c r="S771" s="66"/>
      <c r="T771" s="66"/>
      <c r="U771" s="66"/>
      <c r="V771" s="66"/>
      <c r="W771" s="66"/>
      <c r="X771" s="66"/>
    </row>
    <row r="772">
      <c r="A772" s="75"/>
      <c r="B772" s="485"/>
      <c r="C772" s="75"/>
      <c r="D772" s="485"/>
      <c r="E772" s="75"/>
      <c r="F772" s="485"/>
      <c r="G772" s="210"/>
      <c r="H772" s="485"/>
      <c r="I772" s="188"/>
      <c r="J772" s="485"/>
      <c r="K772" s="75"/>
      <c r="L772" s="66"/>
      <c r="M772" s="66"/>
      <c r="N772" s="66"/>
      <c r="O772" s="66"/>
      <c r="P772" s="66"/>
      <c r="Q772" s="66"/>
      <c r="R772" s="66"/>
      <c r="S772" s="66"/>
      <c r="T772" s="66"/>
      <c r="U772" s="66"/>
      <c r="V772" s="66"/>
      <c r="W772" s="66"/>
      <c r="X772" s="66"/>
    </row>
    <row r="773">
      <c r="A773" s="75"/>
      <c r="B773" s="485"/>
      <c r="C773" s="75"/>
      <c r="D773" s="485"/>
      <c r="E773" s="75"/>
      <c r="F773" s="485"/>
      <c r="G773" s="210"/>
      <c r="H773" s="485"/>
      <c r="I773" s="188"/>
      <c r="J773" s="485"/>
      <c r="K773" s="75"/>
      <c r="L773" s="66"/>
      <c r="M773" s="66"/>
      <c r="N773" s="66"/>
      <c r="O773" s="66"/>
      <c r="P773" s="66"/>
      <c r="Q773" s="66"/>
      <c r="R773" s="66"/>
      <c r="S773" s="66"/>
      <c r="T773" s="66"/>
      <c r="U773" s="66"/>
      <c r="V773" s="66"/>
      <c r="W773" s="66"/>
      <c r="X773" s="66"/>
    </row>
    <row r="774">
      <c r="A774" s="75"/>
      <c r="B774" s="485"/>
      <c r="C774" s="75"/>
      <c r="D774" s="485"/>
      <c r="E774" s="75"/>
      <c r="F774" s="485"/>
      <c r="G774" s="210"/>
      <c r="H774" s="485"/>
      <c r="I774" s="188"/>
      <c r="J774" s="485"/>
      <c r="K774" s="75"/>
      <c r="L774" s="66"/>
      <c r="M774" s="66"/>
      <c r="N774" s="66"/>
      <c r="O774" s="66"/>
      <c r="P774" s="66"/>
      <c r="Q774" s="66"/>
      <c r="R774" s="66"/>
      <c r="S774" s="66"/>
      <c r="T774" s="66"/>
      <c r="U774" s="66"/>
      <c r="V774" s="66"/>
      <c r="W774" s="66"/>
      <c r="X774" s="66"/>
    </row>
    <row r="775">
      <c r="A775" s="75"/>
      <c r="B775" s="485"/>
      <c r="C775" s="75"/>
      <c r="D775" s="485"/>
      <c r="E775" s="75"/>
      <c r="F775" s="485"/>
      <c r="G775" s="210"/>
      <c r="H775" s="485"/>
      <c r="I775" s="188"/>
      <c r="J775" s="485"/>
      <c r="K775" s="75"/>
      <c r="L775" s="66"/>
      <c r="M775" s="66"/>
      <c r="N775" s="66"/>
      <c r="O775" s="66"/>
      <c r="P775" s="66"/>
      <c r="Q775" s="66"/>
      <c r="R775" s="66"/>
      <c r="S775" s="66"/>
      <c r="T775" s="66"/>
      <c r="U775" s="66"/>
      <c r="V775" s="66"/>
      <c r="W775" s="66"/>
      <c r="X775" s="66"/>
    </row>
    <row r="776">
      <c r="A776" s="75"/>
      <c r="B776" s="485"/>
      <c r="C776" s="75"/>
      <c r="D776" s="485"/>
      <c r="E776" s="75"/>
      <c r="F776" s="485"/>
      <c r="G776" s="210"/>
      <c r="H776" s="485"/>
      <c r="I776" s="188"/>
      <c r="J776" s="485"/>
      <c r="K776" s="75"/>
      <c r="L776" s="66"/>
      <c r="M776" s="66"/>
      <c r="N776" s="66"/>
      <c r="O776" s="66"/>
      <c r="P776" s="66"/>
      <c r="Q776" s="66"/>
      <c r="R776" s="66"/>
      <c r="S776" s="66"/>
      <c r="T776" s="66"/>
      <c r="U776" s="66"/>
      <c r="V776" s="66"/>
      <c r="W776" s="66"/>
      <c r="X776" s="66"/>
    </row>
    <row r="777">
      <c r="A777" s="75"/>
      <c r="B777" s="485"/>
      <c r="C777" s="75"/>
      <c r="D777" s="485"/>
      <c r="E777" s="75"/>
      <c r="F777" s="485"/>
      <c r="G777" s="210"/>
      <c r="H777" s="485"/>
      <c r="I777" s="188"/>
      <c r="J777" s="485"/>
      <c r="K777" s="75"/>
      <c r="L777" s="66"/>
      <c r="M777" s="66"/>
      <c r="N777" s="66"/>
      <c r="O777" s="66"/>
      <c r="P777" s="66"/>
      <c r="Q777" s="66"/>
      <c r="R777" s="66"/>
      <c r="S777" s="66"/>
      <c r="T777" s="66"/>
      <c r="U777" s="66"/>
      <c r="V777" s="66"/>
      <c r="W777" s="66"/>
      <c r="X777" s="66"/>
    </row>
    <row r="778">
      <c r="A778" s="75"/>
      <c r="B778" s="485"/>
      <c r="C778" s="75"/>
      <c r="D778" s="485"/>
      <c r="E778" s="75"/>
      <c r="F778" s="485"/>
      <c r="G778" s="210"/>
      <c r="H778" s="485"/>
      <c r="I778" s="188"/>
      <c r="J778" s="485"/>
      <c r="K778" s="75"/>
      <c r="L778" s="66"/>
      <c r="M778" s="66"/>
      <c r="N778" s="66"/>
      <c r="O778" s="66"/>
      <c r="P778" s="66"/>
      <c r="Q778" s="66"/>
      <c r="R778" s="66"/>
      <c r="S778" s="66"/>
      <c r="T778" s="66"/>
      <c r="U778" s="66"/>
      <c r="V778" s="66"/>
      <c r="W778" s="66"/>
      <c r="X778" s="66"/>
    </row>
    <row r="779">
      <c r="A779" s="75"/>
      <c r="B779" s="485"/>
      <c r="C779" s="75"/>
      <c r="D779" s="485"/>
      <c r="E779" s="75"/>
      <c r="F779" s="485"/>
      <c r="G779" s="210"/>
      <c r="H779" s="485"/>
      <c r="I779" s="188"/>
      <c r="J779" s="485"/>
      <c r="K779" s="75"/>
      <c r="L779" s="66"/>
      <c r="M779" s="66"/>
      <c r="N779" s="66"/>
      <c r="O779" s="66"/>
      <c r="P779" s="66"/>
      <c r="Q779" s="66"/>
      <c r="R779" s="66"/>
      <c r="S779" s="66"/>
      <c r="T779" s="66"/>
      <c r="U779" s="66"/>
      <c r="V779" s="66"/>
      <c r="W779" s="66"/>
      <c r="X779" s="66"/>
    </row>
    <row r="780">
      <c r="A780" s="75"/>
      <c r="B780" s="485"/>
      <c r="C780" s="75"/>
      <c r="D780" s="485"/>
      <c r="E780" s="75"/>
      <c r="F780" s="485"/>
      <c r="G780" s="210"/>
      <c r="H780" s="485"/>
      <c r="I780" s="188"/>
      <c r="J780" s="485"/>
      <c r="K780" s="75"/>
      <c r="L780" s="66"/>
      <c r="M780" s="66"/>
      <c r="N780" s="66"/>
      <c r="O780" s="66"/>
      <c r="P780" s="66"/>
      <c r="Q780" s="66"/>
      <c r="R780" s="66"/>
      <c r="S780" s="66"/>
      <c r="T780" s="66"/>
      <c r="U780" s="66"/>
      <c r="V780" s="66"/>
      <c r="W780" s="66"/>
      <c r="X780" s="66"/>
    </row>
    <row r="781">
      <c r="A781" s="75"/>
      <c r="B781" s="485"/>
      <c r="C781" s="75"/>
      <c r="D781" s="485"/>
      <c r="E781" s="75"/>
      <c r="F781" s="485"/>
      <c r="G781" s="210"/>
      <c r="H781" s="485"/>
      <c r="I781" s="188"/>
      <c r="J781" s="485"/>
      <c r="K781" s="75"/>
      <c r="L781" s="66"/>
      <c r="M781" s="66"/>
      <c r="N781" s="66"/>
      <c r="O781" s="66"/>
      <c r="P781" s="66"/>
      <c r="Q781" s="66"/>
      <c r="R781" s="66"/>
      <c r="S781" s="66"/>
      <c r="T781" s="66"/>
      <c r="U781" s="66"/>
      <c r="V781" s="66"/>
      <c r="W781" s="66"/>
      <c r="X781" s="66"/>
    </row>
    <row r="782">
      <c r="A782" s="75"/>
      <c r="B782" s="485"/>
      <c r="C782" s="75"/>
      <c r="D782" s="485"/>
      <c r="E782" s="75"/>
      <c r="F782" s="485"/>
      <c r="G782" s="210"/>
      <c r="H782" s="485"/>
      <c r="I782" s="188"/>
      <c r="J782" s="485"/>
      <c r="K782" s="75"/>
      <c r="L782" s="66"/>
      <c r="M782" s="66"/>
      <c r="N782" s="66"/>
      <c r="O782" s="66"/>
      <c r="P782" s="66"/>
      <c r="Q782" s="66"/>
      <c r="R782" s="66"/>
      <c r="S782" s="66"/>
      <c r="T782" s="66"/>
      <c r="U782" s="66"/>
      <c r="V782" s="66"/>
      <c r="W782" s="66"/>
      <c r="X782" s="66"/>
    </row>
    <row r="783">
      <c r="A783" s="75"/>
      <c r="B783" s="485"/>
      <c r="C783" s="75"/>
      <c r="D783" s="485"/>
      <c r="E783" s="75"/>
      <c r="F783" s="485"/>
      <c r="G783" s="210"/>
      <c r="H783" s="485"/>
      <c r="I783" s="188"/>
      <c r="J783" s="485"/>
      <c r="K783" s="75"/>
      <c r="L783" s="66"/>
      <c r="M783" s="66"/>
      <c r="N783" s="66"/>
      <c r="O783" s="66"/>
      <c r="P783" s="66"/>
      <c r="Q783" s="66"/>
      <c r="R783" s="66"/>
      <c r="S783" s="66"/>
      <c r="T783" s="66"/>
      <c r="U783" s="66"/>
      <c r="V783" s="66"/>
      <c r="W783" s="66"/>
      <c r="X783" s="66"/>
    </row>
    <row r="784">
      <c r="A784" s="75"/>
      <c r="B784" s="485"/>
      <c r="C784" s="75"/>
      <c r="D784" s="485"/>
      <c r="E784" s="75"/>
      <c r="F784" s="485"/>
      <c r="G784" s="210"/>
      <c r="H784" s="485"/>
      <c r="I784" s="188"/>
      <c r="J784" s="485"/>
      <c r="K784" s="75"/>
      <c r="L784" s="66"/>
      <c r="M784" s="66"/>
      <c r="N784" s="66"/>
      <c r="O784" s="66"/>
      <c r="P784" s="66"/>
      <c r="Q784" s="66"/>
      <c r="R784" s="66"/>
      <c r="S784" s="66"/>
      <c r="T784" s="66"/>
      <c r="U784" s="66"/>
      <c r="V784" s="66"/>
      <c r="W784" s="66"/>
      <c r="X784" s="66"/>
    </row>
    <row r="785">
      <c r="A785" s="75"/>
      <c r="B785" s="485"/>
      <c r="C785" s="75"/>
      <c r="D785" s="485"/>
      <c r="E785" s="75"/>
      <c r="F785" s="485"/>
      <c r="G785" s="210"/>
      <c r="H785" s="485"/>
      <c r="I785" s="188"/>
      <c r="J785" s="485"/>
      <c r="K785" s="75"/>
      <c r="L785" s="66"/>
      <c r="M785" s="66"/>
      <c r="N785" s="66"/>
      <c r="O785" s="66"/>
      <c r="P785" s="66"/>
      <c r="Q785" s="66"/>
      <c r="R785" s="66"/>
      <c r="S785" s="66"/>
      <c r="T785" s="66"/>
      <c r="U785" s="66"/>
      <c r="V785" s="66"/>
      <c r="W785" s="66"/>
      <c r="X785" s="66"/>
    </row>
    <row r="786">
      <c r="A786" s="75"/>
      <c r="B786" s="485"/>
      <c r="C786" s="75"/>
      <c r="D786" s="485"/>
      <c r="E786" s="75"/>
      <c r="F786" s="485"/>
      <c r="G786" s="210"/>
      <c r="H786" s="485"/>
      <c r="I786" s="188"/>
      <c r="J786" s="485"/>
      <c r="K786" s="75"/>
      <c r="L786" s="66"/>
      <c r="M786" s="66"/>
      <c r="N786" s="66"/>
      <c r="O786" s="66"/>
      <c r="P786" s="66"/>
      <c r="Q786" s="66"/>
      <c r="R786" s="66"/>
      <c r="S786" s="66"/>
      <c r="T786" s="66"/>
      <c r="U786" s="66"/>
      <c r="V786" s="66"/>
      <c r="W786" s="66"/>
      <c r="X786" s="66"/>
    </row>
    <row r="787">
      <c r="A787" s="75"/>
      <c r="B787" s="485"/>
      <c r="C787" s="75"/>
      <c r="D787" s="485"/>
      <c r="E787" s="75"/>
      <c r="F787" s="485"/>
      <c r="G787" s="210"/>
      <c r="H787" s="485"/>
      <c r="I787" s="188"/>
      <c r="J787" s="485"/>
      <c r="K787" s="75"/>
      <c r="L787" s="66"/>
      <c r="M787" s="66"/>
      <c r="N787" s="66"/>
      <c r="O787" s="66"/>
      <c r="P787" s="66"/>
      <c r="Q787" s="66"/>
      <c r="R787" s="66"/>
      <c r="S787" s="66"/>
      <c r="T787" s="66"/>
      <c r="U787" s="66"/>
      <c r="V787" s="66"/>
      <c r="W787" s="66"/>
      <c r="X787" s="66"/>
    </row>
    <row r="788">
      <c r="A788" s="75"/>
      <c r="B788" s="485"/>
      <c r="C788" s="75"/>
      <c r="D788" s="485"/>
      <c r="E788" s="75"/>
      <c r="F788" s="485"/>
      <c r="G788" s="210"/>
      <c r="H788" s="485"/>
      <c r="I788" s="188"/>
      <c r="J788" s="485"/>
      <c r="K788" s="75"/>
      <c r="L788" s="66"/>
      <c r="M788" s="66"/>
      <c r="N788" s="66"/>
      <c r="O788" s="66"/>
      <c r="P788" s="66"/>
      <c r="Q788" s="66"/>
      <c r="R788" s="66"/>
      <c r="S788" s="66"/>
      <c r="T788" s="66"/>
      <c r="U788" s="66"/>
      <c r="V788" s="66"/>
      <c r="W788" s="66"/>
      <c r="X788" s="66"/>
    </row>
    <row r="789">
      <c r="A789" s="75"/>
      <c r="B789" s="485"/>
      <c r="C789" s="75"/>
      <c r="D789" s="485"/>
      <c r="E789" s="75"/>
      <c r="F789" s="485"/>
      <c r="G789" s="210"/>
      <c r="H789" s="485"/>
      <c r="I789" s="188"/>
      <c r="J789" s="485"/>
      <c r="K789" s="75"/>
      <c r="L789" s="66"/>
      <c r="M789" s="66"/>
      <c r="N789" s="66"/>
      <c r="O789" s="66"/>
      <c r="P789" s="66"/>
      <c r="Q789" s="66"/>
      <c r="R789" s="66"/>
      <c r="S789" s="66"/>
      <c r="T789" s="66"/>
      <c r="U789" s="66"/>
      <c r="V789" s="66"/>
      <c r="W789" s="66"/>
      <c r="X789" s="66"/>
    </row>
    <row r="790">
      <c r="A790" s="75"/>
      <c r="B790" s="485"/>
      <c r="C790" s="75"/>
      <c r="D790" s="485"/>
      <c r="E790" s="75"/>
      <c r="F790" s="485"/>
      <c r="G790" s="210"/>
      <c r="H790" s="485"/>
      <c r="I790" s="188"/>
      <c r="J790" s="485"/>
      <c r="K790" s="75"/>
      <c r="L790" s="66"/>
      <c r="M790" s="66"/>
      <c r="N790" s="66"/>
      <c r="O790" s="66"/>
      <c r="P790" s="66"/>
      <c r="Q790" s="66"/>
      <c r="R790" s="66"/>
      <c r="S790" s="66"/>
      <c r="T790" s="66"/>
      <c r="U790" s="66"/>
      <c r="V790" s="66"/>
      <c r="W790" s="66"/>
      <c r="X790" s="66"/>
    </row>
    <row r="791">
      <c r="A791" s="75"/>
      <c r="B791" s="485"/>
      <c r="C791" s="75"/>
      <c r="D791" s="485"/>
      <c r="E791" s="75"/>
      <c r="F791" s="485"/>
      <c r="G791" s="210"/>
      <c r="H791" s="485"/>
      <c r="I791" s="188"/>
      <c r="J791" s="485"/>
      <c r="K791" s="75"/>
      <c r="L791" s="66"/>
      <c r="M791" s="66"/>
      <c r="N791" s="66"/>
      <c r="O791" s="66"/>
      <c r="P791" s="66"/>
      <c r="Q791" s="66"/>
      <c r="R791" s="66"/>
      <c r="S791" s="66"/>
      <c r="T791" s="66"/>
      <c r="U791" s="66"/>
      <c r="V791" s="66"/>
      <c r="W791" s="66"/>
      <c r="X791" s="66"/>
    </row>
    <row r="792">
      <c r="A792" s="75"/>
      <c r="B792" s="485"/>
      <c r="C792" s="75"/>
      <c r="D792" s="485"/>
      <c r="E792" s="75"/>
      <c r="F792" s="485"/>
      <c r="G792" s="210"/>
      <c r="H792" s="485"/>
      <c r="I792" s="188"/>
      <c r="J792" s="485"/>
      <c r="K792" s="75"/>
      <c r="L792" s="66"/>
      <c r="M792" s="66"/>
      <c r="N792" s="66"/>
      <c r="O792" s="66"/>
      <c r="P792" s="66"/>
      <c r="Q792" s="66"/>
      <c r="R792" s="66"/>
      <c r="S792" s="66"/>
      <c r="T792" s="66"/>
      <c r="U792" s="66"/>
      <c r="V792" s="66"/>
      <c r="W792" s="66"/>
      <c r="X792" s="66"/>
    </row>
    <row r="793">
      <c r="A793" s="75"/>
      <c r="B793" s="485"/>
      <c r="C793" s="75"/>
      <c r="D793" s="485"/>
      <c r="E793" s="75"/>
      <c r="F793" s="485"/>
      <c r="G793" s="210"/>
      <c r="H793" s="485"/>
      <c r="I793" s="188"/>
      <c r="J793" s="485"/>
      <c r="K793" s="75"/>
      <c r="L793" s="66"/>
      <c r="M793" s="66"/>
      <c r="N793" s="66"/>
      <c r="O793" s="66"/>
      <c r="P793" s="66"/>
      <c r="Q793" s="66"/>
      <c r="R793" s="66"/>
      <c r="S793" s="66"/>
      <c r="T793" s="66"/>
      <c r="U793" s="66"/>
      <c r="V793" s="66"/>
      <c r="W793" s="66"/>
      <c r="X793" s="66"/>
    </row>
    <row r="794">
      <c r="A794" s="75"/>
      <c r="B794" s="485"/>
      <c r="C794" s="75"/>
      <c r="D794" s="485"/>
      <c r="E794" s="75"/>
      <c r="F794" s="485"/>
      <c r="G794" s="210"/>
      <c r="H794" s="485"/>
      <c r="I794" s="188"/>
      <c r="J794" s="485"/>
      <c r="K794" s="75"/>
      <c r="L794" s="66"/>
      <c r="M794" s="66"/>
      <c r="N794" s="66"/>
      <c r="O794" s="66"/>
      <c r="P794" s="66"/>
      <c r="Q794" s="66"/>
      <c r="R794" s="66"/>
      <c r="S794" s="66"/>
      <c r="T794" s="66"/>
      <c r="U794" s="66"/>
      <c r="V794" s="66"/>
      <c r="W794" s="66"/>
      <c r="X794" s="66"/>
    </row>
    <row r="795">
      <c r="A795" s="75"/>
      <c r="B795" s="485"/>
      <c r="C795" s="75"/>
      <c r="D795" s="485"/>
      <c r="E795" s="75"/>
      <c r="F795" s="485"/>
      <c r="G795" s="210"/>
      <c r="H795" s="485"/>
      <c r="I795" s="188"/>
      <c r="J795" s="485"/>
      <c r="K795" s="75"/>
      <c r="L795" s="66"/>
      <c r="M795" s="66"/>
      <c r="N795" s="66"/>
      <c r="O795" s="66"/>
      <c r="P795" s="66"/>
      <c r="Q795" s="66"/>
      <c r="R795" s="66"/>
      <c r="S795" s="66"/>
      <c r="T795" s="66"/>
      <c r="U795" s="66"/>
      <c r="V795" s="66"/>
      <c r="W795" s="66"/>
      <c r="X795" s="66"/>
    </row>
    <row r="796">
      <c r="A796" s="75"/>
      <c r="B796" s="485"/>
      <c r="C796" s="75"/>
      <c r="D796" s="485"/>
      <c r="E796" s="75"/>
      <c r="F796" s="485"/>
      <c r="G796" s="210"/>
      <c r="H796" s="485"/>
      <c r="I796" s="188"/>
      <c r="J796" s="485"/>
      <c r="K796" s="75"/>
      <c r="L796" s="66"/>
      <c r="M796" s="66"/>
      <c r="N796" s="66"/>
      <c r="O796" s="66"/>
      <c r="P796" s="66"/>
      <c r="Q796" s="66"/>
      <c r="R796" s="66"/>
      <c r="S796" s="66"/>
      <c r="T796" s="66"/>
      <c r="U796" s="66"/>
      <c r="V796" s="66"/>
      <c r="W796" s="66"/>
      <c r="X796" s="66"/>
    </row>
    <row r="797">
      <c r="A797" s="75"/>
      <c r="B797" s="485"/>
      <c r="C797" s="75"/>
      <c r="D797" s="485"/>
      <c r="E797" s="75"/>
      <c r="F797" s="485"/>
      <c r="G797" s="210"/>
      <c r="H797" s="485"/>
      <c r="I797" s="188"/>
      <c r="J797" s="485"/>
      <c r="K797" s="75"/>
      <c r="L797" s="66"/>
      <c r="M797" s="66"/>
      <c r="N797" s="66"/>
      <c r="O797" s="66"/>
      <c r="P797" s="66"/>
      <c r="Q797" s="66"/>
      <c r="R797" s="66"/>
      <c r="S797" s="66"/>
      <c r="T797" s="66"/>
      <c r="U797" s="66"/>
      <c r="V797" s="66"/>
      <c r="W797" s="66"/>
      <c r="X797" s="66"/>
    </row>
    <row r="798">
      <c r="A798" s="75"/>
      <c r="B798" s="485"/>
      <c r="C798" s="75"/>
      <c r="D798" s="485"/>
      <c r="E798" s="75"/>
      <c r="F798" s="485"/>
      <c r="G798" s="210"/>
      <c r="H798" s="485"/>
      <c r="I798" s="188"/>
      <c r="J798" s="485"/>
      <c r="K798" s="75"/>
      <c r="L798" s="66"/>
      <c r="M798" s="66"/>
      <c r="N798" s="66"/>
      <c r="O798" s="66"/>
      <c r="P798" s="66"/>
      <c r="Q798" s="66"/>
      <c r="R798" s="66"/>
      <c r="S798" s="66"/>
      <c r="T798" s="66"/>
      <c r="U798" s="66"/>
      <c r="V798" s="66"/>
      <c r="W798" s="66"/>
      <c r="X798" s="66"/>
    </row>
    <row r="799">
      <c r="A799" s="75"/>
      <c r="B799" s="485"/>
      <c r="C799" s="75"/>
      <c r="D799" s="485"/>
      <c r="E799" s="75"/>
      <c r="F799" s="485"/>
      <c r="G799" s="210"/>
      <c r="H799" s="485"/>
      <c r="I799" s="188"/>
      <c r="J799" s="485"/>
      <c r="K799" s="75"/>
      <c r="L799" s="66"/>
      <c r="M799" s="66"/>
      <c r="N799" s="66"/>
      <c r="O799" s="66"/>
      <c r="P799" s="66"/>
      <c r="Q799" s="66"/>
      <c r="R799" s="66"/>
      <c r="S799" s="66"/>
      <c r="T799" s="66"/>
      <c r="U799" s="66"/>
      <c r="V799" s="66"/>
      <c r="W799" s="66"/>
      <c r="X799" s="66"/>
    </row>
    <row r="800">
      <c r="A800" s="75"/>
      <c r="B800" s="485"/>
      <c r="C800" s="75"/>
      <c r="D800" s="485"/>
      <c r="E800" s="75"/>
      <c r="F800" s="485"/>
      <c r="G800" s="210"/>
      <c r="H800" s="485"/>
      <c r="I800" s="188"/>
      <c r="J800" s="485"/>
      <c r="K800" s="75"/>
      <c r="L800" s="66"/>
      <c r="M800" s="66"/>
      <c r="N800" s="66"/>
      <c r="O800" s="66"/>
      <c r="P800" s="66"/>
      <c r="Q800" s="66"/>
      <c r="R800" s="66"/>
      <c r="S800" s="66"/>
      <c r="T800" s="66"/>
      <c r="U800" s="66"/>
      <c r="V800" s="66"/>
      <c r="W800" s="66"/>
      <c r="X800" s="66"/>
    </row>
    <row r="801">
      <c r="A801" s="75"/>
      <c r="B801" s="485"/>
      <c r="C801" s="75"/>
      <c r="D801" s="485"/>
      <c r="E801" s="75"/>
      <c r="F801" s="485"/>
      <c r="G801" s="210"/>
      <c r="H801" s="485"/>
      <c r="I801" s="188"/>
      <c r="J801" s="485"/>
      <c r="K801" s="75"/>
      <c r="L801" s="66"/>
      <c r="M801" s="66"/>
      <c r="N801" s="66"/>
      <c r="O801" s="66"/>
      <c r="P801" s="66"/>
      <c r="Q801" s="66"/>
      <c r="R801" s="66"/>
      <c r="S801" s="66"/>
      <c r="T801" s="66"/>
      <c r="U801" s="66"/>
      <c r="V801" s="66"/>
      <c r="W801" s="66"/>
      <c r="X801" s="66"/>
    </row>
    <row r="802">
      <c r="A802" s="75"/>
      <c r="B802" s="485"/>
      <c r="C802" s="75"/>
      <c r="D802" s="485"/>
      <c r="E802" s="75"/>
      <c r="F802" s="485"/>
      <c r="G802" s="210"/>
      <c r="H802" s="485"/>
      <c r="I802" s="188"/>
      <c r="J802" s="485"/>
      <c r="K802" s="75"/>
      <c r="L802" s="66"/>
      <c r="M802" s="66"/>
      <c r="N802" s="66"/>
      <c r="O802" s="66"/>
      <c r="P802" s="66"/>
      <c r="Q802" s="66"/>
      <c r="R802" s="66"/>
      <c r="S802" s="66"/>
      <c r="T802" s="66"/>
      <c r="U802" s="66"/>
      <c r="V802" s="66"/>
      <c r="W802" s="66"/>
      <c r="X802" s="66"/>
    </row>
    <row r="803">
      <c r="A803" s="75"/>
      <c r="B803" s="485"/>
      <c r="C803" s="75"/>
      <c r="D803" s="485"/>
      <c r="E803" s="75"/>
      <c r="F803" s="485"/>
      <c r="G803" s="210"/>
      <c r="H803" s="485"/>
      <c r="I803" s="188"/>
      <c r="J803" s="485"/>
      <c r="K803" s="75"/>
      <c r="L803" s="66"/>
      <c r="M803" s="66"/>
      <c r="N803" s="66"/>
      <c r="O803" s="66"/>
      <c r="P803" s="66"/>
      <c r="Q803" s="66"/>
      <c r="R803" s="66"/>
      <c r="S803" s="66"/>
      <c r="T803" s="66"/>
      <c r="U803" s="66"/>
      <c r="V803" s="66"/>
      <c r="W803" s="66"/>
      <c r="X803" s="66"/>
    </row>
    <row r="804">
      <c r="A804" s="75"/>
      <c r="B804" s="485"/>
      <c r="C804" s="75"/>
      <c r="D804" s="485"/>
      <c r="E804" s="75"/>
      <c r="F804" s="485"/>
      <c r="G804" s="210"/>
      <c r="H804" s="485"/>
      <c r="I804" s="188"/>
      <c r="J804" s="485"/>
      <c r="K804" s="75"/>
      <c r="L804" s="66"/>
      <c r="M804" s="66"/>
      <c r="N804" s="66"/>
      <c r="O804" s="66"/>
      <c r="P804" s="66"/>
      <c r="Q804" s="66"/>
      <c r="R804" s="66"/>
      <c r="S804" s="66"/>
      <c r="T804" s="66"/>
      <c r="U804" s="66"/>
      <c r="V804" s="66"/>
      <c r="W804" s="66"/>
      <c r="X804" s="66"/>
    </row>
    <row r="805">
      <c r="A805" s="75"/>
      <c r="B805" s="485"/>
      <c r="C805" s="75"/>
      <c r="D805" s="485"/>
      <c r="E805" s="75"/>
      <c r="F805" s="485"/>
      <c r="G805" s="210"/>
      <c r="H805" s="485"/>
      <c r="I805" s="188"/>
      <c r="J805" s="485"/>
      <c r="K805" s="75"/>
      <c r="L805" s="66"/>
      <c r="M805" s="66"/>
      <c r="N805" s="66"/>
      <c r="O805" s="66"/>
      <c r="P805" s="66"/>
      <c r="Q805" s="66"/>
      <c r="R805" s="66"/>
      <c r="S805" s="66"/>
      <c r="T805" s="66"/>
      <c r="U805" s="66"/>
      <c r="V805" s="66"/>
      <c r="W805" s="66"/>
      <c r="X805" s="66"/>
    </row>
    <row r="806">
      <c r="A806" s="75"/>
      <c r="B806" s="485"/>
      <c r="C806" s="75"/>
      <c r="D806" s="485"/>
      <c r="E806" s="75"/>
      <c r="F806" s="485"/>
      <c r="G806" s="210"/>
      <c r="H806" s="485"/>
      <c r="I806" s="188"/>
      <c r="J806" s="485"/>
      <c r="K806" s="75"/>
      <c r="L806" s="66"/>
      <c r="M806" s="66"/>
      <c r="N806" s="66"/>
      <c r="O806" s="66"/>
      <c r="P806" s="66"/>
      <c r="Q806" s="66"/>
      <c r="R806" s="66"/>
      <c r="S806" s="66"/>
      <c r="T806" s="66"/>
      <c r="U806" s="66"/>
      <c r="V806" s="66"/>
      <c r="W806" s="66"/>
      <c r="X806" s="66"/>
    </row>
    <row r="807">
      <c r="A807" s="75"/>
      <c r="B807" s="485"/>
      <c r="C807" s="75"/>
      <c r="D807" s="485"/>
      <c r="E807" s="75"/>
      <c r="F807" s="485"/>
      <c r="G807" s="210"/>
      <c r="H807" s="485"/>
      <c r="I807" s="188"/>
      <c r="J807" s="485"/>
      <c r="K807" s="75"/>
      <c r="L807" s="66"/>
      <c r="M807" s="66"/>
      <c r="N807" s="66"/>
      <c r="O807" s="66"/>
      <c r="P807" s="66"/>
      <c r="Q807" s="66"/>
      <c r="R807" s="66"/>
      <c r="S807" s="66"/>
      <c r="T807" s="66"/>
      <c r="U807" s="66"/>
      <c r="V807" s="66"/>
      <c r="W807" s="66"/>
      <c r="X807" s="66"/>
    </row>
    <row r="808">
      <c r="A808" s="75"/>
      <c r="B808" s="485"/>
      <c r="C808" s="75"/>
      <c r="D808" s="485"/>
      <c r="E808" s="75"/>
      <c r="F808" s="485"/>
      <c r="G808" s="210"/>
      <c r="H808" s="485"/>
      <c r="I808" s="188"/>
      <c r="J808" s="485"/>
      <c r="K808" s="75"/>
      <c r="L808" s="66"/>
      <c r="M808" s="66"/>
      <c r="N808" s="66"/>
      <c r="O808" s="66"/>
      <c r="P808" s="66"/>
      <c r="Q808" s="66"/>
      <c r="R808" s="66"/>
      <c r="S808" s="66"/>
      <c r="T808" s="66"/>
      <c r="U808" s="66"/>
      <c r="V808" s="66"/>
      <c r="W808" s="66"/>
      <c r="X808" s="66"/>
    </row>
    <row r="809">
      <c r="A809" s="75"/>
      <c r="B809" s="485"/>
      <c r="C809" s="75"/>
      <c r="D809" s="485"/>
      <c r="E809" s="75"/>
      <c r="F809" s="485"/>
      <c r="G809" s="210"/>
      <c r="H809" s="485"/>
      <c r="I809" s="188"/>
      <c r="J809" s="485"/>
      <c r="K809" s="75"/>
      <c r="L809" s="66"/>
      <c r="M809" s="66"/>
      <c r="N809" s="66"/>
      <c r="O809" s="66"/>
      <c r="P809" s="66"/>
      <c r="Q809" s="66"/>
      <c r="R809" s="66"/>
      <c r="S809" s="66"/>
      <c r="T809" s="66"/>
      <c r="U809" s="66"/>
      <c r="V809" s="66"/>
      <c r="W809" s="66"/>
      <c r="X809" s="66"/>
    </row>
    <row r="810">
      <c r="A810" s="75"/>
      <c r="B810" s="485"/>
      <c r="C810" s="75"/>
      <c r="D810" s="485"/>
      <c r="E810" s="75"/>
      <c r="F810" s="485"/>
      <c r="G810" s="210"/>
      <c r="H810" s="485"/>
      <c r="I810" s="188"/>
      <c r="J810" s="485"/>
      <c r="K810" s="75"/>
      <c r="L810" s="66"/>
      <c r="M810" s="66"/>
      <c r="N810" s="66"/>
      <c r="O810" s="66"/>
      <c r="P810" s="66"/>
      <c r="Q810" s="66"/>
      <c r="R810" s="66"/>
      <c r="S810" s="66"/>
      <c r="T810" s="66"/>
      <c r="U810" s="66"/>
      <c r="V810" s="66"/>
      <c r="W810" s="66"/>
      <c r="X810" s="66"/>
    </row>
    <row r="811">
      <c r="A811" s="75"/>
      <c r="B811" s="485"/>
      <c r="C811" s="75"/>
      <c r="D811" s="485"/>
      <c r="E811" s="75"/>
      <c r="F811" s="485"/>
      <c r="G811" s="210"/>
      <c r="H811" s="485"/>
      <c r="I811" s="188"/>
      <c r="J811" s="485"/>
      <c r="K811" s="75"/>
      <c r="L811" s="66"/>
      <c r="M811" s="66"/>
      <c r="N811" s="66"/>
      <c r="O811" s="66"/>
      <c r="P811" s="66"/>
      <c r="Q811" s="66"/>
      <c r="R811" s="66"/>
      <c r="S811" s="66"/>
      <c r="T811" s="66"/>
      <c r="U811" s="66"/>
      <c r="V811" s="66"/>
      <c r="W811" s="66"/>
      <c r="X811" s="66"/>
    </row>
    <row r="812">
      <c r="A812" s="75"/>
      <c r="B812" s="485"/>
      <c r="C812" s="75"/>
      <c r="D812" s="485"/>
      <c r="E812" s="75"/>
      <c r="F812" s="485"/>
      <c r="G812" s="210"/>
      <c r="H812" s="485"/>
      <c r="I812" s="188"/>
      <c r="J812" s="485"/>
      <c r="K812" s="75"/>
      <c r="L812" s="66"/>
      <c r="M812" s="66"/>
      <c r="N812" s="66"/>
      <c r="O812" s="66"/>
      <c r="P812" s="66"/>
      <c r="Q812" s="66"/>
      <c r="R812" s="66"/>
      <c r="S812" s="66"/>
      <c r="T812" s="66"/>
      <c r="U812" s="66"/>
      <c r="V812" s="66"/>
      <c r="W812" s="66"/>
      <c r="X812" s="66"/>
    </row>
    <row r="813">
      <c r="A813" s="75"/>
      <c r="B813" s="485"/>
      <c r="C813" s="75"/>
      <c r="D813" s="485"/>
      <c r="E813" s="75"/>
      <c r="F813" s="485"/>
      <c r="G813" s="210"/>
      <c r="H813" s="485"/>
      <c r="I813" s="188"/>
      <c r="J813" s="485"/>
      <c r="K813" s="75"/>
      <c r="L813" s="66"/>
      <c r="M813" s="66"/>
      <c r="N813" s="66"/>
      <c r="O813" s="66"/>
      <c r="P813" s="66"/>
      <c r="Q813" s="66"/>
      <c r="R813" s="66"/>
      <c r="S813" s="66"/>
      <c r="T813" s="66"/>
      <c r="U813" s="66"/>
      <c r="V813" s="66"/>
      <c r="W813" s="66"/>
      <c r="X813" s="66"/>
    </row>
    <row r="814">
      <c r="A814" s="75"/>
      <c r="B814" s="485"/>
      <c r="C814" s="75"/>
      <c r="D814" s="485"/>
      <c r="E814" s="75"/>
      <c r="F814" s="485"/>
      <c r="G814" s="210"/>
      <c r="H814" s="485"/>
      <c r="I814" s="188"/>
      <c r="J814" s="485"/>
      <c r="K814" s="75"/>
      <c r="L814" s="66"/>
      <c r="M814" s="66"/>
      <c r="N814" s="66"/>
      <c r="O814" s="66"/>
      <c r="P814" s="66"/>
      <c r="Q814" s="66"/>
      <c r="R814" s="66"/>
      <c r="S814" s="66"/>
      <c r="T814" s="66"/>
      <c r="U814" s="66"/>
      <c r="V814" s="66"/>
      <c r="W814" s="66"/>
      <c r="X814" s="66"/>
    </row>
    <row r="815">
      <c r="A815" s="75"/>
      <c r="B815" s="485"/>
      <c r="C815" s="75"/>
      <c r="D815" s="485"/>
      <c r="E815" s="75"/>
      <c r="F815" s="485"/>
      <c r="G815" s="210"/>
      <c r="H815" s="485"/>
      <c r="I815" s="188"/>
      <c r="J815" s="485"/>
      <c r="K815" s="75"/>
      <c r="L815" s="66"/>
      <c r="M815" s="66"/>
      <c r="N815" s="66"/>
      <c r="O815" s="66"/>
      <c r="P815" s="66"/>
      <c r="Q815" s="66"/>
      <c r="R815" s="66"/>
      <c r="S815" s="66"/>
      <c r="T815" s="66"/>
      <c r="U815" s="66"/>
      <c r="V815" s="66"/>
      <c r="W815" s="66"/>
      <c r="X815" s="66"/>
    </row>
    <row r="816">
      <c r="A816" s="75"/>
      <c r="B816" s="485"/>
      <c r="C816" s="75"/>
      <c r="D816" s="485"/>
      <c r="E816" s="75"/>
      <c r="F816" s="485"/>
      <c r="G816" s="210"/>
      <c r="H816" s="485"/>
      <c r="I816" s="188"/>
      <c r="J816" s="485"/>
      <c r="K816" s="75"/>
      <c r="L816" s="66"/>
      <c r="M816" s="66"/>
      <c r="N816" s="66"/>
      <c r="O816" s="66"/>
      <c r="P816" s="66"/>
      <c r="Q816" s="66"/>
      <c r="R816" s="66"/>
      <c r="S816" s="66"/>
      <c r="T816" s="66"/>
      <c r="U816" s="66"/>
      <c r="V816" s="66"/>
      <c r="W816" s="66"/>
      <c r="X816" s="66"/>
    </row>
    <row r="817">
      <c r="A817" s="75"/>
      <c r="B817" s="485"/>
      <c r="C817" s="75"/>
      <c r="D817" s="485"/>
      <c r="E817" s="75"/>
      <c r="F817" s="485"/>
      <c r="G817" s="210"/>
      <c r="H817" s="485"/>
      <c r="I817" s="188"/>
      <c r="J817" s="485"/>
      <c r="K817" s="75"/>
      <c r="L817" s="66"/>
      <c r="M817" s="66"/>
      <c r="N817" s="66"/>
      <c r="O817" s="66"/>
      <c r="P817" s="66"/>
      <c r="Q817" s="66"/>
      <c r="R817" s="66"/>
      <c r="S817" s="66"/>
      <c r="T817" s="66"/>
      <c r="U817" s="66"/>
      <c r="V817" s="66"/>
      <c r="W817" s="66"/>
      <c r="X817" s="66"/>
    </row>
    <row r="818">
      <c r="A818" s="75"/>
      <c r="B818" s="485"/>
      <c r="C818" s="75"/>
      <c r="D818" s="485"/>
      <c r="E818" s="75"/>
      <c r="F818" s="485"/>
      <c r="G818" s="210"/>
      <c r="H818" s="485"/>
      <c r="I818" s="188"/>
      <c r="J818" s="485"/>
      <c r="K818" s="75"/>
      <c r="L818" s="66"/>
      <c r="M818" s="66"/>
      <c r="N818" s="66"/>
      <c r="O818" s="66"/>
      <c r="P818" s="66"/>
      <c r="Q818" s="66"/>
      <c r="R818" s="66"/>
      <c r="S818" s="66"/>
      <c r="T818" s="66"/>
      <c r="U818" s="66"/>
      <c r="V818" s="66"/>
      <c r="W818" s="66"/>
      <c r="X818" s="66"/>
    </row>
    <row r="819">
      <c r="A819" s="75"/>
      <c r="B819" s="485"/>
      <c r="C819" s="75"/>
      <c r="D819" s="485"/>
      <c r="E819" s="75"/>
      <c r="F819" s="485"/>
      <c r="G819" s="210"/>
      <c r="H819" s="485"/>
      <c r="I819" s="188"/>
      <c r="J819" s="485"/>
      <c r="K819" s="75"/>
      <c r="L819" s="66"/>
      <c r="M819" s="66"/>
      <c r="N819" s="66"/>
      <c r="O819" s="66"/>
      <c r="P819" s="66"/>
      <c r="Q819" s="66"/>
      <c r="R819" s="66"/>
      <c r="S819" s="66"/>
      <c r="T819" s="66"/>
      <c r="U819" s="66"/>
      <c r="V819" s="66"/>
      <c r="W819" s="66"/>
      <c r="X819" s="66"/>
    </row>
    <row r="820">
      <c r="A820" s="75"/>
      <c r="B820" s="485"/>
      <c r="C820" s="75"/>
      <c r="D820" s="485"/>
      <c r="E820" s="75"/>
      <c r="F820" s="485"/>
      <c r="G820" s="210"/>
      <c r="H820" s="485"/>
      <c r="I820" s="188"/>
      <c r="J820" s="485"/>
      <c r="K820" s="75"/>
      <c r="L820" s="66"/>
      <c r="M820" s="66"/>
      <c r="N820" s="66"/>
      <c r="O820" s="66"/>
      <c r="P820" s="66"/>
      <c r="Q820" s="66"/>
      <c r="R820" s="66"/>
      <c r="S820" s="66"/>
      <c r="T820" s="66"/>
      <c r="U820" s="66"/>
      <c r="V820" s="66"/>
      <c r="W820" s="66"/>
      <c r="X820" s="66"/>
    </row>
    <row r="821">
      <c r="A821" s="75"/>
      <c r="B821" s="485"/>
      <c r="C821" s="75"/>
      <c r="D821" s="485"/>
      <c r="E821" s="75"/>
      <c r="F821" s="485"/>
      <c r="G821" s="210"/>
      <c r="H821" s="485"/>
      <c r="I821" s="188"/>
      <c r="J821" s="485"/>
      <c r="K821" s="75"/>
      <c r="L821" s="66"/>
      <c r="M821" s="66"/>
      <c r="N821" s="66"/>
      <c r="O821" s="66"/>
      <c r="P821" s="66"/>
      <c r="Q821" s="66"/>
      <c r="R821" s="66"/>
      <c r="S821" s="66"/>
      <c r="T821" s="66"/>
      <c r="U821" s="66"/>
      <c r="V821" s="66"/>
      <c r="W821" s="66"/>
      <c r="X821" s="66"/>
    </row>
    <row r="822">
      <c r="A822" s="75"/>
      <c r="B822" s="485"/>
      <c r="C822" s="75"/>
      <c r="D822" s="485"/>
      <c r="E822" s="75"/>
      <c r="F822" s="485"/>
      <c r="G822" s="210"/>
      <c r="H822" s="485"/>
      <c r="I822" s="188"/>
      <c r="J822" s="485"/>
      <c r="K822" s="75"/>
      <c r="L822" s="66"/>
      <c r="M822" s="66"/>
      <c r="N822" s="66"/>
      <c r="O822" s="66"/>
      <c r="P822" s="66"/>
      <c r="Q822" s="66"/>
      <c r="R822" s="66"/>
      <c r="S822" s="66"/>
      <c r="T822" s="66"/>
      <c r="U822" s="66"/>
      <c r="V822" s="66"/>
      <c r="W822" s="66"/>
      <c r="X822" s="66"/>
    </row>
    <row r="823">
      <c r="A823" s="75"/>
      <c r="B823" s="485"/>
      <c r="C823" s="75"/>
      <c r="D823" s="485"/>
      <c r="E823" s="75"/>
      <c r="F823" s="485"/>
      <c r="G823" s="210"/>
      <c r="H823" s="485"/>
      <c r="I823" s="188"/>
      <c r="J823" s="485"/>
      <c r="K823" s="75"/>
      <c r="L823" s="66"/>
      <c r="M823" s="66"/>
      <c r="N823" s="66"/>
      <c r="O823" s="66"/>
      <c r="P823" s="66"/>
      <c r="Q823" s="66"/>
      <c r="R823" s="66"/>
      <c r="S823" s="66"/>
      <c r="T823" s="66"/>
      <c r="U823" s="66"/>
      <c r="V823" s="66"/>
      <c r="W823" s="66"/>
      <c r="X823" s="66"/>
    </row>
    <row r="824">
      <c r="A824" s="75"/>
      <c r="B824" s="485"/>
      <c r="C824" s="75"/>
      <c r="D824" s="485"/>
      <c r="E824" s="75"/>
      <c r="F824" s="485"/>
      <c r="G824" s="210"/>
      <c r="H824" s="485"/>
      <c r="I824" s="188"/>
      <c r="J824" s="485"/>
      <c r="K824" s="75"/>
      <c r="L824" s="66"/>
      <c r="M824" s="66"/>
      <c r="N824" s="66"/>
      <c r="O824" s="66"/>
      <c r="P824" s="66"/>
      <c r="Q824" s="66"/>
      <c r="R824" s="66"/>
      <c r="S824" s="66"/>
      <c r="T824" s="66"/>
      <c r="U824" s="66"/>
      <c r="V824" s="66"/>
      <c r="W824" s="66"/>
      <c r="X824" s="66"/>
    </row>
    <row r="825">
      <c r="A825" s="75"/>
      <c r="B825" s="485"/>
      <c r="C825" s="75"/>
      <c r="D825" s="485"/>
      <c r="E825" s="75"/>
      <c r="F825" s="485"/>
      <c r="G825" s="210"/>
      <c r="H825" s="485"/>
      <c r="I825" s="188"/>
      <c r="J825" s="485"/>
      <c r="K825" s="75"/>
      <c r="L825" s="66"/>
      <c r="M825" s="66"/>
      <c r="N825" s="66"/>
      <c r="O825" s="66"/>
      <c r="P825" s="66"/>
      <c r="Q825" s="66"/>
      <c r="R825" s="66"/>
      <c r="S825" s="66"/>
      <c r="T825" s="66"/>
      <c r="U825" s="66"/>
      <c r="V825" s="66"/>
      <c r="W825" s="66"/>
      <c r="X825" s="66"/>
    </row>
    <row r="826">
      <c r="A826" s="75"/>
      <c r="B826" s="485"/>
      <c r="C826" s="75"/>
      <c r="D826" s="485"/>
      <c r="E826" s="75"/>
      <c r="F826" s="485"/>
      <c r="G826" s="210"/>
      <c r="H826" s="485"/>
      <c r="I826" s="188"/>
      <c r="J826" s="485"/>
      <c r="K826" s="75"/>
      <c r="L826" s="66"/>
      <c r="M826" s="66"/>
      <c r="N826" s="66"/>
      <c r="O826" s="66"/>
      <c r="P826" s="66"/>
      <c r="Q826" s="66"/>
      <c r="R826" s="66"/>
      <c r="S826" s="66"/>
      <c r="T826" s="66"/>
      <c r="U826" s="66"/>
      <c r="V826" s="66"/>
      <c r="W826" s="66"/>
      <c r="X826" s="66"/>
    </row>
    <row r="827">
      <c r="A827" s="75"/>
      <c r="B827" s="485"/>
      <c r="C827" s="75"/>
      <c r="D827" s="485"/>
      <c r="E827" s="75"/>
      <c r="F827" s="485"/>
      <c r="G827" s="210"/>
      <c r="H827" s="485"/>
      <c r="I827" s="188"/>
      <c r="J827" s="485"/>
      <c r="K827" s="75"/>
      <c r="L827" s="66"/>
      <c r="M827" s="66"/>
      <c r="N827" s="66"/>
      <c r="O827" s="66"/>
      <c r="P827" s="66"/>
      <c r="Q827" s="66"/>
      <c r="R827" s="66"/>
      <c r="S827" s="66"/>
      <c r="T827" s="66"/>
      <c r="U827" s="66"/>
      <c r="V827" s="66"/>
      <c r="W827" s="66"/>
      <c r="X827" s="66"/>
    </row>
    <row r="828">
      <c r="A828" s="75"/>
      <c r="B828" s="485"/>
      <c r="C828" s="75"/>
      <c r="D828" s="485"/>
      <c r="E828" s="75"/>
      <c r="F828" s="485"/>
      <c r="G828" s="210"/>
      <c r="H828" s="485"/>
      <c r="I828" s="188"/>
      <c r="J828" s="485"/>
      <c r="K828" s="75"/>
      <c r="L828" s="66"/>
      <c r="M828" s="66"/>
      <c r="N828" s="66"/>
      <c r="O828" s="66"/>
      <c r="P828" s="66"/>
      <c r="Q828" s="66"/>
      <c r="R828" s="66"/>
      <c r="S828" s="66"/>
      <c r="T828" s="66"/>
      <c r="U828" s="66"/>
      <c r="V828" s="66"/>
      <c r="W828" s="66"/>
      <c r="X828" s="66"/>
    </row>
    <row r="829">
      <c r="A829" s="75"/>
      <c r="B829" s="485"/>
      <c r="C829" s="75"/>
      <c r="D829" s="485"/>
      <c r="E829" s="75"/>
      <c r="F829" s="485"/>
      <c r="G829" s="210"/>
      <c r="H829" s="485"/>
      <c r="I829" s="188"/>
      <c r="J829" s="485"/>
      <c r="K829" s="75"/>
      <c r="L829" s="66"/>
      <c r="M829" s="66"/>
      <c r="N829" s="66"/>
      <c r="O829" s="66"/>
      <c r="P829" s="66"/>
      <c r="Q829" s="66"/>
      <c r="R829" s="66"/>
      <c r="S829" s="66"/>
      <c r="T829" s="66"/>
      <c r="U829" s="66"/>
      <c r="V829" s="66"/>
      <c r="W829" s="66"/>
      <c r="X829" s="66"/>
    </row>
    <row r="830">
      <c r="A830" s="75"/>
      <c r="B830" s="485"/>
      <c r="C830" s="75"/>
      <c r="D830" s="485"/>
      <c r="E830" s="75"/>
      <c r="F830" s="485"/>
      <c r="G830" s="210"/>
      <c r="H830" s="485"/>
      <c r="I830" s="188"/>
      <c r="J830" s="485"/>
      <c r="K830" s="75"/>
      <c r="L830" s="66"/>
      <c r="M830" s="66"/>
      <c r="N830" s="66"/>
      <c r="O830" s="66"/>
      <c r="P830" s="66"/>
      <c r="Q830" s="66"/>
      <c r="R830" s="66"/>
      <c r="S830" s="66"/>
      <c r="T830" s="66"/>
      <c r="U830" s="66"/>
      <c r="V830" s="66"/>
      <c r="W830" s="66"/>
      <c r="X830" s="66"/>
    </row>
    <row r="831">
      <c r="A831" s="75"/>
      <c r="B831" s="485"/>
      <c r="C831" s="75"/>
      <c r="D831" s="485"/>
      <c r="E831" s="75"/>
      <c r="F831" s="485"/>
      <c r="G831" s="210"/>
      <c r="H831" s="485"/>
      <c r="I831" s="188"/>
      <c r="J831" s="485"/>
      <c r="K831" s="75"/>
      <c r="L831" s="66"/>
      <c r="M831" s="66"/>
      <c r="N831" s="66"/>
      <c r="O831" s="66"/>
      <c r="P831" s="66"/>
      <c r="Q831" s="66"/>
      <c r="R831" s="66"/>
      <c r="S831" s="66"/>
      <c r="T831" s="66"/>
      <c r="U831" s="66"/>
      <c r="V831" s="66"/>
      <c r="W831" s="66"/>
      <c r="X831" s="66"/>
    </row>
    <row r="832">
      <c r="A832" s="75"/>
      <c r="B832" s="485"/>
      <c r="C832" s="75"/>
      <c r="D832" s="485"/>
      <c r="E832" s="75"/>
      <c r="F832" s="485"/>
      <c r="G832" s="210"/>
      <c r="H832" s="485"/>
      <c r="I832" s="188"/>
      <c r="J832" s="485"/>
      <c r="K832" s="75"/>
      <c r="L832" s="66"/>
      <c r="M832" s="66"/>
      <c r="N832" s="66"/>
      <c r="O832" s="66"/>
      <c r="P832" s="66"/>
      <c r="Q832" s="66"/>
      <c r="R832" s="66"/>
      <c r="S832" s="66"/>
      <c r="T832" s="66"/>
      <c r="U832" s="66"/>
      <c r="V832" s="66"/>
      <c r="W832" s="66"/>
      <c r="X832" s="66"/>
    </row>
    <row r="833">
      <c r="A833" s="75"/>
      <c r="B833" s="485"/>
      <c r="C833" s="75"/>
      <c r="D833" s="485"/>
      <c r="E833" s="75"/>
      <c r="F833" s="485"/>
      <c r="G833" s="210"/>
      <c r="H833" s="485"/>
      <c r="I833" s="188"/>
      <c r="J833" s="485"/>
      <c r="K833" s="75"/>
      <c r="L833" s="66"/>
      <c r="M833" s="66"/>
      <c r="N833" s="66"/>
      <c r="O833" s="66"/>
      <c r="P833" s="66"/>
      <c r="Q833" s="66"/>
      <c r="R833" s="66"/>
      <c r="S833" s="66"/>
      <c r="T833" s="66"/>
      <c r="U833" s="66"/>
      <c r="V833" s="66"/>
      <c r="W833" s="66"/>
      <c r="X833" s="66"/>
    </row>
    <row r="834">
      <c r="A834" s="75"/>
      <c r="B834" s="485"/>
      <c r="C834" s="75"/>
      <c r="D834" s="485"/>
      <c r="E834" s="75"/>
      <c r="F834" s="485"/>
      <c r="G834" s="210"/>
      <c r="H834" s="485"/>
      <c r="I834" s="188"/>
      <c r="J834" s="485"/>
      <c r="K834" s="75"/>
      <c r="L834" s="66"/>
      <c r="M834" s="66"/>
      <c r="N834" s="66"/>
      <c r="O834" s="66"/>
      <c r="P834" s="66"/>
      <c r="Q834" s="66"/>
      <c r="R834" s="66"/>
      <c r="S834" s="66"/>
      <c r="T834" s="66"/>
      <c r="U834" s="66"/>
      <c r="V834" s="66"/>
      <c r="W834" s="66"/>
      <c r="X834" s="66"/>
    </row>
    <row r="835">
      <c r="A835" s="75"/>
      <c r="B835" s="485"/>
      <c r="C835" s="75"/>
      <c r="D835" s="485"/>
      <c r="E835" s="75"/>
      <c r="F835" s="485"/>
      <c r="G835" s="210"/>
      <c r="H835" s="485"/>
      <c r="I835" s="188"/>
      <c r="J835" s="485"/>
      <c r="K835" s="75"/>
      <c r="L835" s="66"/>
      <c r="M835" s="66"/>
      <c r="N835" s="66"/>
      <c r="O835" s="66"/>
      <c r="P835" s="66"/>
      <c r="Q835" s="66"/>
      <c r="R835" s="66"/>
      <c r="S835" s="66"/>
      <c r="T835" s="66"/>
      <c r="U835" s="66"/>
      <c r="V835" s="66"/>
      <c r="W835" s="66"/>
      <c r="X835" s="66"/>
    </row>
    <row r="836">
      <c r="A836" s="75"/>
      <c r="B836" s="485"/>
      <c r="C836" s="75"/>
      <c r="D836" s="485"/>
      <c r="E836" s="75"/>
      <c r="F836" s="485"/>
      <c r="G836" s="210"/>
      <c r="H836" s="485"/>
      <c r="I836" s="188"/>
      <c r="J836" s="485"/>
      <c r="K836" s="75"/>
      <c r="L836" s="66"/>
      <c r="M836" s="66"/>
      <c r="N836" s="66"/>
      <c r="O836" s="66"/>
      <c r="P836" s="66"/>
      <c r="Q836" s="66"/>
      <c r="R836" s="66"/>
      <c r="S836" s="66"/>
      <c r="T836" s="66"/>
      <c r="U836" s="66"/>
      <c r="V836" s="66"/>
      <c r="W836" s="66"/>
      <c r="X836" s="66"/>
    </row>
    <row r="837">
      <c r="A837" s="75"/>
      <c r="B837" s="485"/>
      <c r="C837" s="75"/>
      <c r="D837" s="485"/>
      <c r="E837" s="75"/>
      <c r="F837" s="485"/>
      <c r="G837" s="210"/>
      <c r="H837" s="485"/>
      <c r="I837" s="188"/>
      <c r="J837" s="485"/>
      <c r="K837" s="75"/>
      <c r="L837" s="66"/>
      <c r="M837" s="66"/>
      <c r="N837" s="66"/>
      <c r="O837" s="66"/>
      <c r="P837" s="66"/>
      <c r="Q837" s="66"/>
      <c r="R837" s="66"/>
      <c r="S837" s="66"/>
      <c r="T837" s="66"/>
      <c r="U837" s="66"/>
      <c r="V837" s="66"/>
      <c r="W837" s="66"/>
      <c r="X837" s="66"/>
    </row>
    <row r="838">
      <c r="A838" s="75"/>
      <c r="B838" s="485"/>
      <c r="C838" s="75"/>
      <c r="D838" s="485"/>
      <c r="E838" s="75"/>
      <c r="F838" s="485"/>
      <c r="G838" s="210"/>
      <c r="H838" s="485"/>
      <c r="I838" s="188"/>
      <c r="J838" s="485"/>
      <c r="K838" s="75"/>
      <c r="L838" s="66"/>
      <c r="M838" s="66"/>
      <c r="N838" s="66"/>
      <c r="O838" s="66"/>
      <c r="P838" s="66"/>
      <c r="Q838" s="66"/>
      <c r="R838" s="66"/>
      <c r="S838" s="66"/>
      <c r="T838" s="66"/>
      <c r="U838" s="66"/>
      <c r="V838" s="66"/>
      <c r="W838" s="66"/>
      <c r="X838" s="66"/>
    </row>
    <row r="839">
      <c r="A839" s="75"/>
      <c r="B839" s="485"/>
      <c r="C839" s="75"/>
      <c r="D839" s="485"/>
      <c r="E839" s="75"/>
      <c r="F839" s="485"/>
      <c r="G839" s="210"/>
      <c r="H839" s="485"/>
      <c r="I839" s="188"/>
      <c r="J839" s="485"/>
      <c r="K839" s="75"/>
      <c r="L839" s="66"/>
      <c r="M839" s="66"/>
      <c r="N839" s="66"/>
      <c r="O839" s="66"/>
      <c r="P839" s="66"/>
      <c r="Q839" s="66"/>
      <c r="R839" s="66"/>
      <c r="S839" s="66"/>
      <c r="T839" s="66"/>
      <c r="U839" s="66"/>
      <c r="V839" s="66"/>
      <c r="W839" s="66"/>
      <c r="X839" s="66"/>
    </row>
    <row r="840">
      <c r="A840" s="75"/>
      <c r="B840" s="485"/>
      <c r="C840" s="75"/>
      <c r="D840" s="485"/>
      <c r="E840" s="75"/>
      <c r="F840" s="485"/>
      <c r="G840" s="210"/>
      <c r="H840" s="485"/>
      <c r="I840" s="188"/>
      <c r="J840" s="485"/>
      <c r="K840" s="75"/>
      <c r="L840" s="66"/>
      <c r="M840" s="66"/>
      <c r="N840" s="66"/>
      <c r="O840" s="66"/>
      <c r="P840" s="66"/>
      <c r="Q840" s="66"/>
      <c r="R840" s="66"/>
      <c r="S840" s="66"/>
      <c r="T840" s="66"/>
      <c r="U840" s="66"/>
      <c r="V840" s="66"/>
      <c r="W840" s="66"/>
      <c r="X840" s="66"/>
    </row>
    <row r="841">
      <c r="A841" s="75"/>
      <c r="B841" s="485"/>
      <c r="C841" s="75"/>
      <c r="D841" s="485"/>
      <c r="E841" s="75"/>
      <c r="F841" s="485"/>
      <c r="G841" s="210"/>
      <c r="H841" s="485"/>
      <c r="I841" s="188"/>
      <c r="J841" s="485"/>
      <c r="K841" s="75"/>
      <c r="L841" s="66"/>
      <c r="M841" s="66"/>
      <c r="N841" s="66"/>
      <c r="O841" s="66"/>
      <c r="P841" s="66"/>
      <c r="Q841" s="66"/>
      <c r="R841" s="66"/>
      <c r="S841" s="66"/>
      <c r="T841" s="66"/>
      <c r="U841" s="66"/>
      <c r="V841" s="66"/>
      <c r="W841" s="66"/>
      <c r="X841" s="66"/>
    </row>
    <row r="842">
      <c r="A842" s="75"/>
      <c r="B842" s="485"/>
      <c r="C842" s="75"/>
      <c r="D842" s="485"/>
      <c r="E842" s="75"/>
      <c r="F842" s="485"/>
      <c r="G842" s="210"/>
      <c r="H842" s="485"/>
      <c r="I842" s="188"/>
      <c r="J842" s="485"/>
      <c r="K842" s="75"/>
      <c r="L842" s="66"/>
      <c r="M842" s="66"/>
      <c r="N842" s="66"/>
      <c r="O842" s="66"/>
      <c r="P842" s="66"/>
      <c r="Q842" s="66"/>
      <c r="R842" s="66"/>
      <c r="S842" s="66"/>
      <c r="T842" s="66"/>
      <c r="U842" s="66"/>
      <c r="V842" s="66"/>
      <c r="W842" s="66"/>
      <c r="X842" s="66"/>
    </row>
    <row r="843">
      <c r="A843" s="75"/>
      <c r="B843" s="485"/>
      <c r="C843" s="75"/>
      <c r="D843" s="485"/>
      <c r="E843" s="75"/>
      <c r="F843" s="485"/>
      <c r="G843" s="210"/>
      <c r="H843" s="485"/>
      <c r="I843" s="188"/>
      <c r="J843" s="485"/>
      <c r="K843" s="75"/>
      <c r="L843" s="66"/>
      <c r="M843" s="66"/>
      <c r="N843" s="66"/>
      <c r="O843" s="66"/>
      <c r="P843" s="66"/>
      <c r="Q843" s="66"/>
      <c r="R843" s="66"/>
      <c r="S843" s="66"/>
      <c r="T843" s="66"/>
      <c r="U843" s="66"/>
      <c r="V843" s="66"/>
      <c r="W843" s="66"/>
      <c r="X843" s="66"/>
    </row>
    <row r="844">
      <c r="A844" s="75"/>
      <c r="B844" s="485"/>
      <c r="C844" s="75"/>
      <c r="D844" s="485"/>
      <c r="E844" s="75"/>
      <c r="F844" s="485"/>
      <c r="G844" s="210"/>
      <c r="H844" s="485"/>
      <c r="I844" s="188"/>
      <c r="J844" s="485"/>
      <c r="K844" s="75"/>
      <c r="L844" s="66"/>
      <c r="M844" s="66"/>
      <c r="N844" s="66"/>
      <c r="O844" s="66"/>
      <c r="P844" s="66"/>
      <c r="Q844" s="66"/>
      <c r="R844" s="66"/>
      <c r="S844" s="66"/>
      <c r="T844" s="66"/>
      <c r="U844" s="66"/>
      <c r="V844" s="66"/>
      <c r="W844" s="66"/>
      <c r="X844" s="66"/>
    </row>
    <row r="845">
      <c r="A845" s="75"/>
      <c r="B845" s="485"/>
      <c r="C845" s="75"/>
      <c r="D845" s="485"/>
      <c r="E845" s="75"/>
      <c r="F845" s="485"/>
      <c r="G845" s="210"/>
      <c r="H845" s="485"/>
      <c r="I845" s="188"/>
      <c r="J845" s="485"/>
      <c r="K845" s="75"/>
      <c r="L845" s="66"/>
      <c r="M845" s="66"/>
      <c r="N845" s="66"/>
      <c r="O845" s="66"/>
      <c r="P845" s="66"/>
      <c r="Q845" s="66"/>
      <c r="R845" s="66"/>
      <c r="S845" s="66"/>
      <c r="T845" s="66"/>
      <c r="U845" s="66"/>
      <c r="V845" s="66"/>
      <c r="W845" s="66"/>
      <c r="X845" s="66"/>
    </row>
    <row r="846">
      <c r="A846" s="75"/>
      <c r="B846" s="485"/>
      <c r="C846" s="75"/>
      <c r="D846" s="485"/>
      <c r="E846" s="75"/>
      <c r="F846" s="485"/>
      <c r="G846" s="210"/>
      <c r="H846" s="485"/>
      <c r="I846" s="188"/>
      <c r="J846" s="485"/>
      <c r="K846" s="75"/>
      <c r="L846" s="66"/>
      <c r="M846" s="66"/>
      <c r="N846" s="66"/>
      <c r="O846" s="66"/>
      <c r="P846" s="66"/>
      <c r="Q846" s="66"/>
      <c r="R846" s="66"/>
      <c r="S846" s="66"/>
      <c r="T846" s="66"/>
      <c r="U846" s="66"/>
      <c r="V846" s="66"/>
      <c r="W846" s="66"/>
      <c r="X846" s="66"/>
    </row>
    <row r="847">
      <c r="A847" s="75"/>
      <c r="B847" s="485"/>
      <c r="C847" s="75"/>
      <c r="D847" s="485"/>
      <c r="E847" s="75"/>
      <c r="F847" s="485"/>
      <c r="G847" s="210"/>
      <c r="H847" s="485"/>
      <c r="I847" s="188"/>
      <c r="J847" s="485"/>
      <c r="K847" s="75"/>
      <c r="L847" s="66"/>
      <c r="M847" s="66"/>
      <c r="N847" s="66"/>
      <c r="O847" s="66"/>
      <c r="P847" s="66"/>
      <c r="Q847" s="66"/>
      <c r="R847" s="66"/>
      <c r="S847" s="66"/>
      <c r="T847" s="66"/>
      <c r="U847" s="66"/>
      <c r="V847" s="66"/>
      <c r="W847" s="66"/>
      <c r="X847" s="66"/>
    </row>
    <row r="848">
      <c r="A848" s="75"/>
      <c r="B848" s="485"/>
      <c r="C848" s="75"/>
      <c r="D848" s="485"/>
      <c r="E848" s="75"/>
      <c r="F848" s="485"/>
      <c r="G848" s="210"/>
      <c r="H848" s="485"/>
      <c r="I848" s="188"/>
      <c r="J848" s="485"/>
      <c r="K848" s="75"/>
      <c r="L848" s="66"/>
      <c r="M848" s="66"/>
      <c r="N848" s="66"/>
      <c r="O848" s="66"/>
      <c r="P848" s="66"/>
      <c r="Q848" s="66"/>
      <c r="R848" s="66"/>
      <c r="S848" s="66"/>
      <c r="T848" s="66"/>
      <c r="U848" s="66"/>
      <c r="V848" s="66"/>
      <c r="W848" s="66"/>
      <c r="X848" s="66"/>
    </row>
    <row r="849">
      <c r="A849" s="75"/>
      <c r="B849" s="485"/>
      <c r="C849" s="75"/>
      <c r="D849" s="485"/>
      <c r="E849" s="75"/>
      <c r="F849" s="485"/>
      <c r="G849" s="210"/>
      <c r="H849" s="485"/>
      <c r="I849" s="188"/>
      <c r="J849" s="485"/>
      <c r="K849" s="75"/>
      <c r="L849" s="66"/>
      <c r="M849" s="66"/>
      <c r="N849" s="66"/>
      <c r="O849" s="66"/>
      <c r="P849" s="66"/>
      <c r="Q849" s="66"/>
      <c r="R849" s="66"/>
      <c r="S849" s="66"/>
      <c r="T849" s="66"/>
      <c r="U849" s="66"/>
      <c r="V849" s="66"/>
      <c r="W849" s="66"/>
      <c r="X849" s="66"/>
    </row>
    <row r="850">
      <c r="A850" s="75"/>
      <c r="B850" s="485"/>
      <c r="C850" s="75"/>
      <c r="D850" s="485"/>
      <c r="E850" s="75"/>
      <c r="F850" s="485"/>
      <c r="G850" s="210"/>
      <c r="H850" s="485"/>
      <c r="I850" s="188"/>
      <c r="J850" s="485"/>
      <c r="K850" s="75"/>
      <c r="L850" s="66"/>
      <c r="M850" s="66"/>
      <c r="N850" s="66"/>
      <c r="O850" s="66"/>
      <c r="P850" s="66"/>
      <c r="Q850" s="66"/>
      <c r="R850" s="66"/>
      <c r="S850" s="66"/>
      <c r="T850" s="66"/>
      <c r="U850" s="66"/>
      <c r="V850" s="66"/>
      <c r="W850" s="66"/>
      <c r="X850" s="66"/>
    </row>
    <row r="851">
      <c r="A851" s="75"/>
      <c r="B851" s="485"/>
      <c r="C851" s="75"/>
      <c r="D851" s="485"/>
      <c r="E851" s="75"/>
      <c r="F851" s="485"/>
      <c r="G851" s="210"/>
      <c r="H851" s="485"/>
      <c r="I851" s="188"/>
      <c r="J851" s="485"/>
      <c r="K851" s="75"/>
      <c r="L851" s="66"/>
      <c r="M851" s="66"/>
      <c r="N851" s="66"/>
      <c r="O851" s="66"/>
      <c r="P851" s="66"/>
      <c r="Q851" s="66"/>
      <c r="R851" s="66"/>
      <c r="S851" s="66"/>
      <c r="T851" s="66"/>
      <c r="U851" s="66"/>
      <c r="V851" s="66"/>
      <c r="W851" s="66"/>
      <c r="X851" s="66"/>
    </row>
    <row r="852">
      <c r="A852" s="75"/>
      <c r="B852" s="485"/>
      <c r="C852" s="75"/>
      <c r="D852" s="485"/>
      <c r="E852" s="75"/>
      <c r="F852" s="485"/>
      <c r="G852" s="210"/>
      <c r="H852" s="485"/>
      <c r="I852" s="188"/>
      <c r="J852" s="485"/>
      <c r="K852" s="75"/>
      <c r="L852" s="66"/>
      <c r="M852" s="66"/>
      <c r="N852" s="66"/>
      <c r="O852" s="66"/>
      <c r="P852" s="66"/>
      <c r="Q852" s="66"/>
      <c r="R852" s="66"/>
      <c r="S852" s="66"/>
      <c r="T852" s="66"/>
      <c r="U852" s="66"/>
      <c r="V852" s="66"/>
      <c r="W852" s="66"/>
      <c r="X852" s="66"/>
    </row>
    <row r="853">
      <c r="A853" s="75"/>
      <c r="B853" s="485"/>
      <c r="C853" s="75"/>
      <c r="D853" s="485"/>
      <c r="E853" s="75"/>
      <c r="F853" s="485"/>
      <c r="G853" s="210"/>
      <c r="H853" s="485"/>
      <c r="I853" s="188"/>
      <c r="J853" s="485"/>
      <c r="K853" s="75"/>
      <c r="L853" s="66"/>
      <c r="M853" s="66"/>
      <c r="N853" s="66"/>
      <c r="O853" s="66"/>
      <c r="P853" s="66"/>
      <c r="Q853" s="66"/>
      <c r="R853" s="66"/>
      <c r="S853" s="66"/>
      <c r="T853" s="66"/>
      <c r="U853" s="66"/>
      <c r="V853" s="66"/>
      <c r="W853" s="66"/>
      <c r="X853" s="66"/>
    </row>
    <row r="854">
      <c r="A854" s="75"/>
      <c r="B854" s="485"/>
      <c r="C854" s="75"/>
      <c r="D854" s="485"/>
      <c r="E854" s="75"/>
      <c r="F854" s="485"/>
      <c r="G854" s="210"/>
      <c r="H854" s="485"/>
      <c r="I854" s="188"/>
      <c r="J854" s="485"/>
      <c r="K854" s="75"/>
      <c r="L854" s="66"/>
      <c r="M854" s="66"/>
      <c r="N854" s="66"/>
      <c r="O854" s="66"/>
      <c r="P854" s="66"/>
      <c r="Q854" s="66"/>
      <c r="R854" s="66"/>
      <c r="S854" s="66"/>
      <c r="T854" s="66"/>
      <c r="U854" s="66"/>
      <c r="V854" s="66"/>
      <c r="W854" s="66"/>
      <c r="X854" s="66"/>
    </row>
    <row r="855">
      <c r="A855" s="75"/>
      <c r="B855" s="485"/>
      <c r="C855" s="75"/>
      <c r="D855" s="485"/>
      <c r="E855" s="75"/>
      <c r="F855" s="485"/>
      <c r="G855" s="210"/>
      <c r="H855" s="485"/>
      <c r="I855" s="188"/>
      <c r="J855" s="485"/>
      <c r="K855" s="75"/>
      <c r="L855" s="66"/>
      <c r="M855" s="66"/>
      <c r="N855" s="66"/>
      <c r="O855" s="66"/>
      <c r="P855" s="66"/>
      <c r="Q855" s="66"/>
      <c r="R855" s="66"/>
      <c r="S855" s="66"/>
      <c r="T855" s="66"/>
      <c r="U855" s="66"/>
      <c r="V855" s="66"/>
      <c r="W855" s="66"/>
      <c r="X855" s="66"/>
    </row>
    <row r="856">
      <c r="A856" s="75"/>
      <c r="B856" s="485"/>
      <c r="C856" s="75"/>
      <c r="D856" s="485"/>
      <c r="E856" s="75"/>
      <c r="F856" s="485"/>
      <c r="G856" s="210"/>
      <c r="H856" s="485"/>
      <c r="I856" s="188"/>
      <c r="J856" s="485"/>
      <c r="K856" s="75"/>
      <c r="L856" s="66"/>
      <c r="M856" s="66"/>
      <c r="N856" s="66"/>
      <c r="O856" s="66"/>
      <c r="P856" s="66"/>
      <c r="Q856" s="66"/>
      <c r="R856" s="66"/>
      <c r="S856" s="66"/>
      <c r="T856" s="66"/>
      <c r="U856" s="66"/>
      <c r="V856" s="66"/>
      <c r="W856" s="66"/>
      <c r="X856" s="66"/>
    </row>
    <row r="857">
      <c r="A857" s="75"/>
      <c r="B857" s="485"/>
      <c r="C857" s="75"/>
      <c r="D857" s="485"/>
      <c r="E857" s="75"/>
      <c r="F857" s="485"/>
      <c r="G857" s="210"/>
      <c r="H857" s="485"/>
      <c r="I857" s="188"/>
      <c r="J857" s="485"/>
      <c r="K857" s="75"/>
      <c r="L857" s="66"/>
      <c r="M857" s="66"/>
      <c r="N857" s="66"/>
      <c r="O857" s="66"/>
      <c r="P857" s="66"/>
      <c r="Q857" s="66"/>
      <c r="R857" s="66"/>
      <c r="S857" s="66"/>
      <c r="T857" s="66"/>
      <c r="U857" s="66"/>
      <c r="V857" s="66"/>
      <c r="W857" s="66"/>
      <c r="X857" s="66"/>
    </row>
    <row r="858">
      <c r="A858" s="75"/>
      <c r="B858" s="485"/>
      <c r="C858" s="75"/>
      <c r="D858" s="485"/>
      <c r="E858" s="75"/>
      <c r="F858" s="485"/>
      <c r="G858" s="210"/>
      <c r="H858" s="485"/>
      <c r="I858" s="188"/>
      <c r="J858" s="485"/>
      <c r="K858" s="75"/>
      <c r="L858" s="66"/>
      <c r="M858" s="66"/>
      <c r="N858" s="66"/>
      <c r="O858" s="66"/>
      <c r="P858" s="66"/>
      <c r="Q858" s="66"/>
      <c r="R858" s="66"/>
      <c r="S858" s="66"/>
      <c r="T858" s="66"/>
      <c r="U858" s="66"/>
      <c r="V858" s="66"/>
      <c r="W858" s="66"/>
      <c r="X858" s="66"/>
    </row>
    <row r="859">
      <c r="A859" s="75"/>
      <c r="B859" s="485"/>
      <c r="C859" s="75"/>
      <c r="D859" s="485"/>
      <c r="E859" s="75"/>
      <c r="F859" s="485"/>
      <c r="G859" s="210"/>
      <c r="H859" s="485"/>
      <c r="I859" s="188"/>
      <c r="J859" s="485"/>
      <c r="K859" s="75"/>
      <c r="L859" s="66"/>
      <c r="M859" s="66"/>
      <c r="N859" s="66"/>
      <c r="O859" s="66"/>
      <c r="P859" s="66"/>
      <c r="Q859" s="66"/>
      <c r="R859" s="66"/>
      <c r="S859" s="66"/>
      <c r="T859" s="66"/>
      <c r="U859" s="66"/>
      <c r="V859" s="66"/>
      <c r="W859" s="66"/>
      <c r="X859" s="66"/>
    </row>
    <row r="860">
      <c r="A860" s="75"/>
      <c r="B860" s="485"/>
      <c r="C860" s="75"/>
      <c r="D860" s="485"/>
      <c r="E860" s="75"/>
      <c r="F860" s="485"/>
      <c r="G860" s="210"/>
      <c r="H860" s="485"/>
      <c r="I860" s="188"/>
      <c r="J860" s="485"/>
      <c r="K860" s="75"/>
      <c r="L860" s="66"/>
      <c r="M860" s="66"/>
      <c r="N860" s="66"/>
      <c r="O860" s="66"/>
      <c r="P860" s="66"/>
      <c r="Q860" s="66"/>
      <c r="R860" s="66"/>
      <c r="S860" s="66"/>
      <c r="T860" s="66"/>
      <c r="U860" s="66"/>
      <c r="V860" s="66"/>
      <c r="W860" s="66"/>
      <c r="X860" s="66"/>
    </row>
    <row r="861">
      <c r="A861" s="75"/>
      <c r="B861" s="485"/>
      <c r="C861" s="75"/>
      <c r="D861" s="485"/>
      <c r="E861" s="75"/>
      <c r="F861" s="485"/>
      <c r="G861" s="210"/>
      <c r="H861" s="485"/>
      <c r="I861" s="188"/>
      <c r="J861" s="485"/>
      <c r="K861" s="75"/>
      <c r="L861" s="66"/>
      <c r="M861" s="66"/>
      <c r="N861" s="66"/>
      <c r="O861" s="66"/>
      <c r="P861" s="66"/>
      <c r="Q861" s="66"/>
      <c r="R861" s="66"/>
      <c r="S861" s="66"/>
      <c r="T861" s="66"/>
      <c r="U861" s="66"/>
      <c r="V861" s="66"/>
      <c r="W861" s="66"/>
      <c r="X861" s="66"/>
    </row>
    <row r="862">
      <c r="A862" s="75"/>
      <c r="B862" s="485"/>
      <c r="C862" s="75"/>
      <c r="D862" s="485"/>
      <c r="E862" s="75"/>
      <c r="F862" s="485"/>
      <c r="G862" s="210"/>
      <c r="H862" s="485"/>
      <c r="I862" s="188"/>
      <c r="J862" s="485"/>
      <c r="K862" s="75"/>
      <c r="L862" s="66"/>
      <c r="M862" s="66"/>
      <c r="N862" s="66"/>
      <c r="O862" s="66"/>
      <c r="P862" s="66"/>
      <c r="Q862" s="66"/>
      <c r="R862" s="66"/>
      <c r="S862" s="66"/>
      <c r="T862" s="66"/>
      <c r="U862" s="66"/>
      <c r="V862" s="66"/>
      <c r="W862" s="66"/>
      <c r="X862" s="66"/>
    </row>
    <row r="863">
      <c r="A863" s="75"/>
      <c r="B863" s="485"/>
      <c r="C863" s="75"/>
      <c r="D863" s="485"/>
      <c r="E863" s="75"/>
      <c r="F863" s="485"/>
      <c r="G863" s="210"/>
      <c r="H863" s="485"/>
      <c r="I863" s="188"/>
      <c r="J863" s="485"/>
      <c r="K863" s="75"/>
      <c r="L863" s="66"/>
      <c r="M863" s="66"/>
      <c r="N863" s="66"/>
      <c r="O863" s="66"/>
      <c r="P863" s="66"/>
      <c r="Q863" s="66"/>
      <c r="R863" s="66"/>
      <c r="S863" s="66"/>
      <c r="T863" s="66"/>
      <c r="U863" s="66"/>
      <c r="V863" s="66"/>
      <c r="W863" s="66"/>
      <c r="X863" s="66"/>
    </row>
    <row r="864">
      <c r="A864" s="75"/>
      <c r="B864" s="485"/>
      <c r="C864" s="75"/>
      <c r="D864" s="485"/>
      <c r="E864" s="75"/>
      <c r="F864" s="485"/>
      <c r="G864" s="210"/>
      <c r="H864" s="485"/>
      <c r="I864" s="188"/>
      <c r="J864" s="485"/>
      <c r="K864" s="75"/>
      <c r="L864" s="66"/>
      <c r="M864" s="66"/>
      <c r="N864" s="66"/>
      <c r="O864" s="66"/>
      <c r="P864" s="66"/>
      <c r="Q864" s="66"/>
      <c r="R864" s="66"/>
      <c r="S864" s="66"/>
      <c r="T864" s="66"/>
      <c r="U864" s="66"/>
      <c r="V864" s="66"/>
      <c r="W864" s="66"/>
      <c r="X864" s="66"/>
    </row>
    <row r="865">
      <c r="A865" s="75"/>
      <c r="B865" s="485"/>
      <c r="C865" s="75"/>
      <c r="D865" s="485"/>
      <c r="E865" s="75"/>
      <c r="F865" s="485"/>
      <c r="G865" s="210"/>
      <c r="H865" s="485"/>
      <c r="I865" s="188"/>
      <c r="J865" s="485"/>
      <c r="K865" s="75"/>
      <c r="L865" s="66"/>
      <c r="M865" s="66"/>
      <c r="N865" s="66"/>
      <c r="O865" s="66"/>
      <c r="P865" s="66"/>
      <c r="Q865" s="66"/>
      <c r="R865" s="66"/>
      <c r="S865" s="66"/>
      <c r="T865" s="66"/>
      <c r="U865" s="66"/>
      <c r="V865" s="66"/>
      <c r="W865" s="66"/>
      <c r="X865" s="66"/>
    </row>
    <row r="866">
      <c r="A866" s="75"/>
      <c r="B866" s="485"/>
      <c r="C866" s="75"/>
      <c r="D866" s="485"/>
      <c r="E866" s="75"/>
      <c r="F866" s="485"/>
      <c r="G866" s="210"/>
      <c r="H866" s="485"/>
      <c r="I866" s="188"/>
      <c r="J866" s="485"/>
      <c r="K866" s="75"/>
      <c r="L866" s="66"/>
      <c r="M866" s="66"/>
      <c r="N866" s="66"/>
      <c r="O866" s="66"/>
      <c r="P866" s="66"/>
      <c r="Q866" s="66"/>
      <c r="R866" s="66"/>
      <c r="S866" s="66"/>
      <c r="T866" s="66"/>
      <c r="U866" s="66"/>
      <c r="V866" s="66"/>
      <c r="W866" s="66"/>
      <c r="X866" s="66"/>
    </row>
    <row r="867">
      <c r="A867" s="75"/>
      <c r="B867" s="485"/>
      <c r="C867" s="75"/>
      <c r="D867" s="485"/>
      <c r="E867" s="75"/>
      <c r="F867" s="485"/>
      <c r="G867" s="210"/>
      <c r="H867" s="485"/>
      <c r="I867" s="188"/>
      <c r="J867" s="485"/>
      <c r="K867" s="75"/>
      <c r="L867" s="66"/>
      <c r="M867" s="66"/>
      <c r="N867" s="66"/>
      <c r="O867" s="66"/>
      <c r="P867" s="66"/>
      <c r="Q867" s="66"/>
      <c r="R867" s="66"/>
      <c r="S867" s="66"/>
      <c r="T867" s="66"/>
      <c r="U867" s="66"/>
      <c r="V867" s="66"/>
      <c r="W867" s="66"/>
      <c r="X867" s="66"/>
    </row>
    <row r="868">
      <c r="A868" s="75"/>
      <c r="B868" s="485"/>
      <c r="C868" s="75"/>
      <c r="D868" s="485"/>
      <c r="E868" s="75"/>
      <c r="F868" s="485"/>
      <c r="G868" s="210"/>
      <c r="H868" s="485"/>
      <c r="I868" s="188"/>
      <c r="J868" s="485"/>
      <c r="K868" s="75"/>
      <c r="L868" s="66"/>
      <c r="M868" s="66"/>
      <c r="N868" s="66"/>
      <c r="O868" s="66"/>
      <c r="P868" s="66"/>
      <c r="Q868" s="66"/>
      <c r="R868" s="66"/>
      <c r="S868" s="66"/>
      <c r="T868" s="66"/>
      <c r="U868" s="66"/>
      <c r="V868" s="66"/>
      <c r="W868" s="66"/>
      <c r="X868" s="66"/>
    </row>
    <row r="869">
      <c r="A869" s="75"/>
      <c r="B869" s="485"/>
      <c r="C869" s="75"/>
      <c r="D869" s="485"/>
      <c r="E869" s="75"/>
      <c r="F869" s="485"/>
      <c r="G869" s="210"/>
      <c r="H869" s="485"/>
      <c r="I869" s="188"/>
      <c r="J869" s="485"/>
      <c r="K869" s="75"/>
      <c r="L869" s="66"/>
      <c r="M869" s="66"/>
      <c r="N869" s="66"/>
      <c r="O869" s="66"/>
      <c r="P869" s="66"/>
      <c r="Q869" s="66"/>
      <c r="R869" s="66"/>
      <c r="S869" s="66"/>
      <c r="T869" s="66"/>
      <c r="U869" s="66"/>
      <c r="V869" s="66"/>
      <c r="W869" s="66"/>
      <c r="X869" s="66"/>
    </row>
    <row r="870">
      <c r="A870" s="75"/>
      <c r="B870" s="485"/>
      <c r="C870" s="75"/>
      <c r="D870" s="485"/>
      <c r="E870" s="75"/>
      <c r="F870" s="485"/>
      <c r="G870" s="210"/>
      <c r="H870" s="485"/>
      <c r="I870" s="188"/>
      <c r="J870" s="485"/>
      <c r="K870" s="75"/>
      <c r="L870" s="66"/>
      <c r="M870" s="66"/>
      <c r="N870" s="66"/>
      <c r="O870" s="66"/>
      <c r="P870" s="66"/>
      <c r="Q870" s="66"/>
      <c r="R870" s="66"/>
      <c r="S870" s="66"/>
      <c r="T870" s="66"/>
      <c r="U870" s="66"/>
      <c r="V870" s="66"/>
      <c r="W870" s="66"/>
      <c r="X870" s="66"/>
    </row>
    <row r="871">
      <c r="A871" s="75"/>
      <c r="B871" s="485"/>
      <c r="C871" s="75"/>
      <c r="D871" s="485"/>
      <c r="E871" s="75"/>
      <c r="F871" s="485"/>
      <c r="G871" s="210"/>
      <c r="H871" s="485"/>
      <c r="I871" s="188"/>
      <c r="J871" s="485"/>
      <c r="K871" s="75"/>
      <c r="L871" s="66"/>
      <c r="M871" s="66"/>
      <c r="N871" s="66"/>
      <c r="O871" s="66"/>
      <c r="P871" s="66"/>
      <c r="Q871" s="66"/>
      <c r="R871" s="66"/>
      <c r="S871" s="66"/>
      <c r="T871" s="66"/>
      <c r="U871" s="66"/>
      <c r="V871" s="66"/>
      <c r="W871" s="66"/>
      <c r="X871" s="66"/>
    </row>
    <row r="872">
      <c r="A872" s="75"/>
      <c r="B872" s="485"/>
      <c r="C872" s="75"/>
      <c r="D872" s="485"/>
      <c r="E872" s="75"/>
      <c r="F872" s="485"/>
      <c r="G872" s="210"/>
      <c r="H872" s="485"/>
      <c r="I872" s="188"/>
      <c r="J872" s="485"/>
      <c r="K872" s="75"/>
      <c r="L872" s="66"/>
      <c r="M872" s="66"/>
      <c r="N872" s="66"/>
      <c r="O872" s="66"/>
      <c r="P872" s="66"/>
      <c r="Q872" s="66"/>
      <c r="R872" s="66"/>
      <c r="S872" s="66"/>
      <c r="T872" s="66"/>
      <c r="U872" s="66"/>
      <c r="V872" s="66"/>
      <c r="W872" s="66"/>
      <c r="X872" s="66"/>
    </row>
    <row r="873">
      <c r="A873" s="75"/>
      <c r="B873" s="485"/>
      <c r="C873" s="75"/>
      <c r="D873" s="485"/>
      <c r="E873" s="75"/>
      <c r="F873" s="485"/>
      <c r="G873" s="210"/>
      <c r="H873" s="485"/>
      <c r="I873" s="188"/>
      <c r="J873" s="485"/>
      <c r="K873" s="75"/>
      <c r="L873" s="66"/>
      <c r="M873" s="66"/>
      <c r="N873" s="66"/>
      <c r="O873" s="66"/>
      <c r="P873" s="66"/>
      <c r="Q873" s="66"/>
      <c r="R873" s="66"/>
      <c r="S873" s="66"/>
      <c r="T873" s="66"/>
      <c r="U873" s="66"/>
      <c r="V873" s="66"/>
      <c r="W873" s="66"/>
      <c r="X873" s="66"/>
    </row>
    <row r="874">
      <c r="A874" s="75"/>
      <c r="B874" s="485"/>
      <c r="C874" s="75"/>
      <c r="D874" s="485"/>
      <c r="E874" s="75"/>
      <c r="F874" s="485"/>
      <c r="G874" s="210"/>
      <c r="H874" s="485"/>
      <c r="I874" s="188"/>
      <c r="J874" s="485"/>
      <c r="K874" s="75"/>
      <c r="L874" s="66"/>
      <c r="M874" s="66"/>
      <c r="N874" s="66"/>
      <c r="O874" s="66"/>
      <c r="P874" s="66"/>
      <c r="Q874" s="66"/>
      <c r="R874" s="66"/>
      <c r="S874" s="66"/>
      <c r="T874" s="66"/>
      <c r="U874" s="66"/>
      <c r="V874" s="66"/>
      <c r="W874" s="66"/>
      <c r="X874" s="66"/>
    </row>
    <row r="875">
      <c r="A875" s="75"/>
      <c r="B875" s="485"/>
      <c r="C875" s="75"/>
      <c r="D875" s="485"/>
      <c r="E875" s="75"/>
      <c r="F875" s="485"/>
      <c r="G875" s="210"/>
      <c r="H875" s="485"/>
      <c r="I875" s="188"/>
      <c r="J875" s="485"/>
      <c r="K875" s="75"/>
      <c r="L875" s="66"/>
      <c r="M875" s="66"/>
      <c r="N875" s="66"/>
      <c r="O875" s="66"/>
      <c r="P875" s="66"/>
      <c r="Q875" s="66"/>
      <c r="R875" s="66"/>
      <c r="S875" s="66"/>
      <c r="T875" s="66"/>
      <c r="U875" s="66"/>
      <c r="V875" s="66"/>
      <c r="W875" s="66"/>
      <c r="X875" s="66"/>
    </row>
    <row r="876">
      <c r="A876" s="75"/>
      <c r="B876" s="485"/>
      <c r="C876" s="75"/>
      <c r="D876" s="485"/>
      <c r="E876" s="75"/>
      <c r="F876" s="485"/>
      <c r="G876" s="210"/>
      <c r="H876" s="485"/>
      <c r="I876" s="188"/>
      <c r="J876" s="485"/>
      <c r="K876" s="75"/>
      <c r="L876" s="66"/>
      <c r="M876" s="66"/>
      <c r="N876" s="66"/>
      <c r="O876" s="66"/>
      <c r="P876" s="66"/>
      <c r="Q876" s="66"/>
      <c r="R876" s="66"/>
      <c r="S876" s="66"/>
      <c r="T876" s="66"/>
      <c r="U876" s="66"/>
      <c r="V876" s="66"/>
      <c r="W876" s="66"/>
      <c r="X876" s="66"/>
    </row>
    <row r="877">
      <c r="A877" s="75"/>
      <c r="B877" s="485"/>
      <c r="C877" s="75"/>
      <c r="D877" s="485"/>
      <c r="E877" s="75"/>
      <c r="F877" s="485"/>
      <c r="G877" s="210"/>
      <c r="H877" s="485"/>
      <c r="I877" s="188"/>
      <c r="J877" s="485"/>
      <c r="K877" s="75"/>
      <c r="L877" s="66"/>
      <c r="M877" s="66"/>
      <c r="N877" s="66"/>
      <c r="O877" s="66"/>
      <c r="P877" s="66"/>
      <c r="Q877" s="66"/>
      <c r="R877" s="66"/>
      <c r="S877" s="66"/>
      <c r="T877" s="66"/>
      <c r="U877" s="66"/>
      <c r="V877" s="66"/>
      <c r="W877" s="66"/>
      <c r="X877" s="66"/>
    </row>
    <row r="878">
      <c r="A878" s="75"/>
      <c r="B878" s="485"/>
      <c r="C878" s="75"/>
      <c r="D878" s="485"/>
      <c r="E878" s="75"/>
      <c r="F878" s="485"/>
      <c r="G878" s="210"/>
      <c r="H878" s="485"/>
      <c r="I878" s="188"/>
      <c r="J878" s="485"/>
      <c r="K878" s="75"/>
      <c r="L878" s="66"/>
      <c r="M878" s="66"/>
      <c r="N878" s="66"/>
      <c r="O878" s="66"/>
      <c r="P878" s="66"/>
      <c r="Q878" s="66"/>
      <c r="R878" s="66"/>
      <c r="S878" s="66"/>
      <c r="T878" s="66"/>
      <c r="U878" s="66"/>
      <c r="V878" s="66"/>
      <c r="W878" s="66"/>
      <c r="X878" s="66"/>
    </row>
    <row r="879">
      <c r="A879" s="75"/>
      <c r="B879" s="485"/>
      <c r="C879" s="75"/>
      <c r="D879" s="485"/>
      <c r="E879" s="75"/>
      <c r="F879" s="485"/>
      <c r="G879" s="210"/>
      <c r="H879" s="485"/>
      <c r="I879" s="188"/>
      <c r="J879" s="485"/>
      <c r="K879" s="75"/>
      <c r="L879" s="66"/>
      <c r="M879" s="66"/>
      <c r="N879" s="66"/>
      <c r="O879" s="66"/>
      <c r="P879" s="66"/>
      <c r="Q879" s="66"/>
      <c r="R879" s="66"/>
      <c r="S879" s="66"/>
      <c r="T879" s="66"/>
      <c r="U879" s="66"/>
      <c r="V879" s="66"/>
      <c r="W879" s="66"/>
      <c r="X879" s="66"/>
    </row>
    <row r="880">
      <c r="A880" s="75"/>
      <c r="B880" s="485"/>
      <c r="C880" s="75"/>
      <c r="D880" s="485"/>
      <c r="E880" s="75"/>
      <c r="F880" s="485"/>
      <c r="G880" s="210"/>
      <c r="H880" s="485"/>
      <c r="I880" s="188"/>
      <c r="J880" s="485"/>
      <c r="K880" s="75"/>
      <c r="L880" s="66"/>
      <c r="M880" s="66"/>
      <c r="N880" s="66"/>
      <c r="O880" s="66"/>
      <c r="P880" s="66"/>
      <c r="Q880" s="66"/>
      <c r="R880" s="66"/>
      <c r="S880" s="66"/>
      <c r="T880" s="66"/>
      <c r="U880" s="66"/>
      <c r="V880" s="66"/>
      <c r="W880" s="66"/>
      <c r="X880" s="66"/>
    </row>
    <row r="881">
      <c r="A881" s="75"/>
      <c r="B881" s="485"/>
      <c r="C881" s="75"/>
      <c r="D881" s="485"/>
      <c r="E881" s="75"/>
      <c r="F881" s="485"/>
      <c r="G881" s="210"/>
      <c r="H881" s="485"/>
      <c r="I881" s="188"/>
      <c r="J881" s="485"/>
      <c r="K881" s="75"/>
      <c r="L881" s="66"/>
      <c r="M881" s="66"/>
      <c r="N881" s="66"/>
      <c r="O881" s="66"/>
      <c r="P881" s="66"/>
      <c r="Q881" s="66"/>
      <c r="R881" s="66"/>
      <c r="S881" s="66"/>
      <c r="T881" s="66"/>
      <c r="U881" s="66"/>
      <c r="V881" s="66"/>
      <c r="W881" s="66"/>
      <c r="X881" s="66"/>
    </row>
    <row r="882">
      <c r="A882" s="75"/>
      <c r="B882" s="485"/>
      <c r="C882" s="75"/>
      <c r="D882" s="485"/>
      <c r="E882" s="75"/>
      <c r="F882" s="485"/>
      <c r="G882" s="210"/>
      <c r="H882" s="485"/>
      <c r="I882" s="188"/>
      <c r="J882" s="485"/>
      <c r="K882" s="75"/>
      <c r="L882" s="66"/>
      <c r="M882" s="66"/>
      <c r="N882" s="66"/>
      <c r="O882" s="66"/>
      <c r="P882" s="66"/>
      <c r="Q882" s="66"/>
      <c r="R882" s="66"/>
      <c r="S882" s="66"/>
      <c r="T882" s="66"/>
      <c r="U882" s="66"/>
      <c r="V882" s="66"/>
      <c r="W882" s="66"/>
      <c r="X882" s="66"/>
    </row>
    <row r="883">
      <c r="A883" s="75"/>
      <c r="B883" s="485"/>
      <c r="C883" s="75"/>
      <c r="D883" s="485"/>
      <c r="E883" s="75"/>
      <c r="F883" s="485"/>
      <c r="G883" s="210"/>
      <c r="H883" s="485"/>
      <c r="I883" s="188"/>
      <c r="J883" s="485"/>
      <c r="K883" s="75"/>
      <c r="L883" s="66"/>
      <c r="M883" s="66"/>
      <c r="N883" s="66"/>
      <c r="O883" s="66"/>
      <c r="P883" s="66"/>
      <c r="Q883" s="66"/>
      <c r="R883" s="66"/>
      <c r="S883" s="66"/>
      <c r="T883" s="66"/>
      <c r="U883" s="66"/>
      <c r="V883" s="66"/>
      <c r="W883" s="66"/>
      <c r="X883" s="66"/>
    </row>
    <row r="884">
      <c r="A884" s="75"/>
      <c r="B884" s="485"/>
      <c r="C884" s="75"/>
      <c r="D884" s="485"/>
      <c r="E884" s="75"/>
      <c r="F884" s="485"/>
      <c r="G884" s="210"/>
      <c r="H884" s="485"/>
      <c r="I884" s="188"/>
      <c r="J884" s="485"/>
      <c r="K884" s="75"/>
      <c r="L884" s="66"/>
      <c r="M884" s="66"/>
      <c r="N884" s="66"/>
      <c r="O884" s="66"/>
      <c r="P884" s="66"/>
      <c r="Q884" s="66"/>
      <c r="R884" s="66"/>
      <c r="S884" s="66"/>
      <c r="T884" s="66"/>
      <c r="U884" s="66"/>
      <c r="V884" s="66"/>
      <c r="W884" s="66"/>
      <c r="X884" s="66"/>
    </row>
    <row r="885">
      <c r="A885" s="75"/>
      <c r="B885" s="485"/>
      <c r="C885" s="75"/>
      <c r="D885" s="485"/>
      <c r="E885" s="75"/>
      <c r="F885" s="485"/>
      <c r="G885" s="210"/>
      <c r="H885" s="485"/>
      <c r="I885" s="188"/>
      <c r="J885" s="485"/>
      <c r="K885" s="75"/>
      <c r="L885" s="66"/>
      <c r="M885" s="66"/>
      <c r="N885" s="66"/>
      <c r="O885" s="66"/>
      <c r="P885" s="66"/>
      <c r="Q885" s="66"/>
      <c r="R885" s="66"/>
      <c r="S885" s="66"/>
      <c r="T885" s="66"/>
      <c r="U885" s="66"/>
      <c r="V885" s="66"/>
      <c r="W885" s="66"/>
      <c r="X885" s="66"/>
    </row>
    <row r="886">
      <c r="A886" s="75"/>
      <c r="B886" s="485"/>
      <c r="C886" s="75"/>
      <c r="D886" s="485"/>
      <c r="E886" s="75"/>
      <c r="F886" s="485"/>
      <c r="G886" s="210"/>
      <c r="H886" s="485"/>
      <c r="I886" s="188"/>
      <c r="J886" s="485"/>
      <c r="K886" s="75"/>
      <c r="L886" s="66"/>
      <c r="M886" s="66"/>
      <c r="N886" s="66"/>
      <c r="O886" s="66"/>
      <c r="P886" s="66"/>
      <c r="Q886" s="66"/>
      <c r="R886" s="66"/>
      <c r="S886" s="66"/>
      <c r="T886" s="66"/>
      <c r="U886" s="66"/>
      <c r="V886" s="66"/>
      <c r="W886" s="66"/>
      <c r="X886" s="66"/>
    </row>
    <row r="887">
      <c r="A887" s="75"/>
      <c r="B887" s="485"/>
      <c r="C887" s="75"/>
      <c r="D887" s="485"/>
      <c r="E887" s="75"/>
      <c r="F887" s="485"/>
      <c r="G887" s="210"/>
      <c r="H887" s="485"/>
      <c r="I887" s="188"/>
      <c r="J887" s="485"/>
      <c r="K887" s="75"/>
      <c r="L887" s="66"/>
      <c r="M887" s="66"/>
      <c r="N887" s="66"/>
      <c r="O887" s="66"/>
      <c r="P887" s="66"/>
      <c r="Q887" s="66"/>
      <c r="R887" s="66"/>
      <c r="S887" s="66"/>
      <c r="T887" s="66"/>
      <c r="U887" s="66"/>
      <c r="V887" s="66"/>
      <c r="W887" s="66"/>
      <c r="X887" s="66"/>
    </row>
    <row r="888">
      <c r="A888" s="75"/>
      <c r="B888" s="485"/>
      <c r="C888" s="75"/>
      <c r="D888" s="485"/>
      <c r="E888" s="75"/>
      <c r="F888" s="485"/>
      <c r="G888" s="210"/>
      <c r="H888" s="485"/>
      <c r="I888" s="188"/>
      <c r="J888" s="485"/>
      <c r="K888" s="75"/>
      <c r="L888" s="66"/>
      <c r="M888" s="66"/>
      <c r="N888" s="66"/>
      <c r="O888" s="66"/>
      <c r="P888" s="66"/>
      <c r="Q888" s="66"/>
      <c r="R888" s="66"/>
      <c r="S888" s="66"/>
      <c r="T888" s="66"/>
      <c r="U888" s="66"/>
      <c r="V888" s="66"/>
      <c r="W888" s="66"/>
      <c r="X888" s="66"/>
    </row>
    <row r="889">
      <c r="A889" s="75"/>
      <c r="B889" s="485"/>
      <c r="C889" s="75"/>
      <c r="D889" s="485"/>
      <c r="E889" s="75"/>
      <c r="F889" s="485"/>
      <c r="G889" s="210"/>
      <c r="H889" s="485"/>
      <c r="I889" s="188"/>
      <c r="J889" s="485"/>
      <c r="K889" s="75"/>
      <c r="L889" s="66"/>
      <c r="M889" s="66"/>
      <c r="N889" s="66"/>
      <c r="O889" s="66"/>
      <c r="P889" s="66"/>
      <c r="Q889" s="66"/>
      <c r="R889" s="66"/>
      <c r="S889" s="66"/>
      <c r="T889" s="66"/>
      <c r="U889" s="66"/>
      <c r="V889" s="66"/>
      <c r="W889" s="66"/>
      <c r="X889" s="66"/>
    </row>
    <row r="890">
      <c r="A890" s="75"/>
      <c r="B890" s="485"/>
      <c r="C890" s="75"/>
      <c r="D890" s="485"/>
      <c r="E890" s="75"/>
      <c r="F890" s="485"/>
      <c r="G890" s="210"/>
      <c r="H890" s="485"/>
      <c r="I890" s="188"/>
      <c r="J890" s="485"/>
      <c r="K890" s="75"/>
      <c r="L890" s="66"/>
      <c r="M890" s="66"/>
      <c r="N890" s="66"/>
      <c r="O890" s="66"/>
      <c r="P890" s="66"/>
      <c r="Q890" s="66"/>
      <c r="R890" s="66"/>
      <c r="S890" s="66"/>
      <c r="T890" s="66"/>
      <c r="U890" s="66"/>
      <c r="V890" s="66"/>
      <c r="W890" s="66"/>
      <c r="X890" s="66"/>
    </row>
    <row r="891">
      <c r="A891" s="75"/>
      <c r="B891" s="485"/>
      <c r="C891" s="75"/>
      <c r="D891" s="485"/>
      <c r="E891" s="75"/>
      <c r="F891" s="485"/>
      <c r="G891" s="210"/>
      <c r="H891" s="485"/>
      <c r="I891" s="188"/>
      <c r="J891" s="485"/>
      <c r="K891" s="75"/>
      <c r="L891" s="66"/>
      <c r="M891" s="66"/>
      <c r="N891" s="66"/>
      <c r="O891" s="66"/>
      <c r="P891" s="66"/>
      <c r="Q891" s="66"/>
      <c r="R891" s="66"/>
      <c r="S891" s="66"/>
      <c r="T891" s="66"/>
      <c r="U891" s="66"/>
      <c r="V891" s="66"/>
      <c r="W891" s="66"/>
      <c r="X891" s="66"/>
    </row>
    <row r="892">
      <c r="A892" s="75"/>
      <c r="B892" s="485"/>
      <c r="C892" s="75"/>
      <c r="D892" s="485"/>
      <c r="E892" s="75"/>
      <c r="F892" s="485"/>
      <c r="G892" s="210"/>
      <c r="H892" s="485"/>
      <c r="I892" s="188"/>
      <c r="J892" s="485"/>
      <c r="K892" s="75"/>
      <c r="L892" s="66"/>
      <c r="M892" s="66"/>
      <c r="N892" s="66"/>
      <c r="O892" s="66"/>
      <c r="P892" s="66"/>
      <c r="Q892" s="66"/>
      <c r="R892" s="66"/>
      <c r="S892" s="66"/>
      <c r="T892" s="66"/>
      <c r="U892" s="66"/>
      <c r="V892" s="66"/>
      <c r="W892" s="66"/>
      <c r="X892" s="66"/>
    </row>
    <row r="893">
      <c r="A893" s="75"/>
      <c r="B893" s="485"/>
      <c r="C893" s="75"/>
      <c r="D893" s="485"/>
      <c r="E893" s="75"/>
      <c r="F893" s="485"/>
      <c r="G893" s="210"/>
      <c r="H893" s="485"/>
      <c r="I893" s="188"/>
      <c r="J893" s="485"/>
      <c r="K893" s="75"/>
      <c r="L893" s="66"/>
      <c r="M893" s="66"/>
      <c r="N893" s="66"/>
      <c r="O893" s="66"/>
      <c r="P893" s="66"/>
      <c r="Q893" s="66"/>
      <c r="R893" s="66"/>
      <c r="S893" s="66"/>
      <c r="T893" s="66"/>
      <c r="U893" s="66"/>
      <c r="V893" s="66"/>
      <c r="W893" s="66"/>
      <c r="X893" s="66"/>
    </row>
    <row r="894">
      <c r="A894" s="75"/>
      <c r="B894" s="485"/>
      <c r="C894" s="75"/>
      <c r="D894" s="485"/>
      <c r="E894" s="75"/>
      <c r="F894" s="485"/>
      <c r="G894" s="210"/>
      <c r="H894" s="485"/>
      <c r="I894" s="188"/>
      <c r="J894" s="485"/>
      <c r="K894" s="75"/>
      <c r="L894" s="66"/>
      <c r="M894" s="66"/>
      <c r="N894" s="66"/>
      <c r="O894" s="66"/>
      <c r="P894" s="66"/>
      <c r="Q894" s="66"/>
      <c r="R894" s="66"/>
      <c r="S894" s="66"/>
      <c r="T894" s="66"/>
      <c r="U894" s="66"/>
      <c r="V894" s="66"/>
      <c r="W894" s="66"/>
      <c r="X894" s="66"/>
    </row>
    <row r="895">
      <c r="A895" s="75"/>
      <c r="B895" s="485"/>
      <c r="C895" s="75"/>
      <c r="D895" s="485"/>
      <c r="E895" s="75"/>
      <c r="F895" s="485"/>
      <c r="G895" s="210"/>
      <c r="H895" s="485"/>
      <c r="I895" s="188"/>
      <c r="J895" s="485"/>
      <c r="K895" s="75"/>
      <c r="L895" s="66"/>
      <c r="M895" s="66"/>
      <c r="N895" s="66"/>
      <c r="O895" s="66"/>
      <c r="P895" s="66"/>
      <c r="Q895" s="66"/>
      <c r="R895" s="66"/>
      <c r="S895" s="66"/>
      <c r="T895" s="66"/>
      <c r="U895" s="66"/>
      <c r="V895" s="66"/>
      <c r="W895" s="66"/>
      <c r="X895" s="66"/>
    </row>
    <row r="896">
      <c r="A896" s="75"/>
      <c r="B896" s="485"/>
      <c r="C896" s="75"/>
      <c r="D896" s="485"/>
      <c r="E896" s="75"/>
      <c r="F896" s="485"/>
      <c r="G896" s="210"/>
      <c r="H896" s="485"/>
      <c r="I896" s="188"/>
      <c r="J896" s="485"/>
      <c r="K896" s="75"/>
      <c r="L896" s="66"/>
      <c r="M896" s="66"/>
      <c r="N896" s="66"/>
      <c r="O896" s="66"/>
      <c r="P896" s="66"/>
      <c r="Q896" s="66"/>
      <c r="R896" s="66"/>
      <c r="S896" s="66"/>
      <c r="T896" s="66"/>
      <c r="U896" s="66"/>
      <c r="V896" s="66"/>
      <c r="W896" s="66"/>
      <c r="X896" s="66"/>
    </row>
    <row r="897">
      <c r="A897" s="75"/>
      <c r="B897" s="485"/>
      <c r="C897" s="75"/>
      <c r="D897" s="485"/>
      <c r="E897" s="75"/>
      <c r="F897" s="485"/>
      <c r="G897" s="210"/>
      <c r="H897" s="485"/>
      <c r="I897" s="188"/>
      <c r="J897" s="485"/>
      <c r="K897" s="75"/>
      <c r="L897" s="66"/>
      <c r="M897" s="66"/>
      <c r="N897" s="66"/>
      <c r="O897" s="66"/>
      <c r="P897" s="66"/>
      <c r="Q897" s="66"/>
      <c r="R897" s="66"/>
      <c r="S897" s="66"/>
      <c r="T897" s="66"/>
      <c r="U897" s="66"/>
      <c r="V897" s="66"/>
      <c r="W897" s="66"/>
      <c r="X897" s="66"/>
    </row>
    <row r="898">
      <c r="A898" s="75"/>
      <c r="B898" s="485"/>
      <c r="C898" s="75"/>
      <c r="D898" s="485"/>
      <c r="E898" s="75"/>
      <c r="F898" s="485"/>
      <c r="G898" s="210"/>
      <c r="H898" s="485"/>
      <c r="I898" s="188"/>
      <c r="J898" s="485"/>
      <c r="K898" s="75"/>
      <c r="L898" s="66"/>
      <c r="M898" s="66"/>
      <c r="N898" s="66"/>
      <c r="O898" s="66"/>
      <c r="P898" s="66"/>
      <c r="Q898" s="66"/>
      <c r="R898" s="66"/>
      <c r="S898" s="66"/>
      <c r="T898" s="66"/>
      <c r="U898" s="66"/>
      <c r="V898" s="66"/>
      <c r="W898" s="66"/>
      <c r="X898" s="66"/>
    </row>
    <row r="899">
      <c r="A899" s="75"/>
      <c r="B899" s="485"/>
      <c r="C899" s="75"/>
      <c r="D899" s="485"/>
      <c r="E899" s="75"/>
      <c r="F899" s="485"/>
      <c r="G899" s="210"/>
      <c r="H899" s="485"/>
      <c r="I899" s="188"/>
      <c r="J899" s="485"/>
      <c r="K899" s="75"/>
      <c r="L899" s="66"/>
      <c r="M899" s="66"/>
      <c r="N899" s="66"/>
      <c r="O899" s="66"/>
      <c r="P899" s="66"/>
      <c r="Q899" s="66"/>
      <c r="R899" s="66"/>
      <c r="S899" s="66"/>
      <c r="T899" s="66"/>
      <c r="U899" s="66"/>
      <c r="V899" s="66"/>
      <c r="W899" s="66"/>
      <c r="X899" s="66"/>
    </row>
    <row r="900">
      <c r="A900" s="75"/>
      <c r="B900" s="485"/>
      <c r="C900" s="75"/>
      <c r="D900" s="485"/>
      <c r="E900" s="75"/>
      <c r="F900" s="485"/>
      <c r="G900" s="210"/>
      <c r="H900" s="485"/>
      <c r="I900" s="188"/>
      <c r="J900" s="485"/>
      <c r="K900" s="75"/>
      <c r="L900" s="66"/>
      <c r="M900" s="66"/>
      <c r="N900" s="66"/>
      <c r="O900" s="66"/>
      <c r="P900" s="66"/>
      <c r="Q900" s="66"/>
      <c r="R900" s="66"/>
      <c r="S900" s="66"/>
      <c r="T900" s="66"/>
      <c r="U900" s="66"/>
      <c r="V900" s="66"/>
      <c r="W900" s="66"/>
      <c r="X900" s="66"/>
    </row>
    <row r="901">
      <c r="A901" s="75"/>
      <c r="B901" s="485"/>
      <c r="C901" s="75"/>
      <c r="D901" s="485"/>
      <c r="E901" s="75"/>
      <c r="F901" s="485"/>
      <c r="G901" s="210"/>
      <c r="H901" s="485"/>
      <c r="I901" s="188"/>
      <c r="J901" s="485"/>
      <c r="K901" s="75"/>
      <c r="L901" s="66"/>
      <c r="M901" s="66"/>
      <c r="N901" s="66"/>
      <c r="O901" s="66"/>
      <c r="P901" s="66"/>
      <c r="Q901" s="66"/>
      <c r="R901" s="66"/>
      <c r="S901" s="66"/>
      <c r="T901" s="66"/>
      <c r="U901" s="66"/>
      <c r="V901" s="66"/>
      <c r="W901" s="66"/>
      <c r="X901" s="66"/>
    </row>
    <row r="902">
      <c r="A902" s="75"/>
      <c r="B902" s="485"/>
      <c r="C902" s="75"/>
      <c r="D902" s="485"/>
      <c r="E902" s="75"/>
      <c r="F902" s="485"/>
      <c r="G902" s="210"/>
      <c r="H902" s="485"/>
      <c r="I902" s="188"/>
      <c r="J902" s="485"/>
      <c r="K902" s="75"/>
      <c r="L902" s="66"/>
      <c r="M902" s="66"/>
      <c r="N902" s="66"/>
      <c r="O902" s="66"/>
      <c r="P902" s="66"/>
      <c r="Q902" s="66"/>
      <c r="R902" s="66"/>
      <c r="S902" s="66"/>
      <c r="T902" s="66"/>
      <c r="U902" s="66"/>
      <c r="V902" s="66"/>
      <c r="W902" s="66"/>
      <c r="X902" s="66"/>
    </row>
    <row r="903">
      <c r="A903" s="75"/>
      <c r="B903" s="485"/>
      <c r="C903" s="75"/>
      <c r="D903" s="485"/>
      <c r="E903" s="75"/>
      <c r="F903" s="485"/>
      <c r="G903" s="210"/>
      <c r="H903" s="485"/>
      <c r="I903" s="188"/>
      <c r="J903" s="485"/>
      <c r="K903" s="75"/>
      <c r="L903" s="66"/>
      <c r="M903" s="66"/>
      <c r="N903" s="66"/>
      <c r="O903" s="66"/>
      <c r="P903" s="66"/>
      <c r="Q903" s="66"/>
      <c r="R903" s="66"/>
      <c r="S903" s="66"/>
      <c r="T903" s="66"/>
      <c r="U903" s="66"/>
      <c r="V903" s="66"/>
      <c r="W903" s="66"/>
      <c r="X903" s="66"/>
    </row>
    <row r="904">
      <c r="A904" s="75"/>
      <c r="B904" s="485"/>
      <c r="C904" s="75"/>
      <c r="D904" s="485"/>
      <c r="E904" s="75"/>
      <c r="F904" s="485"/>
      <c r="G904" s="210"/>
      <c r="H904" s="485"/>
      <c r="I904" s="188"/>
      <c r="J904" s="485"/>
      <c r="K904" s="75"/>
      <c r="L904" s="66"/>
      <c r="M904" s="66"/>
      <c r="N904" s="66"/>
      <c r="O904" s="66"/>
      <c r="P904" s="66"/>
      <c r="Q904" s="66"/>
      <c r="R904" s="66"/>
      <c r="S904" s="66"/>
      <c r="T904" s="66"/>
      <c r="U904" s="66"/>
      <c r="V904" s="66"/>
      <c r="W904" s="66"/>
      <c r="X904" s="66"/>
    </row>
    <row r="905">
      <c r="A905" s="75"/>
      <c r="B905" s="485"/>
      <c r="C905" s="75"/>
      <c r="D905" s="485"/>
      <c r="E905" s="75"/>
      <c r="F905" s="485"/>
      <c r="G905" s="210"/>
      <c r="H905" s="485"/>
      <c r="I905" s="188"/>
      <c r="J905" s="485"/>
      <c r="K905" s="75"/>
      <c r="L905" s="66"/>
      <c r="M905" s="66"/>
      <c r="N905" s="66"/>
      <c r="O905" s="66"/>
      <c r="P905" s="66"/>
      <c r="Q905" s="66"/>
      <c r="R905" s="66"/>
      <c r="S905" s="66"/>
      <c r="T905" s="66"/>
      <c r="U905" s="66"/>
      <c r="V905" s="66"/>
      <c r="W905" s="66"/>
      <c r="X905" s="66"/>
    </row>
    <row r="906">
      <c r="A906" s="75"/>
      <c r="B906" s="485"/>
      <c r="C906" s="75"/>
      <c r="D906" s="485"/>
      <c r="E906" s="75"/>
      <c r="F906" s="485"/>
      <c r="G906" s="210"/>
      <c r="H906" s="485"/>
      <c r="I906" s="188"/>
      <c r="J906" s="485"/>
      <c r="K906" s="75"/>
      <c r="L906" s="66"/>
      <c r="M906" s="66"/>
      <c r="N906" s="66"/>
      <c r="O906" s="66"/>
      <c r="P906" s="66"/>
      <c r="Q906" s="66"/>
      <c r="R906" s="66"/>
      <c r="S906" s="66"/>
      <c r="T906" s="66"/>
      <c r="U906" s="66"/>
      <c r="V906" s="66"/>
      <c r="W906" s="66"/>
      <c r="X906" s="66"/>
    </row>
    <row r="907">
      <c r="A907" s="75"/>
      <c r="B907" s="485"/>
      <c r="C907" s="75"/>
      <c r="D907" s="485"/>
      <c r="E907" s="75"/>
      <c r="F907" s="485"/>
      <c r="G907" s="210"/>
      <c r="H907" s="485"/>
      <c r="I907" s="188"/>
      <c r="J907" s="485"/>
      <c r="K907" s="75"/>
      <c r="L907" s="66"/>
      <c r="M907" s="66"/>
      <c r="N907" s="66"/>
      <c r="O907" s="66"/>
      <c r="P907" s="66"/>
      <c r="Q907" s="66"/>
      <c r="R907" s="66"/>
      <c r="S907" s="66"/>
      <c r="T907" s="66"/>
      <c r="U907" s="66"/>
      <c r="V907" s="66"/>
      <c r="W907" s="66"/>
      <c r="X907" s="66"/>
    </row>
    <row r="908">
      <c r="A908" s="75"/>
      <c r="B908" s="485"/>
      <c r="C908" s="75"/>
      <c r="D908" s="485"/>
      <c r="E908" s="75"/>
      <c r="F908" s="485"/>
      <c r="G908" s="210"/>
      <c r="H908" s="485"/>
      <c r="I908" s="188"/>
      <c r="J908" s="485"/>
      <c r="K908" s="75"/>
      <c r="L908" s="66"/>
      <c r="M908" s="66"/>
      <c r="N908" s="66"/>
      <c r="O908" s="66"/>
      <c r="P908" s="66"/>
      <c r="Q908" s="66"/>
      <c r="R908" s="66"/>
      <c r="S908" s="66"/>
      <c r="T908" s="66"/>
      <c r="U908" s="66"/>
      <c r="V908" s="66"/>
      <c r="W908" s="66"/>
      <c r="X908" s="66"/>
    </row>
    <row r="909">
      <c r="A909" s="75"/>
      <c r="B909" s="485"/>
      <c r="C909" s="75"/>
      <c r="D909" s="485"/>
      <c r="E909" s="75"/>
      <c r="F909" s="485"/>
      <c r="G909" s="210"/>
      <c r="H909" s="485"/>
      <c r="I909" s="188"/>
      <c r="J909" s="485"/>
      <c r="K909" s="75"/>
      <c r="L909" s="66"/>
      <c r="M909" s="66"/>
      <c r="N909" s="66"/>
      <c r="O909" s="66"/>
      <c r="P909" s="66"/>
      <c r="Q909" s="66"/>
      <c r="R909" s="66"/>
      <c r="S909" s="66"/>
      <c r="T909" s="66"/>
      <c r="U909" s="66"/>
      <c r="V909" s="66"/>
      <c r="W909" s="66"/>
      <c r="X909" s="66"/>
    </row>
    <row r="910">
      <c r="A910" s="75"/>
      <c r="B910" s="485"/>
      <c r="C910" s="75"/>
      <c r="D910" s="485"/>
      <c r="E910" s="75"/>
      <c r="F910" s="485"/>
      <c r="G910" s="210"/>
      <c r="H910" s="485"/>
      <c r="I910" s="188"/>
      <c r="J910" s="485"/>
      <c r="K910" s="75"/>
      <c r="L910" s="66"/>
      <c r="M910" s="66"/>
      <c r="N910" s="66"/>
      <c r="O910" s="66"/>
      <c r="P910" s="66"/>
      <c r="Q910" s="66"/>
      <c r="R910" s="66"/>
      <c r="S910" s="66"/>
      <c r="T910" s="66"/>
      <c r="U910" s="66"/>
      <c r="V910" s="66"/>
      <c r="W910" s="66"/>
      <c r="X910" s="66"/>
    </row>
    <row r="911">
      <c r="A911" s="75"/>
      <c r="B911" s="485"/>
      <c r="C911" s="75"/>
      <c r="D911" s="485"/>
      <c r="E911" s="75"/>
      <c r="F911" s="485"/>
      <c r="G911" s="210"/>
      <c r="H911" s="485"/>
      <c r="I911" s="188"/>
      <c r="J911" s="485"/>
      <c r="K911" s="75"/>
      <c r="L911" s="66"/>
      <c r="M911" s="66"/>
      <c r="N911" s="66"/>
      <c r="O911" s="66"/>
      <c r="P911" s="66"/>
      <c r="Q911" s="66"/>
      <c r="R911" s="66"/>
      <c r="S911" s="66"/>
      <c r="T911" s="66"/>
      <c r="U911" s="66"/>
      <c r="V911" s="66"/>
      <c r="W911" s="66"/>
      <c r="X911" s="66"/>
    </row>
    <row r="912">
      <c r="A912" s="75"/>
      <c r="B912" s="485"/>
      <c r="C912" s="75"/>
      <c r="D912" s="485"/>
      <c r="E912" s="75"/>
      <c r="F912" s="485"/>
      <c r="G912" s="210"/>
      <c r="H912" s="485"/>
      <c r="I912" s="188"/>
      <c r="J912" s="485"/>
      <c r="K912" s="75"/>
      <c r="L912" s="66"/>
      <c r="M912" s="66"/>
      <c r="N912" s="66"/>
      <c r="O912" s="66"/>
      <c r="P912" s="66"/>
      <c r="Q912" s="66"/>
      <c r="R912" s="66"/>
      <c r="S912" s="66"/>
      <c r="T912" s="66"/>
      <c r="U912" s="66"/>
      <c r="V912" s="66"/>
      <c r="W912" s="66"/>
      <c r="X912" s="66"/>
    </row>
    <row r="913">
      <c r="A913" s="75"/>
      <c r="B913" s="485"/>
      <c r="C913" s="75"/>
      <c r="D913" s="485"/>
      <c r="E913" s="75"/>
      <c r="F913" s="485"/>
      <c r="G913" s="210"/>
      <c r="H913" s="485"/>
      <c r="I913" s="188"/>
      <c r="J913" s="485"/>
      <c r="K913" s="75"/>
      <c r="L913" s="66"/>
      <c r="M913" s="66"/>
      <c r="N913" s="66"/>
      <c r="O913" s="66"/>
      <c r="P913" s="66"/>
      <c r="Q913" s="66"/>
      <c r="R913" s="66"/>
      <c r="S913" s="66"/>
      <c r="T913" s="66"/>
      <c r="U913" s="66"/>
      <c r="V913" s="66"/>
      <c r="W913" s="66"/>
      <c r="X913" s="66"/>
    </row>
    <row r="914">
      <c r="A914" s="75"/>
      <c r="B914" s="485"/>
      <c r="C914" s="75"/>
      <c r="D914" s="485"/>
      <c r="E914" s="75"/>
      <c r="F914" s="485"/>
      <c r="G914" s="210"/>
      <c r="H914" s="485"/>
      <c r="I914" s="188"/>
      <c r="J914" s="485"/>
      <c r="K914" s="75"/>
      <c r="L914" s="66"/>
      <c r="M914" s="66"/>
      <c r="N914" s="66"/>
      <c r="O914" s="66"/>
      <c r="P914" s="66"/>
      <c r="Q914" s="66"/>
      <c r="R914" s="66"/>
      <c r="S914" s="66"/>
      <c r="T914" s="66"/>
      <c r="U914" s="66"/>
      <c r="V914" s="66"/>
      <c r="W914" s="66"/>
      <c r="X914" s="66"/>
    </row>
    <row r="915">
      <c r="A915" s="75"/>
      <c r="B915" s="485"/>
      <c r="C915" s="75"/>
      <c r="D915" s="485"/>
      <c r="E915" s="75"/>
      <c r="F915" s="485"/>
      <c r="G915" s="210"/>
      <c r="H915" s="485"/>
      <c r="I915" s="188"/>
      <c r="J915" s="485"/>
      <c r="K915" s="75"/>
      <c r="L915" s="66"/>
      <c r="M915" s="66"/>
      <c r="N915" s="66"/>
      <c r="O915" s="66"/>
      <c r="P915" s="66"/>
      <c r="Q915" s="66"/>
      <c r="R915" s="66"/>
      <c r="S915" s="66"/>
      <c r="T915" s="66"/>
      <c r="U915" s="66"/>
      <c r="V915" s="66"/>
      <c r="W915" s="66"/>
      <c r="X915" s="66"/>
    </row>
    <row r="916">
      <c r="A916" s="75"/>
      <c r="B916" s="485"/>
      <c r="C916" s="75"/>
      <c r="D916" s="485"/>
      <c r="E916" s="75"/>
      <c r="F916" s="485"/>
      <c r="G916" s="210"/>
      <c r="H916" s="485"/>
      <c r="I916" s="188"/>
      <c r="J916" s="485"/>
      <c r="K916" s="75"/>
      <c r="L916" s="66"/>
      <c r="M916" s="66"/>
      <c r="N916" s="66"/>
      <c r="O916" s="66"/>
      <c r="P916" s="66"/>
      <c r="Q916" s="66"/>
      <c r="R916" s="66"/>
      <c r="S916" s="66"/>
      <c r="T916" s="66"/>
      <c r="U916" s="66"/>
      <c r="V916" s="66"/>
      <c r="W916" s="66"/>
      <c r="X916" s="66"/>
    </row>
    <row r="917">
      <c r="A917" s="75"/>
      <c r="B917" s="485"/>
      <c r="C917" s="75"/>
      <c r="D917" s="485"/>
      <c r="E917" s="75"/>
      <c r="F917" s="485"/>
      <c r="G917" s="210"/>
      <c r="H917" s="485"/>
      <c r="I917" s="188"/>
      <c r="J917" s="485"/>
      <c r="K917" s="75"/>
      <c r="L917" s="66"/>
      <c r="M917" s="66"/>
      <c r="N917" s="66"/>
      <c r="O917" s="66"/>
      <c r="P917" s="66"/>
      <c r="Q917" s="66"/>
      <c r="R917" s="66"/>
      <c r="S917" s="66"/>
      <c r="T917" s="66"/>
      <c r="U917" s="66"/>
      <c r="V917" s="66"/>
      <c r="W917" s="66"/>
      <c r="X917" s="66"/>
    </row>
    <row r="918">
      <c r="A918" s="75"/>
      <c r="B918" s="485"/>
      <c r="C918" s="75"/>
      <c r="D918" s="485"/>
      <c r="E918" s="75"/>
      <c r="F918" s="485"/>
      <c r="G918" s="210"/>
      <c r="H918" s="485"/>
      <c r="I918" s="188"/>
      <c r="J918" s="485"/>
      <c r="K918" s="75"/>
      <c r="L918" s="66"/>
      <c r="M918" s="66"/>
      <c r="N918" s="66"/>
      <c r="O918" s="66"/>
      <c r="P918" s="66"/>
      <c r="Q918" s="66"/>
      <c r="R918" s="66"/>
      <c r="S918" s="66"/>
      <c r="T918" s="66"/>
      <c r="U918" s="66"/>
      <c r="V918" s="66"/>
      <c r="W918" s="66"/>
      <c r="X918" s="66"/>
    </row>
    <row r="919">
      <c r="A919" s="75"/>
      <c r="B919" s="485"/>
      <c r="C919" s="75"/>
      <c r="D919" s="485"/>
      <c r="E919" s="75"/>
      <c r="F919" s="485"/>
      <c r="G919" s="210"/>
      <c r="H919" s="485"/>
      <c r="I919" s="188"/>
      <c r="J919" s="485"/>
      <c r="K919" s="75"/>
      <c r="L919" s="66"/>
      <c r="M919" s="66"/>
      <c r="N919" s="66"/>
      <c r="O919" s="66"/>
      <c r="P919" s="66"/>
      <c r="Q919" s="66"/>
      <c r="R919" s="66"/>
      <c r="S919" s="66"/>
      <c r="T919" s="66"/>
      <c r="U919" s="66"/>
      <c r="V919" s="66"/>
      <c r="W919" s="66"/>
      <c r="X919" s="66"/>
    </row>
    <row r="920">
      <c r="A920" s="75"/>
      <c r="B920" s="485"/>
      <c r="C920" s="75"/>
      <c r="D920" s="485"/>
      <c r="E920" s="75"/>
      <c r="F920" s="485"/>
      <c r="G920" s="210"/>
      <c r="H920" s="485"/>
      <c r="I920" s="188"/>
      <c r="J920" s="485"/>
      <c r="K920" s="75"/>
      <c r="L920" s="66"/>
      <c r="M920" s="66"/>
      <c r="N920" s="66"/>
      <c r="O920" s="66"/>
      <c r="P920" s="66"/>
      <c r="Q920" s="66"/>
      <c r="R920" s="66"/>
      <c r="S920" s="66"/>
      <c r="T920" s="66"/>
      <c r="U920" s="66"/>
      <c r="V920" s="66"/>
      <c r="W920" s="66"/>
      <c r="X920" s="66"/>
    </row>
    <row r="921">
      <c r="A921" s="75"/>
      <c r="B921" s="485"/>
      <c r="C921" s="75"/>
      <c r="D921" s="485"/>
      <c r="E921" s="75"/>
      <c r="F921" s="485"/>
      <c r="G921" s="210"/>
      <c r="H921" s="485"/>
      <c r="I921" s="188"/>
      <c r="J921" s="485"/>
      <c r="K921" s="75"/>
      <c r="L921" s="66"/>
      <c r="M921" s="66"/>
      <c r="N921" s="66"/>
      <c r="O921" s="66"/>
      <c r="P921" s="66"/>
      <c r="Q921" s="66"/>
      <c r="R921" s="66"/>
      <c r="S921" s="66"/>
      <c r="T921" s="66"/>
      <c r="U921" s="66"/>
      <c r="V921" s="66"/>
      <c r="W921" s="66"/>
      <c r="X921" s="66"/>
    </row>
    <row r="922">
      <c r="A922" s="75"/>
      <c r="B922" s="485"/>
      <c r="C922" s="75"/>
      <c r="D922" s="485"/>
      <c r="E922" s="75"/>
      <c r="F922" s="485"/>
      <c r="G922" s="210"/>
      <c r="H922" s="485"/>
      <c r="I922" s="188"/>
      <c r="J922" s="485"/>
      <c r="K922" s="75"/>
      <c r="L922" s="66"/>
      <c r="M922" s="66"/>
      <c r="N922" s="66"/>
      <c r="O922" s="66"/>
      <c r="P922" s="66"/>
      <c r="Q922" s="66"/>
      <c r="R922" s="66"/>
      <c r="S922" s="66"/>
      <c r="T922" s="66"/>
      <c r="U922" s="66"/>
      <c r="V922" s="66"/>
      <c r="W922" s="66"/>
      <c r="X922" s="66"/>
    </row>
    <row r="923">
      <c r="A923" s="75"/>
      <c r="B923" s="485"/>
      <c r="C923" s="75"/>
      <c r="D923" s="485"/>
      <c r="E923" s="75"/>
      <c r="F923" s="485"/>
      <c r="G923" s="210"/>
      <c r="H923" s="485"/>
      <c r="I923" s="188"/>
      <c r="J923" s="485"/>
      <c r="K923" s="75"/>
      <c r="L923" s="66"/>
      <c r="M923" s="66"/>
      <c r="N923" s="66"/>
      <c r="O923" s="66"/>
      <c r="P923" s="66"/>
      <c r="Q923" s="66"/>
      <c r="R923" s="66"/>
      <c r="S923" s="66"/>
      <c r="T923" s="66"/>
      <c r="U923" s="66"/>
      <c r="V923" s="66"/>
      <c r="W923" s="66"/>
      <c r="X923" s="66"/>
    </row>
    <row r="924">
      <c r="A924" s="75"/>
      <c r="B924" s="485"/>
      <c r="C924" s="75"/>
      <c r="D924" s="485"/>
      <c r="E924" s="75"/>
      <c r="F924" s="485"/>
      <c r="G924" s="210"/>
      <c r="H924" s="485"/>
      <c r="I924" s="188"/>
      <c r="J924" s="485"/>
      <c r="K924" s="75"/>
      <c r="L924" s="66"/>
      <c r="M924" s="66"/>
      <c r="N924" s="66"/>
      <c r="O924" s="66"/>
      <c r="P924" s="66"/>
      <c r="Q924" s="66"/>
      <c r="R924" s="66"/>
      <c r="S924" s="66"/>
      <c r="T924" s="66"/>
      <c r="U924" s="66"/>
      <c r="V924" s="66"/>
      <c r="W924" s="66"/>
      <c r="X924" s="66"/>
    </row>
    <row r="925">
      <c r="A925" s="75"/>
      <c r="B925" s="485"/>
      <c r="C925" s="75"/>
      <c r="D925" s="485"/>
      <c r="E925" s="75"/>
      <c r="F925" s="485"/>
      <c r="G925" s="210"/>
      <c r="H925" s="485"/>
      <c r="I925" s="188"/>
      <c r="J925" s="485"/>
      <c r="K925" s="75"/>
      <c r="L925" s="66"/>
      <c r="M925" s="66"/>
      <c r="N925" s="66"/>
      <c r="O925" s="66"/>
      <c r="P925" s="66"/>
      <c r="Q925" s="66"/>
      <c r="R925" s="66"/>
      <c r="S925" s="66"/>
      <c r="T925" s="66"/>
      <c r="U925" s="66"/>
      <c r="V925" s="66"/>
      <c r="W925" s="66"/>
      <c r="X925" s="66"/>
    </row>
    <row r="926">
      <c r="A926" s="75"/>
      <c r="B926" s="485"/>
      <c r="C926" s="75"/>
      <c r="D926" s="485"/>
      <c r="E926" s="75"/>
      <c r="F926" s="485"/>
      <c r="G926" s="210"/>
      <c r="H926" s="485"/>
      <c r="I926" s="188"/>
      <c r="J926" s="485"/>
      <c r="K926" s="75"/>
      <c r="L926" s="66"/>
      <c r="M926" s="66"/>
      <c r="N926" s="66"/>
      <c r="O926" s="66"/>
      <c r="P926" s="66"/>
      <c r="Q926" s="66"/>
      <c r="R926" s="66"/>
      <c r="S926" s="66"/>
      <c r="T926" s="66"/>
      <c r="U926" s="66"/>
      <c r="V926" s="66"/>
      <c r="W926" s="66"/>
      <c r="X926" s="66"/>
    </row>
    <row r="927">
      <c r="A927" s="75"/>
      <c r="B927" s="485"/>
      <c r="C927" s="75"/>
      <c r="D927" s="485"/>
      <c r="E927" s="75"/>
      <c r="F927" s="485"/>
      <c r="G927" s="210"/>
      <c r="H927" s="485"/>
      <c r="I927" s="188"/>
      <c r="J927" s="485"/>
      <c r="K927" s="75"/>
      <c r="L927" s="66"/>
      <c r="M927" s="66"/>
      <c r="N927" s="66"/>
      <c r="O927" s="66"/>
      <c r="P927" s="66"/>
      <c r="Q927" s="66"/>
      <c r="R927" s="66"/>
      <c r="S927" s="66"/>
      <c r="T927" s="66"/>
      <c r="U927" s="66"/>
      <c r="V927" s="66"/>
      <c r="W927" s="66"/>
      <c r="X927" s="66"/>
    </row>
    <row r="928">
      <c r="A928" s="75"/>
      <c r="B928" s="485"/>
      <c r="C928" s="75"/>
      <c r="D928" s="485"/>
      <c r="E928" s="75"/>
      <c r="F928" s="485"/>
      <c r="G928" s="210"/>
      <c r="H928" s="485"/>
      <c r="I928" s="188"/>
      <c r="J928" s="485"/>
      <c r="K928" s="75"/>
      <c r="L928" s="66"/>
      <c r="M928" s="66"/>
      <c r="N928" s="66"/>
      <c r="O928" s="66"/>
      <c r="P928" s="66"/>
      <c r="Q928" s="66"/>
      <c r="R928" s="66"/>
      <c r="S928" s="66"/>
      <c r="T928" s="66"/>
      <c r="U928" s="66"/>
      <c r="V928" s="66"/>
      <c r="W928" s="66"/>
      <c r="X928" s="66"/>
    </row>
    <row r="929">
      <c r="A929" s="75"/>
      <c r="B929" s="485"/>
      <c r="C929" s="75"/>
      <c r="D929" s="485"/>
      <c r="E929" s="75"/>
      <c r="F929" s="485"/>
      <c r="G929" s="210"/>
      <c r="H929" s="485"/>
      <c r="I929" s="188"/>
      <c r="J929" s="485"/>
      <c r="K929" s="75"/>
      <c r="L929" s="66"/>
      <c r="M929" s="66"/>
      <c r="N929" s="66"/>
      <c r="O929" s="66"/>
      <c r="P929" s="66"/>
      <c r="Q929" s="66"/>
      <c r="R929" s="66"/>
      <c r="S929" s="66"/>
      <c r="T929" s="66"/>
      <c r="U929" s="66"/>
      <c r="V929" s="66"/>
      <c r="W929" s="66"/>
      <c r="X929" s="66"/>
    </row>
    <row r="930">
      <c r="A930" s="75"/>
      <c r="B930" s="485"/>
      <c r="C930" s="75"/>
      <c r="D930" s="485"/>
      <c r="E930" s="75"/>
      <c r="F930" s="485"/>
      <c r="G930" s="210"/>
      <c r="H930" s="485"/>
      <c r="I930" s="188"/>
      <c r="J930" s="485"/>
      <c r="K930" s="75"/>
      <c r="L930" s="66"/>
      <c r="M930" s="66"/>
      <c r="N930" s="66"/>
      <c r="O930" s="66"/>
      <c r="P930" s="66"/>
      <c r="Q930" s="66"/>
      <c r="R930" s="66"/>
      <c r="S930" s="66"/>
      <c r="T930" s="66"/>
      <c r="U930" s="66"/>
      <c r="V930" s="66"/>
      <c r="W930" s="66"/>
      <c r="X930" s="66"/>
    </row>
    <row r="931">
      <c r="A931" s="75"/>
      <c r="B931" s="485"/>
      <c r="C931" s="75"/>
      <c r="D931" s="485"/>
      <c r="E931" s="75"/>
      <c r="F931" s="485"/>
      <c r="G931" s="210"/>
      <c r="H931" s="485"/>
      <c r="I931" s="188"/>
      <c r="J931" s="485"/>
      <c r="K931" s="75"/>
      <c r="L931" s="66"/>
      <c r="M931" s="66"/>
      <c r="N931" s="66"/>
      <c r="O931" s="66"/>
      <c r="P931" s="66"/>
      <c r="Q931" s="66"/>
      <c r="R931" s="66"/>
      <c r="S931" s="66"/>
      <c r="T931" s="66"/>
      <c r="U931" s="66"/>
      <c r="V931" s="66"/>
      <c r="W931" s="66"/>
      <c r="X931" s="66"/>
    </row>
    <row r="932">
      <c r="A932" s="75"/>
      <c r="B932" s="485"/>
      <c r="C932" s="75"/>
      <c r="D932" s="485"/>
      <c r="E932" s="75"/>
      <c r="F932" s="485"/>
      <c r="G932" s="210"/>
      <c r="H932" s="485"/>
      <c r="I932" s="188"/>
      <c r="J932" s="485"/>
      <c r="K932" s="75"/>
      <c r="L932" s="66"/>
      <c r="M932" s="66"/>
      <c r="N932" s="66"/>
      <c r="O932" s="66"/>
      <c r="P932" s="66"/>
      <c r="Q932" s="66"/>
      <c r="R932" s="66"/>
      <c r="S932" s="66"/>
      <c r="T932" s="66"/>
      <c r="U932" s="66"/>
      <c r="V932" s="66"/>
      <c r="W932" s="66"/>
      <c r="X932" s="66"/>
    </row>
    <row r="933">
      <c r="A933" s="75"/>
      <c r="B933" s="485"/>
      <c r="C933" s="75"/>
      <c r="D933" s="485"/>
      <c r="E933" s="75"/>
      <c r="F933" s="485"/>
      <c r="G933" s="210"/>
      <c r="H933" s="485"/>
      <c r="I933" s="188"/>
      <c r="J933" s="485"/>
      <c r="K933" s="75"/>
      <c r="L933" s="66"/>
      <c r="M933" s="66"/>
      <c r="N933" s="66"/>
      <c r="O933" s="66"/>
      <c r="P933" s="66"/>
      <c r="Q933" s="66"/>
      <c r="R933" s="66"/>
      <c r="S933" s="66"/>
      <c r="T933" s="66"/>
      <c r="U933" s="66"/>
      <c r="V933" s="66"/>
      <c r="W933" s="66"/>
      <c r="X933" s="66"/>
    </row>
    <row r="934">
      <c r="A934" s="75"/>
      <c r="B934" s="485"/>
      <c r="C934" s="75"/>
      <c r="D934" s="485"/>
      <c r="E934" s="75"/>
      <c r="F934" s="485"/>
      <c r="G934" s="210"/>
      <c r="H934" s="485"/>
      <c r="I934" s="188"/>
      <c r="J934" s="485"/>
      <c r="K934" s="75"/>
      <c r="L934" s="66"/>
      <c r="M934" s="66"/>
      <c r="N934" s="66"/>
      <c r="O934" s="66"/>
      <c r="P934" s="66"/>
      <c r="Q934" s="66"/>
      <c r="R934" s="66"/>
      <c r="S934" s="66"/>
      <c r="T934" s="66"/>
      <c r="U934" s="66"/>
      <c r="V934" s="66"/>
      <c r="W934" s="66"/>
      <c r="X934" s="66"/>
    </row>
    <row r="935">
      <c r="A935" s="75"/>
      <c r="B935" s="485"/>
      <c r="C935" s="75"/>
      <c r="D935" s="485"/>
      <c r="E935" s="75"/>
      <c r="F935" s="485"/>
      <c r="G935" s="210"/>
      <c r="H935" s="485"/>
      <c r="I935" s="188"/>
      <c r="J935" s="485"/>
      <c r="K935" s="75"/>
      <c r="L935" s="66"/>
      <c r="M935" s="66"/>
      <c r="N935" s="66"/>
      <c r="O935" s="66"/>
      <c r="P935" s="66"/>
      <c r="Q935" s="66"/>
      <c r="R935" s="66"/>
      <c r="S935" s="66"/>
      <c r="T935" s="66"/>
      <c r="U935" s="66"/>
      <c r="V935" s="66"/>
      <c r="W935" s="66"/>
      <c r="X935" s="66"/>
    </row>
    <row r="936">
      <c r="A936" s="75"/>
      <c r="B936" s="485"/>
      <c r="C936" s="75"/>
      <c r="D936" s="485"/>
      <c r="E936" s="75"/>
      <c r="F936" s="485"/>
      <c r="G936" s="210"/>
      <c r="H936" s="485"/>
      <c r="I936" s="188"/>
      <c r="J936" s="485"/>
      <c r="K936" s="75"/>
      <c r="L936" s="66"/>
      <c r="M936" s="66"/>
      <c r="N936" s="66"/>
      <c r="O936" s="66"/>
      <c r="P936" s="66"/>
      <c r="Q936" s="66"/>
      <c r="R936" s="66"/>
      <c r="S936" s="66"/>
      <c r="T936" s="66"/>
      <c r="U936" s="66"/>
      <c r="V936" s="66"/>
      <c r="W936" s="66"/>
      <c r="X936" s="66"/>
    </row>
    <row r="937">
      <c r="A937" s="75"/>
      <c r="B937" s="485"/>
      <c r="C937" s="75"/>
      <c r="D937" s="485"/>
      <c r="E937" s="75"/>
      <c r="F937" s="485"/>
      <c r="G937" s="210"/>
      <c r="H937" s="485"/>
      <c r="I937" s="188"/>
      <c r="J937" s="485"/>
      <c r="K937" s="75"/>
      <c r="L937" s="66"/>
      <c r="M937" s="66"/>
      <c r="N937" s="66"/>
      <c r="O937" s="66"/>
      <c r="P937" s="66"/>
      <c r="Q937" s="66"/>
      <c r="R937" s="66"/>
      <c r="S937" s="66"/>
      <c r="T937" s="66"/>
      <c r="U937" s="66"/>
      <c r="V937" s="66"/>
      <c r="W937" s="66"/>
      <c r="X937" s="66"/>
    </row>
    <row r="938">
      <c r="A938" s="75"/>
      <c r="B938" s="485"/>
      <c r="C938" s="75"/>
      <c r="D938" s="485"/>
      <c r="E938" s="75"/>
      <c r="F938" s="485"/>
      <c r="G938" s="210"/>
      <c r="H938" s="485"/>
      <c r="I938" s="188"/>
      <c r="J938" s="485"/>
      <c r="K938" s="75"/>
      <c r="L938" s="66"/>
      <c r="M938" s="66"/>
      <c r="N938" s="66"/>
      <c r="O938" s="66"/>
      <c r="P938" s="66"/>
      <c r="Q938" s="66"/>
      <c r="R938" s="66"/>
      <c r="S938" s="66"/>
      <c r="T938" s="66"/>
      <c r="U938" s="66"/>
      <c r="V938" s="66"/>
      <c r="W938" s="66"/>
      <c r="X938" s="66"/>
    </row>
    <row r="939">
      <c r="A939" s="75"/>
      <c r="B939" s="485"/>
      <c r="C939" s="75"/>
      <c r="D939" s="485"/>
      <c r="E939" s="75"/>
      <c r="F939" s="485"/>
      <c r="G939" s="210"/>
      <c r="H939" s="485"/>
      <c r="I939" s="188"/>
      <c r="J939" s="485"/>
      <c r="K939" s="75"/>
      <c r="L939" s="66"/>
      <c r="M939" s="66"/>
      <c r="N939" s="66"/>
      <c r="O939" s="66"/>
      <c r="P939" s="66"/>
      <c r="Q939" s="66"/>
      <c r="R939" s="66"/>
      <c r="S939" s="66"/>
      <c r="T939" s="66"/>
      <c r="U939" s="66"/>
      <c r="V939" s="66"/>
      <c r="W939" s="66"/>
      <c r="X939" s="66"/>
    </row>
    <row r="940">
      <c r="A940" s="75"/>
      <c r="B940" s="485"/>
      <c r="C940" s="75"/>
      <c r="D940" s="485"/>
      <c r="E940" s="75"/>
      <c r="F940" s="485"/>
      <c r="G940" s="210"/>
      <c r="H940" s="485"/>
      <c r="I940" s="188"/>
      <c r="J940" s="485"/>
      <c r="K940" s="75"/>
      <c r="L940" s="66"/>
      <c r="M940" s="66"/>
      <c r="N940" s="66"/>
      <c r="O940" s="66"/>
      <c r="P940" s="66"/>
      <c r="Q940" s="66"/>
      <c r="R940" s="66"/>
      <c r="S940" s="66"/>
      <c r="T940" s="66"/>
      <c r="U940" s="66"/>
      <c r="V940" s="66"/>
      <c r="W940" s="66"/>
      <c r="X940" s="66"/>
    </row>
    <row r="941">
      <c r="A941" s="75"/>
      <c r="B941" s="485"/>
      <c r="C941" s="75"/>
      <c r="D941" s="485"/>
      <c r="E941" s="75"/>
      <c r="F941" s="485"/>
      <c r="G941" s="210"/>
      <c r="H941" s="485"/>
      <c r="I941" s="188"/>
      <c r="J941" s="485"/>
      <c r="K941" s="75"/>
      <c r="L941" s="66"/>
      <c r="M941" s="66"/>
      <c r="N941" s="66"/>
      <c r="O941" s="66"/>
      <c r="P941" s="66"/>
      <c r="Q941" s="66"/>
      <c r="R941" s="66"/>
      <c r="S941" s="66"/>
      <c r="T941" s="66"/>
      <c r="U941" s="66"/>
      <c r="V941" s="66"/>
      <c r="W941" s="66"/>
      <c r="X941" s="66"/>
    </row>
    <row r="942">
      <c r="A942" s="75"/>
      <c r="B942" s="485"/>
      <c r="C942" s="75"/>
      <c r="D942" s="485"/>
      <c r="E942" s="75"/>
      <c r="F942" s="485"/>
      <c r="G942" s="210"/>
      <c r="H942" s="485"/>
      <c r="I942" s="188"/>
      <c r="J942" s="485"/>
      <c r="K942" s="75"/>
      <c r="L942" s="66"/>
      <c r="M942" s="66"/>
      <c r="N942" s="66"/>
      <c r="O942" s="66"/>
      <c r="P942" s="66"/>
      <c r="Q942" s="66"/>
      <c r="R942" s="66"/>
      <c r="S942" s="66"/>
      <c r="T942" s="66"/>
      <c r="U942" s="66"/>
      <c r="V942" s="66"/>
      <c r="W942" s="66"/>
      <c r="X942" s="66"/>
    </row>
    <row r="943">
      <c r="A943" s="75"/>
      <c r="B943" s="485"/>
      <c r="C943" s="75"/>
      <c r="D943" s="485"/>
      <c r="E943" s="75"/>
      <c r="F943" s="485"/>
      <c r="G943" s="210"/>
      <c r="H943" s="485"/>
      <c r="I943" s="188"/>
      <c r="J943" s="485"/>
      <c r="K943" s="75"/>
      <c r="L943" s="66"/>
      <c r="M943" s="66"/>
      <c r="N943" s="66"/>
      <c r="O943" s="66"/>
      <c r="P943" s="66"/>
      <c r="Q943" s="66"/>
      <c r="R943" s="66"/>
      <c r="S943" s="66"/>
      <c r="T943" s="66"/>
      <c r="U943" s="66"/>
      <c r="V943" s="66"/>
      <c r="W943" s="66"/>
      <c r="X943" s="66"/>
    </row>
    <row r="944">
      <c r="A944" s="75"/>
      <c r="B944" s="485"/>
      <c r="C944" s="75"/>
      <c r="D944" s="485"/>
      <c r="E944" s="75"/>
      <c r="F944" s="485"/>
      <c r="G944" s="210"/>
      <c r="H944" s="485"/>
      <c r="I944" s="188"/>
      <c r="J944" s="485"/>
      <c r="K944" s="75"/>
      <c r="L944" s="66"/>
      <c r="M944" s="66"/>
      <c r="N944" s="66"/>
      <c r="O944" s="66"/>
      <c r="P944" s="66"/>
      <c r="Q944" s="66"/>
      <c r="R944" s="66"/>
      <c r="S944" s="66"/>
      <c r="T944" s="66"/>
      <c r="U944" s="66"/>
      <c r="V944" s="66"/>
      <c r="W944" s="66"/>
      <c r="X944" s="66"/>
    </row>
    <row r="945">
      <c r="A945" s="75"/>
      <c r="B945" s="485"/>
      <c r="C945" s="75"/>
      <c r="D945" s="485"/>
      <c r="E945" s="75"/>
      <c r="F945" s="485"/>
      <c r="G945" s="210"/>
      <c r="H945" s="485"/>
      <c r="I945" s="188"/>
      <c r="J945" s="485"/>
      <c r="K945" s="75"/>
      <c r="L945" s="66"/>
      <c r="M945" s="66"/>
      <c r="N945" s="66"/>
      <c r="O945" s="66"/>
      <c r="P945" s="66"/>
      <c r="Q945" s="66"/>
      <c r="R945" s="66"/>
      <c r="S945" s="66"/>
      <c r="T945" s="66"/>
      <c r="U945" s="66"/>
      <c r="V945" s="66"/>
      <c r="W945" s="66"/>
      <c r="X945" s="66"/>
    </row>
    <row r="946">
      <c r="A946" s="75"/>
      <c r="B946" s="485"/>
      <c r="C946" s="75"/>
      <c r="D946" s="485"/>
      <c r="E946" s="75"/>
      <c r="F946" s="485"/>
      <c r="G946" s="210"/>
      <c r="H946" s="485"/>
      <c r="I946" s="188"/>
      <c r="J946" s="485"/>
      <c r="K946" s="75"/>
      <c r="L946" s="66"/>
      <c r="M946" s="66"/>
      <c r="N946" s="66"/>
      <c r="O946" s="66"/>
      <c r="P946" s="66"/>
      <c r="Q946" s="66"/>
      <c r="R946" s="66"/>
      <c r="S946" s="66"/>
      <c r="T946" s="66"/>
      <c r="U946" s="66"/>
      <c r="V946" s="66"/>
      <c r="W946" s="66"/>
      <c r="X946" s="66"/>
    </row>
    <row r="947">
      <c r="A947" s="75"/>
      <c r="B947" s="485"/>
      <c r="C947" s="75"/>
      <c r="D947" s="485"/>
      <c r="E947" s="75"/>
      <c r="F947" s="485"/>
      <c r="G947" s="210"/>
      <c r="H947" s="485"/>
      <c r="I947" s="188"/>
      <c r="J947" s="485"/>
      <c r="K947" s="75"/>
      <c r="L947" s="66"/>
      <c r="M947" s="66"/>
      <c r="N947" s="66"/>
      <c r="O947" s="66"/>
      <c r="P947" s="66"/>
      <c r="Q947" s="66"/>
      <c r="R947" s="66"/>
      <c r="S947" s="66"/>
      <c r="T947" s="66"/>
      <c r="U947" s="66"/>
      <c r="V947" s="66"/>
      <c r="W947" s="66"/>
      <c r="X947" s="66"/>
    </row>
    <row r="948">
      <c r="A948" s="75"/>
      <c r="B948" s="485"/>
      <c r="C948" s="75"/>
      <c r="D948" s="485"/>
      <c r="E948" s="75"/>
      <c r="F948" s="485"/>
      <c r="G948" s="210"/>
      <c r="H948" s="485"/>
      <c r="I948" s="188"/>
      <c r="J948" s="485"/>
      <c r="K948" s="75"/>
      <c r="L948" s="66"/>
      <c r="M948" s="66"/>
      <c r="N948" s="66"/>
      <c r="O948" s="66"/>
      <c r="P948" s="66"/>
      <c r="Q948" s="66"/>
      <c r="R948" s="66"/>
      <c r="S948" s="66"/>
      <c r="T948" s="66"/>
      <c r="U948" s="66"/>
      <c r="V948" s="66"/>
      <c r="W948" s="66"/>
      <c r="X948" s="66"/>
    </row>
    <row r="949">
      <c r="A949" s="75"/>
      <c r="B949" s="485"/>
      <c r="C949" s="75"/>
      <c r="D949" s="485"/>
      <c r="E949" s="75"/>
      <c r="F949" s="485"/>
      <c r="G949" s="210"/>
      <c r="H949" s="485"/>
      <c r="I949" s="188"/>
      <c r="J949" s="485"/>
      <c r="K949" s="75"/>
      <c r="L949" s="66"/>
      <c r="M949" s="66"/>
      <c r="N949" s="66"/>
      <c r="O949" s="66"/>
      <c r="P949" s="66"/>
      <c r="Q949" s="66"/>
      <c r="R949" s="66"/>
      <c r="S949" s="66"/>
      <c r="T949" s="66"/>
      <c r="U949" s="66"/>
      <c r="V949" s="66"/>
      <c r="W949" s="66"/>
      <c r="X949" s="66"/>
    </row>
    <row r="950">
      <c r="A950" s="75"/>
      <c r="B950" s="485"/>
      <c r="C950" s="75"/>
      <c r="D950" s="485"/>
      <c r="E950" s="75"/>
      <c r="F950" s="485"/>
      <c r="G950" s="210"/>
      <c r="H950" s="485"/>
      <c r="I950" s="188"/>
      <c r="J950" s="485"/>
      <c r="K950" s="75"/>
      <c r="L950" s="66"/>
      <c r="M950" s="66"/>
      <c r="N950" s="66"/>
      <c r="O950" s="66"/>
      <c r="P950" s="66"/>
      <c r="Q950" s="66"/>
      <c r="R950" s="66"/>
      <c r="S950" s="66"/>
      <c r="T950" s="66"/>
      <c r="U950" s="66"/>
      <c r="V950" s="66"/>
      <c r="W950" s="66"/>
      <c r="X950" s="66"/>
    </row>
    <row r="951">
      <c r="A951" s="75"/>
      <c r="B951" s="485"/>
      <c r="C951" s="75"/>
      <c r="D951" s="485"/>
      <c r="E951" s="75"/>
      <c r="F951" s="485"/>
      <c r="G951" s="210"/>
      <c r="H951" s="485"/>
      <c r="I951" s="188"/>
      <c r="J951" s="485"/>
      <c r="K951" s="75"/>
      <c r="L951" s="66"/>
      <c r="M951" s="66"/>
      <c r="N951" s="66"/>
      <c r="O951" s="66"/>
      <c r="P951" s="66"/>
      <c r="Q951" s="66"/>
      <c r="R951" s="66"/>
      <c r="S951" s="66"/>
      <c r="T951" s="66"/>
      <c r="U951" s="66"/>
      <c r="V951" s="66"/>
      <c r="W951" s="66"/>
      <c r="X951" s="66"/>
    </row>
    <row r="952">
      <c r="A952" s="75"/>
      <c r="B952" s="485"/>
      <c r="C952" s="75"/>
      <c r="D952" s="485"/>
      <c r="E952" s="75"/>
      <c r="F952" s="485"/>
      <c r="G952" s="210"/>
      <c r="H952" s="485"/>
      <c r="I952" s="188"/>
      <c r="J952" s="485"/>
      <c r="K952" s="75"/>
      <c r="L952" s="66"/>
      <c r="M952" s="66"/>
      <c r="N952" s="66"/>
      <c r="O952" s="66"/>
      <c r="P952" s="66"/>
      <c r="Q952" s="66"/>
      <c r="R952" s="66"/>
      <c r="S952" s="66"/>
      <c r="T952" s="66"/>
      <c r="U952" s="66"/>
      <c r="V952" s="66"/>
      <c r="W952" s="66"/>
      <c r="X952" s="66"/>
    </row>
    <row r="953">
      <c r="A953" s="75"/>
      <c r="B953" s="485"/>
      <c r="C953" s="75"/>
      <c r="D953" s="485"/>
      <c r="E953" s="75"/>
      <c r="F953" s="485"/>
      <c r="G953" s="210"/>
      <c r="H953" s="485"/>
      <c r="I953" s="188"/>
      <c r="J953" s="485"/>
      <c r="K953" s="75"/>
      <c r="L953" s="66"/>
      <c r="M953" s="66"/>
      <c r="N953" s="66"/>
      <c r="O953" s="66"/>
      <c r="P953" s="66"/>
      <c r="Q953" s="66"/>
      <c r="R953" s="66"/>
      <c r="S953" s="66"/>
      <c r="T953" s="66"/>
      <c r="U953" s="66"/>
      <c r="V953" s="66"/>
      <c r="W953" s="66"/>
      <c r="X953" s="66"/>
    </row>
    <row r="954">
      <c r="A954" s="75"/>
      <c r="B954" s="485"/>
      <c r="C954" s="75"/>
      <c r="D954" s="485"/>
      <c r="E954" s="75"/>
      <c r="F954" s="485"/>
      <c r="G954" s="210"/>
      <c r="H954" s="485"/>
      <c r="I954" s="188"/>
      <c r="J954" s="485"/>
      <c r="K954" s="75"/>
      <c r="L954" s="66"/>
      <c r="M954" s="66"/>
      <c r="N954" s="66"/>
      <c r="O954" s="66"/>
      <c r="P954" s="66"/>
      <c r="Q954" s="66"/>
      <c r="R954" s="66"/>
      <c r="S954" s="66"/>
      <c r="T954" s="66"/>
      <c r="U954" s="66"/>
      <c r="V954" s="66"/>
      <c r="W954" s="66"/>
      <c r="X954" s="66"/>
    </row>
    <row r="955">
      <c r="A955" s="75"/>
      <c r="B955" s="485"/>
      <c r="C955" s="75"/>
      <c r="D955" s="485"/>
      <c r="E955" s="75"/>
      <c r="F955" s="485"/>
      <c r="G955" s="210"/>
      <c r="H955" s="485"/>
      <c r="I955" s="188"/>
      <c r="J955" s="485"/>
      <c r="K955" s="75"/>
      <c r="L955" s="66"/>
      <c r="M955" s="66"/>
      <c r="N955" s="66"/>
      <c r="O955" s="66"/>
      <c r="P955" s="66"/>
      <c r="Q955" s="66"/>
      <c r="R955" s="66"/>
      <c r="S955" s="66"/>
      <c r="T955" s="66"/>
      <c r="U955" s="66"/>
      <c r="V955" s="66"/>
      <c r="W955" s="66"/>
      <c r="X955" s="66"/>
    </row>
    <row r="956">
      <c r="A956" s="75"/>
      <c r="B956" s="485"/>
      <c r="C956" s="75"/>
      <c r="D956" s="485"/>
      <c r="E956" s="75"/>
      <c r="F956" s="485"/>
      <c r="G956" s="210"/>
      <c r="H956" s="485"/>
      <c r="I956" s="188"/>
      <c r="J956" s="485"/>
      <c r="K956" s="75"/>
      <c r="L956" s="66"/>
      <c r="M956" s="66"/>
      <c r="N956" s="66"/>
      <c r="O956" s="66"/>
      <c r="P956" s="66"/>
      <c r="Q956" s="66"/>
      <c r="R956" s="66"/>
      <c r="S956" s="66"/>
      <c r="T956" s="66"/>
      <c r="U956" s="66"/>
      <c r="V956" s="66"/>
      <c r="W956" s="66"/>
      <c r="X956" s="66"/>
    </row>
    <row r="957">
      <c r="A957" s="75"/>
      <c r="B957" s="485"/>
      <c r="C957" s="75"/>
      <c r="D957" s="485"/>
      <c r="E957" s="75"/>
      <c r="F957" s="485"/>
      <c r="G957" s="210"/>
      <c r="H957" s="485"/>
      <c r="I957" s="188"/>
      <c r="J957" s="485"/>
      <c r="K957" s="75"/>
      <c r="L957" s="66"/>
      <c r="M957" s="66"/>
      <c r="N957" s="66"/>
      <c r="O957" s="66"/>
      <c r="P957" s="66"/>
      <c r="Q957" s="66"/>
      <c r="R957" s="66"/>
      <c r="S957" s="66"/>
      <c r="T957" s="66"/>
      <c r="U957" s="66"/>
      <c r="V957" s="66"/>
      <c r="W957" s="66"/>
      <c r="X957" s="66"/>
    </row>
    <row r="958">
      <c r="A958" s="75"/>
      <c r="B958" s="485"/>
      <c r="C958" s="75"/>
      <c r="D958" s="485"/>
      <c r="E958" s="75"/>
      <c r="F958" s="485"/>
      <c r="G958" s="210"/>
      <c r="H958" s="485"/>
      <c r="I958" s="188"/>
      <c r="J958" s="485"/>
      <c r="K958" s="75"/>
      <c r="L958" s="66"/>
      <c r="M958" s="66"/>
      <c r="N958" s="66"/>
      <c r="O958" s="66"/>
      <c r="P958" s="66"/>
      <c r="Q958" s="66"/>
      <c r="R958" s="66"/>
      <c r="S958" s="66"/>
      <c r="T958" s="66"/>
      <c r="U958" s="66"/>
      <c r="V958" s="66"/>
      <c r="W958" s="66"/>
      <c r="X958" s="66"/>
    </row>
    <row r="959">
      <c r="A959" s="75"/>
      <c r="B959" s="485"/>
      <c r="C959" s="75"/>
      <c r="D959" s="485"/>
      <c r="E959" s="75"/>
      <c r="F959" s="485"/>
      <c r="G959" s="210"/>
      <c r="H959" s="485"/>
      <c r="I959" s="188"/>
      <c r="J959" s="485"/>
      <c r="K959" s="75"/>
      <c r="L959" s="66"/>
      <c r="M959" s="66"/>
      <c r="N959" s="66"/>
      <c r="O959" s="66"/>
      <c r="P959" s="66"/>
      <c r="Q959" s="66"/>
      <c r="R959" s="66"/>
      <c r="S959" s="66"/>
      <c r="T959" s="66"/>
      <c r="U959" s="66"/>
      <c r="V959" s="66"/>
      <c r="W959" s="66"/>
      <c r="X959" s="66"/>
    </row>
    <row r="960">
      <c r="A960" s="75"/>
      <c r="B960" s="485"/>
      <c r="C960" s="75"/>
      <c r="D960" s="485"/>
      <c r="E960" s="75"/>
      <c r="F960" s="485"/>
      <c r="G960" s="210"/>
      <c r="H960" s="485"/>
      <c r="I960" s="188"/>
      <c r="J960" s="485"/>
      <c r="K960" s="75"/>
      <c r="L960" s="66"/>
      <c r="M960" s="66"/>
      <c r="N960" s="66"/>
      <c r="O960" s="66"/>
      <c r="P960" s="66"/>
      <c r="Q960" s="66"/>
      <c r="R960" s="66"/>
      <c r="S960" s="66"/>
      <c r="T960" s="66"/>
      <c r="U960" s="66"/>
      <c r="V960" s="66"/>
      <c r="W960" s="66"/>
      <c r="X960" s="66"/>
    </row>
    <row r="961">
      <c r="A961" s="75"/>
      <c r="B961" s="485"/>
      <c r="C961" s="75"/>
      <c r="D961" s="485"/>
      <c r="E961" s="75"/>
      <c r="F961" s="485"/>
      <c r="G961" s="210"/>
      <c r="H961" s="485"/>
      <c r="I961" s="188"/>
      <c r="J961" s="485"/>
      <c r="K961" s="75"/>
      <c r="L961" s="66"/>
      <c r="M961" s="66"/>
      <c r="N961" s="66"/>
      <c r="O961" s="66"/>
      <c r="P961" s="66"/>
      <c r="Q961" s="66"/>
      <c r="R961" s="66"/>
      <c r="S961" s="66"/>
      <c r="T961" s="66"/>
      <c r="U961" s="66"/>
      <c r="V961" s="66"/>
      <c r="W961" s="66"/>
      <c r="X961" s="66"/>
    </row>
    <row r="962">
      <c r="A962" s="75"/>
      <c r="B962" s="485"/>
      <c r="C962" s="75"/>
      <c r="D962" s="485"/>
      <c r="E962" s="75"/>
      <c r="F962" s="485"/>
      <c r="G962" s="210"/>
      <c r="H962" s="485"/>
      <c r="I962" s="188"/>
      <c r="J962" s="485"/>
      <c r="K962" s="75"/>
      <c r="L962" s="66"/>
      <c r="M962" s="66"/>
      <c r="N962" s="66"/>
      <c r="O962" s="66"/>
      <c r="P962" s="66"/>
      <c r="Q962" s="66"/>
      <c r="R962" s="66"/>
      <c r="S962" s="66"/>
      <c r="T962" s="66"/>
      <c r="U962" s="66"/>
      <c r="V962" s="66"/>
      <c r="W962" s="66"/>
      <c r="X962" s="66"/>
    </row>
    <row r="963">
      <c r="A963" s="75"/>
      <c r="B963" s="485"/>
      <c r="C963" s="75"/>
      <c r="D963" s="485"/>
      <c r="E963" s="75"/>
      <c r="F963" s="485"/>
      <c r="G963" s="210"/>
      <c r="H963" s="485"/>
      <c r="I963" s="188"/>
      <c r="J963" s="485"/>
      <c r="K963" s="75"/>
      <c r="L963" s="66"/>
      <c r="M963" s="66"/>
      <c r="N963" s="66"/>
      <c r="O963" s="66"/>
      <c r="P963" s="66"/>
      <c r="Q963" s="66"/>
      <c r="R963" s="66"/>
      <c r="S963" s="66"/>
      <c r="T963" s="66"/>
      <c r="U963" s="66"/>
      <c r="V963" s="66"/>
      <c r="W963" s="66"/>
      <c r="X963" s="66"/>
    </row>
    <row r="964">
      <c r="A964" s="75"/>
      <c r="B964" s="485"/>
      <c r="C964" s="75"/>
      <c r="D964" s="485"/>
      <c r="E964" s="75"/>
      <c r="F964" s="485"/>
      <c r="G964" s="210"/>
      <c r="H964" s="485"/>
      <c r="I964" s="188"/>
      <c r="J964" s="485"/>
      <c r="K964" s="75"/>
      <c r="L964" s="66"/>
      <c r="M964" s="66"/>
      <c r="N964" s="66"/>
      <c r="O964" s="66"/>
      <c r="P964" s="66"/>
      <c r="Q964" s="66"/>
      <c r="R964" s="66"/>
      <c r="S964" s="66"/>
      <c r="T964" s="66"/>
      <c r="U964" s="66"/>
      <c r="V964" s="66"/>
      <c r="W964" s="66"/>
      <c r="X964" s="66"/>
    </row>
    <row r="965">
      <c r="A965" s="75"/>
      <c r="B965" s="485"/>
      <c r="C965" s="75"/>
      <c r="D965" s="485"/>
      <c r="E965" s="75"/>
      <c r="F965" s="485"/>
      <c r="G965" s="210"/>
      <c r="H965" s="485"/>
      <c r="I965" s="188"/>
      <c r="J965" s="485"/>
      <c r="K965" s="75"/>
      <c r="L965" s="66"/>
      <c r="M965" s="66"/>
      <c r="N965" s="66"/>
      <c r="O965" s="66"/>
      <c r="P965" s="66"/>
      <c r="Q965" s="66"/>
      <c r="R965" s="66"/>
      <c r="S965" s="66"/>
      <c r="T965" s="66"/>
      <c r="U965" s="66"/>
      <c r="V965" s="66"/>
      <c r="W965" s="66"/>
      <c r="X965" s="66"/>
    </row>
    <row r="966">
      <c r="A966" s="75"/>
      <c r="B966" s="485"/>
      <c r="C966" s="75"/>
      <c r="D966" s="485"/>
      <c r="E966" s="75"/>
      <c r="F966" s="485"/>
      <c r="G966" s="210"/>
      <c r="H966" s="485"/>
      <c r="I966" s="188"/>
      <c r="J966" s="485"/>
      <c r="K966" s="75"/>
      <c r="L966" s="66"/>
      <c r="M966" s="66"/>
      <c r="N966" s="66"/>
      <c r="O966" s="66"/>
      <c r="P966" s="66"/>
      <c r="Q966" s="66"/>
      <c r="R966" s="66"/>
      <c r="S966" s="66"/>
      <c r="T966" s="66"/>
      <c r="U966" s="66"/>
      <c r="V966" s="66"/>
      <c r="W966" s="66"/>
      <c r="X966" s="66"/>
    </row>
    <row r="967">
      <c r="A967" s="75"/>
      <c r="B967" s="485"/>
      <c r="C967" s="75"/>
      <c r="D967" s="485"/>
      <c r="E967" s="75"/>
      <c r="F967" s="485"/>
      <c r="G967" s="210"/>
      <c r="H967" s="485"/>
      <c r="I967" s="188"/>
      <c r="J967" s="485"/>
      <c r="K967" s="75"/>
      <c r="L967" s="66"/>
      <c r="M967" s="66"/>
      <c r="N967" s="66"/>
      <c r="O967" s="66"/>
      <c r="P967" s="66"/>
      <c r="Q967" s="66"/>
      <c r="R967" s="66"/>
      <c r="S967" s="66"/>
      <c r="T967" s="66"/>
      <c r="U967" s="66"/>
      <c r="V967" s="66"/>
      <c r="W967" s="66"/>
      <c r="X967" s="66"/>
    </row>
    <row r="968">
      <c r="A968" s="75"/>
      <c r="B968" s="485"/>
      <c r="C968" s="75"/>
      <c r="D968" s="485"/>
      <c r="E968" s="75"/>
      <c r="F968" s="485"/>
      <c r="G968" s="210"/>
      <c r="H968" s="485"/>
      <c r="I968" s="188"/>
      <c r="J968" s="485"/>
      <c r="K968" s="75"/>
      <c r="L968" s="66"/>
      <c r="M968" s="66"/>
      <c r="N968" s="66"/>
      <c r="O968" s="66"/>
      <c r="P968" s="66"/>
      <c r="Q968" s="66"/>
      <c r="R968" s="66"/>
      <c r="S968" s="66"/>
      <c r="T968" s="66"/>
      <c r="U968" s="66"/>
      <c r="V968" s="66"/>
      <c r="W968" s="66"/>
      <c r="X968" s="66"/>
    </row>
    <row r="969">
      <c r="A969" s="75"/>
      <c r="B969" s="485"/>
      <c r="C969" s="75"/>
      <c r="D969" s="485"/>
      <c r="E969" s="75"/>
      <c r="F969" s="485"/>
      <c r="G969" s="210"/>
      <c r="H969" s="485"/>
      <c r="I969" s="188"/>
      <c r="J969" s="485"/>
      <c r="K969" s="75"/>
      <c r="L969" s="66"/>
      <c r="M969" s="66"/>
      <c r="N969" s="66"/>
      <c r="O969" s="66"/>
      <c r="P969" s="66"/>
      <c r="Q969" s="66"/>
      <c r="R969" s="66"/>
      <c r="S969" s="66"/>
      <c r="T969" s="66"/>
      <c r="U969" s="66"/>
      <c r="V969" s="66"/>
      <c r="W969" s="66"/>
      <c r="X969" s="66"/>
    </row>
    <row r="970">
      <c r="A970" s="75"/>
      <c r="B970" s="485"/>
      <c r="C970" s="75"/>
      <c r="D970" s="485"/>
      <c r="E970" s="75"/>
      <c r="F970" s="485"/>
      <c r="G970" s="210"/>
      <c r="H970" s="485"/>
      <c r="I970" s="188"/>
      <c r="J970" s="485"/>
      <c r="K970" s="75"/>
      <c r="L970" s="66"/>
      <c r="M970" s="66"/>
      <c r="N970" s="66"/>
      <c r="O970" s="66"/>
      <c r="P970" s="66"/>
      <c r="Q970" s="66"/>
      <c r="R970" s="66"/>
      <c r="S970" s="66"/>
      <c r="T970" s="66"/>
      <c r="U970" s="66"/>
      <c r="V970" s="66"/>
      <c r="W970" s="66"/>
      <c r="X970" s="66"/>
    </row>
    <row r="971">
      <c r="A971" s="75"/>
      <c r="B971" s="485"/>
      <c r="C971" s="75"/>
      <c r="D971" s="485"/>
      <c r="E971" s="75"/>
      <c r="F971" s="485"/>
      <c r="G971" s="210"/>
      <c r="H971" s="485"/>
      <c r="I971" s="188"/>
      <c r="J971" s="485"/>
      <c r="K971" s="75"/>
      <c r="L971" s="66"/>
      <c r="M971" s="66"/>
      <c r="N971" s="66"/>
      <c r="O971" s="66"/>
      <c r="P971" s="66"/>
      <c r="Q971" s="66"/>
      <c r="R971" s="66"/>
      <c r="S971" s="66"/>
      <c r="T971" s="66"/>
      <c r="U971" s="66"/>
      <c r="V971" s="66"/>
      <c r="W971" s="66"/>
      <c r="X971" s="66"/>
    </row>
    <row r="972">
      <c r="A972" s="75"/>
      <c r="B972" s="485"/>
      <c r="C972" s="75"/>
      <c r="D972" s="485"/>
      <c r="E972" s="75"/>
      <c r="F972" s="485"/>
      <c r="G972" s="210"/>
      <c r="H972" s="485"/>
      <c r="I972" s="188"/>
      <c r="J972" s="485"/>
      <c r="K972" s="75"/>
      <c r="L972" s="66"/>
      <c r="M972" s="66"/>
      <c r="N972" s="66"/>
      <c r="O972" s="66"/>
      <c r="P972" s="66"/>
      <c r="Q972" s="66"/>
      <c r="R972" s="66"/>
      <c r="S972" s="66"/>
      <c r="T972" s="66"/>
      <c r="U972" s="66"/>
      <c r="V972" s="66"/>
      <c r="W972" s="66"/>
      <c r="X972" s="66"/>
    </row>
    <row r="973">
      <c r="A973" s="75"/>
      <c r="B973" s="485"/>
      <c r="C973" s="75"/>
      <c r="D973" s="485"/>
      <c r="E973" s="75"/>
      <c r="F973" s="485"/>
      <c r="G973" s="210"/>
      <c r="H973" s="485"/>
      <c r="I973" s="188"/>
      <c r="J973" s="485"/>
      <c r="K973" s="75"/>
      <c r="L973" s="66"/>
      <c r="M973" s="66"/>
      <c r="N973" s="66"/>
      <c r="O973" s="66"/>
      <c r="P973" s="66"/>
      <c r="Q973" s="66"/>
      <c r="R973" s="66"/>
      <c r="S973" s="66"/>
      <c r="T973" s="66"/>
      <c r="U973" s="66"/>
      <c r="V973" s="66"/>
      <c r="W973" s="66"/>
      <c r="X973" s="66"/>
    </row>
    <row r="974">
      <c r="A974" s="75"/>
      <c r="B974" s="485"/>
      <c r="C974" s="75"/>
      <c r="D974" s="485"/>
      <c r="E974" s="75"/>
      <c r="F974" s="485"/>
      <c r="G974" s="210"/>
      <c r="H974" s="485"/>
      <c r="I974" s="188"/>
      <c r="J974" s="485"/>
      <c r="K974" s="75"/>
      <c r="L974" s="66"/>
      <c r="M974" s="66"/>
      <c r="N974" s="66"/>
      <c r="O974" s="66"/>
      <c r="P974" s="66"/>
      <c r="Q974" s="66"/>
      <c r="R974" s="66"/>
      <c r="S974" s="66"/>
      <c r="T974" s="66"/>
      <c r="U974" s="66"/>
      <c r="V974" s="66"/>
      <c r="W974" s="66"/>
      <c r="X974" s="66"/>
    </row>
    <row r="975">
      <c r="A975" s="75"/>
      <c r="B975" s="485"/>
      <c r="C975" s="75"/>
      <c r="D975" s="485"/>
      <c r="E975" s="75"/>
      <c r="F975" s="485"/>
      <c r="G975" s="210"/>
      <c r="H975" s="485"/>
      <c r="I975" s="188"/>
      <c r="J975" s="485"/>
      <c r="K975" s="75"/>
      <c r="L975" s="66"/>
      <c r="M975" s="66"/>
      <c r="N975" s="66"/>
      <c r="O975" s="66"/>
      <c r="P975" s="66"/>
      <c r="Q975" s="66"/>
      <c r="R975" s="66"/>
      <c r="S975" s="66"/>
      <c r="T975" s="66"/>
      <c r="U975" s="66"/>
      <c r="V975" s="66"/>
      <c r="W975" s="66"/>
      <c r="X975" s="66"/>
    </row>
    <row r="976">
      <c r="A976" s="75"/>
      <c r="B976" s="485"/>
      <c r="C976" s="75"/>
      <c r="D976" s="485"/>
      <c r="E976" s="75"/>
      <c r="F976" s="485"/>
      <c r="G976" s="210"/>
      <c r="H976" s="485"/>
      <c r="I976" s="188"/>
      <c r="J976" s="485"/>
      <c r="K976" s="75"/>
      <c r="L976" s="66"/>
      <c r="M976" s="66"/>
      <c r="N976" s="66"/>
      <c r="O976" s="66"/>
      <c r="P976" s="66"/>
      <c r="Q976" s="66"/>
      <c r="R976" s="66"/>
      <c r="S976" s="66"/>
      <c r="T976" s="66"/>
      <c r="U976" s="66"/>
      <c r="V976" s="66"/>
      <c r="W976" s="66"/>
      <c r="X976" s="66"/>
    </row>
    <row r="977">
      <c r="A977" s="75"/>
      <c r="B977" s="485"/>
      <c r="C977" s="75"/>
      <c r="D977" s="485"/>
      <c r="E977" s="75"/>
      <c r="F977" s="485"/>
      <c r="G977" s="210"/>
      <c r="H977" s="485"/>
      <c r="I977" s="188"/>
      <c r="J977" s="485"/>
      <c r="K977" s="75"/>
      <c r="L977" s="66"/>
      <c r="M977" s="66"/>
      <c r="N977" s="66"/>
      <c r="O977" s="66"/>
      <c r="P977" s="66"/>
      <c r="Q977" s="66"/>
      <c r="R977" s="66"/>
      <c r="S977" s="66"/>
      <c r="T977" s="66"/>
      <c r="U977" s="66"/>
      <c r="V977" s="66"/>
      <c r="W977" s="66"/>
      <c r="X977" s="66"/>
    </row>
    <row r="978">
      <c r="A978" s="75"/>
      <c r="B978" s="485"/>
      <c r="C978" s="75"/>
      <c r="D978" s="485"/>
      <c r="E978" s="75"/>
      <c r="F978" s="485"/>
      <c r="G978" s="210"/>
      <c r="H978" s="485"/>
      <c r="I978" s="188"/>
      <c r="J978" s="485"/>
      <c r="K978" s="75"/>
      <c r="L978" s="66"/>
      <c r="M978" s="66"/>
      <c r="N978" s="66"/>
      <c r="O978" s="66"/>
      <c r="P978" s="66"/>
      <c r="Q978" s="66"/>
      <c r="R978" s="66"/>
      <c r="S978" s="66"/>
      <c r="T978" s="66"/>
      <c r="U978" s="66"/>
      <c r="V978" s="66"/>
      <c r="W978" s="66"/>
      <c r="X978" s="66"/>
    </row>
    <row r="979">
      <c r="A979" s="75"/>
      <c r="B979" s="485"/>
      <c r="C979" s="75"/>
      <c r="D979" s="485"/>
      <c r="E979" s="75"/>
      <c r="F979" s="485"/>
      <c r="G979" s="210"/>
      <c r="H979" s="485"/>
      <c r="I979" s="188"/>
      <c r="J979" s="485"/>
      <c r="K979" s="75"/>
      <c r="L979" s="66"/>
      <c r="M979" s="66"/>
      <c r="N979" s="66"/>
      <c r="O979" s="66"/>
      <c r="P979" s="66"/>
      <c r="Q979" s="66"/>
      <c r="R979" s="66"/>
      <c r="S979" s="66"/>
      <c r="T979" s="66"/>
      <c r="U979" s="66"/>
      <c r="V979" s="66"/>
      <c r="W979" s="66"/>
      <c r="X979" s="66"/>
    </row>
    <row r="980">
      <c r="A980" s="75"/>
      <c r="B980" s="485"/>
      <c r="C980" s="75"/>
      <c r="D980" s="485"/>
      <c r="E980" s="75"/>
      <c r="F980" s="485"/>
      <c r="G980" s="210"/>
      <c r="H980" s="485"/>
      <c r="I980" s="188"/>
      <c r="J980" s="485"/>
      <c r="K980" s="75"/>
      <c r="L980" s="66"/>
      <c r="M980" s="66"/>
      <c r="N980" s="66"/>
      <c r="O980" s="66"/>
      <c r="P980" s="66"/>
      <c r="Q980" s="66"/>
      <c r="R980" s="66"/>
      <c r="S980" s="66"/>
      <c r="T980" s="66"/>
      <c r="U980" s="66"/>
      <c r="V980" s="66"/>
      <c r="W980" s="66"/>
      <c r="X980" s="66"/>
    </row>
    <row r="981">
      <c r="A981" s="75"/>
      <c r="B981" s="485"/>
      <c r="C981" s="75"/>
      <c r="D981" s="485"/>
      <c r="E981" s="75"/>
      <c r="F981" s="485"/>
      <c r="G981" s="210"/>
      <c r="H981" s="485"/>
      <c r="I981" s="188"/>
      <c r="J981" s="485"/>
      <c r="K981" s="75"/>
      <c r="L981" s="66"/>
      <c r="M981" s="66"/>
      <c r="N981" s="66"/>
      <c r="O981" s="66"/>
      <c r="P981" s="66"/>
      <c r="Q981" s="66"/>
      <c r="R981" s="66"/>
      <c r="S981" s="66"/>
      <c r="T981" s="66"/>
      <c r="U981" s="66"/>
      <c r="V981" s="66"/>
      <c r="W981" s="66"/>
      <c r="X981" s="66"/>
    </row>
    <row r="982">
      <c r="A982" s="75"/>
      <c r="B982" s="485"/>
      <c r="C982" s="75"/>
      <c r="D982" s="485"/>
      <c r="E982" s="75"/>
      <c r="F982" s="485"/>
      <c r="G982" s="210"/>
      <c r="H982" s="485"/>
      <c r="I982" s="188"/>
      <c r="J982" s="485"/>
      <c r="K982" s="75"/>
      <c r="L982" s="66"/>
      <c r="M982" s="66"/>
      <c r="N982" s="66"/>
      <c r="O982" s="66"/>
      <c r="P982" s="66"/>
      <c r="Q982" s="66"/>
      <c r="R982" s="66"/>
      <c r="S982" s="66"/>
      <c r="T982" s="66"/>
      <c r="U982" s="66"/>
      <c r="V982" s="66"/>
      <c r="W982" s="66"/>
      <c r="X982" s="66"/>
    </row>
    <row r="983">
      <c r="A983" s="75"/>
      <c r="B983" s="485"/>
      <c r="C983" s="75"/>
      <c r="D983" s="485"/>
      <c r="E983" s="75"/>
      <c r="F983" s="485"/>
      <c r="G983" s="210"/>
      <c r="H983" s="485"/>
      <c r="I983" s="188"/>
      <c r="J983" s="485"/>
      <c r="K983" s="75"/>
      <c r="L983" s="66"/>
      <c r="M983" s="66"/>
      <c r="N983" s="66"/>
      <c r="O983" s="66"/>
      <c r="P983" s="66"/>
      <c r="Q983" s="66"/>
      <c r="R983" s="66"/>
      <c r="S983" s="66"/>
      <c r="T983" s="66"/>
      <c r="U983" s="66"/>
      <c r="V983" s="66"/>
      <c r="W983" s="66"/>
      <c r="X983" s="66"/>
    </row>
    <row r="984">
      <c r="A984" s="75"/>
      <c r="B984" s="485"/>
      <c r="C984" s="75"/>
      <c r="D984" s="485"/>
      <c r="E984" s="75"/>
      <c r="F984" s="485"/>
      <c r="G984" s="210"/>
      <c r="H984" s="485"/>
      <c r="I984" s="188"/>
      <c r="J984" s="485"/>
      <c r="K984" s="75"/>
      <c r="L984" s="66"/>
      <c r="M984" s="66"/>
      <c r="N984" s="66"/>
      <c r="O984" s="66"/>
      <c r="P984" s="66"/>
      <c r="Q984" s="66"/>
      <c r="R984" s="66"/>
      <c r="S984" s="66"/>
      <c r="T984" s="66"/>
      <c r="U984" s="66"/>
      <c r="V984" s="66"/>
      <c r="W984" s="66"/>
      <c r="X984" s="66"/>
    </row>
    <row r="985">
      <c r="A985" s="75"/>
      <c r="B985" s="485"/>
      <c r="C985" s="75"/>
      <c r="D985" s="485"/>
      <c r="E985" s="75"/>
      <c r="F985" s="485"/>
      <c r="G985" s="210"/>
      <c r="H985" s="485"/>
      <c r="I985" s="188"/>
      <c r="J985" s="485"/>
      <c r="K985" s="75"/>
      <c r="L985" s="66"/>
      <c r="M985" s="66"/>
      <c r="N985" s="66"/>
      <c r="O985" s="66"/>
      <c r="P985" s="66"/>
      <c r="Q985" s="66"/>
      <c r="R985" s="66"/>
      <c r="S985" s="66"/>
      <c r="T985" s="66"/>
      <c r="U985" s="66"/>
      <c r="V985" s="66"/>
      <c r="W985" s="66"/>
      <c r="X985" s="66"/>
    </row>
    <row r="986">
      <c r="A986" s="75"/>
      <c r="B986" s="485"/>
      <c r="C986" s="75"/>
      <c r="D986" s="485"/>
      <c r="E986" s="75"/>
      <c r="F986" s="485"/>
      <c r="G986" s="210"/>
      <c r="H986" s="485"/>
      <c r="I986" s="188"/>
      <c r="J986" s="485"/>
      <c r="K986" s="75"/>
      <c r="L986" s="66"/>
      <c r="M986" s="66"/>
      <c r="N986" s="66"/>
      <c r="O986" s="66"/>
      <c r="P986" s="66"/>
      <c r="Q986" s="66"/>
      <c r="R986" s="66"/>
      <c r="S986" s="66"/>
      <c r="T986" s="66"/>
      <c r="U986" s="66"/>
      <c r="V986" s="66"/>
      <c r="W986" s="66"/>
      <c r="X986" s="66"/>
    </row>
    <row r="987">
      <c r="A987" s="75"/>
      <c r="B987" s="485"/>
      <c r="C987" s="75"/>
      <c r="D987" s="485"/>
      <c r="E987" s="75"/>
      <c r="F987" s="485"/>
      <c r="G987" s="210"/>
      <c r="H987" s="485"/>
      <c r="I987" s="188"/>
      <c r="J987" s="485"/>
      <c r="K987" s="75"/>
      <c r="L987" s="66"/>
      <c r="M987" s="66"/>
      <c r="N987" s="66"/>
      <c r="O987" s="66"/>
      <c r="P987" s="66"/>
      <c r="Q987" s="66"/>
      <c r="R987" s="66"/>
      <c r="S987" s="66"/>
      <c r="T987" s="66"/>
      <c r="U987" s="66"/>
      <c r="V987" s="66"/>
      <c r="W987" s="66"/>
      <c r="X987" s="66"/>
    </row>
    <row r="988">
      <c r="A988" s="75"/>
      <c r="B988" s="485"/>
      <c r="C988" s="75"/>
      <c r="D988" s="485"/>
      <c r="E988" s="75"/>
      <c r="F988" s="485"/>
      <c r="G988" s="210"/>
      <c r="H988" s="485"/>
      <c r="I988" s="188"/>
      <c r="J988" s="485"/>
      <c r="K988" s="75"/>
      <c r="L988" s="66"/>
      <c r="M988" s="66"/>
      <c r="N988" s="66"/>
      <c r="O988" s="66"/>
      <c r="P988" s="66"/>
      <c r="Q988" s="66"/>
      <c r="R988" s="66"/>
      <c r="S988" s="66"/>
      <c r="T988" s="66"/>
      <c r="U988" s="66"/>
      <c r="V988" s="66"/>
      <c r="W988" s="66"/>
      <c r="X988" s="66"/>
    </row>
    <row r="989">
      <c r="A989" s="75"/>
      <c r="B989" s="485"/>
      <c r="C989" s="75"/>
      <c r="D989" s="485"/>
      <c r="E989" s="75"/>
      <c r="F989" s="485"/>
      <c r="G989" s="210"/>
      <c r="H989" s="485"/>
      <c r="I989" s="188"/>
      <c r="J989" s="485"/>
      <c r="K989" s="75"/>
      <c r="L989" s="66"/>
      <c r="M989" s="66"/>
      <c r="N989" s="66"/>
      <c r="O989" s="66"/>
      <c r="P989" s="66"/>
      <c r="Q989" s="66"/>
      <c r="R989" s="66"/>
      <c r="S989" s="66"/>
      <c r="T989" s="66"/>
      <c r="U989" s="66"/>
      <c r="V989" s="66"/>
      <c r="W989" s="66"/>
      <c r="X989" s="66"/>
    </row>
    <row r="990">
      <c r="A990" s="75"/>
      <c r="B990" s="485"/>
      <c r="C990" s="75"/>
      <c r="D990" s="485"/>
      <c r="E990" s="75"/>
      <c r="F990" s="485"/>
      <c r="G990" s="210"/>
      <c r="H990" s="485"/>
      <c r="I990" s="188"/>
      <c r="J990" s="485"/>
      <c r="K990" s="75"/>
      <c r="L990" s="66"/>
      <c r="M990" s="66"/>
      <c r="N990" s="66"/>
      <c r="O990" s="66"/>
      <c r="P990" s="66"/>
      <c r="Q990" s="66"/>
      <c r="R990" s="66"/>
      <c r="S990" s="66"/>
      <c r="T990" s="66"/>
      <c r="U990" s="66"/>
      <c r="V990" s="66"/>
      <c r="W990" s="66"/>
      <c r="X990" s="66"/>
    </row>
    <row r="991">
      <c r="A991" s="75"/>
      <c r="B991" s="485"/>
      <c r="C991" s="75"/>
      <c r="D991" s="485"/>
      <c r="E991" s="75"/>
      <c r="F991" s="485"/>
      <c r="G991" s="210"/>
      <c r="H991" s="485"/>
      <c r="I991" s="188"/>
      <c r="J991" s="485"/>
      <c r="K991" s="75"/>
      <c r="L991" s="66"/>
      <c r="M991" s="66"/>
      <c r="N991" s="66"/>
      <c r="O991" s="66"/>
      <c r="P991" s="66"/>
      <c r="Q991" s="66"/>
      <c r="R991" s="66"/>
      <c r="S991" s="66"/>
      <c r="T991" s="66"/>
      <c r="U991" s="66"/>
      <c r="V991" s="66"/>
      <c r="W991" s="66"/>
      <c r="X991" s="66"/>
    </row>
    <row r="992">
      <c r="A992" s="75"/>
      <c r="B992" s="485"/>
      <c r="C992" s="75"/>
      <c r="D992" s="485"/>
      <c r="E992" s="75"/>
      <c r="F992" s="485"/>
      <c r="G992" s="210"/>
      <c r="H992" s="485"/>
      <c r="I992" s="188"/>
      <c r="J992" s="485"/>
      <c r="K992" s="75"/>
      <c r="L992" s="66"/>
      <c r="M992" s="66"/>
      <c r="N992" s="66"/>
      <c r="O992" s="66"/>
      <c r="P992" s="66"/>
      <c r="Q992" s="66"/>
      <c r="R992" s="66"/>
      <c r="S992" s="66"/>
      <c r="T992" s="66"/>
      <c r="U992" s="66"/>
      <c r="V992" s="66"/>
      <c r="W992" s="66"/>
      <c r="X992" s="66"/>
    </row>
    <row r="993">
      <c r="A993" s="75"/>
      <c r="B993" s="485"/>
      <c r="C993" s="75"/>
      <c r="D993" s="485"/>
      <c r="E993" s="75"/>
      <c r="F993" s="485"/>
      <c r="G993" s="210"/>
      <c r="H993" s="485"/>
      <c r="I993" s="188"/>
      <c r="J993" s="485"/>
      <c r="K993" s="75"/>
      <c r="L993" s="66"/>
      <c r="M993" s="66"/>
      <c r="N993" s="66"/>
      <c r="O993" s="66"/>
      <c r="P993" s="66"/>
      <c r="Q993" s="66"/>
      <c r="R993" s="66"/>
      <c r="S993" s="66"/>
      <c r="T993" s="66"/>
      <c r="U993" s="66"/>
      <c r="V993" s="66"/>
      <c r="W993" s="66"/>
      <c r="X993" s="66"/>
    </row>
    <row r="994">
      <c r="A994" s="75"/>
      <c r="B994" s="485"/>
      <c r="C994" s="75"/>
      <c r="D994" s="485"/>
      <c r="E994" s="75"/>
      <c r="F994" s="485"/>
      <c r="G994" s="210"/>
      <c r="H994" s="485"/>
      <c r="I994" s="188"/>
      <c r="J994" s="485"/>
      <c r="K994" s="75"/>
      <c r="L994" s="66"/>
      <c r="M994" s="66"/>
      <c r="N994" s="66"/>
      <c r="O994" s="66"/>
      <c r="P994" s="66"/>
      <c r="Q994" s="66"/>
      <c r="R994" s="66"/>
      <c r="S994" s="66"/>
      <c r="T994" s="66"/>
      <c r="U994" s="66"/>
      <c r="V994" s="66"/>
      <c r="W994" s="66"/>
      <c r="X994" s="66"/>
    </row>
    <row r="995">
      <c r="A995" s="75"/>
      <c r="B995" s="485"/>
      <c r="C995" s="75"/>
      <c r="D995" s="485"/>
      <c r="E995" s="75"/>
      <c r="F995" s="485"/>
      <c r="G995" s="210"/>
      <c r="H995" s="485"/>
      <c r="I995" s="188"/>
      <c r="J995" s="485"/>
      <c r="K995" s="75"/>
      <c r="L995" s="66"/>
      <c r="M995" s="66"/>
      <c r="N995" s="66"/>
      <c r="O995" s="66"/>
      <c r="P995" s="66"/>
      <c r="Q995" s="66"/>
      <c r="R995" s="66"/>
      <c r="S995" s="66"/>
      <c r="T995" s="66"/>
      <c r="U995" s="66"/>
      <c r="V995" s="66"/>
      <c r="W995" s="66"/>
      <c r="X995" s="66"/>
    </row>
    <row r="996">
      <c r="A996" s="75"/>
      <c r="B996" s="485"/>
      <c r="C996" s="75"/>
      <c r="D996" s="485"/>
      <c r="E996" s="75"/>
      <c r="F996" s="485"/>
      <c r="G996" s="210"/>
      <c r="H996" s="485"/>
      <c r="I996" s="188"/>
      <c r="J996" s="485"/>
      <c r="K996" s="75"/>
      <c r="L996" s="66"/>
      <c r="M996" s="66"/>
      <c r="N996" s="66"/>
      <c r="O996" s="66"/>
      <c r="P996" s="66"/>
      <c r="Q996" s="66"/>
      <c r="R996" s="66"/>
      <c r="S996" s="66"/>
      <c r="T996" s="66"/>
      <c r="U996" s="66"/>
      <c r="V996" s="66"/>
      <c r="W996" s="66"/>
      <c r="X996" s="66"/>
    </row>
    <row r="997">
      <c r="A997" s="75"/>
      <c r="B997" s="485"/>
      <c r="C997" s="75"/>
      <c r="D997" s="485"/>
      <c r="E997" s="75"/>
      <c r="F997" s="485"/>
      <c r="G997" s="210"/>
      <c r="H997" s="485"/>
      <c r="I997" s="188"/>
      <c r="J997" s="485"/>
      <c r="K997" s="75"/>
      <c r="L997" s="66"/>
      <c r="M997" s="66"/>
      <c r="N997" s="66"/>
      <c r="O997" s="66"/>
      <c r="P997" s="66"/>
      <c r="Q997" s="66"/>
      <c r="R997" s="66"/>
      <c r="S997" s="66"/>
      <c r="T997" s="66"/>
      <c r="U997" s="66"/>
      <c r="V997" s="66"/>
      <c r="W997" s="66"/>
      <c r="X997" s="66"/>
    </row>
    <row r="998">
      <c r="A998" s="75"/>
      <c r="B998" s="485"/>
      <c r="C998" s="75"/>
      <c r="D998" s="485"/>
      <c r="E998" s="75"/>
      <c r="F998" s="485"/>
      <c r="G998" s="210"/>
      <c r="H998" s="485"/>
      <c r="I998" s="188"/>
      <c r="J998" s="485"/>
      <c r="K998" s="75"/>
      <c r="L998" s="66"/>
      <c r="M998" s="66"/>
      <c r="N998" s="66"/>
      <c r="O998" s="66"/>
      <c r="P998" s="66"/>
      <c r="Q998" s="66"/>
      <c r="R998" s="66"/>
      <c r="S998" s="66"/>
      <c r="T998" s="66"/>
      <c r="U998" s="66"/>
      <c r="V998" s="66"/>
      <c r="W998" s="66"/>
      <c r="X998" s="66"/>
    </row>
    <row r="999">
      <c r="A999" s="75"/>
      <c r="B999" s="485"/>
      <c r="C999" s="75"/>
      <c r="D999" s="485"/>
      <c r="E999" s="75"/>
      <c r="F999" s="485"/>
      <c r="G999" s="210"/>
      <c r="H999" s="485"/>
      <c r="I999" s="188"/>
      <c r="J999" s="485"/>
      <c r="K999" s="75"/>
      <c r="L999" s="66"/>
      <c r="M999" s="66"/>
      <c r="N999" s="66"/>
      <c r="O999" s="66"/>
      <c r="P999" s="66"/>
      <c r="Q999" s="66"/>
      <c r="R999" s="66"/>
      <c r="S999" s="66"/>
      <c r="T999" s="66"/>
      <c r="U999" s="66"/>
      <c r="V999" s="66"/>
      <c r="W999" s="66"/>
      <c r="X999" s="66"/>
    </row>
    <row r="1000">
      <c r="A1000" s="75"/>
      <c r="B1000" s="485"/>
      <c r="C1000" s="75"/>
      <c r="D1000" s="485"/>
      <c r="E1000" s="75"/>
      <c r="F1000" s="485"/>
      <c r="G1000" s="210"/>
      <c r="H1000" s="485"/>
      <c r="I1000" s="188"/>
      <c r="J1000" s="485"/>
      <c r="K1000" s="75"/>
      <c r="L1000" s="66"/>
      <c r="M1000" s="66"/>
      <c r="N1000" s="66"/>
      <c r="O1000" s="66"/>
      <c r="P1000" s="66"/>
      <c r="Q1000" s="66"/>
      <c r="R1000" s="66"/>
      <c r="S1000" s="66"/>
      <c r="T1000" s="66"/>
      <c r="U1000" s="66"/>
      <c r="V1000" s="66"/>
      <c r="W1000" s="66"/>
      <c r="X1000" s="66"/>
    </row>
    <row r="1001">
      <c r="A1001" s="75"/>
      <c r="B1001" s="485"/>
      <c r="C1001" s="75"/>
      <c r="D1001" s="485"/>
      <c r="E1001" s="75"/>
      <c r="F1001" s="485"/>
      <c r="G1001" s="210"/>
      <c r="H1001" s="485"/>
      <c r="I1001" s="188"/>
      <c r="J1001" s="485"/>
      <c r="K1001" s="75"/>
      <c r="L1001" s="66"/>
      <c r="M1001" s="66"/>
      <c r="N1001" s="66"/>
      <c r="O1001" s="66"/>
      <c r="P1001" s="66"/>
      <c r="Q1001" s="66"/>
      <c r="R1001" s="66"/>
      <c r="S1001" s="66"/>
      <c r="T1001" s="66"/>
      <c r="U1001" s="66"/>
      <c r="V1001" s="66"/>
      <c r="W1001" s="66"/>
      <c r="X1001" s="66"/>
    </row>
    <row r="1002">
      <c r="A1002" s="75"/>
      <c r="B1002" s="485"/>
      <c r="C1002" s="75"/>
      <c r="D1002" s="485"/>
      <c r="E1002" s="75"/>
      <c r="F1002" s="485"/>
      <c r="G1002" s="210"/>
      <c r="H1002" s="485"/>
      <c r="I1002" s="188"/>
      <c r="J1002" s="485"/>
      <c r="K1002" s="75"/>
      <c r="L1002" s="66"/>
      <c r="M1002" s="66"/>
      <c r="N1002" s="66"/>
      <c r="O1002" s="66"/>
      <c r="P1002" s="66"/>
      <c r="Q1002" s="66"/>
      <c r="R1002" s="66"/>
      <c r="S1002" s="66"/>
      <c r="T1002" s="66"/>
      <c r="U1002" s="66"/>
      <c r="V1002" s="66"/>
      <c r="W1002" s="66"/>
      <c r="X1002" s="66"/>
    </row>
    <row r="1003">
      <c r="A1003" s="75"/>
      <c r="B1003" s="485"/>
      <c r="C1003" s="75"/>
      <c r="D1003" s="485"/>
      <c r="E1003" s="75"/>
      <c r="F1003" s="485"/>
      <c r="G1003" s="210"/>
      <c r="H1003" s="485"/>
      <c r="I1003" s="188"/>
      <c r="J1003" s="485"/>
      <c r="K1003" s="75"/>
      <c r="L1003" s="66"/>
      <c r="M1003" s="66"/>
      <c r="N1003" s="66"/>
      <c r="O1003" s="66"/>
      <c r="P1003" s="66"/>
      <c r="Q1003" s="66"/>
      <c r="R1003" s="66"/>
      <c r="S1003" s="66"/>
      <c r="T1003" s="66"/>
      <c r="U1003" s="66"/>
      <c r="V1003" s="66"/>
      <c r="W1003" s="66"/>
      <c r="X1003" s="66"/>
    </row>
    <row r="1004">
      <c r="A1004" s="75"/>
      <c r="B1004" s="485"/>
      <c r="C1004" s="75"/>
      <c r="D1004" s="485"/>
      <c r="E1004" s="75"/>
      <c r="F1004" s="485"/>
      <c r="G1004" s="210"/>
      <c r="H1004" s="485"/>
      <c r="I1004" s="188"/>
      <c r="J1004" s="485"/>
      <c r="K1004" s="75"/>
      <c r="L1004" s="66"/>
      <c r="M1004" s="66"/>
      <c r="N1004" s="66"/>
      <c r="O1004" s="66"/>
      <c r="P1004" s="66"/>
      <c r="Q1004" s="66"/>
      <c r="R1004" s="66"/>
      <c r="S1004" s="66"/>
      <c r="T1004" s="66"/>
      <c r="U1004" s="66"/>
      <c r="V1004" s="66"/>
      <c r="W1004" s="66"/>
      <c r="X1004" s="66"/>
    </row>
    <row r="1005">
      <c r="A1005" s="75"/>
      <c r="B1005" s="485"/>
      <c r="C1005" s="75"/>
      <c r="D1005" s="485"/>
      <c r="E1005" s="75"/>
      <c r="F1005" s="485"/>
      <c r="G1005" s="210"/>
      <c r="H1005" s="485"/>
      <c r="I1005" s="188"/>
      <c r="J1005" s="485"/>
      <c r="K1005" s="75"/>
      <c r="L1005" s="66"/>
      <c r="M1005" s="66"/>
      <c r="N1005" s="66"/>
      <c r="O1005" s="66"/>
      <c r="P1005" s="66"/>
      <c r="Q1005" s="66"/>
      <c r="R1005" s="66"/>
      <c r="S1005" s="66"/>
      <c r="T1005" s="66"/>
      <c r="U1005" s="66"/>
      <c r="V1005" s="66"/>
      <c r="W1005" s="66"/>
      <c r="X1005" s="66"/>
    </row>
    <row r="1006">
      <c r="A1006" s="75"/>
      <c r="B1006" s="485"/>
      <c r="C1006" s="75"/>
      <c r="D1006" s="485"/>
      <c r="E1006" s="75"/>
      <c r="F1006" s="485"/>
      <c r="G1006" s="210"/>
      <c r="H1006" s="485"/>
      <c r="I1006" s="188"/>
      <c r="J1006" s="485"/>
      <c r="K1006" s="75"/>
      <c r="L1006" s="66"/>
      <c r="M1006" s="66"/>
      <c r="N1006" s="66"/>
      <c r="O1006" s="66"/>
      <c r="P1006" s="66"/>
      <c r="Q1006" s="66"/>
      <c r="R1006" s="66"/>
      <c r="S1006" s="66"/>
      <c r="T1006" s="66"/>
      <c r="U1006" s="66"/>
      <c r="V1006" s="66"/>
      <c r="W1006" s="66"/>
      <c r="X1006" s="66"/>
    </row>
    <row r="1007">
      <c r="A1007" s="75"/>
      <c r="B1007" s="485"/>
      <c r="C1007" s="75"/>
      <c r="D1007" s="485"/>
      <c r="E1007" s="75"/>
      <c r="F1007" s="485"/>
      <c r="G1007" s="210"/>
      <c r="H1007" s="485"/>
      <c r="I1007" s="188"/>
      <c r="J1007" s="485"/>
      <c r="K1007" s="75"/>
      <c r="L1007" s="66"/>
      <c r="M1007" s="66"/>
      <c r="N1007" s="66"/>
      <c r="O1007" s="66"/>
      <c r="P1007" s="66"/>
      <c r="Q1007" s="66"/>
      <c r="R1007" s="66"/>
      <c r="S1007" s="66"/>
      <c r="T1007" s="66"/>
      <c r="U1007" s="66"/>
      <c r="V1007" s="66"/>
      <c r="W1007" s="66"/>
      <c r="X1007" s="66"/>
    </row>
    <row r="1008">
      <c r="A1008" s="75"/>
      <c r="B1008" s="485"/>
      <c r="C1008" s="75"/>
      <c r="D1008" s="485"/>
      <c r="E1008" s="75"/>
      <c r="F1008" s="485"/>
      <c r="G1008" s="210"/>
      <c r="H1008" s="485"/>
      <c r="I1008" s="188"/>
      <c r="J1008" s="485"/>
      <c r="K1008" s="75"/>
      <c r="L1008" s="66"/>
      <c r="M1008" s="66"/>
      <c r="N1008" s="66"/>
      <c r="O1008" s="66"/>
      <c r="P1008" s="66"/>
      <c r="Q1008" s="66"/>
      <c r="R1008" s="66"/>
      <c r="S1008" s="66"/>
      <c r="T1008" s="66"/>
      <c r="U1008" s="66"/>
      <c r="V1008" s="66"/>
      <c r="W1008" s="66"/>
      <c r="X1008" s="66"/>
    </row>
    <row r="1009">
      <c r="A1009" s="75"/>
      <c r="B1009" s="485"/>
      <c r="C1009" s="75"/>
      <c r="D1009" s="485"/>
      <c r="E1009" s="75"/>
      <c r="F1009" s="485"/>
      <c r="G1009" s="210"/>
      <c r="H1009" s="485"/>
      <c r="I1009" s="188"/>
      <c r="J1009" s="485"/>
      <c r="K1009" s="75"/>
      <c r="L1009" s="66"/>
      <c r="M1009" s="66"/>
      <c r="N1009" s="66"/>
      <c r="O1009" s="66"/>
      <c r="P1009" s="66"/>
      <c r="Q1009" s="66"/>
      <c r="R1009" s="66"/>
      <c r="S1009" s="66"/>
      <c r="T1009" s="66"/>
      <c r="U1009" s="66"/>
      <c r="V1009" s="66"/>
      <c r="W1009" s="66"/>
      <c r="X1009" s="66"/>
    </row>
    <row r="1010">
      <c r="A1010" s="75"/>
      <c r="B1010" s="485"/>
      <c r="C1010" s="75"/>
      <c r="D1010" s="485"/>
      <c r="E1010" s="75"/>
      <c r="F1010" s="485"/>
      <c r="G1010" s="210"/>
      <c r="H1010" s="485"/>
      <c r="I1010" s="188"/>
      <c r="J1010" s="485"/>
      <c r="K1010" s="75"/>
      <c r="L1010" s="66"/>
      <c r="M1010" s="66"/>
      <c r="N1010" s="66"/>
      <c r="O1010" s="66"/>
      <c r="P1010" s="66"/>
      <c r="Q1010" s="66"/>
      <c r="R1010" s="66"/>
      <c r="S1010" s="66"/>
      <c r="T1010" s="66"/>
      <c r="U1010" s="66"/>
      <c r="V1010" s="66"/>
      <c r="W1010" s="66"/>
      <c r="X1010" s="66"/>
    </row>
    <row r="1011">
      <c r="A1011" s="75"/>
      <c r="B1011" s="485"/>
      <c r="C1011" s="75"/>
      <c r="D1011" s="485"/>
      <c r="E1011" s="75"/>
      <c r="F1011" s="485"/>
      <c r="G1011" s="210"/>
      <c r="H1011" s="485"/>
      <c r="I1011" s="188"/>
      <c r="J1011" s="485"/>
      <c r="K1011" s="75"/>
      <c r="L1011" s="66"/>
      <c r="M1011" s="66"/>
      <c r="N1011" s="66"/>
      <c r="O1011" s="66"/>
      <c r="P1011" s="66"/>
      <c r="Q1011" s="66"/>
      <c r="R1011" s="66"/>
      <c r="S1011" s="66"/>
      <c r="T1011" s="66"/>
      <c r="U1011" s="66"/>
      <c r="V1011" s="66"/>
      <c r="W1011" s="66"/>
      <c r="X1011" s="66"/>
    </row>
    <row r="1012">
      <c r="A1012" s="75"/>
      <c r="B1012" s="485"/>
      <c r="C1012" s="75"/>
      <c r="D1012" s="485"/>
      <c r="E1012" s="75"/>
      <c r="F1012" s="485"/>
      <c r="G1012" s="210"/>
      <c r="H1012" s="485"/>
      <c r="I1012" s="188"/>
      <c r="J1012" s="485"/>
      <c r="K1012" s="75"/>
      <c r="L1012" s="66"/>
      <c r="M1012" s="66"/>
      <c r="N1012" s="66"/>
      <c r="O1012" s="66"/>
      <c r="P1012" s="66"/>
      <c r="Q1012" s="66"/>
      <c r="R1012" s="66"/>
      <c r="S1012" s="66"/>
      <c r="T1012" s="66"/>
      <c r="U1012" s="66"/>
      <c r="V1012" s="66"/>
      <c r="W1012" s="66"/>
      <c r="X1012" s="66"/>
    </row>
    <row r="1013">
      <c r="A1013" s="75"/>
      <c r="B1013" s="485"/>
      <c r="C1013" s="75"/>
      <c r="D1013" s="485"/>
      <c r="E1013" s="75"/>
      <c r="F1013" s="485"/>
      <c r="G1013" s="210"/>
      <c r="H1013" s="485"/>
      <c r="I1013" s="188"/>
      <c r="J1013" s="485"/>
      <c r="K1013" s="75"/>
      <c r="L1013" s="66"/>
      <c r="M1013" s="66"/>
      <c r="N1013" s="66"/>
      <c r="O1013" s="66"/>
      <c r="P1013" s="66"/>
      <c r="Q1013" s="66"/>
      <c r="R1013" s="66"/>
      <c r="S1013" s="66"/>
      <c r="T1013" s="66"/>
      <c r="U1013" s="66"/>
      <c r="V1013" s="66"/>
      <c r="W1013" s="66"/>
      <c r="X1013" s="66"/>
    </row>
    <row r="1014">
      <c r="A1014" s="75"/>
      <c r="B1014" s="485"/>
      <c r="C1014" s="75"/>
      <c r="D1014" s="485"/>
      <c r="E1014" s="75"/>
      <c r="F1014" s="485"/>
      <c r="G1014" s="210"/>
      <c r="H1014" s="485"/>
      <c r="I1014" s="188"/>
      <c r="J1014" s="485"/>
      <c r="K1014" s="75"/>
      <c r="L1014" s="66"/>
      <c r="M1014" s="66"/>
      <c r="N1014" s="66"/>
      <c r="O1014" s="66"/>
      <c r="P1014" s="66"/>
      <c r="Q1014" s="66"/>
      <c r="R1014" s="66"/>
      <c r="S1014" s="66"/>
      <c r="T1014" s="66"/>
      <c r="U1014" s="66"/>
      <c r="V1014" s="66"/>
      <c r="W1014" s="66"/>
      <c r="X1014" s="66"/>
    </row>
    <row r="1015">
      <c r="A1015" s="75"/>
      <c r="B1015" s="485"/>
      <c r="C1015" s="75"/>
      <c r="D1015" s="485"/>
      <c r="E1015" s="75"/>
      <c r="F1015" s="485"/>
      <c r="G1015" s="210"/>
      <c r="H1015" s="485"/>
      <c r="I1015" s="188"/>
      <c r="J1015" s="485"/>
      <c r="K1015" s="75"/>
      <c r="L1015" s="66"/>
      <c r="M1015" s="66"/>
      <c r="N1015" s="66"/>
      <c r="O1015" s="66"/>
      <c r="P1015" s="66"/>
      <c r="Q1015" s="66"/>
      <c r="R1015" s="66"/>
      <c r="S1015" s="66"/>
      <c r="T1015" s="66"/>
      <c r="U1015" s="66"/>
      <c r="V1015" s="66"/>
      <c r="W1015" s="66"/>
      <c r="X1015" s="66"/>
    </row>
    <row r="1016">
      <c r="A1016" s="75"/>
      <c r="B1016" s="485"/>
      <c r="C1016" s="75"/>
      <c r="D1016" s="485"/>
      <c r="E1016" s="75"/>
      <c r="F1016" s="485"/>
      <c r="G1016" s="210"/>
      <c r="H1016" s="485"/>
      <c r="I1016" s="188"/>
      <c r="J1016" s="485"/>
      <c r="K1016" s="75"/>
      <c r="L1016" s="66"/>
      <c r="M1016" s="66"/>
      <c r="N1016" s="66"/>
      <c r="O1016" s="66"/>
      <c r="P1016" s="66"/>
      <c r="Q1016" s="66"/>
      <c r="R1016" s="66"/>
      <c r="S1016" s="66"/>
      <c r="T1016" s="66"/>
      <c r="U1016" s="66"/>
      <c r="V1016" s="66"/>
      <c r="W1016" s="66"/>
      <c r="X1016" s="66"/>
    </row>
    <row r="1017">
      <c r="A1017" s="75"/>
      <c r="B1017" s="485"/>
      <c r="C1017" s="75"/>
      <c r="D1017" s="485"/>
      <c r="E1017" s="75"/>
      <c r="F1017" s="485"/>
      <c r="G1017" s="210"/>
      <c r="H1017" s="485"/>
      <c r="I1017" s="188"/>
      <c r="J1017" s="485"/>
      <c r="K1017" s="75"/>
      <c r="L1017" s="66"/>
      <c r="M1017" s="66"/>
      <c r="N1017" s="66"/>
      <c r="O1017" s="66"/>
      <c r="P1017" s="66"/>
      <c r="Q1017" s="66"/>
      <c r="R1017" s="66"/>
      <c r="S1017" s="66"/>
      <c r="T1017" s="66"/>
      <c r="U1017" s="66"/>
      <c r="V1017" s="66"/>
      <c r="W1017" s="66"/>
      <c r="X1017" s="66"/>
    </row>
    <row r="1018">
      <c r="A1018" s="75"/>
      <c r="B1018" s="485"/>
      <c r="C1018" s="75"/>
      <c r="D1018" s="485"/>
      <c r="E1018" s="75"/>
      <c r="F1018" s="485"/>
      <c r="G1018" s="210"/>
      <c r="H1018" s="485"/>
      <c r="I1018" s="188"/>
      <c r="J1018" s="485"/>
      <c r="K1018" s="75"/>
      <c r="L1018" s="66"/>
      <c r="M1018" s="66"/>
      <c r="N1018" s="66"/>
      <c r="O1018" s="66"/>
      <c r="P1018" s="66"/>
      <c r="Q1018" s="66"/>
      <c r="R1018" s="66"/>
      <c r="S1018" s="66"/>
      <c r="T1018" s="66"/>
      <c r="U1018" s="66"/>
      <c r="V1018" s="66"/>
      <c r="W1018" s="66"/>
      <c r="X1018" s="66"/>
    </row>
    <row r="1019">
      <c r="A1019" s="75"/>
      <c r="B1019" s="485"/>
      <c r="C1019" s="75"/>
      <c r="D1019" s="485"/>
      <c r="E1019" s="75"/>
      <c r="F1019" s="485"/>
      <c r="G1019" s="210"/>
      <c r="H1019" s="485"/>
      <c r="I1019" s="188"/>
      <c r="J1019" s="485"/>
      <c r="K1019" s="75"/>
      <c r="L1019" s="66"/>
      <c r="M1019" s="66"/>
      <c r="N1019" s="66"/>
      <c r="O1019" s="66"/>
      <c r="P1019" s="66"/>
      <c r="Q1019" s="66"/>
      <c r="R1019" s="66"/>
      <c r="S1019" s="66"/>
      <c r="T1019" s="66"/>
      <c r="U1019" s="66"/>
      <c r="V1019" s="66"/>
      <c r="W1019" s="66"/>
      <c r="X1019" s="66"/>
    </row>
    <row r="1020">
      <c r="A1020" s="75"/>
      <c r="B1020" s="485"/>
      <c r="C1020" s="75"/>
      <c r="D1020" s="485"/>
      <c r="E1020" s="75"/>
      <c r="F1020" s="485"/>
      <c r="G1020" s="210"/>
      <c r="H1020" s="485"/>
      <c r="I1020" s="188"/>
      <c r="J1020" s="485"/>
      <c r="K1020" s="75"/>
      <c r="L1020" s="66"/>
      <c r="M1020" s="66"/>
      <c r="N1020" s="66"/>
      <c r="O1020" s="66"/>
      <c r="P1020" s="66"/>
      <c r="Q1020" s="66"/>
      <c r="R1020" s="66"/>
      <c r="S1020" s="66"/>
      <c r="T1020" s="66"/>
      <c r="U1020" s="66"/>
      <c r="V1020" s="66"/>
      <c r="W1020" s="66"/>
      <c r="X1020" s="66"/>
    </row>
    <row r="1021">
      <c r="A1021" s="75"/>
      <c r="B1021" s="485"/>
      <c r="C1021" s="75"/>
      <c r="D1021" s="485"/>
      <c r="E1021" s="75"/>
      <c r="F1021" s="485"/>
      <c r="G1021" s="210"/>
      <c r="H1021" s="485"/>
      <c r="I1021" s="188"/>
      <c r="J1021" s="485"/>
      <c r="K1021" s="75"/>
      <c r="L1021" s="66"/>
      <c r="M1021" s="66"/>
      <c r="N1021" s="66"/>
      <c r="O1021" s="66"/>
      <c r="P1021" s="66"/>
      <c r="Q1021" s="66"/>
      <c r="R1021" s="66"/>
      <c r="S1021" s="66"/>
      <c r="T1021" s="66"/>
      <c r="U1021" s="66"/>
      <c r="V1021" s="66"/>
      <c r="W1021" s="66"/>
      <c r="X1021" s="66"/>
    </row>
    <row r="1022">
      <c r="A1022" s="75"/>
      <c r="B1022" s="485"/>
      <c r="C1022" s="75"/>
      <c r="D1022" s="485"/>
      <c r="E1022" s="75"/>
      <c r="F1022" s="485"/>
      <c r="G1022" s="210"/>
      <c r="H1022" s="485"/>
      <c r="I1022" s="188"/>
      <c r="J1022" s="485"/>
      <c r="K1022" s="75"/>
      <c r="L1022" s="66"/>
      <c r="M1022" s="66"/>
      <c r="N1022" s="66"/>
      <c r="O1022" s="66"/>
      <c r="P1022" s="66"/>
      <c r="Q1022" s="66"/>
      <c r="R1022" s="66"/>
      <c r="S1022" s="66"/>
      <c r="T1022" s="66"/>
      <c r="U1022" s="66"/>
      <c r="V1022" s="66"/>
      <c r="W1022" s="66"/>
      <c r="X1022" s="66"/>
    </row>
    <row r="1023">
      <c r="A1023" s="75"/>
      <c r="B1023" s="485"/>
      <c r="C1023" s="75"/>
      <c r="D1023" s="485"/>
      <c r="E1023" s="75"/>
      <c r="F1023" s="485"/>
      <c r="G1023" s="210"/>
      <c r="H1023" s="485"/>
      <c r="I1023" s="188"/>
      <c r="J1023" s="485"/>
      <c r="K1023" s="75"/>
      <c r="L1023" s="66"/>
      <c r="M1023" s="66"/>
      <c r="N1023" s="66"/>
      <c r="O1023" s="66"/>
      <c r="P1023" s="66"/>
      <c r="Q1023" s="66"/>
      <c r="R1023" s="66"/>
      <c r="S1023" s="66"/>
      <c r="T1023" s="66"/>
      <c r="U1023" s="66"/>
      <c r="V1023" s="66"/>
      <c r="W1023" s="66"/>
      <c r="X1023" s="66"/>
    </row>
    <row r="1024">
      <c r="A1024" s="75"/>
      <c r="B1024" s="485"/>
      <c r="C1024" s="75"/>
      <c r="D1024" s="485"/>
      <c r="E1024" s="75"/>
      <c r="F1024" s="485"/>
      <c r="G1024" s="210"/>
      <c r="H1024" s="485"/>
      <c r="I1024" s="188"/>
      <c r="J1024" s="485"/>
      <c r="K1024" s="75"/>
      <c r="L1024" s="66"/>
      <c r="M1024" s="66"/>
      <c r="N1024" s="66"/>
      <c r="O1024" s="66"/>
      <c r="P1024" s="66"/>
      <c r="Q1024" s="66"/>
      <c r="R1024" s="66"/>
      <c r="S1024" s="66"/>
      <c r="T1024" s="66"/>
      <c r="U1024" s="66"/>
      <c r="V1024" s="66"/>
      <c r="W1024" s="66"/>
      <c r="X1024" s="66"/>
    </row>
    <row r="1025">
      <c r="A1025" s="75"/>
      <c r="B1025" s="485"/>
      <c r="C1025" s="75"/>
      <c r="D1025" s="485"/>
      <c r="E1025" s="75"/>
      <c r="F1025" s="485"/>
      <c r="G1025" s="210"/>
      <c r="H1025" s="485"/>
      <c r="I1025" s="188"/>
      <c r="J1025" s="485"/>
      <c r="K1025" s="75"/>
      <c r="L1025" s="66"/>
      <c r="M1025" s="66"/>
      <c r="N1025" s="66"/>
      <c r="O1025" s="66"/>
      <c r="P1025" s="66"/>
      <c r="Q1025" s="66"/>
      <c r="R1025" s="66"/>
      <c r="S1025" s="66"/>
      <c r="T1025" s="66"/>
      <c r="U1025" s="66"/>
      <c r="V1025" s="66"/>
      <c r="W1025" s="66"/>
      <c r="X1025" s="66"/>
    </row>
    <row r="1026">
      <c r="A1026" s="75"/>
      <c r="B1026" s="485"/>
      <c r="C1026" s="75"/>
      <c r="D1026" s="485"/>
      <c r="E1026" s="75"/>
      <c r="F1026" s="485"/>
      <c r="G1026" s="210"/>
      <c r="H1026" s="485"/>
      <c r="I1026" s="188"/>
      <c r="J1026" s="485"/>
      <c r="K1026" s="75"/>
      <c r="L1026" s="66"/>
      <c r="M1026" s="66"/>
      <c r="N1026" s="66"/>
      <c r="O1026" s="66"/>
      <c r="P1026" s="66"/>
      <c r="Q1026" s="66"/>
      <c r="R1026" s="66"/>
      <c r="S1026" s="66"/>
      <c r="T1026" s="66"/>
      <c r="U1026" s="66"/>
      <c r="V1026" s="66"/>
      <c r="W1026" s="66"/>
      <c r="X1026" s="66"/>
    </row>
    <row r="1027">
      <c r="A1027" s="75"/>
      <c r="B1027" s="485"/>
      <c r="C1027" s="75"/>
      <c r="D1027" s="485"/>
      <c r="E1027" s="75"/>
      <c r="F1027" s="485"/>
      <c r="G1027" s="210"/>
      <c r="H1027" s="485"/>
      <c r="I1027" s="188"/>
      <c r="J1027" s="485"/>
      <c r="K1027" s="75"/>
      <c r="L1027" s="66"/>
      <c r="M1027" s="66"/>
      <c r="N1027" s="66"/>
      <c r="O1027" s="66"/>
      <c r="P1027" s="66"/>
      <c r="Q1027" s="66"/>
      <c r="R1027" s="66"/>
      <c r="S1027" s="66"/>
      <c r="T1027" s="66"/>
      <c r="U1027" s="66"/>
      <c r="V1027" s="66"/>
      <c r="W1027" s="66"/>
      <c r="X1027" s="66"/>
    </row>
    <row r="1028">
      <c r="A1028" s="75"/>
      <c r="B1028" s="485"/>
      <c r="C1028" s="75"/>
      <c r="D1028" s="485"/>
      <c r="E1028" s="75"/>
      <c r="F1028" s="485"/>
      <c r="G1028" s="210"/>
      <c r="H1028" s="485"/>
      <c r="I1028" s="188"/>
      <c r="J1028" s="485"/>
      <c r="K1028" s="75"/>
      <c r="L1028" s="66"/>
      <c r="M1028" s="66"/>
      <c r="N1028" s="66"/>
      <c r="O1028" s="66"/>
      <c r="P1028" s="66"/>
      <c r="Q1028" s="66"/>
      <c r="R1028" s="66"/>
      <c r="S1028" s="66"/>
      <c r="T1028" s="66"/>
      <c r="U1028" s="66"/>
      <c r="V1028" s="66"/>
      <c r="W1028" s="66"/>
      <c r="X1028" s="66"/>
    </row>
    <row r="1029">
      <c r="A1029" s="75"/>
      <c r="B1029" s="485"/>
      <c r="C1029" s="75"/>
      <c r="D1029" s="485"/>
      <c r="E1029" s="66"/>
      <c r="F1029" s="66"/>
      <c r="G1029" s="184"/>
      <c r="H1029" s="66"/>
      <c r="I1029" s="190"/>
      <c r="J1029" s="485"/>
      <c r="K1029" s="75"/>
      <c r="L1029" s="66"/>
      <c r="M1029" s="66"/>
      <c r="N1029" s="66"/>
      <c r="O1029" s="66"/>
      <c r="P1029" s="66"/>
      <c r="Q1029" s="66"/>
      <c r="R1029" s="66"/>
      <c r="S1029" s="66"/>
      <c r="T1029" s="66"/>
      <c r="U1029" s="66"/>
      <c r="V1029" s="66"/>
      <c r="W1029" s="66"/>
      <c r="X1029" s="66"/>
    </row>
    <row r="1030">
      <c r="A1030" s="75"/>
      <c r="B1030" s="485"/>
      <c r="C1030" s="75"/>
      <c r="D1030" s="485"/>
      <c r="E1030" s="66"/>
      <c r="F1030" s="66"/>
      <c r="G1030" s="184"/>
      <c r="H1030" s="66"/>
      <c r="I1030" s="190"/>
      <c r="J1030" s="485"/>
      <c r="K1030" s="75"/>
      <c r="L1030" s="66"/>
      <c r="M1030" s="66"/>
      <c r="N1030" s="66"/>
      <c r="O1030" s="66"/>
      <c r="P1030" s="66"/>
      <c r="Q1030" s="66"/>
      <c r="R1030" s="66"/>
      <c r="S1030" s="66"/>
      <c r="T1030" s="66"/>
      <c r="U1030" s="66"/>
      <c r="V1030" s="66"/>
      <c r="W1030" s="66"/>
      <c r="X1030" s="66"/>
    </row>
    <row r="1031">
      <c r="A1031" s="75"/>
      <c r="B1031" s="485"/>
      <c r="C1031" s="75"/>
      <c r="D1031" s="485"/>
      <c r="E1031" s="66"/>
      <c r="F1031" s="66"/>
      <c r="G1031" s="184"/>
      <c r="H1031" s="66"/>
      <c r="I1031" s="190"/>
      <c r="J1031" s="485"/>
      <c r="K1031" s="75"/>
      <c r="L1031" s="66"/>
      <c r="M1031" s="66"/>
      <c r="N1031" s="66"/>
      <c r="O1031" s="66"/>
      <c r="P1031" s="66"/>
      <c r="Q1031" s="66"/>
      <c r="R1031" s="66"/>
      <c r="S1031" s="66"/>
      <c r="T1031" s="66"/>
      <c r="U1031" s="66"/>
      <c r="V1031" s="66"/>
      <c r="W1031" s="66"/>
      <c r="X1031" s="66"/>
    </row>
    <row r="1032">
      <c r="A1032" s="75"/>
      <c r="B1032" s="485"/>
      <c r="C1032" s="75"/>
      <c r="D1032" s="485"/>
      <c r="E1032" s="66"/>
      <c r="F1032" s="66"/>
      <c r="G1032" s="184"/>
      <c r="H1032" s="66"/>
      <c r="I1032" s="190"/>
      <c r="J1032" s="490"/>
      <c r="K1032" s="188"/>
      <c r="L1032" s="66"/>
      <c r="M1032" s="66"/>
      <c r="N1032" s="66"/>
      <c r="O1032" s="66"/>
      <c r="P1032" s="66"/>
      <c r="Q1032" s="66"/>
      <c r="R1032" s="66"/>
      <c r="S1032" s="66"/>
      <c r="T1032" s="66"/>
      <c r="U1032" s="66"/>
      <c r="V1032" s="66"/>
      <c r="W1032" s="66"/>
      <c r="X1032" s="6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1" max="41" width="17.13"/>
    <col customWidth="1" min="42" max="42" width="40.5"/>
    <col customWidth="1" min="43" max="43" width="19.75"/>
    <col customWidth="1" min="44" max="44" width="17.75"/>
    <col customWidth="1" min="45" max="46" width="16.75"/>
  </cols>
  <sheetData>
    <row r="1" ht="55.5" customHeight="1">
      <c r="A1" s="491" t="s">
        <v>11581</v>
      </c>
      <c r="B1" s="27" t="s">
        <v>11582</v>
      </c>
      <c r="C1" s="492" t="s">
        <v>11583</v>
      </c>
      <c r="D1" s="224" t="s">
        <v>11584</v>
      </c>
      <c r="E1" s="493" t="str">
        <f>IFERROR(__xludf.DUMMYFUNCTION("GOOGLETRANSLATE(A1,""zh-tw"",""ja"")"),"ステータス図")</f>
        <v>ステータス図</v>
      </c>
      <c r="F1" s="53" t="str">
        <f>IFERROR(__xludf.DUMMYFUNCTION("GOOGLETRANSLATE(B1,""zh-tw"",""ja"")"),"名前")</f>
        <v>名前</v>
      </c>
      <c r="G1" s="494" t="str">
        <f>IFERROR(__xludf.DUMMYFUNCTION("GOOGLETRANSLATE(C1,""zh-tw"",""ja"")"),"物語")</f>
        <v>物語</v>
      </c>
      <c r="H1" s="495" t="str">
        <f>IFERROR(__xludf.DUMMYFUNCTION("GOOGLETRANSLATE(D1,""zh-tw"",""ja"")"),"例えば")</f>
        <v>例えば</v>
      </c>
      <c r="I1" s="491" t="s">
        <v>11585</v>
      </c>
      <c r="J1" s="27" t="s">
        <v>11586</v>
      </c>
      <c r="K1" s="492" t="s">
        <v>11587</v>
      </c>
      <c r="L1" s="224" t="s">
        <v>11588</v>
      </c>
      <c r="M1" s="493" t="str">
        <f>IFERROR(__xludf.DUMMYFUNCTION("GOOGLETRANSLATE(A1,""zh-tw"",""zh"")"),"状态图示")</f>
        <v>状态图示</v>
      </c>
      <c r="N1" s="53" t="str">
        <f>IFERROR(__xludf.DUMMYFUNCTION("GOOGLETRANSLATE(B1,""zh-tw"",""zh"")"),"名称")</f>
        <v>名称</v>
      </c>
      <c r="O1" s="494" t="str">
        <f>IFERROR(__xludf.DUMMYFUNCTION("GOOGLETRANSLATE(C1,""zh-tw"",""zh"")"),"叙述")</f>
        <v>叙述</v>
      </c>
      <c r="P1" s="495" t="str">
        <f>IFERROR(__xludf.DUMMYFUNCTION("GOOGLETRANSLATE(D1,""zh-tw"",""zh"")"),"举例")</f>
        <v>举例</v>
      </c>
      <c r="Q1" s="493" t="str">
        <f>IFERROR(__xludf.DUMMYFUNCTION("GOOGLETRANSLATE(A1,""zh-tw"",""es-MX"")"),"Diagrama de estado")</f>
        <v>Diagrama de estado</v>
      </c>
      <c r="R1" s="53" t="str">
        <f>IFERROR(__xludf.DUMMYFUNCTION("GOOGLETRANSLATE(B1,""zh-tw"",""es-MX"")"),"nombre")</f>
        <v>nombre</v>
      </c>
      <c r="S1" s="494" t="str">
        <f>IFERROR(__xludf.DUMMYFUNCTION("GOOGLETRANSLATE(C1,""zh-tw"",""es-MX"")"),"Narrativo")</f>
        <v>Narrativo</v>
      </c>
      <c r="T1" s="495" t="str">
        <f>IFERROR(__xludf.DUMMYFUNCTION("GOOGLETRANSLATE(D1,""zh-tw"",""es-MX"")"),"Por ejemplo")</f>
        <v>Por ejemplo</v>
      </c>
      <c r="U1" s="493" t="str">
        <f>IFERROR(__xludf.DUMMYFUNCTION("GOOGLETRANSLATE(A1,""zh-tw"",""KO"")"),"상태도")</f>
        <v>상태도</v>
      </c>
      <c r="V1" s="53" t="str">
        <f>IFERROR(__xludf.DUMMYFUNCTION("GOOGLETRANSLATE(B1,""zh-tw"",""KO"")"),"이름")</f>
        <v>이름</v>
      </c>
      <c r="W1" s="494" t="str">
        <f>IFERROR(__xludf.DUMMYFUNCTION("GOOGLETRANSLATE(C1,""zh-tw"",""KO"")"),"이야기")</f>
        <v>이야기</v>
      </c>
      <c r="X1" s="495" t="str">
        <f>IFERROR(__xludf.DUMMYFUNCTION("GOOGLETRANSLATE(D1,""zh-tw"",""KO"")"),"예를 들어")</f>
        <v>예를 들어</v>
      </c>
      <c r="Y1" s="86" t="s">
        <v>11589</v>
      </c>
      <c r="Z1" s="88" t="s">
        <v>11590</v>
      </c>
      <c r="AA1" s="364" t="s">
        <v>3360</v>
      </c>
      <c r="AB1" s="87" t="s">
        <v>11591</v>
      </c>
      <c r="AC1" s="493" t="str">
        <f>IFERROR(__xludf.DUMMYFUNCTION("GOOGLETRANSLATE(A1,""zh-tw"",""DE"")"),"Statusdiagramm")</f>
        <v>Statusdiagramm</v>
      </c>
      <c r="AD1" s="53" t="str">
        <f>IFERROR(__xludf.DUMMYFUNCTION("GOOGLETRANSLATE(B1,""zh-tw"",""DE"")"),"Name")</f>
        <v>Name</v>
      </c>
      <c r="AE1" s="494" t="str">
        <f>IFERROR(__xludf.DUMMYFUNCTION("GOOGLETRANSLATE(C1,""zh-tw"",""DE"")"),"Erzählung")</f>
        <v>Erzählung</v>
      </c>
      <c r="AF1" s="495" t="str">
        <f>IFERROR(__xludf.DUMMYFUNCTION("GOOGLETRANSLATE(D1,""zh-tw"",""DE"")"),"Zum Beispiel")</f>
        <v>Zum Beispiel</v>
      </c>
      <c r="AG1" s="496" t="s">
        <v>11592</v>
      </c>
      <c r="AH1" s="497" t="s">
        <v>11593</v>
      </c>
      <c r="AI1" s="498" t="s">
        <v>11594</v>
      </c>
      <c r="AJ1" s="499" t="s">
        <v>5960</v>
      </c>
      <c r="AK1" s="500" t="s">
        <v>11595</v>
      </c>
      <c r="AL1" s="501" t="s">
        <v>11596</v>
      </c>
      <c r="AM1" s="502" t="s">
        <v>11597</v>
      </c>
      <c r="AN1" s="503" t="s">
        <v>5964</v>
      </c>
      <c r="AO1" s="197"/>
      <c r="AP1" s="501"/>
      <c r="AQ1" s="502"/>
      <c r="AR1" s="503"/>
      <c r="AS1" s="504"/>
      <c r="AT1" s="504"/>
    </row>
    <row r="2" ht="26.25" customHeight="1">
      <c r="A2" s="505" t="s">
        <v>11598</v>
      </c>
      <c r="B2" s="202" t="s">
        <v>11599</v>
      </c>
      <c r="C2" s="386" t="s">
        <v>1243</v>
      </c>
      <c r="D2" s="506" t="s">
        <v>11600</v>
      </c>
      <c r="E2" s="505" t="s">
        <v>11601</v>
      </c>
      <c r="F2" s="417" t="str">
        <f>IFERROR(__xludf.DUMMYFUNCTION("GOOGLETRANSLATE(B2,""zh-tw"",""ja"")"),"少し落ち着かない気分です")</f>
        <v>少し落ち着かない気分です</v>
      </c>
      <c r="G2" s="383" t="str">
        <f>IFERROR(__xludf.DUMMYFUNCTION("GOOGLETRANSLATE(C2,""zh-tw"",""ja"")"),"-")</f>
        <v>-</v>
      </c>
      <c r="H2" s="506" t="s">
        <v>11602</v>
      </c>
      <c r="I2" s="505" t="s">
        <v>11603</v>
      </c>
      <c r="J2" s="202" t="s">
        <v>11604</v>
      </c>
      <c r="K2" s="383" t="str">
        <f>IFERROR(__xludf.DUMMYFUNCTION("GOOGLETRANSLATE(C2,""zh-tw"",""en"")"),"-")</f>
        <v>-</v>
      </c>
      <c r="L2" s="506" t="s">
        <v>11605</v>
      </c>
      <c r="M2" s="382" t="str">
        <f>IFERROR(__xludf.DUMMYFUNCTION("GOOGLETRANSLATE(A2,""zh-tw"",""zh"")"),"兴奋")</f>
        <v>兴奋</v>
      </c>
      <c r="N2" s="417" t="str">
        <f>IFERROR(__xludf.DUMMYFUNCTION("GOOGLETRANSLATE(B2,""zh-tw"",""zh"")"),"感觉有些躁动")</f>
        <v>感觉有些躁动</v>
      </c>
      <c r="O2" s="383" t="str">
        <f>IFERROR(__xludf.DUMMYFUNCTION("GOOGLETRANSLATE(C2,""zh-tw"",""zh"")"),"-")</f>
        <v>-</v>
      </c>
      <c r="P2" s="507" t="str">
        <f>IFERROR(__xludf.DUMMYFUNCTION("GOOGLETRANSLATE(D2,""zh-tw"",""zh"")"),"哥哥有些性欲")</f>
        <v>哥哥有些性欲</v>
      </c>
      <c r="Q2" s="197" t="str">
        <f>IFERROR(__xludf.DUMMYFUNCTION("GOOGLETRANSLATE(A2,""zh-tw"",""es-MX"")"),"entusiasmado")</f>
        <v>entusiasmado</v>
      </c>
      <c r="R2" s="198" t="str">
        <f>IFERROR(__xludf.DUMMYFUNCTION("GOOGLETRANSLATE(B2,""zh-tw"",""es-MX"")"),"Me siento un poco inquieto")</f>
        <v>Me siento un poco inquieto</v>
      </c>
      <c r="S2" s="379" t="str">
        <f>IFERROR(__xludf.DUMMYFUNCTION("GOOGLETRANSLATE(C2,""zh-tw"",""es-MX"")"),"-")</f>
        <v>-</v>
      </c>
      <c r="T2" s="196" t="str">
        <f>IFERROR(__xludf.DUMMYFUNCTION("GOOGLETRANSLATE(D2,""zh-tw"",""es-MX"")"),"Mi hermano tiene cierto deseo sexual.")</f>
        <v>Mi hermano tiene cierto deseo sexual.</v>
      </c>
      <c r="U2" s="197" t="str">
        <f>IFERROR(__xludf.DUMMYFUNCTION("GOOGLETRANSLATE(A2,""zh-tw"",""KO"")"),"흥분한")</f>
        <v>흥분한</v>
      </c>
      <c r="V2" s="198" t="str">
        <f>IFERROR(__xludf.DUMMYFUNCTION("GOOGLETRANSLATE(B2,""zh-tw"",""KO"")"),"나는 약간 불안한 기분이 든다")</f>
        <v>나는 약간 불안한 기분이 든다</v>
      </c>
      <c r="W2" s="379" t="str">
        <f>IFERROR(__xludf.DUMMYFUNCTION("GOOGLETRANSLATE(C2,""zh-tw"",""KO"")"),"-")</f>
        <v>-</v>
      </c>
      <c r="X2" s="196" t="str">
        <f>IFERROR(__xludf.DUMMYFUNCTION("GOOGLETRANSLATE(D2,""zh-tw"",""KO"")"),"내 남동생은 성욕이 좀 있어요.")</f>
        <v>내 남동생은 성욕이 좀 있어요.</v>
      </c>
      <c r="Y2" s="197" t="s">
        <v>11606</v>
      </c>
      <c r="Z2" s="198" t="s">
        <v>11607</v>
      </c>
      <c r="AA2" s="379" t="s">
        <v>1243</v>
      </c>
      <c r="AB2" s="196" t="s">
        <v>11608</v>
      </c>
      <c r="AC2" s="382" t="str">
        <f>IFERROR(__xludf.DUMMYFUNCTION("GOOGLETRANSLATE(A2,""zh-tw"",""DE"")"),"aufgeregt")</f>
        <v>aufgeregt</v>
      </c>
      <c r="AD2" s="417" t="str">
        <f>IFERROR(__xludf.DUMMYFUNCTION("GOOGLETRANSLATE(B2,""zh-tw"",""DE"")"),"Ich fühle mich etwas unruhig")</f>
        <v>Ich fühle mich etwas unruhig</v>
      </c>
      <c r="AE2" s="383" t="str">
        <f>IFERROR(__xludf.DUMMYFUNCTION("GOOGLETRANSLATE(C2,""zh-tw"",""DE"")"),"-")</f>
        <v>-</v>
      </c>
      <c r="AF2" s="507" t="str">
        <f>IFERROR(__xludf.DUMMYFUNCTION("GOOGLETRANSLATE(D2,""zh-tw"",""DE"")"),"Mein Bruder hat sexuelle Bedürfnisse.")</f>
        <v>Mein Bruder hat sexuelle Bedürfnisse.</v>
      </c>
      <c r="AG2" s="153" t="s">
        <v>11609</v>
      </c>
      <c r="AH2" s="155" t="s">
        <v>11610</v>
      </c>
      <c r="AI2" s="380" t="s">
        <v>1243</v>
      </c>
      <c r="AJ2" s="154" t="s">
        <v>11611</v>
      </c>
      <c r="AK2" s="153" t="s">
        <v>11612</v>
      </c>
      <c r="AL2" s="155" t="s">
        <v>11613</v>
      </c>
      <c r="AM2" s="380" t="s">
        <v>1243</v>
      </c>
      <c r="AN2" s="154" t="s">
        <v>11614</v>
      </c>
      <c r="AO2" s="197"/>
      <c r="AP2" s="155"/>
      <c r="AQ2" s="380"/>
      <c r="AR2" s="154"/>
      <c r="AS2" s="508"/>
      <c r="AT2" s="508"/>
    </row>
    <row r="3" ht="26.25" customHeight="1">
      <c r="A3" s="505" t="s">
        <v>11598</v>
      </c>
      <c r="B3" s="202" t="s">
        <v>11615</v>
      </c>
      <c r="C3" s="386" t="s">
        <v>1243</v>
      </c>
      <c r="D3" s="506" t="s">
        <v>11616</v>
      </c>
      <c r="E3" s="505" t="s">
        <v>11601</v>
      </c>
      <c r="F3" s="417" t="str">
        <f>IFERROR(__xludf.DUMMYFUNCTION("GOOGLETRANSLATE(B3,""zh-tw"",""ja"")"),"私の体全体が何らかの刺激を求めている。")</f>
        <v>私の体全体が何らかの刺激を求めている。</v>
      </c>
      <c r="G3" s="386" t="s">
        <v>1243</v>
      </c>
      <c r="H3" s="506" t="s">
        <v>11617</v>
      </c>
      <c r="I3" s="505" t="s">
        <v>11603</v>
      </c>
      <c r="J3" s="202" t="s">
        <v>11618</v>
      </c>
      <c r="K3" s="386" t="s">
        <v>1243</v>
      </c>
      <c r="L3" s="506" t="s">
        <v>11619</v>
      </c>
      <c r="M3" s="382" t="str">
        <f>IFERROR(__xludf.DUMMYFUNCTION("GOOGLETRANSLATE(A3,""zh-tw"",""zh"")"),"兴奋")</f>
        <v>兴奋</v>
      </c>
      <c r="N3" s="417" t="str">
        <f>IFERROR(__xludf.DUMMYFUNCTION("GOOGLETRANSLATE(B3,""zh-tw"",""zh"")"),"全身都在渴望着某种刺激")</f>
        <v>全身都在渴望着某种刺激</v>
      </c>
      <c r="O3" s="383" t="str">
        <f>IFERROR(__xludf.DUMMYFUNCTION("GOOGLETRANSLATE(C3,""zh-tw"",""zh"")"),"-")</f>
        <v>-</v>
      </c>
      <c r="P3" s="507" t="str">
        <f>IFERROR(__xludf.DUMMYFUNCTION("GOOGLETRANSLATE(D3,""zh-tw"",""zh"")"),"哥哥有许多性欲")</f>
        <v>哥哥有许多性欲</v>
      </c>
      <c r="Q3" s="197" t="str">
        <f>IFERROR(__xludf.DUMMYFUNCTION("GOOGLETRANSLATE(A3,""zh-tw"",""es-MX"")"),"entusiasmado")</f>
        <v>entusiasmado</v>
      </c>
      <c r="R3" s="198" t="str">
        <f>IFERROR(__xludf.DUMMYFUNCTION("GOOGLETRANSLATE(B3,""zh-tw"",""es-MX"")"),"Todo mi cuerpo anhela algún tipo de estimulación.")</f>
        <v>Todo mi cuerpo anhela algún tipo de estimulación.</v>
      </c>
      <c r="S3" s="379" t="str">
        <f>IFERROR(__xludf.DUMMYFUNCTION("GOOGLETRANSLATE(C3,""zh-tw"",""es-MX"")"),"-")</f>
        <v>-</v>
      </c>
      <c r="T3" s="196" t="str">
        <f>IFERROR(__xludf.DUMMYFUNCTION("GOOGLETRANSLATE(D3,""zh-tw"",""es-MX"")"),"Mi hermano tiene un alto deseo sexual.")</f>
        <v>Mi hermano tiene un alto deseo sexual.</v>
      </c>
      <c r="U3" s="197" t="str">
        <f>IFERROR(__xludf.DUMMYFUNCTION("GOOGLETRANSLATE(A3,""zh-tw"",""KO"")"),"흥분한")</f>
        <v>흥분한</v>
      </c>
      <c r="V3" s="198" t="str">
        <f>IFERROR(__xludf.DUMMYFUNCTION("GOOGLETRANSLATE(B3,""zh-tw"",""KO"")"),"내 온몸이 어떤 자극을 갈망하고 있어.")</f>
        <v>내 온몸이 어떤 자극을 갈망하고 있어.</v>
      </c>
      <c r="W3" s="379" t="str">
        <f>IFERROR(__xludf.DUMMYFUNCTION("GOOGLETRANSLATE(C3,""zh-tw"",""KO"")"),"-")</f>
        <v>-</v>
      </c>
      <c r="X3" s="196" t="str">
        <f>IFERROR(__xludf.DUMMYFUNCTION("GOOGLETRANSLATE(D3,""zh-tw"",""KO"")"),"내 남동생은 성욕이 매우 강하다.")</f>
        <v>내 남동생은 성욕이 매우 강하다.</v>
      </c>
      <c r="Y3" s="197" t="s">
        <v>11606</v>
      </c>
      <c r="Z3" s="198" t="s">
        <v>11620</v>
      </c>
      <c r="AA3" s="379" t="s">
        <v>1243</v>
      </c>
      <c r="AB3" s="196" t="s">
        <v>11621</v>
      </c>
      <c r="AC3" s="382" t="str">
        <f>IFERROR(__xludf.DUMMYFUNCTION("GOOGLETRANSLATE(A3,""zh-tw"",""DE"")"),"aufgeregt")</f>
        <v>aufgeregt</v>
      </c>
      <c r="AD3" s="417" t="str">
        <f>IFERROR(__xludf.DUMMYFUNCTION("GOOGLETRANSLATE(B3,""zh-tw"",""DE"")"),"Mein ganzer Körper verlangt nach irgendeiner Art von Stimulation.")</f>
        <v>Mein ganzer Körper verlangt nach irgendeiner Art von Stimulation.</v>
      </c>
      <c r="AE3" s="383" t="str">
        <f>IFERROR(__xludf.DUMMYFUNCTION("GOOGLETRANSLATE(C3,""zh-tw"",""DE"")"),"-")</f>
        <v>-</v>
      </c>
      <c r="AF3" s="507" t="str">
        <f>IFERROR(__xludf.DUMMYFUNCTION("GOOGLETRANSLATE(D3,""zh-tw"",""DE"")"),"Mein Bruder hat einen starken Sexualtrieb.")</f>
        <v>Mein Bruder hat einen starken Sexualtrieb.</v>
      </c>
      <c r="AG3" s="153" t="s">
        <v>11609</v>
      </c>
      <c r="AH3" s="155" t="s">
        <v>11622</v>
      </c>
      <c r="AI3" s="380" t="s">
        <v>1243</v>
      </c>
      <c r="AJ3" s="154" t="s">
        <v>11623</v>
      </c>
      <c r="AK3" s="153" t="s">
        <v>11612</v>
      </c>
      <c r="AL3" s="155" t="s">
        <v>11624</v>
      </c>
      <c r="AM3" s="380" t="s">
        <v>1243</v>
      </c>
      <c r="AN3" s="154" t="s">
        <v>11625</v>
      </c>
      <c r="AO3" s="197"/>
      <c r="AP3" s="155"/>
      <c r="AQ3" s="380"/>
      <c r="AR3" s="154"/>
      <c r="AS3" s="508"/>
      <c r="AT3" s="508"/>
    </row>
    <row r="4" ht="26.25" customHeight="1">
      <c r="A4" s="505" t="s">
        <v>11598</v>
      </c>
      <c r="B4" s="202" t="s">
        <v>11626</v>
      </c>
      <c r="C4" s="386" t="s">
        <v>1243</v>
      </c>
      <c r="D4" s="506" t="s">
        <v>11627</v>
      </c>
      <c r="E4" s="505" t="s">
        <v>11601</v>
      </c>
      <c r="F4" s="417" t="str">
        <f>IFERROR(__xludf.DUMMYFUNCTION("GOOGLETRANSLATE(B4,""zh-tw"",""ja"")"),"もう自分をコントロールできない。")</f>
        <v>もう自分をコントロールできない。</v>
      </c>
      <c r="G4" s="386" t="s">
        <v>1243</v>
      </c>
      <c r="H4" s="506" t="s">
        <v>11628</v>
      </c>
      <c r="I4" s="505" t="s">
        <v>11603</v>
      </c>
      <c r="J4" s="202" t="s">
        <v>11629</v>
      </c>
      <c r="K4" s="386" t="s">
        <v>1243</v>
      </c>
      <c r="L4" s="506" t="s">
        <v>11630</v>
      </c>
      <c r="M4" s="382" t="str">
        <f>IFERROR(__xludf.DUMMYFUNCTION("GOOGLETRANSLATE(A4,""zh-tw"",""zh"")"),"兴奋")</f>
        <v>兴奋</v>
      </c>
      <c r="N4" s="417" t="str">
        <f>IFERROR(__xludf.DUMMYFUNCTION("GOOGLETRANSLATE(B4,""zh-tw"",""zh"")"),"要控制不住自己了")</f>
        <v>要控制不住自己了</v>
      </c>
      <c r="O4" s="383" t="str">
        <f>IFERROR(__xludf.DUMMYFUNCTION("GOOGLETRANSLATE(C4,""zh-tw"",""zh"")"),"-")</f>
        <v>-</v>
      </c>
      <c r="P4" s="507" t="str">
        <f>IFERROR(__xludf.DUMMYFUNCTION("GOOGLETRANSLATE(D4,""zh-tw"",""zh"")"),"哥哥更多性欲")</f>
        <v>哥哥更多性欲</v>
      </c>
      <c r="Q4" s="197" t="str">
        <f>IFERROR(__xludf.DUMMYFUNCTION("GOOGLETRANSLATE(A4,""zh-tw"",""es-MX"")"),"entusiasmado")</f>
        <v>entusiasmado</v>
      </c>
      <c r="R4" s="198" t="str">
        <f>IFERROR(__xludf.DUMMYFUNCTION("GOOGLETRANSLATE(B4,""zh-tw"",""es-MX"")"),"Ya no puedo controlarme.")</f>
        <v>Ya no puedo controlarme.</v>
      </c>
      <c r="S4" s="379" t="str">
        <f>IFERROR(__xludf.DUMMYFUNCTION("GOOGLETRANSLATE(C4,""zh-tw"",""es-MX"")"),"-")</f>
        <v>-</v>
      </c>
      <c r="T4" s="196" t="str">
        <f>IFERROR(__xludf.DUMMYFUNCTION("GOOGLETRANSLATE(D4,""zh-tw"",""es-MX"")"),"El hermano mayor tiene un mayor deseo sexual.")</f>
        <v>El hermano mayor tiene un mayor deseo sexual.</v>
      </c>
      <c r="U4" s="197" t="str">
        <f>IFERROR(__xludf.DUMMYFUNCTION("GOOGLETRANSLATE(A4,""zh-tw"",""KO"")"),"흥분한")</f>
        <v>흥분한</v>
      </c>
      <c r="V4" s="198" t="str">
        <f>IFERROR(__xludf.DUMMYFUNCTION("GOOGLETRANSLATE(B4,""zh-tw"",""KO"")"),"더 이상 나 자신을 통제할 수 없어.")</f>
        <v>더 이상 나 자신을 통제할 수 없어.</v>
      </c>
      <c r="W4" s="379" t="str">
        <f>IFERROR(__xludf.DUMMYFUNCTION("GOOGLETRANSLATE(C4,""zh-tw"",""KO"")"),"-")</f>
        <v>-</v>
      </c>
      <c r="X4" s="196" t="str">
        <f>IFERROR(__xludf.DUMMYFUNCTION("GOOGLETRANSLATE(D4,""zh-tw"",""KO"")"),"형은 성욕이 더 강하다")</f>
        <v>형은 성욕이 더 강하다</v>
      </c>
      <c r="Y4" s="197" t="s">
        <v>11606</v>
      </c>
      <c r="Z4" s="198" t="s">
        <v>11631</v>
      </c>
      <c r="AA4" s="379" t="s">
        <v>1243</v>
      </c>
      <c r="AB4" s="196" t="s">
        <v>11632</v>
      </c>
      <c r="AC4" s="382" t="str">
        <f>IFERROR(__xludf.DUMMYFUNCTION("GOOGLETRANSLATE(A4,""zh-tw"",""DE"")"),"aufgeregt")</f>
        <v>aufgeregt</v>
      </c>
      <c r="AD4" s="417" t="str">
        <f>IFERROR(__xludf.DUMMYFUNCTION("GOOGLETRANSLATE(B4,""zh-tw"",""DE"")"),"Ich kann mich nicht mehr beherrschen.")</f>
        <v>Ich kann mich nicht mehr beherrschen.</v>
      </c>
      <c r="AE4" s="383" t="str">
        <f>IFERROR(__xludf.DUMMYFUNCTION("GOOGLETRANSLATE(C4,""zh-tw"",""DE"")"),"-")</f>
        <v>-</v>
      </c>
      <c r="AF4" s="507" t="str">
        <f>IFERROR(__xludf.DUMMYFUNCTION("GOOGLETRANSLATE(D4,""zh-tw"",""DE"")"),"Der ältere Bruder hat einen stärkeren Sexualtrieb.")</f>
        <v>Der ältere Bruder hat einen stärkeren Sexualtrieb.</v>
      </c>
      <c r="AG4" s="153" t="s">
        <v>11609</v>
      </c>
      <c r="AH4" s="155" t="s">
        <v>11633</v>
      </c>
      <c r="AI4" s="380" t="s">
        <v>1243</v>
      </c>
      <c r="AJ4" s="154" t="s">
        <v>11634</v>
      </c>
      <c r="AK4" s="153" t="s">
        <v>11612</v>
      </c>
      <c r="AL4" s="155" t="s">
        <v>11635</v>
      </c>
      <c r="AM4" s="380" t="s">
        <v>1243</v>
      </c>
      <c r="AN4" s="154" t="s">
        <v>11636</v>
      </c>
      <c r="AO4" s="197"/>
      <c r="AP4" s="155"/>
      <c r="AQ4" s="380"/>
      <c r="AR4" s="154"/>
      <c r="AS4" s="508"/>
      <c r="AT4" s="508"/>
    </row>
    <row r="5">
      <c r="A5" s="505" t="s">
        <v>11637</v>
      </c>
      <c r="B5" s="202" t="s">
        <v>11638</v>
      </c>
      <c r="C5" s="386" t="s">
        <v>11639</v>
      </c>
      <c r="D5" s="506" t="s">
        <v>11640</v>
      </c>
      <c r="E5" s="505" t="s">
        <v>11641</v>
      </c>
      <c r="F5" s="417" t="str">
        <f>IFERROR(__xludf.DUMMYFUNCTION("GOOGLETRANSLATE(B5,""zh-tw"",""ja"")"),"うわぁ…")</f>
        <v>うわぁ…</v>
      </c>
      <c r="G5" s="386" t="s">
        <v>11642</v>
      </c>
      <c r="H5" s="506" t="s">
        <v>11643</v>
      </c>
      <c r="I5" s="505" t="s">
        <v>11644</v>
      </c>
      <c r="J5" s="202" t="s">
        <v>11645</v>
      </c>
      <c r="K5" s="386" t="s">
        <v>11646</v>
      </c>
      <c r="L5" s="506" t="s">
        <v>11647</v>
      </c>
      <c r="M5" s="382" t="str">
        <f>IFERROR(__xludf.DUMMYFUNCTION("GOOGLETRANSLATE(A5,""zh-tw"",""zh"")"),"兽人")</f>
        <v>兽人</v>
      </c>
      <c r="N5" s="417" t="str">
        <f>IFERROR(__xludf.DUMMYFUNCTION("GOOGLETRANSLATE(B5,""zh-tw"",""zh"")"),"唔噢噢噢噢.......!")</f>
        <v>唔噢噢噢噢.......!</v>
      </c>
      <c r="O5" s="383" t="str">
        <f>IFERROR(__xludf.DUMMYFUNCTION("GOOGLETRANSLATE(C5,""zh-tw"",""zh"")"),"扭曲为了满脑子都是欲望的Beast！")</f>
        <v>扭曲为了满脑子都是欲望的Beast！</v>
      </c>
      <c r="P5" s="507" t="str">
        <f>IFERROR(__xludf.DUMMYFUNCTION("GOOGLETRANSLATE(D5,""zh-tw"",""zh"")"),"哥哥性欲极高")</f>
        <v>哥哥性欲极高</v>
      </c>
      <c r="Q5" s="197" t="str">
        <f>IFERROR(__xludf.DUMMYFUNCTION("GOOGLETRANSLATE(A5,""zh-tw"",""es-MX"")"),"orcos")</f>
        <v>orcos</v>
      </c>
      <c r="R5" s="198" t="str">
        <f>IFERROR(__xludf.DUMMYFUNCTION("GOOGLETRANSLATE(B5,""zh-tw"",""es-MX"")"),"Ughh...")</f>
        <v>Ughh...</v>
      </c>
      <c r="S5" s="379" t="str">
        <f>IFERROR(__xludf.DUMMYFUNCTION("GOOGLETRANSLATE(C5,""zh-tw"",""es-MX"")"),"¡Se ha transformado en una bestia cuya mente está llena de deseo!")</f>
        <v>¡Se ha transformado en una bestia cuya mente está llena de deseo!</v>
      </c>
      <c r="T5" s="196" t="str">
        <f>IFERROR(__xludf.DUMMYFUNCTION("GOOGLETRANSLATE(D5,""zh-tw"",""es-MX"")"),"Mi hermano tiene un deseo sexual extremadamente alto.")</f>
        <v>Mi hermano tiene un deseo sexual extremadamente alto.</v>
      </c>
      <c r="U5" s="197" t="str">
        <f>IFERROR(__xludf.DUMMYFUNCTION("GOOGLETRANSLATE(A5,""zh-tw"",""KO"")"),"오크")</f>
        <v>오크</v>
      </c>
      <c r="V5" s="198" t="str">
        <f>IFERROR(__xludf.DUMMYFUNCTION("GOOGLETRANSLATE(B5,""zh-tw"",""KO"")"),"으윽...")</f>
        <v>으윽...</v>
      </c>
      <c r="W5" s="379" t="str">
        <f>IFERROR(__xludf.DUMMYFUNCTION("GOOGLETRANSLATE(C5,""zh-tw"",""KO"")"),"그것은 욕망으로 가득 찬 짐승으로 변모했습니다!")</f>
        <v>그것은 욕망으로 가득 찬 짐승으로 변모했습니다!</v>
      </c>
      <c r="X5" s="196" t="str">
        <f>IFERROR(__xludf.DUMMYFUNCTION("GOOGLETRANSLATE(D5,""zh-tw"",""KO"")"),"내 남동생은 성욕이 엄청나게 강하다.")</f>
        <v>내 남동생은 성욕이 엄청나게 강하다.</v>
      </c>
      <c r="Y5" s="197" t="s">
        <v>11648</v>
      </c>
      <c r="Z5" s="198" t="s">
        <v>11649</v>
      </c>
      <c r="AA5" s="379" t="s">
        <v>11650</v>
      </c>
      <c r="AB5" s="196" t="s">
        <v>11651</v>
      </c>
      <c r="AC5" s="382" t="str">
        <f>IFERROR(__xludf.DUMMYFUNCTION("GOOGLETRANSLATE(A5,""zh-tw"",""DE"")"),"Orks")</f>
        <v>Orks</v>
      </c>
      <c r="AD5" s="417" t="str">
        <f>IFERROR(__xludf.DUMMYFUNCTION("GOOGLETRANSLATE(B5,""zh-tw"",""DE"")"),"Ugh ...")</f>
        <v>Ugh ...</v>
      </c>
      <c r="AE5" s="383" t="str">
        <f>IFERROR(__xludf.DUMMYFUNCTION("GOOGLETRANSLATE(C5,""zh-tw"",""DE"")"),"Es wurde zu einem Ungeheuer verdreht, dessen Geist von Begierde erfüllt ist!")</f>
        <v>Es wurde zu einem Ungeheuer verdreht, dessen Geist von Begierde erfüllt ist!</v>
      </c>
      <c r="AF5" s="507" t="str">
        <f>IFERROR(__xludf.DUMMYFUNCTION("GOOGLETRANSLATE(D5,""zh-tw"",""DE"")"),"Mein Bruder hat einen extrem hohen Sexualtrieb.")</f>
        <v>Mein Bruder hat einen extrem hohen Sexualtrieb.</v>
      </c>
      <c r="AG5" s="153" t="s">
        <v>11644</v>
      </c>
      <c r="AH5" s="167" t="s">
        <v>11652</v>
      </c>
      <c r="AI5" s="380" t="s">
        <v>11653</v>
      </c>
      <c r="AJ5" s="154" t="s">
        <v>11654</v>
      </c>
      <c r="AK5" s="153" t="s">
        <v>11644</v>
      </c>
      <c r="AL5" s="155" t="s">
        <v>11645</v>
      </c>
      <c r="AM5" s="385" t="s">
        <v>11655</v>
      </c>
      <c r="AN5" s="154" t="s">
        <v>11656</v>
      </c>
      <c r="AO5" s="197"/>
      <c r="AP5" s="155"/>
      <c r="AQ5" s="385"/>
      <c r="AR5" s="154"/>
      <c r="AS5" s="508"/>
      <c r="AT5" s="508"/>
    </row>
    <row r="6">
      <c r="A6" s="505" t="s">
        <v>11657</v>
      </c>
      <c r="B6" s="202" t="s">
        <v>11658</v>
      </c>
      <c r="C6" s="386" t="s">
        <v>11659</v>
      </c>
      <c r="D6" s="506" t="s">
        <v>11660</v>
      </c>
      <c r="E6" s="505" t="s">
        <v>11661</v>
      </c>
      <c r="F6" s="202" t="s">
        <v>11662</v>
      </c>
      <c r="G6" s="383" t="str">
        <f>IFERROR(__xludf.DUMMYFUNCTION("GOOGLETRANSLATE(C6,""zh-tw"",""ja"")"),"賢者モードに入ると、全ての能力値が上昇する。")</f>
        <v>賢者モードに入ると、全ての能力値が上昇する。</v>
      </c>
      <c r="H6" s="506" t="s">
        <v>11663</v>
      </c>
      <c r="I6" s="505" t="s">
        <v>11664</v>
      </c>
      <c r="J6" s="202" t="s">
        <v>11665</v>
      </c>
      <c r="K6" s="386" t="s">
        <v>11666</v>
      </c>
      <c r="L6" s="506" t="s">
        <v>11667</v>
      </c>
      <c r="M6" s="382" t="str">
        <f>IFERROR(__xludf.DUMMYFUNCTION("GOOGLETRANSLATE(A6,""zh-tw"",""zh"")"),"贤者")</f>
        <v>贤者</v>
      </c>
      <c r="N6" s="417" t="str">
        <f>IFERROR(__xludf.DUMMYFUNCTION("GOOGLETRANSLATE(B6,""zh-tw"",""zh"")"),"现在我感觉自己无所不能。")</f>
        <v>现在我感觉自己无所不能。</v>
      </c>
      <c r="O6" s="383" t="str">
        <f>IFERROR(__xludf.DUMMYFUNCTION("GOOGLETRANSLATE(C6,""zh-tw"",""zh"")"),"进入了贤者模式，全属性上升")</f>
        <v>进入了贤者模式，全属性上升</v>
      </c>
      <c r="P6" s="507" t="str">
        <f>IFERROR(__xludf.DUMMYFUNCTION("GOOGLETRANSLATE(D6,""zh-tw"",""zh"")"),"哥哥毫无性欲")</f>
        <v>哥哥毫无性欲</v>
      </c>
      <c r="Q6" s="197" t="str">
        <f>IFERROR(__xludf.DUMMYFUNCTION("GOOGLETRANSLATE(A6,""zh-tw"",""es-MX"")"),"Sabio")</f>
        <v>Sabio</v>
      </c>
      <c r="R6" s="198" t="str">
        <f>IFERROR(__xludf.DUMMYFUNCTION("GOOGLETRANSLATE(B6,""zh-tw"",""es-MX"")"),"Siento que puedo hacer cualquier cosa ahora mismo.")</f>
        <v>Siento que puedo hacer cualquier cosa ahora mismo.</v>
      </c>
      <c r="S6" s="379" t="str">
        <f>IFERROR(__xludf.DUMMYFUNCTION("GOOGLETRANSLATE(C6,""zh-tw"",""es-MX"")"),"Al entrar en el Modo Sabio, todos los atributos aumentan.")</f>
        <v>Al entrar en el Modo Sabio, todos los atributos aumentan.</v>
      </c>
      <c r="T6" s="196" t="str">
        <f>IFERROR(__xludf.DUMMYFUNCTION("GOOGLETRANSLATE(D6,""zh-tw"",""es-MX"")"),"Mi hermano no tiene deseo sexual.")</f>
        <v>Mi hermano no tiene deseo sexual.</v>
      </c>
      <c r="U6" s="197" t="str">
        <f>IFERROR(__xludf.DUMMYFUNCTION("GOOGLETRANSLATE(A6,""zh-tw"",""KO"")"),"세이지")</f>
        <v>세이지</v>
      </c>
      <c r="V6" s="198" t="str">
        <f>IFERROR(__xludf.DUMMYFUNCTION("GOOGLETRANSLATE(B6,""zh-tw"",""KO"")"),"지금은 뭐든지 할 수 있을 것 같은 기분이야.")</f>
        <v>지금은 뭐든지 할 수 있을 것 같은 기분이야.</v>
      </c>
      <c r="W6" s="379" t="str">
        <f>IFERROR(__xludf.DUMMYFUNCTION("GOOGLETRANSLATE(C6,""zh-tw"",""KO"")"),"현자 모드에 진입하면 모든 능력치가 증가합니다.")</f>
        <v>현자 모드에 진입하면 모든 능력치가 증가합니다.</v>
      </c>
      <c r="X6" s="196" t="str">
        <f>IFERROR(__xludf.DUMMYFUNCTION("GOOGLETRANSLATE(D6,""zh-tw"",""KO"")"),"내 남동생은 성욕이 전혀 없다.")</f>
        <v>내 남동생은 성욕이 전혀 없다.</v>
      </c>
      <c r="Y6" s="197" t="s">
        <v>11668</v>
      </c>
      <c r="Z6" s="198" t="s">
        <v>11669</v>
      </c>
      <c r="AA6" s="379" t="s">
        <v>11670</v>
      </c>
      <c r="AB6" s="196" t="s">
        <v>11671</v>
      </c>
      <c r="AC6" s="382" t="str">
        <f>IFERROR(__xludf.DUMMYFUNCTION("GOOGLETRANSLATE(A6,""zh-tw"",""DE"")"),"Salbei")</f>
        <v>Salbei</v>
      </c>
      <c r="AD6" s="417" t="str">
        <f>IFERROR(__xludf.DUMMYFUNCTION("GOOGLETRANSLATE(B6,""zh-tw"",""DE"")"),"Ich habe das Gefühl, ich kann im Moment alles schaffen.")</f>
        <v>Ich habe das Gefühl, ich kann im Moment alles schaffen.</v>
      </c>
      <c r="AE6" s="383" t="str">
        <f>IFERROR(__xludf.DUMMYFUNCTION("GOOGLETRANSLATE(C6,""zh-tw"",""DE"")"),"Beim Aktivieren des Sage-Modus erhöhen sich alle Attribute.")</f>
        <v>Beim Aktivieren des Sage-Modus erhöhen sich alle Attribute.</v>
      </c>
      <c r="AF6" s="507" t="str">
        <f>IFERROR(__xludf.DUMMYFUNCTION("GOOGLETRANSLATE(D6,""zh-tw"",""DE"")"),"Mein Bruder hat kein sexuelles Verlangen.")</f>
        <v>Mein Bruder hat kein sexuelles Verlangen.</v>
      </c>
      <c r="AG6" s="153" t="s">
        <v>11672</v>
      </c>
      <c r="AH6" s="167" t="s">
        <v>11673</v>
      </c>
      <c r="AI6" s="385" t="s">
        <v>11674</v>
      </c>
      <c r="AJ6" s="154" t="s">
        <v>11675</v>
      </c>
      <c r="AK6" s="153" t="s">
        <v>11676</v>
      </c>
      <c r="AL6" s="155" t="s">
        <v>11677</v>
      </c>
      <c r="AM6" s="380" t="s">
        <v>11678</v>
      </c>
      <c r="AN6" s="154" t="s">
        <v>11679</v>
      </c>
      <c r="AO6" s="197"/>
      <c r="AP6" s="155"/>
      <c r="AQ6" s="380"/>
      <c r="AR6" s="154"/>
      <c r="AS6" s="508"/>
      <c r="AT6" s="508"/>
    </row>
    <row r="7">
      <c r="A7" s="505" t="s">
        <v>11680</v>
      </c>
      <c r="B7" s="202" t="s">
        <v>1243</v>
      </c>
      <c r="C7" s="386" t="s">
        <v>11681</v>
      </c>
      <c r="D7" s="506" t="s">
        <v>11682</v>
      </c>
      <c r="E7" s="382" t="str">
        <f>IFERROR(__xludf.DUMMYFUNCTION("GOOGLETRANSLATE(A7,""zh-tw"",""ja"")"),"集中")</f>
        <v>集中</v>
      </c>
      <c r="F7" s="417" t="str">
        <f>IFERROR(__xludf.DUMMYFUNCTION("GOOGLETRANSLATE(B7,""zh-tw"",""ja"")"),"-")</f>
        <v>-</v>
      </c>
      <c r="G7" s="386" t="s">
        <v>11683</v>
      </c>
      <c r="H7" s="506" t="s">
        <v>11684</v>
      </c>
      <c r="I7" s="505" t="s">
        <v>11685</v>
      </c>
      <c r="J7" s="417" t="str">
        <f>IFERROR(__xludf.DUMMYFUNCTION("GOOGLETRANSLATE(B7,""zh-tw"",""en"")"),"-")</f>
        <v>-</v>
      </c>
      <c r="K7" s="386" t="s">
        <v>11686</v>
      </c>
      <c r="L7" s="506" t="s">
        <v>11687</v>
      </c>
      <c r="M7" s="382" t="str">
        <f>IFERROR(__xludf.DUMMYFUNCTION("GOOGLETRANSLATE(A7,""zh-tw"",""zh"")"),"专注")</f>
        <v>专注</v>
      </c>
      <c r="N7" s="417" t="str">
        <f>IFERROR(__xludf.DUMMYFUNCTION("GOOGLETRANSLATE(B7,""zh-tw"",""zh"")"),"-")</f>
        <v>-</v>
      </c>
      <c r="O7" s="383" t="str">
        <f>IFERROR(__xludf.DUMMYFUNCTION("GOOGLETRANSLATE(C7,""zh-tw"",""zh"")"),"集中精力为下一击做准被，移动速度下降")</f>
        <v>集中精力为下一击做准被，移动速度下降</v>
      </c>
      <c r="P7" s="507" t="str">
        <f>IFERROR(__xludf.DUMMYFUNCTION("GOOGLETRANSLATE(D7,""zh-tw"",""zh"")"),"近战武器滑鼠右键")</f>
        <v>近战武器滑鼠右键</v>
      </c>
      <c r="Q7" s="197" t="str">
        <f>IFERROR(__xludf.DUMMYFUNCTION("GOOGLETRANSLATE(A7,""zh-tw"",""es-MX"")"),"Enfocar")</f>
        <v>Enfocar</v>
      </c>
      <c r="R7" s="198" t="str">
        <f>IFERROR(__xludf.DUMMYFUNCTION("GOOGLETRANSLATE(B7,""zh-tw"",""es-MX"")"),"-")</f>
        <v>-</v>
      </c>
      <c r="S7" s="379" t="str">
        <f>IFERROR(__xludf.DUMMYFUNCTION("GOOGLETRANSLATE(C7,""zh-tw"",""es-MX"")"),"Concentrarse en prepararse para el siguiente ataque reduce la velocidad de movimiento.")</f>
        <v>Concentrarse en prepararse para el siguiente ataque reduce la velocidad de movimiento.</v>
      </c>
      <c r="T7" s="196" t="str">
        <f>IFERROR(__xludf.DUMMYFUNCTION("GOOGLETRANSLATE(D7,""zh-tw"",""es-MX"")"),"Botón derecho del ratón para arma cuerpo a cuerpo")</f>
        <v>Botón derecho del ratón para arma cuerpo a cuerpo</v>
      </c>
      <c r="U7" s="197" t="str">
        <f>IFERROR(__xludf.DUMMYFUNCTION("GOOGLETRANSLATE(A7,""zh-tw"",""KO"")"),"집중하다")</f>
        <v>집중하다</v>
      </c>
      <c r="V7" s="198" t="str">
        <f>IFERROR(__xludf.DUMMYFUNCTION("GOOGLETRANSLATE(B7,""zh-tw"",""KO"")"),"-")</f>
        <v>-</v>
      </c>
      <c r="W7" s="379" t="str">
        <f>IFERROR(__xludf.DUMMYFUNCTION("GOOGLETRANSLATE(C7,""zh-tw"",""KO"")"),"다음 공격을 준비하는 데 집중하면 이동 속도가 느려집니다.")</f>
        <v>다음 공격을 준비하는 데 집중하면 이동 속도가 느려집니다.</v>
      </c>
      <c r="X7" s="196" t="str">
        <f>IFERROR(__xludf.DUMMYFUNCTION("GOOGLETRANSLATE(D7,""zh-tw"",""KO"")"),"근접 무기 마우스 오른쪽 버튼")</f>
        <v>근접 무기 마우스 오른쪽 버튼</v>
      </c>
      <c r="Y7" s="197" t="s">
        <v>11688</v>
      </c>
      <c r="Z7" s="198" t="s">
        <v>1243</v>
      </c>
      <c r="AA7" s="379" t="s">
        <v>11689</v>
      </c>
      <c r="AB7" s="196" t="s">
        <v>11690</v>
      </c>
      <c r="AC7" s="382" t="str">
        <f>IFERROR(__xludf.DUMMYFUNCTION("GOOGLETRANSLATE(A7,""zh-tw"",""DE"")"),"Fokus")</f>
        <v>Fokus</v>
      </c>
      <c r="AD7" s="417" t="str">
        <f>IFERROR(__xludf.DUMMYFUNCTION("GOOGLETRANSLATE(B7,""zh-tw"",""DE"")"),"-")</f>
        <v>-</v>
      </c>
      <c r="AE7" s="383" t="str">
        <f>IFERROR(__xludf.DUMMYFUNCTION("GOOGLETRANSLATE(C7,""zh-tw"",""DE"")"),"Die Konzentration auf die Vorbereitung des nächsten Angriffs verringert die Bewegungsgeschwindigkeit.")</f>
        <v>Die Konzentration auf die Vorbereitung des nächsten Angriffs verringert die Bewegungsgeschwindigkeit.</v>
      </c>
      <c r="AF7" s="507" t="str">
        <f>IFERROR(__xludf.DUMMYFUNCTION("GOOGLETRANSLATE(D7,""zh-tw"",""DE"")"),"rechte Maustaste für Nahkampfwaffen")</f>
        <v>rechte Maustaste für Nahkampfwaffen</v>
      </c>
      <c r="AG7" s="153" t="s">
        <v>11691</v>
      </c>
      <c r="AH7" s="155" t="s">
        <v>1243</v>
      </c>
      <c r="AI7" s="385" t="s">
        <v>11692</v>
      </c>
      <c r="AJ7" s="154" t="s">
        <v>11693</v>
      </c>
      <c r="AK7" s="153" t="s">
        <v>11685</v>
      </c>
      <c r="AL7" s="155" t="s">
        <v>1243</v>
      </c>
      <c r="AM7" s="380" t="s">
        <v>11694</v>
      </c>
      <c r="AN7" s="154" t="s">
        <v>11695</v>
      </c>
      <c r="AO7" s="197"/>
      <c r="AP7" s="155"/>
      <c r="AQ7" s="380"/>
      <c r="AR7" s="154"/>
      <c r="AS7" s="508"/>
      <c r="AT7" s="508"/>
    </row>
    <row r="8">
      <c r="A8" s="505" t="s">
        <v>11696</v>
      </c>
      <c r="B8" s="202" t="s">
        <v>11697</v>
      </c>
      <c r="C8" s="386" t="s">
        <v>1243</v>
      </c>
      <c r="D8" s="506" t="s">
        <v>11698</v>
      </c>
      <c r="E8" s="505" t="s">
        <v>11699</v>
      </c>
      <c r="F8" s="202" t="s">
        <v>11700</v>
      </c>
      <c r="G8" s="383" t="str">
        <f>IFERROR(__xludf.DUMMYFUNCTION("GOOGLETRANSLATE(C8,""zh-tw"",""ja"")"),"-")</f>
        <v>-</v>
      </c>
      <c r="H8" s="506" t="s">
        <v>11701</v>
      </c>
      <c r="I8" s="505" t="s">
        <v>11702</v>
      </c>
      <c r="J8" s="202" t="s">
        <v>11703</v>
      </c>
      <c r="K8" s="383" t="str">
        <f>IFERROR(__xludf.DUMMYFUNCTION("GOOGLETRANSLATE(C8,""zh-tw"",""en"")"),"-")</f>
        <v>-</v>
      </c>
      <c r="L8" s="506" t="s">
        <v>11704</v>
      </c>
      <c r="M8" s="382" t="str">
        <f>IFERROR(__xludf.DUMMYFUNCTION("GOOGLETRANSLATE(A8,""zh-tw"",""zh"")"),"闪步")</f>
        <v>闪步</v>
      </c>
      <c r="N8" s="417" t="str">
        <f>IFERROR(__xludf.DUMMYFUNCTION("GOOGLETRANSLATE(B8,""zh-tw"",""zh"")"),"真红的三倍速")</f>
        <v>真红的三倍速</v>
      </c>
      <c r="O8" s="383" t="str">
        <f>IFERROR(__xludf.DUMMYFUNCTION("GOOGLETRANSLATE(C8,""zh-tw"",""zh"")"),"-")</f>
        <v>-</v>
      </c>
      <c r="P8" s="507" t="str">
        <f>IFERROR(__xludf.DUMMYFUNCTION("GOOGLETRANSLATE(D8,""zh-tw"",""zh"")"),"闪步过程中或过图时永久BUG")</f>
        <v>闪步过程中或过图时永久BUG</v>
      </c>
      <c r="Q8" s="197" t="str">
        <f>IFERROR(__xludf.DUMMYFUNCTION("GOOGLETRANSLATE(A8,""zh-tw"",""es-MX"")"),"Paso rápido")</f>
        <v>Paso rápido</v>
      </c>
      <c r="R8" s="198" t="str">
        <f>IFERROR(__xludf.DUMMYFUNCTION("GOOGLETRANSLATE(B8,""zh-tw"",""es-MX"")"),"Triple velocidad carmesí")</f>
        <v>Triple velocidad carmesí</v>
      </c>
      <c r="S8" s="379" t="str">
        <f>IFERROR(__xludf.DUMMYFUNCTION("GOOGLETRANSLATE(C8,""zh-tw"",""es-MX"")"),"-")</f>
        <v>-</v>
      </c>
      <c r="T8" s="196" t="str">
        <f>IFERROR(__xludf.DUMMYFUNCTION("GOOGLETRANSLATE(D8,""zh-tw"",""es-MX"")"),"Error permanente durante el paso de flash o la transición del mapa.")</f>
        <v>Error permanente durante el paso de flash o la transición del mapa.</v>
      </c>
      <c r="U8" s="197" t="str">
        <f>IFERROR(__xludf.DUMMYFUNCTION("GOOGLETRANSLATE(A8,""zh-tw"",""KO"")"),"플래시 스텝")</f>
        <v>플래시 스텝</v>
      </c>
      <c r="V8" s="198" t="str">
        <f>IFERROR(__xludf.DUMMYFUNCTION("GOOGLETRANSLATE(B8,""zh-tw"",""KO"")"),"크림슨 트리플 스피드")</f>
        <v>크림슨 트리플 스피드</v>
      </c>
      <c r="W8" s="379" t="str">
        <f>IFERROR(__xludf.DUMMYFUNCTION("GOOGLETRANSLATE(C8,""zh-tw"",""KO"")"),"-")</f>
        <v>-</v>
      </c>
      <c r="X8" s="196" t="str">
        <f>IFERROR(__xludf.DUMMYFUNCTION("GOOGLETRANSLATE(D8,""zh-tw"",""KO"")"),"플래시 스텝 또는 맵 전환 중에 발생하는 고질적인 버그")</f>
        <v>플래시 스텝 또는 맵 전환 중에 발생하는 고질적인 버그</v>
      </c>
      <c r="Y8" s="197" t="s">
        <v>11705</v>
      </c>
      <c r="Z8" s="198" t="s">
        <v>11706</v>
      </c>
      <c r="AA8" s="379" t="s">
        <v>1243</v>
      </c>
      <c r="AB8" s="196" t="s">
        <v>11707</v>
      </c>
      <c r="AC8" s="382" t="str">
        <f>IFERROR(__xludf.DUMMYFUNCTION("GOOGLETRANSLATE(A8,""zh-tw"",""DE"")"),"Blitzschritt")</f>
        <v>Blitzschritt</v>
      </c>
      <c r="AD8" s="417" t="str">
        <f>IFERROR(__xludf.DUMMYFUNCTION("GOOGLETRANSLATE(B8,""zh-tw"",""DE"")"),"Crimson Triple Speed")</f>
        <v>Crimson Triple Speed</v>
      </c>
      <c r="AE8" s="383" t="str">
        <f>IFERROR(__xludf.DUMMYFUNCTION("GOOGLETRANSLATE(C8,""zh-tw"",""DE"")"),"-")</f>
        <v>-</v>
      </c>
      <c r="AF8" s="507" t="str">
        <f>IFERROR(__xludf.DUMMYFUNCTION("GOOGLETRANSLATE(D8,""zh-tw"",""DE"")"),"Permanenter Fehler während des Flash-Schritts oder Kartenübergangs")</f>
        <v>Permanenter Fehler während des Flash-Schritts oder Kartenübergangs</v>
      </c>
      <c r="AG8" s="153" t="s">
        <v>11702</v>
      </c>
      <c r="AH8" s="167" t="s">
        <v>11708</v>
      </c>
      <c r="AI8" s="380" t="s">
        <v>1243</v>
      </c>
      <c r="AJ8" s="154" t="s">
        <v>11709</v>
      </c>
      <c r="AK8" s="153" t="s">
        <v>11702</v>
      </c>
      <c r="AL8" s="155" t="s">
        <v>11710</v>
      </c>
      <c r="AM8" s="380" t="s">
        <v>1243</v>
      </c>
      <c r="AN8" s="154" t="s">
        <v>11711</v>
      </c>
      <c r="AO8" s="197"/>
      <c r="AP8" s="155"/>
      <c r="AQ8" s="380"/>
      <c r="AR8" s="154"/>
      <c r="AS8" s="508"/>
      <c r="AT8" s="508"/>
    </row>
    <row r="9">
      <c r="A9" s="505" t="s">
        <v>11712</v>
      </c>
      <c r="B9" s="202" t="s">
        <v>1243</v>
      </c>
      <c r="C9" s="386" t="s">
        <v>11713</v>
      </c>
      <c r="D9" s="506" t="s">
        <v>11714</v>
      </c>
      <c r="E9" s="505" t="s">
        <v>11715</v>
      </c>
      <c r="F9" s="417" t="str">
        <f>IFERROR(__xludf.DUMMYFUNCTION("GOOGLETRANSLATE(B9,""zh-tw"",""ja"")"),"-")</f>
        <v>-</v>
      </c>
      <c r="G9" s="386" t="s">
        <v>11716</v>
      </c>
      <c r="H9" s="506" t="s">
        <v>11717</v>
      </c>
      <c r="I9" s="505" t="s">
        <v>11718</v>
      </c>
      <c r="J9" s="417" t="str">
        <f>IFERROR(__xludf.DUMMYFUNCTION("GOOGLETRANSLATE(B9,""zh-tw"",""en"")"),"-")</f>
        <v>-</v>
      </c>
      <c r="K9" s="386" t="s">
        <v>11719</v>
      </c>
      <c r="L9" s="506" t="s">
        <v>11720</v>
      </c>
      <c r="M9" s="382" t="str">
        <f>IFERROR(__xludf.DUMMYFUNCTION("GOOGLETRANSLATE(A9,""zh-tw"",""zh"")"),"闪步禁止")</f>
        <v>闪步禁止</v>
      </c>
      <c r="N9" s="417" t="str">
        <f>IFERROR(__xludf.DUMMYFUNCTION("GOOGLETRANSLATE(B9,""zh-tw"",""zh"")"),"-")</f>
        <v>-</v>
      </c>
      <c r="O9" s="383" t="str">
        <f>IFERROR(__xludf.DUMMYFUNCTION("GOOGLETRANSLATE(C9,""zh-tw"",""zh"")"),"禁止发动闪步")</f>
        <v>禁止发动闪步</v>
      </c>
      <c r="P9" s="507" t="str">
        <f>IFERROR(__xludf.DUMMYFUNCTION("GOOGLETRANSLATE(D9,""zh-tw"",""zh"")"),"闪步cd期间")</f>
        <v>闪步cd期间</v>
      </c>
      <c r="Q9" s="197" t="str">
        <f>IFERROR(__xludf.DUMMYFUNCTION("GOOGLETRANSLATE(A9,""zh-tw"",""es-MX"")"),"Paso rápido prohibido")</f>
        <v>Paso rápido prohibido</v>
      </c>
      <c r="R9" s="198" t="str">
        <f>IFERROR(__xludf.DUMMYFUNCTION("GOOGLETRANSLATE(B9,""zh-tw"",""es-MX"")"),"-")</f>
        <v>-</v>
      </c>
      <c r="S9" s="379" t="str">
        <f>IFERROR(__xludf.DUMMYFUNCTION("GOOGLETRANSLATE(C9,""zh-tw"",""es-MX"")"),"No utilice Flash Step")</f>
        <v>No utilice Flash Step</v>
      </c>
      <c r="T9" s="196" t="str">
        <f>IFERROR(__xludf.DUMMYFUNCTION("GOOGLETRANSLATE(D9,""zh-tw"",""es-MX"")"),"Enfriamiento de Flash Step")</f>
        <v>Enfriamiento de Flash Step</v>
      </c>
      <c r="U9" s="197" t="str">
        <f>IFERROR(__xludf.DUMMYFUNCTION("GOOGLETRANSLATE(A9,""zh-tw"",""KO"")"),"플래시 스텝 금지됨")</f>
        <v>플래시 스텝 금지됨</v>
      </c>
      <c r="V9" s="198" t="str">
        <f>IFERROR(__xludf.DUMMYFUNCTION("GOOGLETRANSLATE(B9,""zh-tw"",""KO"")"),"-")</f>
        <v>-</v>
      </c>
      <c r="W9" s="379" t="str">
        <f>IFERROR(__xludf.DUMMYFUNCTION("GOOGLETRANSLATE(C9,""zh-tw"",""KO"")"),"플래시 스텝을 사용하지 마세요")</f>
        <v>플래시 스텝을 사용하지 마세요</v>
      </c>
      <c r="X9" s="196" t="str">
        <f>IFERROR(__xludf.DUMMYFUNCTION("GOOGLETRANSLATE(D9,""zh-tw"",""KO"")"),"플래시 스텝 쿨다운")</f>
        <v>플래시 스텝 쿨다운</v>
      </c>
      <c r="Y9" s="197" t="s">
        <v>11721</v>
      </c>
      <c r="Z9" s="198" t="s">
        <v>1243</v>
      </c>
      <c r="AA9" s="379" t="s">
        <v>11722</v>
      </c>
      <c r="AB9" s="196" t="s">
        <v>11721</v>
      </c>
      <c r="AC9" s="382" t="str">
        <f>IFERROR(__xludf.DUMMYFUNCTION("GOOGLETRANSLATE(A9,""zh-tw"",""DE"")"),"Blitzschritt verboten")</f>
        <v>Blitzschritt verboten</v>
      </c>
      <c r="AD9" s="417" t="str">
        <f>IFERROR(__xludf.DUMMYFUNCTION("GOOGLETRANSLATE(B9,""zh-tw"",""DE"")"),"-")</f>
        <v>-</v>
      </c>
      <c r="AE9" s="383" t="str">
        <f>IFERROR(__xludf.DUMMYFUNCTION("GOOGLETRANSLATE(C9,""zh-tw"",""DE"")"),"Flash Step nicht verwenden")</f>
        <v>Flash Step nicht verwenden</v>
      </c>
      <c r="AF9" s="507" t="str">
        <f>IFERROR(__xludf.DUMMYFUNCTION("GOOGLETRANSLATE(D9,""zh-tw"",""DE"")"),"Flash Step-Abklingzeit")</f>
        <v>Flash Step-Abklingzeit</v>
      </c>
      <c r="AG9" s="153" t="s">
        <v>11723</v>
      </c>
      <c r="AH9" s="155" t="s">
        <v>1243</v>
      </c>
      <c r="AI9" s="385" t="s">
        <v>11724</v>
      </c>
      <c r="AJ9" s="154" t="s">
        <v>11725</v>
      </c>
      <c r="AK9" s="153" t="s">
        <v>11726</v>
      </c>
      <c r="AL9" s="155" t="s">
        <v>1243</v>
      </c>
      <c r="AM9" s="380" t="s">
        <v>11726</v>
      </c>
      <c r="AN9" s="154" t="s">
        <v>11727</v>
      </c>
      <c r="AO9" s="197"/>
      <c r="AP9" s="155"/>
      <c r="AQ9" s="380"/>
      <c r="AR9" s="154"/>
      <c r="AS9" s="508"/>
      <c r="AT9" s="508"/>
    </row>
    <row r="10">
      <c r="A10" s="505" t="s">
        <v>11728</v>
      </c>
      <c r="B10" s="202" t="s">
        <v>1243</v>
      </c>
      <c r="C10" s="386" t="s">
        <v>11729</v>
      </c>
      <c r="D10" s="506" t="s">
        <v>11730</v>
      </c>
      <c r="E10" s="505" t="s">
        <v>11731</v>
      </c>
      <c r="F10" s="417" t="str">
        <f>IFERROR(__xludf.DUMMYFUNCTION("GOOGLETRANSLATE(B10,""zh-tw"",""ja"")"),"-")</f>
        <v>-</v>
      </c>
      <c r="G10" s="386" t="s">
        <v>11732</v>
      </c>
      <c r="H10" s="506" t="s">
        <v>11733</v>
      </c>
      <c r="I10" s="505" t="s">
        <v>11734</v>
      </c>
      <c r="J10" s="417" t="str">
        <f>IFERROR(__xludf.DUMMYFUNCTION("GOOGLETRANSLATE(B10,""zh-tw"",""en"")"),"-")</f>
        <v>-</v>
      </c>
      <c r="K10" s="386" t="s">
        <v>11735</v>
      </c>
      <c r="L10" s="506" t="s">
        <v>11736</v>
      </c>
      <c r="M10" s="382" t="str">
        <f>IFERROR(__xludf.DUMMYFUNCTION("GOOGLETRANSLATE(A10,""zh-tw"",""zh"")"),"眩晕")</f>
        <v>眩晕</v>
      </c>
      <c r="N10" s="417" t="str">
        <f>IFERROR(__xludf.DUMMYFUNCTION("GOOGLETRANSLATE(B10,""zh-tw"",""zh"")"),"-")</f>
        <v>-</v>
      </c>
      <c r="O10" s="383" t="str">
        <f>IFERROR(__xludf.DUMMYFUNCTION("GOOGLETRANSLATE(C10,""zh-tw"",""zh"")"),"转的头晕了。")</f>
        <v>转的头晕了。</v>
      </c>
      <c r="P10" s="507" t="str">
        <f>IFERROR(__xludf.DUMMYFUNCTION("GOOGLETRANSLATE(D10,""zh-tw"",""zh"")"),"近战武器滑鼠右键结束后")</f>
        <v>近战武器滑鼠右键结束后</v>
      </c>
      <c r="Q10" s="197" t="str">
        <f>IFERROR(__xludf.DUMMYFUNCTION("GOOGLETRANSLATE(A10,""zh-tw"",""es-MX"")"),"mareo")</f>
        <v>mareo</v>
      </c>
      <c r="R10" s="198" t="str">
        <f>IFERROR(__xludf.DUMMYFUNCTION("GOOGLETRANSLATE(B10,""zh-tw"",""es-MX"")"),"-")</f>
        <v>-</v>
      </c>
      <c r="S10" s="379" t="str">
        <f>IFERROR(__xludf.DUMMYFUNCTION("GOOGLETRANSLATE(C10,""zh-tw"",""es-MX"")"),"Estoy mareada de tanto dar vueltas.")</f>
        <v>Estoy mareada de tanto dar vueltas.</v>
      </c>
      <c r="T10" s="196" t="str">
        <f>IFERROR(__xludf.DUMMYFUNCTION("GOOGLETRANSLATE(D10,""zh-tw"",""es-MX"")"),"Después de hacer clic derecho en el arma cuerpo a cuerpo...")</f>
        <v>Después de hacer clic derecho en el arma cuerpo a cuerpo...</v>
      </c>
      <c r="U10" s="197" t="str">
        <f>IFERROR(__xludf.DUMMYFUNCTION("GOOGLETRANSLATE(A10,""zh-tw"",""KO"")"),"현기증")</f>
        <v>현기증</v>
      </c>
      <c r="V10" s="198" t="str">
        <f>IFERROR(__xludf.DUMMYFUNCTION("GOOGLETRANSLATE(B10,""zh-tw"",""KO"")"),"-")</f>
        <v>-</v>
      </c>
      <c r="W10" s="379" t="str">
        <f>IFERROR(__xludf.DUMMYFUNCTION("GOOGLETRANSLATE(C10,""zh-tw"",""KO"")"),"빙빙 돌아서 어지러워요.")</f>
        <v>빙빙 돌아서 어지러워요.</v>
      </c>
      <c r="X10" s="196" t="str">
        <f>IFERROR(__xludf.DUMMYFUNCTION("GOOGLETRANSLATE(D10,""zh-tw"",""KO"")"),"근접 무기를 마우스 오른쪽 버튼으로 클릭한 후...")</f>
        <v>근접 무기를 마우스 오른쪽 버튼으로 클릭한 후...</v>
      </c>
      <c r="Y10" s="197" t="s">
        <v>11737</v>
      </c>
      <c r="Z10" s="198" t="s">
        <v>11738</v>
      </c>
      <c r="AA10" s="379" t="s">
        <v>11739</v>
      </c>
      <c r="AB10" s="196" t="s">
        <v>11740</v>
      </c>
      <c r="AC10" s="382" t="str">
        <f>IFERROR(__xludf.DUMMYFUNCTION("GOOGLETRANSLATE(A10,""zh-tw"",""DE"")"),"Schwindel")</f>
        <v>Schwindel</v>
      </c>
      <c r="AD10" s="417" t="str">
        <f>IFERROR(__xludf.DUMMYFUNCTION("GOOGLETRANSLATE(B10,""zh-tw"",""DE"")"),"-")</f>
        <v>-</v>
      </c>
      <c r="AE10" s="383" t="str">
        <f>IFERROR(__xludf.DUMMYFUNCTION("GOOGLETRANSLATE(C10,""zh-tw"",""DE"")"),"Mir ist schwindlig vom vielen Drehen.")</f>
        <v>Mir ist schwindlig vom vielen Drehen.</v>
      </c>
      <c r="AF10" s="507" t="str">
        <f>IFERROR(__xludf.DUMMYFUNCTION("GOOGLETRANSLATE(D10,""zh-tw"",""DE"")"),"Nach einem Rechtsklick auf die Nahkampfwaffe...")</f>
        <v>Nach einem Rechtsklick auf die Nahkampfwaffe...</v>
      </c>
      <c r="AG10" s="153" t="s">
        <v>11741</v>
      </c>
      <c r="AH10" s="155" t="s">
        <v>1243</v>
      </c>
      <c r="AI10" s="380" t="s">
        <v>11742</v>
      </c>
      <c r="AJ10" s="154" t="s">
        <v>11743</v>
      </c>
      <c r="AK10" s="153" t="s">
        <v>11744</v>
      </c>
      <c r="AL10" s="155" t="s">
        <v>1243</v>
      </c>
      <c r="AM10" s="380" t="s">
        <v>11745</v>
      </c>
      <c r="AN10" s="154" t="s">
        <v>11746</v>
      </c>
      <c r="AO10" s="197"/>
      <c r="AP10" s="155"/>
      <c r="AQ10" s="380"/>
      <c r="AR10" s="154"/>
      <c r="AS10" s="508"/>
      <c r="AT10" s="508"/>
    </row>
    <row r="11">
      <c r="A11" s="505" t="s">
        <v>11747</v>
      </c>
      <c r="B11" s="202" t="s">
        <v>1243</v>
      </c>
      <c r="C11" s="386" t="s">
        <v>11748</v>
      </c>
      <c r="D11" s="506" t="s">
        <v>11749</v>
      </c>
      <c r="E11" s="382" t="str">
        <f>IFERROR(__xludf.DUMMYFUNCTION("GOOGLETRANSLATE(A11,""zh-tw"",""ja"")"),"呪文詠唱")</f>
        <v>呪文詠唱</v>
      </c>
      <c r="F11" s="417" t="str">
        <f>IFERROR(__xludf.DUMMYFUNCTION("GOOGLETRANSLATE(B11,""zh-tw"",""ja"")"),"-")</f>
        <v>-</v>
      </c>
      <c r="G11" s="383" t="str">
        <f>IFERROR(__xludf.DUMMYFUNCTION("GOOGLETRANSLATE(C11,""zh-tw"",""ja"")"),"魔法の呪文を唱えている間")</f>
        <v>魔法の呪文を唱えている間</v>
      </c>
      <c r="H11" s="507" t="str">
        <f>IFERROR(__xludf.DUMMYFUNCTION("GOOGLETRANSLATE(D11,""zh-tw"",""ja"")"),"杖型の武器を右クリックする")</f>
        <v>杖型の武器を右クリックする</v>
      </c>
      <c r="I11" s="505" t="s">
        <v>11750</v>
      </c>
      <c r="J11" s="417" t="str">
        <f>IFERROR(__xludf.DUMMYFUNCTION("GOOGLETRANSLATE(B11,""zh-tw"",""en"")"),"-")</f>
        <v>-</v>
      </c>
      <c r="K11" s="386" t="s">
        <v>11751</v>
      </c>
      <c r="L11" s="506" t="s">
        <v>11752</v>
      </c>
      <c r="M11" s="382" t="str">
        <f>IFERROR(__xludf.DUMMYFUNCTION("GOOGLETRANSLATE(A11,""zh-tw"",""zh"")"),"施法")</f>
        <v>施法</v>
      </c>
      <c r="N11" s="417" t="str">
        <f>IFERROR(__xludf.DUMMYFUNCTION("GOOGLETRANSLATE(B11,""zh-tw"",""zh"")"),"-")</f>
        <v>-</v>
      </c>
      <c r="O11" s="383" t="str">
        <f>IFERROR(__xludf.DUMMYFUNCTION("GOOGLETRANSLATE(C11,""zh-tw"",""zh"")"),"魔法吟唱中")</f>
        <v>魔法吟唱中</v>
      </c>
      <c r="P11" s="507" t="str">
        <f>IFERROR(__xludf.DUMMYFUNCTION("GOOGLETRANSLATE(D11,""zh-tw"",""zh"")"),"法杖武器滑鼠右键")</f>
        <v>法杖武器滑鼠右键</v>
      </c>
      <c r="Q11" s="197" t="str">
        <f>IFERROR(__xludf.DUMMYFUNCTION("GOOGLETRANSLATE(A11,""zh-tw"",""es-MX"")"),"Lanzamiento de hechizos")</f>
        <v>Lanzamiento de hechizos</v>
      </c>
      <c r="R11" s="198" t="str">
        <f>IFERROR(__xludf.DUMMYFUNCTION("GOOGLETRANSLATE(B11,""zh-tw"",""es-MX"")"),"-")</f>
        <v>-</v>
      </c>
      <c r="S11" s="379" t="str">
        <f>IFERROR(__xludf.DUMMYFUNCTION("GOOGLETRANSLATE(C11,""zh-tw"",""es-MX"")"),"Durante el canto mágico")</f>
        <v>Durante el canto mágico</v>
      </c>
      <c r="T11" s="196" t="str">
        <f>IFERROR(__xludf.DUMMYFUNCTION("GOOGLETRANSLATE(D11,""zh-tw"",""es-MX"")"),"Haz clic derecho en el arma del bastón")</f>
        <v>Haz clic derecho en el arma del bastón</v>
      </c>
      <c r="U11" s="197" t="str">
        <f>IFERROR(__xludf.DUMMYFUNCTION("GOOGLETRANSLATE(A11,""zh-tw"",""KO"")"),"마법 시전")</f>
        <v>마법 시전</v>
      </c>
      <c r="V11" s="198" t="str">
        <f>IFERROR(__xludf.DUMMYFUNCTION("GOOGLETRANSLATE(B11,""zh-tw"",""KO"")"),"-")</f>
        <v>-</v>
      </c>
      <c r="W11" s="379" t="str">
        <f>IFERROR(__xludf.DUMMYFUNCTION("GOOGLETRANSLATE(C11,""zh-tw"",""KO"")"),"마법 주문을 외우는 동안")</f>
        <v>마법 주문을 외우는 동안</v>
      </c>
      <c r="X11" s="196" t="str">
        <f>IFERROR(__xludf.DUMMYFUNCTION("GOOGLETRANSLATE(D11,""zh-tw"",""KO"")"),"지팡이 무기를 마우스 오른쪽 버튼으로 클릭하세요")</f>
        <v>지팡이 무기를 마우스 오른쪽 버튼으로 클릭하세요</v>
      </c>
      <c r="Y11" s="197" t="s">
        <v>11753</v>
      </c>
      <c r="Z11" s="198" t="s">
        <v>1243</v>
      </c>
      <c r="AA11" s="379" t="s">
        <v>11754</v>
      </c>
      <c r="AB11" s="196" t="s">
        <v>11755</v>
      </c>
      <c r="AC11" s="382" t="str">
        <f>IFERROR(__xludf.DUMMYFUNCTION("GOOGLETRANSLATE(A11,""zh-tw"",""DE"")"),"Zauberwirken")</f>
        <v>Zauberwirken</v>
      </c>
      <c r="AD11" s="417" t="str">
        <f>IFERROR(__xludf.DUMMYFUNCTION("GOOGLETRANSLATE(B11,""zh-tw"",""DE"")"),"-")</f>
        <v>-</v>
      </c>
      <c r="AE11" s="383" t="str">
        <f>IFERROR(__xludf.DUMMYFUNCTION("GOOGLETRANSLATE(C11,""zh-tw"",""DE"")"),"Während des Zaubergesangs")</f>
        <v>Während des Zaubergesangs</v>
      </c>
      <c r="AF11" s="507" t="str">
        <f>IFERROR(__xludf.DUMMYFUNCTION("GOOGLETRANSLATE(D11,""zh-tw"",""DE"")"),"Rechtsklicken Sie auf die Stabwaffe")</f>
        <v>Rechtsklicken Sie auf die Stabwaffe</v>
      </c>
      <c r="AG11" s="165" t="s">
        <v>11756</v>
      </c>
      <c r="AH11" s="155" t="s">
        <v>1243</v>
      </c>
      <c r="AI11" s="385" t="s">
        <v>11757</v>
      </c>
      <c r="AJ11" s="154" t="s">
        <v>11758</v>
      </c>
      <c r="AK11" s="153" t="s">
        <v>11759</v>
      </c>
      <c r="AL11" s="155" t="s">
        <v>1243</v>
      </c>
      <c r="AM11" s="380" t="s">
        <v>11760</v>
      </c>
      <c r="AN11" s="154" t="s">
        <v>11761</v>
      </c>
      <c r="AO11" s="197"/>
      <c r="AP11" s="155"/>
      <c r="AQ11" s="380"/>
      <c r="AR11" s="154"/>
      <c r="AS11" s="508"/>
      <c r="AT11" s="508"/>
    </row>
    <row r="12">
      <c r="A12" s="505" t="s">
        <v>11762</v>
      </c>
      <c r="B12" s="202" t="s">
        <v>11763</v>
      </c>
      <c r="C12" s="386" t="s">
        <v>11764</v>
      </c>
      <c r="D12" s="506" t="s">
        <v>11765</v>
      </c>
      <c r="E12" s="505" t="s">
        <v>11762</v>
      </c>
      <c r="F12" s="202" t="s">
        <v>11766</v>
      </c>
      <c r="G12" s="386" t="s">
        <v>11767</v>
      </c>
      <c r="H12" s="506" t="s">
        <v>11768</v>
      </c>
      <c r="I12" s="505" t="s">
        <v>11769</v>
      </c>
      <c r="J12" s="202" t="s">
        <v>11770</v>
      </c>
      <c r="K12" s="386" t="s">
        <v>11771</v>
      </c>
      <c r="L12" s="506" t="s">
        <v>11772</v>
      </c>
      <c r="M12" s="382" t="str">
        <f>IFERROR(__xludf.DUMMYFUNCTION("GOOGLETRANSLATE(A12,""zh-tw"",""zh"")"),"中毒")</f>
        <v>中毒</v>
      </c>
      <c r="N12" s="417" t="str">
        <f>IFERROR(__xludf.DUMMYFUNCTION("GOOGLETRANSLATE(B12,""zh-tw"",""zh"")"),"体内感染了毒素")</f>
        <v>体内感染了毒素</v>
      </c>
      <c r="O12" s="383" t="str">
        <f>IFERROR(__xludf.DUMMYFUNCTION("GOOGLETRANSLATE(C12,""zh-tw"",""zh"")"),"随时间经过受到更多伤害")</f>
        <v>随时间经过受到更多伤害</v>
      </c>
      <c r="P12" s="507" t="str">
        <f>IFERROR(__xludf.DUMMYFUNCTION("GOOGLETRANSLATE(D12,""zh-tw"",""zh"")"),"被丧尸攻击")</f>
        <v>被丧尸攻击</v>
      </c>
      <c r="Q12" s="197" t="str">
        <f>IFERROR(__xludf.DUMMYFUNCTION("GOOGLETRANSLATE(A12,""zh-tw"",""es-MX"")"),"Envenenamiento")</f>
        <v>Envenenamiento</v>
      </c>
      <c r="R12" s="198" t="str">
        <f>IFERROR(__xludf.DUMMYFUNCTION("GOOGLETRANSLATE(B12,""zh-tw"",""es-MX"")"),"Infección por toxinas")</f>
        <v>Infección por toxinas</v>
      </c>
      <c r="S12" s="379" t="str">
        <f>IFERROR(__xludf.DUMMYFUNCTION("GOOGLETRANSLATE(C12,""zh-tw"",""es-MX"")"),"Más daños con el tiempo")</f>
        <v>Más daños con el tiempo</v>
      </c>
      <c r="T12" s="196" t="str">
        <f>IFERROR(__xludf.DUMMYFUNCTION("GOOGLETRANSLATE(D12,""zh-tw"",""es-MX"")"),"Atacado por zombis")</f>
        <v>Atacado por zombis</v>
      </c>
      <c r="U12" s="197" t="str">
        <f>IFERROR(__xludf.DUMMYFUNCTION("GOOGLETRANSLATE(A12,""zh-tw"",""KO"")"),"중독")</f>
        <v>중독</v>
      </c>
      <c r="V12" s="198" t="str">
        <f>IFERROR(__xludf.DUMMYFUNCTION("GOOGLETRANSLATE(B12,""zh-tw"",""KO"")"),"독소 감염")</f>
        <v>독소 감염</v>
      </c>
      <c r="W12" s="379" t="str">
        <f>IFERROR(__xludf.DUMMYFUNCTION("GOOGLETRANSLATE(C12,""zh-tw"",""KO"")"),"시간이 지날수록 더 큰 손상이 발생합니다.")</f>
        <v>시간이 지날수록 더 큰 손상이 발생합니다.</v>
      </c>
      <c r="X12" s="196" t="str">
        <f>IFERROR(__xludf.DUMMYFUNCTION("GOOGLETRANSLATE(D12,""zh-tw"",""KO"")"),"좀비들의 공격을 받았다")</f>
        <v>좀비들의 공격을 받았다</v>
      </c>
      <c r="Y12" s="197" t="s">
        <v>11773</v>
      </c>
      <c r="Z12" s="198" t="s">
        <v>11774</v>
      </c>
      <c r="AA12" s="379" t="s">
        <v>11775</v>
      </c>
      <c r="AB12" s="196" t="s">
        <v>11776</v>
      </c>
      <c r="AC12" s="382" t="str">
        <f>IFERROR(__xludf.DUMMYFUNCTION("GOOGLETRANSLATE(A12,""zh-tw"",""DE"")"),"Vergiftung")</f>
        <v>Vergiftung</v>
      </c>
      <c r="AD12" s="417" t="str">
        <f>IFERROR(__xludf.DUMMYFUNCTION("GOOGLETRANSLATE(B12,""zh-tw"",""DE"")"),"Infektion mit Toxinen")</f>
        <v>Infektion mit Toxinen</v>
      </c>
      <c r="AE12" s="383" t="str">
        <f>IFERROR(__xludf.DUMMYFUNCTION("GOOGLETRANSLATE(C12,""zh-tw"",""DE"")"),"Mehr Schaden im Laufe der Zeit")</f>
        <v>Mehr Schaden im Laufe der Zeit</v>
      </c>
      <c r="AF12" s="507" t="str">
        <f>IFERROR(__xludf.DUMMYFUNCTION("GOOGLETRANSLATE(D12,""zh-tw"",""DE"")"),"Von Zombies angegriffen")</f>
        <v>Von Zombies angegriffen</v>
      </c>
      <c r="AG12" s="153" t="s">
        <v>11777</v>
      </c>
      <c r="AH12" s="167" t="s">
        <v>11778</v>
      </c>
      <c r="AI12" s="380" t="s">
        <v>11779</v>
      </c>
      <c r="AJ12" s="154" t="s">
        <v>11780</v>
      </c>
      <c r="AK12" s="153" t="s">
        <v>11781</v>
      </c>
      <c r="AL12" s="155" t="s">
        <v>11782</v>
      </c>
      <c r="AM12" s="380" t="s">
        <v>11783</v>
      </c>
      <c r="AN12" s="154" t="s">
        <v>11784</v>
      </c>
      <c r="AO12" s="197"/>
      <c r="AP12" s="155"/>
      <c r="AQ12" s="380"/>
      <c r="AR12" s="154"/>
      <c r="AS12" s="508"/>
      <c r="AT12" s="508"/>
    </row>
    <row r="13">
      <c r="A13" s="505" t="s">
        <v>11785</v>
      </c>
      <c r="B13" s="202" t="s">
        <v>11786</v>
      </c>
      <c r="C13" s="386" t="s">
        <v>11787</v>
      </c>
      <c r="D13" s="506" t="s">
        <v>11788</v>
      </c>
      <c r="E13" s="382" t="str">
        <f>IFERROR(__xludf.DUMMYFUNCTION("GOOGLETRANSLATE(A13,""zh-tw"",""ja"")"),"出血")</f>
        <v>出血</v>
      </c>
      <c r="F13" s="202" t="s">
        <v>11789</v>
      </c>
      <c r="G13" s="383" t="str">
        <f>IFERROR(__xludf.DUMMYFUNCTION("GOOGLETRANSLATE(C13,""zh-tw"",""ja"")"),"受けるダメージは最大スタミナに基づいて計算されます。")</f>
        <v>受けるダメージは最大スタミナに基づいて計算されます。</v>
      </c>
      <c r="H13" s="506" t="s">
        <v>11790</v>
      </c>
      <c r="I13" s="382" t="str">
        <f>IFERROR(__xludf.DUMMYFUNCTION("GOOGLETRANSLATE(A13,""zh-tw"",""en"")"),"Bleeding")</f>
        <v>Bleeding</v>
      </c>
      <c r="J13" s="202" t="s">
        <v>11791</v>
      </c>
      <c r="K13" s="386" t="s">
        <v>11792</v>
      </c>
      <c r="L13" s="506" t="s">
        <v>11793</v>
      </c>
      <c r="M13" s="382" t="str">
        <f>IFERROR(__xludf.DUMMYFUNCTION("GOOGLETRANSLATE(A13,""zh-tw"",""zh"")"),"出血")</f>
        <v>出血</v>
      </c>
      <c r="N13" s="417" t="str">
        <f>IFERROR(__xludf.DUMMYFUNCTION("GOOGLETRANSLATE(B13,""zh-tw"",""zh"")"),"血流不止。")</f>
        <v>血流不止。</v>
      </c>
      <c r="O13" s="383" t="str">
        <f>IFERROR(__xludf.DUMMYFUNCTION("GOOGLETRANSLATE(C13,""zh-tw"",""zh"")"),"根据体力上限受到伤害")</f>
        <v>根据体力上限受到伤害</v>
      </c>
      <c r="P13" s="507" t="str">
        <f>IFERROR(__xludf.DUMMYFUNCTION("GOOGLETRANSLATE(D13,""zh-tw"",""zh"")"),"被小红兽攻击")</f>
        <v>被小红兽攻击</v>
      </c>
      <c r="Q13" s="197" t="str">
        <f>IFERROR(__xludf.DUMMYFUNCTION("GOOGLETRANSLATE(A13,""zh-tw"",""es-MX"")"),"Sangría")</f>
        <v>Sangría</v>
      </c>
      <c r="R13" s="198" t="str">
        <f>IFERROR(__xludf.DUMMYFUNCTION("GOOGLETRANSLATE(B13,""zh-tw"",""es-MX"")"),"El sangrado no cesaba.")</f>
        <v>El sangrado no cesaba.</v>
      </c>
      <c r="S13" s="379" t="str">
        <f>IFERROR(__xludf.DUMMYFUNCTION("GOOGLETRANSLATE(C13,""zh-tw"",""es-MX"")"),"El daño recibido se basa en la resistencia máxima.")</f>
        <v>El daño recibido se basa en la resistencia máxima.</v>
      </c>
      <c r="T13" s="196" t="str">
        <f>IFERROR(__xludf.DUMMYFUNCTION("GOOGLETRANSLATE(D13,""zh-tw"",""es-MX"")"),"Atacado por la pequeña bestia roja")</f>
        <v>Atacado por la pequeña bestia roja</v>
      </c>
      <c r="U13" s="197" t="str">
        <f>IFERROR(__xludf.DUMMYFUNCTION("GOOGLETRANSLATE(A13,""zh-tw"",""KO"")"),"출혈")</f>
        <v>출혈</v>
      </c>
      <c r="V13" s="198" t="str">
        <f>IFERROR(__xludf.DUMMYFUNCTION("GOOGLETRANSLATE(B13,""zh-tw"",""KO"")"),"출혈이 멈추지 않았다.")</f>
        <v>출혈이 멈추지 않았다.</v>
      </c>
      <c r="W13" s="379" t="str">
        <f>IFERROR(__xludf.DUMMYFUNCTION("GOOGLETRANSLATE(C13,""zh-tw"",""KO"")"),"최대 체력에 비례하여 받는 피해량.")</f>
        <v>최대 체력에 비례하여 받는 피해량.</v>
      </c>
      <c r="X13" s="196" t="str">
        <f>IFERROR(__xludf.DUMMYFUNCTION("GOOGLETRANSLATE(D13,""zh-tw"",""KO"")"),"작은 붉은 짐승에게 공격받았습니다")</f>
        <v>작은 붉은 짐승에게 공격받았습니다</v>
      </c>
      <c r="Y13" s="197" t="s">
        <v>11794</v>
      </c>
      <c r="Z13" s="198" t="s">
        <v>11795</v>
      </c>
      <c r="AA13" s="379" t="s">
        <v>11796</v>
      </c>
      <c r="AB13" s="196" t="s">
        <v>11797</v>
      </c>
      <c r="AC13" s="382" t="str">
        <f>IFERROR(__xludf.DUMMYFUNCTION("GOOGLETRANSLATE(A13,""zh-tw"",""DE"")"),"Blutung")</f>
        <v>Blutung</v>
      </c>
      <c r="AD13" s="417" t="str">
        <f>IFERROR(__xludf.DUMMYFUNCTION("GOOGLETRANSLATE(B13,""zh-tw"",""DE"")"),"Die Blutung hörte nicht auf.")</f>
        <v>Die Blutung hörte nicht auf.</v>
      </c>
      <c r="AE13" s="383" t="str">
        <f>IFERROR(__xludf.DUMMYFUNCTION("GOOGLETRANSLATE(C13,""zh-tw"",""DE"")"),"Der erlittene Schaden basiert auf der maximalen Ausdauer.")</f>
        <v>Der erlittene Schaden basiert auf der maximalen Ausdauer.</v>
      </c>
      <c r="AF13" s="507" t="str">
        <f>IFERROR(__xludf.DUMMYFUNCTION("GOOGLETRANSLATE(D13,""zh-tw"",""DE"")"),"Angegriffen von dem kleinen roten Biest")</f>
        <v>Angegriffen von dem kleinen roten Biest</v>
      </c>
      <c r="AG13" s="153" t="s">
        <v>11798</v>
      </c>
      <c r="AH13" s="167" t="s">
        <v>11799</v>
      </c>
      <c r="AI13" s="380" t="s">
        <v>11800</v>
      </c>
      <c r="AJ13" s="154" t="s">
        <v>11801</v>
      </c>
      <c r="AK13" s="153" t="s">
        <v>11802</v>
      </c>
      <c r="AL13" s="155" t="s">
        <v>11803</v>
      </c>
      <c r="AM13" s="380" t="s">
        <v>11804</v>
      </c>
      <c r="AN13" s="154" t="s">
        <v>11805</v>
      </c>
      <c r="AO13" s="197"/>
      <c r="AP13" s="155"/>
      <c r="AQ13" s="380"/>
      <c r="AR13" s="154"/>
      <c r="AS13" s="508"/>
      <c r="AT13" s="508"/>
    </row>
    <row r="14">
      <c r="A14" s="505" t="s">
        <v>11806</v>
      </c>
      <c r="B14" s="202" t="s">
        <v>11807</v>
      </c>
      <c r="C14" s="386" t="s">
        <v>11808</v>
      </c>
      <c r="D14" s="506" t="s">
        <v>11809</v>
      </c>
      <c r="E14" s="505" t="s">
        <v>11810</v>
      </c>
      <c r="F14" s="417" t="str">
        <f>IFERROR(__xludf.DUMMYFUNCTION("GOOGLETRANSLATE(B14,""zh-tw"",""ja"")"),"見て、この男は雷に打たれたんだ！")</f>
        <v>見て、この男は雷に打たれたんだ！</v>
      </c>
      <c r="G14" s="386" t="s">
        <v>11811</v>
      </c>
      <c r="H14" s="506" t="s">
        <v>11812</v>
      </c>
      <c r="I14" s="505" t="s">
        <v>11813</v>
      </c>
      <c r="J14" s="202" t="s">
        <v>11814</v>
      </c>
      <c r="K14" s="386" t="s">
        <v>11815</v>
      </c>
      <c r="L14" s="506" t="s">
        <v>11816</v>
      </c>
      <c r="M14" s="382" t="str">
        <f>IFERROR(__xludf.DUMMYFUNCTION("GOOGLETRANSLATE(A14,""zh-tw"",""zh"")"),"打雷")</f>
        <v>打雷</v>
      </c>
      <c r="N14" s="417" t="str">
        <f>IFERROR(__xludf.DUMMYFUNCTION("GOOGLETRANSLATE(B14,""zh-tw"",""zh"")"),"看啊，这家伙被雷劈了！")</f>
        <v>看啊，这家伙被雷劈了！</v>
      </c>
      <c r="O14" s="383" t="str">
        <f>IFERROR(__xludf.DUMMYFUNCTION("GOOGLETRANSLATE(C14,""zh-tw"",""zh"")"),"全身麻痹无法动弹！")</f>
        <v>全身麻痹无法动弹！</v>
      </c>
      <c r="P14" s="507" t="str">
        <f>IFERROR(__xludf.DUMMYFUNCTION("GOOGLETRANSLATE(D14,""zh-tw"",""zh"")"),"会漏电的的不良品、哔哩哔哩史莱姆")</f>
        <v>会漏电的的不良品、哔哩哔哩史莱姆</v>
      </c>
      <c r="Q14" s="197" t="str">
        <f>IFERROR(__xludf.DUMMYFUNCTION("GOOGLETRANSLATE(A14,""zh-tw"",""es-MX"")"),"trueno")</f>
        <v>trueno</v>
      </c>
      <c r="R14" s="198" t="str">
        <f>IFERROR(__xludf.DUMMYFUNCTION("GOOGLETRANSLATE(B14,""zh-tw"",""es-MX"")"),"¡Mira, a este tipo le cayó un rayo!")</f>
        <v>¡Mira, a este tipo le cayó un rayo!</v>
      </c>
      <c r="S14" s="379" t="str">
        <f>IFERROR(__xludf.DUMMYFUNCTION("GOOGLETRANSLATE(C14,""zh-tw"",""es-MX"")"),"¡Parálisis total, incapacidad para moverse!")</f>
        <v>¡Parálisis total, incapacidad para moverse!</v>
      </c>
      <c r="T14" s="196" t="str">
        <f>IFERROR(__xludf.DUMMYFUNCTION("GOOGLETRANSLATE(D14,""zh-tw"",""es-MX"")"),"Productos defectuosos que gotean electricidad; limo de Bilibili")</f>
        <v>Productos defectuosos que gotean electricidad; limo de Bilibili</v>
      </c>
      <c r="U14" s="197" t="str">
        <f>IFERROR(__xludf.DUMMYFUNCTION("GOOGLETRANSLATE(A14,""zh-tw"",""KO"")"),"우뢰")</f>
        <v>우뢰</v>
      </c>
      <c r="V14" s="198" t="str">
        <f>IFERROR(__xludf.DUMMYFUNCTION("GOOGLETRANSLATE(B14,""zh-tw"",""KO"")"),"저 사람 번개 맞았잖아!")</f>
        <v>저 사람 번개 맞았잖아!</v>
      </c>
      <c r="W14" s="379" t="str">
        <f>IFERROR(__xludf.DUMMYFUNCTION("GOOGLETRANSLATE(C14,""zh-tw"",""KO"")"),"완전 마비, 움직일 수 없어요!")</f>
        <v>완전 마비, 움직일 수 없어요!</v>
      </c>
      <c r="X14" s="196" t="str">
        <f>IFERROR(__xludf.DUMMYFUNCTION("GOOGLETRANSLATE(D14,""zh-tw"",""KO"")"),"전기가 새는 불량품; 빌리빌리 슬라임")</f>
        <v>전기가 새는 불량품; 빌리빌리 슬라임</v>
      </c>
      <c r="Y14" s="197" t="s">
        <v>11817</v>
      </c>
      <c r="Z14" s="198" t="s">
        <v>11818</v>
      </c>
      <c r="AA14" s="379" t="s">
        <v>11819</v>
      </c>
      <c r="AB14" s="196" t="s">
        <v>11820</v>
      </c>
      <c r="AC14" s="382" t="str">
        <f>IFERROR(__xludf.DUMMYFUNCTION("GOOGLETRANSLATE(A14,""zh-tw"",""DE"")"),"Donner")</f>
        <v>Donner</v>
      </c>
      <c r="AD14" s="417" t="str">
        <f>IFERROR(__xludf.DUMMYFUNCTION("GOOGLETRANSLATE(B14,""zh-tw"",""DE"")"),"Schau mal, dieser Typ wurde vom Blitz getroffen!")</f>
        <v>Schau mal, dieser Typ wurde vom Blitz getroffen!</v>
      </c>
      <c r="AE14" s="383" t="str">
        <f>IFERROR(__xludf.DUMMYFUNCTION("GOOGLETRANSLATE(C14,""zh-tw"",""DE"")"),"Völlige Lähmung, unfähig sich zu bewegen!")</f>
        <v>Völlige Lähmung, unfähig sich zu bewegen!</v>
      </c>
      <c r="AF14" s="507" t="str">
        <f>IFERROR(__xludf.DUMMYFUNCTION("GOOGLETRANSLATE(D14,""zh-tw"",""DE"")"),"Defekte Produkte, die Strom verlieren; Bilibili-Schleim")</f>
        <v>Defekte Produkte, die Strom verlieren; Bilibili-Schleim</v>
      </c>
      <c r="AG14" s="153" t="s">
        <v>11821</v>
      </c>
      <c r="AH14" s="167" t="s">
        <v>11822</v>
      </c>
      <c r="AI14" s="385" t="s">
        <v>11823</v>
      </c>
      <c r="AJ14" s="154" t="s">
        <v>11824</v>
      </c>
      <c r="AK14" s="153" t="s">
        <v>11825</v>
      </c>
      <c r="AL14" s="155" t="s">
        <v>11826</v>
      </c>
      <c r="AM14" s="380" t="s">
        <v>11827</v>
      </c>
      <c r="AN14" s="154" t="s">
        <v>11828</v>
      </c>
      <c r="AO14" s="197"/>
      <c r="AP14" s="155"/>
      <c r="AQ14" s="380"/>
      <c r="AR14" s="154"/>
      <c r="AS14" s="508"/>
      <c r="AT14" s="508"/>
    </row>
    <row r="15">
      <c r="A15" s="505" t="s">
        <v>11829</v>
      </c>
      <c r="B15" s="202" t="s">
        <v>11830</v>
      </c>
      <c r="C15" s="386" t="s">
        <v>11831</v>
      </c>
      <c r="D15" s="506" t="s">
        <v>11832</v>
      </c>
      <c r="E15" s="505" t="s">
        <v>11829</v>
      </c>
      <c r="F15" s="417" t="str">
        <f>IFERROR(__xludf.DUMMYFUNCTION("GOOGLETRANSLATE(B15,""zh-tw"",""ja"")"),"暑い！暑い！暑い！")</f>
        <v>暑い！暑い！暑い！</v>
      </c>
      <c r="G15" s="386" t="s">
        <v>11833</v>
      </c>
      <c r="H15" s="506" t="s">
        <v>11834</v>
      </c>
      <c r="I15" s="505" t="s">
        <v>11835</v>
      </c>
      <c r="J15" s="202" t="s">
        <v>11836</v>
      </c>
      <c r="K15" s="386" t="s">
        <v>11837</v>
      </c>
      <c r="L15" s="506" t="s">
        <v>11838</v>
      </c>
      <c r="M15" s="382" t="str">
        <f>IFERROR(__xludf.DUMMYFUNCTION("GOOGLETRANSLATE(A15,""zh-tw"",""zh"")"),"炎上")</f>
        <v>炎上</v>
      </c>
      <c r="N15" s="417" t="str">
        <f>IFERROR(__xludf.DUMMYFUNCTION("GOOGLETRANSLATE(B15,""zh-tw"",""zh"")"),"好烫好烫好烫——！")</f>
        <v>好烫好烫好烫——！</v>
      </c>
      <c r="O15" s="383" t="str">
        <f>IFERROR(__xludf.DUMMYFUNCTION("GOOGLETRANSLATE(C15,""zh-tw"",""zh"")"),"对自身范围内所有单位持续的灼烧")</f>
        <v>对自身范围内所有单位持续的灼烧</v>
      </c>
      <c r="P15" s="507" t="str">
        <f>IFERROR(__xludf.DUMMYFUNCTION("GOOGLETRANSLATE(D15,""zh-tw"",""zh"")"),"被火焰属性攻击")</f>
        <v>被火焰属性攻击</v>
      </c>
      <c r="Q15" s="197" t="str">
        <f>IFERROR(__xludf.DUMMYFUNCTION("GOOGLETRANSLATE(A15,""zh-tw"",""es-MX"")"),"Yan Shang")</f>
        <v>Yan Shang</v>
      </c>
      <c r="R15" s="198" t="str">
        <f>IFERROR(__xludf.DUMMYFUNCTION("GOOGLETRANSLATE(B15,""zh-tw"",""es-MX"")"),"¡Hace muchísimo calor! ¡Hace muchísimo calor! ¡Hace muchísimo calor!")</f>
        <v>¡Hace muchísimo calor! ¡Hace muchísimo calor! ¡Hace muchísimo calor!</v>
      </c>
      <c r="S15" s="379" t="str">
        <f>IFERROR(__xludf.DUMMYFUNCTION("GOOGLETRANSLATE(C15,""zh-tw"",""es-MX"")"),"Quema continua de todas las unidades dentro de su alcance.")</f>
        <v>Quema continua de todas las unidades dentro de su alcance.</v>
      </c>
      <c r="T15" s="196" t="str">
        <f>IFERROR(__xludf.DUMMYFUNCTION("GOOGLETRANSLATE(D15,""zh-tw"",""es-MX"")"),"Atacado por el fuego")</f>
        <v>Atacado por el fuego</v>
      </c>
      <c r="U15" s="197" t="str">
        <f>IFERROR(__xludf.DUMMYFUNCTION("GOOGLETRANSLATE(A15,""zh-tw"",""KO"")"),"옌샹")</f>
        <v>옌샹</v>
      </c>
      <c r="V15" s="198" t="str">
        <f>IFERROR(__xludf.DUMMYFUNCTION("GOOGLETRANSLATE(B15,""zh-tw"",""KO"")"),"너무 더워! 너무 더워! 너무 더워!")</f>
        <v>너무 더워! 너무 더워! 너무 더워!</v>
      </c>
      <c r="W15" s="379" t="str">
        <f>IFERROR(__xludf.DUMMYFUNCTION("GOOGLETRANSLATE(C15,""zh-tw"",""KO"")"),"범위 내 모든 장치의 지속적인 연소.")</f>
        <v>범위 내 모든 장치의 지속적인 연소.</v>
      </c>
      <c r="X15" s="196" t="str">
        <f>IFERROR(__xludf.DUMMYFUNCTION("GOOGLETRANSLATE(D15,""zh-tw"",""KO"")"),"화재로 공격받다")</f>
        <v>화재로 공격받다</v>
      </c>
      <c r="Y15" s="197" t="str">
        <f>IFERROR(__xludf.DUMMYFUNCTION("GOOGLETRANSLATE(A15,""zh-tw"",""RU"")"),"Ян Шан")</f>
        <v>Ян Шан</v>
      </c>
      <c r="Z15" s="198" t="s">
        <v>11839</v>
      </c>
      <c r="AA15" s="379" t="s">
        <v>11840</v>
      </c>
      <c r="AB15" s="196" t="s">
        <v>11841</v>
      </c>
      <c r="AC15" s="382" t="str">
        <f>IFERROR(__xludf.DUMMYFUNCTION("GOOGLETRANSLATE(A15,""zh-tw"",""DE"")"),"Yan Shang")</f>
        <v>Yan Shang</v>
      </c>
      <c r="AD15" s="417" t="str">
        <f>IFERROR(__xludf.DUMMYFUNCTION("GOOGLETRANSLATE(B15,""zh-tw"",""DE"")"),"Es ist so heiß! Es ist so heiß! Es ist so heiß!")</f>
        <v>Es ist so heiß! Es ist so heiß! Es ist so heiß!</v>
      </c>
      <c r="AE15" s="383" t="str">
        <f>IFERROR(__xludf.DUMMYFUNCTION("GOOGLETRANSLATE(C15,""zh-tw"",""DE"")"),"Kontinuierliches Abbrennen aller Einheiten innerhalb seiner Reichweite.")</f>
        <v>Kontinuierliches Abbrennen aller Einheiten innerhalb seiner Reichweite.</v>
      </c>
      <c r="AF15" s="507" t="str">
        <f>IFERROR(__xludf.DUMMYFUNCTION("GOOGLETRANSLATE(D15,""zh-tw"",""DE"")"),"Von Feuer angegriffen")</f>
        <v>Von Feuer angegriffen</v>
      </c>
      <c r="AG15" s="153" t="s">
        <v>11842</v>
      </c>
      <c r="AH15" s="155" t="s">
        <v>11843</v>
      </c>
      <c r="AI15" s="385" t="s">
        <v>11844</v>
      </c>
      <c r="AJ15" s="166" t="s">
        <v>11845</v>
      </c>
      <c r="AK15" s="153" t="s">
        <v>11846</v>
      </c>
      <c r="AL15" s="155" t="s">
        <v>11847</v>
      </c>
      <c r="AM15" s="380" t="s">
        <v>11848</v>
      </c>
      <c r="AN15" s="154" t="s">
        <v>11849</v>
      </c>
      <c r="AO15" s="197"/>
      <c r="AP15" s="155"/>
      <c r="AQ15" s="380"/>
      <c r="AR15" s="154"/>
      <c r="AS15" s="508"/>
      <c r="AT15" s="508"/>
    </row>
    <row r="16">
      <c r="A16" s="505" t="s">
        <v>11850</v>
      </c>
      <c r="B16" s="202" t="s">
        <v>11851</v>
      </c>
      <c r="C16" s="386" t="s">
        <v>11852</v>
      </c>
      <c r="D16" s="506" t="s">
        <v>6050</v>
      </c>
      <c r="E16" s="505" t="s">
        <v>11853</v>
      </c>
      <c r="F16" s="417" t="str">
        <f>IFERROR(__xludf.DUMMYFUNCTION("GOOGLETRANSLATE(B16,""zh-tw"",""ja"")"),"アイスキャンディーにしよう！")</f>
        <v>アイスキャンディーにしよう！</v>
      </c>
      <c r="G16" s="386" t="s">
        <v>11854</v>
      </c>
      <c r="H16" s="506" t="s">
        <v>11855</v>
      </c>
      <c r="I16" s="505" t="s">
        <v>11856</v>
      </c>
      <c r="J16" s="202" t="s">
        <v>11857</v>
      </c>
      <c r="K16" s="386" t="s">
        <v>11858</v>
      </c>
      <c r="L16" s="506" t="s">
        <v>6055</v>
      </c>
      <c r="M16" s="382" t="str">
        <f>IFERROR(__xludf.DUMMYFUNCTION("GOOGLETRANSLATE(A16,""zh-tw"",""zh"")"),"冰结")</f>
        <v>冰结</v>
      </c>
      <c r="N16" s="417" t="str">
        <f>IFERROR(__xludf.DUMMYFUNCTION("GOOGLETRANSLATE(B16,""zh-tw"",""zh"")"),"变成冰棍吧！")</f>
        <v>变成冰棍吧！</v>
      </c>
      <c r="O16" s="383" t="str">
        <f>IFERROR(__xludf.DUMMYFUNCTION("GOOGLETRANSLATE(C16,""zh-tw"",""zh"")"),"被冻住了！")</f>
        <v>被冻住了！</v>
      </c>
      <c r="P16" s="507" t="str">
        <f>IFERROR(__xludf.DUMMYFUNCTION("GOOGLETRANSLATE(D16,""zh-tw"",""zh"")"),"急冻史莱姆")</f>
        <v>急冻史莱姆</v>
      </c>
      <c r="Q16" s="197" t="str">
        <f>IFERROR(__xludf.DUMMYFUNCTION("GOOGLETRANSLATE(A16,""zh-tw"",""es-MX"")"),"Hielo")</f>
        <v>Hielo</v>
      </c>
      <c r="R16" s="198" t="str">
        <f>IFERROR(__xludf.DUMMYFUNCTION("GOOGLETRANSLATE(B16,""zh-tw"",""es-MX"")"),"¡Conviértelo en un helado de paleta!")</f>
        <v>¡Conviértelo en un helado de paleta!</v>
      </c>
      <c r="S16" s="379" t="str">
        <f>IFERROR(__xludf.DUMMYFUNCTION("GOOGLETRANSLATE(C16,""zh-tw"",""es-MX"")"),"¡Está completamente congelado!")</f>
        <v>¡Está completamente congelado!</v>
      </c>
      <c r="T16" s="196" t="str">
        <f>IFERROR(__xludf.DUMMYFUNCTION("GOOGLETRANSLATE(D16,""zh-tw"",""es-MX"")"),"Limo congelado")</f>
        <v>Limo congelado</v>
      </c>
      <c r="U16" s="197" t="str">
        <f>IFERROR(__xludf.DUMMYFUNCTION("GOOGLETRANSLATE(A16,""zh-tw"",""KO"")"),"얼음")</f>
        <v>얼음</v>
      </c>
      <c r="V16" s="198" t="str">
        <f>IFERROR(__xludf.DUMMYFUNCTION("GOOGLETRANSLATE(B16,""zh-tw"",""KO"")"),"아이스크림으로 만들어 보세요!")</f>
        <v>아이스크림으로 만들어 보세요!</v>
      </c>
      <c r="W16" s="379" t="str">
        <f>IFERROR(__xludf.DUMMYFUNCTION("GOOGLETRANSLATE(C16,""zh-tw"",""KO"")"),"완전히 꽁꽁 얼었어요!")</f>
        <v>완전히 꽁꽁 얼었어요!</v>
      </c>
      <c r="X16" s="196" t="str">
        <f>IFERROR(__xludf.DUMMYFUNCTION("GOOGLETRANSLATE(D16,""zh-tw"",""KO"")"),"냉동 슬라임")</f>
        <v>냉동 슬라임</v>
      </c>
      <c r="Y16" s="197" t="s">
        <v>11859</v>
      </c>
      <c r="Z16" s="198" t="s">
        <v>11860</v>
      </c>
      <c r="AA16" s="379" t="s">
        <v>11861</v>
      </c>
      <c r="AB16" s="196" t="s">
        <v>11862</v>
      </c>
      <c r="AC16" s="382" t="str">
        <f>IFERROR(__xludf.DUMMYFUNCTION("GOOGLETRANSLATE(A16,""zh-tw"",""DE"")"),"Eis")</f>
        <v>Eis</v>
      </c>
      <c r="AD16" s="417" t="str">
        <f>IFERROR(__xludf.DUMMYFUNCTION("GOOGLETRANSLATE(B16,""zh-tw"",""DE"")"),"Verwandle es in ein Eis am Stiel!")</f>
        <v>Verwandle es in ein Eis am Stiel!</v>
      </c>
      <c r="AE16" s="383" t="str">
        <f>IFERROR(__xludf.DUMMYFUNCTION("GOOGLETRANSLATE(C16,""zh-tw"",""DE"")"),"Es ist komplett durchgefroren!")</f>
        <v>Es ist komplett durchgefroren!</v>
      </c>
      <c r="AF16" s="507" t="str">
        <f>IFERROR(__xludf.DUMMYFUNCTION("GOOGLETRANSLATE(D16,""zh-tw"",""DE"")"),"Gefrorener Schleim")</f>
        <v>Gefrorener Schleim</v>
      </c>
      <c r="AG16" s="153" t="s">
        <v>11863</v>
      </c>
      <c r="AH16" s="167" t="s">
        <v>11864</v>
      </c>
      <c r="AI16" s="385" t="s">
        <v>11865</v>
      </c>
      <c r="AJ16" s="154" t="s">
        <v>6062</v>
      </c>
      <c r="AK16" s="153" t="s">
        <v>11866</v>
      </c>
      <c r="AL16" s="155" t="s">
        <v>11867</v>
      </c>
      <c r="AM16" s="380" t="s">
        <v>11868</v>
      </c>
      <c r="AN16" s="154" t="s">
        <v>6064</v>
      </c>
      <c r="AO16" s="197"/>
      <c r="AP16" s="155"/>
      <c r="AQ16" s="380"/>
      <c r="AR16" s="154"/>
      <c r="AS16" s="508"/>
      <c r="AT16" s="508"/>
    </row>
    <row r="17">
      <c r="A17" s="505" t="s">
        <v>11869</v>
      </c>
      <c r="B17" s="202" t="s">
        <v>11870</v>
      </c>
      <c r="C17" s="386" t="s">
        <v>11871</v>
      </c>
      <c r="D17" s="506" t="s">
        <v>11872</v>
      </c>
      <c r="E17" s="505" t="s">
        <v>11873</v>
      </c>
      <c r="F17" s="417" t="str">
        <f>IFERROR(__xludf.DUMMYFUNCTION("GOOGLETRANSLATE(B17,""zh-tw"",""ja"")"),"ふふ、これが私に反抗するとこうなるんだよ～♡")</f>
        <v>ふふ、これが私に反抗するとこうなるんだよ～♡</v>
      </c>
      <c r="G17" s="386" t="s">
        <v>11874</v>
      </c>
      <c r="H17" s="507" t="str">
        <f>IFERROR(__xludf.DUMMYFUNCTION("GOOGLETRANSLATE(D17,""zh-tw"",""ja"")"),"ミステリーショップでは魚はもらえません。")</f>
        <v>ミステリーショップでは魚はもらえません。</v>
      </c>
      <c r="I17" s="505" t="s">
        <v>11875</v>
      </c>
      <c r="J17" s="202" t="s">
        <v>11876</v>
      </c>
      <c r="K17" s="386" t="s">
        <v>11877</v>
      </c>
      <c r="L17" s="506" t="s">
        <v>11878</v>
      </c>
      <c r="M17" s="382" t="str">
        <f>IFERROR(__xludf.DUMMYFUNCTION("GOOGLETRANSLATE(A17,""zh-tw"",""zh"")"),"恶魔诅咒")</f>
        <v>恶魔诅咒</v>
      </c>
      <c r="N17" s="417" t="str">
        <f>IFERROR(__xludf.DUMMYFUNCTION("GOOGLETRANSLATE(B17,""zh-tw"",""zh"")"),"呋呋，这就是反抗我的下场噢~♡")</f>
        <v>呋呋，这就是反抗我的下场噢~♡</v>
      </c>
      <c r="O17" s="383" t="str">
        <f>IFERROR(__xludf.DUMMYFUNCTION("GOOGLETRANSLATE(C17,""zh-tw"",""zh"")"),"被奇怪的小鬼店长诅咒了")</f>
        <v>被奇怪的小鬼店长诅咒了</v>
      </c>
      <c r="P17" s="507" t="str">
        <f>IFERROR(__xludf.DUMMYFUNCTION("GOOGLETRANSLATE(D17,""zh-tw"",""zh"")"),"神秘商店不给鱼")</f>
        <v>神秘商店不给鱼</v>
      </c>
      <c r="Q17" s="197" t="str">
        <f>IFERROR(__xludf.DUMMYFUNCTION("GOOGLETRANSLATE(A17,""zh-tw"",""es-MX"")"),"Maldición demoníaca")</f>
        <v>Maldición demoníaca</v>
      </c>
      <c r="R17" s="198" t="str">
        <f>IFERROR(__xludf.DUMMYFUNCTION("GOOGLETRANSLATE(B17,""zh-tw"",""es-MX"")"),"Fufu, esto es lo que pasa cuando te rebelas contra mí~♡")</f>
        <v>Fufu, esto es lo que pasa cuando te rebelas contra mí~♡</v>
      </c>
      <c r="S17" s="379" t="str">
        <f>IFERROR(__xludf.DUMMYFUNCTION("GOOGLETRANSLATE(C17,""zh-tw"",""es-MX"")"),"Maldecido por el extraño y diabólico tendero.")</f>
        <v>Maldecido por el extraño y diabólico tendero.</v>
      </c>
      <c r="T17" s="196" t="str">
        <f>IFERROR(__xludf.DUMMYFUNCTION("GOOGLETRANSLATE(D17,""zh-tw"",""es-MX"")"),"La tienda misteriosa no te da pescado.")</f>
        <v>La tienda misteriosa no te da pescado.</v>
      </c>
      <c r="U17" s="197" t="str">
        <f>IFERROR(__xludf.DUMMYFUNCTION("GOOGLETRANSLATE(A17,""zh-tw"",""KO"")"),"악마의 저주")</f>
        <v>악마의 저주</v>
      </c>
      <c r="V17" s="198" t="str">
        <f>IFERROR(__xludf.DUMMYFUNCTION("GOOGLETRANSLATE(B17,""zh-tw"",""KO"")"),"후후, 나한테 반항하면 이렇게 되는 거야~♡")</f>
        <v>후후, 나한테 반항하면 이렇게 되는 거야~♡</v>
      </c>
      <c r="W17" s="379" t="str">
        <f>IFERROR(__xludf.DUMMYFUNCTION("GOOGLETRANSLATE(C17,""zh-tw"",""KO"")"),"기묘한 작은 악마 가게 주인의 저주를 받았다")</f>
        <v>기묘한 작은 악마 가게 주인의 저주를 받았다</v>
      </c>
      <c r="X17" s="196" t="str">
        <f>IFERROR(__xludf.DUMMYFUNCTION("GOOGLETRANSLATE(D17,""zh-tw"",""KO"")"),"미스터리 상점에서는 물고기를 주지 않습니다.")</f>
        <v>미스터리 상점에서는 물고기를 주지 않습니다.</v>
      </c>
      <c r="Y17" s="197" t="s">
        <v>11879</v>
      </c>
      <c r="Z17" s="198" t="s">
        <v>11880</v>
      </c>
      <c r="AA17" s="379" t="s">
        <v>11881</v>
      </c>
      <c r="AB17" s="196" t="s">
        <v>11882</v>
      </c>
      <c r="AC17" s="382" t="str">
        <f>IFERROR(__xludf.DUMMYFUNCTION("GOOGLETRANSLATE(A17,""zh-tw"",""DE"")"),"Dämonenfluch")</f>
        <v>Dämonenfluch</v>
      </c>
      <c r="AD17" s="417" t="str">
        <f>IFERROR(__xludf.DUMMYFUNCTION("GOOGLETRANSLATE(B17,""zh-tw"",""DE"")"),"Fufu, das passiert, wenn man gegen mich rebelliert~♡")</f>
        <v>Fufu, das passiert, wenn man gegen mich rebelliert~♡</v>
      </c>
      <c r="AE17" s="383" t="str">
        <f>IFERROR(__xludf.DUMMYFUNCTION("GOOGLETRANSLATE(C17,""zh-tw"",""DE"")"),"Verflucht von dem seltsamen kleinen Teufelsladenbesitzer")</f>
        <v>Verflucht von dem seltsamen kleinen Teufelsladenbesitzer</v>
      </c>
      <c r="AF17" s="507" t="str">
        <f>IFERROR(__xludf.DUMMYFUNCTION("GOOGLETRANSLATE(D17,""zh-tw"",""DE"")"),"Der Mystery Shop schenkt Ihnen keinen Fisch.")</f>
        <v>Der Mystery Shop schenkt Ihnen keinen Fisch.</v>
      </c>
      <c r="AG17" s="153" t="s">
        <v>11883</v>
      </c>
      <c r="AH17" s="167" t="s">
        <v>11884</v>
      </c>
      <c r="AI17" s="380" t="s">
        <v>11885</v>
      </c>
      <c r="AJ17" s="166" t="s">
        <v>11886</v>
      </c>
      <c r="AK17" s="153" t="s">
        <v>11887</v>
      </c>
      <c r="AL17" s="155" t="s">
        <v>11888</v>
      </c>
      <c r="AM17" s="380" t="s">
        <v>11889</v>
      </c>
      <c r="AN17" s="154" t="s">
        <v>11890</v>
      </c>
      <c r="AO17" s="197"/>
      <c r="AP17" s="155"/>
      <c r="AQ17" s="380"/>
      <c r="AR17" s="154"/>
      <c r="AS17" s="508"/>
      <c r="AT17" s="508"/>
    </row>
    <row r="18">
      <c r="A18" s="505" t="s">
        <v>11891</v>
      </c>
      <c r="B18" s="202" t="s">
        <v>11892</v>
      </c>
      <c r="C18" s="386" t="s">
        <v>11893</v>
      </c>
      <c r="D18" s="506" t="s">
        <v>11894</v>
      </c>
      <c r="E18" s="505" t="s">
        <v>11895</v>
      </c>
      <c r="F18" s="417" t="str">
        <f>IFERROR(__xludf.DUMMYFUNCTION("GOOGLETRANSLATE(B18,""zh-tw"",""ja"")"),"ここは私の縄張りよ、ここで悪いことは何もできないわ！♡")</f>
        <v>ここは私の縄張りよ、ここで悪いことは何もできないわ！♡</v>
      </c>
      <c r="G18" s="383" t="str">
        <f>IFERROR(__xludf.DUMMYFUNCTION("GOOGLETRANSLATE(C18,""zh-tw"",""ja"")"),"攻撃行為は禁止されています")</f>
        <v>攻撃行為は禁止されています</v>
      </c>
      <c r="H18" s="507" t="str">
        <f>IFERROR(__xludf.DUMMYFUNCTION("GOOGLETRANSLATE(D18,""zh-tw"",""ja"")"),"ミステリーショップの近く")</f>
        <v>ミステリーショップの近く</v>
      </c>
      <c r="I18" s="505" t="s">
        <v>11896</v>
      </c>
      <c r="J18" s="202" t="s">
        <v>11897</v>
      </c>
      <c r="K18" s="386" t="s">
        <v>11898</v>
      </c>
      <c r="L18" s="506" t="s">
        <v>11899</v>
      </c>
      <c r="M18" s="382" t="str">
        <f>IFERROR(__xludf.DUMMYFUNCTION("GOOGLETRANSLATE(A18,""zh-tw"",""zh"")"),"禁止攻击")</f>
        <v>禁止攻击</v>
      </c>
      <c r="N18" s="417" t="str">
        <f>IFERROR(__xludf.DUMMYFUNCTION("GOOGLETRANSLATE(B18,""zh-tw"",""zh"")"),"这里可是我的领域噢，可不能做坏事呢♡！")</f>
        <v>这里可是我的领域噢，可不能做坏事呢♡！</v>
      </c>
      <c r="O18" s="383" t="str">
        <f>IFERROR(__xludf.DUMMYFUNCTION("GOOGLETRANSLATE(C18,""zh-tw"",""zh"")"),"攻击行为禁止")</f>
        <v>攻击行为禁止</v>
      </c>
      <c r="P18" s="507" t="str">
        <f>IFERROR(__xludf.DUMMYFUNCTION("GOOGLETRANSLATE(D18,""zh-tw"",""zh"")"),"神秘商店附近")</f>
        <v>神秘商店附近</v>
      </c>
      <c r="Q18" s="197" t="str">
        <f>IFERROR(__xludf.DUMMYFUNCTION("GOOGLETRANSLATE(A18,""zh-tw"",""es-MX"")"),"No atacar")</f>
        <v>No atacar</v>
      </c>
      <c r="R18" s="198" t="str">
        <f>IFERROR(__xludf.DUMMYFUNCTION("GOOGLETRANSLATE(B18,""zh-tw"",""es-MX"")"),"¡Este es mi territorio, aquí no puedes hacer nada malo! ♡")</f>
        <v>¡Este es mi territorio, aquí no puedes hacer nada malo! ♡</v>
      </c>
      <c r="S18" s="379" t="str">
        <f>IFERROR(__xludf.DUMMYFUNCTION("GOOGLETRANSLATE(C18,""zh-tw"",""es-MX"")"),"Se prohíbe el comportamiento agresivo.")</f>
        <v>Se prohíbe el comportamiento agresivo.</v>
      </c>
      <c r="T18" s="196" t="str">
        <f>IFERROR(__xludf.DUMMYFUNCTION("GOOGLETRANSLATE(D18,""zh-tw"",""es-MX"")"),"Cerca de la tienda misteriosa")</f>
        <v>Cerca de la tienda misteriosa</v>
      </c>
      <c r="U18" s="197" t="str">
        <f>IFERROR(__xludf.DUMMYFUNCTION("GOOGLETRANSLATE(A18,""zh-tw"",""KO"")"),"공격하지 마세요")</f>
        <v>공격하지 마세요</v>
      </c>
      <c r="V18" s="198" t="str">
        <f>IFERROR(__xludf.DUMMYFUNCTION("GOOGLETRANSLATE(B18,""zh-tw"",""KO"")"),"여기는 내 영역이야, 여기서 나쁜 짓은 절대 못 해!♡")</f>
        <v>여기는 내 영역이야, 여기서 나쁜 짓은 절대 못 해!♡</v>
      </c>
      <c r="W18" s="379" t="str">
        <f>IFERROR(__xludf.DUMMYFUNCTION("GOOGLETRANSLATE(C18,""zh-tw"",""KO"")"),"공격 행위 금지")</f>
        <v>공격 행위 금지</v>
      </c>
      <c r="X18" s="196" t="str">
        <f>IFERROR(__xludf.DUMMYFUNCTION("GOOGLETRANSLATE(D18,""zh-tw"",""KO"")"),"미스터리 숍 근처")</f>
        <v>미스터리 숍 근처</v>
      </c>
      <c r="Y18" s="197" t="s">
        <v>11900</v>
      </c>
      <c r="Z18" s="198" t="s">
        <v>11901</v>
      </c>
      <c r="AA18" s="379" t="s">
        <v>11902</v>
      </c>
      <c r="AB18" s="196" t="s">
        <v>11903</v>
      </c>
      <c r="AC18" s="382" t="str">
        <f>IFERROR(__xludf.DUMMYFUNCTION("GOOGLETRANSLATE(A18,""zh-tw"",""DE"")"),"Nicht angreifen")</f>
        <v>Nicht angreifen</v>
      </c>
      <c r="AD18" s="417" t="str">
        <f>IFERROR(__xludf.DUMMYFUNCTION("GOOGLETRANSLATE(B18,""zh-tw"",""DE"")"),"Das ist mein Revier, hier kannst du nichts Schlimmes anstellen! ♡")</f>
        <v>Das ist mein Revier, hier kannst du nichts Schlimmes anstellen! ♡</v>
      </c>
      <c r="AE18" s="383" t="str">
        <f>IFERROR(__xludf.DUMMYFUNCTION("GOOGLETRANSLATE(C18,""zh-tw"",""DE"")"),"Angriffsverhalten verboten")</f>
        <v>Angriffsverhalten verboten</v>
      </c>
      <c r="AF18" s="507" t="str">
        <f>IFERROR(__xludf.DUMMYFUNCTION("GOOGLETRANSLATE(D18,""zh-tw"",""DE"")"),"In der Nähe des Mystery Shops")</f>
        <v>In der Nähe des Mystery Shops</v>
      </c>
      <c r="AG18" s="153" t="s">
        <v>11904</v>
      </c>
      <c r="AH18" s="167" t="s">
        <v>11905</v>
      </c>
      <c r="AI18" s="385" t="s">
        <v>11906</v>
      </c>
      <c r="AJ18" s="154" t="s">
        <v>11907</v>
      </c>
      <c r="AK18" s="153" t="s">
        <v>11908</v>
      </c>
      <c r="AL18" s="155" t="s">
        <v>11909</v>
      </c>
      <c r="AM18" s="380" t="s">
        <v>11910</v>
      </c>
      <c r="AN18" s="154" t="s">
        <v>11911</v>
      </c>
      <c r="AO18" s="197"/>
      <c r="AP18" s="155"/>
      <c r="AQ18" s="380"/>
      <c r="AR18" s="154"/>
      <c r="AS18" s="508"/>
      <c r="AT18" s="508"/>
    </row>
    <row r="19">
      <c r="A19" s="505" t="s">
        <v>11912</v>
      </c>
      <c r="B19" s="202" t="s">
        <v>11913</v>
      </c>
      <c r="C19" s="386" t="s">
        <v>11914</v>
      </c>
      <c r="D19" s="506" t="s">
        <v>11915</v>
      </c>
      <c r="E19" s="505" t="s">
        <v>11916</v>
      </c>
      <c r="F19" s="202" t="s">
        <v>11917</v>
      </c>
      <c r="G19" s="386" t="s">
        <v>11918</v>
      </c>
      <c r="H19" s="507" t="str">
        <f>IFERROR(__xludf.DUMMYFUNCTION("GOOGLETRANSLATE(D19,""zh-tw"",""ja"")"),"妹にいたずらを仕掛けた時に怒る")</f>
        <v>妹にいたずらを仕掛けた時に怒る</v>
      </c>
      <c r="I19" s="505" t="s">
        <v>11919</v>
      </c>
      <c r="J19" s="202" t="s">
        <v>11920</v>
      </c>
      <c r="K19" s="386" t="s">
        <v>11921</v>
      </c>
      <c r="L19" s="506" t="s">
        <v>11922</v>
      </c>
      <c r="M19" s="382" t="str">
        <f>IFERROR(__xludf.DUMMYFUNCTION("GOOGLETRANSLATE(A19,""zh-tw"",""zh"")"),"不要受伤")</f>
        <v>不要受伤</v>
      </c>
      <c r="N19" s="417" t="str">
        <f>IFERROR(__xludf.DUMMYFUNCTION("GOOGLETRANSLATE(B19,""zh-tw"",""zh"")"),"和妹妹重要的约定，必须要遵守呢")</f>
        <v>和妹妹重要的约定，必须要遵守呢</v>
      </c>
      <c r="O19" s="383" t="str">
        <f>IFERROR(__xludf.DUMMYFUNCTION("GOOGLETRANSLATE(C19,""zh-tw"",""zh"")"),"不要重伤回家")</f>
        <v>不要重伤回家</v>
      </c>
      <c r="P19" s="507" t="str">
        <f>IFERROR(__xludf.DUMMYFUNCTION("GOOGLETRANSLATE(D19,""zh-tw"",""zh"")"),"对妹妹恶作剧时生气")</f>
        <v>对妹妹恶作剧时生气</v>
      </c>
      <c r="Q19" s="197" t="str">
        <f>IFERROR(__xludf.DUMMYFUNCTION("GOOGLETRANSLATE(A19,""zh-tw"",""es-MX"")"),"No te hagas daño.")</f>
        <v>No te hagas daño.</v>
      </c>
      <c r="R19" s="198" t="str">
        <f>IFERROR(__xludf.DUMMYFUNCTION("GOOGLETRANSLATE(B19,""zh-tw"",""es-MX"")"),"Debo cumplir la importante promesa que le hice a mi hermana.")</f>
        <v>Debo cumplir la importante promesa que le hice a mi hermana.</v>
      </c>
      <c r="S19" s="379" t="str">
        <f>IFERROR(__xludf.DUMMYFUNCTION("GOOGLETRANSLATE(C19,""zh-tw"",""es-MX"")"),"No regrese a casa con lesiones graves.")</f>
        <v>No regrese a casa con lesiones graves.</v>
      </c>
      <c r="T19" s="196" t="str">
        <f>IFERROR(__xludf.DUMMYFUNCTION("GOOGLETRANSLATE(D19,""zh-tw"",""es-MX"")"),"Me enfado cuando le hago bromas a mi hermana pequeña.")</f>
        <v>Me enfado cuando le hago bromas a mi hermana pequeña.</v>
      </c>
      <c r="U19" s="197" t="str">
        <f>IFERROR(__xludf.DUMMYFUNCTION("GOOGLETRANSLATE(A19,""zh-tw"",""KO"")"),"다치지 마세요.")</f>
        <v>다치지 마세요.</v>
      </c>
      <c r="V19" s="198" t="str">
        <f>IFERROR(__xludf.DUMMYFUNCTION("GOOGLETRANSLATE(B19,""zh-tw"",""KO"")"),"나는 여동생과의 중요한 약속을 지켜야 해.")</f>
        <v>나는 여동생과의 중요한 약속을 지켜야 해.</v>
      </c>
      <c r="W19" s="379" t="str">
        <f>IFERROR(__xludf.DUMMYFUNCTION("GOOGLETRANSLATE(C19,""zh-tw"",""KO"")"),"심각한 부상을 입은 채로 집으로 돌아가지 마십시오.")</f>
        <v>심각한 부상을 입은 채로 집으로 돌아가지 마십시오.</v>
      </c>
      <c r="X19" s="196" t="str">
        <f>IFERROR(__xludf.DUMMYFUNCTION("GOOGLETRANSLATE(D19,""zh-tw"",""KO"")"),"여동생에게 장난치다가 화가 나는 경우")</f>
        <v>여동생에게 장난치다가 화가 나는 경우</v>
      </c>
      <c r="Y19" s="197" t="s">
        <v>11923</v>
      </c>
      <c r="Z19" s="198" t="s">
        <v>11924</v>
      </c>
      <c r="AA19" s="379" t="s">
        <v>11925</v>
      </c>
      <c r="AB19" s="196" t="s">
        <v>11926</v>
      </c>
      <c r="AC19" s="382" t="str">
        <f>IFERROR(__xludf.DUMMYFUNCTION("GOOGLETRANSLATE(A19,""zh-tw"",""DE"")"),"Verletz dich nicht.")</f>
        <v>Verletz dich nicht.</v>
      </c>
      <c r="AD19" s="417" t="str">
        <f>IFERROR(__xludf.DUMMYFUNCTION("GOOGLETRANSLATE(B19,""zh-tw"",""DE"")"),"Ich muss mein wichtiges Versprechen an meine Schwester halten.")</f>
        <v>Ich muss mein wichtiges Versprechen an meine Schwester halten.</v>
      </c>
      <c r="AE19" s="383" t="str">
        <f>IFERROR(__xludf.DUMMYFUNCTION("GOOGLETRANSLATE(C19,""zh-tw"",""DE"")"),"Kehren Sie nicht mit schweren Verletzungen nach Hause zurück.")</f>
        <v>Kehren Sie nicht mit schweren Verletzungen nach Hause zurück.</v>
      </c>
      <c r="AF19" s="507" t="str">
        <f>IFERROR(__xludf.DUMMYFUNCTION("GOOGLETRANSLATE(D19,""zh-tw"",""DE"")"),"Ich werde wütend, wenn ich meiner jüngeren Schwester Streiche spiele")</f>
        <v>Ich werde wütend, wenn ich meiner jüngeren Schwester Streiche spiele</v>
      </c>
      <c r="AG19" s="153" t="s">
        <v>11927</v>
      </c>
      <c r="AH19" s="167" t="s">
        <v>11928</v>
      </c>
      <c r="AI19" s="385" t="s">
        <v>11929</v>
      </c>
      <c r="AJ19" s="166" t="s">
        <v>11930</v>
      </c>
      <c r="AK19" s="153" t="s">
        <v>11931</v>
      </c>
      <c r="AL19" s="155" t="s">
        <v>11932</v>
      </c>
      <c r="AM19" s="380" t="s">
        <v>11933</v>
      </c>
      <c r="AN19" s="154" t="s">
        <v>11934</v>
      </c>
      <c r="AO19" s="197"/>
      <c r="AP19" s="155"/>
      <c r="AQ19" s="380"/>
      <c r="AR19" s="154"/>
      <c r="AS19" s="508"/>
      <c r="AT19" s="508"/>
    </row>
    <row r="20">
      <c r="A20" s="505" t="s">
        <v>11935</v>
      </c>
      <c r="B20" s="202" t="s">
        <v>11913</v>
      </c>
      <c r="C20" s="386" t="s">
        <v>11936</v>
      </c>
      <c r="D20" s="506" t="s">
        <v>11915</v>
      </c>
      <c r="E20" s="505" t="s">
        <v>11937</v>
      </c>
      <c r="F20" s="202" t="s">
        <v>11917</v>
      </c>
      <c r="G20" s="383" t="str">
        <f>IFERROR(__xludf.DUMMYFUNCTION("GOOGLETRANSLATE(C20,""zh-tw"",""ja"")"),"肉料理を作る")</f>
        <v>肉料理を作る</v>
      </c>
      <c r="H20" s="507" t="str">
        <f>IFERROR(__xludf.DUMMYFUNCTION("GOOGLETRANSLATE(D20,""zh-tw"",""ja"")"),"妹にいたずらを仕掛けた時に怒る")</f>
        <v>妹にいたずらを仕掛けた時に怒る</v>
      </c>
      <c r="I20" s="505" t="s">
        <v>11938</v>
      </c>
      <c r="J20" s="202" t="s">
        <v>11920</v>
      </c>
      <c r="K20" s="383" t="str">
        <f>IFERROR(__xludf.DUMMYFUNCTION("GOOGLETRANSLATE(C20,""zh-tw"",""en"")"),"Making meat dishes")</f>
        <v>Making meat dishes</v>
      </c>
      <c r="L20" s="506" t="s">
        <v>11922</v>
      </c>
      <c r="M20" s="382" t="str">
        <f>IFERROR(__xludf.DUMMYFUNCTION("GOOGLETRANSLATE(A20,""zh-tw"",""zh"")"),"肉料理")</f>
        <v>肉料理</v>
      </c>
      <c r="N20" s="417" t="str">
        <f>IFERROR(__xludf.DUMMYFUNCTION("GOOGLETRANSLATE(B20,""zh-tw"",""zh"")"),"和妹妹重要的约定，必须要遵守呢")</f>
        <v>和妹妹重要的约定，必须要遵守呢</v>
      </c>
      <c r="O20" s="383" t="str">
        <f>IFERROR(__xludf.DUMMYFUNCTION("GOOGLETRANSLATE(C20,""zh-tw"",""zh"")"),"做肉料理")</f>
        <v>做肉料理</v>
      </c>
      <c r="P20" s="507" t="str">
        <f>IFERROR(__xludf.DUMMYFUNCTION("GOOGLETRANSLATE(D20,""zh-tw"",""zh"")"),"对妹妹恶作剧时生气")</f>
        <v>对妹妹恶作剧时生气</v>
      </c>
      <c r="Q20" s="197" t="str">
        <f>IFERROR(__xludf.DUMMYFUNCTION("GOOGLETRANSLATE(A20,""zh-tw"",""es-MX"")"),"Platos de carne")</f>
        <v>Platos de carne</v>
      </c>
      <c r="R20" s="198" t="str">
        <f>IFERROR(__xludf.DUMMYFUNCTION("GOOGLETRANSLATE(B20,""zh-tw"",""es-MX"")"),"Debo cumplir la importante promesa que le hice a mi hermana.")</f>
        <v>Debo cumplir la importante promesa que le hice a mi hermana.</v>
      </c>
      <c r="S20" s="379" t="str">
        <f>IFERROR(__xludf.DUMMYFUNCTION("GOOGLETRANSLATE(C20,""zh-tw"",""es-MX"")"),"Preparación de platos de carne")</f>
        <v>Preparación de platos de carne</v>
      </c>
      <c r="T20" s="196" t="str">
        <f>IFERROR(__xludf.DUMMYFUNCTION("GOOGLETRANSLATE(D20,""zh-tw"",""es-MX"")"),"Me enfado cuando le hago bromas a mi hermana pequeña.")</f>
        <v>Me enfado cuando le hago bromas a mi hermana pequeña.</v>
      </c>
      <c r="U20" s="197" t="str">
        <f>IFERROR(__xludf.DUMMYFUNCTION("GOOGLETRANSLATE(A20,""zh-tw"",""KO"")"),"고기 요리")</f>
        <v>고기 요리</v>
      </c>
      <c r="V20" s="198" t="str">
        <f>IFERROR(__xludf.DUMMYFUNCTION("GOOGLETRANSLATE(B20,""zh-tw"",""KO"")"),"나는 여동생과의 중요한 약속을 지켜야 해.")</f>
        <v>나는 여동생과의 중요한 약속을 지켜야 해.</v>
      </c>
      <c r="W20" s="379" t="str">
        <f>IFERROR(__xludf.DUMMYFUNCTION("GOOGLETRANSLATE(C20,""zh-tw"",""KO"")"),"고기 요리 만들기")</f>
        <v>고기 요리 만들기</v>
      </c>
      <c r="X20" s="196" t="str">
        <f>IFERROR(__xludf.DUMMYFUNCTION("GOOGLETRANSLATE(D20,""zh-tw"",""KO"")"),"여동생에게 장난치다가 화가 나는 경우")</f>
        <v>여동생에게 장난치다가 화가 나는 경우</v>
      </c>
      <c r="Y20" s="197" t="s">
        <v>11939</v>
      </c>
      <c r="Z20" s="198" t="s">
        <v>11924</v>
      </c>
      <c r="AA20" s="379" t="s">
        <v>732</v>
      </c>
      <c r="AB20" s="196" t="s">
        <v>11926</v>
      </c>
      <c r="AC20" s="382" t="str">
        <f>IFERROR(__xludf.DUMMYFUNCTION("GOOGLETRANSLATE(A20,""zh-tw"",""DE"")"),"Fleischgerichte")</f>
        <v>Fleischgerichte</v>
      </c>
      <c r="AD20" s="417" t="str">
        <f>IFERROR(__xludf.DUMMYFUNCTION("GOOGLETRANSLATE(B20,""zh-tw"",""DE"")"),"Ich muss mein wichtiges Versprechen an meine Schwester halten.")</f>
        <v>Ich muss mein wichtiges Versprechen an meine Schwester halten.</v>
      </c>
      <c r="AE20" s="383" t="str">
        <f>IFERROR(__xludf.DUMMYFUNCTION("GOOGLETRANSLATE(C20,""zh-tw"",""DE"")"),"Fleischgerichte zubereiten")</f>
        <v>Fleischgerichte zubereiten</v>
      </c>
      <c r="AF20" s="507" t="str">
        <f>IFERROR(__xludf.DUMMYFUNCTION("GOOGLETRANSLATE(D20,""zh-tw"",""DE"")"),"Ich werde wütend, wenn ich meiner jüngeren Schwester Streiche spiele")</f>
        <v>Ich werde wütend, wenn ich meiner jüngeren Schwester Streiche spiele</v>
      </c>
      <c r="AG20" s="153" t="s">
        <v>11940</v>
      </c>
      <c r="AH20" s="167" t="s">
        <v>11928</v>
      </c>
      <c r="AI20" s="380" t="s">
        <v>11941</v>
      </c>
      <c r="AJ20" s="154" t="s">
        <v>11942</v>
      </c>
      <c r="AK20" s="153" t="s">
        <v>11943</v>
      </c>
      <c r="AL20" s="155" t="s">
        <v>11932</v>
      </c>
      <c r="AM20" s="385" t="s">
        <v>11944</v>
      </c>
      <c r="AN20" s="154" t="s">
        <v>11934</v>
      </c>
      <c r="AO20" s="197"/>
      <c r="AP20" s="155"/>
      <c r="AQ20" s="385"/>
      <c r="AR20" s="154"/>
      <c r="AS20" s="508"/>
      <c r="AT20" s="508"/>
    </row>
    <row r="21">
      <c r="A21" s="505" t="s">
        <v>11945</v>
      </c>
      <c r="B21" s="202" t="s">
        <v>11946</v>
      </c>
      <c r="C21" s="386" t="s">
        <v>11947</v>
      </c>
      <c r="D21" s="506" t="s">
        <v>603</v>
      </c>
      <c r="E21" s="505" t="s">
        <v>676</v>
      </c>
      <c r="F21" s="417" t="str">
        <f>IFERROR(__xludf.DUMMYFUNCTION("GOOGLETRANSLATE(B21,""zh-tw"",""ja"")"),"...")</f>
        <v>...</v>
      </c>
      <c r="G21" s="386" t="s">
        <v>11948</v>
      </c>
      <c r="H21" s="506" t="s">
        <v>606</v>
      </c>
      <c r="I21" s="505" t="s">
        <v>11949</v>
      </c>
      <c r="J21" s="417" t="str">
        <f>IFERROR(__xludf.DUMMYFUNCTION("GOOGLETRANSLATE(B21,""zh-tw"",""en"")"),"...")</f>
        <v>...</v>
      </c>
      <c r="K21" s="386" t="s">
        <v>11950</v>
      </c>
      <c r="L21" s="506" t="s">
        <v>609</v>
      </c>
      <c r="M21" s="382" t="str">
        <f>IFERROR(__xludf.DUMMYFUNCTION("GOOGLETRANSLATE(A21,""zh-tw"",""zh"")"),"到底忘记了什么")</f>
        <v>到底忘记了什么</v>
      </c>
      <c r="N21" s="417" t="str">
        <f>IFERROR(__xludf.DUMMYFUNCTION("GOOGLETRANSLATE(B21,""zh-tw"",""zh"")"),".....")</f>
        <v>.....</v>
      </c>
      <c r="O21" s="383" t="str">
        <f>IFERROR(__xludf.DUMMYFUNCTION("GOOGLETRANSLATE(C21,""zh-tw"",""zh"")"),"感觉忘记了什么重要的事情，总有一天会想起来吧？")</f>
        <v>感觉忘记了什么重要的事情，总有一天会想起来吧？</v>
      </c>
      <c r="P21" s="507" t="str">
        <f>IFERROR(__xludf.DUMMYFUNCTION("GOOGLETRANSLATE(D21,""zh-tw"",""zh"")"),"开局选项")</f>
        <v>开局选项</v>
      </c>
      <c r="Q21" s="197" t="str">
        <f>IFERROR(__xludf.DUMMYFUNCTION("GOOGLETRANSLATE(A21,""zh-tw"",""es-MX"")"),"¿Qué es exactamente lo que has olvidado?")</f>
        <v>¿Qué es exactamente lo que has olvidado?</v>
      </c>
      <c r="R21" s="198" t="str">
        <f>IFERROR(__xludf.DUMMYFUNCTION("GOOGLETRANSLATE(B21,""zh-tw"",""es-MX"")"),"...")</f>
        <v>...</v>
      </c>
      <c r="S21" s="379" t="str">
        <f>IFERROR(__xludf.DUMMYFUNCTION("GOOGLETRANSLATE(C21,""zh-tw"",""es-MX"")"),"Siento que he olvidado algo importante. Algún día lo recordaré, ¿verdad?")</f>
        <v>Siento que he olvidado algo importante. Algún día lo recordaré, ¿verdad?</v>
      </c>
      <c r="T21" s="196" t="str">
        <f>IFERROR(__xludf.DUMMYFUNCTION("GOOGLETRANSLATE(D21,""zh-tw"",""es-MX"")"),"Opciones iniciales")</f>
        <v>Opciones iniciales</v>
      </c>
      <c r="U21" s="197" t="str">
        <f>IFERROR(__xludf.DUMMYFUNCTION("GOOGLETRANSLATE(A21,""zh-tw"",""KO"")"),"정확히 무엇을 잊어버리셨나요?")</f>
        <v>정확히 무엇을 잊어버리셨나요?</v>
      </c>
      <c r="V21" s="198" t="str">
        <f>IFERROR(__xludf.DUMMYFUNCTION("GOOGLETRANSLATE(B21,""zh-tw"",""KO"")"),"...")</f>
        <v>...</v>
      </c>
      <c r="W21" s="379" t="str">
        <f>IFERROR(__xludf.DUMMYFUNCTION("GOOGLETRANSLATE(C21,""zh-tw"",""KO"")"),"뭔가 중요한 걸 잊어버린 것 같아요. 언젠가는 기억나겠죠?")</f>
        <v>뭔가 중요한 걸 잊어버린 것 같아요. 언젠가는 기억나겠죠?</v>
      </c>
      <c r="X21" s="196" t="str">
        <f>IFERROR(__xludf.DUMMYFUNCTION("GOOGLETRANSLATE(D21,""zh-tw"",""KO"")"),"시작 옵션")</f>
        <v>시작 옵션</v>
      </c>
      <c r="Y21" s="197" t="s">
        <v>11951</v>
      </c>
      <c r="Z21" s="198" t="s">
        <v>11952</v>
      </c>
      <c r="AA21" s="379" t="s">
        <v>11953</v>
      </c>
      <c r="AB21" s="196" t="s">
        <v>11954</v>
      </c>
      <c r="AC21" s="382" t="str">
        <f>IFERROR(__xludf.DUMMYFUNCTION("GOOGLETRANSLATE(A21,""zh-tw"",""DE"")"),"Was genau haben Sie vergessen?")</f>
        <v>Was genau haben Sie vergessen?</v>
      </c>
      <c r="AD21" s="417" t="str">
        <f>IFERROR(__xludf.DUMMYFUNCTION("GOOGLETRANSLATE(B21,""zh-tw"",""DE"")"),"...")</f>
        <v>...</v>
      </c>
      <c r="AE21" s="383"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507" t="str">
        <f>IFERROR(__xludf.DUMMYFUNCTION("GOOGLETRANSLATE(D21,""zh-tw"",""DE"")"),"Startoptionen")</f>
        <v>Startoptionen</v>
      </c>
      <c r="AG21" s="153" t="s">
        <v>11955</v>
      </c>
      <c r="AH21" s="155" t="s">
        <v>11952</v>
      </c>
      <c r="AI21" s="385" t="s">
        <v>11956</v>
      </c>
      <c r="AJ21" s="154" t="s">
        <v>625</v>
      </c>
      <c r="AK21" s="153" t="s">
        <v>11957</v>
      </c>
      <c r="AL21" s="155" t="s">
        <v>1243</v>
      </c>
      <c r="AM21" s="380" t="s">
        <v>11958</v>
      </c>
      <c r="AN21" s="154" t="s">
        <v>628</v>
      </c>
      <c r="AO21" s="197"/>
      <c r="AP21" s="155"/>
      <c r="AQ21" s="380"/>
      <c r="AR21" s="154"/>
      <c r="AS21" s="508"/>
      <c r="AT21" s="508"/>
    </row>
    <row r="22">
      <c r="A22" s="505" t="s">
        <v>11959</v>
      </c>
      <c r="B22" s="202" t="s">
        <v>11960</v>
      </c>
      <c r="C22" s="386" t="s">
        <v>11961</v>
      </c>
      <c r="D22" s="506" t="s">
        <v>7282</v>
      </c>
      <c r="E22" s="505" t="s">
        <v>11962</v>
      </c>
      <c r="F22" s="202" t="s">
        <v>11963</v>
      </c>
      <c r="G22" s="383" t="str">
        <f>IFERROR(__xludf.DUMMYFUNCTION("GOOGLETRANSLATE(C22,""zh-tw"",""ja"")"),"彼の体からは絶えず悪臭が漂っていた。")</f>
        <v>彼の体からは絶えず悪臭が漂っていた。</v>
      </c>
      <c r="H22" s="506" t="s">
        <v>7284</v>
      </c>
      <c r="I22" s="505" t="s">
        <v>11964</v>
      </c>
      <c r="J22" s="202" t="s">
        <v>11965</v>
      </c>
      <c r="K22" s="386" t="s">
        <v>11966</v>
      </c>
      <c r="L22" s="506" t="s">
        <v>7286</v>
      </c>
      <c r="M22" s="382" t="str">
        <f>IFERROR(__xludf.DUMMYFUNCTION("GOOGLETRANSLATE(A22,""zh-tw"",""zh"")"),"浑身恶臭")</f>
        <v>浑身恶臭</v>
      </c>
      <c r="N22" s="417" t="str">
        <f>IFERROR(__xludf.DUMMYFUNCTION("GOOGLETRANSLATE(B22,""zh-tw"",""zh"")"),"浑身恶臭。")</f>
        <v>浑身恶臭。</v>
      </c>
      <c r="O22" s="383" t="str">
        <f>IFERROR(__xludf.DUMMYFUNCTION("GOOGLETRANSLATE(C22,""zh-tw"",""zh"")"),"身上不断散发着恶臭")</f>
        <v>身上不断散发着恶臭</v>
      </c>
      <c r="P22" s="507" t="str">
        <f>IFERROR(__xludf.DUMMYFUNCTION("GOOGLETRANSLATE(D22,""zh-tw"",""zh"")"),"臭鱼骨")</f>
        <v>臭鱼骨</v>
      </c>
      <c r="Q22" s="197" t="str">
        <f>IFERROR(__xludf.DUMMYFUNCTION("GOOGLETRANSLATE(A22,""zh-tw"",""es-MX"")"),"Todo el cuerpo olía asqueroso.")</f>
        <v>Todo el cuerpo olía asqueroso.</v>
      </c>
      <c r="R22" s="198" t="str">
        <f>IFERROR(__xludf.DUMMYFUNCTION("GOOGLETRANSLATE(B22,""zh-tw"",""es-MX"")"),"Olía fatal.")</f>
        <v>Olía fatal.</v>
      </c>
      <c r="S22" s="379" t="str">
        <f>IFERROR(__xludf.DUMMYFUNCTION("GOOGLETRANSLATE(C22,""zh-tw"",""es-MX"")"),"Su cuerpo desprendía constantemente un hedor nauseabundo.")</f>
        <v>Su cuerpo desprendía constantemente un hedor nauseabundo.</v>
      </c>
      <c r="T22" s="196" t="str">
        <f>IFERROR(__xludf.DUMMYFUNCTION("GOOGLETRANSLATE(D22,""zh-tw"",""es-MX"")"),"Espinas de pescado apestosas")</f>
        <v>Espinas de pescado apestosas</v>
      </c>
      <c r="U22" s="197" t="str">
        <f>IFERROR(__xludf.DUMMYFUNCTION("GOOGLETRANSLATE(A22,""zh-tw"",""KO"")"),"온몸에서 역겨운 냄새가 났다.")</f>
        <v>온몸에서 역겨운 냄새가 났다.</v>
      </c>
      <c r="V22" s="198" t="str">
        <f>IFERROR(__xludf.DUMMYFUNCTION("GOOGLETRANSLATE(B22,""zh-tw"",""KO"")"),"그는 끔찍한 냄새가 났다.")</f>
        <v>그는 끔찍한 냄새가 났다.</v>
      </c>
      <c r="W22" s="379" t="str">
        <f>IFERROR(__xludf.DUMMYFUNCTION("GOOGLETRANSLATE(C22,""zh-tw"",""KO"")"),"그의 몸에서는 끊임없이 악취가 풍겼다.")</f>
        <v>그의 몸에서는 끊임없이 악취가 풍겼다.</v>
      </c>
      <c r="X22" s="196" t="str">
        <f>IFERROR(__xludf.DUMMYFUNCTION("GOOGLETRANSLATE(D22,""zh-tw"",""KO"")"),"냄새나는 생선 뼈")</f>
        <v>냄새나는 생선 뼈</v>
      </c>
      <c r="Y22" s="197" t="s">
        <v>11967</v>
      </c>
      <c r="Z22" s="198" t="s">
        <v>11968</v>
      </c>
      <c r="AA22" s="379" t="s">
        <v>11969</v>
      </c>
      <c r="AB22" s="196" t="s">
        <v>11970</v>
      </c>
      <c r="AC22" s="382" t="str">
        <f>IFERROR(__xludf.DUMMYFUNCTION("GOOGLETRANSLATE(A22,""zh-tw"",""DE"")"),"Der ganze Körper roch widerlich.")</f>
        <v>Der ganze Körper roch widerlich.</v>
      </c>
      <c r="AD22" s="417" t="str">
        <f>IFERROR(__xludf.DUMMYFUNCTION("GOOGLETRANSLATE(B22,""zh-tw"",""DE"")"),"Er roch abscheulich.")</f>
        <v>Er roch abscheulich.</v>
      </c>
      <c r="AE22" s="383" t="str">
        <f>IFERROR(__xludf.DUMMYFUNCTION("GOOGLETRANSLATE(C22,""zh-tw"",""DE"")"),"Sein Körper verströmte unaufhörlich einen widerlichen Gestank.")</f>
        <v>Sein Körper verströmte unaufhörlich einen widerlichen Gestank.</v>
      </c>
      <c r="AF22" s="507" t="str">
        <f>IFERROR(__xludf.DUMMYFUNCTION("GOOGLETRANSLATE(D22,""zh-tw"",""DE"")"),"Stinkende Fischgräten")</f>
        <v>Stinkende Fischgräten</v>
      </c>
      <c r="AG22" s="153" t="s">
        <v>11971</v>
      </c>
      <c r="AH22" s="155" t="s">
        <v>11972</v>
      </c>
      <c r="AI22" s="385" t="s">
        <v>11973</v>
      </c>
      <c r="AJ22" s="154" t="s">
        <v>7294</v>
      </c>
      <c r="AK22" s="153" t="s">
        <v>11974</v>
      </c>
      <c r="AL22" s="155" t="s">
        <v>11975</v>
      </c>
      <c r="AM22" s="380" t="s">
        <v>11976</v>
      </c>
      <c r="AN22" s="154" t="s">
        <v>7296</v>
      </c>
      <c r="AO22" s="197"/>
      <c r="AP22" s="155"/>
      <c r="AQ22" s="380"/>
      <c r="AR22" s="154"/>
      <c r="AS22" s="508"/>
      <c r="AT22" s="508"/>
    </row>
    <row r="23">
      <c r="A23" s="505" t="s">
        <v>11977</v>
      </c>
      <c r="B23" s="202" t="s">
        <v>11978</v>
      </c>
      <c r="C23" s="386" t="s">
        <v>11979</v>
      </c>
      <c r="D23" s="506" t="s">
        <v>11980</v>
      </c>
      <c r="E23" s="382" t="str">
        <f>IFERROR(__xludf.DUMMYFUNCTION("GOOGLETRANSLATE(A23,""zh-tw"",""ja"")"),"美味しい")</f>
        <v>美味しい</v>
      </c>
      <c r="F23" s="417" t="str">
        <f>IFERROR(__xludf.DUMMYFUNCTION("GOOGLETRANSLATE(B23,""zh-tw"",""ja"")"),"美味しいものを食べたので、お腹の中が温かいです～")</f>
        <v>美味しいものを食べたので、お腹の中が温かいです～</v>
      </c>
      <c r="G23" s="383" t="str">
        <f>IFERROR(__xludf.DUMMYFUNCTION("GOOGLETRANSLATE(C23,""zh-tw"",""ja"")"),"スタミナは毎秒少しずつ回復する")</f>
        <v>スタミナは毎秒少しずつ回復する</v>
      </c>
      <c r="H23" s="507" t="str">
        <f>IFERROR(__xludf.DUMMYFUNCTION("GOOGLETRANSLATE(D23,""zh-tw"",""ja"")"),"美味しい料理")</f>
        <v>美味しい料理</v>
      </c>
      <c r="I23" s="505" t="s">
        <v>11981</v>
      </c>
      <c r="J23" s="202" t="s">
        <v>11982</v>
      </c>
      <c r="K23" s="386" t="s">
        <v>11983</v>
      </c>
      <c r="L23" s="506" t="s">
        <v>11984</v>
      </c>
      <c r="M23" s="382" t="str">
        <f>IFERROR(__xludf.DUMMYFUNCTION("GOOGLETRANSLATE(A23,""zh-tw"",""zh"")"),"美味い")</f>
        <v>美味い</v>
      </c>
      <c r="N23" s="417" t="str">
        <f>IFERROR(__xludf.DUMMYFUNCTION("GOOGLETRANSLATE(B23,""zh-tw"",""zh"")"),"吃到了美味的东西，肚子里暖暖的~")</f>
        <v>吃到了美味的东西，肚子里暖暖的~</v>
      </c>
      <c r="O23" s="383" t="str">
        <f>IFERROR(__xludf.DUMMYFUNCTION("GOOGLETRANSLATE(C23,""zh-tw"",""zh"")"),"每秒体力少量回复")</f>
        <v>每秒体力少量回复</v>
      </c>
      <c r="P23" s="507" t="str">
        <f>IFERROR(__xludf.DUMMYFUNCTION("GOOGLETRANSLATE(D23,""zh-tw"",""zh"")"),"美味料理")</f>
        <v>美味料理</v>
      </c>
      <c r="Q23" s="197" t="str">
        <f>IFERROR(__xludf.DUMMYFUNCTION("GOOGLETRANSLATE(A23,""zh-tw"",""es-MX"")"),"Delicioso")</f>
        <v>Delicioso</v>
      </c>
      <c r="R23" s="198" t="str">
        <f>IFERROR(__xludf.DUMMYFUNCTION("GOOGLETRANSLATE(B23,""zh-tw"",""es-MX"")"),"Comí algo delicioso y siento una agradable sensación de calor en el estómago.")</f>
        <v>Comí algo delicioso y siento una agradable sensación de calor en el estómago.</v>
      </c>
      <c r="S23" s="379" t="str">
        <f>IFERROR(__xludf.DUMMYFUNCTION("GOOGLETRANSLATE(C23,""zh-tw"",""es-MX"")"),"La resistencia se recupera en una pequeña cantidad por segundo.")</f>
        <v>La resistencia se recupera en una pequeña cantidad por segundo.</v>
      </c>
      <c r="T23" s="196" t="str">
        <f>IFERROR(__xludf.DUMMYFUNCTION("GOOGLETRANSLATE(D23,""zh-tw"",""es-MX"")"),"Deliciosa cocina")</f>
        <v>Deliciosa cocina</v>
      </c>
      <c r="U23" s="197" t="str">
        <f>IFERROR(__xludf.DUMMYFUNCTION("GOOGLETRANSLATE(A23,""zh-tw"",""KO"")"),"맛있는")</f>
        <v>맛있는</v>
      </c>
      <c r="V23" s="198" t="str">
        <f>IFERROR(__xludf.DUMMYFUNCTION("GOOGLETRANSLATE(B23,""zh-tw"",""KO"")"),"맛있는 걸 먹었더니 배가 따뜻해졌어요~")</f>
        <v>맛있는 걸 먹었더니 배가 따뜻해졌어요~</v>
      </c>
      <c r="W23" s="379" t="str">
        <f>IFERROR(__xludf.DUMMYFUNCTION("GOOGLETRANSLATE(C23,""zh-tw"",""KO"")"),"체력은 초당 소량씩 회복됩니다.")</f>
        <v>체력은 초당 소량씩 회복됩니다.</v>
      </c>
      <c r="X23" s="196" t="str">
        <f>IFERROR(__xludf.DUMMYFUNCTION("GOOGLETRANSLATE(D23,""zh-tw"",""KO"")"),"맛있는 음식")</f>
        <v>맛있는 음식</v>
      </c>
      <c r="Y23" s="197" t="s">
        <v>11985</v>
      </c>
      <c r="Z23" s="198" t="s">
        <v>11986</v>
      </c>
      <c r="AA23" s="379" t="s">
        <v>11987</v>
      </c>
      <c r="AB23" s="196" t="s">
        <v>11988</v>
      </c>
      <c r="AC23" s="382" t="str">
        <f>IFERROR(__xludf.DUMMYFUNCTION("GOOGLETRANSLATE(A23,""zh-tw"",""DE"")"),"Lecker")</f>
        <v>Lecker</v>
      </c>
      <c r="AD23" s="417" t="str">
        <f>IFERROR(__xludf.DUMMYFUNCTION("GOOGLETRANSLATE(B23,""zh-tw"",""DE"")"),"Ich habe etwas Leckeres gegessen und mein Bauch fühlt sich warm an.")</f>
        <v>Ich habe etwas Leckeres gegessen und mein Bauch fühlt sich warm an.</v>
      </c>
      <c r="AE23" s="383" t="str">
        <f>IFERROR(__xludf.DUMMYFUNCTION("GOOGLETRANSLATE(C23,""zh-tw"",""DE"")"),"Die Ausdauer regeneriert sich pro Sekunde nur geringfügig.")</f>
        <v>Die Ausdauer regeneriert sich pro Sekunde nur geringfügig.</v>
      </c>
      <c r="AF23" s="507" t="str">
        <f>IFERROR(__xludf.DUMMYFUNCTION("GOOGLETRANSLATE(D23,""zh-tw"",""DE"")"),"Köstliche Küche")</f>
        <v>Köstliche Küche</v>
      </c>
      <c r="AG23" s="153" t="s">
        <v>11989</v>
      </c>
      <c r="AH23" s="167" t="s">
        <v>11990</v>
      </c>
      <c r="AI23" s="380" t="s">
        <v>11991</v>
      </c>
      <c r="AJ23" s="166" t="s">
        <v>11992</v>
      </c>
      <c r="AK23" s="153" t="s">
        <v>11993</v>
      </c>
      <c r="AL23" s="155" t="s">
        <v>11994</v>
      </c>
      <c r="AM23" s="380" t="s">
        <v>11995</v>
      </c>
      <c r="AN23" s="154" t="s">
        <v>11996</v>
      </c>
      <c r="AO23" s="197"/>
      <c r="AP23" s="155"/>
      <c r="AQ23" s="380"/>
      <c r="AR23" s="154"/>
      <c r="AS23" s="508"/>
      <c r="AT23" s="508"/>
    </row>
    <row r="24">
      <c r="A24" s="505" t="s">
        <v>11997</v>
      </c>
      <c r="B24" s="202" t="s">
        <v>11998</v>
      </c>
      <c r="C24" s="386" t="s">
        <v>11999</v>
      </c>
      <c r="D24" s="506" t="s">
        <v>12000</v>
      </c>
      <c r="E24" s="505" t="s">
        <v>12001</v>
      </c>
      <c r="F24" s="202" t="s">
        <v>12002</v>
      </c>
      <c r="G24" s="383" t="str">
        <f>IFERROR(__xludf.DUMMYFUNCTION("GOOGLETRANSLATE(C24,""zh-tw"",""ja"")"),"攻撃力+50%")</f>
        <v>攻撃力+50%</v>
      </c>
      <c r="H24" s="507" t="str">
        <f>IFERROR(__xludf.DUMMYFUNCTION("GOOGLETRANSLATE(D24,""zh-tw"",""ja"")"),"食べ物")</f>
        <v>食べ物</v>
      </c>
      <c r="I24" s="505" t="s">
        <v>12003</v>
      </c>
      <c r="J24" s="202" t="s">
        <v>12004</v>
      </c>
      <c r="K24" s="386" t="s">
        <v>12005</v>
      </c>
      <c r="L24" s="506" t="s">
        <v>12006</v>
      </c>
      <c r="M24" s="382" t="str">
        <f>IFERROR(__xludf.DUMMYFUNCTION("GOOGLETRANSLATE(A24,""zh-tw"",""zh"")"),"力量提升")</f>
        <v>力量提升</v>
      </c>
      <c r="N24" s="417" t="str">
        <f>IFERROR(__xludf.DUMMYFUNCTION("GOOGLETRANSLATE(B24,""zh-tw"",""zh"")"),"力量……涌上来了！")</f>
        <v>力量……涌上来了！</v>
      </c>
      <c r="O24" s="383" t="str">
        <f>IFERROR(__xludf.DUMMYFUNCTION("GOOGLETRANSLATE(C24,""zh-tw"",""zh"")"),"攻击力+50%")</f>
        <v>攻击力+50%</v>
      </c>
      <c r="P24" s="507" t="str">
        <f>IFERROR(__xludf.DUMMYFUNCTION("GOOGLETRANSLATE(D24,""zh-tw"",""zh"")"),"食物")</f>
        <v>食物</v>
      </c>
      <c r="Q24" s="197" t="str">
        <f>IFERROR(__xludf.DUMMYFUNCTION("GOOGLETRANSLATE(A24,""zh-tw"",""es-MX"")"),"Mejora de la fuerza")</f>
        <v>Mejora de la fuerza</v>
      </c>
      <c r="R24" s="198" t="str">
        <f>IFERROR(__xludf.DUMMYFUNCTION("GOOGLETRANSLATE(B24,""zh-tw"",""es-MX"")"),"¡El poder... aumentó!")</f>
        <v>¡El poder... aumentó!</v>
      </c>
      <c r="S24" s="379" t="str">
        <f>IFERROR(__xludf.DUMMYFUNCTION("GOOGLETRANSLATE(C24,""zh-tw"",""es-MX"")"),"Poder de ataque +50%")</f>
        <v>Poder de ataque +50%</v>
      </c>
      <c r="T24" s="196" t="str">
        <f>IFERROR(__xludf.DUMMYFUNCTION("GOOGLETRANSLATE(D24,""zh-tw"",""es-MX"")"),"alimento")</f>
        <v>alimento</v>
      </c>
      <c r="U24" s="197" t="str">
        <f>IFERROR(__xludf.DUMMYFUNCTION("GOOGLETRANSLATE(A24,""zh-tw"",""KO"")"),"근력 강화")</f>
        <v>근력 강화</v>
      </c>
      <c r="V24" s="198" t="str">
        <f>IFERROR(__xludf.DUMMYFUNCTION("GOOGLETRANSLATE(B24,""zh-tw"",""KO"")"),"전력이… 급증했다!")</f>
        <v>전력이… 급증했다!</v>
      </c>
      <c r="W24" s="379" t="str">
        <f>IFERROR(__xludf.DUMMYFUNCTION("GOOGLETRANSLATE(C24,""zh-tw"",""KO"")"),"공격력 +50%")</f>
        <v>공격력 +50%</v>
      </c>
      <c r="X24" s="196" t="str">
        <f>IFERROR(__xludf.DUMMYFUNCTION("GOOGLETRANSLATE(D24,""zh-tw"",""KO"")"),"음식")</f>
        <v>음식</v>
      </c>
      <c r="Y24" s="197" t="s">
        <v>12007</v>
      </c>
      <c r="Z24" s="198" t="s">
        <v>12008</v>
      </c>
      <c r="AA24" s="379" t="s">
        <v>12009</v>
      </c>
      <c r="AB24" s="196" t="s">
        <v>12010</v>
      </c>
      <c r="AC24" s="382" t="str">
        <f>IFERROR(__xludf.DUMMYFUNCTION("GOOGLETRANSLATE(A24,""zh-tw"",""DE"")"),"Kraftsteigerung")</f>
        <v>Kraftsteigerung</v>
      </c>
      <c r="AD24" s="417" t="str">
        <f>IFERROR(__xludf.DUMMYFUNCTION("GOOGLETRANSLATE(B24,""zh-tw"",""DE"")"),"Die Leistung... stieg sprunghaft an!")</f>
        <v>Die Leistung... stieg sprunghaft an!</v>
      </c>
      <c r="AE24" s="383" t="str">
        <f>IFERROR(__xludf.DUMMYFUNCTION("GOOGLETRANSLATE(C24,""zh-tw"",""DE"")"),"Angriffskraft +50%")</f>
        <v>Angriffskraft +50%</v>
      </c>
      <c r="AF24" s="507" t="str">
        <f>IFERROR(__xludf.DUMMYFUNCTION("GOOGLETRANSLATE(D24,""zh-tw"",""DE"")"),"Essen")</f>
        <v>Essen</v>
      </c>
      <c r="AG24" s="153" t="s">
        <v>12011</v>
      </c>
      <c r="AH24" s="167" t="s">
        <v>12012</v>
      </c>
      <c r="AI24" s="380" t="s">
        <v>12013</v>
      </c>
      <c r="AJ24" s="154" t="s">
        <v>12014</v>
      </c>
      <c r="AK24" s="153" t="s">
        <v>12015</v>
      </c>
      <c r="AL24" s="155" t="s">
        <v>12016</v>
      </c>
      <c r="AM24" s="380" t="s">
        <v>12017</v>
      </c>
      <c r="AN24" s="154" t="s">
        <v>12018</v>
      </c>
      <c r="AO24" s="197"/>
      <c r="AP24" s="155"/>
      <c r="AQ24" s="380"/>
      <c r="AR24" s="154"/>
      <c r="AS24" s="508"/>
      <c r="AT24" s="508"/>
    </row>
    <row r="25">
      <c r="A25" s="505" t="s">
        <v>12019</v>
      </c>
      <c r="B25" s="202" t="s">
        <v>12020</v>
      </c>
      <c r="C25" s="386" t="s">
        <v>12021</v>
      </c>
      <c r="D25" s="506" t="s">
        <v>12000</v>
      </c>
      <c r="E25" s="505" t="s">
        <v>12022</v>
      </c>
      <c r="F25" s="202" t="s">
        <v>12023</v>
      </c>
      <c r="G25" s="383" t="str">
        <f>IFERROR(__xludf.DUMMYFUNCTION("GOOGLETRANSLATE(C25,""zh-tw"",""ja"")"),"魔力+50%")</f>
        <v>魔力+50%</v>
      </c>
      <c r="H25" s="507" t="str">
        <f>IFERROR(__xludf.DUMMYFUNCTION("GOOGLETRANSLATE(D25,""zh-tw"",""ja"")"),"食べ物")</f>
        <v>食べ物</v>
      </c>
      <c r="I25" s="505" t="s">
        <v>12024</v>
      </c>
      <c r="J25" s="202" t="s">
        <v>12025</v>
      </c>
      <c r="K25" s="386" t="s">
        <v>12026</v>
      </c>
      <c r="L25" s="506" t="s">
        <v>12006</v>
      </c>
      <c r="M25" s="382" t="str">
        <f>IFERROR(__xludf.DUMMYFUNCTION("GOOGLETRANSLATE(A25,""zh-tw"",""zh"")"),"魔力提升")</f>
        <v>魔力提升</v>
      </c>
      <c r="N25" s="417" t="str">
        <f>IFERROR(__xludf.DUMMYFUNCTION("GOOGLETRANSLATE(B25,""zh-tw"",""zh"")"),"我逐渐理解一切。")</f>
        <v>我逐渐理解一切。</v>
      </c>
      <c r="O25" s="383" t="str">
        <f>IFERROR(__xludf.DUMMYFUNCTION("GOOGLETRANSLATE(C25,""zh-tw"",""zh"")"),"魔功力+50%")</f>
        <v>魔功力+50%</v>
      </c>
      <c r="P25" s="507" t="str">
        <f>IFERROR(__xludf.DUMMYFUNCTION("GOOGLETRANSLATE(D25,""zh-tw"",""zh"")"),"食物")</f>
        <v>食物</v>
      </c>
      <c r="Q25" s="197" t="str">
        <f>IFERROR(__xludf.DUMMYFUNCTION("GOOGLETRANSLATE(A25,""zh-tw"",""es-MX"")"),"Mejora mágica")</f>
        <v>Mejora mágica</v>
      </c>
      <c r="R25" s="198" t="str">
        <f>IFERROR(__xludf.DUMMYFUNCTION("GOOGLETRANSLATE(B25,""zh-tw"",""es-MX"")"),"Poco a poco fui comprendiendo todo.")</f>
        <v>Poco a poco fui comprendiendo todo.</v>
      </c>
      <c r="S25" s="379" t="str">
        <f>IFERROR(__xludf.DUMMYFUNCTION("GOOGLETRANSLATE(C25,""zh-tw"",""es-MX"")"),"Poder mágico +50%")</f>
        <v>Poder mágico +50%</v>
      </c>
      <c r="T25" s="196" t="str">
        <f>IFERROR(__xludf.DUMMYFUNCTION("GOOGLETRANSLATE(D25,""zh-tw"",""es-MX"")"),"alimento")</f>
        <v>alimento</v>
      </c>
      <c r="U25" s="197" t="str">
        <f>IFERROR(__xludf.DUMMYFUNCTION("GOOGLETRANSLATE(A25,""zh-tw"",""KO"")"),"마법 강화")</f>
        <v>마법 강화</v>
      </c>
      <c r="V25" s="198" t="str">
        <f>IFERROR(__xludf.DUMMYFUNCTION("GOOGLETRANSLATE(B25,""zh-tw"",""KO"")"),"나는 점차 모든 것을 이해하게 되었다.")</f>
        <v>나는 점차 모든 것을 이해하게 되었다.</v>
      </c>
      <c r="W25" s="379" t="str">
        <f>IFERROR(__xludf.DUMMYFUNCTION("GOOGLETRANSLATE(C25,""zh-tw"",""KO"")"),"마법 공격력 +50%")</f>
        <v>마법 공격력 +50%</v>
      </c>
      <c r="X25" s="196" t="str">
        <f>IFERROR(__xludf.DUMMYFUNCTION("GOOGLETRANSLATE(D25,""zh-tw"",""KO"")"),"음식")</f>
        <v>음식</v>
      </c>
      <c r="Y25" s="197" t="s">
        <v>12027</v>
      </c>
      <c r="Z25" s="198" t="s">
        <v>12028</v>
      </c>
      <c r="AA25" s="379" t="s">
        <v>12029</v>
      </c>
      <c r="AB25" s="196" t="s">
        <v>12010</v>
      </c>
      <c r="AC25" s="382" t="str">
        <f>IFERROR(__xludf.DUMMYFUNCTION("GOOGLETRANSLATE(A25,""zh-tw"",""DE"")"),"Magische Verstärkung")</f>
        <v>Magische Verstärkung</v>
      </c>
      <c r="AD25" s="417" t="str">
        <f>IFERROR(__xludf.DUMMYFUNCTION("GOOGLETRANSLATE(B25,""zh-tw"",""DE"")"),"Nach und nach verstand ich alles.")</f>
        <v>Nach und nach verstand ich alles.</v>
      </c>
      <c r="AE25" s="383" t="str">
        <f>IFERROR(__xludf.DUMMYFUNCTION("GOOGLETRANSLATE(C25,""zh-tw"",""DE"")"),"Magische Kraft +50%")</f>
        <v>Magische Kraft +50%</v>
      </c>
      <c r="AF25" s="507" t="str">
        <f>IFERROR(__xludf.DUMMYFUNCTION("GOOGLETRANSLATE(D25,""zh-tw"",""DE"")"),"Essen")</f>
        <v>Essen</v>
      </c>
      <c r="AG25" s="153" t="s">
        <v>12030</v>
      </c>
      <c r="AH25" s="167" t="s">
        <v>12031</v>
      </c>
      <c r="AI25" s="380" t="s">
        <v>12032</v>
      </c>
      <c r="AJ25" s="154" t="s">
        <v>12014</v>
      </c>
      <c r="AK25" s="153" t="s">
        <v>12033</v>
      </c>
      <c r="AL25" s="155" t="s">
        <v>12034</v>
      </c>
      <c r="AM25" s="380" t="s">
        <v>12035</v>
      </c>
      <c r="AN25" s="154" t="s">
        <v>12018</v>
      </c>
      <c r="AO25" s="197"/>
      <c r="AP25" s="155"/>
      <c r="AQ25" s="380"/>
      <c r="AR25" s="154"/>
      <c r="AS25" s="508"/>
      <c r="AT25" s="508"/>
    </row>
    <row r="26">
      <c r="A26" s="505" t="s">
        <v>12036</v>
      </c>
      <c r="B26" s="202" t="s">
        <v>12037</v>
      </c>
      <c r="C26" s="386" t="s">
        <v>12038</v>
      </c>
      <c r="D26" s="506" t="s">
        <v>12000</v>
      </c>
      <c r="E26" s="382" t="str">
        <f>IFERROR(__xludf.DUMMYFUNCTION("GOOGLETRANSLATE(A26,""zh-tw"",""ja"")"),"速度増加")</f>
        <v>速度増加</v>
      </c>
      <c r="F26" s="417" t="str">
        <f>IFERROR(__xludf.DUMMYFUNCTION("GOOGLETRANSLATE(B26,""zh-tw"",""ja"")"),"ついていけるかな…？このスピード！")</f>
        <v>ついていけるかな…？このスピード！</v>
      </c>
      <c r="G26" s="383" t="str">
        <f>IFERROR(__xludf.DUMMYFUNCTION("GOOGLETRANSLATE(C26,""zh-tw"",""ja"")"),"移動速度の向上")</f>
        <v>移動速度の向上</v>
      </c>
      <c r="H26" s="507" t="str">
        <f>IFERROR(__xludf.DUMMYFUNCTION("GOOGLETRANSLATE(D26,""zh-tw"",""ja"")"),"食べ物")</f>
        <v>食べ物</v>
      </c>
      <c r="I26" s="505" t="s">
        <v>12039</v>
      </c>
      <c r="J26" s="202" t="s">
        <v>12040</v>
      </c>
      <c r="K26" s="386" t="s">
        <v>12041</v>
      </c>
      <c r="L26" s="506" t="s">
        <v>12006</v>
      </c>
      <c r="M26" s="382" t="str">
        <f>IFERROR(__xludf.DUMMYFUNCTION("GOOGLETRANSLATE(A26,""zh-tw"",""zh"")"),"速度提升")</f>
        <v>速度提升</v>
      </c>
      <c r="N26" s="417" t="str">
        <f>IFERROR(__xludf.DUMMYFUNCTION("GOOGLETRANSLATE(B26,""zh-tw"",""zh"")"),"跟得上吗……我的SPEED！")</f>
        <v>跟得上吗……我的SPEED！</v>
      </c>
      <c r="O26" s="383" t="str">
        <f>IFERROR(__xludf.DUMMYFUNCTION("GOOGLETRANSLATE(C26,""zh-tw"",""zh"")"),"移动速度上升")</f>
        <v>移动速度上升</v>
      </c>
      <c r="P26" s="507" t="str">
        <f>IFERROR(__xludf.DUMMYFUNCTION("GOOGLETRANSLATE(D26,""zh-tw"",""zh"")"),"食物")</f>
        <v>食物</v>
      </c>
      <c r="Q26" s="197" t="str">
        <f>IFERROR(__xludf.DUMMYFUNCTION("GOOGLETRANSLATE(A26,""zh-tw"",""es-MX"")"),"aumento de velocidad")</f>
        <v>aumento de velocidad</v>
      </c>
      <c r="R26" s="198" t="str">
        <f>IFERROR(__xludf.DUMMYFUNCTION("GOOGLETRANSLATE(B26,""zh-tw"",""es-MX"")"),"¿Puedo seguir el ritmo...? ¡Mi velocidad!")</f>
        <v>¿Puedo seguir el ritmo...? ¡Mi velocidad!</v>
      </c>
      <c r="S26" s="379" t="str">
        <f>IFERROR(__xludf.DUMMYFUNCTION("GOOGLETRANSLATE(C26,""zh-tw"",""es-MX"")"),"Mayor velocidad de movimiento")</f>
        <v>Mayor velocidad de movimiento</v>
      </c>
      <c r="T26" s="196" t="str">
        <f>IFERROR(__xludf.DUMMYFUNCTION("GOOGLETRANSLATE(D26,""zh-tw"",""es-MX"")"),"alimento")</f>
        <v>alimento</v>
      </c>
      <c r="U26" s="197" t="str">
        <f>IFERROR(__xludf.DUMMYFUNCTION("GOOGLETRANSLATE(A26,""zh-tw"",""KO"")"),"속도 증가")</f>
        <v>속도 증가</v>
      </c>
      <c r="V26" s="198" t="str">
        <f>IFERROR(__xludf.DUMMYFUNCTION("GOOGLETRANSLATE(B26,""zh-tw"",""KO"")"),"내가 따라갈 수 있을까...? 내 속도 말이야!")</f>
        <v>내가 따라갈 수 있을까...? 내 속도 말이야!</v>
      </c>
      <c r="W26" s="379" t="str">
        <f>IFERROR(__xludf.DUMMYFUNCTION("GOOGLETRANSLATE(C26,""zh-tw"",""KO"")"),"이동 속도 증가")</f>
        <v>이동 속도 증가</v>
      </c>
      <c r="X26" s="196" t="str">
        <f>IFERROR(__xludf.DUMMYFUNCTION("GOOGLETRANSLATE(D26,""zh-tw"",""KO"")"),"음식")</f>
        <v>음식</v>
      </c>
      <c r="Y26" s="197" t="s">
        <v>12042</v>
      </c>
      <c r="Z26" s="198" t="s">
        <v>12043</v>
      </c>
      <c r="AA26" s="379" t="s">
        <v>12044</v>
      </c>
      <c r="AB26" s="196" t="s">
        <v>12010</v>
      </c>
      <c r="AC26" s="382" t="str">
        <f>IFERROR(__xludf.DUMMYFUNCTION("GOOGLETRANSLATE(A26,""zh-tw"",""DE"")"),"Geschwindigkeitserhöhung")</f>
        <v>Geschwindigkeitserhöhung</v>
      </c>
      <c r="AD26" s="417" t="str">
        <f>IFERROR(__xludf.DUMMYFUNCTION("GOOGLETRANSLATE(B26,""zh-tw"",""DE"")"),"Kann ich mithalten...? Meine Geschwindigkeit!")</f>
        <v>Kann ich mithalten...? Meine Geschwindigkeit!</v>
      </c>
      <c r="AE26" s="383" t="str">
        <f>IFERROR(__xludf.DUMMYFUNCTION("GOOGLETRANSLATE(C26,""zh-tw"",""DE"")"),"Erhöhte Bewegungsgeschwindigkeit")</f>
        <v>Erhöhte Bewegungsgeschwindigkeit</v>
      </c>
      <c r="AF26" s="507" t="str">
        <f>IFERROR(__xludf.DUMMYFUNCTION("GOOGLETRANSLATE(D26,""zh-tw"",""DE"")"),"Essen")</f>
        <v>Essen</v>
      </c>
      <c r="AG26" s="153" t="s">
        <v>12045</v>
      </c>
      <c r="AH26" s="167" t="s">
        <v>12046</v>
      </c>
      <c r="AI26" s="380" t="s">
        <v>12047</v>
      </c>
      <c r="AJ26" s="154" t="s">
        <v>12014</v>
      </c>
      <c r="AK26" s="153" t="s">
        <v>12048</v>
      </c>
      <c r="AL26" s="155" t="s">
        <v>12049</v>
      </c>
      <c r="AM26" s="380" t="s">
        <v>12050</v>
      </c>
      <c r="AN26" s="154" t="s">
        <v>12018</v>
      </c>
      <c r="AO26" s="197"/>
      <c r="AP26" s="155"/>
      <c r="AQ26" s="380"/>
      <c r="AR26" s="154"/>
      <c r="AS26" s="508"/>
      <c r="AT26" s="508"/>
    </row>
    <row r="27">
      <c r="A27" s="505" t="s">
        <v>12051</v>
      </c>
      <c r="B27" s="202" t="s">
        <v>12052</v>
      </c>
      <c r="C27" s="386" t="s">
        <v>12053</v>
      </c>
      <c r="D27" s="506" t="s">
        <v>12054</v>
      </c>
      <c r="E27" s="382" t="str">
        <f>IFERROR(__xludf.DUMMYFUNCTION("GOOGLETRANSLATE(A27,""zh-tw"",""ja"")"),"巨神兵")</f>
        <v>巨神兵</v>
      </c>
      <c r="F27" s="202" t="s">
        <v>12055</v>
      </c>
      <c r="G27" s="386" t="s">
        <v>12056</v>
      </c>
      <c r="H27" s="507" t="str">
        <f>IFERROR(__xludf.DUMMYFUNCTION("GOOGLETRANSLATE(D27,""zh-tw"",""ja"")"),"タロットカード")</f>
        <v>タロットカード</v>
      </c>
      <c r="I27" s="505" t="s">
        <v>12057</v>
      </c>
      <c r="J27" s="202" t="s">
        <v>12058</v>
      </c>
      <c r="K27" s="386" t="s">
        <v>12059</v>
      </c>
      <c r="L27" s="506" t="s">
        <v>12060</v>
      </c>
      <c r="M27" s="382" t="str">
        <f>IFERROR(__xludf.DUMMYFUNCTION("GOOGLETRANSLATE(A27,""zh-tw"",""zh"")"),"巨神兵")</f>
        <v>巨神兵</v>
      </c>
      <c r="N27" s="417" t="str">
        <f>IFERROR(__xludf.DUMMYFUNCTION("GOOGLETRANSLATE(B27,""zh-tw"",""zh"")"),"神兵天将")</f>
        <v>神兵天将</v>
      </c>
      <c r="O27" s="383" t="str">
        <f>IFERROR(__xludf.DUMMYFUNCTION("GOOGLETRANSLATE(C27,""zh-tw"",""zh"")"),"状态持续期间武器巨大化，提升攻击范围和伤害")</f>
        <v>状态持续期间武器巨大化，提升攻击范围和伤害</v>
      </c>
      <c r="P27" s="507" t="str">
        <f>IFERROR(__xludf.DUMMYFUNCTION("GOOGLETRANSLATE(D27,""zh-tw"",""zh"")"),"塔罗牌")</f>
        <v>塔罗牌</v>
      </c>
      <c r="Q27" s="197" t="str">
        <f>IFERROR(__xludf.DUMMYFUNCTION("GOOGLETRANSLATE(A27,""zh-tw"",""es-MX"")"),"Soldado Gigante Dios")</f>
        <v>Soldado Gigante Dios</v>
      </c>
      <c r="R27" s="198" t="str">
        <f>IFERROR(__xludf.DUMMYFUNCTION("GOOGLETRANSLATE(B27,""zh-tw"",""es-MX"")"),"Soldados Divinos y Generales Celestiales")</f>
        <v>Soldados Divinos y Generales Celestiales</v>
      </c>
      <c r="S27" s="379" t="str">
        <f>IFERROR(__xludf.DUMMYFUNCTION("GOOGLETRANSLATE(C27,""zh-tw"",""es-MX"")"),"Mientras dura el efecto, el arma aumenta de tamaño, incrementando su alcance de ataque y su daño.")</f>
        <v>Mientras dura el efecto, el arma aumenta de tamaño, incrementando su alcance de ataque y su daño.</v>
      </c>
      <c r="T27" s="196" t="str">
        <f>IFERROR(__xludf.DUMMYFUNCTION("GOOGLETRANSLATE(D27,""zh-tw"",""es-MX"")"),"Cartas del tarot")</f>
        <v>Cartas del tarot</v>
      </c>
      <c r="U27" s="197" t="str">
        <f>IFERROR(__xludf.DUMMYFUNCTION("GOOGLETRANSLATE(A27,""zh-tw"",""KO"")"),"거대 신병")</f>
        <v>거대 신병</v>
      </c>
      <c r="V27" s="198" t="str">
        <f>IFERROR(__xludf.DUMMYFUNCTION("GOOGLETRANSLATE(B27,""zh-tw"",""KO"")"),"신의 병사들과 천상의 장군들")</f>
        <v>신의 병사들과 천상의 장군들</v>
      </c>
      <c r="W27" s="379" t="str">
        <f>IFERROR(__xludf.DUMMYFUNCTION("GOOGLETRANSLATE(C27,""zh-tw"",""KO"")"),"효과가 지속되는 동안 무기가 커지면서 공격 범위와 피해량이 증가합니다.")</f>
        <v>효과가 지속되는 동안 무기가 커지면서 공격 범위와 피해량이 증가합니다.</v>
      </c>
      <c r="X27" s="196" t="str">
        <f>IFERROR(__xludf.DUMMYFUNCTION("GOOGLETRANSLATE(D27,""zh-tw"",""KO"")"),"타로 카드")</f>
        <v>타로 카드</v>
      </c>
      <c r="Y27" s="197" t="s">
        <v>12061</v>
      </c>
      <c r="Z27" s="198" t="s">
        <v>12062</v>
      </c>
      <c r="AA27" s="379" t="s">
        <v>12063</v>
      </c>
      <c r="AB27" s="196" t="s">
        <v>12064</v>
      </c>
      <c r="AC27" s="382" t="str">
        <f>IFERROR(__xludf.DUMMYFUNCTION("GOOGLETRANSLATE(A27,""zh-tw"",""DE"")"),"Riesengottsoldat")</f>
        <v>Riesengottsoldat</v>
      </c>
      <c r="AD27" s="417" t="str">
        <f>IFERROR(__xludf.DUMMYFUNCTION("GOOGLETRANSLATE(B27,""zh-tw"",""DE"")"),"Göttliche Soldaten und himmlische Generäle")</f>
        <v>Göttliche Soldaten und himmlische Generäle</v>
      </c>
      <c r="AE27" s="383"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F27" s="507" t="str">
        <f>IFERROR(__xludf.DUMMYFUNCTION("GOOGLETRANSLATE(D27,""zh-tw"",""DE"")"),"Tarotkarten")</f>
        <v>Tarotkarten</v>
      </c>
      <c r="AG27" s="165" t="s">
        <v>12065</v>
      </c>
      <c r="AH27" s="155" t="s">
        <v>12066</v>
      </c>
      <c r="AI27" s="385" t="s">
        <v>12067</v>
      </c>
      <c r="AJ27" s="166" t="s">
        <v>12068</v>
      </c>
      <c r="AK27" s="153" t="s">
        <v>12069</v>
      </c>
      <c r="AL27" s="155" t="s">
        <v>12070</v>
      </c>
      <c r="AM27" s="380" t="s">
        <v>12071</v>
      </c>
      <c r="AN27" s="154" t="s">
        <v>12072</v>
      </c>
      <c r="AO27" s="197"/>
      <c r="AP27" s="155"/>
      <c r="AQ27" s="380"/>
      <c r="AR27" s="154"/>
      <c r="AS27" s="508"/>
      <c r="AT27" s="508"/>
    </row>
    <row r="28">
      <c r="A28" s="505" t="s">
        <v>12073</v>
      </c>
      <c r="B28" s="202" t="s">
        <v>12074</v>
      </c>
      <c r="C28" s="386" t="s">
        <v>12075</v>
      </c>
      <c r="D28" s="506" t="s">
        <v>12054</v>
      </c>
      <c r="E28" s="505" t="s">
        <v>12076</v>
      </c>
      <c r="F28" s="417" t="str">
        <f>IFERROR(__xludf.DUMMYFUNCTION("GOOGLETRANSLATE(B28,""zh-tw"",""ja"")"),"運命の流れ…")</f>
        <v>運命の流れ…</v>
      </c>
      <c r="G28" s="383" t="str">
        <f>IFERROR(__xludf.DUMMYFUNCTION("GOOGLETRANSLATE(C28,""zh-tw"",""ja"")"),"運命の恵みがあれば、幸せな出来事に出会いやすくなる！")</f>
        <v>運命の恵みがあれば、幸せな出来事に出会いやすくなる！</v>
      </c>
      <c r="H28" s="507" t="str">
        <f>IFERROR(__xludf.DUMMYFUNCTION("GOOGLETRANSLATE(D28,""zh-tw"",""ja"")"),"タロットカード")</f>
        <v>タロットカード</v>
      </c>
      <c r="I28" s="505" t="s">
        <v>12077</v>
      </c>
      <c r="J28" s="202" t="s">
        <v>12078</v>
      </c>
      <c r="K28" s="383" t="str">
        <f>IFERROR(__xludf.DUMMYFUNCTION("GOOGLETRANSLATE(C28,""zh-tw"",""en"")"),"With the blessing of fate, it's easier to encounter happy things!")</f>
        <v>With the blessing of fate, it's easier to encounter happy things!</v>
      </c>
      <c r="L28" s="506" t="s">
        <v>12079</v>
      </c>
      <c r="M28" s="382" t="str">
        <f>IFERROR(__xludf.DUMMYFUNCTION("GOOGLETRANSLATE(A28,""zh-tw"",""zh"")"),"命运之轮-正")</f>
        <v>命运之轮-正</v>
      </c>
      <c r="N28" s="417" t="str">
        <f>IFERROR(__xludf.DUMMYFUNCTION("GOOGLETRANSLATE(B28,""zh-tw"",""zh"")"),"命运的流动……")</f>
        <v>命运的流动……</v>
      </c>
      <c r="O28" s="383" t="str">
        <f>IFERROR(__xludf.DUMMYFUNCTION("GOOGLETRANSLATE(C28,""zh-tw"",""zh"")"),"得到命运的加护，更容易遇到开心的事情了！")</f>
        <v>得到命运的加护，更容易遇到开心的事情了！</v>
      </c>
      <c r="P28" s="507" t="str">
        <f>IFERROR(__xludf.DUMMYFUNCTION("GOOGLETRANSLATE(D28,""zh-tw"",""zh"")"),"塔罗牌")</f>
        <v>塔罗牌</v>
      </c>
      <c r="Q28" s="197" t="str">
        <f>IFERROR(__xludf.DUMMYFUNCTION("GOOGLETRANSLATE(A28,""zh-tw"",""es-MX"")"),"La rueda de la fortuna - Derecha")</f>
        <v>La rueda de la fortuna - Derecha</v>
      </c>
      <c r="R28" s="198" t="str">
        <f>IFERROR(__xludf.DUMMYFUNCTION("GOOGLETRANSLATE(B28,""zh-tw"",""es-MX"")"),"El fluir del destino...")</f>
        <v>El fluir del destino...</v>
      </c>
      <c r="S28" s="379" t="str">
        <f>IFERROR(__xludf.DUMMYFUNCTION("GOOGLETRANSLATE(C28,""zh-tw"",""es-MX"")"),"¡Con la bendición del destino, es más fácil encontrarse con cosas buenas!")</f>
        <v>¡Con la bendición del destino, es más fácil encontrarse con cosas buenas!</v>
      </c>
      <c r="T28" s="196" t="str">
        <f>IFERROR(__xludf.DUMMYFUNCTION("GOOGLETRANSLATE(D28,""zh-tw"",""es-MX"")"),"Cartas del tarot")</f>
        <v>Cartas del tarot</v>
      </c>
      <c r="U28" s="197" t="str">
        <f>IFERROR(__xludf.DUMMYFUNCTION("GOOGLETRANSLATE(A28,""zh-tw"",""KO"")"),"운명의 수레바퀴 - 오른쪽")</f>
        <v>운명의 수레바퀴 - 오른쪽</v>
      </c>
      <c r="V28" s="198" t="str">
        <f>IFERROR(__xludf.DUMMYFUNCTION("GOOGLETRANSLATE(B28,""zh-tw"",""KO"")"),"운명의 흐름...")</f>
        <v>운명의 흐름...</v>
      </c>
      <c r="W28" s="379" t="str">
        <f>IFERROR(__xludf.DUMMYFUNCTION("GOOGLETRANSLATE(C28,""zh-tw"",""KO"")"),"운명의 축복 덕분에 행복한 일들을 만나는 건 더 쉬운 일이죠!")</f>
        <v>운명의 축복 덕분에 행복한 일들을 만나는 건 더 쉬운 일이죠!</v>
      </c>
      <c r="X28" s="196" t="str">
        <f>IFERROR(__xludf.DUMMYFUNCTION("GOOGLETRANSLATE(D28,""zh-tw"",""KO"")"),"타로 카드")</f>
        <v>타로 카드</v>
      </c>
      <c r="Y28" s="197" t="s">
        <v>12080</v>
      </c>
      <c r="Z28" s="198" t="s">
        <v>12081</v>
      </c>
      <c r="AA28" s="379" t="s">
        <v>12082</v>
      </c>
      <c r="AB28" s="196" t="s">
        <v>12064</v>
      </c>
      <c r="AC28" s="382" t="str">
        <f>IFERROR(__xludf.DUMMYFUNCTION("GOOGLETRANSLATE(A28,""zh-tw"",""DE"")"),"Glücksrad - Rechts")</f>
        <v>Glücksrad - Rechts</v>
      </c>
      <c r="AD28" s="417" t="str">
        <f>IFERROR(__xludf.DUMMYFUNCTION("GOOGLETRANSLATE(B28,""zh-tw"",""DE"")"),"Der Lauf des Schicksals...")</f>
        <v>Der Lauf des Schicksals...</v>
      </c>
      <c r="AE28" s="383" t="str">
        <f>IFERROR(__xludf.DUMMYFUNCTION("GOOGLETRANSLATE(C28,""zh-tw"",""DE"")"),"Mit dem Segen des Schicksals begegnet man leichter glücklichen Dingen!")</f>
        <v>Mit dem Segen des Schicksals begegnet man leichter glücklichen Dingen!</v>
      </c>
      <c r="AF28" s="507" t="str">
        <f>IFERROR(__xludf.DUMMYFUNCTION("GOOGLETRANSLATE(D28,""zh-tw"",""DE"")"),"Tarotkarten")</f>
        <v>Tarotkarten</v>
      </c>
      <c r="AG28" s="153" t="s">
        <v>12083</v>
      </c>
      <c r="AH28" s="167" t="s">
        <v>12084</v>
      </c>
      <c r="AI28" s="385" t="s">
        <v>12085</v>
      </c>
      <c r="AJ28" s="166" t="s">
        <v>12086</v>
      </c>
      <c r="AK28" s="153" t="s">
        <v>12087</v>
      </c>
      <c r="AL28" s="155" t="s">
        <v>12088</v>
      </c>
      <c r="AM28" s="380" t="s">
        <v>12089</v>
      </c>
      <c r="AN28" s="154" t="s">
        <v>12090</v>
      </c>
      <c r="AO28" s="197"/>
      <c r="AP28" s="155"/>
      <c r="AQ28" s="380"/>
      <c r="AR28" s="154"/>
      <c r="AS28" s="508"/>
      <c r="AT28" s="508"/>
    </row>
    <row r="29">
      <c r="A29" s="505" t="s">
        <v>12091</v>
      </c>
      <c r="B29" s="202" t="s">
        <v>12092</v>
      </c>
      <c r="C29" s="386" t="s">
        <v>12093</v>
      </c>
      <c r="D29" s="506" t="s">
        <v>12054</v>
      </c>
      <c r="E29" s="505" t="s">
        <v>12094</v>
      </c>
      <c r="F29" s="417" t="str">
        <f>IFERROR(__xludf.DUMMYFUNCTION("GOOGLETRANSLATE(B29,""zh-tw"",""ja"")"),"運命は流れる…")</f>
        <v>運命は流れる…</v>
      </c>
      <c r="G29" s="383" t="str">
        <f>IFERROR(__xludf.DUMMYFUNCTION("GOOGLETRANSLATE(C29,""zh-tw"",""ja"")"),"運命に恵まれると、困難なことにも立ち向かいやすくなる！")</f>
        <v>運命に恵まれると、困難なことにも立ち向かいやすくなる！</v>
      </c>
      <c r="H29" s="507" t="str">
        <f>IFERROR(__xludf.DUMMYFUNCTION("GOOGLETRANSLATE(D29,""zh-tw"",""ja"")"),"タロットカード")</f>
        <v>タロットカード</v>
      </c>
      <c r="I29" s="505" t="s">
        <v>12095</v>
      </c>
      <c r="J29" s="202" t="s">
        <v>12096</v>
      </c>
      <c r="K29" s="383" t="str">
        <f>IFERROR(__xludf.DUMMYFUNCTION("GOOGLETRANSLATE(C29,""zh-tw"",""en"")"),"Being blessed by fate makes it easier to encounter difficult things!")</f>
        <v>Being blessed by fate makes it easier to encounter difficult things!</v>
      </c>
      <c r="L29" s="506" t="s">
        <v>12079</v>
      </c>
      <c r="M29" s="382" t="str">
        <f>IFERROR(__xludf.DUMMYFUNCTION("GOOGLETRANSLATE(A29,""zh-tw"",""zh"")"),"命运之轮-逆")</f>
        <v>命运之轮-逆</v>
      </c>
      <c r="N29" s="417" t="str">
        <f>IFERROR(__xludf.DUMMYFUNCTION("GOOGLETRANSLATE(B29,""zh-tw"",""zh"")"),"命运流动……")</f>
        <v>命运流动……</v>
      </c>
      <c r="O29" s="383" t="str">
        <f>IFERROR(__xludf.DUMMYFUNCTION("GOOGLETRANSLATE(C29,""zh-tw"",""zh"")"),"得到命运的加护，更容易遇到难过的事情了！")</f>
        <v>得到命运的加护，更容易遇到难过的事情了！</v>
      </c>
      <c r="P29" s="507" t="str">
        <f>IFERROR(__xludf.DUMMYFUNCTION("GOOGLETRANSLATE(D29,""zh-tw"",""zh"")"),"塔罗牌")</f>
        <v>塔罗牌</v>
      </c>
      <c r="Q29" s="197" t="str">
        <f>IFERROR(__xludf.DUMMYFUNCTION("GOOGLETRANSLATE(A29,""zh-tw"",""es-MX"")"),"La rueda de la fortuna - Inversa")</f>
        <v>La rueda de la fortuna - Inversa</v>
      </c>
      <c r="R29" s="198" t="str">
        <f>IFERROR(__xludf.DUMMYFUNCTION("GOOGLETRANSLATE(B29,""zh-tw"",""es-MX"")"),"El destino fluye...")</f>
        <v>El destino fluye...</v>
      </c>
      <c r="S29" s="379" t="str">
        <f>IFERROR(__xludf.DUMMYFUNCTION("GOOGLETRANSLATE(C29,""zh-tw"",""es-MX"")"),"¡Tener la suerte de que el destino te bendiga facilita afrontar las dificultades!")</f>
        <v>¡Tener la suerte de que el destino te bendiga facilita afrontar las dificultades!</v>
      </c>
      <c r="T29" s="196" t="str">
        <f>IFERROR(__xludf.DUMMYFUNCTION("GOOGLETRANSLATE(D29,""zh-tw"",""es-MX"")"),"Cartas del tarot")</f>
        <v>Cartas del tarot</v>
      </c>
      <c r="U29" s="197" t="str">
        <f>IFERROR(__xludf.DUMMYFUNCTION("GOOGLETRANSLATE(A29,""zh-tw"",""KO"")"),"운명의 수레바퀴 - 역방향")</f>
        <v>운명의 수레바퀴 - 역방향</v>
      </c>
      <c r="V29" s="198" t="str">
        <f>IFERROR(__xludf.DUMMYFUNCTION("GOOGLETRANSLATE(B29,""zh-tw"",""KO"")"),"운명은 흐른다...")</f>
        <v>운명은 흐른다...</v>
      </c>
      <c r="W29" s="379" t="str">
        <f>IFERROR(__xludf.DUMMYFUNCTION("GOOGLETRANSLATE(C29,""zh-tw"",""KO"")"),"행운이 따르니 어려운 일도 쉽게 헤쳐나갈 수 있다!")</f>
        <v>행운이 따르니 어려운 일도 쉽게 헤쳐나갈 수 있다!</v>
      </c>
      <c r="X29" s="196" t="str">
        <f>IFERROR(__xludf.DUMMYFUNCTION("GOOGLETRANSLATE(D29,""zh-tw"",""KO"")"),"타로 카드")</f>
        <v>타로 카드</v>
      </c>
      <c r="Y29" s="197" t="s">
        <v>12097</v>
      </c>
      <c r="Z29" s="198" t="s">
        <v>12081</v>
      </c>
      <c r="AA29" s="379" t="s">
        <v>12098</v>
      </c>
      <c r="AB29" s="196" t="s">
        <v>12064</v>
      </c>
      <c r="AC29" s="382" t="str">
        <f>IFERROR(__xludf.DUMMYFUNCTION("GOOGLETRANSLATE(A29,""zh-tw"",""DE"")"),"Glücksrad – Rückwärts")</f>
        <v>Glücksrad – Rückwärts</v>
      </c>
      <c r="AD29" s="417" t="str">
        <f>IFERROR(__xludf.DUMMYFUNCTION("GOOGLETRANSLATE(B29,""zh-tw"",""DE"")"),"Das Schicksal bestimmt seinen Lauf...")</f>
        <v>Das Schicksal bestimmt seinen Lauf...</v>
      </c>
      <c r="AE29" s="383" t="str">
        <f>IFERROR(__xludf.DUMMYFUNCTION("GOOGLETRANSLATE(C29,""zh-tw"",""DE"")"),"Vom Schicksal begünstigt zu sein, erleichtert den Umgang mit schwierigen Dingen!")</f>
        <v>Vom Schicksal begünstigt zu sein, erleichtert den Umgang mit schwierigen Dingen!</v>
      </c>
      <c r="AF29" s="507" t="str">
        <f>IFERROR(__xludf.DUMMYFUNCTION("GOOGLETRANSLATE(D29,""zh-tw"",""DE"")"),"Tarotkarten")</f>
        <v>Tarotkarten</v>
      </c>
      <c r="AG29" s="153" t="s">
        <v>12099</v>
      </c>
      <c r="AH29" s="167" t="s">
        <v>12084</v>
      </c>
      <c r="AI29" s="385" t="s">
        <v>12100</v>
      </c>
      <c r="AJ29" s="166" t="s">
        <v>12086</v>
      </c>
      <c r="AK29" s="153" t="s">
        <v>12101</v>
      </c>
      <c r="AL29" s="155" t="s">
        <v>12102</v>
      </c>
      <c r="AM29" s="380" t="s">
        <v>12103</v>
      </c>
      <c r="AN29" s="154" t="s">
        <v>12090</v>
      </c>
      <c r="AO29" s="197"/>
      <c r="AP29" s="155"/>
      <c r="AQ29" s="380"/>
      <c r="AR29" s="154"/>
      <c r="AS29" s="508"/>
      <c r="AT29" s="508"/>
    </row>
    <row r="30">
      <c r="A30" s="505" t="s">
        <v>12104</v>
      </c>
      <c r="B30" s="202" t="s">
        <v>12105</v>
      </c>
      <c r="C30" s="386" t="s">
        <v>12106</v>
      </c>
      <c r="D30" s="506" t="s">
        <v>9911</v>
      </c>
      <c r="E30" s="505" t="s">
        <v>12107</v>
      </c>
      <c r="F30" s="202" t="s">
        <v>12108</v>
      </c>
      <c r="G30" s="386" t="s">
        <v>12109</v>
      </c>
      <c r="H30" s="506" t="s">
        <v>9913</v>
      </c>
      <c r="I30" s="505" t="s">
        <v>12110</v>
      </c>
      <c r="J30" s="202" t="s">
        <v>12111</v>
      </c>
      <c r="K30" s="386" t="s">
        <v>12112</v>
      </c>
      <c r="L30" s="506" t="s">
        <v>9915</v>
      </c>
      <c r="M30" s="382" t="str">
        <f>IFERROR(__xludf.DUMMYFUNCTION("GOOGLETRANSLATE(A30,""zh-tw"",""zh"")"),"生命力")</f>
        <v>生命力</v>
      </c>
      <c r="N30" s="417" t="str">
        <f>IFERROR(__xludf.DUMMYFUNCTION("GOOGLETRANSLATE(B30,""zh-tw"",""zh"")"),"但是真的很难吃……")</f>
        <v>但是真的很难吃……</v>
      </c>
      <c r="O30" s="383" t="str">
        <f>IFERROR(__xludf.DUMMYFUNCTION("GOOGLETRANSLATE(C30,""zh-tw"",""zh"")"),"体内充满了生命力，体力增加了")</f>
        <v>体内充满了生命力，体力增加了</v>
      </c>
      <c r="P30" s="507" t="str">
        <f>IFERROR(__xludf.DUMMYFUNCTION("GOOGLETRANSLATE(D30,""zh-tw"",""zh"")"),"天上之石碎片")</f>
        <v>天上之石碎片</v>
      </c>
      <c r="Q30" s="197" t="str">
        <f>IFERROR(__xludf.DUMMYFUNCTION("GOOGLETRANSLATE(A30,""zh-tw"",""es-MX"")"),"vitalidad")</f>
        <v>vitalidad</v>
      </c>
      <c r="R30" s="198" t="str">
        <f>IFERROR(__xludf.DUMMYFUNCTION("GOOGLETRANSLATE(B30,""zh-tw"",""es-MX"")"),"Pero la verdad es que sabía fatal...")</f>
        <v>Pero la verdad es que sabía fatal...</v>
      </c>
      <c r="S30" s="379" t="str">
        <f>IFERROR(__xludf.DUMMYFUNCTION("GOOGLETRANSLATE(C30,""zh-tw"",""es-MX"")"),"Mi cuerpo está lleno de vitalidad y mi fuerza física ha aumentado.")</f>
        <v>Mi cuerpo está lleno de vitalidad y mi fuerza física ha aumentado.</v>
      </c>
      <c r="T30" s="196" t="str">
        <f>IFERROR(__xludf.DUMMYFUNCTION("GOOGLETRANSLATE(D30,""zh-tw"",""es-MX"")"),"Fragmentos de la Piedra Celestial")</f>
        <v>Fragmentos de la Piedra Celestial</v>
      </c>
      <c r="U30" s="197" t="str">
        <f>IFERROR(__xludf.DUMMYFUNCTION("GOOGLETRANSLATE(A30,""zh-tw"",""KO"")"),"활력")</f>
        <v>활력</v>
      </c>
      <c r="V30" s="198" t="str">
        <f>IFERROR(__xludf.DUMMYFUNCTION("GOOGLETRANSLATE(B30,""zh-tw"",""KO"")"),"하지만 맛이 정말 형편없었어요...")</f>
        <v>하지만 맛이 정말 형편없었어요...</v>
      </c>
      <c r="W30" s="379" t="str">
        <f>IFERROR(__xludf.DUMMYFUNCTION("GOOGLETRANSLATE(C30,""zh-tw"",""KO"")"),"내 몸은 활력이 넘치고, 체력도 향상되었다.")</f>
        <v>내 몸은 활력이 넘치고, 체력도 향상되었다.</v>
      </c>
      <c r="X30" s="196" t="str">
        <f>IFERROR(__xludf.DUMMYFUNCTION("GOOGLETRANSLATE(D30,""zh-tw"",""KO"")"),"천상의 돌 조각들")</f>
        <v>천상의 돌 조각들</v>
      </c>
      <c r="Y30" s="197" t="s">
        <v>12113</v>
      </c>
      <c r="Z30" s="198" t="s">
        <v>12114</v>
      </c>
      <c r="AA30" s="379" t="s">
        <v>12115</v>
      </c>
      <c r="AB30" s="196" t="s">
        <v>12116</v>
      </c>
      <c r="AC30" s="382" t="str">
        <f>IFERROR(__xludf.DUMMYFUNCTION("GOOGLETRANSLATE(A30,""zh-tw"",""DE"")"),"Vitalität")</f>
        <v>Vitalität</v>
      </c>
      <c r="AD30" s="417" t="str">
        <f>IFERROR(__xludf.DUMMYFUNCTION("GOOGLETRANSLATE(B30,""zh-tw"",""DE"")"),"Aber es hat wirklich furchtbar geschmeckt...")</f>
        <v>Aber es hat wirklich furchtbar geschmeckt...</v>
      </c>
      <c r="AE30" s="383" t="str">
        <f>IFERROR(__xludf.DUMMYFUNCTION("GOOGLETRANSLATE(C30,""zh-tw"",""DE"")"),"Mein Körper ist voller Vitalität und meine körperliche Kraft hat zugenommen.")</f>
        <v>Mein Körper ist voller Vitalität und meine körperliche Kraft hat zugenommen.</v>
      </c>
      <c r="AF30" s="507" t="str">
        <f>IFERROR(__xludf.DUMMYFUNCTION("GOOGLETRANSLATE(D30,""zh-tw"",""DE"")"),"Fragmente des Himmelssteins")</f>
        <v>Fragmente des Himmelssteins</v>
      </c>
      <c r="AG30" s="153" t="s">
        <v>12117</v>
      </c>
      <c r="AH30" s="167" t="s">
        <v>12118</v>
      </c>
      <c r="AI30" s="385" t="s">
        <v>12119</v>
      </c>
      <c r="AJ30" s="154" t="s">
        <v>9924</v>
      </c>
      <c r="AK30" s="153" t="s">
        <v>12120</v>
      </c>
      <c r="AL30" s="155" t="s">
        <v>12121</v>
      </c>
      <c r="AM30" s="380" t="s">
        <v>12122</v>
      </c>
      <c r="AN30" s="154" t="s">
        <v>9926</v>
      </c>
      <c r="AO30" s="197"/>
      <c r="AP30" s="155"/>
      <c r="AQ30" s="380"/>
      <c r="AR30" s="154"/>
      <c r="AS30" s="508"/>
      <c r="AT30" s="508"/>
    </row>
    <row r="31">
      <c r="A31" s="505" t="s">
        <v>12123</v>
      </c>
      <c r="B31" s="202" t="s">
        <v>12124</v>
      </c>
      <c r="C31" s="386" t="s">
        <v>12125</v>
      </c>
      <c r="D31" s="506" t="s">
        <v>12126</v>
      </c>
      <c r="E31" s="505" t="s">
        <v>12127</v>
      </c>
      <c r="F31" s="202" t="s">
        <v>12128</v>
      </c>
      <c r="G31" s="383"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506" t="s">
        <v>12129</v>
      </c>
      <c r="I31" s="505" t="s">
        <v>12130</v>
      </c>
      <c r="J31" s="202" t="s">
        <v>12131</v>
      </c>
      <c r="K31" s="386" t="s">
        <v>12132</v>
      </c>
      <c r="L31" s="506" t="s">
        <v>12133</v>
      </c>
      <c r="M31" s="382" t="str">
        <f>IFERROR(__xludf.DUMMYFUNCTION("GOOGLETRANSLATE(A31,""zh-tw"",""zh"")"),"力不从心")</f>
        <v>力不从心</v>
      </c>
      <c r="N31" s="417" t="str">
        <f>IFERROR(__xludf.DUMMYFUNCTION("GOOGLETRANSLATE(B31,""zh-tw"",""zh"")"),"拿、拿不动了……")</f>
        <v>拿、拿不动了……</v>
      </c>
      <c r="O31" s="383" t="str">
        <f>IFERROR(__xludf.DUMMYFUNCTION("GOOGLETRANSLATE(C31,""zh-tw"",""zh"")"),"力量和体力不足，无法发挥武器性能！")</f>
        <v>力量和体力不足，无法发挥武器性能！</v>
      </c>
      <c r="P31" s="507" t="str">
        <f>IFERROR(__xludf.DUMMYFUNCTION("GOOGLETRANSLATE(D31,""zh-tw"",""zh"")"),"银辉剑为达成条件")</f>
        <v>银辉剑为达成条件</v>
      </c>
      <c r="Q31" s="197" t="str">
        <f>IFERROR(__xludf.DUMMYFUNCTION("GOOGLETRANSLATE(A31,""zh-tw"",""es-MX"")"),"Sentirse impotente")</f>
        <v>Sentirse impotente</v>
      </c>
      <c r="R31" s="198" t="str">
        <f>IFERROR(__xludf.DUMMYFUNCTION("GOOGLETRANSLATE(B31,""zh-tw"",""es-MX"")"),"Ya no puedo levantarlo...")</f>
        <v>Ya no puedo levantarlo...</v>
      </c>
      <c r="S31" s="379" t="str">
        <f>IFERROR(__xludf.DUMMYFUNCTION("GOOGLETRANSLATE(C31,""zh-tw"",""es-MX"")"),"¡La falta de fuerza y ​​resistencia impide que el arma desarrolle todo su potencial!")</f>
        <v>¡La falta de fuerza y ​​resistencia impide que el arma desarrolle todo su potencial!</v>
      </c>
      <c r="T31" s="196" t="str">
        <f>IFERROR(__xludf.DUMMYFUNCTION("GOOGLETRANSLATE(D31,""zh-tw"",""es-MX"")"),"Se requiere la Espada Plateada para cumplir las condiciones.")</f>
        <v>Se requiere la Espada Plateada para cumplir las condiciones.</v>
      </c>
      <c r="U31" s="197" t="str">
        <f>IFERROR(__xludf.DUMMYFUNCTION("GOOGLETRANSLATE(A31,""zh-tw"",""KO"")"),"무력감을 느끼다")</f>
        <v>무력감을 느끼다</v>
      </c>
      <c r="V31" s="198" t="str">
        <f>IFERROR(__xludf.DUMMYFUNCTION("GOOGLETRANSLATE(B31,""zh-tw"",""KO"")"),"더 이상 들 수 없어요...")</f>
        <v>더 이상 들 수 없어요...</v>
      </c>
      <c r="W31" s="379" t="str">
        <f>IFERROR(__xludf.DUMMYFUNCTION("GOOGLETRANSLATE(C31,""zh-tw"",""KO"")"),"힘과 체력이 부족하면 무기가 제 성능을 발휘할 수 없습니다!")</f>
        <v>힘과 체력이 부족하면 무기가 제 성능을 발휘할 수 없습니다!</v>
      </c>
      <c r="X31" s="196" t="str">
        <f>IFERROR(__xludf.DUMMYFUNCTION("GOOGLETRANSLATE(D31,""zh-tw"",""KO"")"),"조건을 충족하려면 실버 소드가 필요합니다.")</f>
        <v>조건을 충족하려면 실버 소드가 필요합니다.</v>
      </c>
      <c r="Y31" s="197" t="s">
        <v>12134</v>
      </c>
      <c r="Z31" s="198" t="s">
        <v>12135</v>
      </c>
      <c r="AA31" s="379" t="s">
        <v>12136</v>
      </c>
      <c r="AB31" s="196" t="s">
        <v>12137</v>
      </c>
      <c r="AC31" s="382" t="str">
        <f>IFERROR(__xludf.DUMMYFUNCTION("GOOGLETRANSLATE(A31,""zh-tw"",""DE"")"),"Ich fühle mich machtlos")</f>
        <v>Ich fühle mich machtlos</v>
      </c>
      <c r="AD31" s="417" t="str">
        <f>IFERROR(__xludf.DUMMYFUNCTION("GOOGLETRANSLATE(B31,""zh-tw"",""DE"")"),"Ich kann es nicht mehr heben...")</f>
        <v>Ich kann es nicht mehr heben...</v>
      </c>
      <c r="AE31" s="383" t="str">
        <f>IFERROR(__xludf.DUMMYFUNCTION("GOOGLETRANSLATE(C31,""zh-tw"",""DE"")"),"Unzureichende Kraft und Ausdauer verhindern, dass die Waffe ihr volles Potenzial entfaltet!")</f>
        <v>Unzureichende Kraft und Ausdauer verhindern, dass die Waffe ihr volles Potenzial entfaltet!</v>
      </c>
      <c r="AF31" s="507" t="str">
        <f>IFERROR(__xludf.DUMMYFUNCTION("GOOGLETRANSLATE(D31,""zh-tw"",""DE"")"),"Das Silberschwert wird benötigt, um die Bedingungen zu erfüllen.")</f>
        <v>Das Silberschwert wird benötigt, um die Bedingungen zu erfüllen.</v>
      </c>
      <c r="AG31" s="153" t="s">
        <v>12138</v>
      </c>
      <c r="AH31" s="167" t="s">
        <v>12139</v>
      </c>
      <c r="AI31" s="385" t="s">
        <v>12140</v>
      </c>
      <c r="AJ31" s="154" t="s">
        <v>12141</v>
      </c>
      <c r="AK31" s="153" t="s">
        <v>12142</v>
      </c>
      <c r="AL31" s="155" t="s">
        <v>12143</v>
      </c>
      <c r="AM31" s="380" t="s">
        <v>12144</v>
      </c>
      <c r="AN31" s="154" t="s">
        <v>12145</v>
      </c>
      <c r="AO31" s="197"/>
      <c r="AP31" s="155"/>
      <c r="AQ31" s="380"/>
      <c r="AR31" s="154"/>
      <c r="AS31" s="508"/>
      <c r="AT31" s="508"/>
    </row>
    <row r="32">
      <c r="A32" s="505" t="s">
        <v>12146</v>
      </c>
      <c r="B32" s="202" t="s">
        <v>12147</v>
      </c>
      <c r="C32" s="386" t="s">
        <v>12148</v>
      </c>
      <c r="D32" s="506" t="s">
        <v>8878</v>
      </c>
      <c r="E32" s="505" t="s">
        <v>12149</v>
      </c>
      <c r="F32" s="417" t="str">
        <f>IFERROR(__xludf.DUMMYFUNCTION("GOOGLETRANSLATE(B32,""zh-tw"",""ja"")"),"祝福に満ちた日々をお過ごしください")</f>
        <v>祝福に満ちた日々をお過ごしください</v>
      </c>
      <c r="G32" s="386" t="s">
        <v>12150</v>
      </c>
      <c r="H32" s="506" t="s">
        <v>8880</v>
      </c>
      <c r="I32" s="505" t="s">
        <v>12151</v>
      </c>
      <c r="J32" s="202" t="s">
        <v>12152</v>
      </c>
      <c r="K32" s="386" t="s">
        <v>12153</v>
      </c>
      <c r="L32" s="506" t="s">
        <v>8882</v>
      </c>
      <c r="M32" s="382" t="str">
        <f>IFERROR(__xludf.DUMMYFUNCTION("GOOGLETRANSLATE(A32,""zh-tw"",""zh"")"),"丰收的祝福")</f>
        <v>丰收的祝福</v>
      </c>
      <c r="N32" s="417" t="str">
        <f>IFERROR(__xludf.DUMMYFUNCTION("GOOGLETRANSLATE(B32,""zh-tw"",""zh"")"),"与汝享赐福")</f>
        <v>与汝享赐福</v>
      </c>
      <c r="O32" s="383" t="str">
        <f>IFERROR(__xludf.DUMMYFUNCTION("GOOGLETRANSLATE(C32,""zh-tw"",""zh"")"),"获得了圣杯的祝福，获取金钱翻倍")</f>
        <v>获得了圣杯的祝福，获取金钱翻倍</v>
      </c>
      <c r="P32" s="507" t="str">
        <f>IFERROR(__xludf.DUMMYFUNCTION("GOOGLETRANSLATE(D32,""zh-tw"",""zh"")"),"未满的黄金圣杯")</f>
        <v>未满的黄金圣杯</v>
      </c>
      <c r="Q32" s="197" t="str">
        <f>IFERROR(__xludf.DUMMYFUNCTION("GOOGLETRANSLATE(A32,""zh-tw"",""es-MX"")"),"Bendiciones de una cosecha abundante")</f>
        <v>Bendiciones de una cosecha abundante</v>
      </c>
      <c r="R32" s="198" t="str">
        <f>IFERROR(__xludf.DUMMYFUNCTION("GOOGLETRANSLATE(B32,""zh-tw"",""es-MX"")"),"Que disfrutes de bendiciones")</f>
        <v>Que disfrutes de bendiciones</v>
      </c>
      <c r="S32" s="379" t="str">
        <f>IFERROR(__xludf.DUMMYFUNCTION("GOOGLETRANSLATE(C32,""zh-tw"",""es-MX"")"),"Tras recibir la bendición del Santo Grial, tu dinero se duplicará.")</f>
        <v>Tras recibir la bendición del Santo Grial, tu dinero se duplicará.</v>
      </c>
      <c r="T32" s="196" t="str">
        <f>IFERROR(__xludf.DUMMYFUNCTION("GOOGLETRANSLATE(D32,""zh-tw"",""es-MX"")"),"El Santo Grial incompleto")</f>
        <v>El Santo Grial incompleto</v>
      </c>
      <c r="U32" s="197" t="str">
        <f>IFERROR(__xludf.DUMMYFUNCTION("GOOGLETRANSLATE(A32,""zh-tw"",""KO"")"),"풍성한 수확의 축복")</f>
        <v>풍성한 수확의 축복</v>
      </c>
      <c r="V32" s="198" t="str">
        <f>IFERROR(__xludf.DUMMYFUNCTION("GOOGLETRANSLATE(B32,""zh-tw"",""KO"")"),"축복이 가득하시길 바랍니다.")</f>
        <v>축복이 가득하시길 바랍니다.</v>
      </c>
      <c r="W32" s="379" t="str">
        <f>IFERROR(__xludf.DUMMYFUNCTION("GOOGLETRANSLATE(C32,""zh-tw"",""KO"")"),"성배의 축복을 받았으니 당신의 돈은 두 배가 될 것입니다.")</f>
        <v>성배의 축복을 받았으니 당신의 돈은 두 배가 될 것입니다.</v>
      </c>
      <c r="X32" s="196" t="str">
        <f>IFERROR(__xludf.DUMMYFUNCTION("GOOGLETRANSLATE(D32,""zh-tw"",""KO"")"),"불완전한 성배")</f>
        <v>불완전한 성배</v>
      </c>
      <c r="Y32" s="197" t="s">
        <v>12154</v>
      </c>
      <c r="Z32" s="198" t="s">
        <v>12155</v>
      </c>
      <c r="AA32" s="379" t="s">
        <v>12156</v>
      </c>
      <c r="AB32" s="196" t="s">
        <v>8887</v>
      </c>
      <c r="AC32" s="382" t="str">
        <f>IFERROR(__xludf.DUMMYFUNCTION("GOOGLETRANSLATE(A32,""zh-tw"",""DE"")"),"Segen einer reichen Ernte")</f>
        <v>Segen einer reichen Ernte</v>
      </c>
      <c r="AD32" s="417" t="str">
        <f>IFERROR(__xludf.DUMMYFUNCTION("GOOGLETRANSLATE(B32,""zh-tw"",""DE"")"),"Mögest du gesegnet sein.")</f>
        <v>Mögest du gesegnet sein.</v>
      </c>
      <c r="AE32" s="383" t="str">
        <f>IFERROR(__xludf.DUMMYFUNCTION("GOOGLETRANSLATE(C32,""zh-tw"",""DE"")"),"Nachdem Sie den Segen des Heiligen Grals erhalten haben, wird sich Ihr Geld verdoppeln.")</f>
        <v>Nachdem Sie den Segen des Heiligen Grals erhalten haben, wird sich Ihr Geld verdoppeln.</v>
      </c>
      <c r="AF32" s="507" t="str">
        <f>IFERROR(__xludf.DUMMYFUNCTION("GOOGLETRANSLATE(D32,""zh-tw"",""DE"")"),"Der unvollständige Heilige Gral")</f>
        <v>Der unvollständige Heilige Gral</v>
      </c>
      <c r="AG32" s="165" t="s">
        <v>12157</v>
      </c>
      <c r="AH32" s="167" t="s">
        <v>12158</v>
      </c>
      <c r="AI32" s="380" t="s">
        <v>12159</v>
      </c>
      <c r="AJ32" s="154" t="s">
        <v>12160</v>
      </c>
      <c r="AK32" s="153" t="s">
        <v>12161</v>
      </c>
      <c r="AL32" s="155" t="s">
        <v>12162</v>
      </c>
      <c r="AM32" s="380" t="s">
        <v>12163</v>
      </c>
      <c r="AN32" s="509" t="s">
        <v>12164</v>
      </c>
      <c r="AO32" s="197"/>
      <c r="AP32" s="155"/>
      <c r="AQ32" s="380"/>
      <c r="AR32" s="509"/>
      <c r="AS32" s="508"/>
      <c r="AT32" s="508"/>
    </row>
    <row r="33">
      <c r="A33" s="505" t="s">
        <v>12165</v>
      </c>
      <c r="B33" s="202" t="s">
        <v>1243</v>
      </c>
      <c r="C33" s="386" t="s">
        <v>1243</v>
      </c>
      <c r="D33" s="506" t="s">
        <v>12166</v>
      </c>
      <c r="E33" s="382" t="str">
        <f>IFERROR(__xludf.DUMMYFUNCTION("GOOGLETRANSLATE(A33,""zh-tw"",""ja"")"),"氷の床")</f>
        <v>氷の床</v>
      </c>
      <c r="F33" s="417" t="str">
        <f>IFERROR(__xludf.DUMMYFUNCTION("GOOGLETRANSLATE(B33,""zh-tw"",""ja"")"),"-")</f>
        <v>-</v>
      </c>
      <c r="G33" s="383" t="str">
        <f>IFERROR(__xludf.DUMMYFUNCTION("GOOGLETRANSLATE(C33,""zh-tw"",""ja"")"),"-")</f>
        <v>-</v>
      </c>
      <c r="H33" s="507" t="str">
        <f>IFERROR(__xludf.DUMMYFUNCTION("GOOGLETRANSLATE(D33,""zh-tw"",""ja"")"),"例えば、アイススタッフの旧バージョン")</f>
        <v>例えば、アイススタッフの旧バージョン</v>
      </c>
      <c r="I33" s="505" t="s">
        <v>12167</v>
      </c>
      <c r="J33" s="417" t="str">
        <f>IFERROR(__xludf.DUMMYFUNCTION("GOOGLETRANSLATE(B33,""zh-tw"",""en"")"),"-")</f>
        <v>-</v>
      </c>
      <c r="K33" s="383" t="str">
        <f>IFERROR(__xludf.DUMMYFUNCTION("GOOGLETRANSLATE(C33,""zh-tw"",""en"")"),"-")</f>
        <v>-</v>
      </c>
      <c r="L33" s="506" t="s">
        <v>12168</v>
      </c>
      <c r="M33" s="382" t="str">
        <f>IFERROR(__xludf.DUMMYFUNCTION("GOOGLETRANSLATE(A33,""zh-tw"",""zh"")"),"冰地板")</f>
        <v>冰地板</v>
      </c>
      <c r="N33" s="417" t="str">
        <f>IFERROR(__xludf.DUMMYFUNCTION("GOOGLETRANSLATE(B33,""zh-tw"",""zh"")"),"-")</f>
        <v>-</v>
      </c>
      <c r="O33" s="383" t="str">
        <f>IFERROR(__xludf.DUMMYFUNCTION("GOOGLETRANSLATE(C33,""zh-tw"",""zh"")"),"-")</f>
        <v>-</v>
      </c>
      <c r="P33" s="507" t="str">
        <f>IFERROR(__xludf.DUMMYFUNCTION("GOOGLETRANSLATE(D33,""zh-tw"",""zh"")"),"例如:旧版本的寒冰杖")</f>
        <v>例如:旧版本的寒冰杖</v>
      </c>
      <c r="Q33" s="197" t="str">
        <f>IFERROR(__xludf.DUMMYFUNCTION("GOOGLETRANSLATE(A33,""zh-tw"",""es-MX"")"),"Pista de hielo")</f>
        <v>Pista de hielo</v>
      </c>
      <c r="R33" s="198" t="str">
        <f>IFERROR(__xludf.DUMMYFUNCTION("GOOGLETRANSLATE(B33,""zh-tw"",""es-MX"")"),"-")</f>
        <v>-</v>
      </c>
      <c r="S33" s="379" t="str">
        <f>IFERROR(__xludf.DUMMYFUNCTION("GOOGLETRANSLATE(C33,""zh-tw"",""es-MX"")"),"-")</f>
        <v>-</v>
      </c>
      <c r="T33" s="196" t="str">
        <f>IFERROR(__xludf.DUMMYFUNCTION("GOOGLETRANSLATE(D33,""zh-tw"",""es-MX"")"),"Por ejemplo, la versión antigua del Bastón de Hielo")</f>
        <v>Por ejemplo, la versión antigua del Bastón de Hielo</v>
      </c>
      <c r="U33" s="197" t="str">
        <f>IFERROR(__xludf.DUMMYFUNCTION("GOOGLETRANSLATE(A33,""zh-tw"",""KO"")"),"얼음 바닥")</f>
        <v>얼음 바닥</v>
      </c>
      <c r="V33" s="198" t="str">
        <f>IFERROR(__xludf.DUMMYFUNCTION("GOOGLETRANSLATE(B33,""zh-tw"",""KO"")"),"-")</f>
        <v>-</v>
      </c>
      <c r="W33" s="379" t="str">
        <f>IFERROR(__xludf.DUMMYFUNCTION("GOOGLETRANSLATE(C33,""zh-tw"",""KO"")"),"-")</f>
        <v>-</v>
      </c>
      <c r="X33" s="196" t="str">
        <f>IFERROR(__xludf.DUMMYFUNCTION("GOOGLETRANSLATE(D33,""zh-tw"",""KO"")"),"예를 들어, 아이스 스태프의 구버전")</f>
        <v>예를 들어, 아이스 스태프의 구버전</v>
      </c>
      <c r="Y33" s="197" t="s">
        <v>12169</v>
      </c>
      <c r="Z33" s="198" t="s">
        <v>1243</v>
      </c>
      <c r="AA33" s="379" t="s">
        <v>1243</v>
      </c>
      <c r="AB33" s="196" t="s">
        <v>12170</v>
      </c>
      <c r="AC33" s="382" t="str">
        <f>IFERROR(__xludf.DUMMYFUNCTION("GOOGLETRANSLATE(A33,""zh-tw"",""DE"")"),"Eisboden")</f>
        <v>Eisboden</v>
      </c>
      <c r="AD33" s="417" t="str">
        <f>IFERROR(__xludf.DUMMYFUNCTION("GOOGLETRANSLATE(B33,""zh-tw"",""DE"")"),"-")</f>
        <v>-</v>
      </c>
      <c r="AE33" s="383" t="str">
        <f>IFERROR(__xludf.DUMMYFUNCTION("GOOGLETRANSLATE(C33,""zh-tw"",""DE"")"),"-")</f>
        <v>-</v>
      </c>
      <c r="AF33" s="507" t="str">
        <f>IFERROR(__xludf.DUMMYFUNCTION("GOOGLETRANSLATE(D33,""zh-tw"",""DE"")"),"Zum Beispiel die alte Version von Ice Staff")</f>
        <v>Zum Beispiel die alte Version von Ice Staff</v>
      </c>
      <c r="AG33" s="153" t="s">
        <v>12171</v>
      </c>
      <c r="AH33" s="155" t="s">
        <v>1243</v>
      </c>
      <c r="AI33" s="380" t="s">
        <v>1243</v>
      </c>
      <c r="AJ33" s="154" t="s">
        <v>12172</v>
      </c>
      <c r="AK33" s="153" t="s">
        <v>12173</v>
      </c>
      <c r="AL33" s="155" t="s">
        <v>1243</v>
      </c>
      <c r="AM33" s="380" t="s">
        <v>1243</v>
      </c>
      <c r="AN33" s="154" t="s">
        <v>12174</v>
      </c>
      <c r="AO33" s="197"/>
      <c r="AP33" s="155"/>
      <c r="AQ33" s="380"/>
      <c r="AR33" s="154"/>
      <c r="AS33" s="508"/>
      <c r="AT33" s="508"/>
    </row>
    <row r="34">
      <c r="A34" s="505" t="s">
        <v>12175</v>
      </c>
      <c r="B34" s="202" t="s">
        <v>12176</v>
      </c>
      <c r="C34" s="386" t="s">
        <v>12177</v>
      </c>
      <c r="D34" s="506" t="s">
        <v>7774</v>
      </c>
      <c r="E34" s="505" t="s">
        <v>7776</v>
      </c>
      <c r="F34" s="202" t="s">
        <v>12178</v>
      </c>
      <c r="G34" s="383" t="str">
        <f>IFERROR(__xludf.DUMMYFUNCTION("GOOGLETRANSLATE(C34,""zh-tw"",""ja"")"),"全ての能力値が向上し、一時的に無敵状態になる。")</f>
        <v>全ての能力値が向上し、一時的に無敵状態になる。</v>
      </c>
      <c r="H34" s="506" t="s">
        <v>7776</v>
      </c>
      <c r="I34" s="505" t="s">
        <v>7778</v>
      </c>
      <c r="J34" s="202" t="s">
        <v>12179</v>
      </c>
      <c r="K34" s="386" t="s">
        <v>12180</v>
      </c>
      <c r="L34" s="506" t="s">
        <v>7778</v>
      </c>
      <c r="M34" s="382" t="str">
        <f>IFERROR(__xludf.DUMMYFUNCTION("GOOGLETRANSLATE(A34,""zh-tw"",""zh"")"),"上古荣光")</f>
        <v>上古荣光</v>
      </c>
      <c r="N34" s="417" t="str">
        <f>IFERROR(__xludf.DUMMYFUNCTION("GOOGLETRANSLATE(B34,""zh-tw"",""zh"")"),"你散发着荣光")</f>
        <v>你散发着荣光</v>
      </c>
      <c r="O34" s="383" t="str">
        <f>IFERROR(__xludf.DUMMYFUNCTION("GOOGLETRANSLATE(C34,""zh-tw"",""zh"")"),"全属性上升，暂时无敌")</f>
        <v>全属性上升，暂时无敌</v>
      </c>
      <c r="P34" s="507" t="str">
        <f>IFERROR(__xludf.DUMMYFUNCTION("GOOGLETRANSLATE(D34,""zh-tw"",""zh"")"),"荒古荣光")</f>
        <v>荒古荣光</v>
      </c>
      <c r="Q34" s="197" t="str">
        <f>IFERROR(__xludf.DUMMYFUNCTION("GOOGLETRANSLATE(A34,""zh-tw"",""es-MX"")"),"Gloria antigua")</f>
        <v>Gloria antigua</v>
      </c>
      <c r="R34" s="198" t="str">
        <f>IFERROR(__xludf.DUMMYFUNCTION("GOOGLETRANSLATE(B34,""zh-tw"",""es-MX"")"),"Irradias gloria")</f>
        <v>Irradias gloria</v>
      </c>
      <c r="S34" s="379" t="str">
        <f>IFERROR(__xludf.DUMMYFUNCTION("GOOGLETRANSLATE(C34,""zh-tw"",""es-MX"")"),"Todos los atributos aumentados, invencible temporalmente.")</f>
        <v>Todos los atributos aumentados, invencible temporalmente.</v>
      </c>
      <c r="T34" s="196" t="str">
        <f>IFERROR(__xludf.DUMMYFUNCTION("GOOGLETRANSLATE(D34,""zh-tw"",""es-MX"")"),"Gloria antigua")</f>
        <v>Gloria antigua</v>
      </c>
      <c r="U34" s="197" t="str">
        <f>IFERROR(__xludf.DUMMYFUNCTION("GOOGLETRANSLATE(A34,""zh-tw"",""KO"")"),"고대의 영광")</f>
        <v>고대의 영광</v>
      </c>
      <c r="V34" s="198" t="str">
        <f>IFERROR(__xludf.DUMMYFUNCTION("GOOGLETRANSLATE(B34,""zh-tw"",""KO"")"),"당신은 영광을 발산합니다")</f>
        <v>당신은 영광을 발산합니다</v>
      </c>
      <c r="W34" s="379" t="str">
        <f>IFERROR(__xludf.DUMMYFUNCTION("GOOGLETRANSLATE(C34,""zh-tw"",""KO"")"),"모든 능력치가 상승하여 일시적으로 무적이 됩니다.")</f>
        <v>모든 능력치가 상승하여 일시적으로 무적이 됩니다.</v>
      </c>
      <c r="X34" s="196" t="str">
        <f>IFERROR(__xludf.DUMMYFUNCTION("GOOGLETRANSLATE(D34,""zh-tw"",""KO"")"),"고대의 영광")</f>
        <v>고대의 영광</v>
      </c>
      <c r="Y34" s="197" t="s">
        <v>7780</v>
      </c>
      <c r="Z34" s="198" t="s">
        <v>12181</v>
      </c>
      <c r="AA34" s="379" t="s">
        <v>12182</v>
      </c>
      <c r="AB34" s="196" t="s">
        <v>7780</v>
      </c>
      <c r="AC34" s="197" t="str">
        <f>IFERROR(__xludf.DUMMYFUNCTION("GOOGLETRANSLATE(A34,""zh-tw"",""DE"")"),"Antiker Ruhm")</f>
        <v>Antiker Ruhm</v>
      </c>
      <c r="AD34" s="417" t="str">
        <f>IFERROR(__xludf.DUMMYFUNCTION("GOOGLETRANSLATE(B34,""zh-tw"",""DE"")"),"Du strahlst Glanz aus")</f>
        <v>Du strahlst Glanz aus</v>
      </c>
      <c r="AE34" s="383" t="str">
        <f>IFERROR(__xludf.DUMMYFUNCTION("GOOGLETRANSLATE(C34,""zh-tw"",""DE"")"),"Alle Attribute erhöht, vorübergehend unbesiegbar.")</f>
        <v>Alle Attribute erhöht, vorübergehend unbesiegbar.</v>
      </c>
      <c r="AF34" s="507" t="str">
        <f>IFERROR(__xludf.DUMMYFUNCTION("GOOGLETRANSLATE(D34,""zh-tw"",""DE"")"),"Antiker Ruhm")</f>
        <v>Antiker Ruhm</v>
      </c>
      <c r="AG34" s="153" t="s">
        <v>12183</v>
      </c>
      <c r="AH34" s="167" t="s">
        <v>12184</v>
      </c>
      <c r="AI34" s="380" t="s">
        <v>12185</v>
      </c>
      <c r="AJ34" s="154" t="s">
        <v>12183</v>
      </c>
      <c r="AK34" s="153" t="s">
        <v>7786</v>
      </c>
      <c r="AL34" s="155" t="s">
        <v>12186</v>
      </c>
      <c r="AM34" s="380" t="s">
        <v>12187</v>
      </c>
      <c r="AN34" s="154" t="s">
        <v>7786</v>
      </c>
      <c r="AO34" s="197"/>
      <c r="AP34" s="155"/>
      <c r="AQ34" s="380"/>
      <c r="AR34" s="154"/>
      <c r="AS34" s="508"/>
      <c r="AT34" s="508"/>
    </row>
    <row r="35">
      <c r="A35" s="505" t="s">
        <v>3434</v>
      </c>
      <c r="B35" s="202" t="s">
        <v>12188</v>
      </c>
      <c r="C35" s="386" t="s">
        <v>12189</v>
      </c>
      <c r="D35" s="506" t="s">
        <v>12190</v>
      </c>
      <c r="E35" s="505" t="s">
        <v>3437</v>
      </c>
      <c r="F35" s="202" t="s">
        <v>12191</v>
      </c>
      <c r="G35" s="383" t="str">
        <f>IFERROR(__xludf.DUMMYFUNCTION("GOOGLETRANSLATE(C35,""zh-tw"",""ja"")"),"スタミナを回復できない")</f>
        <v>スタミナを回復できない</v>
      </c>
      <c r="H35" s="506" t="s">
        <v>6562</v>
      </c>
      <c r="I35" s="505" t="s">
        <v>6564</v>
      </c>
      <c r="J35" s="202" t="s">
        <v>12192</v>
      </c>
      <c r="K35" s="386" t="s">
        <v>12193</v>
      </c>
      <c r="L35" s="506" t="s">
        <v>6564</v>
      </c>
      <c r="M35" s="382" t="str">
        <f>IFERROR(__xludf.DUMMYFUNCTION("GOOGLETRANSLATE(A35,""zh-tw"",""zh"")"),"稻草人")</f>
        <v>稻草人</v>
      </c>
      <c r="N35" s="417" t="str">
        <f>IFERROR(__xludf.DUMMYFUNCTION("GOOGLETRANSLATE(B35,""zh-tw"",""zh"")"),"不死的稻草人之心")</f>
        <v>不死的稻草人之心</v>
      </c>
      <c r="O35" s="383" t="str">
        <f>IFERROR(__xludf.DUMMYFUNCTION("GOOGLETRANSLATE(C35,""zh-tw"",""zh"")"),"无法回复体力")</f>
        <v>无法回复体力</v>
      </c>
      <c r="P35" s="507" t="str">
        <f>IFERROR(__xludf.DUMMYFUNCTION("GOOGLETRANSLATE(D35,""zh-tw"",""zh"")"),"稻草人之心")</f>
        <v>稻草人之心</v>
      </c>
      <c r="Q35" s="197" t="str">
        <f>IFERROR(__xludf.DUMMYFUNCTION("GOOGLETRANSLATE(A35,""zh-tw"",""es-MX"")"),"espantapájaros")</f>
        <v>espantapájaros</v>
      </c>
      <c r="R35" s="198" t="str">
        <f>IFERROR(__xludf.DUMMYFUNCTION("GOOGLETRANSLATE(B35,""zh-tw"",""es-MX"")"),"El corazón del espantapájaros inmortal")</f>
        <v>El corazón del espantapájaros inmortal</v>
      </c>
      <c r="S35" s="379" t="str">
        <f>IFERROR(__xludf.DUMMYFUNCTION("GOOGLETRANSLATE(C35,""zh-tw"",""es-MX"")"),"Incapaz de recuperar resistencia")</f>
        <v>Incapaz de recuperar resistencia</v>
      </c>
      <c r="T35" s="196" t="str">
        <f>IFERROR(__xludf.DUMMYFUNCTION("GOOGLETRANSLATE(D35,""zh-tw"",""es-MX"")"),"El corazón del espantapájaros")</f>
        <v>El corazón del espantapájaros</v>
      </c>
      <c r="U35" s="197" t="str">
        <f>IFERROR(__xludf.DUMMYFUNCTION("GOOGLETRANSLATE(A35,""zh-tw"",""KO"")"),"허수아비")</f>
        <v>허수아비</v>
      </c>
      <c r="V35" s="198" t="str">
        <f>IFERROR(__xludf.DUMMYFUNCTION("GOOGLETRANSLATE(B35,""zh-tw"",""KO"")"),"불멸의 허수아비의 심장")</f>
        <v>불멸의 허수아비의 심장</v>
      </c>
      <c r="W35" s="379" t="str">
        <f>IFERROR(__xludf.DUMMYFUNCTION("GOOGLETRANSLATE(C35,""zh-tw"",""KO"")"),"체력을 회복할 수 없습니다")</f>
        <v>체력을 회복할 수 없습니다</v>
      </c>
      <c r="X35" s="196" t="str">
        <f>IFERROR(__xludf.DUMMYFUNCTION("GOOGLETRANSLATE(D35,""zh-tw"",""KO"")"),"허수아비의 심장")</f>
        <v>허수아비의 심장</v>
      </c>
      <c r="Y35" s="197" t="s">
        <v>3446</v>
      </c>
      <c r="Z35" s="198" t="s">
        <v>12194</v>
      </c>
      <c r="AA35" s="379" t="s">
        <v>12195</v>
      </c>
      <c r="AB35" s="196" t="s">
        <v>6568</v>
      </c>
      <c r="AC35" s="382" t="str">
        <f>IFERROR(__xludf.DUMMYFUNCTION("GOOGLETRANSLATE(A35,""zh-tw"",""DE"")"),"Vogelscheuche")</f>
        <v>Vogelscheuche</v>
      </c>
      <c r="AD35" s="417" t="str">
        <f>IFERROR(__xludf.DUMMYFUNCTION("GOOGLETRANSLATE(B35,""zh-tw"",""DE"")"),"Das unsterbliche Herz der Vogelscheuche")</f>
        <v>Das unsterbliche Herz der Vogelscheuche</v>
      </c>
      <c r="AE35" s="383" t="str">
        <f>IFERROR(__xludf.DUMMYFUNCTION("GOOGLETRANSLATE(C35,""zh-tw"",""DE"")"),"Ausdauer kann nicht wiederhergestellt werden")</f>
        <v>Ausdauer kann nicht wiederhergestellt werden</v>
      </c>
      <c r="AF35" s="507" t="str">
        <f>IFERROR(__xludf.DUMMYFUNCTION("GOOGLETRANSLATE(D35,""zh-tw"",""DE"")"),"Vogelscheuchenherz")</f>
        <v>Vogelscheuchenherz</v>
      </c>
      <c r="AG35" s="153" t="s">
        <v>6572</v>
      </c>
      <c r="AH35" s="167" t="s">
        <v>12196</v>
      </c>
      <c r="AI35" s="380" t="s">
        <v>12197</v>
      </c>
      <c r="AJ35" s="154" t="s">
        <v>6572</v>
      </c>
      <c r="AK35" s="153" t="s">
        <v>6574</v>
      </c>
      <c r="AL35" s="155" t="s">
        <v>12198</v>
      </c>
      <c r="AM35" s="380" t="s">
        <v>12199</v>
      </c>
      <c r="AN35" s="154" t="s">
        <v>6574</v>
      </c>
      <c r="AO35" s="197"/>
      <c r="AP35" s="155"/>
      <c r="AQ35" s="380"/>
      <c r="AR35" s="154"/>
      <c r="AS35" s="508"/>
      <c r="AT35" s="508"/>
    </row>
    <row r="36">
      <c r="A36" s="505" t="s">
        <v>12200</v>
      </c>
      <c r="B36" s="202" t="s">
        <v>1243</v>
      </c>
      <c r="C36" s="386" t="s">
        <v>12201</v>
      </c>
      <c r="D36" s="506" t="s">
        <v>12202</v>
      </c>
      <c r="E36" s="382" t="str">
        <f>IFERROR(__xludf.DUMMYFUNCTION("GOOGLETRANSLATE(A36,""zh-tw"",""ja"")"),"水泳")</f>
        <v>水泳</v>
      </c>
      <c r="F36" s="417" t="str">
        <f>IFERROR(__xludf.DUMMYFUNCTION("GOOGLETRANSLATE(B36,""zh-tw"",""ja"")"),"-")</f>
        <v>-</v>
      </c>
      <c r="G36" s="383" t="str">
        <f>IFERROR(__xludf.DUMMYFUNCTION("GOOGLETRANSLATE(C36,""zh-tw"",""ja"")"),"水面に浮かんでいる間は、移動速度が低下し、攻撃は不可能になる。")</f>
        <v>水面に浮かんでいる間は、移動速度が低下し、攻撃は不可能になる。</v>
      </c>
      <c r="H36" s="507" t="str">
        <f>IFERROR(__xludf.DUMMYFUNCTION("GOOGLETRANSLATE(D36,""zh-tw"",""ja"")"),"泳ぐ")</f>
        <v>泳ぐ</v>
      </c>
      <c r="I36" s="505" t="s">
        <v>12203</v>
      </c>
      <c r="J36" s="417" t="str">
        <f>IFERROR(__xludf.DUMMYFUNCTION("GOOGLETRANSLATE(B36,""zh-tw"",""en"")"),"-")</f>
        <v>-</v>
      </c>
      <c r="K36" s="386" t="s">
        <v>12204</v>
      </c>
      <c r="L36" s="506" t="s">
        <v>12205</v>
      </c>
      <c r="M36" s="382" t="str">
        <f>IFERROR(__xludf.DUMMYFUNCTION("GOOGLETRANSLATE(A36,""zh-tw"",""zh"")"),"游泳中")</f>
        <v>游泳中</v>
      </c>
      <c r="N36" s="417" t="str">
        <f>IFERROR(__xludf.DUMMYFUNCTION("GOOGLETRANSLATE(B36,""zh-tw"",""zh"")"),"-")</f>
        <v>-</v>
      </c>
      <c r="O36" s="383" t="str">
        <f>IFERROR(__xludf.DUMMYFUNCTION("GOOGLETRANSLATE(C36,""zh-tw"",""zh"")"),"浮在水面上，移速下降，无法攻击")</f>
        <v>浮在水面上，移速下降，无法攻击</v>
      </c>
      <c r="P36" s="507" t="str">
        <f>IFERROR(__xludf.DUMMYFUNCTION("GOOGLETRANSLATE(D36,""zh-tw"",""zh"")"),"游泳")</f>
        <v>游泳</v>
      </c>
      <c r="Q36" s="197" t="str">
        <f>IFERROR(__xludf.DUMMYFUNCTION("GOOGLETRANSLATE(A36,""zh-tw"",""es-MX"")"),"Nadar")</f>
        <v>Nadar</v>
      </c>
      <c r="R36" s="198" t="str">
        <f>IFERROR(__xludf.DUMMYFUNCTION("GOOGLETRANSLATE(B36,""zh-tw"",""es-MX"")"),"-")</f>
        <v>-</v>
      </c>
      <c r="S36" s="379" t="str">
        <f>IFERROR(__xludf.DUMMYFUNCTION("GOOGLETRANSLATE(C36,""zh-tw"",""es-MX"")"),"Al flotar sobre el agua, la velocidad de movimiento disminuye y los ataques se vuelven imposibles.")</f>
        <v>Al flotar sobre el agua, la velocidad de movimiento disminuye y los ataques se vuelven imposibles.</v>
      </c>
      <c r="T36" s="196" t="str">
        <f>IFERROR(__xludf.DUMMYFUNCTION("GOOGLETRANSLATE(D36,""zh-tw"",""es-MX"")"),"nadar")</f>
        <v>nadar</v>
      </c>
      <c r="U36" s="197" t="str">
        <f>IFERROR(__xludf.DUMMYFUNCTION("GOOGLETRANSLATE(A36,""zh-tw"",""KO"")"),"수영")</f>
        <v>수영</v>
      </c>
      <c r="V36" s="198" t="str">
        <f>IFERROR(__xludf.DUMMYFUNCTION("GOOGLETRANSLATE(B36,""zh-tw"",""KO"")"),"-")</f>
        <v>-</v>
      </c>
      <c r="W36" s="379" t="str">
        <f>IFERROR(__xludf.DUMMYFUNCTION("GOOGLETRANSLATE(C36,""zh-tw"",""KO"")"),"물 위에 떠 있으면 이동 속도가 감소하고 공격이 불가능해집니다.")</f>
        <v>물 위에 떠 있으면 이동 속도가 감소하고 공격이 불가능해집니다.</v>
      </c>
      <c r="X36" s="196" t="str">
        <f>IFERROR(__xludf.DUMMYFUNCTION("GOOGLETRANSLATE(D36,""zh-tw"",""KO"")"),"헤엄")</f>
        <v>헤엄</v>
      </c>
      <c r="Y36" s="197" t="s">
        <v>12206</v>
      </c>
      <c r="Z36" s="198" t="s">
        <v>1243</v>
      </c>
      <c r="AA36" s="379" t="s">
        <v>12207</v>
      </c>
      <c r="AB36" s="196" t="s">
        <v>12206</v>
      </c>
      <c r="AC36" s="382" t="str">
        <f>IFERROR(__xludf.DUMMYFUNCTION("GOOGLETRANSLATE(A36,""zh-tw"",""DE"")"),"Baden")</f>
        <v>Baden</v>
      </c>
      <c r="AD36" s="417" t="str">
        <f>IFERROR(__xludf.DUMMYFUNCTION("GOOGLETRANSLATE(B36,""zh-tw"",""DE"")"),"-")</f>
        <v>-</v>
      </c>
      <c r="AE36" s="383" t="str">
        <f>IFERROR(__xludf.DUMMYFUNCTION("GOOGLETRANSLATE(C36,""zh-tw"",""DE"")"),"Auf dem Wasser treibend, verringert sich die Bewegungsgeschwindigkeit und Angriffe werden unmöglich.")</f>
        <v>Auf dem Wasser treibend, verringert sich die Bewegungsgeschwindigkeit und Angriffe werden unmöglich.</v>
      </c>
      <c r="AF36" s="507" t="str">
        <f>IFERROR(__xludf.DUMMYFUNCTION("GOOGLETRANSLATE(D36,""zh-tw"",""DE"")"),"schwimmen")</f>
        <v>schwimmen</v>
      </c>
      <c r="AG36" s="153" t="s">
        <v>12208</v>
      </c>
      <c r="AH36" s="155" t="s">
        <v>1243</v>
      </c>
      <c r="AI36" s="385" t="s">
        <v>12209</v>
      </c>
      <c r="AJ36" s="154" t="s">
        <v>12210</v>
      </c>
      <c r="AK36" s="153" t="s">
        <v>12211</v>
      </c>
      <c r="AL36" s="155" t="s">
        <v>1243</v>
      </c>
      <c r="AM36" s="380" t="s">
        <v>12212</v>
      </c>
      <c r="AN36" s="154" t="s">
        <v>12213</v>
      </c>
      <c r="AO36" s="197"/>
      <c r="AP36" s="155"/>
      <c r="AQ36" s="380"/>
      <c r="AR36" s="154"/>
      <c r="AS36" s="508"/>
      <c r="AT36" s="508"/>
    </row>
    <row r="37">
      <c r="A37" s="505" t="s">
        <v>12214</v>
      </c>
      <c r="B37" s="202" t="s">
        <v>12215</v>
      </c>
      <c r="C37" s="386" t="s">
        <v>12216</v>
      </c>
      <c r="D37" s="506" t="s">
        <v>6731</v>
      </c>
      <c r="E37" s="382" t="str">
        <f>IFERROR(__xludf.DUMMYFUNCTION("GOOGLETRANSLATE(A37,""zh-tw"",""ja"")"),"騎士道精神")</f>
        <v>騎士道精神</v>
      </c>
      <c r="F37" s="417" t="str">
        <f>IFERROR(__xludf.DUMMYFUNCTION("GOOGLETRANSLATE(B37,""zh-tw"",""ja"")"),"私たちは守護者だ。")</f>
        <v>私たちは守護者だ。</v>
      </c>
      <c r="G37" s="383" t="str">
        <f>IFERROR(__xludf.DUMMYFUNCTION("GOOGLETRANSLATE(C37,""zh-tw"",""ja"")"),"攻撃力が30増加")</f>
        <v>攻撃力が30増加</v>
      </c>
      <c r="H37" s="507" t="str">
        <f>IFERROR(__xludf.DUMMYFUNCTION("GOOGLETRANSLATE(D37,""zh-tw"",""ja"")"),"騎士の剣")</f>
        <v>騎士の剣</v>
      </c>
      <c r="I37" s="505" t="s">
        <v>12217</v>
      </c>
      <c r="J37" s="202" t="s">
        <v>12218</v>
      </c>
      <c r="K37" s="386" t="s">
        <v>12219</v>
      </c>
      <c r="L37" s="506" t="s">
        <v>6734</v>
      </c>
      <c r="M37" s="382" t="str">
        <f>IFERROR(__xludf.DUMMYFUNCTION("GOOGLETRANSLATE(A37,""zh-tw"",""zh"")"),"骑士精神")</f>
        <v>骑士精神</v>
      </c>
      <c r="N37" s="417" t="str">
        <f>IFERROR(__xludf.DUMMYFUNCTION("GOOGLETRANSLATE(B37,""zh-tw"",""zh"")"),"我等乃是守护者")</f>
        <v>我等乃是守护者</v>
      </c>
      <c r="O37" s="383" t="str">
        <f>IFERROR(__xludf.DUMMYFUNCTION("GOOGLETRANSLATE(C37,""zh-tw"",""zh"")"),"攻击力提升30")</f>
        <v>攻击力提升30</v>
      </c>
      <c r="P37" s="507" t="str">
        <f>IFERROR(__xludf.DUMMYFUNCTION("GOOGLETRANSLATE(D37,""zh-tw"",""zh"")"),"骑士之剑")</f>
        <v>骑士之剑</v>
      </c>
      <c r="Q37" s="197" t="str">
        <f>IFERROR(__xludf.DUMMYFUNCTION("GOOGLETRANSLATE(A37,""zh-tw"",""es-MX"")"),"Caballería")</f>
        <v>Caballería</v>
      </c>
      <c r="R37" s="198" t="str">
        <f>IFERROR(__xludf.DUMMYFUNCTION("GOOGLETRANSLATE(B37,""zh-tw"",""es-MX"")"),"Nosotros somos los guardianes.")</f>
        <v>Nosotros somos los guardianes.</v>
      </c>
      <c r="S37" s="379" t="str">
        <f>IFERROR(__xludf.DUMMYFUNCTION("GOOGLETRANSLATE(C37,""zh-tw"",""es-MX"")"),"El poder de ataque aumentó en 30.")</f>
        <v>El poder de ataque aumentó en 30.</v>
      </c>
      <c r="T37" s="196" t="str">
        <f>IFERROR(__xludf.DUMMYFUNCTION("GOOGLETRANSLATE(D37,""zh-tw"",""es-MX"")"),"Espada de caballero")</f>
        <v>Espada de caballero</v>
      </c>
      <c r="U37" s="197" t="str">
        <f>IFERROR(__xludf.DUMMYFUNCTION("GOOGLETRANSLATE(A37,""zh-tw"",""KO"")"),"기사도")</f>
        <v>기사도</v>
      </c>
      <c r="V37" s="198" t="str">
        <f>IFERROR(__xludf.DUMMYFUNCTION("GOOGLETRANSLATE(B37,""zh-tw"",""KO"")"),"우리는 수호자입니다.")</f>
        <v>우리는 수호자입니다.</v>
      </c>
      <c r="W37" s="379" t="str">
        <f>IFERROR(__xludf.DUMMYFUNCTION("GOOGLETRANSLATE(C37,""zh-tw"",""KO"")"),"공격력이 30 증가했습니다.")</f>
        <v>공격력이 30 증가했습니다.</v>
      </c>
      <c r="X37" s="196" t="str">
        <f>IFERROR(__xludf.DUMMYFUNCTION("GOOGLETRANSLATE(D37,""zh-tw"",""KO"")"),"기사의 검")</f>
        <v>기사의 검</v>
      </c>
      <c r="Y37" s="197" t="s">
        <v>12220</v>
      </c>
      <c r="Z37" s="198" t="s">
        <v>12221</v>
      </c>
      <c r="AA37" s="379" t="s">
        <v>12222</v>
      </c>
      <c r="AB37" s="196" t="s">
        <v>6738</v>
      </c>
      <c r="AC37" s="382" t="str">
        <f>IFERROR(__xludf.DUMMYFUNCTION("GOOGLETRANSLATE(A37,""zh-tw"",""DE"")"),"Ritterlichkeit")</f>
        <v>Ritterlichkeit</v>
      </c>
      <c r="AD37" s="417" t="str">
        <f>IFERROR(__xludf.DUMMYFUNCTION("GOOGLETRANSLATE(B37,""zh-tw"",""DE"")"),"Wir sind die Wächter.")</f>
        <v>Wir sind die Wächter.</v>
      </c>
      <c r="AE37" s="383" t="str">
        <f>IFERROR(__xludf.DUMMYFUNCTION("GOOGLETRANSLATE(C37,""zh-tw"",""DE"")"),"Angriffskraft um 30 erhöht")</f>
        <v>Angriffskraft um 30 erhöht</v>
      </c>
      <c r="AF37" s="507" t="str">
        <f>IFERROR(__xludf.DUMMYFUNCTION("GOOGLETRANSLATE(D37,""zh-tw"",""DE"")"),"Ritterschwert")</f>
        <v>Ritterschwert</v>
      </c>
      <c r="AG37" s="153" t="s">
        <v>12223</v>
      </c>
      <c r="AH37" s="167" t="s">
        <v>12224</v>
      </c>
      <c r="AI37" s="385" t="s">
        <v>12225</v>
      </c>
      <c r="AJ37" s="154" t="s">
        <v>6743</v>
      </c>
      <c r="AK37" s="153" t="s">
        <v>12226</v>
      </c>
      <c r="AL37" s="155" t="s">
        <v>12227</v>
      </c>
      <c r="AM37" s="380" t="s">
        <v>12228</v>
      </c>
      <c r="AN37" s="154" t="s">
        <v>6745</v>
      </c>
      <c r="AO37" s="197"/>
      <c r="AP37" s="155"/>
      <c r="AQ37" s="380"/>
      <c r="AR37" s="154"/>
      <c r="AS37" s="508"/>
      <c r="AT37" s="508"/>
    </row>
    <row r="38">
      <c r="A38" s="505" t="s">
        <v>12229</v>
      </c>
      <c r="B38" s="202" t="s">
        <v>12230</v>
      </c>
      <c r="C38" s="386" t="s">
        <v>12231</v>
      </c>
      <c r="D38" s="506" t="s">
        <v>8739</v>
      </c>
      <c r="E38" s="505" t="s">
        <v>12232</v>
      </c>
      <c r="F38" s="202" t="s">
        <v>12233</v>
      </c>
      <c r="G38" s="383" t="str">
        <f>IFERROR(__xludf.DUMMYFUNCTION("GOOGLETRANSLATE(C38,""zh-tw"",""ja"")"),"スタミナは自動的に回復します。")</f>
        <v>スタミナは自動的に回復します。</v>
      </c>
      <c r="H38" s="506" t="s">
        <v>12234</v>
      </c>
      <c r="I38" s="505" t="s">
        <v>12235</v>
      </c>
      <c r="J38" s="202" t="s">
        <v>12236</v>
      </c>
      <c r="K38" s="386" t="s">
        <v>12237</v>
      </c>
      <c r="L38" s="506" t="s">
        <v>12238</v>
      </c>
      <c r="M38" s="382" t="str">
        <f>IFERROR(__xludf.DUMMYFUNCTION("GOOGLETRANSLATE(A38,""zh-tw"",""zh"")"),"妹妹的胖次")</f>
        <v>妹妹的胖次</v>
      </c>
      <c r="N38" s="417" t="str">
        <f>IFERROR(__xludf.DUMMYFUNCTION("GOOGLETRANSLATE(B38,""zh-tw"",""zh"")"),"就感觉妹妹在身边一样……")</f>
        <v>就感觉妹妹在身边一样……</v>
      </c>
      <c r="O38" s="383" t="str">
        <f>IFERROR(__xludf.DUMMYFUNCTION("GOOGLETRANSLATE(C38,""zh-tw"",""zh"")"),"体力自动恢复中")</f>
        <v>体力自动恢复中</v>
      </c>
      <c r="P38" s="507" t="str">
        <f>IFERROR(__xludf.DUMMYFUNCTION("GOOGLETRANSLATE(D38,""zh-tw"",""zh"")"),"妹妹脱下的内裤")</f>
        <v>妹妹脱下的内裤</v>
      </c>
      <c r="Q38" s="197" t="str">
        <f>IFERROR(__xludf.DUMMYFUNCTION("GOOGLETRANSLATE(A38,""zh-tw"",""es-MX"")"),"Las bragas de mi hermana")</f>
        <v>Las bragas de mi hermana</v>
      </c>
      <c r="R38" s="198" t="str">
        <f>IFERROR(__xludf.DUMMYFUNCTION("GOOGLETRANSLATE(B38,""zh-tw"",""es-MX"")"),"Siento como si mi hermana estuviera justo a mi lado...")</f>
        <v>Siento como si mi hermana estuviera justo a mi lado...</v>
      </c>
      <c r="S38" s="379" t="str">
        <f>IFERROR(__xludf.DUMMYFUNCTION("GOOGLETRANSLATE(C38,""zh-tw"",""es-MX"")"),"La resistencia se recupera automáticamente.")</f>
        <v>La resistencia se recupera automáticamente.</v>
      </c>
      <c r="T38" s="196" t="str">
        <f>IFERROR(__xludf.DUMMYFUNCTION("GOOGLETRANSLATE(D38,""zh-tw"",""es-MX"")"),"La ropa interior de mi hermana")</f>
        <v>La ropa interior de mi hermana</v>
      </c>
      <c r="U38" s="197" t="str">
        <f>IFERROR(__xludf.DUMMYFUNCTION("GOOGLETRANSLATE(A38,""zh-tw"",""KO"")"),"내 여동생의 팬티")</f>
        <v>내 여동생의 팬티</v>
      </c>
      <c r="V38" s="198" t="str">
        <f>IFERROR(__xludf.DUMMYFUNCTION("GOOGLETRANSLATE(B38,""zh-tw"",""KO"")"),"마치 내 여동생이 바로 옆에 있는 것 같은 느낌이 들어요...")</f>
        <v>마치 내 여동생이 바로 옆에 있는 것 같은 느낌이 들어요...</v>
      </c>
      <c r="W38" s="379" t="str">
        <f>IFERROR(__xludf.DUMMYFUNCTION("GOOGLETRANSLATE(C38,""zh-tw"",""KO"")"),"체력은 자동으로 회복됩니다.")</f>
        <v>체력은 자동으로 회복됩니다.</v>
      </c>
      <c r="X38" s="196" t="str">
        <f>IFERROR(__xludf.DUMMYFUNCTION("GOOGLETRANSLATE(D38,""zh-tw"",""KO"")"),"내 여동생의 속옷")</f>
        <v>내 여동생의 속옷</v>
      </c>
      <c r="Y38" s="197" t="s">
        <v>12239</v>
      </c>
      <c r="Z38" s="198" t="s">
        <v>12240</v>
      </c>
      <c r="AA38" s="379" t="s">
        <v>12241</v>
      </c>
      <c r="AB38" s="196" t="s">
        <v>12242</v>
      </c>
      <c r="AC38" s="382" t="str">
        <f>IFERROR(__xludf.DUMMYFUNCTION("GOOGLETRANSLATE(A38,""zh-tw"",""DE"")"),"Die Höschen meiner Schwester")</f>
        <v>Die Höschen meiner Schwester</v>
      </c>
      <c r="AD38" s="417" t="str">
        <f>IFERROR(__xludf.DUMMYFUNCTION("GOOGLETRANSLATE(B38,""zh-tw"",""DE"")"),"Es fühlt sich an, als wäre meine Schwester direkt neben mir...")</f>
        <v>Es fühlt sich an, als wäre meine Schwester direkt neben mir...</v>
      </c>
      <c r="AE38" s="383" t="str">
        <f>IFERROR(__xludf.DUMMYFUNCTION("GOOGLETRANSLATE(C38,""zh-tw"",""DE"")"),"Die Ausdauer regeneriert sich automatisch.")</f>
        <v>Die Ausdauer regeneriert sich automatisch.</v>
      </c>
      <c r="AF38" s="507" t="str">
        <f>IFERROR(__xludf.DUMMYFUNCTION("GOOGLETRANSLATE(D38,""zh-tw"",""DE"")"),"Die Unterwäsche meiner Schwester")</f>
        <v>Die Unterwäsche meiner Schwester</v>
      </c>
      <c r="AG38" s="153" t="s">
        <v>12243</v>
      </c>
      <c r="AH38" s="167" t="s">
        <v>12244</v>
      </c>
      <c r="AI38" s="385" t="s">
        <v>12245</v>
      </c>
      <c r="AJ38" s="154" t="s">
        <v>12246</v>
      </c>
      <c r="AK38" s="153" t="s">
        <v>12247</v>
      </c>
      <c r="AL38" s="155" t="s">
        <v>12248</v>
      </c>
      <c r="AM38" s="380" t="s">
        <v>12249</v>
      </c>
      <c r="AN38" s="154" t="s">
        <v>12250</v>
      </c>
      <c r="AO38" s="197"/>
      <c r="AP38" s="155"/>
      <c r="AQ38" s="380"/>
      <c r="AR38" s="154"/>
      <c r="AS38" s="508"/>
      <c r="AT38" s="508"/>
    </row>
    <row r="39">
      <c r="A39" s="505" t="s">
        <v>12251</v>
      </c>
      <c r="B39" s="202" t="s">
        <v>12252</v>
      </c>
      <c r="C39" s="386" t="s">
        <v>12253</v>
      </c>
      <c r="D39" s="506" t="s">
        <v>12254</v>
      </c>
      <c r="E39" s="505" t="s">
        <v>12255</v>
      </c>
      <c r="F39" s="202" t="s">
        <v>12256</v>
      </c>
      <c r="G39" s="386" t="s">
        <v>12257</v>
      </c>
      <c r="H39" s="506" t="s">
        <v>12258</v>
      </c>
      <c r="I39" s="505" t="s">
        <v>12259</v>
      </c>
      <c r="J39" s="202" t="s">
        <v>12260</v>
      </c>
      <c r="K39" s="386" t="s">
        <v>12261</v>
      </c>
      <c r="L39" s="506" t="s">
        <v>12262</v>
      </c>
      <c r="M39" s="382" t="str">
        <f>IFERROR(__xludf.DUMMYFUNCTION("GOOGLETRANSLATE(A39,""zh-tw"",""zh"")"),"咕噜咕噜")</f>
        <v>咕噜咕噜</v>
      </c>
      <c r="N39" s="417" t="str">
        <f>IFERROR(__xludf.DUMMYFUNCTION("GOOGLETRANSLATE(B39,""zh-tw"",""zh"")"),"吃坏了肚子......")</f>
        <v>吃坏了肚子......</v>
      </c>
      <c r="O39" s="383" t="str">
        <f>IFERROR(__xludf.DUMMYFUNCTION("GOOGLETRANSLATE(C39,""zh-tw"",""zh"")"),"腹痛不止！")</f>
        <v>腹痛不止！</v>
      </c>
      <c r="P39" s="507" t="str">
        <f>IFERROR(__xludf.DUMMYFUNCTION("GOOGLETRANSLATE(D39,""zh-tw"",""zh"")"),"毒料理")</f>
        <v>毒料理</v>
      </c>
      <c r="Q39" s="197" t="str">
        <f>IFERROR(__xludf.DUMMYFUNCTION("GOOGLETRANSLATE(A39,""zh-tw"",""es-MX"")"),"Glug glug")</f>
        <v>Glug glug</v>
      </c>
      <c r="R39" s="198" t="str">
        <f>IFERROR(__xludf.DUMMYFUNCTION("GOOGLETRANSLATE(B39,""zh-tw"",""es-MX"")"),"Me duele el estómago...")</f>
        <v>Me duele el estómago...</v>
      </c>
      <c r="S39" s="379" t="str">
        <f>IFERROR(__xludf.DUMMYFUNCTION("GOOGLETRANSLATE(C39,""zh-tw"",""es-MX"")"),"¡No se me quita el dolor de estómago!")</f>
        <v>¡No se me quita el dolor de estómago!</v>
      </c>
      <c r="T39" s="196" t="str">
        <f>IFERROR(__xludf.DUMMYFUNCTION("GOOGLETRANSLATE(D39,""zh-tw"",""es-MX"")"),"cocina venenosa")</f>
        <v>cocina venenosa</v>
      </c>
      <c r="U39" s="197" t="str">
        <f>IFERROR(__xludf.DUMMYFUNCTION("GOOGLETRANSLATE(A39,""zh-tw"",""KO"")"),"꿀꺽꿀꺽")</f>
        <v>꿀꺽꿀꺽</v>
      </c>
      <c r="V39" s="198" t="str">
        <f>IFERROR(__xludf.DUMMYFUNCTION("GOOGLETRANSLATE(B39,""zh-tw"",""KO"")"),"배탈이 났어요...")</f>
        <v>배탈이 났어요...</v>
      </c>
      <c r="W39" s="379" t="str">
        <f>IFERROR(__xludf.DUMMYFUNCTION("GOOGLETRANSLATE(C39,""zh-tw"",""KO"")"),"배가 너무 아파요! 멈추지 않아요!")</f>
        <v>배가 너무 아파요! 멈추지 않아요!</v>
      </c>
      <c r="X39" s="196" t="str">
        <f>IFERROR(__xludf.DUMMYFUNCTION("GOOGLETRANSLATE(D39,""zh-tw"",""KO"")"),"독성이 있는 음식")</f>
        <v>독성이 있는 음식</v>
      </c>
      <c r="Y39" s="197" t="s">
        <v>12263</v>
      </c>
      <c r="Z39" s="198" t="s">
        <v>12264</v>
      </c>
      <c r="AA39" s="379" t="s">
        <v>12265</v>
      </c>
      <c r="AB39" s="196" t="s">
        <v>12266</v>
      </c>
      <c r="AC39" s="382" t="str">
        <f>IFERROR(__xludf.DUMMYFUNCTION("GOOGLETRANSLATE(A39,""zh-tw"",""DE"")"),"Glucks, glucks")</f>
        <v>Glucks, glucks</v>
      </c>
      <c r="AD39" s="417" t="str">
        <f>IFERROR(__xludf.DUMMYFUNCTION("GOOGLETRANSLATE(B39,""zh-tw"",""DE"")"),"Ich habe Magenbeschwerden...")</f>
        <v>Ich habe Magenbeschwerden...</v>
      </c>
      <c r="AE39" s="383" t="str">
        <f>IFERROR(__xludf.DUMMYFUNCTION("GOOGLETRANSLATE(C39,""zh-tw"",""DE"")"),"Meine Magenschmerzen hören nicht auf!")</f>
        <v>Meine Magenschmerzen hören nicht auf!</v>
      </c>
      <c r="AF39" s="507" t="str">
        <f>IFERROR(__xludf.DUMMYFUNCTION("GOOGLETRANSLATE(D39,""zh-tw"",""DE"")"),"giftige Küche")</f>
        <v>giftige Küche</v>
      </c>
      <c r="AG39" s="153" t="s">
        <v>12267</v>
      </c>
      <c r="AH39" s="167" t="s">
        <v>12268</v>
      </c>
      <c r="AI39" s="385" t="s">
        <v>12269</v>
      </c>
      <c r="AJ39" s="154" t="s">
        <v>12270</v>
      </c>
      <c r="AK39" s="153" t="s">
        <v>12259</v>
      </c>
      <c r="AL39" s="155" t="s">
        <v>12271</v>
      </c>
      <c r="AM39" s="380" t="s">
        <v>12272</v>
      </c>
      <c r="AN39" s="154" t="s">
        <v>12273</v>
      </c>
      <c r="AO39" s="197"/>
      <c r="AP39" s="155"/>
      <c r="AQ39" s="380"/>
      <c r="AR39" s="154"/>
      <c r="AS39" s="508"/>
      <c r="AT39" s="508"/>
    </row>
    <row r="40">
      <c r="A40" s="505" t="s">
        <v>12274</v>
      </c>
      <c r="B40" s="202" t="s">
        <v>12275</v>
      </c>
      <c r="C40" s="386" t="s">
        <v>12276</v>
      </c>
      <c r="D40" s="506" t="s">
        <v>12277</v>
      </c>
      <c r="E40" s="505" t="s">
        <v>12278</v>
      </c>
      <c r="F40" s="202" t="s">
        <v>12279</v>
      </c>
      <c r="G40" s="386" t="s">
        <v>12280</v>
      </c>
      <c r="H40" s="506" t="s">
        <v>12281</v>
      </c>
      <c r="I40" s="505" t="s">
        <v>12282</v>
      </c>
      <c r="J40" s="202" t="s">
        <v>12283</v>
      </c>
      <c r="K40" s="386" t="s">
        <v>12284</v>
      </c>
      <c r="L40" s="506" t="s">
        <v>12285</v>
      </c>
      <c r="M40" s="382" t="str">
        <f>IFERROR(__xludf.DUMMYFUNCTION("GOOGLETRANSLATE(A40,""zh-tw"",""zh"")"),"咕噜咕噜咕噜")</f>
        <v>咕噜咕噜咕噜</v>
      </c>
      <c r="N40" s="417" t="str">
        <f>IFERROR(__xludf.DUMMYFUNCTION("GOOGLETRANSLATE(B40,""zh-tw"",""zh"")"),"菊花残、满地伤...")</f>
        <v>菊花残、满地伤...</v>
      </c>
      <c r="O40" s="383" t="str">
        <f>IFERROR(__xludf.DUMMYFUNCTION("GOOGLETRANSLATE(C40,""zh-tw"",""zh"")"),"因屁股疼痛无法奔跑和冲刺！")</f>
        <v>因屁股疼痛无法奔跑和冲刺！</v>
      </c>
      <c r="P40" s="507" t="str">
        <f>IFERROR(__xludf.DUMMYFUNCTION("GOOGLETRANSLATE(D40,""zh-tw"",""zh"")"),"毒辣料理")</f>
        <v>毒辣料理</v>
      </c>
      <c r="Q40" s="197" t="str">
        <f>IFERROR(__xludf.DUMMYFUNCTION("GOOGLETRANSLATE(A40,""zh-tw"",""es-MX"")"),"Glug glug glug")</f>
        <v>Glug glug glug</v>
      </c>
      <c r="R40" s="198" t="str">
        <f>IFERROR(__xludf.DUMMYFUNCTION("GOOGLETRANSLATE(B40,""zh-tw"",""es-MX"")"),"Los crisantemos se marchitaron, las heridas quedaron esparcidas por el suelo...")</f>
        <v>Los crisantemos se marchitaron, las heridas quedaron esparcidas por el suelo...</v>
      </c>
      <c r="S40" s="379" t="str">
        <f>IFERROR(__xludf.DUMMYFUNCTION("GOOGLETRANSLATE(C40,""zh-tw"",""es-MX"")"),"¡No puedo correr ni esprintar por el dolor en los glúteos!")</f>
        <v>¡No puedo correr ni esprintar por el dolor en los glúteos!</v>
      </c>
      <c r="T40" s="196" t="str">
        <f>IFERROR(__xludf.DUMMYFUNCTION("GOOGLETRANSLATE(D40,""zh-tw"",""es-MX"")"),"Comida picante")</f>
        <v>Comida picante</v>
      </c>
      <c r="U40" s="197" t="str">
        <f>IFERROR(__xludf.DUMMYFUNCTION("GOOGLETRANSLATE(A40,""zh-tw"",""KO"")"),"꿀꺽꿀꺽꿀꺽")</f>
        <v>꿀꺽꿀꺽꿀꺽</v>
      </c>
      <c r="V40" s="198" t="str">
        <f>IFERROR(__xludf.DUMMYFUNCTION("GOOGLETRANSLATE(B40,""zh-tw"",""KO"")"),"시든 국화, 땅에 흩어진 상처들...")</f>
        <v>시든 국화, 땅에 흩어진 상처들...</v>
      </c>
      <c r="W40" s="379" t="str">
        <f>IFERROR(__xludf.DUMMYFUNCTION("GOOGLETRANSLATE(C40,""zh-tw"",""KO"")"),"엉덩이 통증 때문에 뛰거나 전력 질주를 할 수 없어요!")</f>
        <v>엉덩이 통증 때문에 뛰거나 전력 질주를 할 수 없어요!</v>
      </c>
      <c r="X40" s="196" t="str">
        <f>IFERROR(__xludf.DUMMYFUNCTION("GOOGLETRANSLATE(D40,""zh-tw"",""KO"")"),"매운 음식")</f>
        <v>매운 음식</v>
      </c>
      <c r="Y40" s="197" t="s">
        <v>12286</v>
      </c>
      <c r="Z40" s="198" t="s">
        <v>12287</v>
      </c>
      <c r="AA40" s="379" t="s">
        <v>12288</v>
      </c>
      <c r="AB40" s="196" t="s">
        <v>12289</v>
      </c>
      <c r="AC40" s="382" t="str">
        <f>IFERROR(__xludf.DUMMYFUNCTION("GOOGLETRANSLATE(A40,""zh-tw"",""DE"")"),"Glucks, glucks, glucks")</f>
        <v>Glucks, glucks, glucks</v>
      </c>
      <c r="AD40" s="417" t="str">
        <f>IFERROR(__xludf.DUMMYFUNCTION("GOOGLETRANSLATE(B40,""zh-tw"",""DE"")"),"Chrysanthemen verwelkten, Wunden lagen verstreut auf dem Boden...")</f>
        <v>Chrysanthemen verwelkten, Wunden lagen verstreut auf dem Boden...</v>
      </c>
      <c r="AE40" s="383" t="str">
        <f>IFERROR(__xludf.DUMMYFUNCTION("GOOGLETRANSLATE(C40,""zh-tw"",""DE"")"),"Ich kann wegen der Schmerzen im Gesäßbereich weder rennen noch sprinten!")</f>
        <v>Ich kann wegen der Schmerzen im Gesäßbereich weder rennen noch sprinten!</v>
      </c>
      <c r="AF40" s="507" t="str">
        <f>IFERROR(__xludf.DUMMYFUNCTION("GOOGLETRANSLATE(D40,""zh-tw"",""DE"")"),"scharfes Essen")</f>
        <v>scharfes Essen</v>
      </c>
      <c r="AG40" s="153" t="s">
        <v>12290</v>
      </c>
      <c r="AH40" s="167" t="s">
        <v>12291</v>
      </c>
      <c r="AI40" s="385" t="s">
        <v>12292</v>
      </c>
      <c r="AJ40" s="154" t="s">
        <v>12293</v>
      </c>
      <c r="AK40" s="153" t="s">
        <v>12282</v>
      </c>
      <c r="AL40" s="155" t="s">
        <v>12294</v>
      </c>
      <c r="AM40" s="380" t="s">
        <v>12295</v>
      </c>
      <c r="AN40" s="154" t="s">
        <v>12296</v>
      </c>
      <c r="AO40" s="197"/>
      <c r="AP40" s="155"/>
      <c r="AQ40" s="380"/>
      <c r="AR40" s="154"/>
      <c r="AS40" s="508"/>
      <c r="AT40" s="508"/>
    </row>
    <row r="41">
      <c r="A41" s="505" t="s">
        <v>12297</v>
      </c>
      <c r="B41" s="202" t="s">
        <v>12298</v>
      </c>
      <c r="C41" s="386" t="s">
        <v>12299</v>
      </c>
      <c r="D41" s="506" t="s">
        <v>12300</v>
      </c>
      <c r="E41" s="505" t="s">
        <v>12301</v>
      </c>
      <c r="F41" s="202" t="s">
        <v>12302</v>
      </c>
      <c r="G41" s="386" t="s">
        <v>12303</v>
      </c>
      <c r="H41" s="506" t="s">
        <v>12304</v>
      </c>
      <c r="I41" s="505" t="s">
        <v>12305</v>
      </c>
      <c r="J41" s="202" t="s">
        <v>12306</v>
      </c>
      <c r="K41" s="386" t="s">
        <v>12307</v>
      </c>
      <c r="L41" s="507"/>
      <c r="M41" s="382" t="str">
        <f>IFERROR(__xludf.DUMMYFUNCTION("GOOGLETRANSLATE(A41,""zh-tw"",""zh"")"),"早点回家吧")</f>
        <v>早点回家吧</v>
      </c>
      <c r="N41" s="417" t="str">
        <f>IFERROR(__xludf.DUMMYFUNCTION("GOOGLETRANSLATE(B41,""zh-tw"",""zh"")"),"热死了.....")</f>
        <v>热死了.....</v>
      </c>
      <c r="O41" s="383" t="str">
        <f>IFERROR(__xludf.DUMMYFUNCTION("GOOGLETRANSLATE(C41,""zh-tw"",""zh"")"),"因为炎热浑身无力...")</f>
        <v>因为炎热浑身无力...</v>
      </c>
      <c r="P41" s="507" t="str">
        <f>IFERROR(__xludf.DUMMYFUNCTION("GOOGLETRANSLATE(D41,""zh-tw"",""zh"")"),"炎热天气")</f>
        <v>炎热天气</v>
      </c>
      <c r="Q41" s="197" t="str">
        <f>IFERROR(__xludf.DUMMYFUNCTION("GOOGLETRANSLATE(A41,""zh-tw"",""es-MX"")"),"Vuelve a casa temprano.")</f>
        <v>Vuelve a casa temprano.</v>
      </c>
      <c r="R41" s="198" t="str">
        <f>IFERROR(__xludf.DUMMYFUNCTION("GOOGLETRANSLATE(B41,""zh-tw"",""es-MX"")"),"Hace muchísimo calor...")</f>
        <v>Hace muchísimo calor...</v>
      </c>
      <c r="S41" s="379" t="str">
        <f>IFERROR(__xludf.DUMMYFUNCTION("GOOGLETRANSLATE(C41,""zh-tw"",""es-MX"")"),"Me siento débil por completo a causa del calor...")</f>
        <v>Me siento débil por completo a causa del calor...</v>
      </c>
      <c r="T41" s="196" t="str">
        <f>IFERROR(__xludf.DUMMYFUNCTION("GOOGLETRANSLATE(D41,""zh-tw"",""es-MX"")"),"clima cálido")</f>
        <v>clima cálido</v>
      </c>
      <c r="U41" s="197" t="str">
        <f>IFERROR(__xludf.DUMMYFUNCTION("GOOGLETRANSLATE(A41,""zh-tw"",""KO"")"),"일찍 집에 가세요.")</f>
        <v>일찍 집에 가세요.</v>
      </c>
      <c r="V41" s="198" t="str">
        <f>IFERROR(__xludf.DUMMYFUNCTION("GOOGLETRANSLATE(B41,""zh-tw"",""KO"")"),"너무 덥다.....")</f>
        <v>너무 덥다.....</v>
      </c>
      <c r="W41" s="379" t="str">
        <f>IFERROR(__xludf.DUMMYFUNCTION("GOOGLETRANSLATE(C41,""zh-tw"",""KO"")"),"더위 때문에 온몸이 힘이 빠지는 것 같아요...")</f>
        <v>더위 때문에 온몸이 힘이 빠지는 것 같아요...</v>
      </c>
      <c r="X41" s="196" t="str">
        <f>IFERROR(__xludf.DUMMYFUNCTION("GOOGLETRANSLATE(D41,""zh-tw"",""KO"")"),"더운 날씨")</f>
        <v>더운 날씨</v>
      </c>
      <c r="Y41" s="197" t="s">
        <v>12308</v>
      </c>
      <c r="Z41" s="198" t="s">
        <v>12309</v>
      </c>
      <c r="AA41" s="379" t="s">
        <v>12310</v>
      </c>
      <c r="AB41" s="196" t="s">
        <v>12311</v>
      </c>
      <c r="AC41" s="382" t="str">
        <f>IFERROR(__xludf.DUMMYFUNCTION("GOOGLETRANSLATE(A41,""zh-tw"",""DE"")"),"Geh früh nach Hause.")</f>
        <v>Geh früh nach Hause.</v>
      </c>
      <c r="AD41" s="417" t="str">
        <f>IFERROR(__xludf.DUMMYFUNCTION("GOOGLETRANSLATE(B41,""zh-tw"",""DE"")"),"Es ist so heiß.....")</f>
        <v>Es ist so heiß.....</v>
      </c>
      <c r="AE41" s="383" t="str">
        <f>IFERROR(__xludf.DUMMYFUNCTION("GOOGLETRANSLATE(C41,""zh-tw"",""DE"")"),"Mir ist wegen der Hitze ganz schwindelig...")</f>
        <v>Mir ist wegen der Hitze ganz schwindelig...</v>
      </c>
      <c r="AF41" s="507" t="str">
        <f>IFERROR(__xludf.DUMMYFUNCTION("GOOGLETRANSLATE(D41,""zh-tw"",""DE"")"),"heißes Wetter")</f>
        <v>heißes Wetter</v>
      </c>
      <c r="AG41" s="153" t="s">
        <v>3396</v>
      </c>
      <c r="AH41" s="155" t="s">
        <v>12312</v>
      </c>
      <c r="AI41" s="385" t="s">
        <v>12313</v>
      </c>
      <c r="AJ41" s="510"/>
      <c r="AK41" s="153" t="s">
        <v>3399</v>
      </c>
      <c r="AL41" s="155" t="s">
        <v>12314</v>
      </c>
      <c r="AM41" s="380" t="s">
        <v>12315</v>
      </c>
      <c r="AN41" s="510"/>
      <c r="AO41" s="197"/>
      <c r="AP41" s="155"/>
      <c r="AQ41" s="380"/>
      <c r="AR41" s="510"/>
      <c r="AS41" s="508"/>
      <c r="AT41" s="508"/>
    </row>
    <row r="42">
      <c r="A42" s="505" t="s">
        <v>12316</v>
      </c>
      <c r="B42" s="202" t="s">
        <v>12317</v>
      </c>
      <c r="C42" s="386" t="s">
        <v>12318</v>
      </c>
      <c r="D42" s="506" t="s">
        <v>12319</v>
      </c>
      <c r="E42" s="505" t="s">
        <v>12320</v>
      </c>
      <c r="F42" s="202" t="s">
        <v>12321</v>
      </c>
      <c r="G42" s="386" t="s">
        <v>12322</v>
      </c>
      <c r="H42" s="506" t="s">
        <v>12323</v>
      </c>
      <c r="I42" s="505" t="s">
        <v>12324</v>
      </c>
      <c r="J42" s="202" t="s">
        <v>12325</v>
      </c>
      <c r="K42" s="386" t="s">
        <v>12326</v>
      </c>
      <c r="L42" s="506"/>
      <c r="M42" s="382" t="str">
        <f>IFERROR(__xludf.DUMMYFUNCTION("GOOGLETRANSLATE(A42,""zh-tw"",""zh"")"),"杂鱼哥哥")</f>
        <v>杂鱼哥哥</v>
      </c>
      <c r="N42" s="417" t="str">
        <f>IFERROR(__xludf.DUMMYFUNCTION("GOOGLETRANSLATE(B42,""zh-tw"",""zh"")"),"这么简单的游戏也不会玩，真是杂鱼呢~")</f>
        <v>这么简单的游戏也不会玩，真是杂鱼呢~</v>
      </c>
      <c r="O42" s="383" t="str">
        <f>IFERROR(__xludf.DUMMYFUNCTION("GOOGLETRANSLATE(C42,""zh-tw"",""zh"")"),"因作弊而获得了杂鱼认证！")</f>
        <v>因作弊而获得了杂鱼认证！</v>
      </c>
      <c r="P42" s="507" t="str">
        <f>IFERROR(__xludf.DUMMYFUNCTION("GOOGLETRANSLATE(D42,""zh-tw"",""zh"")"),"使用作弊码")</f>
        <v>使用作弊码</v>
      </c>
      <c r="Q42" s="197" t="str">
        <f>IFERROR(__xludf.DUMMYFUNCTION("GOOGLETRANSLATE(A42,""zh-tw"",""es-MX"")"),"Hermano, peces varios")</f>
        <v>Hermano, peces varios</v>
      </c>
      <c r="R42" s="198" t="str">
        <f>IFERROR(__xludf.DUMMYFUNCTION("GOOGLETRANSLATE(B42,""zh-tw"",""es-MX"")"),"¿Ni siquiera puedes jugar a un juego tan simple? ¡Eres un novato!")</f>
        <v>¿Ni siquiera puedes jugar a un juego tan simple? ¡Eres un novato!</v>
      </c>
      <c r="S42" s="379" t="str">
        <f>IFERROR(__xludf.DUMMYFUNCTION("GOOGLETRANSLATE(C42,""zh-tw"",""es-MX"")"),"¡Obtuvo la certificación de ""pez pequeño"" haciendo trampa!")</f>
        <v>¡Obtuvo la certificación de "pez pequeño" haciendo trampa!</v>
      </c>
      <c r="T42" s="196" t="str">
        <f>IFERROR(__xludf.DUMMYFUNCTION("GOOGLETRANSLATE(D42,""zh-tw"",""es-MX"")"),"Usa códigos de trucos")</f>
        <v>Usa códigos de trucos</v>
      </c>
      <c r="U42" s="197" t="str">
        <f>IFERROR(__xludf.DUMMYFUNCTION("GOOGLETRANSLATE(A42,""zh-tw"",""KO"")"),"형제 잡어")</f>
        <v>형제 잡어</v>
      </c>
      <c r="V42" s="198" t="str">
        <f>IFERROR(__xludf.DUMMYFUNCTION("GOOGLETRANSLATE(B42,""zh-tw"",""KO"")"),"이렇게 간단한 게임도 못 한다고? 완전 초보네!")</f>
        <v>이렇게 간단한 게임도 못 한다고? 완전 초보네!</v>
      </c>
      <c r="W42" s="379" t="str">
        <f>IFERROR(__xludf.DUMMYFUNCTION("GOOGLETRANSLATE(C42,""zh-tw"",""KO"")"),"그는 부정행위를 통해 ""하찮은 존재"" 인증을 받았다!")</f>
        <v>그는 부정행위를 통해 "하찮은 존재" 인증을 받았다!</v>
      </c>
      <c r="X42" s="196" t="str">
        <f>IFERROR(__xludf.DUMMYFUNCTION("GOOGLETRANSLATE(D42,""zh-tw"",""KO"")"),"치트 코드를 사용하세요")</f>
        <v>치트 코드를 사용하세요</v>
      </c>
      <c r="Y42" s="197" t="s">
        <v>12327</v>
      </c>
      <c r="Z42" s="198" t="s">
        <v>12328</v>
      </c>
      <c r="AA42" s="379" t="s">
        <v>12329</v>
      </c>
      <c r="AB42" s="196" t="s">
        <v>12330</v>
      </c>
      <c r="AC42" s="382" t="str">
        <f>IFERROR(__xludf.DUMMYFUNCTION("GOOGLETRANSLATE(A42,""zh-tw"",""DE"")"),"Bruder Verschiedene Fische")</f>
        <v>Bruder Verschiedene Fische</v>
      </c>
      <c r="AD42" s="417" t="str">
        <f>IFERROR(__xludf.DUMMYFUNCTION("GOOGLETRANSLATE(B42,""zh-tw"",""DE"")"),"Du kannst nicht mal so ein einfaches Spiel spielen? Du bist echt ein Anfänger!")</f>
        <v>Du kannst nicht mal so ein einfaches Spiel spielen? Du bist echt ein Anfänger!</v>
      </c>
      <c r="AE42" s="383" t="str">
        <f>IFERROR(__xludf.DUMMYFUNCTION("GOOGLETRANSLATE(C42,""zh-tw"",""DE"")"),"Er hat das „kleine Fisch“-Zertifikat durch Betrug erlangt!")</f>
        <v>Er hat das „kleine Fisch“-Zertifikat durch Betrug erlangt!</v>
      </c>
      <c r="AF42" s="507" t="str">
        <f>IFERROR(__xludf.DUMMYFUNCTION("GOOGLETRANSLATE(D42,""zh-tw"",""DE"")"),"Cheat-Codes verwenden")</f>
        <v>Cheat-Codes verwenden</v>
      </c>
      <c r="AG42" s="153" t="s">
        <v>12331</v>
      </c>
      <c r="AH42" s="167" t="s">
        <v>12332</v>
      </c>
      <c r="AI42" s="385" t="s">
        <v>12333</v>
      </c>
      <c r="AJ42" s="510"/>
      <c r="AK42" s="153" t="s">
        <v>12324</v>
      </c>
      <c r="AL42" s="155" t="s">
        <v>12334</v>
      </c>
      <c r="AM42" s="380" t="s">
        <v>12335</v>
      </c>
      <c r="AN42" s="510"/>
      <c r="AO42" s="197"/>
      <c r="AP42" s="155"/>
      <c r="AQ42" s="380"/>
      <c r="AR42" s="510"/>
      <c r="AS42" s="508"/>
      <c r="AT42" s="508"/>
    </row>
    <row r="43">
      <c r="A43" s="505" t="s">
        <v>12336</v>
      </c>
      <c r="B43" s="202" t="s">
        <v>12337</v>
      </c>
      <c r="C43" s="386" t="s">
        <v>1243</v>
      </c>
      <c r="D43" s="506" t="s">
        <v>8837</v>
      </c>
      <c r="E43" s="505" t="s">
        <v>12338</v>
      </c>
      <c r="F43" s="202" t="s">
        <v>12339</v>
      </c>
      <c r="G43" s="386" t="s">
        <v>1243</v>
      </c>
      <c r="H43" s="506" t="s">
        <v>12340</v>
      </c>
      <c r="I43" s="505" t="s">
        <v>8841</v>
      </c>
      <c r="J43" s="202" t="s">
        <v>12341</v>
      </c>
      <c r="K43" s="386" t="s">
        <v>1243</v>
      </c>
      <c r="L43" s="507"/>
      <c r="M43" s="382" t="str">
        <f>IFERROR(__xludf.DUMMYFUNCTION("GOOGLETRANSLATE(A43,""zh-tw"",""zh"")"),"世界的勇者")</f>
        <v>世界的勇者</v>
      </c>
      <c r="N43" s="417" t="str">
        <f>IFERROR(__xludf.DUMMYFUNCTION("GOOGLETRANSLATE(B43,""zh-tw"",""zh"")"),"如此可得世界荣耀，远离黑暗蒙昧")</f>
        <v>如此可得世界荣耀，远离黑暗蒙昧</v>
      </c>
      <c r="O43" s="383" t="str">
        <f>IFERROR(__xludf.DUMMYFUNCTION("GOOGLETRANSLATE(C43,""zh-tw"",""zh"")"),"-")</f>
        <v>-</v>
      </c>
      <c r="P43" s="507" t="str">
        <f>IFERROR(__xludf.DUMMYFUNCTION("GOOGLETRANSLATE(D43,""zh-tw"",""zh"")"),"红髓玉吊坠")</f>
        <v>红髓玉吊坠</v>
      </c>
      <c r="Q43" s="197" t="str">
        <f>IFERROR(__xludf.DUMMYFUNCTION("GOOGLETRANSLATE(A43,""zh-tw"",""es-MX"")"),"Los héroes del mundo")</f>
        <v>Los héroes del mundo</v>
      </c>
      <c r="R43" s="198" t="str">
        <f>IFERROR(__xludf.DUMMYFUNCTION("GOOGLETRANSLATE(B43,""zh-tw"",""es-MX"")"),"De esta forma, uno puede alcanzar la gloria mundial y escapar de la oscuridad y la ignorancia.")</f>
        <v>De esta forma, uno puede alcanzar la gloria mundial y escapar de la oscuridad y la ignorancia.</v>
      </c>
      <c r="S43" s="379" t="str">
        <f>IFERROR(__xludf.DUMMYFUNCTION("GOOGLETRANSLATE(C43,""zh-tw"",""es-MX"")"),"-")</f>
        <v>-</v>
      </c>
      <c r="T43" s="196" t="str">
        <f>IFERROR(__xludf.DUMMYFUNCTION("GOOGLETRANSLATE(D43,""zh-tw"",""es-MX"")"),"Colgante de cornalina roja")</f>
        <v>Colgante de cornalina roja</v>
      </c>
      <c r="U43" s="197" t="str">
        <f>IFERROR(__xludf.DUMMYFUNCTION("GOOGLETRANSLATE(A43,""zh-tw"",""KO"")"),"세계의 영웅들")</f>
        <v>세계의 영웅들</v>
      </c>
      <c r="V43" s="198" t="str">
        <f>IFERROR(__xludf.DUMMYFUNCTION("GOOGLETRANSLATE(B43,""zh-tw"",""KO"")"),"이렇게 하면 세상의 영광을 얻고 어둠과 무지에서 벗어날 수 있다.")</f>
        <v>이렇게 하면 세상의 영광을 얻고 어둠과 무지에서 벗어날 수 있다.</v>
      </c>
      <c r="W43" s="379" t="str">
        <f>IFERROR(__xludf.DUMMYFUNCTION("GOOGLETRANSLATE(C43,""zh-tw"",""KO"")"),"-")</f>
        <v>-</v>
      </c>
      <c r="X43" s="196" t="str">
        <f>IFERROR(__xludf.DUMMYFUNCTION("GOOGLETRANSLATE(D43,""zh-tw"",""KO"")"),"붉은 카넬리언 펜던트")</f>
        <v>붉은 카넬리언 펜던트</v>
      </c>
      <c r="Y43" s="197" t="s">
        <v>12342</v>
      </c>
      <c r="Z43" s="198" t="s">
        <v>12343</v>
      </c>
      <c r="AA43" s="379" t="s">
        <v>1243</v>
      </c>
      <c r="AB43" s="196" t="s">
        <v>8843</v>
      </c>
      <c r="AC43" s="382" t="str">
        <f>IFERROR(__xludf.DUMMYFUNCTION("GOOGLETRANSLATE(A43,""zh-tw"",""DE"")"),"Die Helden der Welt")</f>
        <v>Die Helden der Welt</v>
      </c>
      <c r="AD43" s="417" t="str">
        <f>IFERROR(__xludf.DUMMYFUNCTION("GOOGLETRANSLATE(B43,""zh-tw"",""DE"")"),"Auf diese Weise kann man weltlichen Ruhm erlangen und Dunkelheit und Unwissenheit entfliehen.")</f>
        <v>Auf diese Weise kann man weltlichen Ruhm erlangen und Dunkelheit und Unwissenheit entfliehen.</v>
      </c>
      <c r="AE43" s="383" t="str">
        <f>IFERROR(__xludf.DUMMYFUNCTION("GOOGLETRANSLATE(C43,""zh-tw"",""DE"")"),"-")</f>
        <v>-</v>
      </c>
      <c r="AF43" s="507" t="str">
        <f>IFERROR(__xludf.DUMMYFUNCTION("GOOGLETRANSLATE(D43,""zh-tw"",""DE"")"),"Anhänger aus rotem Karneol")</f>
        <v>Anhänger aus rotem Karneol</v>
      </c>
      <c r="AG43" s="153" t="s">
        <v>12344</v>
      </c>
      <c r="AH43" s="167" t="s">
        <v>12345</v>
      </c>
      <c r="AI43" s="511"/>
      <c r="AJ43" s="510"/>
      <c r="AK43" s="153" t="s">
        <v>8841</v>
      </c>
      <c r="AL43" s="155" t="s">
        <v>12341</v>
      </c>
      <c r="AM43" s="511"/>
      <c r="AN43" s="510"/>
      <c r="AO43" s="197"/>
      <c r="AP43" s="155"/>
      <c r="AQ43" s="511"/>
      <c r="AR43" s="510"/>
      <c r="AS43" s="508"/>
      <c r="AT43" s="508"/>
    </row>
    <row r="44">
      <c r="A44" s="505" t="s">
        <v>12346</v>
      </c>
      <c r="B44" s="202" t="s">
        <v>12347</v>
      </c>
      <c r="C44" s="386" t="s">
        <v>12348</v>
      </c>
      <c r="D44" s="506" t="s">
        <v>8909</v>
      </c>
      <c r="E44" s="505" t="s">
        <v>12349</v>
      </c>
      <c r="F44" s="202" t="s">
        <v>12350</v>
      </c>
      <c r="G44" s="386" t="s">
        <v>12351</v>
      </c>
      <c r="H44" s="507" t="str">
        <f>IFERROR(__xludf.DUMMYFUNCTION("GOOGLETRANSLATE(D44,""zh-tw"",""ja"")"),"欲張りな貯金箱")</f>
        <v>欲張りな貯金箱</v>
      </c>
      <c r="I44" s="505" t="s">
        <v>12352</v>
      </c>
      <c r="J44" s="202" t="s">
        <v>12353</v>
      </c>
      <c r="K44" s="386" t="s">
        <v>12354</v>
      </c>
      <c r="L44" s="507"/>
      <c r="M44" s="382" t="str">
        <f>IFERROR(__xludf.DUMMYFUNCTION("GOOGLETRANSLATE(A44,""zh-tw"",""zh"")"),"贪财!贪财!")</f>
        <v>贪财!贪财!</v>
      </c>
      <c r="N44" s="417" t="str">
        <f>IFERROR(__xludf.DUMMYFUNCTION("GOOGLETRANSLATE(B44,""zh-tw"",""zh"")"),"无尽的贪欲最终也盯上你– –")</f>
        <v>无尽的贪欲最终也盯上你– –</v>
      </c>
      <c r="O44" s="383" t="str">
        <f>IFERROR(__xludf.DUMMYFUNCTION("GOOGLETRANSLATE(C44,""zh-tw"",""zh"")"),"受伤时强制掉落金币")</f>
        <v>受伤时强制掉落金币</v>
      </c>
      <c r="P44" s="507" t="str">
        <f>IFERROR(__xludf.DUMMYFUNCTION("GOOGLETRANSLATE(D44,""zh-tw"",""zh"")"),"贪欲存钱罐")</f>
        <v>贪欲存钱罐</v>
      </c>
      <c r="Q44" s="197" t="str">
        <f>IFERROR(__xludf.DUMMYFUNCTION("GOOGLETRANSLATE(A44,""zh-tw"",""es-MX"")"),"¡Codicioso! ¡Codicioso!")</f>
        <v>¡Codicioso! ¡Codicioso!</v>
      </c>
      <c r="R44" s="198" t="str">
        <f>IFERROR(__xludf.DUMMYFUNCTION("GOOGLETRANSLATE(B44,""zh-tw"",""es-MX"")"),"La codicia sin límites acabará fijándose también en ti.")</f>
        <v>La codicia sin límites acabará fijándose también en ti.</v>
      </c>
      <c r="S44" s="379" t="str">
        <f>IFERROR(__xludf.DUMMYFUNCTION("GOOGLETRANSLATE(C44,""zh-tw"",""es-MX"")"),"Obligado a soltar monedas de oro cuando resultó herido")</f>
        <v>Obligado a soltar monedas de oro cuando resultó herido</v>
      </c>
      <c r="T44" s="196" t="str">
        <f>IFERROR(__xludf.DUMMYFUNCTION("GOOGLETRANSLATE(D44,""zh-tw"",""es-MX"")"),"Hucha codiciosa")</f>
        <v>Hucha codiciosa</v>
      </c>
      <c r="U44" s="197" t="str">
        <f>IFERROR(__xludf.DUMMYFUNCTION("GOOGLETRANSLATE(A44,""zh-tw"",""KO"")"),"욕심쟁이! 욕심쟁이!")</f>
        <v>욕심쟁이! 욕심쟁이!</v>
      </c>
      <c r="V44" s="198" t="str">
        <f>IFERROR(__xludf.DUMMYFUNCTION("GOOGLETRANSLATE(B44,""zh-tw"",""KO"")"),"끝없는 탐욕은 결국 당신을 노릴 것입니다.")</f>
        <v>끝없는 탐욕은 결국 당신을 노릴 것입니다.</v>
      </c>
      <c r="W44" s="379" t="str">
        <f>IFERROR(__xludf.DUMMYFUNCTION("GOOGLETRANSLATE(C44,""zh-tw"",""KO"")"),"부상으로 인해 금화를 떨어뜨릴 수밖에 없었다.")</f>
        <v>부상으로 인해 금화를 떨어뜨릴 수밖에 없었다.</v>
      </c>
      <c r="X44" s="196" t="str">
        <f>IFERROR(__xludf.DUMMYFUNCTION("GOOGLETRANSLATE(D44,""zh-tw"",""KO"")"),"욕심쟁이 돼지 저금통")</f>
        <v>욕심쟁이 돼지 저금통</v>
      </c>
      <c r="Y44" s="197" t="s">
        <v>12355</v>
      </c>
      <c r="Z44" s="198" t="s">
        <v>12356</v>
      </c>
      <c r="AA44" s="379" t="s">
        <v>12357</v>
      </c>
      <c r="AB44" s="196" t="s">
        <v>8915</v>
      </c>
      <c r="AC44" s="382" t="str">
        <f>IFERROR(__xludf.DUMMYFUNCTION("GOOGLETRANSLATE(A44,""zh-tw"",""DE"")"),"Gierig! Gierig!")</f>
        <v>Gierig! Gierig!</v>
      </c>
      <c r="AD44" s="417" t="str">
        <f>IFERROR(__xludf.DUMMYFUNCTION("GOOGLETRANSLATE(B44,""zh-tw"",""DE"")"),"Unstillbare Gier wird irgendwann auch dich ins Visier nehmen.")</f>
        <v>Unstillbare Gier wird irgendwann auch dich ins Visier nehmen.</v>
      </c>
      <c r="AE44" s="383" t="str">
        <f>IFERROR(__xludf.DUMMYFUNCTION("GOOGLETRANSLATE(C44,""zh-tw"",""DE"")"),"Gezwungen, Goldmünzen fallen zu lassen, wenn er verletzt ist")</f>
        <v>Gezwungen, Goldmünzen fallen zu lassen, wenn er verletzt ist</v>
      </c>
      <c r="AF44" s="507" t="str">
        <f>IFERROR(__xludf.DUMMYFUNCTION("GOOGLETRANSLATE(D44,""zh-tw"",""DE"")"),"Gieriges Sparschwein")</f>
        <v>Gieriges Sparschwein</v>
      </c>
      <c r="AG44" s="512" t="s">
        <v>12358</v>
      </c>
      <c r="AH44" s="167" t="s">
        <v>12359</v>
      </c>
      <c r="AI44" s="385" t="s">
        <v>12360</v>
      </c>
      <c r="AJ44" s="513"/>
      <c r="AK44" s="197" t="s">
        <v>12361</v>
      </c>
      <c r="AL44" s="198" t="s">
        <v>12362</v>
      </c>
      <c r="AM44" s="379" t="s">
        <v>12363</v>
      </c>
      <c r="AN44" s="513"/>
      <c r="AO44" s="197"/>
      <c r="AP44" s="198"/>
      <c r="AQ44" s="379"/>
      <c r="AR44" s="513"/>
      <c r="AS44" s="514"/>
      <c r="AT44" s="514"/>
    </row>
    <row r="45">
      <c r="A45" s="505" t="s">
        <v>12364</v>
      </c>
      <c r="B45" s="202" t="s">
        <v>12365</v>
      </c>
      <c r="C45" s="386" t="s">
        <v>12366</v>
      </c>
      <c r="D45" s="506" t="s">
        <v>8607</v>
      </c>
      <c r="E45" s="505" t="s">
        <v>12367</v>
      </c>
      <c r="F45" s="202" t="s">
        <v>12368</v>
      </c>
      <c r="G45" s="386" t="s">
        <v>12369</v>
      </c>
      <c r="H45" s="507" t="str">
        <f>IFERROR(__xludf.DUMMYFUNCTION("GOOGLETRANSLATE(D45,""zh-tw"",""ja"")"),"夜霧の幻影")</f>
        <v>夜霧の幻影</v>
      </c>
      <c r="I45" s="505" t="s">
        <v>12370</v>
      </c>
      <c r="J45" s="202" t="s">
        <v>12371</v>
      </c>
      <c r="K45" s="386" t="s">
        <v>12372</v>
      </c>
      <c r="L45" s="507"/>
      <c r="M45" s="382" t="str">
        <f>IFERROR(__xludf.DUMMYFUNCTION("GOOGLETRANSLATE(A45,""zh-tw"",""zh"")"),"你看不见我")</f>
        <v>你看不见我</v>
      </c>
      <c r="N45" s="417" t="str">
        <f>IFERROR(__xludf.DUMMYFUNCTION("GOOGLETRANSLATE(B45,""zh-tw"",""zh"")"),"LOOK INTI MY EVIL EYEZ SEE SOMETHIN'INSIDE！")</f>
        <v>LOOK INTI MY EVIL EYEZ SEE SOMETHIN'INSIDE！</v>
      </c>
      <c r="O45" s="383" t="str">
        <f>IFERROR(__xludf.DUMMYFUNCTION("GOOGLETRANSLATE(C45,""zh-tw"",""zh"")"),"每六秒短暂进入透明状态！")</f>
        <v>每六秒短暂进入透明状态！</v>
      </c>
      <c r="P45" s="507" t="str">
        <f>IFERROR(__xludf.DUMMYFUNCTION("GOOGLETRANSLATE(D45,""zh-tw"",""zh"")"),"夜雾幻影")</f>
        <v>夜雾幻影</v>
      </c>
      <c r="Q45" s="197" t="str">
        <f>IFERROR(__xludf.DUMMYFUNCTION("GOOGLETRANSLATE(A45,""zh-tw"",""es-MX"")"),"No puedes verme")</f>
        <v>No puedes verme</v>
      </c>
      <c r="R45" s="198" t="str">
        <f>IFERROR(__xludf.DUMMYFUNCTION("GOOGLETRANSLATE(B45,""zh-tw"",""es-MX"")"),"¡MIRA MIS OJOS MALIGNOS, MIRA ALGO DENTRO!")</f>
        <v>¡MIRA MIS OJOS MALIGNOS, MIRA ALGO DENTRO!</v>
      </c>
      <c r="S45" s="379" t="str">
        <f>IFERROR(__xludf.DUMMYFUNCTION("GOOGLETRANSLATE(C45,""zh-tw"",""es-MX"")"),"¡Entra brevemente en un estado transparente cada seis segundos!")</f>
        <v>¡Entra brevemente en un estado transparente cada seis segundos!</v>
      </c>
      <c r="T45" s="196" t="str">
        <f>IFERROR(__xludf.DUMMYFUNCTION("GOOGLETRANSLATE(D45,""zh-tw"",""es-MX"")"),"Fantasma de la Niebla Nocturna")</f>
        <v>Fantasma de la Niebla Nocturna</v>
      </c>
      <c r="U45" s="197" t="str">
        <f>IFERROR(__xludf.DUMMYFUNCTION("GOOGLETRANSLATE(A45,""zh-tw"",""KO"")"),"당신은 나를 볼 수 없어요")</f>
        <v>당신은 나를 볼 수 없어요</v>
      </c>
      <c r="V45" s="198" t="str">
        <f>IFERROR(__xludf.DUMMYFUNCTION("GOOGLETRANSLATE(B45,""zh-tw"",""KO"")"),"내 사악한 눈을 들여다봐, 그 안에 무언가가 보일 거야!")</f>
        <v>내 사악한 눈을 들여다봐, 그 안에 무언가가 보일 거야!</v>
      </c>
      <c r="W45" s="379" t="str">
        <f>IFERROR(__xludf.DUMMYFUNCTION("GOOGLETRANSLATE(C45,""zh-tw"",""KO"")"),"6초마다 잠시 투명한 상태가 됩니다!")</f>
        <v>6초마다 잠시 투명한 상태가 됩니다!</v>
      </c>
      <c r="X45" s="196" t="str">
        <f>IFERROR(__xludf.DUMMYFUNCTION("GOOGLETRANSLATE(D45,""zh-tw"",""KO"")"),"밤안개 유령")</f>
        <v>밤안개 유령</v>
      </c>
      <c r="Y45" s="197" t="s">
        <v>12373</v>
      </c>
      <c r="Z45" s="198" t="s">
        <v>12374</v>
      </c>
      <c r="AA45" s="379" t="s">
        <v>12375</v>
      </c>
      <c r="AB45" s="196" t="s">
        <v>8615</v>
      </c>
      <c r="AC45" s="382" t="str">
        <f>IFERROR(__xludf.DUMMYFUNCTION("GOOGLETRANSLATE(A45,""zh-tw"",""DE"")"),"Du kannst mich nicht sehen")</f>
        <v>Du kannst mich nicht sehen</v>
      </c>
      <c r="AD45" s="417" t="str">
        <f>IFERROR(__xludf.DUMMYFUNCTION("GOOGLETRANSLATE(B45,""zh-tw"",""DE"")"),"SCHAU IN MEINE BÖSEN AUGEN, SIEH ETWAS DARIN!")</f>
        <v>SCHAU IN MEINE BÖSEN AUGEN, SIEH ETWAS DARIN!</v>
      </c>
      <c r="AE45" s="383" t="str">
        <f>IFERROR(__xludf.DUMMYFUNCTION("GOOGLETRANSLATE(C45,""zh-tw"",""DE"")"),"Es wechselt alle sechs Sekunden kurz in einen transparenten Zustand!")</f>
        <v>Es wechselt alle sechs Sekunden kurz in einen transparenten Zustand!</v>
      </c>
      <c r="AF45" s="507" t="str">
        <f>IFERROR(__xludf.DUMMYFUNCTION("GOOGLETRANSLATE(D45,""zh-tw"",""DE"")"),"Nachtnebel-Phantom")</f>
        <v>Nachtnebel-Phantom</v>
      </c>
      <c r="AG45" s="512" t="s">
        <v>12376</v>
      </c>
      <c r="AH45" s="167" t="s">
        <v>12377</v>
      </c>
      <c r="AI45" s="385" t="s">
        <v>12378</v>
      </c>
      <c r="AJ45" s="196"/>
      <c r="AK45" s="197" t="s">
        <v>12379</v>
      </c>
      <c r="AL45" s="198" t="s">
        <v>12380</v>
      </c>
      <c r="AM45" s="379" t="s">
        <v>12381</v>
      </c>
      <c r="AN45" s="513"/>
      <c r="AO45" s="197"/>
      <c r="AP45" s="198"/>
      <c r="AQ45" s="379"/>
      <c r="AR45" s="513"/>
      <c r="AS45" s="514"/>
      <c r="AT45" s="514"/>
    </row>
    <row r="46">
      <c r="A46" s="197" t="s">
        <v>12382</v>
      </c>
      <c r="B46" s="198" t="s">
        <v>12383</v>
      </c>
      <c r="C46" s="379" t="s">
        <v>12384</v>
      </c>
      <c r="D46" s="196" t="s">
        <v>12385</v>
      </c>
      <c r="E46" s="197" t="s">
        <v>12386</v>
      </c>
      <c r="F46" s="198" t="s">
        <v>12387</v>
      </c>
      <c r="G46" s="379" t="s">
        <v>12388</v>
      </c>
      <c r="H46" s="196" t="s">
        <v>12389</v>
      </c>
      <c r="I46" s="505" t="s">
        <v>12390</v>
      </c>
      <c r="J46" s="198" t="s">
        <v>12391</v>
      </c>
      <c r="K46" s="379" t="s">
        <v>12392</v>
      </c>
      <c r="L46" s="166" t="s">
        <v>12393</v>
      </c>
      <c r="M46" s="197" t="s">
        <v>12394</v>
      </c>
      <c r="N46" s="198" t="s">
        <v>12383</v>
      </c>
      <c r="O46" s="379" t="s">
        <v>12395</v>
      </c>
      <c r="P46" s="196" t="s">
        <v>12396</v>
      </c>
      <c r="Q46" s="197" t="str">
        <f>IFERROR(__xludf.DUMMYFUNCTION("GOOGLETRANSLATE(A46,""zh-tw"",""es-MX"")"),"Siempre tengo la sensación de que algo me sigue.")</f>
        <v>Siempre tengo la sensación de que algo me sigue.</v>
      </c>
      <c r="R46" s="198" t="str">
        <f>IFERROR(__xludf.DUMMYFUNCTION("GOOGLETRANSLATE(B46,""zh-tw"",""es-MX"")"),"susurro...susurro...")</f>
        <v>susurro...susurro...</v>
      </c>
      <c r="S46" s="379" t="str">
        <f>IFERROR(__xludf.DUMMYFUNCTION("GOOGLETRANSLATE(C46,""zh-tw"",""es-MX"")"),"Un grupo de pequeñas criaturas te está observando atentamente.")</f>
        <v>Un grupo de pequeñas criaturas te está observando atentamente.</v>
      </c>
      <c r="T46" s="196" t="str">
        <f>IFERROR(__xludf.DUMMYFUNCTION("GOOGLETRANSLATE(D46,""zh-tw"",""es-MX"")"),"Enredados por Z")</f>
        <v>Enredados por Z</v>
      </c>
      <c r="U46" s="197" t="str">
        <f>IFERROR(__xludf.DUMMYFUNCTION("GOOGLETRANSLATE(A46,""zh-tw"",""KO"")"),"항상 무언가가 나를 따라다니는 것 같은 느낌이 들어요.")</f>
        <v>항상 무언가가 나를 따라다니는 것 같은 느낌이 들어요.</v>
      </c>
      <c r="V46" s="198" t="str">
        <f>IFERROR(__xludf.DUMMYFUNCTION("GOOGLETRANSLATE(B46,""zh-tw"",""KO"")"),"바스락거리는 소리…바스락거리는 소리…")</f>
        <v>바스락거리는 소리…바스락거리는 소리…</v>
      </c>
      <c r="W46" s="379" t="str">
        <f>IFERROR(__xludf.DUMMYFUNCTION("GOOGLETRANSLATE(C46,""zh-tw"",""KO"")"),"당신은 작은 생물 무리에게 면밀히 관찰당하고 있습니다.")</f>
        <v>당신은 작은 생물 무리에게 면밀히 관찰당하고 있습니다.</v>
      </c>
      <c r="X46" s="196" t="str">
        <f>IFERROR(__xludf.DUMMYFUNCTION("GOOGLETRANSLATE(D46,""zh-tw"",""KO"")"),"Z에 얽매이다")</f>
        <v>Z에 얽매이다</v>
      </c>
      <c r="Y46" s="197" t="s">
        <v>12397</v>
      </c>
      <c r="Z46" s="198" t="s">
        <v>12398</v>
      </c>
      <c r="AA46" s="379" t="s">
        <v>12399</v>
      </c>
      <c r="AB46" s="196" t="s">
        <v>6131</v>
      </c>
      <c r="AC46" s="382" t="str">
        <f>IFERROR(__xludf.DUMMYFUNCTION("GOOGLETRANSLATE(A46,""zh-tw"",""DE"")"),"Ich habe immer das Gefühl, dass mich etwas verfolgt.")</f>
        <v>Ich habe immer das Gefühl, dass mich etwas verfolgt.</v>
      </c>
      <c r="AD46" s="198" t="s">
        <v>12400</v>
      </c>
      <c r="AE46" s="379" t="s">
        <v>12401</v>
      </c>
      <c r="AF46" s="196" t="s">
        <v>12402</v>
      </c>
      <c r="AG46" s="505" t="s">
        <v>12403</v>
      </c>
      <c r="AH46" s="515" t="s">
        <v>12404</v>
      </c>
      <c r="AI46" s="516" t="s">
        <v>12405</v>
      </c>
      <c r="AJ46" s="517" t="s">
        <v>12406</v>
      </c>
      <c r="AK46" s="197" t="s">
        <v>12407</v>
      </c>
      <c r="AL46" s="198" t="s">
        <v>12408</v>
      </c>
      <c r="AM46" s="379" t="s">
        <v>12409</v>
      </c>
      <c r="AN46" s="196" t="s">
        <v>12410</v>
      </c>
      <c r="AO46" s="197"/>
      <c r="AP46" s="198"/>
      <c r="AQ46" s="379"/>
      <c r="AR46" s="196"/>
      <c r="AS46" s="514"/>
      <c r="AT46" s="514"/>
    </row>
    <row r="47">
      <c r="A47" s="382"/>
      <c r="B47" s="417"/>
      <c r="C47" s="383"/>
      <c r="D47" s="507"/>
      <c r="E47" s="382"/>
      <c r="F47" s="417"/>
      <c r="G47" s="383"/>
      <c r="H47" s="507"/>
      <c r="I47" s="382"/>
      <c r="J47" s="417"/>
      <c r="K47" s="383"/>
      <c r="L47" s="507"/>
      <c r="M47" s="382"/>
      <c r="N47" s="417"/>
      <c r="O47" s="383"/>
      <c r="P47" s="507"/>
      <c r="Q47" s="518"/>
      <c r="R47" s="519"/>
      <c r="S47" s="520"/>
      <c r="T47" s="513"/>
      <c r="U47" s="518"/>
      <c r="V47" s="519"/>
      <c r="W47" s="520"/>
      <c r="X47" s="513"/>
      <c r="Y47" s="521"/>
      <c r="Z47" s="522"/>
      <c r="AA47" s="523"/>
      <c r="AB47" s="524"/>
      <c r="AC47" s="521"/>
      <c r="AD47" s="522"/>
      <c r="AE47" s="523"/>
      <c r="AF47" s="524"/>
      <c r="AG47" s="518"/>
      <c r="AH47" s="519"/>
      <c r="AI47" s="520"/>
      <c r="AJ47" s="513"/>
      <c r="AK47" s="382"/>
      <c r="AL47" s="417"/>
      <c r="AM47" s="383"/>
      <c r="AN47" s="507"/>
      <c r="AO47" s="382"/>
      <c r="AP47" s="417"/>
      <c r="AQ47" s="383"/>
      <c r="AR47" s="507"/>
      <c r="AS47" s="514"/>
      <c r="AT47" s="514"/>
    </row>
    <row r="48">
      <c r="A48" s="382"/>
      <c r="B48" s="417"/>
      <c r="C48" s="383"/>
      <c r="D48" s="507"/>
      <c r="E48" s="382"/>
      <c r="F48" s="417"/>
      <c r="G48" s="383"/>
      <c r="H48" s="507"/>
      <c r="I48" s="382"/>
      <c r="J48" s="417"/>
      <c r="K48" s="383"/>
      <c r="L48" s="507"/>
      <c r="M48" s="382"/>
      <c r="N48" s="417"/>
      <c r="O48" s="383"/>
      <c r="P48" s="507"/>
      <c r="Q48" s="518"/>
      <c r="R48" s="519"/>
      <c r="S48" s="520"/>
      <c r="T48" s="513"/>
      <c r="U48" s="518"/>
      <c r="V48" s="519"/>
      <c r="W48" s="520"/>
      <c r="X48" s="513"/>
      <c r="Y48" s="521"/>
      <c r="Z48" s="522"/>
      <c r="AA48" s="523"/>
      <c r="AB48" s="524"/>
      <c r="AC48" s="521"/>
      <c r="AD48" s="522"/>
      <c r="AE48" s="523"/>
      <c r="AF48" s="524"/>
      <c r="AG48" s="518"/>
      <c r="AH48" s="519"/>
      <c r="AI48" s="520"/>
      <c r="AJ48" s="513"/>
      <c r="AK48" s="382"/>
      <c r="AL48" s="417"/>
      <c r="AM48" s="383"/>
      <c r="AN48" s="507"/>
      <c r="AO48" s="382"/>
      <c r="AP48" s="417"/>
      <c r="AQ48" s="383"/>
      <c r="AR48" s="507"/>
      <c r="AS48" s="514"/>
      <c r="AT48" s="514"/>
    </row>
    <row r="49">
      <c r="A49" s="382"/>
      <c r="B49" s="417"/>
      <c r="C49" s="383"/>
      <c r="D49" s="507"/>
      <c r="E49" s="382"/>
      <c r="F49" s="417"/>
      <c r="G49" s="383"/>
      <c r="H49" s="507"/>
      <c r="I49" s="382"/>
      <c r="J49" s="417"/>
      <c r="K49" s="383"/>
      <c r="L49" s="507"/>
      <c r="M49" s="382"/>
      <c r="N49" s="417"/>
      <c r="O49" s="383"/>
      <c r="P49" s="507"/>
      <c r="Q49" s="518"/>
      <c r="R49" s="519"/>
      <c r="S49" s="520"/>
      <c r="T49" s="513"/>
      <c r="U49" s="518"/>
      <c r="V49" s="519"/>
      <c r="W49" s="520"/>
      <c r="X49" s="513"/>
      <c r="Y49" s="521"/>
      <c r="Z49" s="522"/>
      <c r="AA49" s="523"/>
      <c r="AB49" s="524"/>
      <c r="AC49" s="521"/>
      <c r="AD49" s="522"/>
      <c r="AE49" s="523"/>
      <c r="AF49" s="524"/>
      <c r="AG49" s="518"/>
      <c r="AH49" s="519"/>
      <c r="AI49" s="520"/>
      <c r="AJ49" s="513"/>
      <c r="AK49" s="382"/>
      <c r="AL49" s="417"/>
      <c r="AM49" s="383"/>
      <c r="AN49" s="507"/>
      <c r="AO49" s="382"/>
      <c r="AP49" s="417"/>
      <c r="AQ49" s="383"/>
      <c r="AR49" s="507"/>
      <c r="AS49" s="514"/>
      <c r="AT49" s="514"/>
    </row>
    <row r="50">
      <c r="A50" s="382"/>
      <c r="B50" s="417"/>
      <c r="C50" s="383"/>
      <c r="D50" s="507"/>
      <c r="E50" s="382"/>
      <c r="F50" s="417"/>
      <c r="G50" s="383"/>
      <c r="H50" s="507"/>
      <c r="I50" s="382"/>
      <c r="J50" s="417"/>
      <c r="K50" s="383"/>
      <c r="L50" s="507"/>
      <c r="M50" s="382"/>
      <c r="N50" s="417"/>
      <c r="O50" s="383"/>
      <c r="P50" s="507"/>
      <c r="Q50" s="518"/>
      <c r="R50" s="519"/>
      <c r="S50" s="520"/>
      <c r="T50" s="513"/>
      <c r="U50" s="518"/>
      <c r="V50" s="519"/>
      <c r="W50" s="520"/>
      <c r="X50" s="513"/>
      <c r="Y50" s="521"/>
      <c r="Z50" s="522"/>
      <c r="AA50" s="523"/>
      <c r="AB50" s="524"/>
      <c r="AC50" s="521"/>
      <c r="AD50" s="522"/>
      <c r="AE50" s="523"/>
      <c r="AF50" s="524"/>
      <c r="AG50" s="518"/>
      <c r="AH50" s="519"/>
      <c r="AI50" s="520"/>
      <c r="AJ50" s="513"/>
      <c r="AK50" s="382"/>
      <c r="AL50" s="417"/>
      <c r="AM50" s="383"/>
      <c r="AN50" s="507"/>
      <c r="AO50" s="382"/>
      <c r="AP50" s="417"/>
      <c r="AQ50" s="383"/>
      <c r="AR50" s="507"/>
      <c r="AS50" s="514"/>
      <c r="AT50" s="514"/>
    </row>
    <row r="51">
      <c r="A51" s="382"/>
      <c r="B51" s="417"/>
      <c r="C51" s="383"/>
      <c r="D51" s="507"/>
      <c r="E51" s="382"/>
      <c r="F51" s="417"/>
      <c r="G51" s="383"/>
      <c r="H51" s="507"/>
      <c r="I51" s="382"/>
      <c r="J51" s="417"/>
      <c r="K51" s="383"/>
      <c r="L51" s="507"/>
      <c r="M51" s="382"/>
      <c r="N51" s="417"/>
      <c r="O51" s="383"/>
      <c r="P51" s="507"/>
      <c r="Q51" s="518"/>
      <c r="R51" s="519"/>
      <c r="S51" s="520"/>
      <c r="T51" s="513"/>
      <c r="U51" s="518"/>
      <c r="V51" s="519"/>
      <c r="W51" s="520"/>
      <c r="X51" s="513"/>
      <c r="Y51" s="518"/>
      <c r="Z51" s="519"/>
      <c r="AA51" s="520"/>
      <c r="AB51" s="513"/>
      <c r="AC51" s="518"/>
      <c r="AD51" s="519"/>
      <c r="AE51" s="520"/>
      <c r="AF51" s="513"/>
      <c r="AG51" s="518"/>
      <c r="AH51" s="519"/>
      <c r="AI51" s="520"/>
      <c r="AJ51" s="513"/>
      <c r="AK51" s="382"/>
      <c r="AL51" s="417"/>
      <c r="AM51" s="383"/>
      <c r="AN51" s="507"/>
      <c r="AO51" s="382"/>
      <c r="AP51" s="417"/>
      <c r="AQ51" s="383"/>
      <c r="AR51" s="507"/>
      <c r="AS51" s="514"/>
      <c r="AT51" s="514"/>
    </row>
    <row r="52">
      <c r="A52" s="382"/>
      <c r="B52" s="417"/>
      <c r="C52" s="383"/>
      <c r="D52" s="507"/>
      <c r="E52" s="382"/>
      <c r="F52" s="417"/>
      <c r="G52" s="383"/>
      <c r="H52" s="507"/>
      <c r="I52" s="382"/>
      <c r="J52" s="417"/>
      <c r="K52" s="383"/>
      <c r="L52" s="507"/>
      <c r="M52" s="382"/>
      <c r="N52" s="417"/>
      <c r="O52" s="383"/>
      <c r="P52" s="507"/>
      <c r="Q52" s="518"/>
      <c r="R52" s="519"/>
      <c r="S52" s="520"/>
      <c r="T52" s="513"/>
      <c r="U52" s="518"/>
      <c r="V52" s="519"/>
      <c r="W52" s="520"/>
      <c r="X52" s="513"/>
      <c r="Y52" s="518"/>
      <c r="Z52" s="519"/>
      <c r="AA52" s="520"/>
      <c r="AB52" s="513"/>
      <c r="AC52" s="518"/>
      <c r="AD52" s="519"/>
      <c r="AE52" s="520"/>
      <c r="AF52" s="513"/>
      <c r="AG52" s="518"/>
      <c r="AH52" s="519"/>
      <c r="AI52" s="520"/>
      <c r="AJ52" s="513"/>
      <c r="AK52" s="382"/>
      <c r="AL52" s="417"/>
      <c r="AM52" s="383"/>
      <c r="AN52" s="507"/>
      <c r="AO52" s="382"/>
      <c r="AP52" s="417"/>
      <c r="AQ52" s="383"/>
      <c r="AR52" s="507"/>
      <c r="AS52" s="514"/>
      <c r="AT52" s="514"/>
    </row>
    <row r="53">
      <c r="A53" s="382"/>
      <c r="B53" s="417"/>
      <c r="C53" s="383"/>
      <c r="D53" s="507"/>
      <c r="E53" s="382"/>
      <c r="F53" s="417"/>
      <c r="G53" s="383"/>
      <c r="H53" s="507"/>
      <c r="I53" s="382"/>
      <c r="J53" s="417"/>
      <c r="K53" s="383"/>
      <c r="L53" s="507"/>
      <c r="M53" s="382"/>
      <c r="N53" s="417"/>
      <c r="O53" s="383"/>
      <c r="P53" s="507"/>
      <c r="Q53" s="518"/>
      <c r="R53" s="519"/>
      <c r="S53" s="520"/>
      <c r="T53" s="513"/>
      <c r="U53" s="518"/>
      <c r="V53" s="519"/>
      <c r="W53" s="520"/>
      <c r="X53" s="513"/>
      <c r="Y53" s="518"/>
      <c r="Z53" s="519"/>
      <c r="AA53" s="520"/>
      <c r="AB53" s="513"/>
      <c r="AC53" s="518"/>
      <c r="AD53" s="519"/>
      <c r="AE53" s="520"/>
      <c r="AF53" s="513"/>
      <c r="AG53" s="518"/>
      <c r="AH53" s="519"/>
      <c r="AI53" s="520"/>
      <c r="AJ53" s="513"/>
      <c r="AK53" s="382"/>
      <c r="AL53" s="417"/>
      <c r="AM53" s="383"/>
      <c r="AN53" s="507"/>
      <c r="AO53" s="382"/>
      <c r="AP53" s="417"/>
      <c r="AQ53" s="383"/>
      <c r="AR53" s="507"/>
      <c r="AS53" s="514"/>
      <c r="AT53" s="514"/>
    </row>
    <row r="54">
      <c r="A54" s="382"/>
      <c r="B54" s="417"/>
      <c r="C54" s="383"/>
      <c r="D54" s="507"/>
      <c r="E54" s="382"/>
      <c r="F54" s="417"/>
      <c r="G54" s="383"/>
      <c r="H54" s="507"/>
      <c r="I54" s="382"/>
      <c r="J54" s="417"/>
      <c r="K54" s="383"/>
      <c r="L54" s="507"/>
      <c r="M54" s="382"/>
      <c r="N54" s="417"/>
      <c r="O54" s="383"/>
      <c r="P54" s="507"/>
      <c r="Q54" s="518"/>
      <c r="R54" s="519"/>
      <c r="S54" s="520"/>
      <c r="T54" s="513"/>
      <c r="U54" s="518"/>
      <c r="V54" s="519"/>
      <c r="W54" s="520"/>
      <c r="X54" s="513"/>
      <c r="Y54" s="518"/>
      <c r="Z54" s="519"/>
      <c r="AA54" s="520"/>
      <c r="AB54" s="513"/>
      <c r="AC54" s="518"/>
      <c r="AD54" s="519"/>
      <c r="AE54" s="520"/>
      <c r="AF54" s="513"/>
      <c r="AG54" s="518"/>
      <c r="AH54" s="519"/>
      <c r="AI54" s="520"/>
      <c r="AJ54" s="513"/>
      <c r="AK54" s="382"/>
      <c r="AL54" s="417"/>
      <c r="AM54" s="383"/>
      <c r="AN54" s="507"/>
      <c r="AO54" s="382"/>
      <c r="AP54" s="417"/>
      <c r="AQ54" s="383"/>
      <c r="AR54" s="507"/>
      <c r="AS54" s="514"/>
      <c r="AT54" s="514"/>
    </row>
    <row r="55">
      <c r="A55" s="382"/>
      <c r="B55" s="417"/>
      <c r="C55" s="383"/>
      <c r="D55" s="507"/>
      <c r="E55" s="382"/>
      <c r="F55" s="417"/>
      <c r="G55" s="383"/>
      <c r="H55" s="507"/>
      <c r="I55" s="382"/>
      <c r="J55" s="417"/>
      <c r="K55" s="383"/>
      <c r="L55" s="507"/>
      <c r="M55" s="382"/>
      <c r="N55" s="417"/>
      <c r="O55" s="383"/>
      <c r="P55" s="507"/>
      <c r="Q55" s="518"/>
      <c r="R55" s="519"/>
      <c r="S55" s="520"/>
      <c r="T55" s="513"/>
      <c r="U55" s="518"/>
      <c r="V55" s="519"/>
      <c r="W55" s="520"/>
      <c r="X55" s="513"/>
      <c r="Y55" s="518"/>
      <c r="Z55" s="519"/>
      <c r="AA55" s="520"/>
      <c r="AB55" s="513"/>
      <c r="AC55" s="518"/>
      <c r="AD55" s="519"/>
      <c r="AE55" s="520"/>
      <c r="AF55" s="513"/>
      <c r="AG55" s="518"/>
      <c r="AH55" s="519"/>
      <c r="AI55" s="520"/>
      <c r="AJ55" s="513"/>
      <c r="AK55" s="382"/>
      <c r="AL55" s="417"/>
      <c r="AM55" s="383"/>
      <c r="AN55" s="507"/>
      <c r="AO55" s="382"/>
      <c r="AP55" s="417"/>
      <c r="AQ55" s="383"/>
      <c r="AR55" s="507"/>
      <c r="AS55" s="514"/>
      <c r="AT55" s="514"/>
    </row>
    <row r="56">
      <c r="A56" s="382"/>
      <c r="B56" s="417"/>
      <c r="C56" s="383"/>
      <c r="D56" s="507"/>
      <c r="E56" s="382"/>
      <c r="F56" s="417"/>
      <c r="G56" s="383"/>
      <c r="H56" s="507"/>
      <c r="I56" s="382"/>
      <c r="J56" s="417"/>
      <c r="K56" s="383"/>
      <c r="L56" s="507"/>
      <c r="M56" s="382"/>
      <c r="N56" s="417"/>
      <c r="O56" s="383"/>
      <c r="P56" s="507"/>
      <c r="Q56" s="518"/>
      <c r="R56" s="519"/>
      <c r="S56" s="520"/>
      <c r="T56" s="513"/>
      <c r="U56" s="518"/>
      <c r="V56" s="519"/>
      <c r="W56" s="520"/>
      <c r="X56" s="513"/>
      <c r="Y56" s="518"/>
      <c r="Z56" s="519"/>
      <c r="AA56" s="520"/>
      <c r="AB56" s="513"/>
      <c r="AC56" s="518"/>
      <c r="AD56" s="519"/>
      <c r="AE56" s="520"/>
      <c r="AF56" s="513"/>
      <c r="AG56" s="518"/>
      <c r="AH56" s="519"/>
      <c r="AI56" s="520"/>
      <c r="AJ56" s="513"/>
      <c r="AK56" s="382"/>
      <c r="AL56" s="417"/>
      <c r="AM56" s="383"/>
      <c r="AN56" s="507"/>
      <c r="AO56" s="382"/>
      <c r="AP56" s="417"/>
      <c r="AQ56" s="383"/>
      <c r="AR56" s="507"/>
      <c r="AS56" s="514"/>
      <c r="AT56" s="514"/>
    </row>
    <row r="57">
      <c r="A57" s="382"/>
      <c r="B57" s="417"/>
      <c r="C57" s="383"/>
      <c r="D57" s="507"/>
      <c r="E57" s="382"/>
      <c r="F57" s="417"/>
      <c r="G57" s="383"/>
      <c r="H57" s="507"/>
      <c r="I57" s="382"/>
      <c r="J57" s="417"/>
      <c r="K57" s="383"/>
      <c r="L57" s="507"/>
      <c r="M57" s="382"/>
      <c r="N57" s="417"/>
      <c r="O57" s="383"/>
      <c r="P57" s="507"/>
      <c r="Q57" s="518"/>
      <c r="R57" s="519"/>
      <c r="S57" s="520"/>
      <c r="T57" s="513"/>
      <c r="U57" s="518"/>
      <c r="V57" s="519"/>
      <c r="W57" s="520"/>
      <c r="X57" s="513"/>
      <c r="Y57" s="518"/>
      <c r="Z57" s="519"/>
      <c r="AA57" s="520"/>
      <c r="AB57" s="513"/>
      <c r="AC57" s="518"/>
      <c r="AD57" s="519"/>
      <c r="AE57" s="520"/>
      <c r="AF57" s="513"/>
      <c r="AG57" s="518"/>
      <c r="AH57" s="519"/>
      <c r="AI57" s="520"/>
      <c r="AJ57" s="513"/>
      <c r="AK57" s="382"/>
      <c r="AL57" s="417"/>
      <c r="AM57" s="383"/>
      <c r="AN57" s="507"/>
      <c r="AO57" s="382"/>
      <c r="AP57" s="417"/>
      <c r="AQ57" s="383"/>
      <c r="AR57" s="507"/>
      <c r="AS57" s="514"/>
      <c r="AT57" s="514"/>
    </row>
    <row r="58">
      <c r="A58" s="382"/>
      <c r="B58" s="417"/>
      <c r="C58" s="383"/>
      <c r="D58" s="507"/>
      <c r="E58" s="382"/>
      <c r="F58" s="417"/>
      <c r="G58" s="383"/>
      <c r="H58" s="507"/>
      <c r="I58" s="382"/>
      <c r="J58" s="417"/>
      <c r="K58" s="383"/>
      <c r="L58" s="507"/>
      <c r="M58" s="382"/>
      <c r="N58" s="417"/>
      <c r="O58" s="383"/>
      <c r="P58" s="507"/>
      <c r="Q58" s="518"/>
      <c r="R58" s="519"/>
      <c r="S58" s="520"/>
      <c r="T58" s="513"/>
      <c r="U58" s="518"/>
      <c r="V58" s="519"/>
      <c r="W58" s="520"/>
      <c r="X58" s="513"/>
      <c r="Y58" s="518"/>
      <c r="Z58" s="519"/>
      <c r="AA58" s="520"/>
      <c r="AB58" s="513"/>
      <c r="AC58" s="518"/>
      <c r="AD58" s="519"/>
      <c r="AE58" s="520"/>
      <c r="AF58" s="513"/>
      <c r="AG58" s="518"/>
      <c r="AH58" s="519"/>
      <c r="AI58" s="520"/>
      <c r="AJ58" s="513"/>
      <c r="AK58" s="382"/>
      <c r="AL58" s="417"/>
      <c r="AM58" s="383"/>
      <c r="AN58" s="507"/>
      <c r="AO58" s="382"/>
      <c r="AP58" s="417"/>
      <c r="AQ58" s="383"/>
      <c r="AR58" s="507"/>
      <c r="AS58" s="514"/>
      <c r="AT58" s="514"/>
    </row>
    <row r="59">
      <c r="A59" s="382"/>
      <c r="B59" s="417"/>
      <c r="C59" s="383"/>
      <c r="D59" s="507"/>
      <c r="E59" s="382"/>
      <c r="F59" s="417"/>
      <c r="G59" s="383"/>
      <c r="H59" s="507"/>
      <c r="I59" s="382"/>
      <c r="J59" s="417"/>
      <c r="K59" s="383"/>
      <c r="L59" s="507"/>
      <c r="M59" s="382"/>
      <c r="N59" s="417"/>
      <c r="O59" s="383"/>
      <c r="P59" s="507"/>
      <c r="Q59" s="518"/>
      <c r="R59" s="519"/>
      <c r="S59" s="520"/>
      <c r="T59" s="513"/>
      <c r="U59" s="518"/>
      <c r="V59" s="519"/>
      <c r="W59" s="520"/>
      <c r="X59" s="513"/>
      <c r="Y59" s="518"/>
      <c r="Z59" s="519"/>
      <c r="AA59" s="520"/>
      <c r="AB59" s="513"/>
      <c r="AC59" s="518"/>
      <c r="AD59" s="519"/>
      <c r="AE59" s="520"/>
      <c r="AF59" s="513"/>
      <c r="AG59" s="518"/>
      <c r="AH59" s="519"/>
      <c r="AI59" s="520"/>
      <c r="AJ59" s="513"/>
      <c r="AK59" s="382"/>
      <c r="AL59" s="417"/>
      <c r="AM59" s="383"/>
      <c r="AN59" s="507"/>
      <c r="AO59" s="382"/>
      <c r="AP59" s="417"/>
      <c r="AQ59" s="383"/>
      <c r="AR59" s="507"/>
      <c r="AS59" s="514"/>
      <c r="AT59" s="514"/>
    </row>
    <row r="60">
      <c r="A60" s="382"/>
      <c r="B60" s="417"/>
      <c r="C60" s="383"/>
      <c r="D60" s="507"/>
      <c r="E60" s="382"/>
      <c r="F60" s="417"/>
      <c r="G60" s="383"/>
      <c r="H60" s="507"/>
      <c r="I60" s="382"/>
      <c r="J60" s="417"/>
      <c r="K60" s="383"/>
      <c r="L60" s="507"/>
      <c r="M60" s="382"/>
      <c r="N60" s="417"/>
      <c r="O60" s="383"/>
      <c r="P60" s="507"/>
      <c r="Q60" s="518"/>
      <c r="R60" s="519"/>
      <c r="S60" s="520"/>
      <c r="T60" s="513"/>
      <c r="U60" s="518"/>
      <c r="V60" s="519"/>
      <c r="W60" s="520"/>
      <c r="X60" s="513"/>
      <c r="Y60" s="518"/>
      <c r="Z60" s="519"/>
      <c r="AA60" s="520"/>
      <c r="AB60" s="513"/>
      <c r="AC60" s="518"/>
      <c r="AD60" s="519"/>
      <c r="AE60" s="520"/>
      <c r="AF60" s="513"/>
      <c r="AG60" s="518"/>
      <c r="AH60" s="519"/>
      <c r="AI60" s="520"/>
      <c r="AJ60" s="513"/>
      <c r="AK60" s="382"/>
      <c r="AL60" s="417"/>
      <c r="AM60" s="383"/>
      <c r="AN60" s="507"/>
      <c r="AO60" s="382"/>
      <c r="AP60" s="417"/>
      <c r="AQ60" s="383"/>
      <c r="AR60" s="507"/>
      <c r="AS60" s="514"/>
      <c r="AT60" s="514"/>
    </row>
    <row r="61">
      <c r="A61" s="382"/>
      <c r="B61" s="417"/>
      <c r="C61" s="383"/>
      <c r="D61" s="507"/>
      <c r="E61" s="382"/>
      <c r="F61" s="417"/>
      <c r="G61" s="383"/>
      <c r="H61" s="507"/>
      <c r="I61" s="382"/>
      <c r="J61" s="417"/>
      <c r="K61" s="383"/>
      <c r="L61" s="507"/>
      <c r="M61" s="382"/>
      <c r="N61" s="417"/>
      <c r="O61" s="383"/>
      <c r="P61" s="507"/>
      <c r="Q61" s="518"/>
      <c r="R61" s="519"/>
      <c r="S61" s="520"/>
      <c r="T61" s="513"/>
      <c r="U61" s="518"/>
      <c r="V61" s="519"/>
      <c r="W61" s="520"/>
      <c r="X61" s="513"/>
      <c r="Y61" s="518"/>
      <c r="Z61" s="519"/>
      <c r="AA61" s="520"/>
      <c r="AB61" s="513"/>
      <c r="AC61" s="518"/>
      <c r="AD61" s="519"/>
      <c r="AE61" s="520"/>
      <c r="AF61" s="513"/>
      <c r="AG61" s="518"/>
      <c r="AH61" s="519"/>
      <c r="AI61" s="520"/>
      <c r="AJ61" s="513"/>
      <c r="AK61" s="382"/>
      <c r="AL61" s="417"/>
      <c r="AM61" s="383"/>
      <c r="AN61" s="507"/>
      <c r="AO61" s="382"/>
      <c r="AP61" s="417"/>
      <c r="AQ61" s="383"/>
      <c r="AR61" s="507"/>
      <c r="AS61" s="514"/>
      <c r="AT61" s="514"/>
    </row>
    <row r="62">
      <c r="A62" s="382"/>
      <c r="B62" s="417"/>
      <c r="C62" s="383"/>
      <c r="D62" s="507"/>
      <c r="E62" s="382"/>
      <c r="F62" s="417"/>
      <c r="G62" s="383"/>
      <c r="H62" s="507"/>
      <c r="I62" s="382"/>
      <c r="J62" s="417"/>
      <c r="K62" s="383"/>
      <c r="L62" s="507"/>
      <c r="M62" s="382"/>
      <c r="N62" s="417"/>
      <c r="O62" s="383"/>
      <c r="P62" s="507"/>
      <c r="Q62" s="518"/>
      <c r="R62" s="519"/>
      <c r="S62" s="520"/>
      <c r="T62" s="513"/>
      <c r="U62" s="518"/>
      <c r="V62" s="519"/>
      <c r="W62" s="520"/>
      <c r="X62" s="513"/>
      <c r="Y62" s="518"/>
      <c r="Z62" s="519"/>
      <c r="AA62" s="520"/>
      <c r="AB62" s="513"/>
      <c r="AC62" s="518"/>
      <c r="AD62" s="519"/>
      <c r="AE62" s="520"/>
      <c r="AF62" s="513"/>
      <c r="AG62" s="518"/>
      <c r="AH62" s="519"/>
      <c r="AI62" s="520"/>
      <c r="AJ62" s="513"/>
      <c r="AK62" s="382"/>
      <c r="AL62" s="417"/>
      <c r="AM62" s="383"/>
      <c r="AN62" s="507"/>
      <c r="AO62" s="382"/>
      <c r="AP62" s="417"/>
      <c r="AQ62" s="383"/>
      <c r="AR62" s="507"/>
      <c r="AS62" s="514"/>
      <c r="AT62" s="514"/>
    </row>
    <row r="63">
      <c r="A63" s="382"/>
      <c r="B63" s="417"/>
      <c r="C63" s="383"/>
      <c r="D63" s="507"/>
      <c r="E63" s="382"/>
      <c r="F63" s="417"/>
      <c r="G63" s="383"/>
      <c r="H63" s="507"/>
      <c r="I63" s="382"/>
      <c r="J63" s="417"/>
      <c r="K63" s="383"/>
      <c r="L63" s="507"/>
      <c r="M63" s="382"/>
      <c r="N63" s="417"/>
      <c r="O63" s="383"/>
      <c r="P63" s="507"/>
      <c r="Q63" s="518"/>
      <c r="R63" s="519"/>
      <c r="S63" s="520"/>
      <c r="T63" s="513"/>
      <c r="U63" s="518"/>
      <c r="V63" s="519"/>
      <c r="W63" s="520"/>
      <c r="X63" s="513"/>
      <c r="Y63" s="518"/>
      <c r="Z63" s="519"/>
      <c r="AA63" s="520"/>
      <c r="AB63" s="513"/>
      <c r="AC63" s="518"/>
      <c r="AD63" s="519"/>
      <c r="AE63" s="520"/>
      <c r="AF63" s="513"/>
      <c r="AG63" s="518"/>
      <c r="AH63" s="519"/>
      <c r="AI63" s="520"/>
      <c r="AJ63" s="513"/>
      <c r="AK63" s="382"/>
      <c r="AL63" s="417"/>
      <c r="AM63" s="383"/>
      <c r="AN63" s="507"/>
      <c r="AO63" s="382"/>
      <c r="AP63" s="417"/>
      <c r="AQ63" s="383"/>
      <c r="AR63" s="507"/>
      <c r="AS63" s="514"/>
      <c r="AT63" s="514"/>
    </row>
    <row r="64">
      <c r="A64" s="382"/>
      <c r="B64" s="417"/>
      <c r="C64" s="383"/>
      <c r="D64" s="507"/>
      <c r="E64" s="382"/>
      <c r="F64" s="417"/>
      <c r="G64" s="383"/>
      <c r="H64" s="507"/>
      <c r="I64" s="382"/>
      <c r="J64" s="417"/>
      <c r="K64" s="383"/>
      <c r="L64" s="507"/>
      <c r="M64" s="382"/>
      <c r="N64" s="417"/>
      <c r="O64" s="383"/>
      <c r="P64" s="507"/>
      <c r="Q64" s="518"/>
      <c r="R64" s="519"/>
      <c r="S64" s="520"/>
      <c r="T64" s="513"/>
      <c r="U64" s="518"/>
      <c r="V64" s="519"/>
      <c r="W64" s="520"/>
      <c r="X64" s="513"/>
      <c r="Y64" s="518"/>
      <c r="Z64" s="519"/>
      <c r="AA64" s="520"/>
      <c r="AB64" s="513"/>
      <c r="AC64" s="518"/>
      <c r="AD64" s="519"/>
      <c r="AE64" s="520"/>
      <c r="AF64" s="513"/>
      <c r="AG64" s="518"/>
      <c r="AH64" s="519"/>
      <c r="AI64" s="520"/>
      <c r="AJ64" s="513"/>
      <c r="AK64" s="382"/>
      <c r="AL64" s="417"/>
      <c r="AM64" s="383"/>
      <c r="AN64" s="507"/>
      <c r="AO64" s="382"/>
      <c r="AP64" s="417"/>
      <c r="AQ64" s="383"/>
      <c r="AR64" s="507"/>
      <c r="AS64" s="514"/>
      <c r="AT64" s="514"/>
    </row>
    <row r="65">
      <c r="A65" s="382"/>
      <c r="B65" s="417"/>
      <c r="C65" s="383"/>
      <c r="D65" s="507"/>
      <c r="E65" s="382"/>
      <c r="F65" s="417"/>
      <c r="G65" s="383"/>
      <c r="H65" s="507"/>
      <c r="I65" s="382"/>
      <c r="J65" s="417"/>
      <c r="K65" s="383"/>
      <c r="L65" s="507"/>
      <c r="M65" s="382"/>
      <c r="N65" s="417"/>
      <c r="O65" s="383"/>
      <c r="P65" s="507"/>
      <c r="Q65" s="518"/>
      <c r="R65" s="519"/>
      <c r="S65" s="520"/>
      <c r="T65" s="513"/>
      <c r="U65" s="518"/>
      <c r="V65" s="519"/>
      <c r="W65" s="520"/>
      <c r="X65" s="513"/>
      <c r="Y65" s="518"/>
      <c r="Z65" s="519"/>
      <c r="AA65" s="520"/>
      <c r="AB65" s="513"/>
      <c r="AC65" s="518"/>
      <c r="AD65" s="519"/>
      <c r="AE65" s="520"/>
      <c r="AF65" s="513"/>
      <c r="AG65" s="518"/>
      <c r="AH65" s="519"/>
      <c r="AI65" s="520"/>
      <c r="AJ65" s="513"/>
      <c r="AK65" s="382"/>
      <c r="AL65" s="417"/>
      <c r="AM65" s="383"/>
      <c r="AN65" s="507"/>
      <c r="AO65" s="382"/>
      <c r="AP65" s="417"/>
      <c r="AQ65" s="383"/>
      <c r="AR65" s="507"/>
      <c r="AS65" s="514"/>
      <c r="AT65" s="514"/>
    </row>
    <row r="66">
      <c r="A66" s="382"/>
      <c r="B66" s="417"/>
      <c r="C66" s="383"/>
      <c r="D66" s="507"/>
      <c r="E66" s="382"/>
      <c r="F66" s="417"/>
      <c r="G66" s="383"/>
      <c r="H66" s="507"/>
      <c r="I66" s="382"/>
      <c r="J66" s="417"/>
      <c r="K66" s="383"/>
      <c r="L66" s="507"/>
      <c r="M66" s="382"/>
      <c r="N66" s="417"/>
      <c r="O66" s="383"/>
      <c r="P66" s="507"/>
      <c r="Q66" s="518"/>
      <c r="R66" s="519"/>
      <c r="S66" s="520"/>
      <c r="T66" s="513"/>
      <c r="U66" s="518"/>
      <c r="V66" s="519"/>
      <c r="W66" s="520"/>
      <c r="X66" s="513"/>
      <c r="Y66" s="518"/>
      <c r="Z66" s="519"/>
      <c r="AA66" s="520"/>
      <c r="AB66" s="513"/>
      <c r="AC66" s="518"/>
      <c r="AD66" s="519"/>
      <c r="AE66" s="520"/>
      <c r="AF66" s="513"/>
      <c r="AG66" s="518"/>
      <c r="AH66" s="519"/>
      <c r="AI66" s="520"/>
      <c r="AJ66" s="513"/>
      <c r="AK66" s="382"/>
      <c r="AL66" s="417"/>
      <c r="AM66" s="383"/>
      <c r="AN66" s="507"/>
      <c r="AO66" s="382"/>
      <c r="AP66" s="417"/>
      <c r="AQ66" s="383"/>
      <c r="AR66" s="507"/>
      <c r="AS66" s="514"/>
      <c r="AT66" s="514"/>
    </row>
    <row r="67">
      <c r="A67" s="382"/>
      <c r="B67" s="417"/>
      <c r="C67" s="383"/>
      <c r="D67" s="507"/>
      <c r="E67" s="382"/>
      <c r="F67" s="417"/>
      <c r="G67" s="383"/>
      <c r="H67" s="507"/>
      <c r="I67" s="382"/>
      <c r="J67" s="417"/>
      <c r="K67" s="383"/>
      <c r="L67" s="507"/>
      <c r="M67" s="382"/>
      <c r="N67" s="417"/>
      <c r="O67" s="383"/>
      <c r="P67" s="507"/>
      <c r="Q67" s="518"/>
      <c r="R67" s="519"/>
      <c r="S67" s="520"/>
      <c r="T67" s="513"/>
      <c r="U67" s="518"/>
      <c r="V67" s="519"/>
      <c r="W67" s="520"/>
      <c r="X67" s="513"/>
      <c r="Y67" s="518"/>
      <c r="Z67" s="519"/>
      <c r="AA67" s="520"/>
      <c r="AB67" s="513"/>
      <c r="AC67" s="518"/>
      <c r="AD67" s="519"/>
      <c r="AE67" s="520"/>
      <c r="AF67" s="513"/>
      <c r="AG67" s="518"/>
      <c r="AH67" s="519"/>
      <c r="AI67" s="520"/>
      <c r="AJ67" s="513"/>
      <c r="AK67" s="382"/>
      <c r="AL67" s="417"/>
      <c r="AM67" s="383"/>
      <c r="AN67" s="507"/>
      <c r="AO67" s="382"/>
      <c r="AP67" s="417"/>
      <c r="AQ67" s="383"/>
      <c r="AR67" s="507"/>
      <c r="AS67" s="514"/>
      <c r="AT67" s="514"/>
    </row>
    <row r="68">
      <c r="A68" s="382"/>
      <c r="B68" s="417"/>
      <c r="C68" s="383"/>
      <c r="D68" s="507"/>
      <c r="E68" s="382"/>
      <c r="F68" s="417"/>
      <c r="G68" s="383"/>
      <c r="H68" s="507"/>
      <c r="I68" s="382"/>
      <c r="J68" s="417"/>
      <c r="K68" s="383"/>
      <c r="L68" s="507"/>
      <c r="M68" s="382"/>
      <c r="N68" s="417"/>
      <c r="O68" s="383"/>
      <c r="P68" s="507"/>
      <c r="Q68" s="518"/>
      <c r="R68" s="519"/>
      <c r="S68" s="520"/>
      <c r="T68" s="513"/>
      <c r="U68" s="518"/>
      <c r="V68" s="519"/>
      <c r="W68" s="520"/>
      <c r="X68" s="513"/>
      <c r="Y68" s="518"/>
      <c r="Z68" s="519"/>
      <c r="AA68" s="520"/>
      <c r="AB68" s="513"/>
      <c r="AC68" s="518"/>
      <c r="AD68" s="519"/>
      <c r="AE68" s="520"/>
      <c r="AF68" s="513"/>
      <c r="AG68" s="518"/>
      <c r="AH68" s="519"/>
      <c r="AI68" s="520"/>
      <c r="AJ68" s="513"/>
      <c r="AK68" s="382"/>
      <c r="AL68" s="417"/>
      <c r="AM68" s="383"/>
      <c r="AN68" s="507"/>
      <c r="AO68" s="382"/>
      <c r="AP68" s="417"/>
      <c r="AQ68" s="383"/>
      <c r="AR68" s="507"/>
      <c r="AS68" s="514"/>
      <c r="AT68" s="514"/>
    </row>
    <row r="69">
      <c r="A69" s="382"/>
      <c r="B69" s="417"/>
      <c r="C69" s="383"/>
      <c r="D69" s="507"/>
      <c r="E69" s="382"/>
      <c r="F69" s="417"/>
      <c r="G69" s="383"/>
      <c r="H69" s="507"/>
      <c r="I69" s="382"/>
      <c r="J69" s="417"/>
      <c r="K69" s="383"/>
      <c r="L69" s="507"/>
      <c r="M69" s="382"/>
      <c r="N69" s="417"/>
      <c r="O69" s="383"/>
      <c r="P69" s="507"/>
      <c r="Q69" s="518"/>
      <c r="R69" s="519"/>
      <c r="S69" s="520"/>
      <c r="T69" s="513"/>
      <c r="U69" s="518"/>
      <c r="V69" s="519"/>
      <c r="W69" s="520"/>
      <c r="X69" s="513"/>
      <c r="Y69" s="518"/>
      <c r="Z69" s="519"/>
      <c r="AA69" s="520"/>
      <c r="AB69" s="513"/>
      <c r="AC69" s="518"/>
      <c r="AD69" s="519"/>
      <c r="AE69" s="520"/>
      <c r="AF69" s="513"/>
      <c r="AG69" s="518"/>
      <c r="AH69" s="519"/>
      <c r="AI69" s="520"/>
      <c r="AJ69" s="513"/>
      <c r="AK69" s="382"/>
      <c r="AL69" s="417"/>
      <c r="AM69" s="383"/>
      <c r="AN69" s="507"/>
      <c r="AO69" s="382"/>
      <c r="AP69" s="417"/>
      <c r="AQ69" s="383"/>
      <c r="AR69" s="507"/>
      <c r="AS69" s="514"/>
      <c r="AT69" s="514"/>
    </row>
    <row r="70">
      <c r="A70" s="382"/>
      <c r="B70" s="417"/>
      <c r="C70" s="383"/>
      <c r="D70" s="507"/>
      <c r="E70" s="382"/>
      <c r="F70" s="417"/>
      <c r="G70" s="383"/>
      <c r="H70" s="507"/>
      <c r="I70" s="382"/>
      <c r="J70" s="417"/>
      <c r="K70" s="383"/>
      <c r="L70" s="507"/>
      <c r="M70" s="382"/>
      <c r="N70" s="417"/>
      <c r="O70" s="383"/>
      <c r="P70" s="507"/>
      <c r="Q70" s="518"/>
      <c r="R70" s="519"/>
      <c r="S70" s="520"/>
      <c r="T70" s="513"/>
      <c r="U70" s="518"/>
      <c r="V70" s="519"/>
      <c r="W70" s="520"/>
      <c r="X70" s="513"/>
      <c r="Y70" s="518"/>
      <c r="Z70" s="519"/>
      <c r="AA70" s="520"/>
      <c r="AB70" s="513"/>
      <c r="AC70" s="518"/>
      <c r="AD70" s="519"/>
      <c r="AE70" s="520"/>
      <c r="AF70" s="513"/>
      <c r="AG70" s="518"/>
      <c r="AH70" s="519"/>
      <c r="AI70" s="520"/>
      <c r="AJ70" s="513"/>
      <c r="AK70" s="382"/>
      <c r="AL70" s="417"/>
      <c r="AM70" s="383"/>
      <c r="AN70" s="507"/>
      <c r="AO70" s="382"/>
      <c r="AP70" s="417"/>
      <c r="AQ70" s="383"/>
      <c r="AR70" s="507"/>
      <c r="AS70" s="514"/>
      <c r="AT70" s="514"/>
    </row>
    <row r="71">
      <c r="A71" s="382"/>
      <c r="B71" s="417"/>
      <c r="C71" s="383"/>
      <c r="D71" s="507"/>
      <c r="E71" s="382"/>
      <c r="F71" s="417"/>
      <c r="G71" s="383"/>
      <c r="H71" s="507"/>
      <c r="I71" s="382"/>
      <c r="J71" s="417"/>
      <c r="K71" s="383"/>
      <c r="L71" s="507"/>
      <c r="M71" s="382"/>
      <c r="N71" s="417"/>
      <c r="O71" s="383"/>
      <c r="P71" s="507"/>
      <c r="Q71" s="518"/>
      <c r="R71" s="519"/>
      <c r="S71" s="520"/>
      <c r="T71" s="513"/>
      <c r="U71" s="518"/>
      <c r="V71" s="519"/>
      <c r="W71" s="520"/>
      <c r="X71" s="513"/>
      <c r="Y71" s="518"/>
      <c r="Z71" s="519"/>
      <c r="AA71" s="520"/>
      <c r="AB71" s="513"/>
      <c r="AC71" s="518"/>
      <c r="AD71" s="519"/>
      <c r="AE71" s="520"/>
      <c r="AF71" s="513"/>
      <c r="AG71" s="518"/>
      <c r="AH71" s="519"/>
      <c r="AI71" s="520"/>
      <c r="AJ71" s="513"/>
      <c r="AK71" s="382"/>
      <c r="AL71" s="417"/>
      <c r="AM71" s="383"/>
      <c r="AN71" s="507"/>
      <c r="AO71" s="382"/>
      <c r="AP71" s="417"/>
      <c r="AQ71" s="383"/>
      <c r="AR71" s="507"/>
      <c r="AS71" s="514"/>
      <c r="AT71" s="514"/>
    </row>
    <row r="72">
      <c r="A72" s="382"/>
      <c r="B72" s="417"/>
      <c r="C72" s="383"/>
      <c r="D72" s="507"/>
      <c r="E72" s="382"/>
      <c r="F72" s="417"/>
      <c r="G72" s="383"/>
      <c r="H72" s="507"/>
      <c r="I72" s="382"/>
      <c r="J72" s="417"/>
      <c r="K72" s="383"/>
      <c r="L72" s="507"/>
      <c r="M72" s="382"/>
      <c r="N72" s="417"/>
      <c r="O72" s="383"/>
      <c r="P72" s="507"/>
      <c r="Q72" s="518"/>
      <c r="R72" s="519"/>
      <c r="S72" s="520"/>
      <c r="T72" s="513"/>
      <c r="U72" s="518"/>
      <c r="V72" s="519"/>
      <c r="W72" s="520"/>
      <c r="X72" s="513"/>
      <c r="Y72" s="518"/>
      <c r="Z72" s="519"/>
      <c r="AA72" s="520"/>
      <c r="AB72" s="513"/>
      <c r="AC72" s="518"/>
      <c r="AD72" s="519"/>
      <c r="AE72" s="520"/>
      <c r="AF72" s="513"/>
      <c r="AG72" s="518"/>
      <c r="AH72" s="519"/>
      <c r="AI72" s="520"/>
      <c r="AJ72" s="513"/>
      <c r="AK72" s="382"/>
      <c r="AL72" s="417"/>
      <c r="AM72" s="383"/>
      <c r="AN72" s="507"/>
      <c r="AO72" s="382"/>
      <c r="AP72" s="417"/>
      <c r="AQ72" s="383"/>
      <c r="AR72" s="507"/>
      <c r="AS72" s="514"/>
      <c r="AT72" s="514"/>
    </row>
    <row r="73">
      <c r="A73" s="382"/>
      <c r="B73" s="417"/>
      <c r="C73" s="383"/>
      <c r="D73" s="507"/>
      <c r="E73" s="382"/>
      <c r="F73" s="417"/>
      <c r="G73" s="383"/>
      <c r="H73" s="507"/>
      <c r="I73" s="382"/>
      <c r="J73" s="417"/>
      <c r="K73" s="383"/>
      <c r="L73" s="507"/>
      <c r="M73" s="382"/>
      <c r="N73" s="417"/>
      <c r="O73" s="383"/>
      <c r="P73" s="507"/>
      <c r="Q73" s="518"/>
      <c r="R73" s="519"/>
      <c r="S73" s="520"/>
      <c r="T73" s="513"/>
      <c r="U73" s="518"/>
      <c r="V73" s="519"/>
      <c r="W73" s="520"/>
      <c r="X73" s="513"/>
      <c r="Y73" s="518"/>
      <c r="Z73" s="519"/>
      <c r="AA73" s="520"/>
      <c r="AB73" s="513"/>
      <c r="AC73" s="518"/>
      <c r="AD73" s="519"/>
      <c r="AE73" s="520"/>
      <c r="AF73" s="513"/>
      <c r="AG73" s="518"/>
      <c r="AH73" s="519"/>
      <c r="AI73" s="520"/>
      <c r="AJ73" s="513"/>
      <c r="AK73" s="382"/>
      <c r="AL73" s="417"/>
      <c r="AM73" s="383"/>
      <c r="AN73" s="507"/>
      <c r="AO73" s="382"/>
      <c r="AP73" s="417"/>
      <c r="AQ73" s="383"/>
      <c r="AR73" s="507"/>
      <c r="AS73" s="514"/>
      <c r="AT73" s="514"/>
    </row>
    <row r="74">
      <c r="A74" s="382"/>
      <c r="B74" s="417"/>
      <c r="C74" s="383"/>
      <c r="D74" s="507"/>
      <c r="E74" s="382"/>
      <c r="F74" s="417"/>
      <c r="G74" s="383"/>
      <c r="H74" s="507"/>
      <c r="I74" s="382"/>
      <c r="J74" s="417"/>
      <c r="K74" s="383"/>
      <c r="L74" s="507"/>
      <c r="M74" s="382"/>
      <c r="N74" s="417"/>
      <c r="O74" s="383"/>
      <c r="P74" s="507"/>
      <c r="Q74" s="518"/>
      <c r="R74" s="519"/>
      <c r="S74" s="520"/>
      <c r="T74" s="513"/>
      <c r="U74" s="518"/>
      <c r="V74" s="519"/>
      <c r="W74" s="520"/>
      <c r="X74" s="513"/>
      <c r="Y74" s="518"/>
      <c r="Z74" s="519"/>
      <c r="AA74" s="520"/>
      <c r="AB74" s="513"/>
      <c r="AC74" s="518"/>
      <c r="AD74" s="519"/>
      <c r="AE74" s="520"/>
      <c r="AF74" s="513"/>
      <c r="AG74" s="518"/>
      <c r="AH74" s="519"/>
      <c r="AI74" s="520"/>
      <c r="AJ74" s="513"/>
      <c r="AK74" s="382"/>
      <c r="AL74" s="417"/>
      <c r="AM74" s="383"/>
      <c r="AN74" s="507"/>
      <c r="AO74" s="382"/>
      <c r="AP74" s="417"/>
      <c r="AQ74" s="383"/>
      <c r="AR74" s="507"/>
      <c r="AS74" s="514"/>
      <c r="AT74" s="514"/>
    </row>
    <row r="75">
      <c r="A75" s="382"/>
      <c r="B75" s="417"/>
      <c r="C75" s="383"/>
      <c r="D75" s="507"/>
      <c r="E75" s="382"/>
      <c r="F75" s="417"/>
      <c r="G75" s="383"/>
      <c r="H75" s="507"/>
      <c r="I75" s="382"/>
      <c r="J75" s="417"/>
      <c r="K75" s="383"/>
      <c r="L75" s="507"/>
      <c r="M75" s="382"/>
      <c r="N75" s="417"/>
      <c r="O75" s="383"/>
      <c r="P75" s="507"/>
      <c r="Q75" s="518"/>
      <c r="R75" s="519"/>
      <c r="S75" s="520"/>
      <c r="T75" s="513"/>
      <c r="U75" s="518"/>
      <c r="V75" s="519"/>
      <c r="W75" s="520"/>
      <c r="X75" s="513"/>
      <c r="Y75" s="518"/>
      <c r="Z75" s="519"/>
      <c r="AA75" s="520"/>
      <c r="AB75" s="513"/>
      <c r="AC75" s="518"/>
      <c r="AD75" s="519"/>
      <c r="AE75" s="520"/>
      <c r="AF75" s="513"/>
      <c r="AG75" s="518"/>
      <c r="AH75" s="519"/>
      <c r="AI75" s="520"/>
      <c r="AJ75" s="513"/>
      <c r="AK75" s="382"/>
      <c r="AL75" s="417"/>
      <c r="AM75" s="383"/>
      <c r="AN75" s="507"/>
      <c r="AO75" s="382"/>
      <c r="AP75" s="417"/>
      <c r="AQ75" s="383"/>
      <c r="AR75" s="507"/>
      <c r="AS75" s="514"/>
      <c r="AT75" s="514"/>
    </row>
    <row r="76">
      <c r="A76" s="382"/>
      <c r="B76" s="417"/>
      <c r="C76" s="383"/>
      <c r="D76" s="507"/>
      <c r="E76" s="382"/>
      <c r="F76" s="417"/>
      <c r="G76" s="383"/>
      <c r="H76" s="507"/>
      <c r="I76" s="382"/>
      <c r="J76" s="417"/>
      <c r="K76" s="383"/>
      <c r="L76" s="507"/>
      <c r="M76" s="382"/>
      <c r="N76" s="417"/>
      <c r="O76" s="383"/>
      <c r="P76" s="507"/>
      <c r="Q76" s="518"/>
      <c r="R76" s="519"/>
      <c r="S76" s="520"/>
      <c r="T76" s="513"/>
      <c r="U76" s="518"/>
      <c r="V76" s="519"/>
      <c r="W76" s="520"/>
      <c r="X76" s="513"/>
      <c r="Y76" s="518"/>
      <c r="Z76" s="519"/>
      <c r="AA76" s="520"/>
      <c r="AB76" s="513"/>
      <c r="AC76" s="518"/>
      <c r="AD76" s="519"/>
      <c r="AE76" s="520"/>
      <c r="AF76" s="513"/>
      <c r="AG76" s="518"/>
      <c r="AH76" s="519"/>
      <c r="AI76" s="520"/>
      <c r="AJ76" s="513"/>
      <c r="AK76" s="382"/>
      <c r="AL76" s="417"/>
      <c r="AM76" s="383"/>
      <c r="AN76" s="507"/>
      <c r="AO76" s="382"/>
      <c r="AP76" s="417"/>
      <c r="AQ76" s="383"/>
      <c r="AR76" s="507"/>
      <c r="AS76" s="514"/>
      <c r="AT76" s="514"/>
    </row>
    <row r="77">
      <c r="A77" s="382"/>
      <c r="B77" s="417"/>
      <c r="C77" s="383"/>
      <c r="D77" s="507"/>
      <c r="E77" s="382"/>
      <c r="F77" s="417"/>
      <c r="G77" s="383"/>
      <c r="H77" s="507"/>
      <c r="I77" s="382"/>
      <c r="J77" s="417"/>
      <c r="K77" s="383"/>
      <c r="L77" s="507"/>
      <c r="M77" s="382"/>
      <c r="N77" s="417"/>
      <c r="O77" s="383"/>
      <c r="P77" s="507"/>
      <c r="Q77" s="518"/>
      <c r="R77" s="519"/>
      <c r="S77" s="520"/>
      <c r="T77" s="513"/>
      <c r="U77" s="518"/>
      <c r="V77" s="519"/>
      <c r="W77" s="520"/>
      <c r="X77" s="513"/>
      <c r="Y77" s="518"/>
      <c r="Z77" s="519"/>
      <c r="AA77" s="520"/>
      <c r="AB77" s="513"/>
      <c r="AC77" s="518"/>
      <c r="AD77" s="519"/>
      <c r="AE77" s="520"/>
      <c r="AF77" s="513"/>
      <c r="AG77" s="518"/>
      <c r="AH77" s="519"/>
      <c r="AI77" s="520"/>
      <c r="AJ77" s="513"/>
      <c r="AK77" s="382"/>
      <c r="AL77" s="417"/>
      <c r="AM77" s="383"/>
      <c r="AN77" s="507"/>
      <c r="AO77" s="382"/>
      <c r="AP77" s="417"/>
      <c r="AQ77" s="383"/>
      <c r="AR77" s="507"/>
      <c r="AS77" s="514"/>
      <c r="AT77" s="514"/>
    </row>
    <row r="78">
      <c r="A78" s="382"/>
      <c r="B78" s="417"/>
      <c r="C78" s="383"/>
      <c r="D78" s="507"/>
      <c r="E78" s="382"/>
      <c r="F78" s="417"/>
      <c r="G78" s="383"/>
      <c r="H78" s="507"/>
      <c r="I78" s="382"/>
      <c r="J78" s="417"/>
      <c r="K78" s="383"/>
      <c r="L78" s="507"/>
      <c r="M78" s="382"/>
      <c r="N78" s="417"/>
      <c r="O78" s="383"/>
      <c r="P78" s="507"/>
      <c r="Q78" s="518"/>
      <c r="R78" s="519"/>
      <c r="S78" s="520"/>
      <c r="T78" s="513"/>
      <c r="U78" s="518"/>
      <c r="V78" s="519"/>
      <c r="W78" s="520"/>
      <c r="X78" s="513"/>
      <c r="Y78" s="518"/>
      <c r="Z78" s="519"/>
      <c r="AA78" s="520"/>
      <c r="AB78" s="513"/>
      <c r="AC78" s="518"/>
      <c r="AD78" s="519"/>
      <c r="AE78" s="520"/>
      <c r="AF78" s="513"/>
      <c r="AG78" s="518"/>
      <c r="AH78" s="519"/>
      <c r="AI78" s="520"/>
      <c r="AJ78" s="513"/>
      <c r="AK78" s="382"/>
      <c r="AL78" s="417"/>
      <c r="AM78" s="383"/>
      <c r="AN78" s="507"/>
      <c r="AO78" s="382"/>
      <c r="AP78" s="417"/>
      <c r="AQ78" s="383"/>
      <c r="AR78" s="507"/>
      <c r="AS78" s="514"/>
      <c r="AT78" s="514"/>
    </row>
    <row r="79">
      <c r="A79" s="382"/>
      <c r="B79" s="417"/>
      <c r="C79" s="383"/>
      <c r="D79" s="507"/>
      <c r="E79" s="382"/>
      <c r="F79" s="417"/>
      <c r="G79" s="383"/>
      <c r="H79" s="507"/>
      <c r="I79" s="382"/>
      <c r="J79" s="417"/>
      <c r="K79" s="383"/>
      <c r="L79" s="507"/>
      <c r="M79" s="382"/>
      <c r="N79" s="417"/>
      <c r="O79" s="383"/>
      <c r="P79" s="507"/>
      <c r="Q79" s="518"/>
      <c r="R79" s="519"/>
      <c r="S79" s="520"/>
      <c r="T79" s="513"/>
      <c r="U79" s="518"/>
      <c r="V79" s="519"/>
      <c r="W79" s="520"/>
      <c r="X79" s="513"/>
      <c r="Y79" s="518"/>
      <c r="Z79" s="519"/>
      <c r="AA79" s="520"/>
      <c r="AB79" s="513"/>
      <c r="AC79" s="518"/>
      <c r="AD79" s="519"/>
      <c r="AE79" s="520"/>
      <c r="AF79" s="513"/>
      <c r="AG79" s="518"/>
      <c r="AH79" s="519"/>
      <c r="AI79" s="520"/>
      <c r="AJ79" s="513"/>
      <c r="AK79" s="382"/>
      <c r="AL79" s="417"/>
      <c r="AM79" s="383"/>
      <c r="AN79" s="507"/>
      <c r="AO79" s="382"/>
      <c r="AP79" s="417"/>
      <c r="AQ79" s="383"/>
      <c r="AR79" s="507"/>
      <c r="AS79" s="514"/>
      <c r="AT79" s="514"/>
    </row>
    <row r="80">
      <c r="A80" s="382"/>
      <c r="B80" s="417"/>
      <c r="C80" s="383"/>
      <c r="D80" s="507"/>
      <c r="E80" s="382"/>
      <c r="F80" s="417"/>
      <c r="G80" s="383"/>
      <c r="H80" s="507"/>
      <c r="I80" s="382"/>
      <c r="J80" s="417"/>
      <c r="K80" s="383"/>
      <c r="L80" s="507"/>
      <c r="M80" s="382"/>
      <c r="N80" s="417"/>
      <c r="O80" s="383"/>
      <c r="P80" s="507"/>
      <c r="Q80" s="518"/>
      <c r="R80" s="519"/>
      <c r="S80" s="520"/>
      <c r="T80" s="513"/>
      <c r="U80" s="518"/>
      <c r="V80" s="519"/>
      <c r="W80" s="520"/>
      <c r="X80" s="513"/>
      <c r="Y80" s="518"/>
      <c r="Z80" s="519"/>
      <c r="AA80" s="520"/>
      <c r="AB80" s="513"/>
      <c r="AC80" s="518"/>
      <c r="AD80" s="519"/>
      <c r="AE80" s="520"/>
      <c r="AF80" s="513"/>
      <c r="AG80" s="518"/>
      <c r="AH80" s="519"/>
      <c r="AI80" s="520"/>
      <c r="AJ80" s="513"/>
      <c r="AK80" s="382"/>
      <c r="AL80" s="417"/>
      <c r="AM80" s="383"/>
      <c r="AN80" s="507"/>
      <c r="AO80" s="382"/>
      <c r="AP80" s="417"/>
      <c r="AQ80" s="383"/>
      <c r="AR80" s="507"/>
      <c r="AS80" s="514"/>
      <c r="AT80" s="514"/>
    </row>
    <row r="81">
      <c r="A81" s="382"/>
      <c r="B81" s="417"/>
      <c r="C81" s="383"/>
      <c r="D81" s="507"/>
      <c r="E81" s="382"/>
      <c r="F81" s="417"/>
      <c r="G81" s="383"/>
      <c r="H81" s="507"/>
      <c r="I81" s="382"/>
      <c r="J81" s="417"/>
      <c r="K81" s="383"/>
      <c r="L81" s="507"/>
      <c r="M81" s="382"/>
      <c r="N81" s="417"/>
      <c r="O81" s="383"/>
      <c r="P81" s="507"/>
      <c r="Q81" s="518"/>
      <c r="R81" s="519"/>
      <c r="S81" s="520"/>
      <c r="T81" s="513"/>
      <c r="U81" s="518"/>
      <c r="V81" s="519"/>
      <c r="W81" s="520"/>
      <c r="X81" s="513"/>
      <c r="Y81" s="518"/>
      <c r="Z81" s="519"/>
      <c r="AA81" s="520"/>
      <c r="AB81" s="513"/>
      <c r="AC81" s="518"/>
      <c r="AD81" s="519"/>
      <c r="AE81" s="520"/>
      <c r="AF81" s="513"/>
      <c r="AG81" s="518"/>
      <c r="AH81" s="519"/>
      <c r="AI81" s="520"/>
      <c r="AJ81" s="513"/>
      <c r="AK81" s="382"/>
      <c r="AL81" s="417"/>
      <c r="AM81" s="383"/>
      <c r="AN81" s="507"/>
      <c r="AO81" s="382"/>
      <c r="AP81" s="417"/>
      <c r="AQ81" s="383"/>
      <c r="AR81" s="507"/>
      <c r="AS81" s="514"/>
      <c r="AT81" s="514"/>
    </row>
    <row r="82">
      <c r="A82" s="382"/>
      <c r="B82" s="417"/>
      <c r="C82" s="383"/>
      <c r="D82" s="507"/>
      <c r="E82" s="382"/>
      <c r="F82" s="417"/>
      <c r="G82" s="383"/>
      <c r="H82" s="507"/>
      <c r="I82" s="382"/>
      <c r="J82" s="417"/>
      <c r="K82" s="383"/>
      <c r="L82" s="507"/>
      <c r="M82" s="382"/>
      <c r="N82" s="417"/>
      <c r="O82" s="383"/>
      <c r="P82" s="507"/>
      <c r="Q82" s="518"/>
      <c r="R82" s="519"/>
      <c r="S82" s="520"/>
      <c r="T82" s="513"/>
      <c r="U82" s="518"/>
      <c r="V82" s="519"/>
      <c r="W82" s="520"/>
      <c r="X82" s="513"/>
      <c r="Y82" s="518"/>
      <c r="Z82" s="519"/>
      <c r="AA82" s="520"/>
      <c r="AB82" s="513"/>
      <c r="AC82" s="518"/>
      <c r="AD82" s="519"/>
      <c r="AE82" s="520"/>
      <c r="AF82" s="513"/>
      <c r="AG82" s="518"/>
      <c r="AH82" s="519"/>
      <c r="AI82" s="520"/>
      <c r="AJ82" s="513"/>
      <c r="AK82" s="382"/>
      <c r="AL82" s="417"/>
      <c r="AM82" s="383"/>
      <c r="AN82" s="507"/>
      <c r="AO82" s="382"/>
      <c r="AP82" s="417"/>
      <c r="AQ82" s="383"/>
      <c r="AR82" s="507"/>
      <c r="AS82" s="514"/>
      <c r="AT82" s="514"/>
    </row>
    <row r="83">
      <c r="A83" s="382"/>
      <c r="B83" s="417"/>
      <c r="C83" s="383"/>
      <c r="D83" s="507"/>
      <c r="E83" s="382"/>
      <c r="F83" s="417"/>
      <c r="G83" s="383"/>
      <c r="H83" s="507"/>
      <c r="I83" s="382"/>
      <c r="J83" s="417"/>
      <c r="K83" s="383"/>
      <c r="L83" s="507"/>
      <c r="M83" s="382"/>
      <c r="N83" s="417"/>
      <c r="O83" s="383"/>
      <c r="P83" s="507"/>
      <c r="Q83" s="518"/>
      <c r="R83" s="519"/>
      <c r="S83" s="520"/>
      <c r="T83" s="513"/>
      <c r="U83" s="518"/>
      <c r="V83" s="519"/>
      <c r="W83" s="520"/>
      <c r="X83" s="513"/>
      <c r="Y83" s="518"/>
      <c r="Z83" s="519"/>
      <c r="AA83" s="520"/>
      <c r="AB83" s="513"/>
      <c r="AC83" s="518"/>
      <c r="AD83" s="519"/>
      <c r="AE83" s="520"/>
      <c r="AF83" s="513"/>
      <c r="AG83" s="518"/>
      <c r="AH83" s="519"/>
      <c r="AI83" s="520"/>
      <c r="AJ83" s="513"/>
      <c r="AK83" s="382"/>
      <c r="AL83" s="417"/>
      <c r="AM83" s="383"/>
      <c r="AN83" s="507"/>
      <c r="AO83" s="382"/>
      <c r="AP83" s="417"/>
      <c r="AQ83" s="383"/>
      <c r="AR83" s="507"/>
      <c r="AS83" s="514"/>
      <c r="AT83" s="514"/>
    </row>
    <row r="84">
      <c r="A84" s="382"/>
      <c r="B84" s="417"/>
      <c r="C84" s="383"/>
      <c r="D84" s="507"/>
      <c r="E84" s="382"/>
      <c r="F84" s="417"/>
      <c r="G84" s="383"/>
      <c r="H84" s="507"/>
      <c r="I84" s="382"/>
      <c r="J84" s="417"/>
      <c r="K84" s="383"/>
      <c r="L84" s="507"/>
      <c r="M84" s="382"/>
      <c r="N84" s="417"/>
      <c r="O84" s="383"/>
      <c r="P84" s="507"/>
      <c r="Q84" s="518"/>
      <c r="R84" s="519"/>
      <c r="S84" s="520"/>
      <c r="T84" s="513"/>
      <c r="U84" s="518"/>
      <c r="V84" s="519"/>
      <c r="W84" s="520"/>
      <c r="X84" s="513"/>
      <c r="Y84" s="518"/>
      <c r="Z84" s="519"/>
      <c r="AA84" s="520"/>
      <c r="AB84" s="513"/>
      <c r="AC84" s="518"/>
      <c r="AD84" s="519"/>
      <c r="AE84" s="520"/>
      <c r="AF84" s="513"/>
      <c r="AG84" s="518"/>
      <c r="AH84" s="519"/>
      <c r="AI84" s="520"/>
      <c r="AJ84" s="513"/>
      <c r="AK84" s="382"/>
      <c r="AL84" s="417"/>
      <c r="AM84" s="383"/>
      <c r="AN84" s="507"/>
      <c r="AO84" s="382"/>
      <c r="AP84" s="417"/>
      <c r="AQ84" s="383"/>
      <c r="AR84" s="507"/>
      <c r="AS84" s="514"/>
      <c r="AT84" s="514"/>
    </row>
    <row r="85">
      <c r="A85" s="382"/>
      <c r="B85" s="417"/>
      <c r="C85" s="383"/>
      <c r="D85" s="507"/>
      <c r="E85" s="382"/>
      <c r="F85" s="417"/>
      <c r="G85" s="383"/>
      <c r="H85" s="507"/>
      <c r="I85" s="382"/>
      <c r="J85" s="417"/>
      <c r="K85" s="383"/>
      <c r="L85" s="507"/>
      <c r="M85" s="382"/>
      <c r="N85" s="417"/>
      <c r="O85" s="383"/>
      <c r="P85" s="507"/>
      <c r="Q85" s="518"/>
      <c r="R85" s="519"/>
      <c r="S85" s="520"/>
      <c r="T85" s="513"/>
      <c r="U85" s="518"/>
      <c r="V85" s="519"/>
      <c r="W85" s="520"/>
      <c r="X85" s="513"/>
      <c r="Y85" s="518"/>
      <c r="Z85" s="519"/>
      <c r="AA85" s="520"/>
      <c r="AB85" s="513"/>
      <c r="AC85" s="518"/>
      <c r="AD85" s="519"/>
      <c r="AE85" s="520"/>
      <c r="AF85" s="513"/>
      <c r="AG85" s="518"/>
      <c r="AH85" s="519"/>
      <c r="AI85" s="520"/>
      <c r="AJ85" s="513"/>
      <c r="AK85" s="382"/>
      <c r="AL85" s="417"/>
      <c r="AM85" s="383"/>
      <c r="AN85" s="507"/>
      <c r="AO85" s="382"/>
      <c r="AP85" s="417"/>
      <c r="AQ85" s="383"/>
      <c r="AR85" s="507"/>
      <c r="AS85" s="514"/>
      <c r="AT85" s="514"/>
    </row>
    <row r="86">
      <c r="A86" s="382"/>
      <c r="B86" s="417"/>
      <c r="C86" s="383"/>
      <c r="D86" s="507"/>
      <c r="E86" s="382"/>
      <c r="F86" s="417"/>
      <c r="G86" s="383"/>
      <c r="H86" s="507"/>
      <c r="I86" s="382"/>
      <c r="J86" s="417"/>
      <c r="K86" s="383"/>
      <c r="L86" s="507"/>
      <c r="M86" s="382"/>
      <c r="N86" s="417"/>
      <c r="O86" s="383"/>
      <c r="P86" s="507"/>
      <c r="Q86" s="518"/>
      <c r="R86" s="519"/>
      <c r="S86" s="520"/>
      <c r="T86" s="513"/>
      <c r="U86" s="518"/>
      <c r="V86" s="519"/>
      <c r="W86" s="520"/>
      <c r="X86" s="513"/>
      <c r="Y86" s="518"/>
      <c r="Z86" s="519"/>
      <c r="AA86" s="520"/>
      <c r="AB86" s="513"/>
      <c r="AC86" s="518"/>
      <c r="AD86" s="519"/>
      <c r="AE86" s="520"/>
      <c r="AF86" s="513"/>
      <c r="AG86" s="518"/>
      <c r="AH86" s="519"/>
      <c r="AI86" s="520"/>
      <c r="AJ86" s="513"/>
      <c r="AK86" s="382"/>
      <c r="AL86" s="417"/>
      <c r="AM86" s="383"/>
      <c r="AN86" s="507"/>
      <c r="AO86" s="382"/>
      <c r="AP86" s="417"/>
      <c r="AQ86" s="383"/>
      <c r="AR86" s="507"/>
      <c r="AS86" s="514"/>
      <c r="AT86" s="514"/>
    </row>
    <row r="87">
      <c r="A87" s="382"/>
      <c r="B87" s="417"/>
      <c r="C87" s="383"/>
      <c r="D87" s="507"/>
      <c r="E87" s="382"/>
      <c r="F87" s="417"/>
      <c r="G87" s="383"/>
      <c r="H87" s="507"/>
      <c r="I87" s="382"/>
      <c r="J87" s="417"/>
      <c r="K87" s="383"/>
      <c r="L87" s="507"/>
      <c r="M87" s="382"/>
      <c r="N87" s="417"/>
      <c r="O87" s="383"/>
      <c r="P87" s="507"/>
      <c r="Q87" s="518"/>
      <c r="R87" s="519"/>
      <c r="S87" s="520"/>
      <c r="T87" s="513"/>
      <c r="U87" s="518"/>
      <c r="V87" s="519"/>
      <c r="W87" s="520"/>
      <c r="X87" s="513"/>
      <c r="Y87" s="518"/>
      <c r="Z87" s="519"/>
      <c r="AA87" s="520"/>
      <c r="AB87" s="513"/>
      <c r="AC87" s="518"/>
      <c r="AD87" s="519"/>
      <c r="AE87" s="520"/>
      <c r="AF87" s="513"/>
      <c r="AG87" s="518"/>
      <c r="AH87" s="519"/>
      <c r="AI87" s="520"/>
      <c r="AJ87" s="513"/>
      <c r="AK87" s="382"/>
      <c r="AL87" s="417"/>
      <c r="AM87" s="383"/>
      <c r="AN87" s="507"/>
      <c r="AO87" s="382"/>
      <c r="AP87" s="417"/>
      <c r="AQ87" s="383"/>
      <c r="AR87" s="507"/>
      <c r="AS87" s="514"/>
      <c r="AT87" s="514"/>
    </row>
    <row r="88">
      <c r="A88" s="382"/>
      <c r="B88" s="417"/>
      <c r="C88" s="383"/>
      <c r="D88" s="507"/>
      <c r="E88" s="382"/>
      <c r="F88" s="417"/>
      <c r="G88" s="383"/>
      <c r="H88" s="507"/>
      <c r="I88" s="382"/>
      <c r="J88" s="417"/>
      <c r="K88" s="383"/>
      <c r="L88" s="507"/>
      <c r="M88" s="382"/>
      <c r="N88" s="417"/>
      <c r="O88" s="383"/>
      <c r="P88" s="507"/>
      <c r="Q88" s="518"/>
      <c r="R88" s="519"/>
      <c r="S88" s="520"/>
      <c r="T88" s="513"/>
      <c r="U88" s="518"/>
      <c r="V88" s="519"/>
      <c r="W88" s="520"/>
      <c r="X88" s="513"/>
      <c r="Y88" s="518"/>
      <c r="Z88" s="519"/>
      <c r="AA88" s="520"/>
      <c r="AB88" s="513"/>
      <c r="AC88" s="518"/>
      <c r="AD88" s="519"/>
      <c r="AE88" s="520"/>
      <c r="AF88" s="513"/>
      <c r="AG88" s="518"/>
      <c r="AH88" s="519"/>
      <c r="AI88" s="520"/>
      <c r="AJ88" s="513"/>
      <c r="AK88" s="382"/>
      <c r="AL88" s="417"/>
      <c r="AM88" s="383"/>
      <c r="AN88" s="507"/>
      <c r="AO88" s="382"/>
      <c r="AP88" s="417"/>
      <c r="AQ88" s="383"/>
      <c r="AR88" s="507"/>
      <c r="AS88" s="514"/>
      <c r="AT88" s="514"/>
    </row>
    <row r="89">
      <c r="A89" s="382"/>
      <c r="B89" s="417"/>
      <c r="C89" s="383"/>
      <c r="D89" s="507"/>
      <c r="E89" s="382"/>
      <c r="F89" s="417"/>
      <c r="G89" s="383"/>
      <c r="H89" s="507"/>
      <c r="I89" s="382"/>
      <c r="J89" s="417"/>
      <c r="K89" s="383"/>
      <c r="L89" s="507"/>
      <c r="M89" s="382"/>
      <c r="N89" s="417"/>
      <c r="O89" s="383"/>
      <c r="P89" s="507"/>
      <c r="Q89" s="518"/>
      <c r="R89" s="519"/>
      <c r="S89" s="520"/>
      <c r="T89" s="513"/>
      <c r="U89" s="518"/>
      <c r="V89" s="519"/>
      <c r="W89" s="520"/>
      <c r="X89" s="513"/>
      <c r="Y89" s="518"/>
      <c r="Z89" s="519"/>
      <c r="AA89" s="520"/>
      <c r="AB89" s="513"/>
      <c r="AC89" s="518"/>
      <c r="AD89" s="519"/>
      <c r="AE89" s="520"/>
      <c r="AF89" s="513"/>
      <c r="AG89" s="518"/>
      <c r="AH89" s="519"/>
      <c r="AI89" s="520"/>
      <c r="AJ89" s="513"/>
      <c r="AK89" s="382"/>
      <c r="AL89" s="417"/>
      <c r="AM89" s="383"/>
      <c r="AN89" s="507"/>
      <c r="AO89" s="382"/>
      <c r="AP89" s="417"/>
      <c r="AQ89" s="383"/>
      <c r="AR89" s="507"/>
      <c r="AS89" s="514"/>
      <c r="AT89" s="514"/>
    </row>
    <row r="90">
      <c r="A90" s="382"/>
      <c r="B90" s="417"/>
      <c r="C90" s="383"/>
      <c r="D90" s="507"/>
      <c r="E90" s="382"/>
      <c r="F90" s="417"/>
      <c r="G90" s="383"/>
      <c r="H90" s="507"/>
      <c r="I90" s="382"/>
      <c r="J90" s="417"/>
      <c r="K90" s="383"/>
      <c r="L90" s="507"/>
      <c r="M90" s="382"/>
      <c r="N90" s="417"/>
      <c r="O90" s="383"/>
      <c r="P90" s="507"/>
      <c r="Q90" s="518"/>
      <c r="R90" s="519"/>
      <c r="S90" s="520"/>
      <c r="T90" s="513"/>
      <c r="U90" s="518"/>
      <c r="V90" s="519"/>
      <c r="W90" s="520"/>
      <c r="X90" s="513"/>
      <c r="Y90" s="518"/>
      <c r="Z90" s="519"/>
      <c r="AA90" s="520"/>
      <c r="AB90" s="513"/>
      <c r="AC90" s="518"/>
      <c r="AD90" s="519"/>
      <c r="AE90" s="520"/>
      <c r="AF90" s="513"/>
      <c r="AG90" s="518"/>
      <c r="AH90" s="519"/>
      <c r="AI90" s="520"/>
      <c r="AJ90" s="513"/>
      <c r="AK90" s="382"/>
      <c r="AL90" s="417"/>
      <c r="AM90" s="383"/>
      <c r="AN90" s="507"/>
      <c r="AO90" s="382"/>
      <c r="AP90" s="417"/>
      <c r="AQ90" s="383"/>
      <c r="AR90" s="507"/>
      <c r="AS90" s="514"/>
      <c r="AT90" s="514"/>
    </row>
    <row r="91">
      <c r="A91" s="382"/>
      <c r="B91" s="417"/>
      <c r="C91" s="383"/>
      <c r="D91" s="507"/>
      <c r="E91" s="382"/>
      <c r="F91" s="417"/>
      <c r="G91" s="383"/>
      <c r="H91" s="507"/>
      <c r="I91" s="382"/>
      <c r="J91" s="417"/>
      <c r="K91" s="383"/>
      <c r="L91" s="507"/>
      <c r="M91" s="382"/>
      <c r="N91" s="417"/>
      <c r="O91" s="383"/>
      <c r="P91" s="507"/>
      <c r="Q91" s="518"/>
      <c r="R91" s="519"/>
      <c r="S91" s="520"/>
      <c r="T91" s="513"/>
      <c r="U91" s="518"/>
      <c r="V91" s="519"/>
      <c r="W91" s="520"/>
      <c r="X91" s="513"/>
      <c r="Y91" s="518"/>
      <c r="Z91" s="519"/>
      <c r="AA91" s="520"/>
      <c r="AB91" s="513"/>
      <c r="AC91" s="518"/>
      <c r="AD91" s="519"/>
      <c r="AE91" s="520"/>
      <c r="AF91" s="513"/>
      <c r="AG91" s="518"/>
      <c r="AH91" s="519"/>
      <c r="AI91" s="520"/>
      <c r="AJ91" s="513"/>
      <c r="AK91" s="382"/>
      <c r="AL91" s="417"/>
      <c r="AM91" s="383"/>
      <c r="AN91" s="507"/>
      <c r="AO91" s="382"/>
      <c r="AP91" s="417"/>
      <c r="AQ91" s="383"/>
      <c r="AR91" s="507"/>
      <c r="AS91" s="514"/>
      <c r="AT91" s="514"/>
    </row>
    <row r="92">
      <c r="A92" s="382"/>
      <c r="B92" s="417"/>
      <c r="C92" s="383"/>
      <c r="D92" s="507"/>
      <c r="E92" s="382"/>
      <c r="F92" s="417"/>
      <c r="G92" s="383"/>
      <c r="H92" s="507"/>
      <c r="I92" s="382"/>
      <c r="J92" s="417"/>
      <c r="K92" s="383"/>
      <c r="L92" s="507"/>
      <c r="M92" s="382"/>
      <c r="N92" s="417"/>
      <c r="O92" s="383"/>
      <c r="P92" s="507"/>
      <c r="Q92" s="518"/>
      <c r="R92" s="519"/>
      <c r="S92" s="520"/>
      <c r="T92" s="513"/>
      <c r="U92" s="518"/>
      <c r="V92" s="519"/>
      <c r="W92" s="520"/>
      <c r="X92" s="513"/>
      <c r="Y92" s="518"/>
      <c r="Z92" s="519"/>
      <c r="AA92" s="520"/>
      <c r="AB92" s="513"/>
      <c r="AC92" s="518"/>
      <c r="AD92" s="519"/>
      <c r="AE92" s="520"/>
      <c r="AF92" s="513"/>
      <c r="AG92" s="518"/>
      <c r="AH92" s="519"/>
      <c r="AI92" s="520"/>
      <c r="AJ92" s="513"/>
      <c r="AK92" s="382"/>
      <c r="AL92" s="417"/>
      <c r="AM92" s="383"/>
      <c r="AN92" s="507"/>
      <c r="AO92" s="382"/>
      <c r="AP92" s="417"/>
      <c r="AQ92" s="383"/>
      <c r="AR92" s="507"/>
      <c r="AS92" s="514"/>
      <c r="AT92" s="514"/>
    </row>
    <row r="93">
      <c r="A93" s="382"/>
      <c r="B93" s="417"/>
      <c r="C93" s="383"/>
      <c r="D93" s="507"/>
      <c r="E93" s="382"/>
      <c r="F93" s="417"/>
      <c r="G93" s="383"/>
      <c r="H93" s="507"/>
      <c r="I93" s="382"/>
      <c r="J93" s="417"/>
      <c r="K93" s="383"/>
      <c r="L93" s="507"/>
      <c r="M93" s="382"/>
      <c r="N93" s="417"/>
      <c r="O93" s="383"/>
      <c r="P93" s="507"/>
      <c r="Q93" s="518"/>
      <c r="R93" s="519"/>
      <c r="S93" s="520"/>
      <c r="T93" s="513"/>
      <c r="U93" s="518"/>
      <c r="V93" s="519"/>
      <c r="W93" s="520"/>
      <c r="X93" s="513"/>
      <c r="Y93" s="518"/>
      <c r="Z93" s="519"/>
      <c r="AA93" s="520"/>
      <c r="AB93" s="513"/>
      <c r="AC93" s="518"/>
      <c r="AD93" s="519"/>
      <c r="AE93" s="520"/>
      <c r="AF93" s="513"/>
      <c r="AG93" s="518"/>
      <c r="AH93" s="519"/>
      <c r="AI93" s="520"/>
      <c r="AJ93" s="513"/>
      <c r="AK93" s="382"/>
      <c r="AL93" s="417"/>
      <c r="AM93" s="383"/>
      <c r="AN93" s="507"/>
      <c r="AO93" s="382"/>
      <c r="AP93" s="417"/>
      <c r="AQ93" s="383"/>
      <c r="AR93" s="507"/>
      <c r="AS93" s="514"/>
      <c r="AT93" s="514"/>
    </row>
    <row r="94">
      <c r="A94" s="382"/>
      <c r="B94" s="417"/>
      <c r="C94" s="383"/>
      <c r="D94" s="507"/>
      <c r="E94" s="382"/>
      <c r="F94" s="417"/>
      <c r="G94" s="383"/>
      <c r="H94" s="507"/>
      <c r="I94" s="382"/>
      <c r="J94" s="417"/>
      <c r="K94" s="383"/>
      <c r="L94" s="507"/>
      <c r="M94" s="382"/>
      <c r="N94" s="417"/>
      <c r="O94" s="383"/>
      <c r="P94" s="507"/>
      <c r="Q94" s="518"/>
      <c r="R94" s="519"/>
      <c r="S94" s="520"/>
      <c r="T94" s="513"/>
      <c r="U94" s="518"/>
      <c r="V94" s="519"/>
      <c r="W94" s="520"/>
      <c r="X94" s="513"/>
      <c r="Y94" s="518"/>
      <c r="Z94" s="519"/>
      <c r="AA94" s="520"/>
      <c r="AB94" s="513"/>
      <c r="AC94" s="518"/>
      <c r="AD94" s="519"/>
      <c r="AE94" s="520"/>
      <c r="AF94" s="513"/>
      <c r="AG94" s="518"/>
      <c r="AH94" s="519"/>
      <c r="AI94" s="520"/>
      <c r="AJ94" s="513"/>
      <c r="AK94" s="382"/>
      <c r="AL94" s="417"/>
      <c r="AM94" s="383"/>
      <c r="AN94" s="507"/>
      <c r="AO94" s="382"/>
      <c r="AP94" s="417"/>
      <c r="AQ94" s="383"/>
      <c r="AR94" s="507"/>
      <c r="AS94" s="514"/>
      <c r="AT94" s="514"/>
    </row>
    <row r="95">
      <c r="A95" s="382"/>
      <c r="B95" s="417"/>
      <c r="C95" s="383"/>
      <c r="D95" s="507"/>
      <c r="E95" s="382"/>
      <c r="F95" s="417"/>
      <c r="G95" s="383"/>
      <c r="H95" s="507"/>
      <c r="I95" s="382"/>
      <c r="J95" s="417"/>
      <c r="K95" s="383"/>
      <c r="L95" s="507"/>
      <c r="M95" s="382"/>
      <c r="N95" s="417"/>
      <c r="O95" s="383"/>
      <c r="P95" s="507"/>
      <c r="Q95" s="518"/>
      <c r="R95" s="519"/>
      <c r="S95" s="520"/>
      <c r="T95" s="513"/>
      <c r="U95" s="518"/>
      <c r="V95" s="519"/>
      <c r="W95" s="520"/>
      <c r="X95" s="513"/>
      <c r="Y95" s="518"/>
      <c r="Z95" s="519"/>
      <c r="AA95" s="520"/>
      <c r="AB95" s="513"/>
      <c r="AC95" s="518"/>
      <c r="AD95" s="519"/>
      <c r="AE95" s="520"/>
      <c r="AF95" s="513"/>
      <c r="AG95" s="518"/>
      <c r="AH95" s="519"/>
      <c r="AI95" s="520"/>
      <c r="AJ95" s="513"/>
      <c r="AK95" s="382"/>
      <c r="AL95" s="417"/>
      <c r="AM95" s="383"/>
      <c r="AN95" s="507"/>
      <c r="AO95" s="382"/>
      <c r="AP95" s="417"/>
      <c r="AQ95" s="383"/>
      <c r="AR95" s="507"/>
      <c r="AS95" s="514"/>
      <c r="AT95" s="514"/>
    </row>
    <row r="96">
      <c r="A96" s="382"/>
      <c r="B96" s="417"/>
      <c r="C96" s="383"/>
      <c r="D96" s="507"/>
      <c r="E96" s="382"/>
      <c r="F96" s="417"/>
      <c r="G96" s="383"/>
      <c r="H96" s="507"/>
      <c r="I96" s="382"/>
      <c r="J96" s="417"/>
      <c r="K96" s="383"/>
      <c r="L96" s="507"/>
      <c r="M96" s="382"/>
      <c r="N96" s="417"/>
      <c r="O96" s="383"/>
      <c r="P96" s="507"/>
      <c r="Q96" s="518"/>
      <c r="R96" s="519"/>
      <c r="S96" s="520"/>
      <c r="T96" s="513"/>
      <c r="U96" s="518"/>
      <c r="V96" s="519"/>
      <c r="W96" s="520"/>
      <c r="X96" s="513"/>
      <c r="Y96" s="518"/>
      <c r="Z96" s="519"/>
      <c r="AA96" s="520"/>
      <c r="AB96" s="513"/>
      <c r="AC96" s="518"/>
      <c r="AD96" s="519"/>
      <c r="AE96" s="520"/>
      <c r="AF96" s="513"/>
      <c r="AG96" s="518"/>
      <c r="AH96" s="519"/>
      <c r="AI96" s="520"/>
      <c r="AJ96" s="513"/>
      <c r="AK96" s="382"/>
      <c r="AL96" s="417"/>
      <c r="AM96" s="383"/>
      <c r="AN96" s="507"/>
      <c r="AO96" s="382"/>
      <c r="AP96" s="417"/>
      <c r="AQ96" s="383"/>
      <c r="AR96" s="507"/>
      <c r="AS96" s="514"/>
      <c r="AT96" s="514"/>
    </row>
    <row r="97">
      <c r="A97" s="382"/>
      <c r="B97" s="417"/>
      <c r="C97" s="383"/>
      <c r="D97" s="507"/>
      <c r="E97" s="382"/>
      <c r="F97" s="417"/>
      <c r="G97" s="383"/>
      <c r="H97" s="507"/>
      <c r="I97" s="382"/>
      <c r="J97" s="417"/>
      <c r="K97" s="383"/>
      <c r="L97" s="507"/>
      <c r="M97" s="382"/>
      <c r="N97" s="417"/>
      <c r="O97" s="383"/>
      <c r="P97" s="507"/>
      <c r="Q97" s="518"/>
      <c r="R97" s="519"/>
      <c r="S97" s="520"/>
      <c r="T97" s="513"/>
      <c r="U97" s="518"/>
      <c r="V97" s="519"/>
      <c r="W97" s="520"/>
      <c r="X97" s="513"/>
      <c r="Y97" s="518"/>
      <c r="Z97" s="519"/>
      <c r="AA97" s="520"/>
      <c r="AB97" s="513"/>
      <c r="AC97" s="518"/>
      <c r="AD97" s="519"/>
      <c r="AE97" s="520"/>
      <c r="AF97" s="513"/>
      <c r="AG97" s="518"/>
      <c r="AH97" s="519"/>
      <c r="AI97" s="520"/>
      <c r="AJ97" s="513"/>
      <c r="AK97" s="382"/>
      <c r="AL97" s="417"/>
      <c r="AM97" s="383"/>
      <c r="AN97" s="507"/>
      <c r="AO97" s="382"/>
      <c r="AP97" s="417"/>
      <c r="AQ97" s="383"/>
      <c r="AR97" s="507"/>
      <c r="AS97" s="514"/>
      <c r="AT97" s="514"/>
    </row>
    <row r="98">
      <c r="A98" s="382"/>
      <c r="B98" s="417"/>
      <c r="C98" s="383"/>
      <c r="D98" s="507"/>
      <c r="E98" s="382"/>
      <c r="F98" s="417"/>
      <c r="G98" s="383"/>
      <c r="H98" s="507"/>
      <c r="I98" s="382"/>
      <c r="J98" s="417"/>
      <c r="K98" s="383"/>
      <c r="L98" s="507"/>
      <c r="M98" s="382"/>
      <c r="N98" s="417"/>
      <c r="O98" s="383"/>
      <c r="P98" s="507"/>
      <c r="Q98" s="518"/>
      <c r="R98" s="519"/>
      <c r="S98" s="520"/>
      <c r="T98" s="513"/>
      <c r="U98" s="518"/>
      <c r="V98" s="519"/>
      <c r="W98" s="520"/>
      <c r="X98" s="513"/>
      <c r="Y98" s="518"/>
      <c r="Z98" s="519"/>
      <c r="AA98" s="520"/>
      <c r="AB98" s="513"/>
      <c r="AC98" s="518"/>
      <c r="AD98" s="519"/>
      <c r="AE98" s="520"/>
      <c r="AF98" s="513"/>
      <c r="AG98" s="518"/>
      <c r="AH98" s="519"/>
      <c r="AI98" s="520"/>
      <c r="AJ98" s="513"/>
      <c r="AK98" s="382"/>
      <c r="AL98" s="417"/>
      <c r="AM98" s="383"/>
      <c r="AN98" s="507"/>
      <c r="AO98" s="382"/>
      <c r="AP98" s="417"/>
      <c r="AQ98" s="383"/>
      <c r="AR98" s="507"/>
      <c r="AS98" s="514"/>
      <c r="AT98" s="514"/>
    </row>
    <row r="99">
      <c r="A99" s="382"/>
      <c r="B99" s="417"/>
      <c r="C99" s="383"/>
      <c r="D99" s="507"/>
      <c r="E99" s="382"/>
      <c r="F99" s="417"/>
      <c r="G99" s="383"/>
      <c r="H99" s="507"/>
      <c r="I99" s="382"/>
      <c r="J99" s="417"/>
      <c r="K99" s="383"/>
      <c r="L99" s="507"/>
      <c r="M99" s="382"/>
      <c r="N99" s="417"/>
      <c r="O99" s="383"/>
      <c r="P99" s="507"/>
      <c r="Q99" s="518"/>
      <c r="R99" s="519"/>
      <c r="S99" s="520"/>
      <c r="T99" s="513"/>
      <c r="U99" s="518"/>
      <c r="V99" s="519"/>
      <c r="W99" s="520"/>
      <c r="X99" s="513"/>
      <c r="Y99" s="518"/>
      <c r="Z99" s="519"/>
      <c r="AA99" s="520"/>
      <c r="AB99" s="513"/>
      <c r="AC99" s="518"/>
      <c r="AD99" s="519"/>
      <c r="AE99" s="520"/>
      <c r="AF99" s="513"/>
      <c r="AG99" s="518"/>
      <c r="AH99" s="519"/>
      <c r="AI99" s="520"/>
      <c r="AJ99" s="513"/>
      <c r="AK99" s="382"/>
      <c r="AL99" s="417"/>
      <c r="AM99" s="383"/>
      <c r="AN99" s="507"/>
      <c r="AO99" s="382"/>
      <c r="AP99" s="417"/>
      <c r="AQ99" s="383"/>
      <c r="AR99" s="507"/>
      <c r="AS99" s="514"/>
      <c r="AT99" s="514"/>
    </row>
    <row r="100">
      <c r="A100" s="382"/>
      <c r="B100" s="417"/>
      <c r="C100" s="383"/>
      <c r="D100" s="507"/>
      <c r="E100" s="382"/>
      <c r="F100" s="417"/>
      <c r="G100" s="383"/>
      <c r="H100" s="507"/>
      <c r="I100" s="382"/>
      <c r="J100" s="417"/>
      <c r="K100" s="383"/>
      <c r="L100" s="507"/>
      <c r="M100" s="382"/>
      <c r="N100" s="417"/>
      <c r="O100" s="383"/>
      <c r="P100" s="507"/>
      <c r="Q100" s="518"/>
      <c r="R100" s="519"/>
      <c r="S100" s="520"/>
      <c r="T100" s="513"/>
      <c r="U100" s="518"/>
      <c r="V100" s="519"/>
      <c r="W100" s="520"/>
      <c r="X100" s="513"/>
      <c r="Y100" s="518"/>
      <c r="Z100" s="519"/>
      <c r="AA100" s="520"/>
      <c r="AB100" s="513"/>
      <c r="AC100" s="518"/>
      <c r="AD100" s="519"/>
      <c r="AE100" s="520"/>
      <c r="AF100" s="513"/>
      <c r="AG100" s="518"/>
      <c r="AH100" s="519"/>
      <c r="AI100" s="520"/>
      <c r="AJ100" s="513"/>
      <c r="AK100" s="382"/>
      <c r="AL100" s="417"/>
      <c r="AM100" s="383"/>
      <c r="AN100" s="507"/>
      <c r="AO100" s="382"/>
      <c r="AP100" s="417"/>
      <c r="AQ100" s="383"/>
      <c r="AR100" s="507"/>
      <c r="AS100" s="514"/>
      <c r="AT100" s="514"/>
    </row>
    <row r="101">
      <c r="A101" s="382"/>
      <c r="B101" s="417"/>
      <c r="C101" s="383"/>
      <c r="D101" s="507"/>
      <c r="E101" s="382"/>
      <c r="F101" s="417"/>
      <c r="G101" s="383"/>
      <c r="H101" s="507"/>
      <c r="I101" s="382"/>
      <c r="J101" s="417"/>
      <c r="K101" s="383"/>
      <c r="L101" s="507"/>
      <c r="M101" s="382"/>
      <c r="N101" s="417"/>
      <c r="O101" s="383"/>
      <c r="P101" s="507"/>
      <c r="Q101" s="518"/>
      <c r="R101" s="519"/>
      <c r="S101" s="520"/>
      <c r="T101" s="513"/>
      <c r="U101" s="518"/>
      <c r="V101" s="519"/>
      <c r="W101" s="520"/>
      <c r="X101" s="513"/>
      <c r="Y101" s="518"/>
      <c r="Z101" s="519"/>
      <c r="AA101" s="520"/>
      <c r="AB101" s="513"/>
      <c r="AC101" s="518"/>
      <c r="AD101" s="519"/>
      <c r="AE101" s="520"/>
      <c r="AF101" s="513"/>
      <c r="AG101" s="518"/>
      <c r="AH101" s="519"/>
      <c r="AI101" s="520"/>
      <c r="AJ101" s="513"/>
      <c r="AK101" s="382"/>
      <c r="AL101" s="417"/>
      <c r="AM101" s="383"/>
      <c r="AN101" s="507"/>
      <c r="AO101" s="382"/>
      <c r="AP101" s="417"/>
      <c r="AQ101" s="383"/>
      <c r="AR101" s="507"/>
      <c r="AS101" s="514"/>
      <c r="AT101" s="514"/>
    </row>
    <row r="102">
      <c r="A102" s="382"/>
      <c r="B102" s="417"/>
      <c r="C102" s="383"/>
      <c r="D102" s="507"/>
      <c r="E102" s="382"/>
      <c r="F102" s="417"/>
      <c r="G102" s="383"/>
      <c r="H102" s="507"/>
      <c r="I102" s="382"/>
      <c r="J102" s="417"/>
      <c r="K102" s="383"/>
      <c r="L102" s="507"/>
      <c r="M102" s="382"/>
      <c r="N102" s="417"/>
      <c r="O102" s="383"/>
      <c r="P102" s="507"/>
      <c r="Q102" s="518"/>
      <c r="R102" s="519"/>
      <c r="S102" s="520"/>
      <c r="T102" s="513"/>
      <c r="U102" s="518"/>
      <c r="V102" s="519"/>
      <c r="W102" s="520"/>
      <c r="X102" s="513"/>
      <c r="Y102" s="518"/>
      <c r="Z102" s="519"/>
      <c r="AA102" s="520"/>
      <c r="AB102" s="513"/>
      <c r="AC102" s="518"/>
      <c r="AD102" s="519"/>
      <c r="AE102" s="520"/>
      <c r="AF102" s="513"/>
      <c r="AG102" s="518"/>
      <c r="AH102" s="519"/>
      <c r="AI102" s="520"/>
      <c r="AJ102" s="513"/>
      <c r="AK102" s="382"/>
      <c r="AL102" s="417"/>
      <c r="AM102" s="383"/>
      <c r="AN102" s="507"/>
      <c r="AO102" s="382"/>
      <c r="AP102" s="417"/>
      <c r="AQ102" s="383"/>
      <c r="AR102" s="507"/>
      <c r="AS102" s="514"/>
      <c r="AT102" s="514"/>
    </row>
    <row r="103">
      <c r="A103" s="382"/>
      <c r="B103" s="417"/>
      <c r="C103" s="383"/>
      <c r="D103" s="507"/>
      <c r="E103" s="382"/>
      <c r="F103" s="417"/>
      <c r="G103" s="383"/>
      <c r="H103" s="507"/>
      <c r="I103" s="382"/>
      <c r="J103" s="417"/>
      <c r="K103" s="383"/>
      <c r="L103" s="507"/>
      <c r="M103" s="382"/>
      <c r="N103" s="417"/>
      <c r="O103" s="383"/>
      <c r="P103" s="507"/>
      <c r="Q103" s="518"/>
      <c r="R103" s="519"/>
      <c r="S103" s="520"/>
      <c r="T103" s="513"/>
      <c r="U103" s="518"/>
      <c r="V103" s="519"/>
      <c r="W103" s="520"/>
      <c r="X103" s="513"/>
      <c r="Y103" s="518"/>
      <c r="Z103" s="519"/>
      <c r="AA103" s="520"/>
      <c r="AB103" s="513"/>
      <c r="AC103" s="518"/>
      <c r="AD103" s="519"/>
      <c r="AE103" s="520"/>
      <c r="AF103" s="513"/>
      <c r="AG103" s="518"/>
      <c r="AH103" s="519"/>
      <c r="AI103" s="520"/>
      <c r="AJ103" s="513"/>
      <c r="AK103" s="382"/>
      <c r="AL103" s="417"/>
      <c r="AM103" s="383"/>
      <c r="AN103" s="507"/>
      <c r="AO103" s="382"/>
      <c r="AP103" s="417"/>
      <c r="AQ103" s="383"/>
      <c r="AR103" s="507"/>
      <c r="AS103" s="514"/>
      <c r="AT103" s="514"/>
    </row>
    <row r="104">
      <c r="A104" s="382"/>
      <c r="B104" s="417"/>
      <c r="C104" s="383"/>
      <c r="D104" s="507"/>
      <c r="E104" s="382"/>
      <c r="F104" s="417"/>
      <c r="G104" s="383"/>
      <c r="H104" s="507"/>
      <c r="I104" s="382"/>
      <c r="J104" s="417"/>
      <c r="K104" s="383"/>
      <c r="L104" s="507"/>
      <c r="M104" s="382"/>
      <c r="N104" s="417"/>
      <c r="O104" s="383"/>
      <c r="P104" s="507"/>
      <c r="Q104" s="518"/>
      <c r="R104" s="519"/>
      <c r="S104" s="520"/>
      <c r="T104" s="513"/>
      <c r="U104" s="518"/>
      <c r="V104" s="519"/>
      <c r="W104" s="520"/>
      <c r="X104" s="513"/>
      <c r="Y104" s="518"/>
      <c r="Z104" s="519"/>
      <c r="AA104" s="520"/>
      <c r="AB104" s="513"/>
      <c r="AC104" s="518"/>
      <c r="AD104" s="519"/>
      <c r="AE104" s="520"/>
      <c r="AF104" s="513"/>
      <c r="AG104" s="518"/>
      <c r="AH104" s="519"/>
      <c r="AI104" s="520"/>
      <c r="AJ104" s="513"/>
      <c r="AK104" s="382"/>
      <c r="AL104" s="417"/>
      <c r="AM104" s="383"/>
      <c r="AN104" s="507"/>
      <c r="AO104" s="382"/>
      <c r="AP104" s="417"/>
      <c r="AQ104" s="383"/>
      <c r="AR104" s="507"/>
      <c r="AS104" s="514"/>
      <c r="AT104" s="514"/>
    </row>
    <row r="105">
      <c r="A105" s="382"/>
      <c r="B105" s="417"/>
      <c r="C105" s="383"/>
      <c r="D105" s="507"/>
      <c r="E105" s="382"/>
      <c r="F105" s="417"/>
      <c r="G105" s="383"/>
      <c r="H105" s="507"/>
      <c r="I105" s="382"/>
      <c r="J105" s="417"/>
      <c r="K105" s="383"/>
      <c r="L105" s="507"/>
      <c r="M105" s="382"/>
      <c r="N105" s="417"/>
      <c r="O105" s="383"/>
      <c r="P105" s="507"/>
      <c r="Q105" s="518"/>
      <c r="R105" s="519"/>
      <c r="S105" s="520"/>
      <c r="T105" s="513"/>
      <c r="U105" s="518"/>
      <c r="V105" s="519"/>
      <c r="W105" s="520"/>
      <c r="X105" s="513"/>
      <c r="Y105" s="518"/>
      <c r="Z105" s="519"/>
      <c r="AA105" s="520"/>
      <c r="AB105" s="513"/>
      <c r="AC105" s="518"/>
      <c r="AD105" s="519"/>
      <c r="AE105" s="520"/>
      <c r="AF105" s="513"/>
      <c r="AG105" s="518"/>
      <c r="AH105" s="519"/>
      <c r="AI105" s="520"/>
      <c r="AJ105" s="513"/>
      <c r="AK105" s="382"/>
      <c r="AL105" s="417"/>
      <c r="AM105" s="383"/>
      <c r="AN105" s="507"/>
      <c r="AO105" s="382"/>
      <c r="AP105" s="417"/>
      <c r="AQ105" s="383"/>
      <c r="AR105" s="507"/>
      <c r="AS105" s="514"/>
      <c r="AT105" s="514"/>
    </row>
    <row r="106">
      <c r="A106" s="382"/>
      <c r="B106" s="417"/>
      <c r="C106" s="383"/>
      <c r="D106" s="507"/>
      <c r="E106" s="382"/>
      <c r="F106" s="417"/>
      <c r="G106" s="383"/>
      <c r="H106" s="507"/>
      <c r="I106" s="382"/>
      <c r="J106" s="417"/>
      <c r="K106" s="383"/>
      <c r="L106" s="507"/>
      <c r="M106" s="382"/>
      <c r="N106" s="417"/>
      <c r="O106" s="383"/>
      <c r="P106" s="507"/>
      <c r="Q106" s="518"/>
      <c r="R106" s="519"/>
      <c r="S106" s="520"/>
      <c r="T106" s="513"/>
      <c r="U106" s="518"/>
      <c r="V106" s="519"/>
      <c r="W106" s="520"/>
      <c r="X106" s="513"/>
      <c r="Y106" s="518"/>
      <c r="Z106" s="519"/>
      <c r="AA106" s="520"/>
      <c r="AB106" s="513"/>
      <c r="AC106" s="518"/>
      <c r="AD106" s="519"/>
      <c r="AE106" s="520"/>
      <c r="AF106" s="513"/>
      <c r="AG106" s="518"/>
      <c r="AH106" s="519"/>
      <c r="AI106" s="520"/>
      <c r="AJ106" s="513"/>
      <c r="AK106" s="382"/>
      <c r="AL106" s="417"/>
      <c r="AM106" s="383"/>
      <c r="AN106" s="507"/>
      <c r="AO106" s="382"/>
      <c r="AP106" s="417"/>
      <c r="AQ106" s="383"/>
      <c r="AR106" s="507"/>
      <c r="AS106" s="514"/>
      <c r="AT106" s="514"/>
    </row>
    <row r="107">
      <c r="A107" s="382"/>
      <c r="B107" s="417"/>
      <c r="C107" s="383"/>
      <c r="D107" s="507"/>
      <c r="E107" s="382"/>
      <c r="F107" s="417"/>
      <c r="G107" s="383"/>
      <c r="H107" s="507"/>
      <c r="I107" s="382"/>
      <c r="J107" s="417"/>
      <c r="K107" s="383"/>
      <c r="L107" s="507"/>
      <c r="M107" s="382"/>
      <c r="N107" s="417"/>
      <c r="O107" s="383"/>
      <c r="P107" s="507"/>
      <c r="Q107" s="518"/>
      <c r="R107" s="519"/>
      <c r="S107" s="520"/>
      <c r="T107" s="513"/>
      <c r="U107" s="518"/>
      <c r="V107" s="519"/>
      <c r="W107" s="520"/>
      <c r="X107" s="513"/>
      <c r="Y107" s="518"/>
      <c r="Z107" s="519"/>
      <c r="AA107" s="520"/>
      <c r="AB107" s="513"/>
      <c r="AC107" s="518"/>
      <c r="AD107" s="519"/>
      <c r="AE107" s="520"/>
      <c r="AF107" s="513"/>
      <c r="AG107" s="518"/>
      <c r="AH107" s="519"/>
      <c r="AI107" s="520"/>
      <c r="AJ107" s="513"/>
      <c r="AK107" s="382"/>
      <c r="AL107" s="417"/>
      <c r="AM107" s="383"/>
      <c r="AN107" s="507"/>
      <c r="AO107" s="382"/>
      <c r="AP107" s="417"/>
      <c r="AQ107" s="383"/>
      <c r="AR107" s="507"/>
      <c r="AS107" s="514"/>
      <c r="AT107" s="514"/>
    </row>
    <row r="108">
      <c r="A108" s="382"/>
      <c r="B108" s="417"/>
      <c r="C108" s="383"/>
      <c r="D108" s="507"/>
      <c r="E108" s="382"/>
      <c r="F108" s="417"/>
      <c r="G108" s="383"/>
      <c r="H108" s="507"/>
      <c r="I108" s="382"/>
      <c r="J108" s="417"/>
      <c r="K108" s="383"/>
      <c r="L108" s="507"/>
      <c r="M108" s="382"/>
      <c r="N108" s="417"/>
      <c r="O108" s="383"/>
      <c r="P108" s="507"/>
      <c r="Q108" s="518"/>
      <c r="R108" s="519"/>
      <c r="S108" s="520"/>
      <c r="T108" s="513"/>
      <c r="U108" s="518"/>
      <c r="V108" s="519"/>
      <c r="W108" s="520"/>
      <c r="X108" s="513"/>
      <c r="Y108" s="518"/>
      <c r="Z108" s="519"/>
      <c r="AA108" s="520"/>
      <c r="AB108" s="513"/>
      <c r="AC108" s="518"/>
      <c r="AD108" s="519"/>
      <c r="AE108" s="520"/>
      <c r="AF108" s="513"/>
      <c r="AG108" s="518"/>
      <c r="AH108" s="519"/>
      <c r="AI108" s="520"/>
      <c r="AJ108" s="513"/>
      <c r="AK108" s="382"/>
      <c r="AL108" s="417"/>
      <c r="AM108" s="383"/>
      <c r="AN108" s="507"/>
      <c r="AO108" s="382"/>
      <c r="AP108" s="417"/>
      <c r="AQ108" s="383"/>
      <c r="AR108" s="507"/>
      <c r="AS108" s="514"/>
      <c r="AT108" s="514"/>
    </row>
    <row r="109">
      <c r="A109" s="382"/>
      <c r="B109" s="417"/>
      <c r="C109" s="383"/>
      <c r="D109" s="507"/>
      <c r="E109" s="382"/>
      <c r="F109" s="417"/>
      <c r="G109" s="383"/>
      <c r="H109" s="507"/>
      <c r="I109" s="382"/>
      <c r="J109" s="417"/>
      <c r="K109" s="383"/>
      <c r="L109" s="507"/>
      <c r="M109" s="382"/>
      <c r="N109" s="417"/>
      <c r="O109" s="383"/>
      <c r="P109" s="507"/>
      <c r="Q109" s="518"/>
      <c r="R109" s="519"/>
      <c r="S109" s="520"/>
      <c r="T109" s="513"/>
      <c r="U109" s="518"/>
      <c r="V109" s="519"/>
      <c r="W109" s="520"/>
      <c r="X109" s="513"/>
      <c r="Y109" s="518"/>
      <c r="Z109" s="519"/>
      <c r="AA109" s="520"/>
      <c r="AB109" s="513"/>
      <c r="AC109" s="518"/>
      <c r="AD109" s="519"/>
      <c r="AE109" s="520"/>
      <c r="AF109" s="513"/>
      <c r="AG109" s="518"/>
      <c r="AH109" s="519"/>
      <c r="AI109" s="520"/>
      <c r="AJ109" s="513"/>
      <c r="AK109" s="382"/>
      <c r="AL109" s="417"/>
      <c r="AM109" s="383"/>
      <c r="AN109" s="507"/>
      <c r="AO109" s="382"/>
      <c r="AP109" s="417"/>
      <c r="AQ109" s="383"/>
      <c r="AR109" s="507"/>
      <c r="AS109" s="514"/>
      <c r="AT109" s="514"/>
    </row>
    <row r="110">
      <c r="A110" s="382"/>
      <c r="B110" s="417"/>
      <c r="C110" s="383"/>
      <c r="D110" s="507"/>
      <c r="E110" s="382"/>
      <c r="F110" s="417"/>
      <c r="G110" s="383"/>
      <c r="H110" s="507"/>
      <c r="I110" s="382"/>
      <c r="J110" s="417"/>
      <c r="K110" s="383"/>
      <c r="L110" s="507"/>
      <c r="M110" s="382"/>
      <c r="N110" s="417"/>
      <c r="O110" s="383"/>
      <c r="P110" s="507"/>
      <c r="Q110" s="518"/>
      <c r="R110" s="519"/>
      <c r="S110" s="520"/>
      <c r="T110" s="513"/>
      <c r="U110" s="518"/>
      <c r="V110" s="519"/>
      <c r="W110" s="520"/>
      <c r="X110" s="513"/>
      <c r="Y110" s="518"/>
      <c r="Z110" s="519"/>
      <c r="AA110" s="520"/>
      <c r="AB110" s="513"/>
      <c r="AC110" s="518"/>
      <c r="AD110" s="519"/>
      <c r="AE110" s="520"/>
      <c r="AF110" s="513"/>
      <c r="AG110" s="518"/>
      <c r="AH110" s="519"/>
      <c r="AI110" s="520"/>
      <c r="AJ110" s="513"/>
      <c r="AK110" s="382"/>
      <c r="AL110" s="417"/>
      <c r="AM110" s="383"/>
      <c r="AN110" s="507"/>
      <c r="AO110" s="382"/>
      <c r="AP110" s="417"/>
      <c r="AQ110" s="383"/>
      <c r="AR110" s="507"/>
      <c r="AS110" s="514"/>
      <c r="AT110" s="514"/>
    </row>
    <row r="111">
      <c r="A111" s="382"/>
      <c r="B111" s="417"/>
      <c r="C111" s="383"/>
      <c r="D111" s="507"/>
      <c r="E111" s="382"/>
      <c r="F111" s="417"/>
      <c r="G111" s="383"/>
      <c r="H111" s="507"/>
      <c r="I111" s="382"/>
      <c r="J111" s="417"/>
      <c r="K111" s="383"/>
      <c r="L111" s="507"/>
      <c r="M111" s="382"/>
      <c r="N111" s="417"/>
      <c r="O111" s="383"/>
      <c r="P111" s="507"/>
      <c r="Q111" s="518"/>
      <c r="R111" s="519"/>
      <c r="S111" s="520"/>
      <c r="T111" s="513"/>
      <c r="U111" s="518"/>
      <c r="V111" s="519"/>
      <c r="W111" s="520"/>
      <c r="X111" s="513"/>
      <c r="Y111" s="518"/>
      <c r="Z111" s="519"/>
      <c r="AA111" s="520"/>
      <c r="AB111" s="513"/>
      <c r="AC111" s="518"/>
      <c r="AD111" s="519"/>
      <c r="AE111" s="520"/>
      <c r="AF111" s="513"/>
      <c r="AG111" s="518"/>
      <c r="AH111" s="519"/>
      <c r="AI111" s="520"/>
      <c r="AJ111" s="513"/>
      <c r="AK111" s="382"/>
      <c r="AL111" s="417"/>
      <c r="AM111" s="383"/>
      <c r="AN111" s="507"/>
      <c r="AO111" s="382"/>
      <c r="AP111" s="417"/>
      <c r="AQ111" s="383"/>
      <c r="AR111" s="507"/>
      <c r="AS111" s="514"/>
      <c r="AT111" s="514"/>
    </row>
    <row r="112">
      <c r="A112" s="382"/>
      <c r="B112" s="417"/>
      <c r="C112" s="383"/>
      <c r="D112" s="507"/>
      <c r="E112" s="382"/>
      <c r="F112" s="417"/>
      <c r="G112" s="383"/>
      <c r="H112" s="507"/>
      <c r="I112" s="382"/>
      <c r="J112" s="417"/>
      <c r="K112" s="383"/>
      <c r="L112" s="507"/>
      <c r="M112" s="382"/>
      <c r="N112" s="417"/>
      <c r="O112" s="383"/>
      <c r="P112" s="507"/>
      <c r="Q112" s="518"/>
      <c r="R112" s="519"/>
      <c r="S112" s="520"/>
      <c r="T112" s="513"/>
      <c r="U112" s="518"/>
      <c r="V112" s="519"/>
      <c r="W112" s="520"/>
      <c r="X112" s="513"/>
      <c r="Y112" s="518"/>
      <c r="Z112" s="519"/>
      <c r="AA112" s="520"/>
      <c r="AB112" s="513"/>
      <c r="AC112" s="518"/>
      <c r="AD112" s="519"/>
      <c r="AE112" s="520"/>
      <c r="AF112" s="513"/>
      <c r="AG112" s="518"/>
      <c r="AH112" s="519"/>
      <c r="AI112" s="520"/>
      <c r="AJ112" s="513"/>
      <c r="AK112" s="382"/>
      <c r="AL112" s="417"/>
      <c r="AM112" s="383"/>
      <c r="AN112" s="507"/>
      <c r="AO112" s="382"/>
      <c r="AP112" s="417"/>
      <c r="AQ112" s="383"/>
      <c r="AR112" s="507"/>
      <c r="AS112" s="514"/>
      <c r="AT112" s="514"/>
    </row>
    <row r="113">
      <c r="A113" s="382"/>
      <c r="B113" s="417"/>
      <c r="C113" s="383"/>
      <c r="D113" s="507"/>
      <c r="E113" s="382"/>
      <c r="F113" s="417"/>
      <c r="G113" s="383"/>
      <c r="H113" s="507"/>
      <c r="I113" s="382"/>
      <c r="J113" s="417"/>
      <c r="K113" s="383"/>
      <c r="L113" s="507"/>
      <c r="M113" s="382"/>
      <c r="N113" s="417"/>
      <c r="O113" s="383"/>
      <c r="P113" s="507"/>
      <c r="Q113" s="518"/>
      <c r="R113" s="519"/>
      <c r="S113" s="520"/>
      <c r="T113" s="513"/>
      <c r="U113" s="518"/>
      <c r="V113" s="519"/>
      <c r="W113" s="520"/>
      <c r="X113" s="513"/>
      <c r="Y113" s="518"/>
      <c r="Z113" s="519"/>
      <c r="AA113" s="520"/>
      <c r="AB113" s="513"/>
      <c r="AC113" s="518"/>
      <c r="AD113" s="519"/>
      <c r="AE113" s="520"/>
      <c r="AF113" s="513"/>
      <c r="AG113" s="518"/>
      <c r="AH113" s="519"/>
      <c r="AI113" s="520"/>
      <c r="AJ113" s="513"/>
      <c r="AK113" s="382"/>
      <c r="AL113" s="417"/>
      <c r="AM113" s="383"/>
      <c r="AN113" s="507"/>
      <c r="AO113" s="382"/>
      <c r="AP113" s="417"/>
      <c r="AQ113" s="383"/>
      <c r="AR113" s="507"/>
      <c r="AS113" s="514"/>
      <c r="AT113" s="514"/>
    </row>
    <row r="114">
      <c r="A114" s="382"/>
      <c r="B114" s="417"/>
      <c r="C114" s="383"/>
      <c r="D114" s="507"/>
      <c r="E114" s="382"/>
      <c r="F114" s="417"/>
      <c r="G114" s="383"/>
      <c r="H114" s="507"/>
      <c r="I114" s="382"/>
      <c r="J114" s="417"/>
      <c r="K114" s="383"/>
      <c r="L114" s="507"/>
      <c r="M114" s="382"/>
      <c r="N114" s="417"/>
      <c r="O114" s="383"/>
      <c r="P114" s="507"/>
      <c r="Q114" s="518"/>
      <c r="R114" s="519"/>
      <c r="S114" s="520"/>
      <c r="T114" s="513"/>
      <c r="U114" s="518"/>
      <c r="V114" s="519"/>
      <c r="W114" s="520"/>
      <c r="X114" s="513"/>
      <c r="Y114" s="518"/>
      <c r="Z114" s="519"/>
      <c r="AA114" s="520"/>
      <c r="AB114" s="513"/>
      <c r="AC114" s="518"/>
      <c r="AD114" s="519"/>
      <c r="AE114" s="520"/>
      <c r="AF114" s="513"/>
      <c r="AG114" s="518"/>
      <c r="AH114" s="519"/>
      <c r="AI114" s="520"/>
      <c r="AJ114" s="513"/>
      <c r="AK114" s="382"/>
      <c r="AL114" s="417"/>
      <c r="AM114" s="383"/>
      <c r="AN114" s="507"/>
      <c r="AO114" s="382"/>
      <c r="AP114" s="417"/>
      <c r="AQ114" s="383"/>
      <c r="AR114" s="507"/>
      <c r="AS114" s="514"/>
      <c r="AT114" s="514"/>
    </row>
    <row r="115">
      <c r="A115" s="382"/>
      <c r="B115" s="417"/>
      <c r="C115" s="383"/>
      <c r="D115" s="507"/>
      <c r="E115" s="382"/>
      <c r="F115" s="417"/>
      <c r="G115" s="383"/>
      <c r="H115" s="507"/>
      <c r="I115" s="382"/>
      <c r="J115" s="417"/>
      <c r="K115" s="383"/>
      <c r="L115" s="507"/>
      <c r="M115" s="382"/>
      <c r="N115" s="417"/>
      <c r="O115" s="383"/>
      <c r="P115" s="507"/>
      <c r="Q115" s="518"/>
      <c r="R115" s="519"/>
      <c r="S115" s="520"/>
      <c r="T115" s="513"/>
      <c r="U115" s="518"/>
      <c r="V115" s="519"/>
      <c r="W115" s="520"/>
      <c r="X115" s="513"/>
      <c r="Y115" s="518"/>
      <c r="Z115" s="519"/>
      <c r="AA115" s="520"/>
      <c r="AB115" s="513"/>
      <c r="AC115" s="518"/>
      <c r="AD115" s="519"/>
      <c r="AE115" s="520"/>
      <c r="AF115" s="513"/>
      <c r="AG115" s="518"/>
      <c r="AH115" s="519"/>
      <c r="AI115" s="520"/>
      <c r="AJ115" s="513"/>
      <c r="AK115" s="382"/>
      <c r="AL115" s="417"/>
      <c r="AM115" s="383"/>
      <c r="AN115" s="507"/>
      <c r="AO115" s="382"/>
      <c r="AP115" s="417"/>
      <c r="AQ115" s="383"/>
      <c r="AR115" s="507"/>
      <c r="AS115" s="514"/>
      <c r="AT115" s="514"/>
    </row>
    <row r="116">
      <c r="A116" s="382"/>
      <c r="B116" s="417"/>
      <c r="C116" s="383"/>
      <c r="D116" s="507"/>
      <c r="E116" s="382"/>
      <c r="F116" s="417"/>
      <c r="G116" s="383"/>
      <c r="H116" s="507"/>
      <c r="I116" s="382"/>
      <c r="J116" s="417"/>
      <c r="K116" s="383"/>
      <c r="L116" s="507"/>
      <c r="M116" s="382"/>
      <c r="N116" s="417"/>
      <c r="O116" s="383"/>
      <c r="P116" s="507"/>
      <c r="Q116" s="518"/>
      <c r="R116" s="519"/>
      <c r="S116" s="520"/>
      <c r="T116" s="513"/>
      <c r="U116" s="518"/>
      <c r="V116" s="519"/>
      <c r="W116" s="520"/>
      <c r="X116" s="513"/>
      <c r="Y116" s="518"/>
      <c r="Z116" s="519"/>
      <c r="AA116" s="520"/>
      <c r="AB116" s="513"/>
      <c r="AC116" s="518"/>
      <c r="AD116" s="519"/>
      <c r="AE116" s="520"/>
      <c r="AF116" s="513"/>
      <c r="AG116" s="518"/>
      <c r="AH116" s="519"/>
      <c r="AI116" s="520"/>
      <c r="AJ116" s="513"/>
      <c r="AK116" s="382"/>
      <c r="AL116" s="417"/>
      <c r="AM116" s="383"/>
      <c r="AN116" s="507"/>
      <c r="AO116" s="382"/>
      <c r="AP116" s="417"/>
      <c r="AQ116" s="383"/>
      <c r="AR116" s="507"/>
      <c r="AS116" s="514"/>
      <c r="AT116" s="514"/>
    </row>
    <row r="117">
      <c r="A117" s="382"/>
      <c r="B117" s="417"/>
      <c r="C117" s="383"/>
      <c r="D117" s="507"/>
      <c r="E117" s="382"/>
      <c r="F117" s="417"/>
      <c r="G117" s="383"/>
      <c r="H117" s="507"/>
      <c r="I117" s="382"/>
      <c r="J117" s="417"/>
      <c r="K117" s="383"/>
      <c r="L117" s="507"/>
      <c r="M117" s="382"/>
      <c r="N117" s="417"/>
      <c r="O117" s="383"/>
      <c r="P117" s="507"/>
      <c r="Q117" s="518"/>
      <c r="R117" s="519"/>
      <c r="S117" s="520"/>
      <c r="T117" s="513"/>
      <c r="U117" s="518"/>
      <c r="V117" s="519"/>
      <c r="W117" s="520"/>
      <c r="X117" s="513"/>
      <c r="Y117" s="518"/>
      <c r="Z117" s="519"/>
      <c r="AA117" s="520"/>
      <c r="AB117" s="513"/>
      <c r="AC117" s="518"/>
      <c r="AD117" s="519"/>
      <c r="AE117" s="520"/>
      <c r="AF117" s="513"/>
      <c r="AG117" s="518"/>
      <c r="AH117" s="519"/>
      <c r="AI117" s="520"/>
      <c r="AJ117" s="513"/>
      <c r="AK117" s="382"/>
      <c r="AL117" s="417"/>
      <c r="AM117" s="383"/>
      <c r="AN117" s="507"/>
      <c r="AO117" s="382"/>
      <c r="AP117" s="417"/>
      <c r="AQ117" s="383"/>
      <c r="AR117" s="507"/>
      <c r="AS117" s="514"/>
      <c r="AT117" s="514"/>
    </row>
    <row r="118">
      <c r="A118" s="382"/>
      <c r="B118" s="417"/>
      <c r="C118" s="383"/>
      <c r="D118" s="507"/>
      <c r="E118" s="382"/>
      <c r="F118" s="417"/>
      <c r="G118" s="383"/>
      <c r="H118" s="507"/>
      <c r="I118" s="382"/>
      <c r="J118" s="417"/>
      <c r="K118" s="383"/>
      <c r="L118" s="507"/>
      <c r="M118" s="382"/>
      <c r="N118" s="417"/>
      <c r="O118" s="383"/>
      <c r="P118" s="507"/>
      <c r="Q118" s="518"/>
      <c r="R118" s="519"/>
      <c r="S118" s="520"/>
      <c r="T118" s="513"/>
      <c r="U118" s="518"/>
      <c r="V118" s="519"/>
      <c r="W118" s="520"/>
      <c r="X118" s="513"/>
      <c r="Y118" s="518"/>
      <c r="Z118" s="519"/>
      <c r="AA118" s="520"/>
      <c r="AB118" s="513"/>
      <c r="AC118" s="518"/>
      <c r="AD118" s="519"/>
      <c r="AE118" s="520"/>
      <c r="AF118" s="513"/>
      <c r="AG118" s="518"/>
      <c r="AH118" s="519"/>
      <c r="AI118" s="520"/>
      <c r="AJ118" s="513"/>
      <c r="AK118" s="382"/>
      <c r="AL118" s="417"/>
      <c r="AM118" s="383"/>
      <c r="AN118" s="507"/>
      <c r="AO118" s="382"/>
      <c r="AP118" s="417"/>
      <c r="AQ118" s="383"/>
      <c r="AR118" s="507"/>
      <c r="AS118" s="514"/>
      <c r="AT118" s="514"/>
    </row>
    <row r="119">
      <c r="A119" s="382"/>
      <c r="B119" s="417"/>
      <c r="C119" s="383"/>
      <c r="D119" s="507"/>
      <c r="E119" s="382"/>
      <c r="F119" s="417"/>
      <c r="G119" s="383"/>
      <c r="H119" s="507"/>
      <c r="I119" s="382"/>
      <c r="J119" s="417"/>
      <c r="K119" s="383"/>
      <c r="L119" s="507"/>
      <c r="M119" s="382"/>
      <c r="N119" s="417"/>
      <c r="O119" s="383"/>
      <c r="P119" s="507"/>
      <c r="Q119" s="518"/>
      <c r="R119" s="519"/>
      <c r="S119" s="520"/>
      <c r="T119" s="513"/>
      <c r="U119" s="518"/>
      <c r="V119" s="519"/>
      <c r="W119" s="520"/>
      <c r="X119" s="513"/>
      <c r="Y119" s="518"/>
      <c r="Z119" s="519"/>
      <c r="AA119" s="520"/>
      <c r="AB119" s="513"/>
      <c r="AC119" s="518"/>
      <c r="AD119" s="519"/>
      <c r="AE119" s="520"/>
      <c r="AF119" s="513"/>
      <c r="AG119" s="518"/>
      <c r="AH119" s="519"/>
      <c r="AI119" s="520"/>
      <c r="AJ119" s="513"/>
      <c r="AK119" s="382"/>
      <c r="AL119" s="417"/>
      <c r="AM119" s="383"/>
      <c r="AN119" s="507"/>
      <c r="AO119" s="382"/>
      <c r="AP119" s="417"/>
      <c r="AQ119" s="383"/>
      <c r="AR119" s="507"/>
      <c r="AS119" s="514"/>
      <c r="AT119" s="514"/>
    </row>
    <row r="120">
      <c r="A120" s="382"/>
      <c r="B120" s="417"/>
      <c r="C120" s="383"/>
      <c r="D120" s="507"/>
      <c r="E120" s="382"/>
      <c r="F120" s="417"/>
      <c r="G120" s="383"/>
      <c r="H120" s="507"/>
      <c r="I120" s="382"/>
      <c r="J120" s="417"/>
      <c r="K120" s="383"/>
      <c r="L120" s="507"/>
      <c r="M120" s="382"/>
      <c r="N120" s="417"/>
      <c r="O120" s="383"/>
      <c r="P120" s="507"/>
      <c r="Q120" s="518"/>
      <c r="R120" s="519"/>
      <c r="S120" s="520"/>
      <c r="T120" s="513"/>
      <c r="U120" s="518"/>
      <c r="V120" s="519"/>
      <c r="W120" s="520"/>
      <c r="X120" s="513"/>
      <c r="Y120" s="518"/>
      <c r="Z120" s="519"/>
      <c r="AA120" s="520"/>
      <c r="AB120" s="513"/>
      <c r="AC120" s="518"/>
      <c r="AD120" s="519"/>
      <c r="AE120" s="520"/>
      <c r="AF120" s="513"/>
      <c r="AG120" s="518"/>
      <c r="AH120" s="519"/>
      <c r="AI120" s="520"/>
      <c r="AJ120" s="513"/>
      <c r="AK120" s="382"/>
      <c r="AL120" s="417"/>
      <c r="AM120" s="383"/>
      <c r="AN120" s="507"/>
      <c r="AO120" s="382"/>
      <c r="AP120" s="417"/>
      <c r="AQ120" s="383"/>
      <c r="AR120" s="507"/>
      <c r="AS120" s="514"/>
      <c r="AT120" s="514"/>
    </row>
    <row r="121">
      <c r="A121" s="382"/>
      <c r="B121" s="417"/>
      <c r="C121" s="383"/>
      <c r="D121" s="507"/>
      <c r="E121" s="382"/>
      <c r="F121" s="417"/>
      <c r="G121" s="383"/>
      <c r="H121" s="507"/>
      <c r="I121" s="382"/>
      <c r="J121" s="417"/>
      <c r="K121" s="383"/>
      <c r="L121" s="507"/>
      <c r="M121" s="382"/>
      <c r="N121" s="417"/>
      <c r="O121" s="383"/>
      <c r="P121" s="507"/>
      <c r="Q121" s="518"/>
      <c r="R121" s="519"/>
      <c r="S121" s="520"/>
      <c r="T121" s="513"/>
      <c r="U121" s="518"/>
      <c r="V121" s="519"/>
      <c r="W121" s="520"/>
      <c r="X121" s="513"/>
      <c r="Y121" s="518"/>
      <c r="Z121" s="519"/>
      <c r="AA121" s="520"/>
      <c r="AB121" s="513"/>
      <c r="AC121" s="518"/>
      <c r="AD121" s="519"/>
      <c r="AE121" s="520"/>
      <c r="AF121" s="513"/>
      <c r="AG121" s="518"/>
      <c r="AH121" s="519"/>
      <c r="AI121" s="520"/>
      <c r="AJ121" s="513"/>
      <c r="AK121" s="382"/>
      <c r="AL121" s="417"/>
      <c r="AM121" s="383"/>
      <c r="AN121" s="507"/>
      <c r="AO121" s="382"/>
      <c r="AP121" s="417"/>
      <c r="AQ121" s="383"/>
      <c r="AR121" s="507"/>
      <c r="AS121" s="514"/>
      <c r="AT121" s="514"/>
    </row>
    <row r="122">
      <c r="A122" s="382"/>
      <c r="B122" s="417"/>
      <c r="C122" s="383"/>
      <c r="D122" s="507"/>
      <c r="E122" s="382"/>
      <c r="F122" s="417"/>
      <c r="G122" s="383"/>
      <c r="H122" s="507"/>
      <c r="I122" s="382"/>
      <c r="J122" s="417"/>
      <c r="K122" s="383"/>
      <c r="L122" s="507"/>
      <c r="M122" s="382"/>
      <c r="N122" s="417"/>
      <c r="O122" s="383"/>
      <c r="P122" s="507"/>
      <c r="Q122" s="518"/>
      <c r="R122" s="519"/>
      <c r="S122" s="520"/>
      <c r="T122" s="513"/>
      <c r="U122" s="518"/>
      <c r="V122" s="519"/>
      <c r="W122" s="520"/>
      <c r="X122" s="513"/>
      <c r="Y122" s="518"/>
      <c r="Z122" s="519"/>
      <c r="AA122" s="520"/>
      <c r="AB122" s="513"/>
      <c r="AC122" s="518"/>
      <c r="AD122" s="519"/>
      <c r="AE122" s="520"/>
      <c r="AF122" s="513"/>
      <c r="AG122" s="518"/>
      <c r="AH122" s="519"/>
      <c r="AI122" s="520"/>
      <c r="AJ122" s="513"/>
      <c r="AK122" s="382"/>
      <c r="AL122" s="417"/>
      <c r="AM122" s="383"/>
      <c r="AN122" s="507"/>
      <c r="AO122" s="382"/>
      <c r="AP122" s="417"/>
      <c r="AQ122" s="383"/>
      <c r="AR122" s="507"/>
      <c r="AS122" s="514"/>
      <c r="AT122" s="514"/>
    </row>
    <row r="123">
      <c r="A123" s="382"/>
      <c r="B123" s="417"/>
      <c r="C123" s="383"/>
      <c r="D123" s="507"/>
      <c r="E123" s="382"/>
      <c r="F123" s="417"/>
      <c r="G123" s="383"/>
      <c r="H123" s="507"/>
      <c r="I123" s="382"/>
      <c r="J123" s="417"/>
      <c r="K123" s="383"/>
      <c r="L123" s="507"/>
      <c r="M123" s="382"/>
      <c r="N123" s="417"/>
      <c r="O123" s="383"/>
      <c r="P123" s="507"/>
      <c r="Q123" s="518"/>
      <c r="R123" s="519"/>
      <c r="S123" s="520"/>
      <c r="T123" s="513"/>
      <c r="U123" s="518"/>
      <c r="V123" s="519"/>
      <c r="W123" s="520"/>
      <c r="X123" s="513"/>
      <c r="Y123" s="518"/>
      <c r="Z123" s="519"/>
      <c r="AA123" s="520"/>
      <c r="AB123" s="513"/>
      <c r="AC123" s="518"/>
      <c r="AD123" s="519"/>
      <c r="AE123" s="520"/>
      <c r="AF123" s="513"/>
      <c r="AG123" s="518"/>
      <c r="AH123" s="519"/>
      <c r="AI123" s="520"/>
      <c r="AJ123" s="513"/>
      <c r="AK123" s="382"/>
      <c r="AL123" s="417"/>
      <c r="AM123" s="383"/>
      <c r="AN123" s="507"/>
      <c r="AO123" s="382"/>
      <c r="AP123" s="417"/>
      <c r="AQ123" s="383"/>
      <c r="AR123" s="507"/>
      <c r="AS123" s="514"/>
      <c r="AT123" s="514"/>
    </row>
    <row r="124">
      <c r="A124" s="382"/>
      <c r="B124" s="417"/>
      <c r="C124" s="383"/>
      <c r="D124" s="507"/>
      <c r="E124" s="382"/>
      <c r="F124" s="417"/>
      <c r="G124" s="383"/>
      <c r="H124" s="507"/>
      <c r="I124" s="382"/>
      <c r="J124" s="417"/>
      <c r="K124" s="383"/>
      <c r="L124" s="507"/>
      <c r="M124" s="382"/>
      <c r="N124" s="417"/>
      <c r="O124" s="383"/>
      <c r="P124" s="507"/>
      <c r="Q124" s="518"/>
      <c r="R124" s="519"/>
      <c r="S124" s="520"/>
      <c r="T124" s="513"/>
      <c r="U124" s="518"/>
      <c r="V124" s="519"/>
      <c r="W124" s="520"/>
      <c r="X124" s="513"/>
      <c r="Y124" s="518"/>
      <c r="Z124" s="519"/>
      <c r="AA124" s="520"/>
      <c r="AB124" s="513"/>
      <c r="AC124" s="518"/>
      <c r="AD124" s="519"/>
      <c r="AE124" s="520"/>
      <c r="AF124" s="513"/>
      <c r="AG124" s="518"/>
      <c r="AH124" s="519"/>
      <c r="AI124" s="520"/>
      <c r="AJ124" s="513"/>
      <c r="AK124" s="382"/>
      <c r="AL124" s="417"/>
      <c r="AM124" s="383"/>
      <c r="AN124" s="507"/>
      <c r="AO124" s="382"/>
      <c r="AP124" s="417"/>
      <c r="AQ124" s="383"/>
      <c r="AR124" s="507"/>
      <c r="AS124" s="514"/>
      <c r="AT124" s="514"/>
    </row>
    <row r="125">
      <c r="A125" s="382"/>
      <c r="B125" s="417"/>
      <c r="C125" s="383"/>
      <c r="D125" s="507"/>
      <c r="E125" s="382"/>
      <c r="F125" s="417"/>
      <c r="G125" s="383"/>
      <c r="H125" s="507"/>
      <c r="I125" s="382"/>
      <c r="J125" s="417"/>
      <c r="K125" s="383"/>
      <c r="L125" s="507"/>
      <c r="M125" s="382"/>
      <c r="N125" s="417"/>
      <c r="O125" s="383"/>
      <c r="P125" s="507"/>
      <c r="Q125" s="518"/>
      <c r="R125" s="519"/>
      <c r="S125" s="520"/>
      <c r="T125" s="513"/>
      <c r="U125" s="518"/>
      <c r="V125" s="519"/>
      <c r="W125" s="520"/>
      <c r="X125" s="513"/>
      <c r="Y125" s="518"/>
      <c r="Z125" s="519"/>
      <c r="AA125" s="520"/>
      <c r="AB125" s="513"/>
      <c r="AC125" s="518"/>
      <c r="AD125" s="519"/>
      <c r="AE125" s="520"/>
      <c r="AF125" s="513"/>
      <c r="AG125" s="518"/>
      <c r="AH125" s="519"/>
      <c r="AI125" s="520"/>
      <c r="AJ125" s="513"/>
      <c r="AK125" s="382"/>
      <c r="AL125" s="417"/>
      <c r="AM125" s="383"/>
      <c r="AN125" s="507"/>
      <c r="AO125" s="382"/>
      <c r="AP125" s="417"/>
      <c r="AQ125" s="383"/>
      <c r="AR125" s="507"/>
      <c r="AS125" s="514"/>
      <c r="AT125" s="514"/>
    </row>
    <row r="126">
      <c r="A126" s="382"/>
      <c r="B126" s="417"/>
      <c r="C126" s="383"/>
      <c r="D126" s="507"/>
      <c r="E126" s="382"/>
      <c r="F126" s="417"/>
      <c r="G126" s="383"/>
      <c r="H126" s="507"/>
      <c r="I126" s="382"/>
      <c r="J126" s="417"/>
      <c r="K126" s="383"/>
      <c r="L126" s="507"/>
      <c r="M126" s="382"/>
      <c r="N126" s="417"/>
      <c r="O126" s="383"/>
      <c r="P126" s="507"/>
      <c r="Q126" s="518"/>
      <c r="R126" s="519"/>
      <c r="S126" s="520"/>
      <c r="T126" s="513"/>
      <c r="U126" s="518"/>
      <c r="V126" s="519"/>
      <c r="W126" s="520"/>
      <c r="X126" s="513"/>
      <c r="Y126" s="518"/>
      <c r="Z126" s="519"/>
      <c r="AA126" s="520"/>
      <c r="AB126" s="513"/>
      <c r="AC126" s="518"/>
      <c r="AD126" s="519"/>
      <c r="AE126" s="520"/>
      <c r="AF126" s="513"/>
      <c r="AG126" s="518"/>
      <c r="AH126" s="519"/>
      <c r="AI126" s="520"/>
      <c r="AJ126" s="513"/>
      <c r="AK126" s="382"/>
      <c r="AL126" s="417"/>
      <c r="AM126" s="383"/>
      <c r="AN126" s="507"/>
      <c r="AO126" s="382"/>
      <c r="AP126" s="417"/>
      <c r="AQ126" s="383"/>
      <c r="AR126" s="507"/>
      <c r="AS126" s="514"/>
      <c r="AT126" s="514"/>
    </row>
    <row r="127">
      <c r="A127" s="382"/>
      <c r="B127" s="417"/>
      <c r="C127" s="383"/>
      <c r="D127" s="507"/>
      <c r="E127" s="382"/>
      <c r="F127" s="417"/>
      <c r="G127" s="383"/>
      <c r="H127" s="507"/>
      <c r="I127" s="382"/>
      <c r="J127" s="417"/>
      <c r="K127" s="383"/>
      <c r="L127" s="507"/>
      <c r="M127" s="382"/>
      <c r="N127" s="417"/>
      <c r="O127" s="383"/>
      <c r="P127" s="507"/>
      <c r="Q127" s="518"/>
      <c r="R127" s="519"/>
      <c r="S127" s="520"/>
      <c r="T127" s="513"/>
      <c r="U127" s="518"/>
      <c r="V127" s="519"/>
      <c r="W127" s="520"/>
      <c r="X127" s="513"/>
      <c r="Y127" s="518"/>
      <c r="Z127" s="519"/>
      <c r="AA127" s="520"/>
      <c r="AB127" s="513"/>
      <c r="AC127" s="518"/>
      <c r="AD127" s="519"/>
      <c r="AE127" s="520"/>
      <c r="AF127" s="513"/>
      <c r="AG127" s="518"/>
      <c r="AH127" s="519"/>
      <c r="AI127" s="520"/>
      <c r="AJ127" s="513"/>
      <c r="AK127" s="382"/>
      <c r="AL127" s="417"/>
      <c r="AM127" s="383"/>
      <c r="AN127" s="507"/>
      <c r="AO127" s="382"/>
      <c r="AP127" s="417"/>
      <c r="AQ127" s="383"/>
      <c r="AR127" s="507"/>
      <c r="AS127" s="514"/>
      <c r="AT127" s="514"/>
    </row>
    <row r="128">
      <c r="A128" s="382"/>
      <c r="B128" s="417"/>
      <c r="C128" s="383"/>
      <c r="D128" s="507"/>
      <c r="E128" s="382"/>
      <c r="F128" s="417"/>
      <c r="G128" s="383"/>
      <c r="H128" s="507"/>
      <c r="I128" s="382"/>
      <c r="J128" s="417"/>
      <c r="K128" s="383"/>
      <c r="L128" s="507"/>
      <c r="M128" s="382"/>
      <c r="N128" s="417"/>
      <c r="O128" s="383"/>
      <c r="P128" s="507"/>
      <c r="Q128" s="518"/>
      <c r="R128" s="519"/>
      <c r="S128" s="520"/>
      <c r="T128" s="513"/>
      <c r="U128" s="518"/>
      <c r="V128" s="519"/>
      <c r="W128" s="520"/>
      <c r="X128" s="513"/>
      <c r="Y128" s="518"/>
      <c r="Z128" s="519"/>
      <c r="AA128" s="520"/>
      <c r="AB128" s="513"/>
      <c r="AC128" s="518"/>
      <c r="AD128" s="519"/>
      <c r="AE128" s="520"/>
      <c r="AF128" s="513"/>
      <c r="AG128" s="518"/>
      <c r="AH128" s="519"/>
      <c r="AI128" s="520"/>
      <c r="AJ128" s="513"/>
      <c r="AK128" s="382"/>
      <c r="AL128" s="417"/>
      <c r="AM128" s="383"/>
      <c r="AN128" s="507"/>
      <c r="AO128" s="382"/>
      <c r="AP128" s="417"/>
      <c r="AQ128" s="383"/>
      <c r="AR128" s="507"/>
      <c r="AS128" s="514"/>
      <c r="AT128" s="514"/>
    </row>
    <row r="129">
      <c r="A129" s="382"/>
      <c r="B129" s="417"/>
      <c r="C129" s="383"/>
      <c r="D129" s="507"/>
      <c r="E129" s="382"/>
      <c r="F129" s="417"/>
      <c r="G129" s="383"/>
      <c r="H129" s="507"/>
      <c r="I129" s="382"/>
      <c r="J129" s="417"/>
      <c r="K129" s="383"/>
      <c r="L129" s="507"/>
      <c r="M129" s="382"/>
      <c r="N129" s="417"/>
      <c r="O129" s="383"/>
      <c r="P129" s="507"/>
      <c r="Q129" s="518"/>
      <c r="R129" s="519"/>
      <c r="S129" s="520"/>
      <c r="T129" s="513"/>
      <c r="U129" s="518"/>
      <c r="V129" s="519"/>
      <c r="W129" s="520"/>
      <c r="X129" s="513"/>
      <c r="Y129" s="518"/>
      <c r="Z129" s="519"/>
      <c r="AA129" s="520"/>
      <c r="AB129" s="513"/>
      <c r="AC129" s="518"/>
      <c r="AD129" s="519"/>
      <c r="AE129" s="520"/>
      <c r="AF129" s="513"/>
      <c r="AG129" s="518"/>
      <c r="AH129" s="519"/>
      <c r="AI129" s="520"/>
      <c r="AJ129" s="513"/>
      <c r="AK129" s="382"/>
      <c r="AL129" s="417"/>
      <c r="AM129" s="383"/>
      <c r="AN129" s="507"/>
      <c r="AO129" s="382"/>
      <c r="AP129" s="417"/>
      <c r="AQ129" s="383"/>
      <c r="AR129" s="507"/>
      <c r="AS129" s="514"/>
      <c r="AT129" s="514"/>
    </row>
    <row r="130">
      <c r="A130" s="382"/>
      <c r="B130" s="417"/>
      <c r="C130" s="383"/>
      <c r="D130" s="507"/>
      <c r="E130" s="382"/>
      <c r="F130" s="417"/>
      <c r="G130" s="383"/>
      <c r="H130" s="507"/>
      <c r="I130" s="382"/>
      <c r="J130" s="417"/>
      <c r="K130" s="383"/>
      <c r="L130" s="507"/>
      <c r="M130" s="382"/>
      <c r="N130" s="417"/>
      <c r="O130" s="383"/>
      <c r="P130" s="507"/>
      <c r="Q130" s="518"/>
      <c r="R130" s="519"/>
      <c r="S130" s="520"/>
      <c r="T130" s="513"/>
      <c r="U130" s="518"/>
      <c r="V130" s="519"/>
      <c r="W130" s="520"/>
      <c r="X130" s="513"/>
      <c r="Y130" s="518"/>
      <c r="Z130" s="519"/>
      <c r="AA130" s="520"/>
      <c r="AB130" s="513"/>
      <c r="AC130" s="518"/>
      <c r="AD130" s="519"/>
      <c r="AE130" s="520"/>
      <c r="AF130" s="513"/>
      <c r="AG130" s="518"/>
      <c r="AH130" s="519"/>
      <c r="AI130" s="520"/>
      <c r="AJ130" s="513"/>
      <c r="AK130" s="382"/>
      <c r="AL130" s="417"/>
      <c r="AM130" s="383"/>
      <c r="AN130" s="507"/>
      <c r="AO130" s="382"/>
      <c r="AP130" s="417"/>
      <c r="AQ130" s="383"/>
      <c r="AR130" s="507"/>
      <c r="AS130" s="514"/>
      <c r="AT130" s="514"/>
    </row>
    <row r="131">
      <c r="A131" s="382"/>
      <c r="B131" s="417"/>
      <c r="C131" s="383"/>
      <c r="D131" s="507"/>
      <c r="E131" s="382"/>
      <c r="F131" s="417"/>
      <c r="G131" s="383"/>
      <c r="H131" s="507"/>
      <c r="I131" s="382"/>
      <c r="J131" s="417"/>
      <c r="K131" s="383"/>
      <c r="L131" s="507"/>
      <c r="M131" s="382"/>
      <c r="N131" s="417"/>
      <c r="O131" s="383"/>
      <c r="P131" s="507"/>
      <c r="Q131" s="518"/>
      <c r="R131" s="519"/>
      <c r="S131" s="520"/>
      <c r="T131" s="513"/>
      <c r="U131" s="518"/>
      <c r="V131" s="519"/>
      <c r="W131" s="520"/>
      <c r="X131" s="513"/>
      <c r="Y131" s="518"/>
      <c r="Z131" s="519"/>
      <c r="AA131" s="520"/>
      <c r="AB131" s="513"/>
      <c r="AC131" s="518"/>
      <c r="AD131" s="519"/>
      <c r="AE131" s="520"/>
      <c r="AF131" s="513"/>
      <c r="AG131" s="518"/>
      <c r="AH131" s="519"/>
      <c r="AI131" s="520"/>
      <c r="AJ131" s="513"/>
      <c r="AK131" s="382"/>
      <c r="AL131" s="417"/>
      <c r="AM131" s="383"/>
      <c r="AN131" s="507"/>
      <c r="AO131" s="382"/>
      <c r="AP131" s="417"/>
      <c r="AQ131" s="383"/>
      <c r="AR131" s="507"/>
      <c r="AS131" s="514"/>
      <c r="AT131" s="514"/>
    </row>
    <row r="132">
      <c r="A132" s="382"/>
      <c r="B132" s="417"/>
      <c r="C132" s="383"/>
      <c r="D132" s="507"/>
      <c r="E132" s="382"/>
      <c r="F132" s="417"/>
      <c r="G132" s="383"/>
      <c r="H132" s="507"/>
      <c r="I132" s="382"/>
      <c r="J132" s="417"/>
      <c r="K132" s="383"/>
      <c r="L132" s="507"/>
      <c r="M132" s="382"/>
      <c r="N132" s="417"/>
      <c r="O132" s="383"/>
      <c r="P132" s="507"/>
      <c r="Q132" s="518"/>
      <c r="R132" s="519"/>
      <c r="S132" s="520"/>
      <c r="T132" s="513"/>
      <c r="U132" s="518"/>
      <c r="V132" s="519"/>
      <c r="W132" s="520"/>
      <c r="X132" s="513"/>
      <c r="Y132" s="518"/>
      <c r="Z132" s="519"/>
      <c r="AA132" s="520"/>
      <c r="AB132" s="513"/>
      <c r="AC132" s="518"/>
      <c r="AD132" s="519"/>
      <c r="AE132" s="520"/>
      <c r="AF132" s="513"/>
      <c r="AG132" s="518"/>
      <c r="AH132" s="519"/>
      <c r="AI132" s="520"/>
      <c r="AJ132" s="513"/>
      <c r="AK132" s="382"/>
      <c r="AL132" s="417"/>
      <c r="AM132" s="383"/>
      <c r="AN132" s="507"/>
      <c r="AO132" s="382"/>
      <c r="AP132" s="417"/>
      <c r="AQ132" s="383"/>
      <c r="AR132" s="507"/>
      <c r="AS132" s="514"/>
      <c r="AT132" s="514"/>
    </row>
    <row r="133">
      <c r="A133" s="382"/>
      <c r="B133" s="417"/>
      <c r="C133" s="383"/>
      <c r="D133" s="507"/>
      <c r="E133" s="382"/>
      <c r="F133" s="417"/>
      <c r="G133" s="383"/>
      <c r="H133" s="507"/>
      <c r="I133" s="382"/>
      <c r="J133" s="417"/>
      <c r="K133" s="383"/>
      <c r="L133" s="507"/>
      <c r="M133" s="382"/>
      <c r="N133" s="417"/>
      <c r="O133" s="383"/>
      <c r="P133" s="507"/>
      <c r="Q133" s="518"/>
      <c r="R133" s="519"/>
      <c r="S133" s="520"/>
      <c r="T133" s="513"/>
      <c r="U133" s="518"/>
      <c r="V133" s="519"/>
      <c r="W133" s="520"/>
      <c r="X133" s="513"/>
      <c r="Y133" s="518"/>
      <c r="Z133" s="519"/>
      <c r="AA133" s="520"/>
      <c r="AB133" s="513"/>
      <c r="AC133" s="518"/>
      <c r="AD133" s="519"/>
      <c r="AE133" s="520"/>
      <c r="AF133" s="513"/>
      <c r="AG133" s="518"/>
      <c r="AH133" s="519"/>
      <c r="AI133" s="520"/>
      <c r="AJ133" s="513"/>
      <c r="AK133" s="382"/>
      <c r="AL133" s="417"/>
      <c r="AM133" s="383"/>
      <c r="AN133" s="507"/>
      <c r="AO133" s="382"/>
      <c r="AP133" s="417"/>
      <c r="AQ133" s="383"/>
      <c r="AR133" s="507"/>
      <c r="AS133" s="514"/>
      <c r="AT133" s="514"/>
    </row>
    <row r="134">
      <c r="A134" s="382"/>
      <c r="B134" s="417"/>
      <c r="C134" s="383"/>
      <c r="D134" s="507"/>
      <c r="E134" s="382"/>
      <c r="F134" s="417"/>
      <c r="G134" s="383"/>
      <c r="H134" s="507"/>
      <c r="I134" s="382"/>
      <c r="J134" s="417"/>
      <c r="K134" s="383"/>
      <c r="L134" s="507"/>
      <c r="M134" s="382"/>
      <c r="N134" s="417"/>
      <c r="O134" s="383"/>
      <c r="P134" s="507"/>
      <c r="Q134" s="518"/>
      <c r="R134" s="519"/>
      <c r="S134" s="520"/>
      <c r="T134" s="513"/>
      <c r="U134" s="518"/>
      <c r="V134" s="519"/>
      <c r="W134" s="520"/>
      <c r="X134" s="513"/>
      <c r="Y134" s="518"/>
      <c r="Z134" s="519"/>
      <c r="AA134" s="520"/>
      <c r="AB134" s="513"/>
      <c r="AC134" s="518"/>
      <c r="AD134" s="519"/>
      <c r="AE134" s="520"/>
      <c r="AF134" s="513"/>
      <c r="AG134" s="518"/>
      <c r="AH134" s="519"/>
      <c r="AI134" s="520"/>
      <c r="AJ134" s="513"/>
      <c r="AK134" s="382"/>
      <c r="AL134" s="417"/>
      <c r="AM134" s="383"/>
      <c r="AN134" s="507"/>
      <c r="AO134" s="382"/>
      <c r="AP134" s="417"/>
      <c r="AQ134" s="383"/>
      <c r="AR134" s="507"/>
      <c r="AS134" s="514"/>
      <c r="AT134" s="514"/>
    </row>
    <row r="135">
      <c r="A135" s="382"/>
      <c r="B135" s="417"/>
      <c r="C135" s="383"/>
      <c r="D135" s="507"/>
      <c r="E135" s="382"/>
      <c r="F135" s="417"/>
      <c r="G135" s="383"/>
      <c r="H135" s="507"/>
      <c r="I135" s="382"/>
      <c r="J135" s="417"/>
      <c r="K135" s="383"/>
      <c r="L135" s="507"/>
      <c r="M135" s="382"/>
      <c r="N135" s="417"/>
      <c r="O135" s="383"/>
      <c r="P135" s="507"/>
      <c r="Q135" s="518"/>
      <c r="R135" s="519"/>
      <c r="S135" s="520"/>
      <c r="T135" s="513"/>
      <c r="U135" s="518"/>
      <c r="V135" s="519"/>
      <c r="W135" s="520"/>
      <c r="X135" s="513"/>
      <c r="Y135" s="518"/>
      <c r="Z135" s="519"/>
      <c r="AA135" s="520"/>
      <c r="AB135" s="513"/>
      <c r="AC135" s="518"/>
      <c r="AD135" s="519"/>
      <c r="AE135" s="520"/>
      <c r="AF135" s="513"/>
      <c r="AG135" s="518"/>
      <c r="AH135" s="519"/>
      <c r="AI135" s="520"/>
      <c r="AJ135" s="513"/>
      <c r="AK135" s="382"/>
      <c r="AL135" s="417"/>
      <c r="AM135" s="383"/>
      <c r="AN135" s="507"/>
      <c r="AO135" s="382"/>
      <c r="AP135" s="417"/>
      <c r="AQ135" s="383"/>
      <c r="AR135" s="507"/>
      <c r="AS135" s="514"/>
      <c r="AT135" s="514"/>
    </row>
    <row r="136">
      <c r="A136" s="382"/>
      <c r="B136" s="417"/>
      <c r="C136" s="383"/>
      <c r="D136" s="507"/>
      <c r="E136" s="382"/>
      <c r="F136" s="417"/>
      <c r="G136" s="383"/>
      <c r="H136" s="507"/>
      <c r="I136" s="382"/>
      <c r="J136" s="417"/>
      <c r="K136" s="383"/>
      <c r="L136" s="507"/>
      <c r="M136" s="382"/>
      <c r="N136" s="417"/>
      <c r="O136" s="383"/>
      <c r="P136" s="507"/>
      <c r="Q136" s="518"/>
      <c r="R136" s="519"/>
      <c r="S136" s="520"/>
      <c r="T136" s="513"/>
      <c r="U136" s="518"/>
      <c r="V136" s="519"/>
      <c r="W136" s="520"/>
      <c r="X136" s="513"/>
      <c r="Y136" s="518"/>
      <c r="Z136" s="519"/>
      <c r="AA136" s="520"/>
      <c r="AB136" s="513"/>
      <c r="AC136" s="518"/>
      <c r="AD136" s="519"/>
      <c r="AE136" s="520"/>
      <c r="AF136" s="513"/>
      <c r="AG136" s="518"/>
      <c r="AH136" s="519"/>
      <c r="AI136" s="520"/>
      <c r="AJ136" s="513"/>
      <c r="AK136" s="382"/>
      <c r="AL136" s="417"/>
      <c r="AM136" s="383"/>
      <c r="AN136" s="507"/>
      <c r="AO136" s="382"/>
      <c r="AP136" s="417"/>
      <c r="AQ136" s="383"/>
      <c r="AR136" s="507"/>
      <c r="AS136" s="514"/>
      <c r="AT136" s="514"/>
    </row>
    <row r="137">
      <c r="A137" s="382"/>
      <c r="B137" s="417"/>
      <c r="C137" s="383"/>
      <c r="D137" s="507"/>
      <c r="E137" s="382"/>
      <c r="F137" s="417"/>
      <c r="G137" s="383"/>
      <c r="H137" s="507"/>
      <c r="I137" s="382"/>
      <c r="J137" s="417"/>
      <c r="K137" s="383"/>
      <c r="L137" s="507"/>
      <c r="M137" s="382"/>
      <c r="N137" s="417"/>
      <c r="O137" s="383"/>
      <c r="P137" s="507"/>
      <c r="Q137" s="518"/>
      <c r="R137" s="519"/>
      <c r="S137" s="520"/>
      <c r="T137" s="513"/>
      <c r="U137" s="518"/>
      <c r="V137" s="519"/>
      <c r="W137" s="520"/>
      <c r="X137" s="513"/>
      <c r="Y137" s="518"/>
      <c r="Z137" s="519"/>
      <c r="AA137" s="520"/>
      <c r="AB137" s="513"/>
      <c r="AC137" s="518"/>
      <c r="AD137" s="519"/>
      <c r="AE137" s="520"/>
      <c r="AF137" s="513"/>
      <c r="AG137" s="518"/>
      <c r="AH137" s="519"/>
      <c r="AI137" s="520"/>
      <c r="AJ137" s="513"/>
      <c r="AK137" s="382"/>
      <c r="AL137" s="417"/>
      <c r="AM137" s="383"/>
      <c r="AN137" s="507"/>
      <c r="AO137" s="382"/>
      <c r="AP137" s="417"/>
      <c r="AQ137" s="383"/>
      <c r="AR137" s="507"/>
      <c r="AS137" s="514"/>
      <c r="AT137" s="514"/>
    </row>
    <row r="138">
      <c r="A138" s="382"/>
      <c r="B138" s="417"/>
      <c r="C138" s="383"/>
      <c r="D138" s="507"/>
      <c r="E138" s="382"/>
      <c r="F138" s="417"/>
      <c r="G138" s="383"/>
      <c r="H138" s="507"/>
      <c r="I138" s="382"/>
      <c r="J138" s="417"/>
      <c r="K138" s="383"/>
      <c r="L138" s="507"/>
      <c r="M138" s="382"/>
      <c r="N138" s="417"/>
      <c r="O138" s="383"/>
      <c r="P138" s="507"/>
      <c r="Q138" s="518"/>
      <c r="R138" s="519"/>
      <c r="S138" s="520"/>
      <c r="T138" s="513"/>
      <c r="U138" s="518"/>
      <c r="V138" s="519"/>
      <c r="W138" s="520"/>
      <c r="X138" s="513"/>
      <c r="Y138" s="518"/>
      <c r="Z138" s="519"/>
      <c r="AA138" s="520"/>
      <c r="AB138" s="513"/>
      <c r="AC138" s="518"/>
      <c r="AD138" s="519"/>
      <c r="AE138" s="520"/>
      <c r="AF138" s="513"/>
      <c r="AG138" s="518"/>
      <c r="AH138" s="519"/>
      <c r="AI138" s="520"/>
      <c r="AJ138" s="513"/>
      <c r="AK138" s="382"/>
      <c r="AL138" s="417"/>
      <c r="AM138" s="383"/>
      <c r="AN138" s="507"/>
      <c r="AO138" s="382"/>
      <c r="AP138" s="417"/>
      <c r="AQ138" s="383"/>
      <c r="AR138" s="507"/>
      <c r="AS138" s="514"/>
      <c r="AT138" s="514"/>
    </row>
    <row r="139">
      <c r="A139" s="382"/>
      <c r="B139" s="417"/>
      <c r="C139" s="383"/>
      <c r="D139" s="507"/>
      <c r="E139" s="382"/>
      <c r="F139" s="417"/>
      <c r="G139" s="383"/>
      <c r="H139" s="507"/>
      <c r="I139" s="382"/>
      <c r="J139" s="417"/>
      <c r="K139" s="383"/>
      <c r="L139" s="507"/>
      <c r="M139" s="382"/>
      <c r="N139" s="417"/>
      <c r="O139" s="383"/>
      <c r="P139" s="507"/>
      <c r="Q139" s="518"/>
      <c r="R139" s="519"/>
      <c r="S139" s="520"/>
      <c r="T139" s="513"/>
      <c r="U139" s="518"/>
      <c r="V139" s="519"/>
      <c r="W139" s="520"/>
      <c r="X139" s="513"/>
      <c r="Y139" s="518"/>
      <c r="Z139" s="519"/>
      <c r="AA139" s="520"/>
      <c r="AB139" s="513"/>
      <c r="AC139" s="518"/>
      <c r="AD139" s="519"/>
      <c r="AE139" s="520"/>
      <c r="AF139" s="513"/>
      <c r="AG139" s="518"/>
      <c r="AH139" s="519"/>
      <c r="AI139" s="520"/>
      <c r="AJ139" s="513"/>
      <c r="AK139" s="382"/>
      <c r="AL139" s="417"/>
      <c r="AM139" s="383"/>
      <c r="AN139" s="507"/>
      <c r="AO139" s="382"/>
      <c r="AP139" s="417"/>
      <c r="AQ139" s="383"/>
      <c r="AR139" s="507"/>
      <c r="AS139" s="514"/>
      <c r="AT139" s="514"/>
    </row>
    <row r="140">
      <c r="A140" s="382"/>
      <c r="B140" s="417"/>
      <c r="C140" s="383"/>
      <c r="D140" s="507"/>
      <c r="E140" s="382"/>
      <c r="F140" s="417"/>
      <c r="G140" s="383"/>
      <c r="H140" s="507"/>
      <c r="I140" s="382"/>
      <c r="J140" s="417"/>
      <c r="K140" s="383"/>
      <c r="L140" s="507"/>
      <c r="M140" s="382"/>
      <c r="N140" s="417"/>
      <c r="O140" s="383"/>
      <c r="P140" s="507"/>
      <c r="Q140" s="518"/>
      <c r="R140" s="519"/>
      <c r="S140" s="520"/>
      <c r="T140" s="513"/>
      <c r="U140" s="518"/>
      <c r="V140" s="519"/>
      <c r="W140" s="520"/>
      <c r="X140" s="513"/>
      <c r="Y140" s="518"/>
      <c r="Z140" s="519"/>
      <c r="AA140" s="520"/>
      <c r="AB140" s="513"/>
      <c r="AC140" s="518"/>
      <c r="AD140" s="519"/>
      <c r="AE140" s="520"/>
      <c r="AF140" s="513"/>
      <c r="AG140" s="518"/>
      <c r="AH140" s="519"/>
      <c r="AI140" s="520"/>
      <c r="AJ140" s="513"/>
      <c r="AK140" s="382"/>
      <c r="AL140" s="417"/>
      <c r="AM140" s="383"/>
      <c r="AN140" s="507"/>
      <c r="AO140" s="382"/>
      <c r="AP140" s="417"/>
      <c r="AQ140" s="383"/>
      <c r="AR140" s="507"/>
      <c r="AS140" s="514"/>
      <c r="AT140" s="514"/>
    </row>
    <row r="141">
      <c r="A141" s="382"/>
      <c r="B141" s="417"/>
      <c r="C141" s="383"/>
      <c r="D141" s="507"/>
      <c r="E141" s="382"/>
      <c r="F141" s="417"/>
      <c r="G141" s="383"/>
      <c r="H141" s="507"/>
      <c r="I141" s="382"/>
      <c r="J141" s="417"/>
      <c r="K141" s="383"/>
      <c r="L141" s="507"/>
      <c r="M141" s="382"/>
      <c r="N141" s="417"/>
      <c r="O141" s="383"/>
      <c r="P141" s="507"/>
      <c r="Q141" s="518"/>
      <c r="R141" s="519"/>
      <c r="S141" s="520"/>
      <c r="T141" s="513"/>
      <c r="U141" s="518"/>
      <c r="V141" s="519"/>
      <c r="W141" s="520"/>
      <c r="X141" s="513"/>
      <c r="Y141" s="518"/>
      <c r="Z141" s="519"/>
      <c r="AA141" s="520"/>
      <c r="AB141" s="513"/>
      <c r="AC141" s="518"/>
      <c r="AD141" s="519"/>
      <c r="AE141" s="520"/>
      <c r="AF141" s="513"/>
      <c r="AG141" s="518"/>
      <c r="AH141" s="519"/>
      <c r="AI141" s="520"/>
      <c r="AJ141" s="513"/>
      <c r="AK141" s="382"/>
      <c r="AL141" s="417"/>
      <c r="AM141" s="383"/>
      <c r="AN141" s="507"/>
      <c r="AO141" s="382"/>
      <c r="AP141" s="417"/>
      <c r="AQ141" s="383"/>
      <c r="AR141" s="507"/>
      <c r="AS141" s="514"/>
      <c r="AT141" s="514"/>
    </row>
    <row r="142">
      <c r="A142" s="382"/>
      <c r="B142" s="417"/>
      <c r="C142" s="383"/>
      <c r="D142" s="507"/>
      <c r="E142" s="382"/>
      <c r="F142" s="417"/>
      <c r="G142" s="383"/>
      <c r="H142" s="507"/>
      <c r="I142" s="382"/>
      <c r="J142" s="417"/>
      <c r="K142" s="383"/>
      <c r="L142" s="507"/>
      <c r="M142" s="382"/>
      <c r="N142" s="417"/>
      <c r="O142" s="383"/>
      <c r="P142" s="507"/>
      <c r="Q142" s="518"/>
      <c r="R142" s="519"/>
      <c r="S142" s="520"/>
      <c r="T142" s="513"/>
      <c r="U142" s="518"/>
      <c r="V142" s="519"/>
      <c r="W142" s="520"/>
      <c r="X142" s="513"/>
      <c r="Y142" s="518"/>
      <c r="Z142" s="519"/>
      <c r="AA142" s="520"/>
      <c r="AB142" s="513"/>
      <c r="AC142" s="518"/>
      <c r="AD142" s="519"/>
      <c r="AE142" s="520"/>
      <c r="AF142" s="513"/>
      <c r="AG142" s="518"/>
      <c r="AH142" s="519"/>
      <c r="AI142" s="520"/>
      <c r="AJ142" s="513"/>
      <c r="AK142" s="382"/>
      <c r="AL142" s="417"/>
      <c r="AM142" s="383"/>
      <c r="AN142" s="507"/>
      <c r="AO142" s="382"/>
      <c r="AP142" s="417"/>
      <c r="AQ142" s="383"/>
      <c r="AR142" s="507"/>
      <c r="AS142" s="514"/>
      <c r="AT142" s="514"/>
    </row>
    <row r="143">
      <c r="A143" s="382"/>
      <c r="B143" s="417"/>
      <c r="C143" s="383"/>
      <c r="D143" s="507"/>
      <c r="E143" s="382"/>
      <c r="F143" s="417"/>
      <c r="G143" s="383"/>
      <c r="H143" s="507"/>
      <c r="I143" s="382"/>
      <c r="J143" s="417"/>
      <c r="K143" s="383"/>
      <c r="L143" s="507"/>
      <c r="M143" s="382"/>
      <c r="N143" s="417"/>
      <c r="O143" s="383"/>
      <c r="P143" s="507"/>
      <c r="Q143" s="518"/>
      <c r="R143" s="519"/>
      <c r="S143" s="520"/>
      <c r="T143" s="513"/>
      <c r="U143" s="518"/>
      <c r="V143" s="519"/>
      <c r="W143" s="520"/>
      <c r="X143" s="513"/>
      <c r="Y143" s="518"/>
      <c r="Z143" s="519"/>
      <c r="AA143" s="520"/>
      <c r="AB143" s="513"/>
      <c r="AC143" s="518"/>
      <c r="AD143" s="519"/>
      <c r="AE143" s="520"/>
      <c r="AF143" s="513"/>
      <c r="AG143" s="518"/>
      <c r="AH143" s="519"/>
      <c r="AI143" s="520"/>
      <c r="AJ143" s="513"/>
      <c r="AK143" s="382"/>
      <c r="AL143" s="417"/>
      <c r="AM143" s="383"/>
      <c r="AN143" s="507"/>
      <c r="AO143" s="382"/>
      <c r="AP143" s="417"/>
      <c r="AQ143" s="383"/>
      <c r="AR143" s="507"/>
      <c r="AS143" s="514"/>
      <c r="AT143" s="514"/>
    </row>
    <row r="144">
      <c r="A144" s="382"/>
      <c r="B144" s="417"/>
      <c r="C144" s="383"/>
      <c r="D144" s="507"/>
      <c r="E144" s="382"/>
      <c r="F144" s="417"/>
      <c r="G144" s="383"/>
      <c r="H144" s="507"/>
      <c r="I144" s="382"/>
      <c r="J144" s="417"/>
      <c r="K144" s="383"/>
      <c r="L144" s="507"/>
      <c r="M144" s="382"/>
      <c r="N144" s="417"/>
      <c r="O144" s="383"/>
      <c r="P144" s="507"/>
      <c r="Q144" s="518"/>
      <c r="R144" s="519"/>
      <c r="S144" s="520"/>
      <c r="T144" s="513"/>
      <c r="U144" s="518"/>
      <c r="V144" s="519"/>
      <c r="W144" s="520"/>
      <c r="X144" s="513"/>
      <c r="Y144" s="518"/>
      <c r="Z144" s="519"/>
      <c r="AA144" s="520"/>
      <c r="AB144" s="513"/>
      <c r="AC144" s="518"/>
      <c r="AD144" s="519"/>
      <c r="AE144" s="520"/>
      <c r="AF144" s="513"/>
      <c r="AG144" s="518"/>
      <c r="AH144" s="519"/>
      <c r="AI144" s="520"/>
      <c r="AJ144" s="513"/>
      <c r="AK144" s="382"/>
      <c r="AL144" s="417"/>
      <c r="AM144" s="383"/>
      <c r="AN144" s="507"/>
      <c r="AO144" s="382"/>
      <c r="AP144" s="417"/>
      <c r="AQ144" s="383"/>
      <c r="AR144" s="507"/>
      <c r="AS144" s="514"/>
      <c r="AT144" s="514"/>
    </row>
    <row r="145">
      <c r="A145" s="382"/>
      <c r="B145" s="417"/>
      <c r="C145" s="383"/>
      <c r="D145" s="507"/>
      <c r="E145" s="382"/>
      <c r="F145" s="417"/>
      <c r="G145" s="383"/>
      <c r="H145" s="507"/>
      <c r="I145" s="382"/>
      <c r="J145" s="417"/>
      <c r="K145" s="383"/>
      <c r="L145" s="507"/>
      <c r="M145" s="382"/>
      <c r="N145" s="417"/>
      <c r="O145" s="383"/>
      <c r="P145" s="507"/>
      <c r="Q145" s="518"/>
      <c r="R145" s="519"/>
      <c r="S145" s="520"/>
      <c r="T145" s="513"/>
      <c r="U145" s="518"/>
      <c r="V145" s="519"/>
      <c r="W145" s="520"/>
      <c r="X145" s="513"/>
      <c r="Y145" s="518"/>
      <c r="Z145" s="519"/>
      <c r="AA145" s="520"/>
      <c r="AB145" s="513"/>
      <c r="AC145" s="518"/>
      <c r="AD145" s="519"/>
      <c r="AE145" s="520"/>
      <c r="AF145" s="513"/>
      <c r="AG145" s="518"/>
      <c r="AH145" s="519"/>
      <c r="AI145" s="520"/>
      <c r="AJ145" s="513"/>
      <c r="AK145" s="382"/>
      <c r="AL145" s="417"/>
      <c r="AM145" s="383"/>
      <c r="AN145" s="507"/>
      <c r="AO145" s="382"/>
      <c r="AP145" s="417"/>
      <c r="AQ145" s="383"/>
      <c r="AR145" s="507"/>
      <c r="AS145" s="514"/>
      <c r="AT145" s="514"/>
    </row>
    <row r="146">
      <c r="A146" s="382"/>
      <c r="B146" s="417"/>
      <c r="C146" s="383"/>
      <c r="D146" s="507"/>
      <c r="E146" s="382"/>
      <c r="F146" s="417"/>
      <c r="G146" s="383"/>
      <c r="H146" s="507"/>
      <c r="I146" s="382"/>
      <c r="J146" s="417"/>
      <c r="K146" s="383"/>
      <c r="L146" s="507"/>
      <c r="M146" s="382"/>
      <c r="N146" s="417"/>
      <c r="O146" s="383"/>
      <c r="P146" s="507"/>
      <c r="Q146" s="518"/>
      <c r="R146" s="519"/>
      <c r="S146" s="520"/>
      <c r="T146" s="513"/>
      <c r="U146" s="518"/>
      <c r="V146" s="519"/>
      <c r="W146" s="520"/>
      <c r="X146" s="513"/>
      <c r="Y146" s="518"/>
      <c r="Z146" s="519"/>
      <c r="AA146" s="520"/>
      <c r="AB146" s="513"/>
      <c r="AC146" s="518"/>
      <c r="AD146" s="519"/>
      <c r="AE146" s="520"/>
      <c r="AF146" s="513"/>
      <c r="AG146" s="518"/>
      <c r="AH146" s="519"/>
      <c r="AI146" s="520"/>
      <c r="AJ146" s="513"/>
      <c r="AK146" s="382"/>
      <c r="AL146" s="417"/>
      <c r="AM146" s="383"/>
      <c r="AN146" s="507"/>
      <c r="AO146" s="382"/>
      <c r="AP146" s="417"/>
      <c r="AQ146" s="383"/>
      <c r="AR146" s="507"/>
      <c r="AS146" s="514"/>
      <c r="AT146" s="514"/>
    </row>
    <row r="147">
      <c r="A147" s="382"/>
      <c r="B147" s="417"/>
      <c r="C147" s="383"/>
      <c r="D147" s="507"/>
      <c r="E147" s="382"/>
      <c r="F147" s="417"/>
      <c r="G147" s="383"/>
      <c r="H147" s="507"/>
      <c r="I147" s="382"/>
      <c r="J147" s="417"/>
      <c r="K147" s="383"/>
      <c r="L147" s="507"/>
      <c r="M147" s="382"/>
      <c r="N147" s="417"/>
      <c r="O147" s="383"/>
      <c r="P147" s="507"/>
      <c r="Q147" s="518"/>
      <c r="R147" s="519"/>
      <c r="S147" s="520"/>
      <c r="T147" s="513"/>
      <c r="U147" s="518"/>
      <c r="V147" s="519"/>
      <c r="W147" s="520"/>
      <c r="X147" s="513"/>
      <c r="Y147" s="518"/>
      <c r="Z147" s="519"/>
      <c r="AA147" s="520"/>
      <c r="AB147" s="513"/>
      <c r="AC147" s="518"/>
      <c r="AD147" s="519"/>
      <c r="AE147" s="520"/>
      <c r="AF147" s="513"/>
      <c r="AG147" s="518"/>
      <c r="AH147" s="519"/>
      <c r="AI147" s="520"/>
      <c r="AJ147" s="513"/>
      <c r="AK147" s="382"/>
      <c r="AL147" s="417"/>
      <c r="AM147" s="383"/>
      <c r="AN147" s="507"/>
      <c r="AO147" s="382"/>
      <c r="AP147" s="417"/>
      <c r="AQ147" s="383"/>
      <c r="AR147" s="507"/>
      <c r="AS147" s="514"/>
      <c r="AT147" s="514"/>
    </row>
    <row r="148">
      <c r="A148" s="382"/>
      <c r="B148" s="417"/>
      <c r="C148" s="383"/>
      <c r="D148" s="507"/>
      <c r="E148" s="382"/>
      <c r="F148" s="417"/>
      <c r="G148" s="383"/>
      <c r="H148" s="507"/>
      <c r="I148" s="382"/>
      <c r="J148" s="417"/>
      <c r="K148" s="383"/>
      <c r="L148" s="507"/>
      <c r="M148" s="382"/>
      <c r="N148" s="417"/>
      <c r="O148" s="383"/>
      <c r="P148" s="507"/>
      <c r="Q148" s="518"/>
      <c r="R148" s="519"/>
      <c r="S148" s="520"/>
      <c r="T148" s="513"/>
      <c r="U148" s="518"/>
      <c r="V148" s="519"/>
      <c r="W148" s="520"/>
      <c r="X148" s="513"/>
      <c r="Y148" s="518"/>
      <c r="Z148" s="519"/>
      <c r="AA148" s="520"/>
      <c r="AB148" s="513"/>
      <c r="AC148" s="518"/>
      <c r="AD148" s="519"/>
      <c r="AE148" s="520"/>
      <c r="AF148" s="513"/>
      <c r="AG148" s="518"/>
      <c r="AH148" s="519"/>
      <c r="AI148" s="520"/>
      <c r="AJ148" s="513"/>
      <c r="AK148" s="382"/>
      <c r="AL148" s="417"/>
      <c r="AM148" s="383"/>
      <c r="AN148" s="507"/>
      <c r="AO148" s="382"/>
      <c r="AP148" s="417"/>
      <c r="AQ148" s="383"/>
      <c r="AR148" s="507"/>
      <c r="AS148" s="514"/>
      <c r="AT148" s="514"/>
    </row>
    <row r="149">
      <c r="A149" s="382"/>
      <c r="B149" s="417"/>
      <c r="C149" s="383"/>
      <c r="D149" s="507"/>
      <c r="E149" s="382"/>
      <c r="F149" s="417"/>
      <c r="G149" s="383"/>
      <c r="H149" s="507"/>
      <c r="I149" s="382"/>
      <c r="J149" s="417"/>
      <c r="K149" s="383"/>
      <c r="L149" s="507"/>
      <c r="M149" s="382"/>
      <c r="N149" s="417"/>
      <c r="O149" s="383"/>
      <c r="P149" s="507"/>
      <c r="Q149" s="518"/>
      <c r="R149" s="519"/>
      <c r="S149" s="520"/>
      <c r="T149" s="513"/>
      <c r="U149" s="518"/>
      <c r="V149" s="519"/>
      <c r="W149" s="520"/>
      <c r="X149" s="513"/>
      <c r="Y149" s="518"/>
      <c r="Z149" s="519"/>
      <c r="AA149" s="520"/>
      <c r="AB149" s="513"/>
      <c r="AC149" s="518"/>
      <c r="AD149" s="519"/>
      <c r="AE149" s="520"/>
      <c r="AF149" s="513"/>
      <c r="AG149" s="518"/>
      <c r="AH149" s="519"/>
      <c r="AI149" s="520"/>
      <c r="AJ149" s="513"/>
      <c r="AK149" s="382"/>
      <c r="AL149" s="417"/>
      <c r="AM149" s="383"/>
      <c r="AN149" s="507"/>
      <c r="AO149" s="382"/>
      <c r="AP149" s="417"/>
      <c r="AQ149" s="383"/>
      <c r="AR149" s="507"/>
      <c r="AS149" s="514"/>
      <c r="AT149" s="514"/>
    </row>
    <row r="150">
      <c r="A150" s="382"/>
      <c r="B150" s="417"/>
      <c r="C150" s="383"/>
      <c r="D150" s="507"/>
      <c r="E150" s="382"/>
      <c r="F150" s="417"/>
      <c r="G150" s="383"/>
      <c r="H150" s="507"/>
      <c r="I150" s="382"/>
      <c r="J150" s="417"/>
      <c r="K150" s="383"/>
      <c r="L150" s="507"/>
      <c r="M150" s="382"/>
      <c r="N150" s="417"/>
      <c r="O150" s="383"/>
      <c r="P150" s="507"/>
      <c r="Q150" s="518"/>
      <c r="R150" s="519"/>
      <c r="S150" s="520"/>
      <c r="T150" s="513"/>
      <c r="U150" s="518"/>
      <c r="V150" s="519"/>
      <c r="W150" s="520"/>
      <c r="X150" s="513"/>
      <c r="Y150" s="518"/>
      <c r="Z150" s="519"/>
      <c r="AA150" s="520"/>
      <c r="AB150" s="513"/>
      <c r="AC150" s="518"/>
      <c r="AD150" s="519"/>
      <c r="AE150" s="520"/>
      <c r="AF150" s="513"/>
      <c r="AG150" s="518"/>
      <c r="AH150" s="519"/>
      <c r="AI150" s="520"/>
      <c r="AJ150" s="513"/>
      <c r="AK150" s="382"/>
      <c r="AL150" s="417"/>
      <c r="AM150" s="383"/>
      <c r="AN150" s="507"/>
      <c r="AO150" s="382"/>
      <c r="AP150" s="417"/>
      <c r="AQ150" s="383"/>
      <c r="AR150" s="507"/>
      <c r="AS150" s="514"/>
      <c r="AT150" s="514"/>
    </row>
    <row r="151">
      <c r="A151" s="382"/>
      <c r="B151" s="417"/>
      <c r="C151" s="383"/>
      <c r="D151" s="507"/>
      <c r="E151" s="382"/>
      <c r="F151" s="417"/>
      <c r="G151" s="383"/>
      <c r="H151" s="507"/>
      <c r="I151" s="382"/>
      <c r="J151" s="417"/>
      <c r="K151" s="383"/>
      <c r="L151" s="507"/>
      <c r="M151" s="382"/>
      <c r="N151" s="417"/>
      <c r="O151" s="383"/>
      <c r="P151" s="507"/>
      <c r="Q151" s="518"/>
      <c r="R151" s="519"/>
      <c r="S151" s="520"/>
      <c r="T151" s="513"/>
      <c r="U151" s="518"/>
      <c r="V151" s="519"/>
      <c r="W151" s="520"/>
      <c r="X151" s="513"/>
      <c r="Y151" s="518"/>
      <c r="Z151" s="519"/>
      <c r="AA151" s="520"/>
      <c r="AB151" s="513"/>
      <c r="AC151" s="518"/>
      <c r="AD151" s="519"/>
      <c r="AE151" s="520"/>
      <c r="AF151" s="513"/>
      <c r="AG151" s="518"/>
      <c r="AH151" s="519"/>
      <c r="AI151" s="520"/>
      <c r="AJ151" s="513"/>
      <c r="AK151" s="382"/>
      <c r="AL151" s="417"/>
      <c r="AM151" s="383"/>
      <c r="AN151" s="507"/>
      <c r="AO151" s="382"/>
      <c r="AP151" s="417"/>
      <c r="AQ151" s="383"/>
      <c r="AR151" s="507"/>
      <c r="AS151" s="514"/>
      <c r="AT151" s="514"/>
    </row>
    <row r="152">
      <c r="A152" s="382"/>
      <c r="B152" s="417"/>
      <c r="C152" s="383"/>
      <c r="D152" s="507"/>
      <c r="E152" s="382"/>
      <c r="F152" s="417"/>
      <c r="G152" s="383"/>
      <c r="H152" s="507"/>
      <c r="I152" s="382"/>
      <c r="J152" s="417"/>
      <c r="K152" s="383"/>
      <c r="L152" s="507"/>
      <c r="M152" s="382"/>
      <c r="N152" s="417"/>
      <c r="O152" s="383"/>
      <c r="P152" s="507"/>
      <c r="Q152" s="518"/>
      <c r="R152" s="519"/>
      <c r="S152" s="520"/>
      <c r="T152" s="513"/>
      <c r="U152" s="518"/>
      <c r="V152" s="519"/>
      <c r="W152" s="520"/>
      <c r="X152" s="513"/>
      <c r="Y152" s="518"/>
      <c r="Z152" s="519"/>
      <c r="AA152" s="520"/>
      <c r="AB152" s="513"/>
      <c r="AC152" s="518"/>
      <c r="AD152" s="519"/>
      <c r="AE152" s="520"/>
      <c r="AF152" s="513"/>
      <c r="AG152" s="518"/>
      <c r="AH152" s="519"/>
      <c r="AI152" s="520"/>
      <c r="AJ152" s="513"/>
      <c r="AK152" s="382"/>
      <c r="AL152" s="417"/>
      <c r="AM152" s="383"/>
      <c r="AN152" s="507"/>
      <c r="AO152" s="382"/>
      <c r="AP152" s="417"/>
      <c r="AQ152" s="383"/>
      <c r="AR152" s="507"/>
      <c r="AS152" s="514"/>
      <c r="AT152" s="514"/>
    </row>
    <row r="153">
      <c r="A153" s="382"/>
      <c r="B153" s="417"/>
      <c r="C153" s="383"/>
      <c r="D153" s="507"/>
      <c r="E153" s="382"/>
      <c r="F153" s="417"/>
      <c r="G153" s="383"/>
      <c r="H153" s="507"/>
      <c r="I153" s="382"/>
      <c r="J153" s="417"/>
      <c r="K153" s="383"/>
      <c r="L153" s="507"/>
      <c r="M153" s="382"/>
      <c r="N153" s="417"/>
      <c r="O153" s="383"/>
      <c r="P153" s="507"/>
      <c r="Q153" s="518"/>
      <c r="R153" s="519"/>
      <c r="S153" s="520"/>
      <c r="T153" s="513"/>
      <c r="U153" s="518"/>
      <c r="V153" s="519"/>
      <c r="W153" s="520"/>
      <c r="X153" s="513"/>
      <c r="Y153" s="518"/>
      <c r="Z153" s="519"/>
      <c r="AA153" s="520"/>
      <c r="AB153" s="513"/>
      <c r="AC153" s="518"/>
      <c r="AD153" s="519"/>
      <c r="AE153" s="520"/>
      <c r="AF153" s="513"/>
      <c r="AG153" s="518"/>
      <c r="AH153" s="519"/>
      <c r="AI153" s="520"/>
      <c r="AJ153" s="513"/>
      <c r="AK153" s="382"/>
      <c r="AL153" s="417"/>
      <c r="AM153" s="383"/>
      <c r="AN153" s="507"/>
      <c r="AO153" s="382"/>
      <c r="AP153" s="417"/>
      <c r="AQ153" s="383"/>
      <c r="AR153" s="507"/>
      <c r="AS153" s="514"/>
      <c r="AT153" s="514"/>
    </row>
    <row r="154">
      <c r="A154" s="382"/>
      <c r="B154" s="417"/>
      <c r="C154" s="383"/>
      <c r="D154" s="507"/>
      <c r="E154" s="382"/>
      <c r="F154" s="417"/>
      <c r="G154" s="383"/>
      <c r="H154" s="507"/>
      <c r="I154" s="382"/>
      <c r="J154" s="417"/>
      <c r="K154" s="383"/>
      <c r="L154" s="507"/>
      <c r="M154" s="382"/>
      <c r="N154" s="417"/>
      <c r="O154" s="383"/>
      <c r="P154" s="507"/>
      <c r="Q154" s="518"/>
      <c r="R154" s="519"/>
      <c r="S154" s="520"/>
      <c r="T154" s="513"/>
      <c r="U154" s="518"/>
      <c r="V154" s="519"/>
      <c r="W154" s="520"/>
      <c r="X154" s="513"/>
      <c r="Y154" s="518"/>
      <c r="Z154" s="519"/>
      <c r="AA154" s="520"/>
      <c r="AB154" s="513"/>
      <c r="AC154" s="518"/>
      <c r="AD154" s="519"/>
      <c r="AE154" s="520"/>
      <c r="AF154" s="513"/>
      <c r="AG154" s="518"/>
      <c r="AH154" s="519"/>
      <c r="AI154" s="520"/>
      <c r="AJ154" s="513"/>
      <c r="AK154" s="382"/>
      <c r="AL154" s="417"/>
      <c r="AM154" s="383"/>
      <c r="AN154" s="507"/>
      <c r="AO154" s="382"/>
      <c r="AP154" s="417"/>
      <c r="AQ154" s="383"/>
      <c r="AR154" s="507"/>
      <c r="AS154" s="514"/>
      <c r="AT154" s="514"/>
    </row>
    <row r="155">
      <c r="A155" s="382"/>
      <c r="B155" s="417"/>
      <c r="C155" s="383"/>
      <c r="D155" s="507"/>
      <c r="E155" s="382"/>
      <c r="F155" s="417"/>
      <c r="G155" s="383"/>
      <c r="H155" s="507"/>
      <c r="I155" s="382"/>
      <c r="J155" s="417"/>
      <c r="K155" s="383"/>
      <c r="L155" s="507"/>
      <c r="M155" s="382"/>
      <c r="N155" s="417"/>
      <c r="O155" s="383"/>
      <c r="P155" s="507"/>
      <c r="Q155" s="518"/>
      <c r="R155" s="519"/>
      <c r="S155" s="520"/>
      <c r="T155" s="513"/>
      <c r="U155" s="518"/>
      <c r="V155" s="519"/>
      <c r="W155" s="520"/>
      <c r="X155" s="513"/>
      <c r="Y155" s="518"/>
      <c r="Z155" s="519"/>
      <c r="AA155" s="520"/>
      <c r="AB155" s="513"/>
      <c r="AC155" s="518"/>
      <c r="AD155" s="519"/>
      <c r="AE155" s="520"/>
      <c r="AF155" s="513"/>
      <c r="AG155" s="518"/>
      <c r="AH155" s="519"/>
      <c r="AI155" s="520"/>
      <c r="AJ155" s="513"/>
      <c r="AK155" s="382"/>
      <c r="AL155" s="417"/>
      <c r="AM155" s="383"/>
      <c r="AN155" s="507"/>
      <c r="AO155" s="382"/>
      <c r="AP155" s="417"/>
      <c r="AQ155" s="383"/>
      <c r="AR155" s="507"/>
      <c r="AS155" s="514"/>
      <c r="AT155" s="514"/>
    </row>
    <row r="156">
      <c r="A156" s="382"/>
      <c r="B156" s="417"/>
      <c r="C156" s="383"/>
      <c r="D156" s="507"/>
      <c r="E156" s="382"/>
      <c r="F156" s="417"/>
      <c r="G156" s="383"/>
      <c r="H156" s="507"/>
      <c r="I156" s="382"/>
      <c r="J156" s="417"/>
      <c r="K156" s="383"/>
      <c r="L156" s="507"/>
      <c r="M156" s="382"/>
      <c r="N156" s="417"/>
      <c r="O156" s="383"/>
      <c r="P156" s="507"/>
      <c r="Q156" s="518"/>
      <c r="R156" s="519"/>
      <c r="S156" s="520"/>
      <c r="T156" s="513"/>
      <c r="U156" s="518"/>
      <c r="V156" s="519"/>
      <c r="W156" s="520"/>
      <c r="X156" s="513"/>
      <c r="Y156" s="518"/>
      <c r="Z156" s="519"/>
      <c r="AA156" s="520"/>
      <c r="AB156" s="513"/>
      <c r="AC156" s="518"/>
      <c r="AD156" s="519"/>
      <c r="AE156" s="520"/>
      <c r="AF156" s="513"/>
      <c r="AG156" s="518"/>
      <c r="AH156" s="519"/>
      <c r="AI156" s="520"/>
      <c r="AJ156" s="513"/>
      <c r="AK156" s="382"/>
      <c r="AL156" s="417"/>
      <c r="AM156" s="383"/>
      <c r="AN156" s="507"/>
      <c r="AO156" s="382"/>
      <c r="AP156" s="417"/>
      <c r="AQ156" s="383"/>
      <c r="AR156" s="507"/>
      <c r="AS156" s="514"/>
      <c r="AT156" s="514"/>
    </row>
    <row r="157">
      <c r="A157" s="382"/>
      <c r="B157" s="417"/>
      <c r="C157" s="383"/>
      <c r="D157" s="507"/>
      <c r="E157" s="382"/>
      <c r="F157" s="417"/>
      <c r="G157" s="383"/>
      <c r="H157" s="507"/>
      <c r="I157" s="382"/>
      <c r="J157" s="417"/>
      <c r="K157" s="383"/>
      <c r="L157" s="507"/>
      <c r="M157" s="382"/>
      <c r="N157" s="417"/>
      <c r="O157" s="383"/>
      <c r="P157" s="507"/>
      <c r="Q157" s="518"/>
      <c r="R157" s="519"/>
      <c r="S157" s="520"/>
      <c r="T157" s="513"/>
      <c r="U157" s="518"/>
      <c r="V157" s="519"/>
      <c r="W157" s="520"/>
      <c r="X157" s="513"/>
      <c r="Y157" s="518"/>
      <c r="Z157" s="519"/>
      <c r="AA157" s="520"/>
      <c r="AB157" s="513"/>
      <c r="AC157" s="518"/>
      <c r="AD157" s="519"/>
      <c r="AE157" s="520"/>
      <c r="AF157" s="513"/>
      <c r="AG157" s="518"/>
      <c r="AH157" s="519"/>
      <c r="AI157" s="520"/>
      <c r="AJ157" s="513"/>
      <c r="AK157" s="382"/>
      <c r="AL157" s="417"/>
      <c r="AM157" s="383"/>
      <c r="AN157" s="507"/>
      <c r="AO157" s="382"/>
      <c r="AP157" s="417"/>
      <c r="AQ157" s="383"/>
      <c r="AR157" s="507"/>
      <c r="AS157" s="514"/>
      <c r="AT157" s="514"/>
    </row>
    <row r="158">
      <c r="A158" s="382"/>
      <c r="B158" s="417"/>
      <c r="C158" s="383"/>
      <c r="D158" s="507"/>
      <c r="E158" s="382"/>
      <c r="F158" s="417"/>
      <c r="G158" s="383"/>
      <c r="H158" s="507"/>
      <c r="I158" s="382"/>
      <c r="J158" s="417"/>
      <c r="K158" s="383"/>
      <c r="L158" s="507"/>
      <c r="M158" s="382"/>
      <c r="N158" s="417"/>
      <c r="O158" s="383"/>
      <c r="P158" s="507"/>
      <c r="Q158" s="518"/>
      <c r="R158" s="519"/>
      <c r="S158" s="520"/>
      <c r="T158" s="513"/>
      <c r="U158" s="518"/>
      <c r="V158" s="519"/>
      <c r="W158" s="520"/>
      <c r="X158" s="513"/>
      <c r="Y158" s="518"/>
      <c r="Z158" s="519"/>
      <c r="AA158" s="520"/>
      <c r="AB158" s="513"/>
      <c r="AC158" s="518"/>
      <c r="AD158" s="519"/>
      <c r="AE158" s="520"/>
      <c r="AF158" s="513"/>
      <c r="AG158" s="518"/>
      <c r="AH158" s="519"/>
      <c r="AI158" s="520"/>
      <c r="AJ158" s="513"/>
      <c r="AK158" s="382"/>
      <c r="AL158" s="417"/>
      <c r="AM158" s="383"/>
      <c r="AN158" s="507"/>
      <c r="AO158" s="382"/>
      <c r="AP158" s="417"/>
      <c r="AQ158" s="383"/>
      <c r="AR158" s="507"/>
      <c r="AS158" s="514"/>
      <c r="AT158" s="514"/>
    </row>
    <row r="159">
      <c r="A159" s="382"/>
      <c r="B159" s="417"/>
      <c r="C159" s="383"/>
      <c r="D159" s="507"/>
      <c r="E159" s="382"/>
      <c r="F159" s="417"/>
      <c r="G159" s="383"/>
      <c r="H159" s="507"/>
      <c r="I159" s="382"/>
      <c r="J159" s="417"/>
      <c r="K159" s="383"/>
      <c r="L159" s="507"/>
      <c r="M159" s="382"/>
      <c r="N159" s="417"/>
      <c r="O159" s="383"/>
      <c r="P159" s="507"/>
      <c r="Q159" s="518"/>
      <c r="R159" s="519"/>
      <c r="S159" s="520"/>
      <c r="T159" s="513"/>
      <c r="U159" s="518"/>
      <c r="V159" s="519"/>
      <c r="W159" s="520"/>
      <c r="X159" s="513"/>
      <c r="Y159" s="518"/>
      <c r="Z159" s="519"/>
      <c r="AA159" s="520"/>
      <c r="AB159" s="513"/>
      <c r="AC159" s="518"/>
      <c r="AD159" s="519"/>
      <c r="AE159" s="520"/>
      <c r="AF159" s="513"/>
      <c r="AG159" s="518"/>
      <c r="AH159" s="519"/>
      <c r="AI159" s="520"/>
      <c r="AJ159" s="513"/>
      <c r="AK159" s="382"/>
      <c r="AL159" s="417"/>
      <c r="AM159" s="383"/>
      <c r="AN159" s="507"/>
      <c r="AO159" s="382"/>
      <c r="AP159" s="417"/>
      <c r="AQ159" s="383"/>
      <c r="AR159" s="507"/>
      <c r="AS159" s="514"/>
      <c r="AT159" s="514"/>
    </row>
    <row r="160">
      <c r="A160" s="382"/>
      <c r="B160" s="417"/>
      <c r="C160" s="383"/>
      <c r="D160" s="507"/>
      <c r="E160" s="382"/>
      <c r="F160" s="417"/>
      <c r="G160" s="383"/>
      <c r="H160" s="507"/>
      <c r="I160" s="382"/>
      <c r="J160" s="417"/>
      <c r="K160" s="383"/>
      <c r="L160" s="507"/>
      <c r="M160" s="382"/>
      <c r="N160" s="417"/>
      <c r="O160" s="383"/>
      <c r="P160" s="507"/>
      <c r="Q160" s="518"/>
      <c r="R160" s="519"/>
      <c r="S160" s="520"/>
      <c r="T160" s="513"/>
      <c r="U160" s="518"/>
      <c r="V160" s="519"/>
      <c r="W160" s="520"/>
      <c r="X160" s="513"/>
      <c r="Y160" s="518"/>
      <c r="Z160" s="519"/>
      <c r="AA160" s="520"/>
      <c r="AB160" s="513"/>
      <c r="AC160" s="518"/>
      <c r="AD160" s="519"/>
      <c r="AE160" s="520"/>
      <c r="AF160" s="513"/>
      <c r="AG160" s="518"/>
      <c r="AH160" s="519"/>
      <c r="AI160" s="520"/>
      <c r="AJ160" s="513"/>
      <c r="AK160" s="382"/>
      <c r="AL160" s="417"/>
      <c r="AM160" s="383"/>
      <c r="AN160" s="507"/>
      <c r="AO160" s="382"/>
      <c r="AP160" s="417"/>
      <c r="AQ160" s="383"/>
      <c r="AR160" s="507"/>
      <c r="AS160" s="514"/>
      <c r="AT160" s="514"/>
    </row>
    <row r="161">
      <c r="A161" s="382"/>
      <c r="B161" s="417"/>
      <c r="C161" s="383"/>
      <c r="D161" s="507"/>
      <c r="E161" s="382"/>
      <c r="F161" s="417"/>
      <c r="G161" s="383"/>
      <c r="H161" s="507"/>
      <c r="I161" s="382"/>
      <c r="J161" s="417"/>
      <c r="K161" s="383"/>
      <c r="L161" s="507"/>
      <c r="M161" s="382"/>
      <c r="N161" s="417"/>
      <c r="O161" s="383"/>
      <c r="P161" s="507"/>
      <c r="Q161" s="518"/>
      <c r="R161" s="519"/>
      <c r="S161" s="520"/>
      <c r="T161" s="513"/>
      <c r="U161" s="518"/>
      <c r="V161" s="519"/>
      <c r="W161" s="520"/>
      <c r="X161" s="513"/>
      <c r="Y161" s="518"/>
      <c r="Z161" s="519"/>
      <c r="AA161" s="520"/>
      <c r="AB161" s="513"/>
      <c r="AC161" s="518"/>
      <c r="AD161" s="519"/>
      <c r="AE161" s="520"/>
      <c r="AF161" s="513"/>
      <c r="AG161" s="518"/>
      <c r="AH161" s="519"/>
      <c r="AI161" s="520"/>
      <c r="AJ161" s="513"/>
      <c r="AK161" s="382"/>
      <c r="AL161" s="417"/>
      <c r="AM161" s="383"/>
      <c r="AN161" s="507"/>
      <c r="AO161" s="382"/>
      <c r="AP161" s="417"/>
      <c r="AQ161" s="383"/>
      <c r="AR161" s="507"/>
      <c r="AS161" s="514"/>
      <c r="AT161" s="514"/>
    </row>
    <row r="162">
      <c r="A162" s="382"/>
      <c r="B162" s="417"/>
      <c r="C162" s="383"/>
      <c r="D162" s="507"/>
      <c r="E162" s="382"/>
      <c r="F162" s="417"/>
      <c r="G162" s="383"/>
      <c r="H162" s="507"/>
      <c r="I162" s="382"/>
      <c r="J162" s="417"/>
      <c r="K162" s="383"/>
      <c r="L162" s="507"/>
      <c r="M162" s="382"/>
      <c r="N162" s="417"/>
      <c r="O162" s="383"/>
      <c r="P162" s="507"/>
      <c r="Q162" s="518"/>
      <c r="R162" s="519"/>
      <c r="S162" s="520"/>
      <c r="T162" s="513"/>
      <c r="U162" s="518"/>
      <c r="V162" s="519"/>
      <c r="W162" s="520"/>
      <c r="X162" s="513"/>
      <c r="Y162" s="518"/>
      <c r="Z162" s="519"/>
      <c r="AA162" s="520"/>
      <c r="AB162" s="513"/>
      <c r="AC162" s="518"/>
      <c r="AD162" s="519"/>
      <c r="AE162" s="520"/>
      <c r="AF162" s="513"/>
      <c r="AG162" s="518"/>
      <c r="AH162" s="519"/>
      <c r="AI162" s="520"/>
      <c r="AJ162" s="513"/>
      <c r="AK162" s="382"/>
      <c r="AL162" s="417"/>
      <c r="AM162" s="383"/>
      <c r="AN162" s="507"/>
      <c r="AO162" s="382"/>
      <c r="AP162" s="417"/>
      <c r="AQ162" s="383"/>
      <c r="AR162" s="507"/>
      <c r="AS162" s="514"/>
      <c r="AT162" s="514"/>
    </row>
    <row r="163">
      <c r="A163" s="382"/>
      <c r="B163" s="417"/>
      <c r="C163" s="383"/>
      <c r="D163" s="507"/>
      <c r="E163" s="382"/>
      <c r="F163" s="417"/>
      <c r="G163" s="383"/>
      <c r="H163" s="507"/>
      <c r="I163" s="382"/>
      <c r="J163" s="417"/>
      <c r="K163" s="383"/>
      <c r="L163" s="507"/>
      <c r="M163" s="382"/>
      <c r="N163" s="417"/>
      <c r="O163" s="383"/>
      <c r="P163" s="507"/>
      <c r="Q163" s="518"/>
      <c r="R163" s="519"/>
      <c r="S163" s="520"/>
      <c r="T163" s="513"/>
      <c r="U163" s="518"/>
      <c r="V163" s="519"/>
      <c r="W163" s="520"/>
      <c r="X163" s="513"/>
      <c r="Y163" s="518"/>
      <c r="Z163" s="519"/>
      <c r="AA163" s="520"/>
      <c r="AB163" s="513"/>
      <c r="AC163" s="518"/>
      <c r="AD163" s="519"/>
      <c r="AE163" s="520"/>
      <c r="AF163" s="513"/>
      <c r="AG163" s="518"/>
      <c r="AH163" s="519"/>
      <c r="AI163" s="520"/>
      <c r="AJ163" s="513"/>
      <c r="AK163" s="382"/>
      <c r="AL163" s="417"/>
      <c r="AM163" s="383"/>
      <c r="AN163" s="507"/>
      <c r="AO163" s="382"/>
      <c r="AP163" s="417"/>
      <c r="AQ163" s="383"/>
      <c r="AR163" s="507"/>
      <c r="AS163" s="514"/>
      <c r="AT163" s="514"/>
    </row>
    <row r="164">
      <c r="A164" s="382"/>
      <c r="B164" s="417"/>
      <c r="C164" s="383"/>
      <c r="D164" s="507"/>
      <c r="E164" s="382"/>
      <c r="F164" s="417"/>
      <c r="G164" s="383"/>
      <c r="H164" s="507"/>
      <c r="I164" s="382"/>
      <c r="J164" s="417"/>
      <c r="K164" s="383"/>
      <c r="L164" s="507"/>
      <c r="M164" s="382"/>
      <c r="N164" s="417"/>
      <c r="O164" s="383"/>
      <c r="P164" s="507"/>
      <c r="Q164" s="518"/>
      <c r="R164" s="519"/>
      <c r="S164" s="520"/>
      <c r="T164" s="513"/>
      <c r="U164" s="518"/>
      <c r="V164" s="519"/>
      <c r="W164" s="520"/>
      <c r="X164" s="513"/>
      <c r="Y164" s="518"/>
      <c r="Z164" s="519"/>
      <c r="AA164" s="520"/>
      <c r="AB164" s="513"/>
      <c r="AC164" s="518"/>
      <c r="AD164" s="519"/>
      <c r="AE164" s="520"/>
      <c r="AF164" s="513"/>
      <c r="AG164" s="518"/>
      <c r="AH164" s="519"/>
      <c r="AI164" s="520"/>
      <c r="AJ164" s="513"/>
      <c r="AK164" s="382"/>
      <c r="AL164" s="417"/>
      <c r="AM164" s="383"/>
      <c r="AN164" s="507"/>
      <c r="AO164" s="382"/>
      <c r="AP164" s="417"/>
      <c r="AQ164" s="383"/>
      <c r="AR164" s="507"/>
      <c r="AS164" s="514"/>
      <c r="AT164" s="514"/>
    </row>
    <row r="165">
      <c r="A165" s="382"/>
      <c r="B165" s="417"/>
      <c r="C165" s="383"/>
      <c r="D165" s="507"/>
      <c r="E165" s="382"/>
      <c r="F165" s="417"/>
      <c r="G165" s="383"/>
      <c r="H165" s="507"/>
      <c r="I165" s="382"/>
      <c r="J165" s="417"/>
      <c r="K165" s="383"/>
      <c r="L165" s="507"/>
      <c r="M165" s="382"/>
      <c r="N165" s="417"/>
      <c r="O165" s="383"/>
      <c r="P165" s="507"/>
      <c r="Q165" s="518"/>
      <c r="R165" s="519"/>
      <c r="S165" s="520"/>
      <c r="T165" s="513"/>
      <c r="U165" s="518"/>
      <c r="V165" s="519"/>
      <c r="W165" s="520"/>
      <c r="X165" s="513"/>
      <c r="Y165" s="518"/>
      <c r="Z165" s="519"/>
      <c r="AA165" s="520"/>
      <c r="AB165" s="513"/>
      <c r="AC165" s="518"/>
      <c r="AD165" s="519"/>
      <c r="AE165" s="520"/>
      <c r="AF165" s="513"/>
      <c r="AG165" s="518"/>
      <c r="AH165" s="519"/>
      <c r="AI165" s="520"/>
      <c r="AJ165" s="513"/>
      <c r="AK165" s="382"/>
      <c r="AL165" s="417"/>
      <c r="AM165" s="383"/>
      <c r="AN165" s="507"/>
      <c r="AO165" s="382"/>
      <c r="AP165" s="417"/>
      <c r="AQ165" s="383"/>
      <c r="AR165" s="507"/>
      <c r="AS165" s="514"/>
      <c r="AT165" s="514"/>
    </row>
    <row r="166">
      <c r="A166" s="382"/>
      <c r="B166" s="417"/>
      <c r="C166" s="383"/>
      <c r="D166" s="507"/>
      <c r="E166" s="382"/>
      <c r="F166" s="417"/>
      <c r="G166" s="383"/>
      <c r="H166" s="507"/>
      <c r="I166" s="382"/>
      <c r="J166" s="417"/>
      <c r="K166" s="383"/>
      <c r="L166" s="507"/>
      <c r="M166" s="382"/>
      <c r="N166" s="417"/>
      <c r="O166" s="383"/>
      <c r="P166" s="507"/>
      <c r="Q166" s="518"/>
      <c r="R166" s="519"/>
      <c r="S166" s="520"/>
      <c r="T166" s="513"/>
      <c r="U166" s="518"/>
      <c r="V166" s="519"/>
      <c r="W166" s="520"/>
      <c r="X166" s="513"/>
      <c r="Y166" s="518"/>
      <c r="Z166" s="519"/>
      <c r="AA166" s="520"/>
      <c r="AB166" s="513"/>
      <c r="AC166" s="518"/>
      <c r="AD166" s="519"/>
      <c r="AE166" s="520"/>
      <c r="AF166" s="513"/>
      <c r="AG166" s="518"/>
      <c r="AH166" s="519"/>
      <c r="AI166" s="520"/>
      <c r="AJ166" s="513"/>
      <c r="AK166" s="382"/>
      <c r="AL166" s="417"/>
      <c r="AM166" s="383"/>
      <c r="AN166" s="507"/>
      <c r="AO166" s="382"/>
      <c r="AP166" s="417"/>
      <c r="AQ166" s="383"/>
      <c r="AR166" s="507"/>
      <c r="AS166" s="514"/>
      <c r="AT166" s="514"/>
    </row>
    <row r="167">
      <c r="A167" s="382"/>
      <c r="B167" s="417"/>
      <c r="C167" s="383"/>
      <c r="D167" s="507"/>
      <c r="E167" s="382"/>
      <c r="F167" s="417"/>
      <c r="G167" s="383"/>
      <c r="H167" s="507"/>
      <c r="I167" s="382"/>
      <c r="J167" s="417"/>
      <c r="K167" s="383"/>
      <c r="L167" s="507"/>
      <c r="M167" s="382"/>
      <c r="N167" s="417"/>
      <c r="O167" s="383"/>
      <c r="P167" s="507"/>
      <c r="Q167" s="518"/>
      <c r="R167" s="519"/>
      <c r="S167" s="520"/>
      <c r="T167" s="513"/>
      <c r="U167" s="518"/>
      <c r="V167" s="519"/>
      <c r="W167" s="520"/>
      <c r="X167" s="513"/>
      <c r="Y167" s="518"/>
      <c r="Z167" s="519"/>
      <c r="AA167" s="520"/>
      <c r="AB167" s="513"/>
      <c r="AC167" s="518"/>
      <c r="AD167" s="519"/>
      <c r="AE167" s="520"/>
      <c r="AF167" s="513"/>
      <c r="AG167" s="518"/>
      <c r="AH167" s="519"/>
      <c r="AI167" s="520"/>
      <c r="AJ167" s="513"/>
      <c r="AK167" s="382"/>
      <c r="AL167" s="417"/>
      <c r="AM167" s="383"/>
      <c r="AN167" s="507"/>
      <c r="AO167" s="382"/>
      <c r="AP167" s="417"/>
      <c r="AQ167" s="383"/>
      <c r="AR167" s="507"/>
      <c r="AS167" s="514"/>
      <c r="AT167" s="514"/>
    </row>
    <row r="168">
      <c r="A168" s="382"/>
      <c r="B168" s="417"/>
      <c r="C168" s="383"/>
      <c r="D168" s="507"/>
      <c r="E168" s="382"/>
      <c r="F168" s="417"/>
      <c r="G168" s="383"/>
      <c r="H168" s="507"/>
      <c r="I168" s="382"/>
      <c r="J168" s="417"/>
      <c r="K168" s="383"/>
      <c r="L168" s="507"/>
      <c r="M168" s="382"/>
      <c r="N168" s="417"/>
      <c r="O168" s="383"/>
      <c r="P168" s="507"/>
      <c r="Q168" s="518"/>
      <c r="R168" s="519"/>
      <c r="S168" s="520"/>
      <c r="T168" s="513"/>
      <c r="U168" s="518"/>
      <c r="V168" s="519"/>
      <c r="W168" s="520"/>
      <c r="X168" s="513"/>
      <c r="Y168" s="518"/>
      <c r="Z168" s="519"/>
      <c r="AA168" s="520"/>
      <c r="AB168" s="513"/>
      <c r="AC168" s="518"/>
      <c r="AD168" s="519"/>
      <c r="AE168" s="520"/>
      <c r="AF168" s="513"/>
      <c r="AG168" s="518"/>
      <c r="AH168" s="519"/>
      <c r="AI168" s="520"/>
      <c r="AJ168" s="513"/>
      <c r="AK168" s="382"/>
      <c r="AL168" s="417"/>
      <c r="AM168" s="383"/>
      <c r="AN168" s="507"/>
      <c r="AO168" s="382"/>
      <c r="AP168" s="417"/>
      <c r="AQ168" s="383"/>
      <c r="AR168" s="507"/>
      <c r="AS168" s="514"/>
      <c r="AT168" s="514"/>
    </row>
    <row r="169">
      <c r="A169" s="382"/>
      <c r="B169" s="417"/>
      <c r="C169" s="383"/>
      <c r="D169" s="507"/>
      <c r="E169" s="382"/>
      <c r="F169" s="417"/>
      <c r="G169" s="383"/>
      <c r="H169" s="507"/>
      <c r="I169" s="382"/>
      <c r="J169" s="417"/>
      <c r="K169" s="383"/>
      <c r="L169" s="507"/>
      <c r="M169" s="382"/>
      <c r="N169" s="417"/>
      <c r="O169" s="383"/>
      <c r="P169" s="507"/>
      <c r="Q169" s="518"/>
      <c r="R169" s="519"/>
      <c r="S169" s="520"/>
      <c r="T169" s="513"/>
      <c r="U169" s="518"/>
      <c r="V169" s="519"/>
      <c r="W169" s="520"/>
      <c r="X169" s="513"/>
      <c r="Y169" s="518"/>
      <c r="Z169" s="519"/>
      <c r="AA169" s="520"/>
      <c r="AB169" s="513"/>
      <c r="AC169" s="518"/>
      <c r="AD169" s="519"/>
      <c r="AE169" s="520"/>
      <c r="AF169" s="513"/>
      <c r="AG169" s="518"/>
      <c r="AH169" s="519"/>
      <c r="AI169" s="520"/>
      <c r="AJ169" s="513"/>
      <c r="AK169" s="382"/>
      <c r="AL169" s="417"/>
      <c r="AM169" s="383"/>
      <c r="AN169" s="507"/>
      <c r="AO169" s="382"/>
      <c r="AP169" s="417"/>
      <c r="AQ169" s="383"/>
      <c r="AR169" s="507"/>
      <c r="AS169" s="514"/>
      <c r="AT169" s="514"/>
    </row>
    <row r="170">
      <c r="A170" s="382"/>
      <c r="B170" s="417"/>
      <c r="C170" s="383"/>
      <c r="D170" s="507"/>
      <c r="E170" s="382"/>
      <c r="F170" s="417"/>
      <c r="G170" s="383"/>
      <c r="H170" s="507"/>
      <c r="I170" s="382"/>
      <c r="J170" s="417"/>
      <c r="K170" s="383"/>
      <c r="L170" s="507"/>
      <c r="M170" s="382"/>
      <c r="N170" s="417"/>
      <c r="O170" s="383"/>
      <c r="P170" s="507"/>
      <c r="Q170" s="518"/>
      <c r="R170" s="519"/>
      <c r="S170" s="520"/>
      <c r="T170" s="513"/>
      <c r="U170" s="518"/>
      <c r="V170" s="519"/>
      <c r="W170" s="520"/>
      <c r="X170" s="513"/>
      <c r="Y170" s="518"/>
      <c r="Z170" s="519"/>
      <c r="AA170" s="520"/>
      <c r="AB170" s="513"/>
      <c r="AC170" s="518"/>
      <c r="AD170" s="519"/>
      <c r="AE170" s="520"/>
      <c r="AF170" s="513"/>
      <c r="AG170" s="518"/>
      <c r="AH170" s="519"/>
      <c r="AI170" s="520"/>
      <c r="AJ170" s="513"/>
      <c r="AK170" s="382"/>
      <c r="AL170" s="417"/>
      <c r="AM170" s="383"/>
      <c r="AN170" s="507"/>
      <c r="AO170" s="382"/>
      <c r="AP170" s="417"/>
      <c r="AQ170" s="383"/>
      <c r="AR170" s="507"/>
      <c r="AS170" s="514"/>
      <c r="AT170" s="514"/>
    </row>
    <row r="171">
      <c r="A171" s="382"/>
      <c r="B171" s="417"/>
      <c r="C171" s="383"/>
      <c r="D171" s="507"/>
      <c r="E171" s="382"/>
      <c r="F171" s="417"/>
      <c r="G171" s="383"/>
      <c r="H171" s="507"/>
      <c r="I171" s="382"/>
      <c r="J171" s="417"/>
      <c r="K171" s="383"/>
      <c r="L171" s="507"/>
      <c r="M171" s="382"/>
      <c r="N171" s="417"/>
      <c r="O171" s="383"/>
      <c r="P171" s="507"/>
      <c r="Q171" s="518"/>
      <c r="R171" s="519"/>
      <c r="S171" s="520"/>
      <c r="T171" s="513"/>
      <c r="U171" s="518"/>
      <c r="V171" s="519"/>
      <c r="W171" s="520"/>
      <c r="X171" s="513"/>
      <c r="Y171" s="518"/>
      <c r="Z171" s="519"/>
      <c r="AA171" s="520"/>
      <c r="AB171" s="513"/>
      <c r="AC171" s="518"/>
      <c r="AD171" s="519"/>
      <c r="AE171" s="520"/>
      <c r="AF171" s="513"/>
      <c r="AG171" s="518"/>
      <c r="AH171" s="519"/>
      <c r="AI171" s="520"/>
      <c r="AJ171" s="513"/>
      <c r="AK171" s="382"/>
      <c r="AL171" s="417"/>
      <c r="AM171" s="383"/>
      <c r="AN171" s="507"/>
      <c r="AO171" s="382"/>
      <c r="AP171" s="417"/>
      <c r="AQ171" s="383"/>
      <c r="AR171" s="507"/>
      <c r="AS171" s="514"/>
      <c r="AT171" s="514"/>
    </row>
    <row r="172">
      <c r="A172" s="382"/>
      <c r="B172" s="417"/>
      <c r="C172" s="383"/>
      <c r="D172" s="507"/>
      <c r="E172" s="382"/>
      <c r="F172" s="417"/>
      <c r="G172" s="383"/>
      <c r="H172" s="507"/>
      <c r="I172" s="382"/>
      <c r="J172" s="417"/>
      <c r="K172" s="383"/>
      <c r="L172" s="507"/>
      <c r="M172" s="382"/>
      <c r="N172" s="417"/>
      <c r="O172" s="383"/>
      <c r="P172" s="507"/>
      <c r="Q172" s="518"/>
      <c r="R172" s="519"/>
      <c r="S172" s="520"/>
      <c r="T172" s="513"/>
      <c r="U172" s="518"/>
      <c r="V172" s="519"/>
      <c r="W172" s="520"/>
      <c r="X172" s="513"/>
      <c r="Y172" s="518"/>
      <c r="Z172" s="519"/>
      <c r="AA172" s="520"/>
      <c r="AB172" s="513"/>
      <c r="AC172" s="518"/>
      <c r="AD172" s="519"/>
      <c r="AE172" s="520"/>
      <c r="AF172" s="513"/>
      <c r="AG172" s="518"/>
      <c r="AH172" s="519"/>
      <c r="AI172" s="520"/>
      <c r="AJ172" s="513"/>
      <c r="AK172" s="382"/>
      <c r="AL172" s="417"/>
      <c r="AM172" s="383"/>
      <c r="AN172" s="507"/>
      <c r="AO172" s="382"/>
      <c r="AP172" s="417"/>
      <c r="AQ172" s="383"/>
      <c r="AR172" s="507"/>
      <c r="AS172" s="514"/>
      <c r="AT172" s="514"/>
    </row>
    <row r="173">
      <c r="A173" s="382"/>
      <c r="B173" s="417"/>
      <c r="C173" s="383"/>
      <c r="D173" s="507"/>
      <c r="E173" s="382"/>
      <c r="F173" s="417"/>
      <c r="G173" s="383"/>
      <c r="H173" s="507"/>
      <c r="I173" s="382"/>
      <c r="J173" s="417"/>
      <c r="K173" s="383"/>
      <c r="L173" s="507"/>
      <c r="M173" s="382"/>
      <c r="N173" s="417"/>
      <c r="O173" s="383"/>
      <c r="P173" s="507"/>
      <c r="Q173" s="518"/>
      <c r="R173" s="519"/>
      <c r="S173" s="520"/>
      <c r="T173" s="513"/>
      <c r="U173" s="518"/>
      <c r="V173" s="519"/>
      <c r="W173" s="520"/>
      <c r="X173" s="513"/>
      <c r="Y173" s="518"/>
      <c r="Z173" s="519"/>
      <c r="AA173" s="520"/>
      <c r="AB173" s="513"/>
      <c r="AC173" s="518"/>
      <c r="AD173" s="519"/>
      <c r="AE173" s="520"/>
      <c r="AF173" s="513"/>
      <c r="AG173" s="518"/>
      <c r="AH173" s="519"/>
      <c r="AI173" s="520"/>
      <c r="AJ173" s="513"/>
      <c r="AK173" s="382"/>
      <c r="AL173" s="417"/>
      <c r="AM173" s="383"/>
      <c r="AN173" s="507"/>
      <c r="AO173" s="382"/>
      <c r="AP173" s="417"/>
      <c r="AQ173" s="383"/>
      <c r="AR173" s="507"/>
      <c r="AS173" s="514"/>
      <c r="AT173" s="514"/>
    </row>
    <row r="174">
      <c r="A174" s="382"/>
      <c r="B174" s="417"/>
      <c r="C174" s="383"/>
      <c r="D174" s="507"/>
      <c r="E174" s="382"/>
      <c r="F174" s="417"/>
      <c r="G174" s="383"/>
      <c r="H174" s="507"/>
      <c r="I174" s="382"/>
      <c r="J174" s="417"/>
      <c r="K174" s="383"/>
      <c r="L174" s="507"/>
      <c r="M174" s="382"/>
      <c r="N174" s="417"/>
      <c r="O174" s="383"/>
      <c r="P174" s="507"/>
      <c r="Q174" s="518"/>
      <c r="R174" s="519"/>
      <c r="S174" s="520"/>
      <c r="T174" s="513"/>
      <c r="U174" s="518"/>
      <c r="V174" s="519"/>
      <c r="W174" s="520"/>
      <c r="X174" s="513"/>
      <c r="Y174" s="518"/>
      <c r="Z174" s="519"/>
      <c r="AA174" s="520"/>
      <c r="AB174" s="513"/>
      <c r="AC174" s="518"/>
      <c r="AD174" s="519"/>
      <c r="AE174" s="520"/>
      <c r="AF174" s="513"/>
      <c r="AG174" s="518"/>
      <c r="AH174" s="519"/>
      <c r="AI174" s="520"/>
      <c r="AJ174" s="513"/>
      <c r="AK174" s="382"/>
      <c r="AL174" s="417"/>
      <c r="AM174" s="383"/>
      <c r="AN174" s="507"/>
      <c r="AO174" s="382"/>
      <c r="AP174" s="417"/>
      <c r="AQ174" s="383"/>
      <c r="AR174" s="507"/>
      <c r="AS174" s="514"/>
      <c r="AT174" s="514"/>
    </row>
    <row r="175">
      <c r="A175" s="382"/>
      <c r="B175" s="417"/>
      <c r="C175" s="383"/>
      <c r="D175" s="507"/>
      <c r="E175" s="382"/>
      <c r="F175" s="417"/>
      <c r="G175" s="383"/>
      <c r="H175" s="507"/>
      <c r="I175" s="382"/>
      <c r="J175" s="417"/>
      <c r="K175" s="383"/>
      <c r="L175" s="507"/>
      <c r="M175" s="382"/>
      <c r="N175" s="417"/>
      <c r="O175" s="383"/>
      <c r="P175" s="507"/>
      <c r="Q175" s="518"/>
      <c r="R175" s="519"/>
      <c r="S175" s="520"/>
      <c r="T175" s="513"/>
      <c r="U175" s="518"/>
      <c r="V175" s="519"/>
      <c r="W175" s="520"/>
      <c r="X175" s="513"/>
      <c r="Y175" s="518"/>
      <c r="Z175" s="519"/>
      <c r="AA175" s="520"/>
      <c r="AB175" s="513"/>
      <c r="AC175" s="518"/>
      <c r="AD175" s="519"/>
      <c r="AE175" s="520"/>
      <c r="AF175" s="513"/>
      <c r="AG175" s="518"/>
      <c r="AH175" s="519"/>
      <c r="AI175" s="520"/>
      <c r="AJ175" s="513"/>
      <c r="AK175" s="382"/>
      <c r="AL175" s="417"/>
      <c r="AM175" s="383"/>
      <c r="AN175" s="507"/>
      <c r="AO175" s="382"/>
      <c r="AP175" s="417"/>
      <c r="AQ175" s="383"/>
      <c r="AR175" s="507"/>
      <c r="AS175" s="514"/>
      <c r="AT175" s="514"/>
    </row>
    <row r="176">
      <c r="A176" s="382"/>
      <c r="B176" s="417"/>
      <c r="C176" s="383"/>
      <c r="D176" s="507"/>
      <c r="E176" s="382"/>
      <c r="F176" s="417"/>
      <c r="G176" s="383"/>
      <c r="H176" s="507"/>
      <c r="I176" s="382"/>
      <c r="J176" s="417"/>
      <c r="K176" s="383"/>
      <c r="L176" s="507"/>
      <c r="M176" s="382"/>
      <c r="N176" s="417"/>
      <c r="O176" s="383"/>
      <c r="P176" s="507"/>
      <c r="Q176" s="518"/>
      <c r="R176" s="519"/>
      <c r="S176" s="520"/>
      <c r="T176" s="513"/>
      <c r="U176" s="518"/>
      <c r="V176" s="519"/>
      <c r="W176" s="520"/>
      <c r="X176" s="513"/>
      <c r="Y176" s="518"/>
      <c r="Z176" s="519"/>
      <c r="AA176" s="520"/>
      <c r="AB176" s="513"/>
      <c r="AC176" s="518"/>
      <c r="AD176" s="519"/>
      <c r="AE176" s="520"/>
      <c r="AF176" s="513"/>
      <c r="AG176" s="518"/>
      <c r="AH176" s="519"/>
      <c r="AI176" s="520"/>
      <c r="AJ176" s="513"/>
      <c r="AK176" s="382"/>
      <c r="AL176" s="417"/>
      <c r="AM176" s="383"/>
      <c r="AN176" s="507"/>
      <c r="AO176" s="382"/>
      <c r="AP176" s="417"/>
      <c r="AQ176" s="383"/>
      <c r="AR176" s="507"/>
      <c r="AS176" s="514"/>
      <c r="AT176" s="514"/>
    </row>
    <row r="177">
      <c r="A177" s="382"/>
      <c r="B177" s="417"/>
      <c r="C177" s="383"/>
      <c r="D177" s="507"/>
      <c r="E177" s="382"/>
      <c r="F177" s="417"/>
      <c r="G177" s="383"/>
      <c r="H177" s="507"/>
      <c r="I177" s="382"/>
      <c r="J177" s="417"/>
      <c r="K177" s="383"/>
      <c r="L177" s="507"/>
      <c r="M177" s="382"/>
      <c r="N177" s="417"/>
      <c r="O177" s="383"/>
      <c r="P177" s="507"/>
      <c r="Q177" s="518"/>
      <c r="R177" s="519"/>
      <c r="S177" s="520"/>
      <c r="T177" s="513"/>
      <c r="U177" s="518"/>
      <c r="V177" s="519"/>
      <c r="W177" s="520"/>
      <c r="X177" s="513"/>
      <c r="Y177" s="518"/>
      <c r="Z177" s="519"/>
      <c r="AA177" s="520"/>
      <c r="AB177" s="513"/>
      <c r="AC177" s="518"/>
      <c r="AD177" s="519"/>
      <c r="AE177" s="520"/>
      <c r="AF177" s="513"/>
      <c r="AG177" s="518"/>
      <c r="AH177" s="519"/>
      <c r="AI177" s="520"/>
      <c r="AJ177" s="513"/>
      <c r="AK177" s="382"/>
      <c r="AL177" s="417"/>
      <c r="AM177" s="383"/>
      <c r="AN177" s="507"/>
      <c r="AO177" s="382"/>
      <c r="AP177" s="417"/>
      <c r="AQ177" s="383"/>
      <c r="AR177" s="507"/>
      <c r="AS177" s="514"/>
      <c r="AT177" s="514"/>
    </row>
    <row r="178">
      <c r="A178" s="382"/>
      <c r="B178" s="417"/>
      <c r="C178" s="383"/>
      <c r="D178" s="507"/>
      <c r="E178" s="382"/>
      <c r="F178" s="417"/>
      <c r="G178" s="383"/>
      <c r="H178" s="507"/>
      <c r="I178" s="382"/>
      <c r="J178" s="417"/>
      <c r="K178" s="383"/>
      <c r="L178" s="507"/>
      <c r="M178" s="382"/>
      <c r="N178" s="417"/>
      <c r="O178" s="383"/>
      <c r="P178" s="507"/>
      <c r="Q178" s="518"/>
      <c r="R178" s="519"/>
      <c r="S178" s="520"/>
      <c r="T178" s="513"/>
      <c r="U178" s="518"/>
      <c r="V178" s="519"/>
      <c r="W178" s="520"/>
      <c r="X178" s="513"/>
      <c r="Y178" s="518"/>
      <c r="Z178" s="519"/>
      <c r="AA178" s="520"/>
      <c r="AB178" s="513"/>
      <c r="AC178" s="518"/>
      <c r="AD178" s="519"/>
      <c r="AE178" s="520"/>
      <c r="AF178" s="513"/>
      <c r="AG178" s="518"/>
      <c r="AH178" s="519"/>
      <c r="AI178" s="520"/>
      <c r="AJ178" s="513"/>
      <c r="AK178" s="382"/>
      <c r="AL178" s="417"/>
      <c r="AM178" s="383"/>
      <c r="AN178" s="507"/>
      <c r="AO178" s="382"/>
      <c r="AP178" s="417"/>
      <c r="AQ178" s="383"/>
      <c r="AR178" s="507"/>
      <c r="AS178" s="514"/>
      <c r="AT178" s="514"/>
    </row>
    <row r="179">
      <c r="A179" s="382"/>
      <c r="B179" s="417"/>
      <c r="C179" s="383"/>
      <c r="D179" s="507"/>
      <c r="E179" s="382"/>
      <c r="F179" s="417"/>
      <c r="G179" s="383"/>
      <c r="H179" s="507"/>
      <c r="I179" s="382"/>
      <c r="J179" s="417"/>
      <c r="K179" s="383"/>
      <c r="L179" s="507"/>
      <c r="M179" s="382"/>
      <c r="N179" s="417"/>
      <c r="O179" s="383"/>
      <c r="P179" s="507"/>
      <c r="Q179" s="518"/>
      <c r="R179" s="519"/>
      <c r="S179" s="520"/>
      <c r="T179" s="513"/>
      <c r="U179" s="518"/>
      <c r="V179" s="519"/>
      <c r="W179" s="520"/>
      <c r="X179" s="513"/>
      <c r="Y179" s="518"/>
      <c r="Z179" s="519"/>
      <c r="AA179" s="520"/>
      <c r="AB179" s="513"/>
      <c r="AC179" s="518"/>
      <c r="AD179" s="519"/>
      <c r="AE179" s="520"/>
      <c r="AF179" s="513"/>
      <c r="AG179" s="518"/>
      <c r="AH179" s="519"/>
      <c r="AI179" s="520"/>
      <c r="AJ179" s="513"/>
      <c r="AK179" s="382"/>
      <c r="AL179" s="417"/>
      <c r="AM179" s="383"/>
      <c r="AN179" s="507"/>
      <c r="AO179" s="382"/>
      <c r="AP179" s="417"/>
      <c r="AQ179" s="383"/>
      <c r="AR179" s="507"/>
      <c r="AS179" s="514"/>
      <c r="AT179" s="514"/>
    </row>
    <row r="180">
      <c r="A180" s="382"/>
      <c r="B180" s="417"/>
      <c r="C180" s="383"/>
      <c r="D180" s="507"/>
      <c r="E180" s="382"/>
      <c r="F180" s="417"/>
      <c r="G180" s="383"/>
      <c r="H180" s="507"/>
      <c r="I180" s="382"/>
      <c r="J180" s="417"/>
      <c r="K180" s="383"/>
      <c r="L180" s="507"/>
      <c r="M180" s="382"/>
      <c r="N180" s="417"/>
      <c r="O180" s="383"/>
      <c r="P180" s="507"/>
      <c r="Q180" s="518"/>
      <c r="R180" s="519"/>
      <c r="S180" s="520"/>
      <c r="T180" s="513"/>
      <c r="U180" s="518"/>
      <c r="V180" s="519"/>
      <c r="W180" s="520"/>
      <c r="X180" s="513"/>
      <c r="Y180" s="518"/>
      <c r="Z180" s="519"/>
      <c r="AA180" s="520"/>
      <c r="AB180" s="513"/>
      <c r="AC180" s="518"/>
      <c r="AD180" s="519"/>
      <c r="AE180" s="520"/>
      <c r="AF180" s="513"/>
      <c r="AG180" s="518"/>
      <c r="AH180" s="519"/>
      <c r="AI180" s="520"/>
      <c r="AJ180" s="513"/>
      <c r="AK180" s="382"/>
      <c r="AL180" s="417"/>
      <c r="AM180" s="383"/>
      <c r="AN180" s="507"/>
      <c r="AO180" s="382"/>
      <c r="AP180" s="417"/>
      <c r="AQ180" s="383"/>
      <c r="AR180" s="507"/>
      <c r="AS180" s="514"/>
      <c r="AT180" s="514"/>
    </row>
    <row r="181">
      <c r="A181" s="382"/>
      <c r="B181" s="417"/>
      <c r="C181" s="383"/>
      <c r="D181" s="507"/>
      <c r="E181" s="382"/>
      <c r="F181" s="417"/>
      <c r="G181" s="383"/>
      <c r="H181" s="507"/>
      <c r="I181" s="382"/>
      <c r="J181" s="417"/>
      <c r="K181" s="383"/>
      <c r="L181" s="507"/>
      <c r="M181" s="382"/>
      <c r="N181" s="417"/>
      <c r="O181" s="383"/>
      <c r="P181" s="507"/>
      <c r="Q181" s="518"/>
      <c r="R181" s="519"/>
      <c r="S181" s="520"/>
      <c r="T181" s="513"/>
      <c r="U181" s="518"/>
      <c r="V181" s="519"/>
      <c r="W181" s="520"/>
      <c r="X181" s="513"/>
      <c r="Y181" s="518"/>
      <c r="Z181" s="519"/>
      <c r="AA181" s="520"/>
      <c r="AB181" s="513"/>
      <c r="AC181" s="518"/>
      <c r="AD181" s="519"/>
      <c r="AE181" s="520"/>
      <c r="AF181" s="513"/>
      <c r="AG181" s="518"/>
      <c r="AH181" s="519"/>
      <c r="AI181" s="520"/>
      <c r="AJ181" s="513"/>
      <c r="AK181" s="382"/>
      <c r="AL181" s="417"/>
      <c r="AM181" s="383"/>
      <c r="AN181" s="507"/>
      <c r="AO181" s="382"/>
      <c r="AP181" s="417"/>
      <c r="AQ181" s="383"/>
      <c r="AR181" s="507"/>
      <c r="AS181" s="514"/>
      <c r="AT181" s="514"/>
    </row>
    <row r="182">
      <c r="A182" s="382"/>
      <c r="B182" s="417"/>
      <c r="C182" s="383"/>
      <c r="D182" s="507"/>
      <c r="E182" s="382"/>
      <c r="F182" s="417"/>
      <c r="G182" s="383"/>
      <c r="H182" s="507"/>
      <c r="I182" s="382"/>
      <c r="J182" s="417"/>
      <c r="K182" s="383"/>
      <c r="L182" s="507"/>
      <c r="M182" s="382"/>
      <c r="N182" s="417"/>
      <c r="O182" s="383"/>
      <c r="P182" s="507"/>
      <c r="Q182" s="518"/>
      <c r="R182" s="519"/>
      <c r="S182" s="520"/>
      <c r="T182" s="513"/>
      <c r="U182" s="518"/>
      <c r="V182" s="519"/>
      <c r="W182" s="520"/>
      <c r="X182" s="513"/>
      <c r="Y182" s="518"/>
      <c r="Z182" s="519"/>
      <c r="AA182" s="520"/>
      <c r="AB182" s="513"/>
      <c r="AC182" s="518"/>
      <c r="AD182" s="519"/>
      <c r="AE182" s="520"/>
      <c r="AF182" s="513"/>
      <c r="AG182" s="518"/>
      <c r="AH182" s="519"/>
      <c r="AI182" s="520"/>
      <c r="AJ182" s="513"/>
      <c r="AK182" s="382"/>
      <c r="AL182" s="417"/>
      <c r="AM182" s="383"/>
      <c r="AN182" s="507"/>
      <c r="AO182" s="382"/>
      <c r="AP182" s="417"/>
      <c r="AQ182" s="383"/>
      <c r="AR182" s="507"/>
      <c r="AS182" s="514"/>
      <c r="AT182" s="514"/>
    </row>
    <row r="183">
      <c r="A183" s="382"/>
      <c r="B183" s="417"/>
      <c r="C183" s="383"/>
      <c r="D183" s="507"/>
      <c r="E183" s="382"/>
      <c r="F183" s="417"/>
      <c r="G183" s="383"/>
      <c r="H183" s="507"/>
      <c r="I183" s="382"/>
      <c r="J183" s="417"/>
      <c r="K183" s="383"/>
      <c r="L183" s="507"/>
      <c r="M183" s="382"/>
      <c r="N183" s="417"/>
      <c r="O183" s="383"/>
      <c r="P183" s="507"/>
      <c r="Q183" s="518"/>
      <c r="R183" s="519"/>
      <c r="S183" s="520"/>
      <c r="T183" s="513"/>
      <c r="U183" s="518"/>
      <c r="V183" s="519"/>
      <c r="W183" s="520"/>
      <c r="X183" s="513"/>
      <c r="Y183" s="518"/>
      <c r="Z183" s="519"/>
      <c r="AA183" s="520"/>
      <c r="AB183" s="513"/>
      <c r="AC183" s="518"/>
      <c r="AD183" s="519"/>
      <c r="AE183" s="520"/>
      <c r="AF183" s="513"/>
      <c r="AG183" s="518"/>
      <c r="AH183" s="519"/>
      <c r="AI183" s="520"/>
      <c r="AJ183" s="513"/>
      <c r="AK183" s="382"/>
      <c r="AL183" s="417"/>
      <c r="AM183" s="383"/>
      <c r="AN183" s="507"/>
      <c r="AO183" s="382"/>
      <c r="AP183" s="417"/>
      <c r="AQ183" s="383"/>
      <c r="AR183" s="507"/>
      <c r="AS183" s="514"/>
      <c r="AT183" s="514"/>
    </row>
    <row r="184">
      <c r="A184" s="382"/>
      <c r="B184" s="417"/>
      <c r="C184" s="383"/>
      <c r="D184" s="507"/>
      <c r="E184" s="382"/>
      <c r="F184" s="417"/>
      <c r="G184" s="383"/>
      <c r="H184" s="507"/>
      <c r="I184" s="382"/>
      <c r="J184" s="417"/>
      <c r="K184" s="383"/>
      <c r="L184" s="507"/>
      <c r="M184" s="382"/>
      <c r="N184" s="417"/>
      <c r="O184" s="383"/>
      <c r="P184" s="507"/>
      <c r="Q184" s="518"/>
      <c r="R184" s="519"/>
      <c r="S184" s="520"/>
      <c r="T184" s="513"/>
      <c r="U184" s="518"/>
      <c r="V184" s="519"/>
      <c r="W184" s="520"/>
      <c r="X184" s="513"/>
      <c r="Y184" s="518"/>
      <c r="Z184" s="519"/>
      <c r="AA184" s="520"/>
      <c r="AB184" s="513"/>
      <c r="AC184" s="518"/>
      <c r="AD184" s="519"/>
      <c r="AE184" s="520"/>
      <c r="AF184" s="513"/>
      <c r="AG184" s="518"/>
      <c r="AH184" s="519"/>
      <c r="AI184" s="520"/>
      <c r="AJ184" s="513"/>
      <c r="AK184" s="382"/>
      <c r="AL184" s="417"/>
      <c r="AM184" s="383"/>
      <c r="AN184" s="507"/>
      <c r="AO184" s="382"/>
      <c r="AP184" s="417"/>
      <c r="AQ184" s="383"/>
      <c r="AR184" s="507"/>
      <c r="AS184" s="514"/>
      <c r="AT184" s="514"/>
    </row>
    <row r="185">
      <c r="A185" s="382"/>
      <c r="B185" s="417"/>
      <c r="C185" s="383"/>
      <c r="D185" s="507"/>
      <c r="E185" s="382"/>
      <c r="F185" s="417"/>
      <c r="G185" s="383"/>
      <c r="H185" s="507"/>
      <c r="I185" s="382"/>
      <c r="J185" s="417"/>
      <c r="K185" s="383"/>
      <c r="L185" s="507"/>
      <c r="M185" s="382"/>
      <c r="N185" s="417"/>
      <c r="O185" s="383"/>
      <c r="P185" s="507"/>
      <c r="Q185" s="518"/>
      <c r="R185" s="519"/>
      <c r="S185" s="520"/>
      <c r="T185" s="513"/>
      <c r="U185" s="518"/>
      <c r="V185" s="519"/>
      <c r="W185" s="520"/>
      <c r="X185" s="513"/>
      <c r="Y185" s="518"/>
      <c r="Z185" s="519"/>
      <c r="AA185" s="520"/>
      <c r="AB185" s="513"/>
      <c r="AC185" s="518"/>
      <c r="AD185" s="519"/>
      <c r="AE185" s="520"/>
      <c r="AF185" s="513"/>
      <c r="AG185" s="518"/>
      <c r="AH185" s="519"/>
      <c r="AI185" s="520"/>
      <c r="AJ185" s="513"/>
      <c r="AK185" s="382"/>
      <c r="AL185" s="417"/>
      <c r="AM185" s="383"/>
      <c r="AN185" s="507"/>
      <c r="AO185" s="382"/>
      <c r="AP185" s="417"/>
      <c r="AQ185" s="383"/>
      <c r="AR185" s="507"/>
      <c r="AS185" s="514"/>
      <c r="AT185" s="514"/>
    </row>
    <row r="186">
      <c r="A186" s="382"/>
      <c r="B186" s="417"/>
      <c r="C186" s="383"/>
      <c r="D186" s="507"/>
      <c r="E186" s="382"/>
      <c r="F186" s="417"/>
      <c r="G186" s="383"/>
      <c r="H186" s="507"/>
      <c r="I186" s="382"/>
      <c r="J186" s="417"/>
      <c r="K186" s="383"/>
      <c r="L186" s="507"/>
      <c r="M186" s="382"/>
      <c r="N186" s="417"/>
      <c r="O186" s="383"/>
      <c r="P186" s="507"/>
      <c r="Q186" s="518"/>
      <c r="R186" s="519"/>
      <c r="S186" s="520"/>
      <c r="T186" s="513"/>
      <c r="U186" s="518"/>
      <c r="V186" s="519"/>
      <c r="W186" s="520"/>
      <c r="X186" s="513"/>
      <c r="Y186" s="518"/>
      <c r="Z186" s="519"/>
      <c r="AA186" s="520"/>
      <c r="AB186" s="513"/>
      <c r="AC186" s="518"/>
      <c r="AD186" s="519"/>
      <c r="AE186" s="520"/>
      <c r="AF186" s="513"/>
      <c r="AG186" s="518"/>
      <c r="AH186" s="519"/>
      <c r="AI186" s="520"/>
      <c r="AJ186" s="513"/>
      <c r="AK186" s="382"/>
      <c r="AL186" s="417"/>
      <c r="AM186" s="383"/>
      <c r="AN186" s="507"/>
      <c r="AO186" s="382"/>
      <c r="AP186" s="417"/>
      <c r="AQ186" s="383"/>
      <c r="AR186" s="507"/>
      <c r="AS186" s="514"/>
      <c r="AT186" s="514"/>
    </row>
    <row r="187">
      <c r="A187" s="382"/>
      <c r="B187" s="417"/>
      <c r="C187" s="383"/>
      <c r="D187" s="507"/>
      <c r="E187" s="382"/>
      <c r="F187" s="417"/>
      <c r="G187" s="383"/>
      <c r="H187" s="507"/>
      <c r="I187" s="382"/>
      <c r="J187" s="417"/>
      <c r="K187" s="383"/>
      <c r="L187" s="507"/>
      <c r="M187" s="382"/>
      <c r="N187" s="417"/>
      <c r="O187" s="383"/>
      <c r="P187" s="507"/>
      <c r="Q187" s="518"/>
      <c r="R187" s="519"/>
      <c r="S187" s="520"/>
      <c r="T187" s="513"/>
      <c r="U187" s="518"/>
      <c r="V187" s="519"/>
      <c r="W187" s="520"/>
      <c r="X187" s="513"/>
      <c r="Y187" s="518"/>
      <c r="Z187" s="519"/>
      <c r="AA187" s="520"/>
      <c r="AB187" s="513"/>
      <c r="AC187" s="518"/>
      <c r="AD187" s="519"/>
      <c r="AE187" s="520"/>
      <c r="AF187" s="513"/>
      <c r="AG187" s="518"/>
      <c r="AH187" s="519"/>
      <c r="AI187" s="520"/>
      <c r="AJ187" s="513"/>
      <c r="AK187" s="382"/>
      <c r="AL187" s="417"/>
      <c r="AM187" s="383"/>
      <c r="AN187" s="507"/>
      <c r="AO187" s="382"/>
      <c r="AP187" s="417"/>
      <c r="AQ187" s="383"/>
      <c r="AR187" s="507"/>
      <c r="AS187" s="514"/>
      <c r="AT187" s="514"/>
    </row>
    <row r="188">
      <c r="A188" s="382"/>
      <c r="B188" s="417"/>
      <c r="C188" s="383"/>
      <c r="D188" s="507"/>
      <c r="E188" s="382"/>
      <c r="F188" s="417"/>
      <c r="G188" s="383"/>
      <c r="H188" s="507"/>
      <c r="I188" s="382"/>
      <c r="J188" s="417"/>
      <c r="K188" s="383"/>
      <c r="L188" s="507"/>
      <c r="M188" s="382"/>
      <c r="N188" s="417"/>
      <c r="O188" s="383"/>
      <c r="P188" s="507"/>
      <c r="Q188" s="518"/>
      <c r="R188" s="519"/>
      <c r="S188" s="520"/>
      <c r="T188" s="513"/>
      <c r="U188" s="518"/>
      <c r="V188" s="519"/>
      <c r="W188" s="520"/>
      <c r="X188" s="513"/>
      <c r="Y188" s="518"/>
      <c r="Z188" s="519"/>
      <c r="AA188" s="520"/>
      <c r="AB188" s="513"/>
      <c r="AC188" s="518"/>
      <c r="AD188" s="519"/>
      <c r="AE188" s="520"/>
      <c r="AF188" s="513"/>
      <c r="AG188" s="518"/>
      <c r="AH188" s="519"/>
      <c r="AI188" s="520"/>
      <c r="AJ188" s="513"/>
      <c r="AK188" s="382"/>
      <c r="AL188" s="417"/>
      <c r="AM188" s="383"/>
      <c r="AN188" s="507"/>
      <c r="AO188" s="382"/>
      <c r="AP188" s="417"/>
      <c r="AQ188" s="383"/>
      <c r="AR188" s="507"/>
      <c r="AS188" s="514"/>
      <c r="AT188" s="514"/>
    </row>
    <row r="189">
      <c r="A189" s="382"/>
      <c r="B189" s="417"/>
      <c r="C189" s="383"/>
      <c r="D189" s="507"/>
      <c r="E189" s="382"/>
      <c r="F189" s="417"/>
      <c r="G189" s="383"/>
      <c r="H189" s="507"/>
      <c r="I189" s="382"/>
      <c r="J189" s="417"/>
      <c r="K189" s="383"/>
      <c r="L189" s="507"/>
      <c r="M189" s="382"/>
      <c r="N189" s="417"/>
      <c r="O189" s="383"/>
      <c r="P189" s="507"/>
      <c r="Q189" s="518"/>
      <c r="R189" s="519"/>
      <c r="S189" s="520"/>
      <c r="T189" s="513"/>
      <c r="U189" s="518"/>
      <c r="V189" s="519"/>
      <c r="W189" s="520"/>
      <c r="X189" s="513"/>
      <c r="Y189" s="518"/>
      <c r="Z189" s="519"/>
      <c r="AA189" s="520"/>
      <c r="AB189" s="513"/>
      <c r="AC189" s="518"/>
      <c r="AD189" s="519"/>
      <c r="AE189" s="520"/>
      <c r="AF189" s="513"/>
      <c r="AG189" s="518"/>
      <c r="AH189" s="519"/>
      <c r="AI189" s="520"/>
      <c r="AJ189" s="513"/>
      <c r="AK189" s="382"/>
      <c r="AL189" s="417"/>
      <c r="AM189" s="383"/>
      <c r="AN189" s="507"/>
      <c r="AO189" s="382"/>
      <c r="AP189" s="417"/>
      <c r="AQ189" s="383"/>
      <c r="AR189" s="507"/>
      <c r="AS189" s="514"/>
      <c r="AT189" s="514"/>
    </row>
    <row r="190">
      <c r="A190" s="382"/>
      <c r="B190" s="417"/>
      <c r="C190" s="383"/>
      <c r="D190" s="507"/>
      <c r="E190" s="382"/>
      <c r="F190" s="417"/>
      <c r="G190" s="383"/>
      <c r="H190" s="507"/>
      <c r="I190" s="382"/>
      <c r="J190" s="417"/>
      <c r="K190" s="383"/>
      <c r="L190" s="507"/>
      <c r="M190" s="382"/>
      <c r="N190" s="417"/>
      <c r="O190" s="383"/>
      <c r="P190" s="507"/>
      <c r="Q190" s="518"/>
      <c r="R190" s="519"/>
      <c r="S190" s="520"/>
      <c r="T190" s="513"/>
      <c r="U190" s="518"/>
      <c r="V190" s="519"/>
      <c r="W190" s="520"/>
      <c r="X190" s="513"/>
      <c r="Y190" s="518"/>
      <c r="Z190" s="519"/>
      <c r="AA190" s="520"/>
      <c r="AB190" s="513"/>
      <c r="AC190" s="518"/>
      <c r="AD190" s="519"/>
      <c r="AE190" s="520"/>
      <c r="AF190" s="513"/>
      <c r="AG190" s="518"/>
      <c r="AH190" s="519"/>
      <c r="AI190" s="520"/>
      <c r="AJ190" s="513"/>
      <c r="AK190" s="382"/>
      <c r="AL190" s="417"/>
      <c r="AM190" s="383"/>
      <c r="AN190" s="507"/>
      <c r="AO190" s="382"/>
      <c r="AP190" s="417"/>
      <c r="AQ190" s="383"/>
      <c r="AR190" s="507"/>
      <c r="AS190" s="514"/>
      <c r="AT190" s="514"/>
    </row>
    <row r="191">
      <c r="A191" s="382"/>
      <c r="B191" s="417"/>
      <c r="C191" s="383"/>
      <c r="D191" s="507"/>
      <c r="E191" s="382"/>
      <c r="F191" s="417"/>
      <c r="G191" s="383"/>
      <c r="H191" s="507"/>
      <c r="I191" s="382"/>
      <c r="J191" s="417"/>
      <c r="K191" s="383"/>
      <c r="L191" s="507"/>
      <c r="M191" s="382"/>
      <c r="N191" s="417"/>
      <c r="O191" s="383"/>
      <c r="P191" s="507"/>
      <c r="Q191" s="518"/>
      <c r="R191" s="519"/>
      <c r="S191" s="520"/>
      <c r="T191" s="513"/>
      <c r="U191" s="518"/>
      <c r="V191" s="519"/>
      <c r="W191" s="520"/>
      <c r="X191" s="513"/>
      <c r="Y191" s="518"/>
      <c r="Z191" s="519"/>
      <c r="AA191" s="520"/>
      <c r="AB191" s="513"/>
      <c r="AC191" s="518"/>
      <c r="AD191" s="519"/>
      <c r="AE191" s="520"/>
      <c r="AF191" s="513"/>
      <c r="AG191" s="518"/>
      <c r="AH191" s="519"/>
      <c r="AI191" s="520"/>
      <c r="AJ191" s="513"/>
      <c r="AK191" s="382"/>
      <c r="AL191" s="417"/>
      <c r="AM191" s="383"/>
      <c r="AN191" s="507"/>
      <c r="AO191" s="382"/>
      <c r="AP191" s="417"/>
      <c r="AQ191" s="383"/>
      <c r="AR191" s="507"/>
      <c r="AS191" s="514"/>
      <c r="AT191" s="514"/>
    </row>
    <row r="192">
      <c r="A192" s="382"/>
      <c r="B192" s="417"/>
      <c r="C192" s="383"/>
      <c r="D192" s="507"/>
      <c r="E192" s="382"/>
      <c r="F192" s="417"/>
      <c r="G192" s="383"/>
      <c r="H192" s="507"/>
      <c r="I192" s="382"/>
      <c r="J192" s="417"/>
      <c r="K192" s="383"/>
      <c r="L192" s="507"/>
      <c r="M192" s="382"/>
      <c r="N192" s="417"/>
      <c r="O192" s="383"/>
      <c r="P192" s="507"/>
      <c r="Q192" s="518"/>
      <c r="R192" s="519"/>
      <c r="S192" s="520"/>
      <c r="T192" s="513"/>
      <c r="U192" s="518"/>
      <c r="V192" s="519"/>
      <c r="W192" s="520"/>
      <c r="X192" s="513"/>
      <c r="Y192" s="518"/>
      <c r="Z192" s="519"/>
      <c r="AA192" s="520"/>
      <c r="AB192" s="513"/>
      <c r="AC192" s="518"/>
      <c r="AD192" s="519"/>
      <c r="AE192" s="520"/>
      <c r="AF192" s="513"/>
      <c r="AG192" s="518"/>
      <c r="AH192" s="519"/>
      <c r="AI192" s="520"/>
      <c r="AJ192" s="513"/>
      <c r="AK192" s="382"/>
      <c r="AL192" s="417"/>
      <c r="AM192" s="383"/>
      <c r="AN192" s="507"/>
      <c r="AO192" s="382"/>
      <c r="AP192" s="417"/>
      <c r="AQ192" s="383"/>
      <c r="AR192" s="507"/>
      <c r="AS192" s="514"/>
      <c r="AT192" s="514"/>
    </row>
    <row r="193">
      <c r="A193" s="382"/>
      <c r="B193" s="417"/>
      <c r="C193" s="383"/>
      <c r="D193" s="507"/>
      <c r="E193" s="382"/>
      <c r="F193" s="417"/>
      <c r="G193" s="383"/>
      <c r="H193" s="507"/>
      <c r="I193" s="382"/>
      <c r="J193" s="417"/>
      <c r="K193" s="383"/>
      <c r="L193" s="507"/>
      <c r="M193" s="382"/>
      <c r="N193" s="417"/>
      <c r="O193" s="383"/>
      <c r="P193" s="507"/>
      <c r="Q193" s="518"/>
      <c r="R193" s="519"/>
      <c r="S193" s="520"/>
      <c r="T193" s="513"/>
      <c r="U193" s="518"/>
      <c r="V193" s="519"/>
      <c r="W193" s="520"/>
      <c r="X193" s="513"/>
      <c r="Y193" s="518"/>
      <c r="Z193" s="519"/>
      <c r="AA193" s="520"/>
      <c r="AB193" s="513"/>
      <c r="AC193" s="518"/>
      <c r="AD193" s="519"/>
      <c r="AE193" s="520"/>
      <c r="AF193" s="513"/>
      <c r="AG193" s="518"/>
      <c r="AH193" s="519"/>
      <c r="AI193" s="520"/>
      <c r="AJ193" s="513"/>
      <c r="AK193" s="382"/>
      <c r="AL193" s="417"/>
      <c r="AM193" s="383"/>
      <c r="AN193" s="507"/>
      <c r="AO193" s="382"/>
      <c r="AP193" s="417"/>
      <c r="AQ193" s="383"/>
      <c r="AR193" s="507"/>
      <c r="AS193" s="514"/>
      <c r="AT193" s="514"/>
    </row>
    <row r="194">
      <c r="A194" s="382"/>
      <c r="B194" s="417"/>
      <c r="C194" s="383"/>
      <c r="D194" s="507"/>
      <c r="E194" s="382"/>
      <c r="F194" s="417"/>
      <c r="G194" s="383"/>
      <c r="H194" s="507"/>
      <c r="I194" s="382"/>
      <c r="J194" s="417"/>
      <c r="K194" s="383"/>
      <c r="L194" s="507"/>
      <c r="M194" s="382"/>
      <c r="N194" s="417"/>
      <c r="O194" s="383"/>
      <c r="P194" s="507"/>
      <c r="Q194" s="518"/>
      <c r="R194" s="519"/>
      <c r="S194" s="520"/>
      <c r="T194" s="513"/>
      <c r="U194" s="518"/>
      <c r="V194" s="519"/>
      <c r="W194" s="520"/>
      <c r="X194" s="513"/>
      <c r="Y194" s="518"/>
      <c r="Z194" s="519"/>
      <c r="AA194" s="520"/>
      <c r="AB194" s="513"/>
      <c r="AC194" s="518"/>
      <c r="AD194" s="519"/>
      <c r="AE194" s="520"/>
      <c r="AF194" s="513"/>
      <c r="AG194" s="518"/>
      <c r="AH194" s="519"/>
      <c r="AI194" s="520"/>
      <c r="AJ194" s="513"/>
      <c r="AK194" s="382"/>
      <c r="AL194" s="417"/>
      <c r="AM194" s="383"/>
      <c r="AN194" s="507"/>
      <c r="AO194" s="382"/>
      <c r="AP194" s="417"/>
      <c r="AQ194" s="383"/>
      <c r="AR194" s="507"/>
      <c r="AS194" s="514"/>
      <c r="AT194" s="514"/>
    </row>
    <row r="195">
      <c r="A195" s="382"/>
      <c r="B195" s="417"/>
      <c r="C195" s="383"/>
      <c r="D195" s="507"/>
      <c r="E195" s="382"/>
      <c r="F195" s="417"/>
      <c r="G195" s="383"/>
      <c r="H195" s="507"/>
      <c r="I195" s="382"/>
      <c r="J195" s="417"/>
      <c r="K195" s="383"/>
      <c r="L195" s="507"/>
      <c r="M195" s="382"/>
      <c r="N195" s="417"/>
      <c r="O195" s="383"/>
      <c r="P195" s="507"/>
      <c r="Q195" s="518"/>
      <c r="R195" s="519"/>
      <c r="S195" s="520"/>
      <c r="T195" s="513"/>
      <c r="U195" s="518"/>
      <c r="V195" s="519"/>
      <c r="W195" s="520"/>
      <c r="X195" s="513"/>
      <c r="Y195" s="518"/>
      <c r="Z195" s="519"/>
      <c r="AA195" s="520"/>
      <c r="AB195" s="513"/>
      <c r="AC195" s="518"/>
      <c r="AD195" s="519"/>
      <c r="AE195" s="520"/>
      <c r="AF195" s="513"/>
      <c r="AG195" s="518"/>
      <c r="AH195" s="519"/>
      <c r="AI195" s="520"/>
      <c r="AJ195" s="513"/>
      <c r="AK195" s="382"/>
      <c r="AL195" s="417"/>
      <c r="AM195" s="383"/>
      <c r="AN195" s="507"/>
      <c r="AO195" s="382"/>
      <c r="AP195" s="417"/>
      <c r="AQ195" s="383"/>
      <c r="AR195" s="507"/>
      <c r="AS195" s="514"/>
      <c r="AT195" s="514"/>
    </row>
    <row r="196">
      <c r="A196" s="382"/>
      <c r="B196" s="417"/>
      <c r="C196" s="383"/>
      <c r="D196" s="507"/>
      <c r="E196" s="382"/>
      <c r="F196" s="417"/>
      <c r="G196" s="383"/>
      <c r="H196" s="507"/>
      <c r="I196" s="382"/>
      <c r="J196" s="417"/>
      <c r="K196" s="383"/>
      <c r="L196" s="507"/>
      <c r="M196" s="382"/>
      <c r="N196" s="417"/>
      <c r="O196" s="383"/>
      <c r="P196" s="507"/>
      <c r="Q196" s="518"/>
      <c r="R196" s="519"/>
      <c r="S196" s="520"/>
      <c r="T196" s="513"/>
      <c r="U196" s="518"/>
      <c r="V196" s="519"/>
      <c r="W196" s="520"/>
      <c r="X196" s="513"/>
      <c r="Y196" s="518"/>
      <c r="Z196" s="519"/>
      <c r="AA196" s="520"/>
      <c r="AB196" s="513"/>
      <c r="AC196" s="518"/>
      <c r="AD196" s="519"/>
      <c r="AE196" s="520"/>
      <c r="AF196" s="513"/>
      <c r="AG196" s="518"/>
      <c r="AH196" s="519"/>
      <c r="AI196" s="520"/>
      <c r="AJ196" s="513"/>
      <c r="AK196" s="382"/>
      <c r="AL196" s="417"/>
      <c r="AM196" s="383"/>
      <c r="AN196" s="507"/>
      <c r="AO196" s="382"/>
      <c r="AP196" s="417"/>
      <c r="AQ196" s="383"/>
      <c r="AR196" s="507"/>
      <c r="AS196" s="514"/>
      <c r="AT196" s="514"/>
    </row>
    <row r="197">
      <c r="A197" s="382"/>
      <c r="B197" s="417"/>
      <c r="C197" s="383"/>
      <c r="D197" s="507"/>
      <c r="E197" s="382"/>
      <c r="F197" s="417"/>
      <c r="G197" s="383"/>
      <c r="H197" s="507"/>
      <c r="I197" s="382"/>
      <c r="J197" s="417"/>
      <c r="K197" s="383"/>
      <c r="L197" s="507"/>
      <c r="M197" s="382"/>
      <c r="N197" s="417"/>
      <c r="O197" s="383"/>
      <c r="P197" s="507"/>
      <c r="Q197" s="518"/>
      <c r="R197" s="519"/>
      <c r="S197" s="520"/>
      <c r="T197" s="513"/>
      <c r="U197" s="518"/>
      <c r="V197" s="519"/>
      <c r="W197" s="520"/>
      <c r="X197" s="513"/>
      <c r="Y197" s="518"/>
      <c r="Z197" s="519"/>
      <c r="AA197" s="520"/>
      <c r="AB197" s="513"/>
      <c r="AC197" s="518"/>
      <c r="AD197" s="519"/>
      <c r="AE197" s="520"/>
      <c r="AF197" s="513"/>
      <c r="AG197" s="518"/>
      <c r="AH197" s="519"/>
      <c r="AI197" s="520"/>
      <c r="AJ197" s="513"/>
      <c r="AK197" s="382"/>
      <c r="AL197" s="417"/>
      <c r="AM197" s="383"/>
      <c r="AN197" s="507"/>
      <c r="AO197" s="382"/>
      <c r="AP197" s="417"/>
      <c r="AQ197" s="383"/>
      <c r="AR197" s="507"/>
      <c r="AS197" s="514"/>
      <c r="AT197" s="514"/>
    </row>
    <row r="198">
      <c r="A198" s="382"/>
      <c r="B198" s="417"/>
      <c r="C198" s="383"/>
      <c r="D198" s="507"/>
      <c r="E198" s="382"/>
      <c r="F198" s="417"/>
      <c r="G198" s="383"/>
      <c r="H198" s="507"/>
      <c r="I198" s="382"/>
      <c r="J198" s="417"/>
      <c r="K198" s="383"/>
      <c r="L198" s="507"/>
      <c r="M198" s="382"/>
      <c r="N198" s="417"/>
      <c r="O198" s="383"/>
      <c r="P198" s="507"/>
      <c r="Q198" s="518"/>
      <c r="R198" s="519"/>
      <c r="S198" s="520"/>
      <c r="T198" s="513"/>
      <c r="U198" s="518"/>
      <c r="V198" s="519"/>
      <c r="W198" s="520"/>
      <c r="X198" s="513"/>
      <c r="Y198" s="518"/>
      <c r="Z198" s="519"/>
      <c r="AA198" s="520"/>
      <c r="AB198" s="513"/>
      <c r="AC198" s="518"/>
      <c r="AD198" s="519"/>
      <c r="AE198" s="520"/>
      <c r="AF198" s="513"/>
      <c r="AG198" s="518"/>
      <c r="AH198" s="519"/>
      <c r="AI198" s="520"/>
      <c r="AJ198" s="513"/>
      <c r="AK198" s="382"/>
      <c r="AL198" s="417"/>
      <c r="AM198" s="383"/>
      <c r="AN198" s="507"/>
      <c r="AO198" s="382"/>
      <c r="AP198" s="417"/>
      <c r="AQ198" s="383"/>
      <c r="AR198" s="507"/>
      <c r="AS198" s="514"/>
      <c r="AT198" s="514"/>
    </row>
    <row r="199">
      <c r="A199" s="382"/>
      <c r="B199" s="417"/>
      <c r="C199" s="383"/>
      <c r="D199" s="507"/>
      <c r="E199" s="382"/>
      <c r="F199" s="417"/>
      <c r="G199" s="383"/>
      <c r="H199" s="507"/>
      <c r="I199" s="382"/>
      <c r="J199" s="417"/>
      <c r="K199" s="383"/>
      <c r="L199" s="507"/>
      <c r="M199" s="382"/>
      <c r="N199" s="417"/>
      <c r="O199" s="383"/>
      <c r="P199" s="507"/>
      <c r="Q199" s="518"/>
      <c r="R199" s="519"/>
      <c r="S199" s="520"/>
      <c r="T199" s="513"/>
      <c r="U199" s="518"/>
      <c r="V199" s="519"/>
      <c r="W199" s="520"/>
      <c r="X199" s="513"/>
      <c r="Y199" s="518"/>
      <c r="Z199" s="519"/>
      <c r="AA199" s="520"/>
      <c r="AB199" s="513"/>
      <c r="AC199" s="518"/>
      <c r="AD199" s="519"/>
      <c r="AE199" s="520"/>
      <c r="AF199" s="513"/>
      <c r="AG199" s="518"/>
      <c r="AH199" s="519"/>
      <c r="AI199" s="520"/>
      <c r="AJ199" s="513"/>
      <c r="AK199" s="382"/>
      <c r="AL199" s="417"/>
      <c r="AM199" s="383"/>
      <c r="AN199" s="507"/>
      <c r="AO199" s="382"/>
      <c r="AP199" s="417"/>
      <c r="AQ199" s="383"/>
      <c r="AR199" s="507"/>
      <c r="AS199" s="514"/>
      <c r="AT199" s="514"/>
    </row>
    <row r="200">
      <c r="A200" s="382"/>
      <c r="B200" s="417"/>
      <c r="C200" s="383"/>
      <c r="D200" s="507"/>
      <c r="E200" s="382"/>
      <c r="F200" s="417"/>
      <c r="G200" s="383"/>
      <c r="H200" s="507"/>
      <c r="I200" s="382"/>
      <c r="J200" s="417"/>
      <c r="K200" s="383"/>
      <c r="L200" s="507"/>
      <c r="M200" s="382"/>
      <c r="N200" s="417"/>
      <c r="O200" s="383"/>
      <c r="P200" s="507"/>
      <c r="Q200" s="518"/>
      <c r="R200" s="519"/>
      <c r="S200" s="520"/>
      <c r="T200" s="513"/>
      <c r="U200" s="518"/>
      <c r="V200" s="519"/>
      <c r="W200" s="520"/>
      <c r="X200" s="513"/>
      <c r="Y200" s="518"/>
      <c r="Z200" s="519"/>
      <c r="AA200" s="520"/>
      <c r="AB200" s="513"/>
      <c r="AC200" s="518"/>
      <c r="AD200" s="519"/>
      <c r="AE200" s="520"/>
      <c r="AF200" s="513"/>
      <c r="AG200" s="518"/>
      <c r="AH200" s="519"/>
      <c r="AI200" s="520"/>
      <c r="AJ200" s="513"/>
      <c r="AK200" s="382"/>
      <c r="AL200" s="417"/>
      <c r="AM200" s="383"/>
      <c r="AN200" s="507"/>
      <c r="AO200" s="382"/>
      <c r="AP200" s="417"/>
      <c r="AQ200" s="383"/>
      <c r="AR200" s="507"/>
      <c r="AS200" s="514"/>
      <c r="AT200" s="514"/>
    </row>
    <row r="201">
      <c r="A201" s="382"/>
      <c r="B201" s="417"/>
      <c r="C201" s="383"/>
      <c r="D201" s="507"/>
      <c r="E201" s="382"/>
      <c r="F201" s="417"/>
      <c r="G201" s="383"/>
      <c r="H201" s="507"/>
      <c r="I201" s="382"/>
      <c r="J201" s="417"/>
      <c r="K201" s="383"/>
      <c r="L201" s="507"/>
      <c r="M201" s="382"/>
      <c r="N201" s="417"/>
      <c r="O201" s="383"/>
      <c r="P201" s="507"/>
      <c r="Q201" s="518"/>
      <c r="R201" s="519"/>
      <c r="S201" s="520"/>
      <c r="T201" s="513"/>
      <c r="U201" s="518"/>
      <c r="V201" s="519"/>
      <c r="W201" s="520"/>
      <c r="X201" s="513"/>
      <c r="Y201" s="518"/>
      <c r="Z201" s="519"/>
      <c r="AA201" s="520"/>
      <c r="AB201" s="513"/>
      <c r="AC201" s="518"/>
      <c r="AD201" s="519"/>
      <c r="AE201" s="520"/>
      <c r="AF201" s="513"/>
      <c r="AG201" s="518"/>
      <c r="AH201" s="519"/>
      <c r="AI201" s="520"/>
      <c r="AJ201" s="513"/>
      <c r="AK201" s="382"/>
      <c r="AL201" s="417"/>
      <c r="AM201" s="383"/>
      <c r="AN201" s="507"/>
      <c r="AO201" s="382"/>
      <c r="AP201" s="417"/>
      <c r="AQ201" s="383"/>
      <c r="AR201" s="507"/>
      <c r="AS201" s="514"/>
      <c r="AT201" s="514"/>
    </row>
    <row r="202">
      <c r="A202" s="382"/>
      <c r="B202" s="417"/>
      <c r="C202" s="383"/>
      <c r="D202" s="507"/>
      <c r="E202" s="382"/>
      <c r="F202" s="417"/>
      <c r="G202" s="383"/>
      <c r="H202" s="507"/>
      <c r="I202" s="382"/>
      <c r="J202" s="417"/>
      <c r="K202" s="383"/>
      <c r="L202" s="507"/>
      <c r="M202" s="382"/>
      <c r="N202" s="417"/>
      <c r="O202" s="383"/>
      <c r="P202" s="507"/>
      <c r="Q202" s="518"/>
      <c r="R202" s="519"/>
      <c r="S202" s="520"/>
      <c r="T202" s="513"/>
      <c r="U202" s="518"/>
      <c r="V202" s="519"/>
      <c r="W202" s="520"/>
      <c r="X202" s="513"/>
      <c r="Y202" s="518"/>
      <c r="Z202" s="519"/>
      <c r="AA202" s="520"/>
      <c r="AB202" s="513"/>
      <c r="AC202" s="518"/>
      <c r="AD202" s="519"/>
      <c r="AE202" s="520"/>
      <c r="AF202" s="513"/>
      <c r="AG202" s="518"/>
      <c r="AH202" s="519"/>
      <c r="AI202" s="520"/>
      <c r="AJ202" s="513"/>
      <c r="AK202" s="382"/>
      <c r="AL202" s="417"/>
      <c r="AM202" s="383"/>
      <c r="AN202" s="507"/>
      <c r="AO202" s="382"/>
      <c r="AP202" s="417"/>
      <c r="AQ202" s="383"/>
      <c r="AR202" s="507"/>
      <c r="AS202" s="514"/>
      <c r="AT202" s="514"/>
    </row>
    <row r="203">
      <c r="A203" s="382"/>
      <c r="B203" s="417"/>
      <c r="C203" s="383"/>
      <c r="D203" s="507"/>
      <c r="E203" s="382"/>
      <c r="F203" s="417"/>
      <c r="G203" s="383"/>
      <c r="H203" s="507"/>
      <c r="I203" s="382"/>
      <c r="J203" s="417"/>
      <c r="K203" s="383"/>
      <c r="L203" s="507"/>
      <c r="M203" s="382"/>
      <c r="N203" s="417"/>
      <c r="O203" s="383"/>
      <c r="P203" s="507"/>
      <c r="Q203" s="518"/>
      <c r="R203" s="519"/>
      <c r="S203" s="520"/>
      <c r="T203" s="513"/>
      <c r="U203" s="518"/>
      <c r="V203" s="519"/>
      <c r="W203" s="520"/>
      <c r="X203" s="513"/>
      <c r="Y203" s="518"/>
      <c r="Z203" s="519"/>
      <c r="AA203" s="520"/>
      <c r="AB203" s="513"/>
      <c r="AC203" s="518"/>
      <c r="AD203" s="519"/>
      <c r="AE203" s="520"/>
      <c r="AF203" s="513"/>
      <c r="AG203" s="518"/>
      <c r="AH203" s="519"/>
      <c r="AI203" s="520"/>
      <c r="AJ203" s="513"/>
      <c r="AK203" s="382"/>
      <c r="AL203" s="417"/>
      <c r="AM203" s="383"/>
      <c r="AN203" s="507"/>
      <c r="AO203" s="382"/>
      <c r="AP203" s="417"/>
      <c r="AQ203" s="383"/>
      <c r="AR203" s="507"/>
      <c r="AS203" s="514"/>
      <c r="AT203" s="514"/>
    </row>
    <row r="204">
      <c r="A204" s="382"/>
      <c r="B204" s="417"/>
      <c r="C204" s="383"/>
      <c r="D204" s="507"/>
      <c r="E204" s="382"/>
      <c r="F204" s="417"/>
      <c r="G204" s="383"/>
      <c r="H204" s="507"/>
      <c r="I204" s="382"/>
      <c r="J204" s="417"/>
      <c r="K204" s="383"/>
      <c r="L204" s="507"/>
      <c r="M204" s="382"/>
      <c r="N204" s="417"/>
      <c r="O204" s="383"/>
      <c r="P204" s="507"/>
      <c r="Q204" s="518"/>
      <c r="R204" s="519"/>
      <c r="S204" s="520"/>
      <c r="T204" s="513"/>
      <c r="U204" s="518"/>
      <c r="V204" s="519"/>
      <c r="W204" s="520"/>
      <c r="X204" s="513"/>
      <c r="Y204" s="518"/>
      <c r="Z204" s="519"/>
      <c r="AA204" s="520"/>
      <c r="AB204" s="513"/>
      <c r="AC204" s="518"/>
      <c r="AD204" s="519"/>
      <c r="AE204" s="520"/>
      <c r="AF204" s="513"/>
      <c r="AG204" s="518"/>
      <c r="AH204" s="519"/>
      <c r="AI204" s="520"/>
      <c r="AJ204" s="513"/>
      <c r="AK204" s="382"/>
      <c r="AL204" s="417"/>
      <c r="AM204" s="383"/>
      <c r="AN204" s="507"/>
      <c r="AO204" s="382"/>
      <c r="AP204" s="417"/>
      <c r="AQ204" s="383"/>
      <c r="AR204" s="507"/>
      <c r="AS204" s="514"/>
      <c r="AT204" s="514"/>
    </row>
    <row r="205">
      <c r="A205" s="382"/>
      <c r="B205" s="417"/>
      <c r="C205" s="383"/>
      <c r="D205" s="507"/>
      <c r="E205" s="382"/>
      <c r="F205" s="417"/>
      <c r="G205" s="383"/>
      <c r="H205" s="507"/>
      <c r="I205" s="382"/>
      <c r="J205" s="417"/>
      <c r="K205" s="383"/>
      <c r="L205" s="507"/>
      <c r="M205" s="382"/>
      <c r="N205" s="417"/>
      <c r="O205" s="383"/>
      <c r="P205" s="507"/>
      <c r="Q205" s="518"/>
      <c r="R205" s="519"/>
      <c r="S205" s="520"/>
      <c r="T205" s="513"/>
      <c r="U205" s="518"/>
      <c r="V205" s="519"/>
      <c r="W205" s="520"/>
      <c r="X205" s="513"/>
      <c r="Y205" s="518"/>
      <c r="Z205" s="519"/>
      <c r="AA205" s="520"/>
      <c r="AB205" s="513"/>
      <c r="AC205" s="518"/>
      <c r="AD205" s="519"/>
      <c r="AE205" s="520"/>
      <c r="AF205" s="513"/>
      <c r="AG205" s="518"/>
      <c r="AH205" s="519"/>
      <c r="AI205" s="520"/>
      <c r="AJ205" s="513"/>
      <c r="AK205" s="382"/>
      <c r="AL205" s="417"/>
      <c r="AM205" s="383"/>
      <c r="AN205" s="507"/>
      <c r="AO205" s="382"/>
      <c r="AP205" s="417"/>
      <c r="AQ205" s="383"/>
      <c r="AR205" s="507"/>
      <c r="AS205" s="514"/>
      <c r="AT205" s="514"/>
    </row>
    <row r="206">
      <c r="A206" s="382"/>
      <c r="B206" s="417"/>
      <c r="C206" s="383"/>
      <c r="D206" s="507"/>
      <c r="E206" s="382"/>
      <c r="F206" s="417"/>
      <c r="G206" s="383"/>
      <c r="H206" s="507"/>
      <c r="I206" s="382"/>
      <c r="J206" s="417"/>
      <c r="K206" s="383"/>
      <c r="L206" s="507"/>
      <c r="M206" s="382"/>
      <c r="N206" s="417"/>
      <c r="O206" s="383"/>
      <c r="P206" s="507"/>
      <c r="Q206" s="518"/>
      <c r="R206" s="519"/>
      <c r="S206" s="520"/>
      <c r="T206" s="513"/>
      <c r="U206" s="518"/>
      <c r="V206" s="519"/>
      <c r="W206" s="520"/>
      <c r="X206" s="513"/>
      <c r="Y206" s="518"/>
      <c r="Z206" s="519"/>
      <c r="AA206" s="520"/>
      <c r="AB206" s="513"/>
      <c r="AC206" s="518"/>
      <c r="AD206" s="519"/>
      <c r="AE206" s="520"/>
      <c r="AF206" s="513"/>
      <c r="AG206" s="518"/>
      <c r="AH206" s="519"/>
      <c r="AI206" s="520"/>
      <c r="AJ206" s="513"/>
      <c r="AK206" s="382"/>
      <c r="AL206" s="417"/>
      <c r="AM206" s="383"/>
      <c r="AN206" s="507"/>
      <c r="AO206" s="382"/>
      <c r="AP206" s="417"/>
      <c r="AQ206" s="383"/>
      <c r="AR206" s="507"/>
      <c r="AS206" s="514"/>
      <c r="AT206" s="514"/>
    </row>
    <row r="207">
      <c r="A207" s="382"/>
      <c r="B207" s="417"/>
      <c r="C207" s="383"/>
      <c r="D207" s="507"/>
      <c r="E207" s="382"/>
      <c r="F207" s="417"/>
      <c r="G207" s="383"/>
      <c r="H207" s="507"/>
      <c r="I207" s="382"/>
      <c r="J207" s="417"/>
      <c r="K207" s="383"/>
      <c r="L207" s="507"/>
      <c r="M207" s="382"/>
      <c r="N207" s="417"/>
      <c r="O207" s="383"/>
      <c r="P207" s="507"/>
      <c r="Q207" s="518"/>
      <c r="R207" s="519"/>
      <c r="S207" s="520"/>
      <c r="T207" s="513"/>
      <c r="U207" s="518"/>
      <c r="V207" s="519"/>
      <c r="W207" s="520"/>
      <c r="X207" s="513"/>
      <c r="Y207" s="518"/>
      <c r="Z207" s="519"/>
      <c r="AA207" s="520"/>
      <c r="AB207" s="513"/>
      <c r="AC207" s="518"/>
      <c r="AD207" s="519"/>
      <c r="AE207" s="520"/>
      <c r="AF207" s="513"/>
      <c r="AG207" s="518"/>
      <c r="AH207" s="519"/>
      <c r="AI207" s="520"/>
      <c r="AJ207" s="513"/>
      <c r="AK207" s="382"/>
      <c r="AL207" s="417"/>
      <c r="AM207" s="383"/>
      <c r="AN207" s="507"/>
      <c r="AO207" s="382"/>
      <c r="AP207" s="417"/>
      <c r="AQ207" s="383"/>
      <c r="AR207" s="507"/>
      <c r="AS207" s="514"/>
      <c r="AT207" s="514"/>
    </row>
    <row r="208">
      <c r="A208" s="382"/>
      <c r="B208" s="417"/>
      <c r="C208" s="383"/>
      <c r="D208" s="507"/>
      <c r="E208" s="382"/>
      <c r="F208" s="417"/>
      <c r="G208" s="383"/>
      <c r="H208" s="507"/>
      <c r="I208" s="382"/>
      <c r="J208" s="417"/>
      <c r="K208" s="383"/>
      <c r="L208" s="507"/>
      <c r="M208" s="382"/>
      <c r="N208" s="417"/>
      <c r="O208" s="383"/>
      <c r="P208" s="507"/>
      <c r="Q208" s="518"/>
      <c r="R208" s="519"/>
      <c r="S208" s="520"/>
      <c r="T208" s="513"/>
      <c r="U208" s="518"/>
      <c r="V208" s="519"/>
      <c r="W208" s="520"/>
      <c r="X208" s="513"/>
      <c r="Y208" s="518"/>
      <c r="Z208" s="519"/>
      <c r="AA208" s="520"/>
      <c r="AB208" s="513"/>
      <c r="AC208" s="518"/>
      <c r="AD208" s="519"/>
      <c r="AE208" s="520"/>
      <c r="AF208" s="513"/>
      <c r="AG208" s="518"/>
      <c r="AH208" s="519"/>
      <c r="AI208" s="520"/>
      <c r="AJ208" s="513"/>
      <c r="AK208" s="382"/>
      <c r="AL208" s="417"/>
      <c r="AM208" s="383"/>
      <c r="AN208" s="507"/>
      <c r="AO208" s="382"/>
      <c r="AP208" s="417"/>
      <c r="AQ208" s="383"/>
      <c r="AR208" s="507"/>
      <c r="AS208" s="514"/>
      <c r="AT208" s="514"/>
    </row>
    <row r="209">
      <c r="A209" s="382"/>
      <c r="B209" s="417"/>
      <c r="C209" s="383"/>
      <c r="D209" s="507"/>
      <c r="E209" s="382"/>
      <c r="F209" s="417"/>
      <c r="G209" s="383"/>
      <c r="H209" s="507"/>
      <c r="I209" s="382"/>
      <c r="J209" s="417"/>
      <c r="K209" s="383"/>
      <c r="L209" s="507"/>
      <c r="M209" s="382"/>
      <c r="N209" s="417"/>
      <c r="O209" s="383"/>
      <c r="P209" s="507"/>
      <c r="Q209" s="518"/>
      <c r="R209" s="519"/>
      <c r="S209" s="520"/>
      <c r="T209" s="513"/>
      <c r="U209" s="518"/>
      <c r="V209" s="519"/>
      <c r="W209" s="520"/>
      <c r="X209" s="513"/>
      <c r="Y209" s="518"/>
      <c r="Z209" s="519"/>
      <c r="AA209" s="520"/>
      <c r="AB209" s="513"/>
      <c r="AC209" s="518"/>
      <c r="AD209" s="519"/>
      <c r="AE209" s="520"/>
      <c r="AF209" s="513"/>
      <c r="AG209" s="518"/>
      <c r="AH209" s="519"/>
      <c r="AI209" s="520"/>
      <c r="AJ209" s="513"/>
      <c r="AK209" s="382"/>
      <c r="AL209" s="417"/>
      <c r="AM209" s="383"/>
      <c r="AN209" s="507"/>
      <c r="AO209" s="382"/>
      <c r="AP209" s="417"/>
      <c r="AQ209" s="383"/>
      <c r="AR209" s="507"/>
      <c r="AS209" s="514"/>
      <c r="AT209" s="514"/>
    </row>
    <row r="210">
      <c r="A210" s="382"/>
      <c r="B210" s="417"/>
      <c r="C210" s="383"/>
      <c r="D210" s="507"/>
      <c r="E210" s="382"/>
      <c r="F210" s="417"/>
      <c r="G210" s="383"/>
      <c r="H210" s="507"/>
      <c r="I210" s="382"/>
      <c r="J210" s="417"/>
      <c r="K210" s="383"/>
      <c r="L210" s="507"/>
      <c r="M210" s="382"/>
      <c r="N210" s="417"/>
      <c r="O210" s="383"/>
      <c r="P210" s="507"/>
      <c r="Q210" s="518"/>
      <c r="R210" s="519"/>
      <c r="S210" s="520"/>
      <c r="T210" s="513"/>
      <c r="U210" s="518"/>
      <c r="V210" s="519"/>
      <c r="W210" s="520"/>
      <c r="X210" s="513"/>
      <c r="Y210" s="518"/>
      <c r="Z210" s="519"/>
      <c r="AA210" s="520"/>
      <c r="AB210" s="513"/>
      <c r="AC210" s="518"/>
      <c r="AD210" s="519"/>
      <c r="AE210" s="520"/>
      <c r="AF210" s="513"/>
      <c r="AG210" s="518"/>
      <c r="AH210" s="519"/>
      <c r="AI210" s="520"/>
      <c r="AJ210" s="513"/>
      <c r="AK210" s="382"/>
      <c r="AL210" s="417"/>
      <c r="AM210" s="383"/>
      <c r="AN210" s="507"/>
      <c r="AO210" s="382"/>
      <c r="AP210" s="417"/>
      <c r="AQ210" s="383"/>
      <c r="AR210" s="507"/>
      <c r="AS210" s="514"/>
      <c r="AT210" s="514"/>
    </row>
    <row r="211">
      <c r="A211" s="382"/>
      <c r="B211" s="417"/>
      <c r="C211" s="383"/>
      <c r="D211" s="507"/>
      <c r="E211" s="382"/>
      <c r="F211" s="417"/>
      <c r="G211" s="383"/>
      <c r="H211" s="507"/>
      <c r="I211" s="382"/>
      <c r="J211" s="417"/>
      <c r="K211" s="383"/>
      <c r="L211" s="507"/>
      <c r="M211" s="382"/>
      <c r="N211" s="417"/>
      <c r="O211" s="383"/>
      <c r="P211" s="507"/>
      <c r="Q211" s="518"/>
      <c r="R211" s="519"/>
      <c r="S211" s="520"/>
      <c r="T211" s="513"/>
      <c r="U211" s="518"/>
      <c r="V211" s="519"/>
      <c r="W211" s="520"/>
      <c r="X211" s="513"/>
      <c r="Y211" s="518"/>
      <c r="Z211" s="519"/>
      <c r="AA211" s="520"/>
      <c r="AB211" s="513"/>
      <c r="AC211" s="518"/>
      <c r="AD211" s="519"/>
      <c r="AE211" s="520"/>
      <c r="AF211" s="513"/>
      <c r="AG211" s="518"/>
      <c r="AH211" s="519"/>
      <c r="AI211" s="520"/>
      <c r="AJ211" s="513"/>
      <c r="AK211" s="382"/>
      <c r="AL211" s="417"/>
      <c r="AM211" s="383"/>
      <c r="AN211" s="507"/>
      <c r="AO211" s="382"/>
      <c r="AP211" s="417"/>
      <c r="AQ211" s="383"/>
      <c r="AR211" s="507"/>
      <c r="AS211" s="514"/>
      <c r="AT211" s="514"/>
    </row>
    <row r="212">
      <c r="A212" s="382"/>
      <c r="B212" s="417"/>
      <c r="C212" s="383"/>
      <c r="D212" s="507"/>
      <c r="E212" s="382"/>
      <c r="F212" s="417"/>
      <c r="G212" s="383"/>
      <c r="H212" s="507"/>
      <c r="I212" s="382"/>
      <c r="J212" s="417"/>
      <c r="K212" s="383"/>
      <c r="L212" s="507"/>
      <c r="M212" s="382"/>
      <c r="N212" s="417"/>
      <c r="O212" s="383"/>
      <c r="P212" s="507"/>
      <c r="Q212" s="518"/>
      <c r="R212" s="519"/>
      <c r="S212" s="520"/>
      <c r="T212" s="513"/>
      <c r="U212" s="518"/>
      <c r="V212" s="519"/>
      <c r="W212" s="520"/>
      <c r="X212" s="513"/>
      <c r="Y212" s="518"/>
      <c r="Z212" s="519"/>
      <c r="AA212" s="520"/>
      <c r="AB212" s="513"/>
      <c r="AC212" s="518"/>
      <c r="AD212" s="519"/>
      <c r="AE212" s="520"/>
      <c r="AF212" s="513"/>
      <c r="AG212" s="518"/>
      <c r="AH212" s="519"/>
      <c r="AI212" s="520"/>
      <c r="AJ212" s="513"/>
      <c r="AK212" s="382"/>
      <c r="AL212" s="417"/>
      <c r="AM212" s="383"/>
      <c r="AN212" s="507"/>
      <c r="AO212" s="382"/>
      <c r="AP212" s="417"/>
      <c r="AQ212" s="383"/>
      <c r="AR212" s="507"/>
      <c r="AS212" s="514"/>
      <c r="AT212" s="514"/>
    </row>
    <row r="213">
      <c r="A213" s="382"/>
      <c r="B213" s="417"/>
      <c r="C213" s="383"/>
      <c r="D213" s="507"/>
      <c r="E213" s="382"/>
      <c r="F213" s="417"/>
      <c r="G213" s="383"/>
      <c r="H213" s="507"/>
      <c r="I213" s="382"/>
      <c r="J213" s="417"/>
      <c r="K213" s="383"/>
      <c r="L213" s="507"/>
      <c r="M213" s="382"/>
      <c r="N213" s="417"/>
      <c r="O213" s="383"/>
      <c r="P213" s="507"/>
      <c r="Q213" s="518"/>
      <c r="R213" s="519"/>
      <c r="S213" s="520"/>
      <c r="T213" s="513"/>
      <c r="U213" s="518"/>
      <c r="V213" s="519"/>
      <c r="W213" s="520"/>
      <c r="X213" s="513"/>
      <c r="Y213" s="518"/>
      <c r="Z213" s="519"/>
      <c r="AA213" s="520"/>
      <c r="AB213" s="513"/>
      <c r="AC213" s="518"/>
      <c r="AD213" s="519"/>
      <c r="AE213" s="520"/>
      <c r="AF213" s="513"/>
      <c r="AG213" s="518"/>
      <c r="AH213" s="519"/>
      <c r="AI213" s="520"/>
      <c r="AJ213" s="513"/>
      <c r="AK213" s="382"/>
      <c r="AL213" s="417"/>
      <c r="AM213" s="383"/>
      <c r="AN213" s="507"/>
      <c r="AO213" s="382"/>
      <c r="AP213" s="417"/>
      <c r="AQ213" s="383"/>
      <c r="AR213" s="507"/>
      <c r="AS213" s="514"/>
      <c r="AT213" s="514"/>
    </row>
    <row r="214">
      <c r="A214" s="382"/>
      <c r="B214" s="417"/>
      <c r="C214" s="383"/>
      <c r="D214" s="507"/>
      <c r="E214" s="382"/>
      <c r="F214" s="417"/>
      <c r="G214" s="383"/>
      <c r="H214" s="507"/>
      <c r="I214" s="382"/>
      <c r="J214" s="417"/>
      <c r="K214" s="383"/>
      <c r="L214" s="507"/>
      <c r="M214" s="382"/>
      <c r="N214" s="417"/>
      <c r="O214" s="383"/>
      <c r="P214" s="507"/>
      <c r="Q214" s="518"/>
      <c r="R214" s="519"/>
      <c r="S214" s="520"/>
      <c r="T214" s="513"/>
      <c r="U214" s="518"/>
      <c r="V214" s="519"/>
      <c r="W214" s="520"/>
      <c r="X214" s="513"/>
      <c r="Y214" s="518"/>
      <c r="Z214" s="519"/>
      <c r="AA214" s="520"/>
      <c r="AB214" s="513"/>
      <c r="AC214" s="518"/>
      <c r="AD214" s="519"/>
      <c r="AE214" s="520"/>
      <c r="AF214" s="513"/>
      <c r="AG214" s="518"/>
      <c r="AH214" s="519"/>
      <c r="AI214" s="520"/>
      <c r="AJ214" s="513"/>
      <c r="AK214" s="382"/>
      <c r="AL214" s="417"/>
      <c r="AM214" s="383"/>
      <c r="AN214" s="507"/>
      <c r="AO214" s="382"/>
      <c r="AP214" s="417"/>
      <c r="AQ214" s="383"/>
      <c r="AR214" s="507"/>
      <c r="AS214" s="514"/>
      <c r="AT214" s="514"/>
    </row>
    <row r="215">
      <c r="A215" s="382"/>
      <c r="B215" s="417"/>
      <c r="C215" s="383"/>
      <c r="D215" s="507"/>
      <c r="E215" s="382"/>
      <c r="F215" s="417"/>
      <c r="G215" s="383"/>
      <c r="H215" s="507"/>
      <c r="I215" s="382"/>
      <c r="J215" s="417"/>
      <c r="K215" s="383"/>
      <c r="L215" s="507"/>
      <c r="M215" s="382"/>
      <c r="N215" s="417"/>
      <c r="O215" s="383"/>
      <c r="P215" s="507"/>
      <c r="Q215" s="518"/>
      <c r="R215" s="519"/>
      <c r="S215" s="520"/>
      <c r="T215" s="513"/>
      <c r="U215" s="518"/>
      <c r="V215" s="519"/>
      <c r="W215" s="520"/>
      <c r="X215" s="513"/>
      <c r="Y215" s="518"/>
      <c r="Z215" s="519"/>
      <c r="AA215" s="520"/>
      <c r="AB215" s="513"/>
      <c r="AC215" s="518"/>
      <c r="AD215" s="519"/>
      <c r="AE215" s="520"/>
      <c r="AF215" s="513"/>
      <c r="AG215" s="518"/>
      <c r="AH215" s="519"/>
      <c r="AI215" s="520"/>
      <c r="AJ215" s="513"/>
      <c r="AK215" s="382"/>
      <c r="AL215" s="417"/>
      <c r="AM215" s="383"/>
      <c r="AN215" s="507"/>
      <c r="AO215" s="382"/>
      <c r="AP215" s="417"/>
      <c r="AQ215" s="383"/>
      <c r="AR215" s="507"/>
      <c r="AS215" s="514"/>
      <c r="AT215" s="514"/>
    </row>
    <row r="216">
      <c r="A216" s="382"/>
      <c r="B216" s="417"/>
      <c r="C216" s="383"/>
      <c r="D216" s="507"/>
      <c r="E216" s="382"/>
      <c r="F216" s="417"/>
      <c r="G216" s="383"/>
      <c r="H216" s="507"/>
      <c r="I216" s="382"/>
      <c r="J216" s="417"/>
      <c r="K216" s="383"/>
      <c r="L216" s="507"/>
      <c r="M216" s="382"/>
      <c r="N216" s="417"/>
      <c r="O216" s="383"/>
      <c r="P216" s="507"/>
      <c r="Q216" s="518"/>
      <c r="R216" s="519"/>
      <c r="S216" s="520"/>
      <c r="T216" s="513"/>
      <c r="U216" s="518"/>
      <c r="V216" s="519"/>
      <c r="W216" s="520"/>
      <c r="X216" s="513"/>
      <c r="Y216" s="518"/>
      <c r="Z216" s="519"/>
      <c r="AA216" s="520"/>
      <c r="AB216" s="513"/>
      <c r="AC216" s="518"/>
      <c r="AD216" s="519"/>
      <c r="AE216" s="520"/>
      <c r="AF216" s="513"/>
      <c r="AG216" s="518"/>
      <c r="AH216" s="519"/>
      <c r="AI216" s="520"/>
      <c r="AJ216" s="513"/>
      <c r="AK216" s="382"/>
      <c r="AL216" s="417"/>
      <c r="AM216" s="383"/>
      <c r="AN216" s="507"/>
      <c r="AO216" s="382"/>
      <c r="AP216" s="417"/>
      <c r="AQ216" s="383"/>
      <c r="AR216" s="507"/>
      <c r="AS216" s="514"/>
      <c r="AT216" s="514"/>
    </row>
    <row r="217">
      <c r="A217" s="382"/>
      <c r="B217" s="417"/>
      <c r="C217" s="383"/>
      <c r="D217" s="507"/>
      <c r="E217" s="382"/>
      <c r="F217" s="417"/>
      <c r="G217" s="383"/>
      <c r="H217" s="507"/>
      <c r="I217" s="382"/>
      <c r="J217" s="417"/>
      <c r="K217" s="383"/>
      <c r="L217" s="507"/>
      <c r="M217" s="382"/>
      <c r="N217" s="417"/>
      <c r="O217" s="383"/>
      <c r="P217" s="507"/>
      <c r="Q217" s="518"/>
      <c r="R217" s="519"/>
      <c r="S217" s="520"/>
      <c r="T217" s="513"/>
      <c r="U217" s="518"/>
      <c r="V217" s="519"/>
      <c r="W217" s="520"/>
      <c r="X217" s="513"/>
      <c r="Y217" s="518"/>
      <c r="Z217" s="519"/>
      <c r="AA217" s="520"/>
      <c r="AB217" s="513"/>
      <c r="AC217" s="518"/>
      <c r="AD217" s="519"/>
      <c r="AE217" s="520"/>
      <c r="AF217" s="513"/>
      <c r="AG217" s="518"/>
      <c r="AH217" s="519"/>
      <c r="AI217" s="520"/>
      <c r="AJ217" s="513"/>
      <c r="AK217" s="382"/>
      <c r="AL217" s="417"/>
      <c r="AM217" s="383"/>
      <c r="AN217" s="507"/>
      <c r="AO217" s="382"/>
      <c r="AP217" s="417"/>
      <c r="AQ217" s="383"/>
      <c r="AR217" s="507"/>
      <c r="AS217" s="514"/>
      <c r="AT217" s="514"/>
    </row>
    <row r="218">
      <c r="A218" s="382"/>
      <c r="B218" s="417"/>
      <c r="C218" s="383"/>
      <c r="D218" s="507"/>
      <c r="E218" s="382"/>
      <c r="F218" s="417"/>
      <c r="G218" s="383"/>
      <c r="H218" s="507"/>
      <c r="I218" s="382"/>
      <c r="J218" s="417"/>
      <c r="K218" s="383"/>
      <c r="L218" s="507"/>
      <c r="M218" s="382"/>
      <c r="N218" s="417"/>
      <c r="O218" s="383"/>
      <c r="P218" s="507"/>
      <c r="Q218" s="518"/>
      <c r="R218" s="519"/>
      <c r="S218" s="520"/>
      <c r="T218" s="513"/>
      <c r="U218" s="518"/>
      <c r="V218" s="519"/>
      <c r="W218" s="520"/>
      <c r="X218" s="513"/>
      <c r="Y218" s="518"/>
      <c r="Z218" s="519"/>
      <c r="AA218" s="520"/>
      <c r="AB218" s="513"/>
      <c r="AC218" s="518"/>
      <c r="AD218" s="519"/>
      <c r="AE218" s="520"/>
      <c r="AF218" s="513"/>
      <c r="AG218" s="518"/>
      <c r="AH218" s="519"/>
      <c r="AI218" s="520"/>
      <c r="AJ218" s="513"/>
      <c r="AK218" s="382"/>
      <c r="AL218" s="417"/>
      <c r="AM218" s="383"/>
      <c r="AN218" s="507"/>
      <c r="AO218" s="382"/>
      <c r="AP218" s="417"/>
      <c r="AQ218" s="383"/>
      <c r="AR218" s="507"/>
      <c r="AS218" s="514"/>
      <c r="AT218" s="514"/>
    </row>
    <row r="219">
      <c r="A219" s="382"/>
      <c r="B219" s="417"/>
      <c r="C219" s="383"/>
      <c r="D219" s="507"/>
      <c r="E219" s="382"/>
      <c r="F219" s="417"/>
      <c r="G219" s="383"/>
      <c r="H219" s="507"/>
      <c r="I219" s="382"/>
      <c r="J219" s="417"/>
      <c r="K219" s="383"/>
      <c r="L219" s="507"/>
      <c r="M219" s="382"/>
      <c r="N219" s="417"/>
      <c r="O219" s="383"/>
      <c r="P219" s="507"/>
      <c r="Q219" s="518"/>
      <c r="R219" s="519"/>
      <c r="S219" s="520"/>
      <c r="T219" s="513"/>
      <c r="U219" s="518"/>
      <c r="V219" s="519"/>
      <c r="W219" s="520"/>
      <c r="X219" s="513"/>
      <c r="Y219" s="518"/>
      <c r="Z219" s="519"/>
      <c r="AA219" s="520"/>
      <c r="AB219" s="513"/>
      <c r="AC219" s="518"/>
      <c r="AD219" s="519"/>
      <c r="AE219" s="520"/>
      <c r="AF219" s="513"/>
      <c r="AG219" s="518"/>
      <c r="AH219" s="519"/>
      <c r="AI219" s="520"/>
      <c r="AJ219" s="513"/>
      <c r="AK219" s="382"/>
      <c r="AL219" s="417"/>
      <c r="AM219" s="383"/>
      <c r="AN219" s="507"/>
      <c r="AO219" s="382"/>
      <c r="AP219" s="417"/>
      <c r="AQ219" s="383"/>
      <c r="AR219" s="507"/>
      <c r="AS219" s="514"/>
      <c r="AT219" s="514"/>
    </row>
    <row r="220">
      <c r="A220" s="382"/>
      <c r="B220" s="417"/>
      <c r="C220" s="383"/>
      <c r="D220" s="507"/>
      <c r="E220" s="382"/>
      <c r="F220" s="417"/>
      <c r="G220" s="383"/>
      <c r="H220" s="507"/>
      <c r="I220" s="382"/>
      <c r="J220" s="417"/>
      <c r="K220" s="383"/>
      <c r="L220" s="507"/>
      <c r="M220" s="382"/>
      <c r="N220" s="417"/>
      <c r="O220" s="383"/>
      <c r="P220" s="507"/>
      <c r="Q220" s="518"/>
      <c r="R220" s="519"/>
      <c r="S220" s="520"/>
      <c r="T220" s="513"/>
      <c r="U220" s="518"/>
      <c r="V220" s="519"/>
      <c r="W220" s="520"/>
      <c r="X220" s="513"/>
      <c r="Y220" s="518"/>
      <c r="Z220" s="519"/>
      <c r="AA220" s="520"/>
      <c r="AB220" s="513"/>
      <c r="AC220" s="518"/>
      <c r="AD220" s="519"/>
      <c r="AE220" s="520"/>
      <c r="AF220" s="513"/>
      <c r="AG220" s="518"/>
      <c r="AH220" s="519"/>
      <c r="AI220" s="520"/>
      <c r="AJ220" s="513"/>
      <c r="AK220" s="382"/>
      <c r="AL220" s="417"/>
      <c r="AM220" s="383"/>
      <c r="AN220" s="507"/>
      <c r="AO220" s="382"/>
      <c r="AP220" s="417"/>
      <c r="AQ220" s="383"/>
      <c r="AR220" s="507"/>
      <c r="AS220" s="514"/>
      <c r="AT220" s="514"/>
    </row>
    <row r="221">
      <c r="A221" s="382"/>
      <c r="B221" s="417"/>
      <c r="C221" s="383"/>
      <c r="D221" s="507"/>
      <c r="E221" s="382"/>
      <c r="F221" s="417"/>
      <c r="G221" s="383"/>
      <c r="H221" s="507"/>
      <c r="I221" s="382"/>
      <c r="J221" s="417"/>
      <c r="K221" s="383"/>
      <c r="L221" s="507"/>
      <c r="M221" s="382"/>
      <c r="N221" s="417"/>
      <c r="O221" s="383"/>
      <c r="P221" s="507"/>
      <c r="Q221" s="518"/>
      <c r="R221" s="519"/>
      <c r="S221" s="520"/>
      <c r="T221" s="513"/>
      <c r="U221" s="518"/>
      <c r="V221" s="519"/>
      <c r="W221" s="520"/>
      <c r="X221" s="513"/>
      <c r="Y221" s="518"/>
      <c r="Z221" s="519"/>
      <c r="AA221" s="520"/>
      <c r="AB221" s="513"/>
      <c r="AC221" s="518"/>
      <c r="AD221" s="519"/>
      <c r="AE221" s="520"/>
      <c r="AF221" s="513"/>
      <c r="AG221" s="518"/>
      <c r="AH221" s="519"/>
      <c r="AI221" s="520"/>
      <c r="AJ221" s="513"/>
      <c r="AK221" s="382"/>
      <c r="AL221" s="417"/>
      <c r="AM221" s="383"/>
      <c r="AN221" s="507"/>
      <c r="AO221" s="382"/>
      <c r="AP221" s="417"/>
      <c r="AQ221" s="383"/>
      <c r="AR221" s="507"/>
      <c r="AS221" s="514"/>
      <c r="AT221" s="514"/>
    </row>
    <row r="222">
      <c r="A222" s="382"/>
      <c r="B222" s="417"/>
      <c r="C222" s="383"/>
      <c r="D222" s="507"/>
      <c r="E222" s="382"/>
      <c r="F222" s="417"/>
      <c r="G222" s="383"/>
      <c r="H222" s="507"/>
      <c r="I222" s="382"/>
      <c r="J222" s="417"/>
      <c r="K222" s="383"/>
      <c r="L222" s="507"/>
      <c r="M222" s="382"/>
      <c r="N222" s="417"/>
      <c r="O222" s="383"/>
      <c r="P222" s="507"/>
      <c r="Q222" s="518"/>
      <c r="R222" s="519"/>
      <c r="S222" s="520"/>
      <c r="T222" s="513"/>
      <c r="U222" s="518"/>
      <c r="V222" s="519"/>
      <c r="W222" s="520"/>
      <c r="X222" s="513"/>
      <c r="Y222" s="518"/>
      <c r="Z222" s="519"/>
      <c r="AA222" s="520"/>
      <c r="AB222" s="513"/>
      <c r="AC222" s="518"/>
      <c r="AD222" s="519"/>
      <c r="AE222" s="520"/>
      <c r="AF222" s="513"/>
      <c r="AG222" s="518"/>
      <c r="AH222" s="519"/>
      <c r="AI222" s="520"/>
      <c r="AJ222" s="513"/>
      <c r="AK222" s="382"/>
      <c r="AL222" s="417"/>
      <c r="AM222" s="383"/>
      <c r="AN222" s="507"/>
      <c r="AO222" s="382"/>
      <c r="AP222" s="417"/>
      <c r="AQ222" s="383"/>
      <c r="AR222" s="507"/>
      <c r="AS222" s="514"/>
      <c r="AT222" s="514"/>
    </row>
    <row r="223">
      <c r="A223" s="382"/>
      <c r="B223" s="417"/>
      <c r="C223" s="383"/>
      <c r="D223" s="507"/>
      <c r="E223" s="382"/>
      <c r="F223" s="417"/>
      <c r="G223" s="383"/>
      <c r="H223" s="507"/>
      <c r="I223" s="382"/>
      <c r="J223" s="417"/>
      <c r="K223" s="383"/>
      <c r="L223" s="507"/>
      <c r="M223" s="382"/>
      <c r="N223" s="417"/>
      <c r="O223" s="383"/>
      <c r="P223" s="507"/>
      <c r="Q223" s="518"/>
      <c r="R223" s="519"/>
      <c r="S223" s="520"/>
      <c r="T223" s="513"/>
      <c r="U223" s="518"/>
      <c r="V223" s="519"/>
      <c r="W223" s="520"/>
      <c r="X223" s="513"/>
      <c r="Y223" s="518"/>
      <c r="Z223" s="519"/>
      <c r="AA223" s="520"/>
      <c r="AB223" s="513"/>
      <c r="AC223" s="518"/>
      <c r="AD223" s="519"/>
      <c r="AE223" s="520"/>
      <c r="AF223" s="513"/>
      <c r="AG223" s="518"/>
      <c r="AH223" s="519"/>
      <c r="AI223" s="520"/>
      <c r="AJ223" s="513"/>
      <c r="AK223" s="382"/>
      <c r="AL223" s="417"/>
      <c r="AM223" s="383"/>
      <c r="AN223" s="507"/>
      <c r="AO223" s="382"/>
      <c r="AP223" s="417"/>
      <c r="AQ223" s="383"/>
      <c r="AR223" s="507"/>
      <c r="AS223" s="514"/>
      <c r="AT223" s="514"/>
    </row>
    <row r="224">
      <c r="A224" s="382"/>
      <c r="B224" s="417"/>
      <c r="C224" s="383"/>
      <c r="D224" s="507"/>
      <c r="E224" s="382"/>
      <c r="F224" s="417"/>
      <c r="G224" s="383"/>
      <c r="H224" s="507"/>
      <c r="I224" s="382"/>
      <c r="J224" s="417"/>
      <c r="K224" s="383"/>
      <c r="L224" s="507"/>
      <c r="M224" s="382"/>
      <c r="N224" s="417"/>
      <c r="O224" s="383"/>
      <c r="P224" s="507"/>
      <c r="Q224" s="518"/>
      <c r="R224" s="519"/>
      <c r="S224" s="520"/>
      <c r="T224" s="513"/>
      <c r="U224" s="518"/>
      <c r="V224" s="519"/>
      <c r="W224" s="520"/>
      <c r="X224" s="513"/>
      <c r="Y224" s="518"/>
      <c r="Z224" s="519"/>
      <c r="AA224" s="520"/>
      <c r="AB224" s="513"/>
      <c r="AC224" s="518"/>
      <c r="AD224" s="519"/>
      <c r="AE224" s="520"/>
      <c r="AF224" s="513"/>
      <c r="AG224" s="518"/>
      <c r="AH224" s="519"/>
      <c r="AI224" s="520"/>
      <c r="AJ224" s="513"/>
      <c r="AK224" s="382"/>
      <c r="AL224" s="417"/>
      <c r="AM224" s="383"/>
      <c r="AN224" s="507"/>
      <c r="AO224" s="382"/>
      <c r="AP224" s="417"/>
      <c r="AQ224" s="383"/>
      <c r="AR224" s="507"/>
      <c r="AS224" s="514"/>
      <c r="AT224" s="514"/>
    </row>
    <row r="225">
      <c r="A225" s="382"/>
      <c r="B225" s="417"/>
      <c r="C225" s="383"/>
      <c r="D225" s="507"/>
      <c r="E225" s="382"/>
      <c r="F225" s="417"/>
      <c r="G225" s="383"/>
      <c r="H225" s="507"/>
      <c r="I225" s="382"/>
      <c r="J225" s="417"/>
      <c r="K225" s="383"/>
      <c r="L225" s="507"/>
      <c r="M225" s="382"/>
      <c r="N225" s="417"/>
      <c r="O225" s="383"/>
      <c r="P225" s="507"/>
      <c r="Q225" s="518"/>
      <c r="R225" s="519"/>
      <c r="S225" s="520"/>
      <c r="T225" s="513"/>
      <c r="U225" s="518"/>
      <c r="V225" s="519"/>
      <c r="W225" s="520"/>
      <c r="X225" s="513"/>
      <c r="Y225" s="518"/>
      <c r="Z225" s="519"/>
      <c r="AA225" s="520"/>
      <c r="AB225" s="513"/>
      <c r="AC225" s="518"/>
      <c r="AD225" s="519"/>
      <c r="AE225" s="520"/>
      <c r="AF225" s="513"/>
      <c r="AG225" s="518"/>
      <c r="AH225" s="519"/>
      <c r="AI225" s="520"/>
      <c r="AJ225" s="513"/>
      <c r="AK225" s="382"/>
      <c r="AL225" s="417"/>
      <c r="AM225" s="383"/>
      <c r="AN225" s="507"/>
      <c r="AO225" s="382"/>
      <c r="AP225" s="417"/>
      <c r="AQ225" s="383"/>
      <c r="AR225" s="507"/>
      <c r="AS225" s="514"/>
      <c r="AT225" s="514"/>
    </row>
    <row r="226">
      <c r="A226" s="382"/>
      <c r="B226" s="417"/>
      <c r="C226" s="383"/>
      <c r="D226" s="507"/>
      <c r="E226" s="382"/>
      <c r="F226" s="417"/>
      <c r="G226" s="383"/>
      <c r="H226" s="507"/>
      <c r="I226" s="382"/>
      <c r="J226" s="417"/>
      <c r="K226" s="383"/>
      <c r="L226" s="507"/>
      <c r="M226" s="382"/>
      <c r="N226" s="417"/>
      <c r="O226" s="383"/>
      <c r="P226" s="507"/>
      <c r="Q226" s="518"/>
      <c r="R226" s="519"/>
      <c r="S226" s="520"/>
      <c r="T226" s="513"/>
      <c r="U226" s="518"/>
      <c r="V226" s="519"/>
      <c r="W226" s="520"/>
      <c r="X226" s="513"/>
      <c r="Y226" s="518"/>
      <c r="Z226" s="519"/>
      <c r="AA226" s="520"/>
      <c r="AB226" s="513"/>
      <c r="AC226" s="518"/>
      <c r="AD226" s="519"/>
      <c r="AE226" s="520"/>
      <c r="AF226" s="513"/>
      <c r="AG226" s="518"/>
      <c r="AH226" s="519"/>
      <c r="AI226" s="520"/>
      <c r="AJ226" s="513"/>
      <c r="AK226" s="382"/>
      <c r="AL226" s="417"/>
      <c r="AM226" s="383"/>
      <c r="AN226" s="507"/>
      <c r="AO226" s="382"/>
      <c r="AP226" s="417"/>
      <c r="AQ226" s="383"/>
      <c r="AR226" s="507"/>
      <c r="AS226" s="514"/>
      <c r="AT226" s="514"/>
    </row>
    <row r="227">
      <c r="A227" s="382"/>
      <c r="B227" s="417"/>
      <c r="C227" s="383"/>
      <c r="D227" s="507"/>
      <c r="E227" s="382"/>
      <c r="F227" s="417"/>
      <c r="G227" s="383"/>
      <c r="H227" s="507"/>
      <c r="I227" s="382"/>
      <c r="J227" s="417"/>
      <c r="K227" s="383"/>
      <c r="L227" s="507"/>
      <c r="M227" s="382"/>
      <c r="N227" s="417"/>
      <c r="O227" s="383"/>
      <c r="P227" s="507"/>
      <c r="Q227" s="518"/>
      <c r="R227" s="519"/>
      <c r="S227" s="520"/>
      <c r="T227" s="513"/>
      <c r="U227" s="518"/>
      <c r="V227" s="519"/>
      <c r="W227" s="520"/>
      <c r="X227" s="513"/>
      <c r="Y227" s="518"/>
      <c r="Z227" s="519"/>
      <c r="AA227" s="520"/>
      <c r="AB227" s="513"/>
      <c r="AC227" s="518"/>
      <c r="AD227" s="519"/>
      <c r="AE227" s="520"/>
      <c r="AF227" s="513"/>
      <c r="AG227" s="518"/>
      <c r="AH227" s="519"/>
      <c r="AI227" s="520"/>
      <c r="AJ227" s="513"/>
      <c r="AK227" s="382"/>
      <c r="AL227" s="417"/>
      <c r="AM227" s="383"/>
      <c r="AN227" s="507"/>
      <c r="AO227" s="382"/>
      <c r="AP227" s="417"/>
      <c r="AQ227" s="383"/>
      <c r="AR227" s="507"/>
      <c r="AS227" s="514"/>
      <c r="AT227" s="514"/>
    </row>
    <row r="228">
      <c r="A228" s="382"/>
      <c r="B228" s="417"/>
      <c r="C228" s="383"/>
      <c r="D228" s="507"/>
      <c r="E228" s="382"/>
      <c r="F228" s="417"/>
      <c r="G228" s="383"/>
      <c r="H228" s="507"/>
      <c r="I228" s="382"/>
      <c r="J228" s="417"/>
      <c r="K228" s="383"/>
      <c r="L228" s="507"/>
      <c r="M228" s="382"/>
      <c r="N228" s="417"/>
      <c r="O228" s="383"/>
      <c r="P228" s="507"/>
      <c r="Q228" s="518"/>
      <c r="R228" s="519"/>
      <c r="S228" s="520"/>
      <c r="T228" s="513"/>
      <c r="U228" s="518"/>
      <c r="V228" s="519"/>
      <c r="W228" s="520"/>
      <c r="X228" s="513"/>
      <c r="Y228" s="518"/>
      <c r="Z228" s="519"/>
      <c r="AA228" s="520"/>
      <c r="AB228" s="513"/>
      <c r="AC228" s="518"/>
      <c r="AD228" s="519"/>
      <c r="AE228" s="520"/>
      <c r="AF228" s="513"/>
      <c r="AG228" s="518"/>
      <c r="AH228" s="519"/>
      <c r="AI228" s="520"/>
      <c r="AJ228" s="513"/>
      <c r="AK228" s="382"/>
      <c r="AL228" s="417"/>
      <c r="AM228" s="383"/>
      <c r="AN228" s="507"/>
      <c r="AO228" s="382"/>
      <c r="AP228" s="417"/>
      <c r="AQ228" s="383"/>
      <c r="AR228" s="507"/>
      <c r="AS228" s="514"/>
      <c r="AT228" s="514"/>
    </row>
    <row r="229">
      <c r="A229" s="382"/>
      <c r="B229" s="417"/>
      <c r="C229" s="383"/>
      <c r="D229" s="507"/>
      <c r="E229" s="382"/>
      <c r="F229" s="417"/>
      <c r="G229" s="383"/>
      <c r="H229" s="507"/>
      <c r="I229" s="382"/>
      <c r="J229" s="417"/>
      <c r="K229" s="383"/>
      <c r="L229" s="507"/>
      <c r="M229" s="382"/>
      <c r="N229" s="417"/>
      <c r="O229" s="383"/>
      <c r="P229" s="507"/>
      <c r="Q229" s="518"/>
      <c r="R229" s="519"/>
      <c r="S229" s="520"/>
      <c r="T229" s="513"/>
      <c r="U229" s="518"/>
      <c r="V229" s="519"/>
      <c r="W229" s="520"/>
      <c r="X229" s="513"/>
      <c r="Y229" s="518"/>
      <c r="Z229" s="519"/>
      <c r="AA229" s="520"/>
      <c r="AB229" s="513"/>
      <c r="AC229" s="518"/>
      <c r="AD229" s="519"/>
      <c r="AE229" s="520"/>
      <c r="AF229" s="513"/>
      <c r="AG229" s="518"/>
      <c r="AH229" s="519"/>
      <c r="AI229" s="520"/>
      <c r="AJ229" s="513"/>
      <c r="AK229" s="382"/>
      <c r="AL229" s="417"/>
      <c r="AM229" s="383"/>
      <c r="AN229" s="507"/>
      <c r="AO229" s="382"/>
      <c r="AP229" s="417"/>
      <c r="AQ229" s="383"/>
      <c r="AR229" s="507"/>
      <c r="AS229" s="514"/>
      <c r="AT229" s="514"/>
    </row>
    <row r="230">
      <c r="A230" s="382"/>
      <c r="B230" s="417"/>
      <c r="C230" s="383"/>
      <c r="D230" s="507"/>
      <c r="E230" s="382"/>
      <c r="F230" s="417"/>
      <c r="G230" s="383"/>
      <c r="H230" s="507"/>
      <c r="I230" s="382"/>
      <c r="J230" s="417"/>
      <c r="K230" s="383"/>
      <c r="L230" s="507"/>
      <c r="M230" s="382"/>
      <c r="N230" s="417"/>
      <c r="O230" s="383"/>
      <c r="P230" s="507"/>
      <c r="Q230" s="518"/>
      <c r="R230" s="519"/>
      <c r="S230" s="520"/>
      <c r="T230" s="513"/>
      <c r="U230" s="518"/>
      <c r="V230" s="519"/>
      <c r="W230" s="520"/>
      <c r="X230" s="513"/>
      <c r="Y230" s="518"/>
      <c r="Z230" s="519"/>
      <c r="AA230" s="520"/>
      <c r="AB230" s="513"/>
      <c r="AC230" s="518"/>
      <c r="AD230" s="519"/>
      <c r="AE230" s="520"/>
      <c r="AF230" s="513"/>
      <c r="AG230" s="518"/>
      <c r="AH230" s="519"/>
      <c r="AI230" s="520"/>
      <c r="AJ230" s="513"/>
      <c r="AK230" s="382"/>
      <c r="AL230" s="417"/>
      <c r="AM230" s="383"/>
      <c r="AN230" s="507"/>
      <c r="AO230" s="382"/>
      <c r="AP230" s="417"/>
      <c r="AQ230" s="383"/>
      <c r="AR230" s="507"/>
      <c r="AS230" s="514"/>
      <c r="AT230" s="514"/>
    </row>
    <row r="231">
      <c r="A231" s="382"/>
      <c r="B231" s="417"/>
      <c r="C231" s="383"/>
      <c r="D231" s="507"/>
      <c r="E231" s="382"/>
      <c r="F231" s="417"/>
      <c r="G231" s="383"/>
      <c r="H231" s="507"/>
      <c r="I231" s="382"/>
      <c r="J231" s="417"/>
      <c r="K231" s="383"/>
      <c r="L231" s="507"/>
      <c r="M231" s="382"/>
      <c r="N231" s="417"/>
      <c r="O231" s="383"/>
      <c r="P231" s="507"/>
      <c r="Q231" s="518"/>
      <c r="R231" s="519"/>
      <c r="S231" s="520"/>
      <c r="T231" s="513"/>
      <c r="U231" s="518"/>
      <c r="V231" s="519"/>
      <c r="W231" s="520"/>
      <c r="X231" s="513"/>
      <c r="Y231" s="518"/>
      <c r="Z231" s="519"/>
      <c r="AA231" s="520"/>
      <c r="AB231" s="513"/>
      <c r="AC231" s="518"/>
      <c r="AD231" s="519"/>
      <c r="AE231" s="520"/>
      <c r="AF231" s="513"/>
      <c r="AG231" s="518"/>
      <c r="AH231" s="519"/>
      <c r="AI231" s="520"/>
      <c r="AJ231" s="513"/>
      <c r="AK231" s="382"/>
      <c r="AL231" s="417"/>
      <c r="AM231" s="383"/>
      <c r="AN231" s="507"/>
      <c r="AO231" s="382"/>
      <c r="AP231" s="417"/>
      <c r="AQ231" s="383"/>
      <c r="AR231" s="507"/>
      <c r="AS231" s="514"/>
      <c r="AT231" s="514"/>
    </row>
    <row r="232">
      <c r="A232" s="382"/>
      <c r="B232" s="417"/>
      <c r="C232" s="383"/>
      <c r="D232" s="507"/>
      <c r="E232" s="382"/>
      <c r="F232" s="417"/>
      <c r="G232" s="383"/>
      <c r="H232" s="507"/>
      <c r="I232" s="382"/>
      <c r="J232" s="417"/>
      <c r="K232" s="383"/>
      <c r="L232" s="507"/>
      <c r="M232" s="382"/>
      <c r="N232" s="417"/>
      <c r="O232" s="383"/>
      <c r="P232" s="507"/>
      <c r="Q232" s="518"/>
      <c r="R232" s="519"/>
      <c r="S232" s="520"/>
      <c r="T232" s="513"/>
      <c r="U232" s="518"/>
      <c r="V232" s="519"/>
      <c r="W232" s="520"/>
      <c r="X232" s="513"/>
      <c r="Y232" s="518"/>
      <c r="Z232" s="519"/>
      <c r="AA232" s="520"/>
      <c r="AB232" s="513"/>
      <c r="AC232" s="518"/>
      <c r="AD232" s="519"/>
      <c r="AE232" s="520"/>
      <c r="AF232" s="513"/>
      <c r="AG232" s="518"/>
      <c r="AH232" s="519"/>
      <c r="AI232" s="520"/>
      <c r="AJ232" s="513"/>
      <c r="AK232" s="382"/>
      <c r="AL232" s="417"/>
      <c r="AM232" s="383"/>
      <c r="AN232" s="507"/>
      <c r="AO232" s="382"/>
      <c r="AP232" s="417"/>
      <c r="AQ232" s="383"/>
      <c r="AR232" s="507"/>
      <c r="AS232" s="514"/>
      <c r="AT232" s="514"/>
    </row>
    <row r="233">
      <c r="A233" s="382"/>
      <c r="B233" s="417"/>
      <c r="C233" s="383"/>
      <c r="D233" s="507"/>
      <c r="E233" s="382"/>
      <c r="F233" s="417"/>
      <c r="G233" s="383"/>
      <c r="H233" s="507"/>
      <c r="I233" s="382"/>
      <c r="J233" s="417"/>
      <c r="K233" s="383"/>
      <c r="L233" s="507"/>
      <c r="M233" s="382"/>
      <c r="N233" s="417"/>
      <c r="O233" s="383"/>
      <c r="P233" s="507"/>
      <c r="Q233" s="518"/>
      <c r="R233" s="519"/>
      <c r="S233" s="520"/>
      <c r="T233" s="513"/>
      <c r="U233" s="518"/>
      <c r="V233" s="519"/>
      <c r="W233" s="520"/>
      <c r="X233" s="513"/>
      <c r="Y233" s="518"/>
      <c r="Z233" s="519"/>
      <c r="AA233" s="520"/>
      <c r="AB233" s="513"/>
      <c r="AC233" s="518"/>
      <c r="AD233" s="519"/>
      <c r="AE233" s="520"/>
      <c r="AF233" s="513"/>
      <c r="AG233" s="518"/>
      <c r="AH233" s="519"/>
      <c r="AI233" s="520"/>
      <c r="AJ233" s="513"/>
      <c r="AK233" s="382"/>
      <c r="AL233" s="417"/>
      <c r="AM233" s="383"/>
      <c r="AN233" s="507"/>
      <c r="AO233" s="382"/>
      <c r="AP233" s="417"/>
      <c r="AQ233" s="383"/>
      <c r="AR233" s="507"/>
      <c r="AS233" s="514"/>
      <c r="AT233" s="514"/>
    </row>
    <row r="234">
      <c r="A234" s="382"/>
      <c r="B234" s="417"/>
      <c r="C234" s="383"/>
      <c r="D234" s="507"/>
      <c r="E234" s="382"/>
      <c r="F234" s="417"/>
      <c r="G234" s="383"/>
      <c r="H234" s="507"/>
      <c r="I234" s="382"/>
      <c r="J234" s="417"/>
      <c r="K234" s="383"/>
      <c r="L234" s="507"/>
      <c r="M234" s="382"/>
      <c r="N234" s="417"/>
      <c r="O234" s="383"/>
      <c r="P234" s="507"/>
      <c r="Q234" s="518"/>
      <c r="R234" s="519"/>
      <c r="S234" s="520"/>
      <c r="T234" s="513"/>
      <c r="U234" s="518"/>
      <c r="V234" s="519"/>
      <c r="W234" s="520"/>
      <c r="X234" s="513"/>
      <c r="Y234" s="518"/>
      <c r="Z234" s="519"/>
      <c r="AA234" s="520"/>
      <c r="AB234" s="513"/>
      <c r="AC234" s="518"/>
      <c r="AD234" s="519"/>
      <c r="AE234" s="520"/>
      <c r="AF234" s="513"/>
      <c r="AG234" s="518"/>
      <c r="AH234" s="519"/>
      <c r="AI234" s="520"/>
      <c r="AJ234" s="513"/>
      <c r="AK234" s="382"/>
      <c r="AL234" s="417"/>
      <c r="AM234" s="383"/>
      <c r="AN234" s="507"/>
      <c r="AO234" s="382"/>
      <c r="AP234" s="417"/>
      <c r="AQ234" s="383"/>
      <c r="AR234" s="507"/>
      <c r="AS234" s="514"/>
      <c r="AT234" s="514"/>
    </row>
    <row r="235">
      <c r="A235" s="382"/>
      <c r="B235" s="417"/>
      <c r="C235" s="383"/>
      <c r="D235" s="507"/>
      <c r="E235" s="382"/>
      <c r="F235" s="417"/>
      <c r="G235" s="383"/>
      <c r="H235" s="507"/>
      <c r="I235" s="382"/>
      <c r="J235" s="417"/>
      <c r="K235" s="383"/>
      <c r="L235" s="507"/>
      <c r="M235" s="382"/>
      <c r="N235" s="417"/>
      <c r="O235" s="383"/>
      <c r="P235" s="507"/>
      <c r="Q235" s="518"/>
      <c r="R235" s="519"/>
      <c r="S235" s="520"/>
      <c r="T235" s="513"/>
      <c r="U235" s="518"/>
      <c r="V235" s="519"/>
      <c r="W235" s="520"/>
      <c r="X235" s="513"/>
      <c r="Y235" s="518"/>
      <c r="Z235" s="519"/>
      <c r="AA235" s="520"/>
      <c r="AB235" s="513"/>
      <c r="AC235" s="518"/>
      <c r="AD235" s="519"/>
      <c r="AE235" s="520"/>
      <c r="AF235" s="513"/>
      <c r="AG235" s="518"/>
      <c r="AH235" s="519"/>
      <c r="AI235" s="520"/>
      <c r="AJ235" s="513"/>
      <c r="AK235" s="382"/>
      <c r="AL235" s="417"/>
      <c r="AM235" s="383"/>
      <c r="AN235" s="507"/>
      <c r="AO235" s="382"/>
      <c r="AP235" s="417"/>
      <c r="AQ235" s="383"/>
      <c r="AR235" s="507"/>
      <c r="AS235" s="514"/>
      <c r="AT235" s="514"/>
    </row>
    <row r="236">
      <c r="A236" s="382"/>
      <c r="B236" s="417"/>
      <c r="C236" s="383"/>
      <c r="D236" s="507"/>
      <c r="E236" s="382"/>
      <c r="F236" s="417"/>
      <c r="G236" s="383"/>
      <c r="H236" s="507"/>
      <c r="I236" s="382"/>
      <c r="J236" s="417"/>
      <c r="K236" s="383"/>
      <c r="L236" s="507"/>
      <c r="M236" s="382"/>
      <c r="N236" s="417"/>
      <c r="O236" s="383"/>
      <c r="P236" s="507"/>
      <c r="Q236" s="518"/>
      <c r="R236" s="519"/>
      <c r="S236" s="520"/>
      <c r="T236" s="513"/>
      <c r="U236" s="518"/>
      <c r="V236" s="519"/>
      <c r="W236" s="520"/>
      <c r="X236" s="513"/>
      <c r="Y236" s="518"/>
      <c r="Z236" s="519"/>
      <c r="AA236" s="520"/>
      <c r="AB236" s="513"/>
      <c r="AC236" s="518"/>
      <c r="AD236" s="519"/>
      <c r="AE236" s="520"/>
      <c r="AF236" s="513"/>
      <c r="AG236" s="518"/>
      <c r="AH236" s="519"/>
      <c r="AI236" s="520"/>
      <c r="AJ236" s="513"/>
      <c r="AK236" s="382"/>
      <c r="AL236" s="417"/>
      <c r="AM236" s="383"/>
      <c r="AN236" s="507"/>
      <c r="AO236" s="382"/>
      <c r="AP236" s="417"/>
      <c r="AQ236" s="383"/>
      <c r="AR236" s="507"/>
      <c r="AS236" s="514"/>
      <c r="AT236" s="514"/>
    </row>
    <row r="237">
      <c r="A237" s="382"/>
      <c r="B237" s="417"/>
      <c r="C237" s="383"/>
      <c r="D237" s="507"/>
      <c r="E237" s="382"/>
      <c r="F237" s="417"/>
      <c r="G237" s="383"/>
      <c r="H237" s="507"/>
      <c r="I237" s="382"/>
      <c r="J237" s="417"/>
      <c r="K237" s="383"/>
      <c r="L237" s="507"/>
      <c r="M237" s="382"/>
      <c r="N237" s="417"/>
      <c r="O237" s="383"/>
      <c r="P237" s="507"/>
      <c r="Q237" s="518"/>
      <c r="R237" s="519"/>
      <c r="S237" s="520"/>
      <c r="T237" s="513"/>
      <c r="U237" s="518"/>
      <c r="V237" s="519"/>
      <c r="W237" s="520"/>
      <c r="X237" s="513"/>
      <c r="Y237" s="518"/>
      <c r="Z237" s="519"/>
      <c r="AA237" s="520"/>
      <c r="AB237" s="513"/>
      <c r="AC237" s="518"/>
      <c r="AD237" s="519"/>
      <c r="AE237" s="520"/>
      <c r="AF237" s="513"/>
      <c r="AG237" s="518"/>
      <c r="AH237" s="519"/>
      <c r="AI237" s="520"/>
      <c r="AJ237" s="513"/>
      <c r="AK237" s="382"/>
      <c r="AL237" s="417"/>
      <c r="AM237" s="383"/>
      <c r="AN237" s="507"/>
      <c r="AO237" s="382"/>
      <c r="AP237" s="417"/>
      <c r="AQ237" s="383"/>
      <c r="AR237" s="507"/>
      <c r="AS237" s="514"/>
      <c r="AT237" s="514"/>
    </row>
    <row r="238">
      <c r="A238" s="382"/>
      <c r="B238" s="417"/>
      <c r="C238" s="383"/>
      <c r="D238" s="507"/>
      <c r="E238" s="382"/>
      <c r="F238" s="417"/>
      <c r="G238" s="383"/>
      <c r="H238" s="507"/>
      <c r="I238" s="382"/>
      <c r="J238" s="417"/>
      <c r="K238" s="383"/>
      <c r="L238" s="507"/>
      <c r="M238" s="382"/>
      <c r="N238" s="417"/>
      <c r="O238" s="383"/>
      <c r="P238" s="507"/>
      <c r="Q238" s="518"/>
      <c r="R238" s="519"/>
      <c r="S238" s="520"/>
      <c r="T238" s="513"/>
      <c r="U238" s="518"/>
      <c r="V238" s="519"/>
      <c r="W238" s="520"/>
      <c r="X238" s="513"/>
      <c r="Y238" s="518"/>
      <c r="Z238" s="519"/>
      <c r="AA238" s="520"/>
      <c r="AB238" s="513"/>
      <c r="AC238" s="518"/>
      <c r="AD238" s="519"/>
      <c r="AE238" s="520"/>
      <c r="AF238" s="513"/>
      <c r="AG238" s="518"/>
      <c r="AH238" s="519"/>
      <c r="AI238" s="520"/>
      <c r="AJ238" s="513"/>
      <c r="AK238" s="382"/>
      <c r="AL238" s="417"/>
      <c r="AM238" s="383"/>
      <c r="AN238" s="507"/>
      <c r="AO238" s="382"/>
      <c r="AP238" s="417"/>
      <c r="AQ238" s="383"/>
      <c r="AR238" s="507"/>
      <c r="AS238" s="514"/>
      <c r="AT238" s="514"/>
    </row>
    <row r="239">
      <c r="A239" s="382"/>
      <c r="B239" s="417"/>
      <c r="C239" s="383"/>
      <c r="D239" s="507"/>
      <c r="E239" s="382"/>
      <c r="F239" s="417"/>
      <c r="G239" s="383"/>
      <c r="H239" s="507"/>
      <c r="I239" s="382"/>
      <c r="J239" s="417"/>
      <c r="K239" s="383"/>
      <c r="L239" s="507"/>
      <c r="M239" s="382"/>
      <c r="N239" s="417"/>
      <c r="O239" s="383"/>
      <c r="P239" s="507"/>
      <c r="Q239" s="518"/>
      <c r="R239" s="519"/>
      <c r="S239" s="520"/>
      <c r="T239" s="513"/>
      <c r="U239" s="518"/>
      <c r="V239" s="519"/>
      <c r="W239" s="520"/>
      <c r="X239" s="513"/>
      <c r="Y239" s="518"/>
      <c r="Z239" s="519"/>
      <c r="AA239" s="520"/>
      <c r="AB239" s="513"/>
      <c r="AC239" s="518"/>
      <c r="AD239" s="519"/>
      <c r="AE239" s="520"/>
      <c r="AF239" s="513"/>
      <c r="AG239" s="518"/>
      <c r="AH239" s="519"/>
      <c r="AI239" s="520"/>
      <c r="AJ239" s="513"/>
      <c r="AK239" s="382"/>
      <c r="AL239" s="417"/>
      <c r="AM239" s="383"/>
      <c r="AN239" s="507"/>
      <c r="AO239" s="382"/>
      <c r="AP239" s="417"/>
      <c r="AQ239" s="383"/>
      <c r="AR239" s="507"/>
      <c r="AS239" s="514"/>
      <c r="AT239" s="514"/>
    </row>
    <row r="240">
      <c r="A240" s="382"/>
      <c r="B240" s="417"/>
      <c r="C240" s="383"/>
      <c r="D240" s="507"/>
      <c r="E240" s="382"/>
      <c r="F240" s="417"/>
      <c r="G240" s="383"/>
      <c r="H240" s="507"/>
      <c r="I240" s="382"/>
      <c r="J240" s="417"/>
      <c r="K240" s="383"/>
      <c r="L240" s="507"/>
      <c r="M240" s="382"/>
      <c r="N240" s="417"/>
      <c r="O240" s="383"/>
      <c r="P240" s="507"/>
      <c r="Q240" s="518"/>
      <c r="R240" s="519"/>
      <c r="S240" s="520"/>
      <c r="T240" s="513"/>
      <c r="U240" s="518"/>
      <c r="V240" s="519"/>
      <c r="W240" s="520"/>
      <c r="X240" s="513"/>
      <c r="Y240" s="518"/>
      <c r="Z240" s="519"/>
      <c r="AA240" s="520"/>
      <c r="AB240" s="513"/>
      <c r="AC240" s="518"/>
      <c r="AD240" s="519"/>
      <c r="AE240" s="520"/>
      <c r="AF240" s="513"/>
      <c r="AG240" s="518"/>
      <c r="AH240" s="519"/>
      <c r="AI240" s="520"/>
      <c r="AJ240" s="513"/>
      <c r="AK240" s="382"/>
      <c r="AL240" s="417"/>
      <c r="AM240" s="383"/>
      <c r="AN240" s="507"/>
      <c r="AO240" s="382"/>
      <c r="AP240" s="417"/>
      <c r="AQ240" s="383"/>
      <c r="AR240" s="507"/>
      <c r="AS240" s="514"/>
      <c r="AT240" s="514"/>
    </row>
    <row r="241">
      <c r="A241" s="382"/>
      <c r="B241" s="417"/>
      <c r="C241" s="383"/>
      <c r="D241" s="507"/>
      <c r="E241" s="382"/>
      <c r="F241" s="417"/>
      <c r="G241" s="383"/>
      <c r="H241" s="507"/>
      <c r="I241" s="382"/>
      <c r="J241" s="417"/>
      <c r="K241" s="383"/>
      <c r="L241" s="507"/>
      <c r="M241" s="382"/>
      <c r="N241" s="417"/>
      <c r="O241" s="383"/>
      <c r="P241" s="507"/>
      <c r="Q241" s="518"/>
      <c r="R241" s="519"/>
      <c r="S241" s="520"/>
      <c r="T241" s="513"/>
      <c r="U241" s="518"/>
      <c r="V241" s="519"/>
      <c r="W241" s="520"/>
      <c r="X241" s="513"/>
      <c r="Y241" s="518"/>
      <c r="Z241" s="519"/>
      <c r="AA241" s="520"/>
      <c r="AB241" s="513"/>
      <c r="AC241" s="518"/>
      <c r="AD241" s="519"/>
      <c r="AE241" s="520"/>
      <c r="AF241" s="513"/>
      <c r="AG241" s="518"/>
      <c r="AH241" s="519"/>
      <c r="AI241" s="520"/>
      <c r="AJ241" s="513"/>
      <c r="AK241" s="382"/>
      <c r="AL241" s="417"/>
      <c r="AM241" s="383"/>
      <c r="AN241" s="507"/>
      <c r="AO241" s="382"/>
      <c r="AP241" s="417"/>
      <c r="AQ241" s="383"/>
      <c r="AR241" s="507"/>
      <c r="AS241" s="514"/>
      <c r="AT241" s="514"/>
    </row>
    <row r="242">
      <c r="A242" s="382"/>
      <c r="B242" s="417"/>
      <c r="C242" s="383"/>
      <c r="D242" s="507"/>
      <c r="E242" s="382"/>
      <c r="F242" s="417"/>
      <c r="G242" s="383"/>
      <c r="H242" s="507"/>
      <c r="I242" s="382"/>
      <c r="J242" s="417"/>
      <c r="K242" s="383"/>
      <c r="L242" s="507"/>
      <c r="M242" s="382"/>
      <c r="N242" s="417"/>
      <c r="O242" s="383"/>
      <c r="P242" s="507"/>
      <c r="Q242" s="518"/>
      <c r="R242" s="519"/>
      <c r="S242" s="520"/>
      <c r="T242" s="513"/>
      <c r="U242" s="518"/>
      <c r="V242" s="519"/>
      <c r="W242" s="520"/>
      <c r="X242" s="513"/>
      <c r="Y242" s="518"/>
      <c r="Z242" s="519"/>
      <c r="AA242" s="520"/>
      <c r="AB242" s="513"/>
      <c r="AC242" s="518"/>
      <c r="AD242" s="519"/>
      <c r="AE242" s="520"/>
      <c r="AF242" s="513"/>
      <c r="AG242" s="518"/>
      <c r="AH242" s="519"/>
      <c r="AI242" s="520"/>
      <c r="AJ242" s="513"/>
      <c r="AK242" s="382"/>
      <c r="AL242" s="417"/>
      <c r="AM242" s="383"/>
      <c r="AN242" s="507"/>
      <c r="AO242" s="382"/>
      <c r="AP242" s="417"/>
      <c r="AQ242" s="383"/>
      <c r="AR242" s="507"/>
      <c r="AS242" s="514"/>
      <c r="AT242" s="514"/>
    </row>
    <row r="243">
      <c r="A243" s="382"/>
      <c r="B243" s="417"/>
      <c r="C243" s="383"/>
      <c r="D243" s="507"/>
      <c r="E243" s="382"/>
      <c r="F243" s="417"/>
      <c r="G243" s="383"/>
      <c r="H243" s="507"/>
      <c r="I243" s="382"/>
      <c r="J243" s="417"/>
      <c r="K243" s="383"/>
      <c r="L243" s="507"/>
      <c r="M243" s="382"/>
      <c r="N243" s="417"/>
      <c r="O243" s="383"/>
      <c r="P243" s="507"/>
      <c r="Q243" s="518"/>
      <c r="R243" s="519"/>
      <c r="S243" s="520"/>
      <c r="T243" s="513"/>
      <c r="U243" s="518"/>
      <c r="V243" s="519"/>
      <c r="W243" s="520"/>
      <c r="X243" s="513"/>
      <c r="Y243" s="518"/>
      <c r="Z243" s="519"/>
      <c r="AA243" s="520"/>
      <c r="AB243" s="513"/>
      <c r="AC243" s="518"/>
      <c r="AD243" s="519"/>
      <c r="AE243" s="520"/>
      <c r="AF243" s="513"/>
      <c r="AG243" s="518"/>
      <c r="AH243" s="519"/>
      <c r="AI243" s="520"/>
      <c r="AJ243" s="513"/>
      <c r="AK243" s="382"/>
      <c r="AL243" s="417"/>
      <c r="AM243" s="383"/>
      <c r="AN243" s="507"/>
      <c r="AO243" s="382"/>
      <c r="AP243" s="417"/>
      <c r="AQ243" s="383"/>
      <c r="AR243" s="507"/>
      <c r="AS243" s="514"/>
      <c r="AT243" s="514"/>
    </row>
    <row r="244">
      <c r="A244" s="382"/>
      <c r="B244" s="417"/>
      <c r="C244" s="383"/>
      <c r="D244" s="507"/>
      <c r="E244" s="382"/>
      <c r="F244" s="417"/>
      <c r="G244" s="383"/>
      <c r="H244" s="507"/>
      <c r="I244" s="382"/>
      <c r="J244" s="417"/>
      <c r="K244" s="383"/>
      <c r="L244" s="507"/>
      <c r="M244" s="382"/>
      <c r="N244" s="417"/>
      <c r="O244" s="383"/>
      <c r="P244" s="507"/>
      <c r="Q244" s="518"/>
      <c r="R244" s="519"/>
      <c r="S244" s="520"/>
      <c r="T244" s="513"/>
      <c r="U244" s="518"/>
      <c r="V244" s="519"/>
      <c r="W244" s="520"/>
      <c r="X244" s="513"/>
      <c r="Y244" s="518"/>
      <c r="Z244" s="519"/>
      <c r="AA244" s="520"/>
      <c r="AB244" s="513"/>
      <c r="AC244" s="518"/>
      <c r="AD244" s="519"/>
      <c r="AE244" s="520"/>
      <c r="AF244" s="513"/>
      <c r="AG244" s="518"/>
      <c r="AH244" s="519"/>
      <c r="AI244" s="520"/>
      <c r="AJ244" s="513"/>
      <c r="AK244" s="382"/>
      <c r="AL244" s="417"/>
      <c r="AM244" s="383"/>
      <c r="AN244" s="507"/>
      <c r="AO244" s="382"/>
      <c r="AP244" s="417"/>
      <c r="AQ244" s="383"/>
      <c r="AR244" s="507"/>
      <c r="AS244" s="514"/>
      <c r="AT244" s="514"/>
    </row>
    <row r="245">
      <c r="A245" s="382"/>
      <c r="B245" s="417"/>
      <c r="C245" s="383"/>
      <c r="D245" s="507"/>
      <c r="E245" s="382"/>
      <c r="F245" s="417"/>
      <c r="G245" s="383"/>
      <c r="H245" s="507"/>
      <c r="I245" s="382"/>
      <c r="J245" s="417"/>
      <c r="K245" s="383"/>
      <c r="L245" s="507"/>
      <c r="M245" s="382"/>
      <c r="N245" s="417"/>
      <c r="O245" s="383"/>
      <c r="P245" s="507"/>
      <c r="Q245" s="518"/>
      <c r="R245" s="519"/>
      <c r="S245" s="520"/>
      <c r="T245" s="513"/>
      <c r="U245" s="518"/>
      <c r="V245" s="519"/>
      <c r="W245" s="520"/>
      <c r="X245" s="513"/>
      <c r="Y245" s="518"/>
      <c r="Z245" s="519"/>
      <c r="AA245" s="520"/>
      <c r="AB245" s="513"/>
      <c r="AC245" s="518"/>
      <c r="AD245" s="519"/>
      <c r="AE245" s="520"/>
      <c r="AF245" s="513"/>
      <c r="AG245" s="518"/>
      <c r="AH245" s="519"/>
      <c r="AI245" s="520"/>
      <c r="AJ245" s="513"/>
      <c r="AK245" s="382"/>
      <c r="AL245" s="417"/>
      <c r="AM245" s="383"/>
      <c r="AN245" s="507"/>
      <c r="AO245" s="382"/>
      <c r="AP245" s="417"/>
      <c r="AQ245" s="383"/>
      <c r="AR245" s="507"/>
      <c r="AS245" s="514"/>
      <c r="AT245" s="514"/>
    </row>
    <row r="246">
      <c r="A246" s="382"/>
      <c r="B246" s="417"/>
      <c r="C246" s="383"/>
      <c r="D246" s="507"/>
      <c r="E246" s="382"/>
      <c r="F246" s="417"/>
      <c r="G246" s="383"/>
      <c r="H246" s="507"/>
      <c r="I246" s="382"/>
      <c r="J246" s="417"/>
      <c r="K246" s="383"/>
      <c r="L246" s="507"/>
      <c r="M246" s="382"/>
      <c r="N246" s="417"/>
      <c r="O246" s="383"/>
      <c r="P246" s="507"/>
      <c r="Q246" s="518"/>
      <c r="R246" s="519"/>
      <c r="S246" s="520"/>
      <c r="T246" s="513"/>
      <c r="U246" s="518"/>
      <c r="V246" s="519"/>
      <c r="W246" s="520"/>
      <c r="X246" s="513"/>
      <c r="Y246" s="518"/>
      <c r="Z246" s="519"/>
      <c r="AA246" s="520"/>
      <c r="AB246" s="513"/>
      <c r="AC246" s="518"/>
      <c r="AD246" s="519"/>
      <c r="AE246" s="520"/>
      <c r="AF246" s="513"/>
      <c r="AG246" s="518"/>
      <c r="AH246" s="519"/>
      <c r="AI246" s="520"/>
      <c r="AJ246" s="513"/>
      <c r="AK246" s="382"/>
      <c r="AL246" s="417"/>
      <c r="AM246" s="383"/>
      <c r="AN246" s="507"/>
      <c r="AO246" s="382"/>
      <c r="AP246" s="417"/>
      <c r="AQ246" s="383"/>
      <c r="AR246" s="507"/>
      <c r="AS246" s="514"/>
      <c r="AT246" s="514"/>
    </row>
    <row r="247">
      <c r="A247" s="382"/>
      <c r="B247" s="417"/>
      <c r="C247" s="383"/>
      <c r="D247" s="507"/>
      <c r="E247" s="382"/>
      <c r="F247" s="417"/>
      <c r="G247" s="383"/>
      <c r="H247" s="507"/>
      <c r="I247" s="382"/>
      <c r="J247" s="417"/>
      <c r="K247" s="383"/>
      <c r="L247" s="507"/>
      <c r="M247" s="382"/>
      <c r="N247" s="417"/>
      <c r="O247" s="383"/>
      <c r="P247" s="507"/>
      <c r="Q247" s="518"/>
      <c r="R247" s="519"/>
      <c r="S247" s="520"/>
      <c r="T247" s="513"/>
      <c r="U247" s="518"/>
      <c r="V247" s="519"/>
      <c r="W247" s="520"/>
      <c r="X247" s="513"/>
      <c r="Y247" s="518"/>
      <c r="Z247" s="519"/>
      <c r="AA247" s="520"/>
      <c r="AB247" s="513"/>
      <c r="AC247" s="518"/>
      <c r="AD247" s="519"/>
      <c r="AE247" s="520"/>
      <c r="AF247" s="513"/>
      <c r="AG247" s="518"/>
      <c r="AH247" s="519"/>
      <c r="AI247" s="520"/>
      <c r="AJ247" s="513"/>
      <c r="AK247" s="382"/>
      <c r="AL247" s="417"/>
      <c r="AM247" s="383"/>
      <c r="AN247" s="507"/>
      <c r="AO247" s="382"/>
      <c r="AP247" s="417"/>
      <c r="AQ247" s="383"/>
      <c r="AR247" s="507"/>
      <c r="AS247" s="514"/>
      <c r="AT247" s="514"/>
    </row>
    <row r="248">
      <c r="A248" s="382"/>
      <c r="B248" s="417"/>
      <c r="C248" s="383"/>
      <c r="D248" s="507"/>
      <c r="E248" s="382"/>
      <c r="F248" s="417"/>
      <c r="G248" s="383"/>
      <c r="H248" s="507"/>
      <c r="I248" s="382"/>
      <c r="J248" s="417"/>
      <c r="K248" s="383"/>
      <c r="L248" s="507"/>
      <c r="M248" s="382"/>
      <c r="N248" s="417"/>
      <c r="O248" s="383"/>
      <c r="P248" s="507"/>
      <c r="Q248" s="518"/>
      <c r="R248" s="519"/>
      <c r="S248" s="520"/>
      <c r="T248" s="513"/>
      <c r="U248" s="518"/>
      <c r="V248" s="519"/>
      <c r="W248" s="520"/>
      <c r="X248" s="513"/>
      <c r="Y248" s="518"/>
      <c r="Z248" s="519"/>
      <c r="AA248" s="520"/>
      <c r="AB248" s="513"/>
      <c r="AC248" s="518"/>
      <c r="AD248" s="519"/>
      <c r="AE248" s="520"/>
      <c r="AF248" s="513"/>
      <c r="AG248" s="518"/>
      <c r="AH248" s="519"/>
      <c r="AI248" s="520"/>
      <c r="AJ248" s="513"/>
      <c r="AK248" s="382"/>
      <c r="AL248" s="417"/>
      <c r="AM248" s="383"/>
      <c r="AN248" s="507"/>
      <c r="AO248" s="382"/>
      <c r="AP248" s="417"/>
      <c r="AQ248" s="383"/>
      <c r="AR248" s="507"/>
      <c r="AS248" s="514"/>
      <c r="AT248" s="514"/>
    </row>
    <row r="249">
      <c r="A249" s="382"/>
      <c r="B249" s="417"/>
      <c r="C249" s="383"/>
      <c r="D249" s="507"/>
      <c r="E249" s="382"/>
      <c r="F249" s="417"/>
      <c r="G249" s="383"/>
      <c r="H249" s="507"/>
      <c r="I249" s="382"/>
      <c r="J249" s="417"/>
      <c r="K249" s="383"/>
      <c r="L249" s="507"/>
      <c r="M249" s="382"/>
      <c r="N249" s="417"/>
      <c r="O249" s="383"/>
      <c r="P249" s="507"/>
      <c r="Q249" s="518"/>
      <c r="R249" s="519"/>
      <c r="S249" s="520"/>
      <c r="T249" s="513"/>
      <c r="U249" s="518"/>
      <c r="V249" s="519"/>
      <c r="W249" s="520"/>
      <c r="X249" s="513"/>
      <c r="Y249" s="518"/>
      <c r="Z249" s="519"/>
      <c r="AA249" s="520"/>
      <c r="AB249" s="513"/>
      <c r="AC249" s="518"/>
      <c r="AD249" s="519"/>
      <c r="AE249" s="520"/>
      <c r="AF249" s="513"/>
      <c r="AG249" s="518"/>
      <c r="AH249" s="519"/>
      <c r="AI249" s="520"/>
      <c r="AJ249" s="513"/>
      <c r="AK249" s="382"/>
      <c r="AL249" s="417"/>
      <c r="AM249" s="383"/>
      <c r="AN249" s="507"/>
      <c r="AO249" s="382"/>
      <c r="AP249" s="417"/>
      <c r="AQ249" s="383"/>
      <c r="AR249" s="507"/>
      <c r="AS249" s="514"/>
      <c r="AT249" s="514"/>
    </row>
    <row r="250">
      <c r="A250" s="382"/>
      <c r="B250" s="417"/>
      <c r="C250" s="383"/>
      <c r="D250" s="507"/>
      <c r="E250" s="382"/>
      <c r="F250" s="417"/>
      <c r="G250" s="383"/>
      <c r="H250" s="507"/>
      <c r="I250" s="382"/>
      <c r="J250" s="417"/>
      <c r="K250" s="383"/>
      <c r="L250" s="507"/>
      <c r="M250" s="382"/>
      <c r="N250" s="417"/>
      <c r="O250" s="383"/>
      <c r="P250" s="507"/>
      <c r="Q250" s="518"/>
      <c r="R250" s="519"/>
      <c r="S250" s="520"/>
      <c r="T250" s="513"/>
      <c r="U250" s="518"/>
      <c r="V250" s="519"/>
      <c r="W250" s="520"/>
      <c r="X250" s="513"/>
      <c r="Y250" s="518"/>
      <c r="Z250" s="519"/>
      <c r="AA250" s="520"/>
      <c r="AB250" s="513"/>
      <c r="AC250" s="518"/>
      <c r="AD250" s="519"/>
      <c r="AE250" s="520"/>
      <c r="AF250" s="513"/>
      <c r="AG250" s="518"/>
      <c r="AH250" s="519"/>
      <c r="AI250" s="520"/>
      <c r="AJ250" s="513"/>
      <c r="AK250" s="382"/>
      <c r="AL250" s="417"/>
      <c r="AM250" s="383"/>
      <c r="AN250" s="507"/>
      <c r="AO250" s="382"/>
      <c r="AP250" s="417"/>
      <c r="AQ250" s="383"/>
      <c r="AR250" s="507"/>
      <c r="AS250" s="514"/>
      <c r="AT250" s="514"/>
    </row>
    <row r="251">
      <c r="A251" s="382"/>
      <c r="B251" s="417"/>
      <c r="C251" s="383"/>
      <c r="D251" s="507"/>
      <c r="E251" s="382"/>
      <c r="F251" s="417"/>
      <c r="G251" s="383"/>
      <c r="H251" s="507"/>
      <c r="I251" s="382"/>
      <c r="J251" s="417"/>
      <c r="K251" s="383"/>
      <c r="L251" s="507"/>
      <c r="M251" s="382"/>
      <c r="N251" s="417"/>
      <c r="O251" s="383"/>
      <c r="P251" s="507"/>
      <c r="Q251" s="518"/>
      <c r="R251" s="519"/>
      <c r="S251" s="520"/>
      <c r="T251" s="513"/>
      <c r="U251" s="518"/>
      <c r="V251" s="519"/>
      <c r="W251" s="520"/>
      <c r="X251" s="513"/>
      <c r="Y251" s="518"/>
      <c r="Z251" s="519"/>
      <c r="AA251" s="520"/>
      <c r="AB251" s="513"/>
      <c r="AC251" s="518"/>
      <c r="AD251" s="519"/>
      <c r="AE251" s="520"/>
      <c r="AF251" s="513"/>
      <c r="AG251" s="518"/>
      <c r="AH251" s="519"/>
      <c r="AI251" s="520"/>
      <c r="AJ251" s="513"/>
      <c r="AK251" s="382"/>
      <c r="AL251" s="417"/>
      <c r="AM251" s="383"/>
      <c r="AN251" s="507"/>
      <c r="AO251" s="382"/>
      <c r="AP251" s="417"/>
      <c r="AQ251" s="383"/>
      <c r="AR251" s="507"/>
      <c r="AS251" s="514"/>
      <c r="AT251" s="514"/>
    </row>
    <row r="252">
      <c r="A252" s="382"/>
      <c r="B252" s="417"/>
      <c r="C252" s="383"/>
      <c r="D252" s="507"/>
      <c r="E252" s="382"/>
      <c r="F252" s="417"/>
      <c r="G252" s="383"/>
      <c r="H252" s="507"/>
      <c r="I252" s="382"/>
      <c r="J252" s="417"/>
      <c r="K252" s="383"/>
      <c r="L252" s="507"/>
      <c r="M252" s="382"/>
      <c r="N252" s="417"/>
      <c r="O252" s="383"/>
      <c r="P252" s="507"/>
      <c r="Q252" s="518"/>
      <c r="R252" s="519"/>
      <c r="S252" s="520"/>
      <c r="T252" s="513"/>
      <c r="U252" s="518"/>
      <c r="V252" s="519"/>
      <c r="W252" s="520"/>
      <c r="X252" s="513"/>
      <c r="Y252" s="518"/>
      <c r="Z252" s="519"/>
      <c r="AA252" s="520"/>
      <c r="AB252" s="513"/>
      <c r="AC252" s="518"/>
      <c r="AD252" s="519"/>
      <c r="AE252" s="520"/>
      <c r="AF252" s="513"/>
      <c r="AG252" s="518"/>
      <c r="AH252" s="519"/>
      <c r="AI252" s="520"/>
      <c r="AJ252" s="513"/>
      <c r="AK252" s="382"/>
      <c r="AL252" s="417"/>
      <c r="AM252" s="383"/>
      <c r="AN252" s="507"/>
      <c r="AO252" s="382"/>
      <c r="AP252" s="417"/>
      <c r="AQ252" s="383"/>
      <c r="AR252" s="507"/>
      <c r="AS252" s="514"/>
      <c r="AT252" s="514"/>
    </row>
    <row r="253">
      <c r="A253" s="382"/>
      <c r="B253" s="417"/>
      <c r="C253" s="383"/>
      <c r="D253" s="507"/>
      <c r="E253" s="382"/>
      <c r="F253" s="417"/>
      <c r="G253" s="383"/>
      <c r="H253" s="507"/>
      <c r="I253" s="382"/>
      <c r="J253" s="417"/>
      <c r="K253" s="383"/>
      <c r="L253" s="507"/>
      <c r="M253" s="382"/>
      <c r="N253" s="417"/>
      <c r="O253" s="383"/>
      <c r="P253" s="507"/>
      <c r="Q253" s="518"/>
      <c r="R253" s="519"/>
      <c r="S253" s="520"/>
      <c r="T253" s="513"/>
      <c r="U253" s="518"/>
      <c r="V253" s="519"/>
      <c r="W253" s="520"/>
      <c r="X253" s="513"/>
      <c r="Y253" s="518"/>
      <c r="Z253" s="519"/>
      <c r="AA253" s="520"/>
      <c r="AB253" s="513"/>
      <c r="AC253" s="518"/>
      <c r="AD253" s="519"/>
      <c r="AE253" s="520"/>
      <c r="AF253" s="513"/>
      <c r="AG253" s="518"/>
      <c r="AH253" s="519"/>
      <c r="AI253" s="520"/>
      <c r="AJ253" s="513"/>
      <c r="AK253" s="382"/>
      <c r="AL253" s="417"/>
      <c r="AM253" s="383"/>
      <c r="AN253" s="507"/>
      <c r="AO253" s="382"/>
      <c r="AP253" s="417"/>
      <c r="AQ253" s="383"/>
      <c r="AR253" s="507"/>
      <c r="AS253" s="514"/>
      <c r="AT253" s="514"/>
    </row>
    <row r="254">
      <c r="A254" s="382"/>
      <c r="B254" s="417"/>
      <c r="C254" s="383"/>
      <c r="D254" s="507"/>
      <c r="E254" s="382"/>
      <c r="F254" s="417"/>
      <c r="G254" s="383"/>
      <c r="H254" s="507"/>
      <c r="I254" s="382"/>
      <c r="J254" s="417"/>
      <c r="K254" s="383"/>
      <c r="L254" s="507"/>
      <c r="M254" s="382"/>
      <c r="N254" s="417"/>
      <c r="O254" s="383"/>
      <c r="P254" s="507"/>
      <c r="Q254" s="518"/>
      <c r="R254" s="519"/>
      <c r="S254" s="520"/>
      <c r="T254" s="513"/>
      <c r="U254" s="518"/>
      <c r="V254" s="519"/>
      <c r="W254" s="520"/>
      <c r="X254" s="513"/>
      <c r="Y254" s="518"/>
      <c r="Z254" s="519"/>
      <c r="AA254" s="520"/>
      <c r="AB254" s="513"/>
      <c r="AC254" s="518"/>
      <c r="AD254" s="519"/>
      <c r="AE254" s="520"/>
      <c r="AF254" s="513"/>
      <c r="AG254" s="518"/>
      <c r="AH254" s="519"/>
      <c r="AI254" s="520"/>
      <c r="AJ254" s="513"/>
      <c r="AK254" s="382"/>
      <c r="AL254" s="417"/>
      <c r="AM254" s="383"/>
      <c r="AN254" s="507"/>
      <c r="AO254" s="382"/>
      <c r="AP254" s="417"/>
      <c r="AQ254" s="383"/>
      <c r="AR254" s="507"/>
      <c r="AS254" s="514"/>
      <c r="AT254" s="514"/>
    </row>
    <row r="255">
      <c r="A255" s="382"/>
      <c r="B255" s="417"/>
      <c r="C255" s="383"/>
      <c r="D255" s="507"/>
      <c r="E255" s="382"/>
      <c r="F255" s="417"/>
      <c r="G255" s="383"/>
      <c r="H255" s="507"/>
      <c r="I255" s="382"/>
      <c r="J255" s="417"/>
      <c r="K255" s="383"/>
      <c r="L255" s="507"/>
      <c r="M255" s="382"/>
      <c r="N255" s="417"/>
      <c r="O255" s="383"/>
      <c r="P255" s="507"/>
      <c r="Q255" s="518"/>
      <c r="R255" s="519"/>
      <c r="S255" s="520"/>
      <c r="T255" s="513"/>
      <c r="U255" s="518"/>
      <c r="V255" s="519"/>
      <c r="W255" s="520"/>
      <c r="X255" s="513"/>
      <c r="Y255" s="518"/>
      <c r="Z255" s="519"/>
      <c r="AA255" s="520"/>
      <c r="AB255" s="513"/>
      <c r="AC255" s="518"/>
      <c r="AD255" s="519"/>
      <c r="AE255" s="520"/>
      <c r="AF255" s="513"/>
      <c r="AG255" s="518"/>
      <c r="AH255" s="519"/>
      <c r="AI255" s="520"/>
      <c r="AJ255" s="513"/>
      <c r="AK255" s="382"/>
      <c r="AL255" s="417"/>
      <c r="AM255" s="383"/>
      <c r="AN255" s="507"/>
      <c r="AO255" s="382"/>
      <c r="AP255" s="417"/>
      <c r="AQ255" s="383"/>
      <c r="AR255" s="507"/>
      <c r="AS255" s="514"/>
      <c r="AT255" s="514"/>
    </row>
    <row r="256">
      <c r="A256" s="382"/>
      <c r="B256" s="417"/>
      <c r="C256" s="383"/>
      <c r="D256" s="507"/>
      <c r="E256" s="382"/>
      <c r="F256" s="417"/>
      <c r="G256" s="383"/>
      <c r="H256" s="507"/>
      <c r="I256" s="382"/>
      <c r="J256" s="417"/>
      <c r="K256" s="383"/>
      <c r="L256" s="507"/>
      <c r="M256" s="382"/>
      <c r="N256" s="417"/>
      <c r="O256" s="383"/>
      <c r="P256" s="507"/>
      <c r="Q256" s="518"/>
      <c r="R256" s="519"/>
      <c r="S256" s="520"/>
      <c r="T256" s="513"/>
      <c r="U256" s="518"/>
      <c r="V256" s="519"/>
      <c r="W256" s="520"/>
      <c r="X256" s="513"/>
      <c r="Y256" s="518"/>
      <c r="Z256" s="519"/>
      <c r="AA256" s="520"/>
      <c r="AB256" s="513"/>
      <c r="AC256" s="518"/>
      <c r="AD256" s="519"/>
      <c r="AE256" s="520"/>
      <c r="AF256" s="513"/>
      <c r="AG256" s="518"/>
      <c r="AH256" s="519"/>
      <c r="AI256" s="520"/>
      <c r="AJ256" s="513"/>
      <c r="AK256" s="382"/>
      <c r="AL256" s="417"/>
      <c r="AM256" s="383"/>
      <c r="AN256" s="507"/>
      <c r="AO256" s="382"/>
      <c r="AP256" s="417"/>
      <c r="AQ256" s="383"/>
      <c r="AR256" s="507"/>
      <c r="AS256" s="514"/>
      <c r="AT256" s="514"/>
    </row>
    <row r="257">
      <c r="A257" s="382"/>
      <c r="B257" s="417"/>
      <c r="C257" s="383"/>
      <c r="D257" s="507"/>
      <c r="E257" s="382"/>
      <c r="F257" s="417"/>
      <c r="G257" s="383"/>
      <c r="H257" s="507"/>
      <c r="I257" s="382"/>
      <c r="J257" s="417"/>
      <c r="K257" s="383"/>
      <c r="L257" s="507"/>
      <c r="M257" s="382"/>
      <c r="N257" s="417"/>
      <c r="O257" s="383"/>
      <c r="P257" s="507"/>
      <c r="Q257" s="518"/>
      <c r="R257" s="519"/>
      <c r="S257" s="520"/>
      <c r="T257" s="513"/>
      <c r="U257" s="518"/>
      <c r="V257" s="519"/>
      <c r="W257" s="520"/>
      <c r="X257" s="513"/>
      <c r="Y257" s="518"/>
      <c r="Z257" s="519"/>
      <c r="AA257" s="520"/>
      <c r="AB257" s="513"/>
      <c r="AC257" s="518"/>
      <c r="AD257" s="519"/>
      <c r="AE257" s="520"/>
      <c r="AF257" s="513"/>
      <c r="AG257" s="518"/>
      <c r="AH257" s="519"/>
      <c r="AI257" s="520"/>
      <c r="AJ257" s="513"/>
      <c r="AK257" s="382"/>
      <c r="AL257" s="417"/>
      <c r="AM257" s="383"/>
      <c r="AN257" s="507"/>
      <c r="AO257" s="382"/>
      <c r="AP257" s="417"/>
      <c r="AQ257" s="383"/>
      <c r="AR257" s="507"/>
      <c r="AS257" s="514"/>
      <c r="AT257" s="514"/>
    </row>
    <row r="258">
      <c r="A258" s="382"/>
      <c r="B258" s="417"/>
      <c r="C258" s="383"/>
      <c r="D258" s="507"/>
      <c r="E258" s="382"/>
      <c r="F258" s="417"/>
      <c r="G258" s="383"/>
      <c r="H258" s="507"/>
      <c r="I258" s="382"/>
      <c r="J258" s="417"/>
      <c r="K258" s="383"/>
      <c r="L258" s="507"/>
      <c r="M258" s="382"/>
      <c r="N258" s="417"/>
      <c r="O258" s="383"/>
      <c r="P258" s="507"/>
      <c r="Q258" s="518"/>
      <c r="R258" s="519"/>
      <c r="S258" s="520"/>
      <c r="T258" s="513"/>
      <c r="U258" s="518"/>
      <c r="V258" s="519"/>
      <c r="W258" s="520"/>
      <c r="X258" s="513"/>
      <c r="Y258" s="518"/>
      <c r="Z258" s="519"/>
      <c r="AA258" s="520"/>
      <c r="AB258" s="513"/>
      <c r="AC258" s="518"/>
      <c r="AD258" s="519"/>
      <c r="AE258" s="520"/>
      <c r="AF258" s="513"/>
      <c r="AG258" s="518"/>
      <c r="AH258" s="519"/>
      <c r="AI258" s="520"/>
      <c r="AJ258" s="513"/>
      <c r="AK258" s="382"/>
      <c r="AL258" s="417"/>
      <c r="AM258" s="383"/>
      <c r="AN258" s="507"/>
      <c r="AO258" s="382"/>
      <c r="AP258" s="417"/>
      <c r="AQ258" s="383"/>
      <c r="AR258" s="507"/>
      <c r="AS258" s="514"/>
      <c r="AT258" s="514"/>
    </row>
    <row r="259">
      <c r="A259" s="382"/>
      <c r="B259" s="417"/>
      <c r="C259" s="383"/>
      <c r="D259" s="507"/>
      <c r="E259" s="382"/>
      <c r="F259" s="417"/>
      <c r="G259" s="383"/>
      <c r="H259" s="507"/>
      <c r="I259" s="382"/>
      <c r="J259" s="417"/>
      <c r="K259" s="383"/>
      <c r="L259" s="507"/>
      <c r="M259" s="382"/>
      <c r="N259" s="417"/>
      <c r="O259" s="383"/>
      <c r="P259" s="507"/>
      <c r="Q259" s="518"/>
      <c r="R259" s="519"/>
      <c r="S259" s="520"/>
      <c r="T259" s="513"/>
      <c r="U259" s="518"/>
      <c r="V259" s="519"/>
      <c r="W259" s="520"/>
      <c r="X259" s="513"/>
      <c r="Y259" s="518"/>
      <c r="Z259" s="519"/>
      <c r="AA259" s="520"/>
      <c r="AB259" s="513"/>
      <c r="AC259" s="518"/>
      <c r="AD259" s="519"/>
      <c r="AE259" s="520"/>
      <c r="AF259" s="513"/>
      <c r="AG259" s="518"/>
      <c r="AH259" s="519"/>
      <c r="AI259" s="520"/>
      <c r="AJ259" s="513"/>
      <c r="AK259" s="382"/>
      <c r="AL259" s="417"/>
      <c r="AM259" s="383"/>
      <c r="AN259" s="507"/>
      <c r="AO259" s="382"/>
      <c r="AP259" s="417"/>
      <c r="AQ259" s="383"/>
      <c r="AR259" s="507"/>
      <c r="AS259" s="514"/>
      <c r="AT259" s="514"/>
    </row>
    <row r="260">
      <c r="A260" s="382"/>
      <c r="B260" s="417"/>
      <c r="C260" s="383"/>
      <c r="D260" s="507"/>
      <c r="E260" s="382"/>
      <c r="F260" s="417"/>
      <c r="G260" s="383"/>
      <c r="H260" s="507"/>
      <c r="I260" s="382"/>
      <c r="J260" s="417"/>
      <c r="K260" s="383"/>
      <c r="L260" s="507"/>
      <c r="M260" s="382"/>
      <c r="N260" s="417"/>
      <c r="O260" s="383"/>
      <c r="P260" s="507"/>
      <c r="Q260" s="518"/>
      <c r="R260" s="519"/>
      <c r="S260" s="520"/>
      <c r="T260" s="513"/>
      <c r="U260" s="518"/>
      <c r="V260" s="519"/>
      <c r="W260" s="520"/>
      <c r="X260" s="513"/>
      <c r="Y260" s="518"/>
      <c r="Z260" s="519"/>
      <c r="AA260" s="520"/>
      <c r="AB260" s="513"/>
      <c r="AC260" s="518"/>
      <c r="AD260" s="519"/>
      <c r="AE260" s="520"/>
      <c r="AF260" s="513"/>
      <c r="AG260" s="518"/>
      <c r="AH260" s="519"/>
      <c r="AI260" s="520"/>
      <c r="AJ260" s="513"/>
      <c r="AK260" s="382"/>
      <c r="AL260" s="417"/>
      <c r="AM260" s="383"/>
      <c r="AN260" s="507"/>
      <c r="AO260" s="382"/>
      <c r="AP260" s="417"/>
      <c r="AQ260" s="383"/>
      <c r="AR260" s="507"/>
      <c r="AS260" s="514"/>
      <c r="AT260" s="514"/>
    </row>
    <row r="261">
      <c r="A261" s="382"/>
      <c r="B261" s="417"/>
      <c r="C261" s="383"/>
      <c r="D261" s="507"/>
      <c r="E261" s="382"/>
      <c r="F261" s="417"/>
      <c r="G261" s="383"/>
      <c r="H261" s="507"/>
      <c r="I261" s="382"/>
      <c r="J261" s="417"/>
      <c r="K261" s="383"/>
      <c r="L261" s="507"/>
      <c r="M261" s="382"/>
      <c r="N261" s="417"/>
      <c r="O261" s="383"/>
      <c r="P261" s="507"/>
      <c r="Q261" s="518"/>
      <c r="R261" s="519"/>
      <c r="S261" s="520"/>
      <c r="T261" s="513"/>
      <c r="U261" s="518"/>
      <c r="V261" s="519"/>
      <c r="W261" s="520"/>
      <c r="X261" s="513"/>
      <c r="Y261" s="518"/>
      <c r="Z261" s="519"/>
      <c r="AA261" s="520"/>
      <c r="AB261" s="513"/>
      <c r="AC261" s="518"/>
      <c r="AD261" s="519"/>
      <c r="AE261" s="520"/>
      <c r="AF261" s="513"/>
      <c r="AG261" s="518"/>
      <c r="AH261" s="519"/>
      <c r="AI261" s="520"/>
      <c r="AJ261" s="513"/>
      <c r="AK261" s="382"/>
      <c r="AL261" s="417"/>
      <c r="AM261" s="383"/>
      <c r="AN261" s="507"/>
      <c r="AO261" s="382"/>
      <c r="AP261" s="417"/>
      <c r="AQ261" s="383"/>
      <c r="AR261" s="507"/>
      <c r="AS261" s="514"/>
      <c r="AT261" s="514"/>
    </row>
    <row r="262">
      <c r="A262" s="382"/>
      <c r="B262" s="417"/>
      <c r="C262" s="383"/>
      <c r="D262" s="507"/>
      <c r="E262" s="382"/>
      <c r="F262" s="417"/>
      <c r="G262" s="383"/>
      <c r="H262" s="507"/>
      <c r="I262" s="382"/>
      <c r="J262" s="417"/>
      <c r="K262" s="383"/>
      <c r="L262" s="507"/>
      <c r="M262" s="382"/>
      <c r="N262" s="417"/>
      <c r="O262" s="383"/>
      <c r="P262" s="507"/>
      <c r="Q262" s="518"/>
      <c r="R262" s="519"/>
      <c r="S262" s="520"/>
      <c r="T262" s="513"/>
      <c r="U262" s="518"/>
      <c r="V262" s="519"/>
      <c r="W262" s="520"/>
      <c r="X262" s="513"/>
      <c r="Y262" s="518"/>
      <c r="Z262" s="519"/>
      <c r="AA262" s="520"/>
      <c r="AB262" s="513"/>
      <c r="AC262" s="518"/>
      <c r="AD262" s="519"/>
      <c r="AE262" s="520"/>
      <c r="AF262" s="513"/>
      <c r="AG262" s="518"/>
      <c r="AH262" s="519"/>
      <c r="AI262" s="520"/>
      <c r="AJ262" s="513"/>
      <c r="AK262" s="382"/>
      <c r="AL262" s="417"/>
      <c r="AM262" s="383"/>
      <c r="AN262" s="507"/>
      <c r="AO262" s="382"/>
      <c r="AP262" s="417"/>
      <c r="AQ262" s="383"/>
      <c r="AR262" s="507"/>
      <c r="AS262" s="514"/>
      <c r="AT262" s="514"/>
    </row>
    <row r="263">
      <c r="A263" s="382"/>
      <c r="B263" s="417"/>
      <c r="C263" s="383"/>
      <c r="D263" s="507"/>
      <c r="E263" s="382"/>
      <c r="F263" s="417"/>
      <c r="G263" s="383"/>
      <c r="H263" s="507"/>
      <c r="I263" s="382"/>
      <c r="J263" s="417"/>
      <c r="K263" s="383"/>
      <c r="L263" s="507"/>
      <c r="M263" s="382"/>
      <c r="N263" s="417"/>
      <c r="O263" s="383"/>
      <c r="P263" s="507"/>
      <c r="Q263" s="518"/>
      <c r="R263" s="519"/>
      <c r="S263" s="520"/>
      <c r="T263" s="513"/>
      <c r="U263" s="518"/>
      <c r="V263" s="519"/>
      <c r="W263" s="520"/>
      <c r="X263" s="513"/>
      <c r="Y263" s="518"/>
      <c r="Z263" s="519"/>
      <c r="AA263" s="520"/>
      <c r="AB263" s="513"/>
      <c r="AC263" s="518"/>
      <c r="AD263" s="519"/>
      <c r="AE263" s="520"/>
      <c r="AF263" s="513"/>
      <c r="AG263" s="518"/>
      <c r="AH263" s="519"/>
      <c r="AI263" s="520"/>
      <c r="AJ263" s="513"/>
      <c r="AK263" s="382"/>
      <c r="AL263" s="417"/>
      <c r="AM263" s="383"/>
      <c r="AN263" s="507"/>
      <c r="AO263" s="382"/>
      <c r="AP263" s="417"/>
      <c r="AQ263" s="383"/>
      <c r="AR263" s="507"/>
      <c r="AS263" s="514"/>
      <c r="AT263" s="514"/>
    </row>
    <row r="264">
      <c r="A264" s="382"/>
      <c r="B264" s="417"/>
      <c r="C264" s="383"/>
      <c r="D264" s="507"/>
      <c r="E264" s="382"/>
      <c r="F264" s="417"/>
      <c r="G264" s="383"/>
      <c r="H264" s="507"/>
      <c r="I264" s="382"/>
      <c r="J264" s="417"/>
      <c r="K264" s="383"/>
      <c r="L264" s="507"/>
      <c r="M264" s="382"/>
      <c r="N264" s="417"/>
      <c r="O264" s="383"/>
      <c r="P264" s="507"/>
      <c r="Q264" s="518"/>
      <c r="R264" s="519"/>
      <c r="S264" s="520"/>
      <c r="T264" s="513"/>
      <c r="U264" s="518"/>
      <c r="V264" s="519"/>
      <c r="W264" s="520"/>
      <c r="X264" s="513"/>
      <c r="Y264" s="518"/>
      <c r="Z264" s="519"/>
      <c r="AA264" s="520"/>
      <c r="AB264" s="513"/>
      <c r="AC264" s="518"/>
      <c r="AD264" s="519"/>
      <c r="AE264" s="520"/>
      <c r="AF264" s="513"/>
      <c r="AG264" s="518"/>
      <c r="AH264" s="519"/>
      <c r="AI264" s="520"/>
      <c r="AJ264" s="513"/>
      <c r="AK264" s="382"/>
      <c r="AL264" s="417"/>
      <c r="AM264" s="383"/>
      <c r="AN264" s="507"/>
      <c r="AO264" s="382"/>
      <c r="AP264" s="417"/>
      <c r="AQ264" s="383"/>
      <c r="AR264" s="507"/>
      <c r="AS264" s="514"/>
      <c r="AT264" s="514"/>
    </row>
    <row r="265">
      <c r="A265" s="382"/>
      <c r="B265" s="417"/>
      <c r="C265" s="383"/>
      <c r="D265" s="507"/>
      <c r="E265" s="382"/>
      <c r="F265" s="417"/>
      <c r="G265" s="383"/>
      <c r="H265" s="507"/>
      <c r="I265" s="382"/>
      <c r="J265" s="417"/>
      <c r="K265" s="383"/>
      <c r="L265" s="507"/>
      <c r="M265" s="382"/>
      <c r="N265" s="417"/>
      <c r="O265" s="383"/>
      <c r="P265" s="507"/>
      <c r="Q265" s="518"/>
      <c r="R265" s="519"/>
      <c r="S265" s="520"/>
      <c r="T265" s="513"/>
      <c r="U265" s="518"/>
      <c r="V265" s="519"/>
      <c r="W265" s="520"/>
      <c r="X265" s="513"/>
      <c r="Y265" s="518"/>
      <c r="Z265" s="519"/>
      <c r="AA265" s="520"/>
      <c r="AB265" s="513"/>
      <c r="AC265" s="518"/>
      <c r="AD265" s="519"/>
      <c r="AE265" s="520"/>
      <c r="AF265" s="513"/>
      <c r="AG265" s="518"/>
      <c r="AH265" s="519"/>
      <c r="AI265" s="520"/>
      <c r="AJ265" s="513"/>
      <c r="AK265" s="382"/>
      <c r="AL265" s="417"/>
      <c r="AM265" s="383"/>
      <c r="AN265" s="507"/>
      <c r="AO265" s="382"/>
      <c r="AP265" s="417"/>
      <c r="AQ265" s="383"/>
      <c r="AR265" s="507"/>
      <c r="AS265" s="514"/>
      <c r="AT265" s="514"/>
    </row>
    <row r="266">
      <c r="A266" s="382"/>
      <c r="B266" s="417"/>
      <c r="C266" s="383"/>
      <c r="D266" s="507"/>
      <c r="E266" s="382"/>
      <c r="F266" s="417"/>
      <c r="G266" s="383"/>
      <c r="H266" s="507"/>
      <c r="I266" s="382"/>
      <c r="J266" s="417"/>
      <c r="K266" s="383"/>
      <c r="L266" s="507"/>
      <c r="M266" s="382"/>
      <c r="N266" s="417"/>
      <c r="O266" s="383"/>
      <c r="P266" s="507"/>
      <c r="Q266" s="518"/>
      <c r="R266" s="519"/>
      <c r="S266" s="520"/>
      <c r="T266" s="513"/>
      <c r="U266" s="518"/>
      <c r="V266" s="519"/>
      <c r="W266" s="520"/>
      <c r="X266" s="513"/>
      <c r="Y266" s="518"/>
      <c r="Z266" s="519"/>
      <c r="AA266" s="520"/>
      <c r="AB266" s="513"/>
      <c r="AC266" s="518"/>
      <c r="AD266" s="519"/>
      <c r="AE266" s="520"/>
      <c r="AF266" s="513"/>
      <c r="AG266" s="518"/>
      <c r="AH266" s="519"/>
      <c r="AI266" s="520"/>
      <c r="AJ266" s="513"/>
      <c r="AK266" s="382"/>
      <c r="AL266" s="417"/>
      <c r="AM266" s="383"/>
      <c r="AN266" s="507"/>
      <c r="AO266" s="382"/>
      <c r="AP266" s="417"/>
      <c r="AQ266" s="383"/>
      <c r="AR266" s="507"/>
      <c r="AS266" s="514"/>
      <c r="AT266" s="514"/>
    </row>
    <row r="267">
      <c r="A267" s="382"/>
      <c r="B267" s="417"/>
      <c r="C267" s="383"/>
      <c r="D267" s="507"/>
      <c r="E267" s="382"/>
      <c r="F267" s="417"/>
      <c r="G267" s="383"/>
      <c r="H267" s="507"/>
      <c r="I267" s="382"/>
      <c r="J267" s="417"/>
      <c r="K267" s="383"/>
      <c r="L267" s="507"/>
      <c r="M267" s="382"/>
      <c r="N267" s="417"/>
      <c r="O267" s="383"/>
      <c r="P267" s="507"/>
      <c r="Q267" s="518"/>
      <c r="R267" s="519"/>
      <c r="S267" s="520"/>
      <c r="T267" s="513"/>
      <c r="U267" s="518"/>
      <c r="V267" s="519"/>
      <c r="W267" s="520"/>
      <c r="X267" s="513"/>
      <c r="Y267" s="518"/>
      <c r="Z267" s="519"/>
      <c r="AA267" s="520"/>
      <c r="AB267" s="513"/>
      <c r="AC267" s="518"/>
      <c r="AD267" s="519"/>
      <c r="AE267" s="520"/>
      <c r="AF267" s="513"/>
      <c r="AG267" s="518"/>
      <c r="AH267" s="519"/>
      <c r="AI267" s="520"/>
      <c r="AJ267" s="513"/>
      <c r="AK267" s="382"/>
      <c r="AL267" s="417"/>
      <c r="AM267" s="383"/>
      <c r="AN267" s="507"/>
      <c r="AO267" s="382"/>
      <c r="AP267" s="417"/>
      <c r="AQ267" s="383"/>
      <c r="AR267" s="507"/>
      <c r="AS267" s="514"/>
      <c r="AT267" s="514"/>
    </row>
    <row r="268">
      <c r="A268" s="382"/>
      <c r="B268" s="417"/>
      <c r="C268" s="383"/>
      <c r="D268" s="507"/>
      <c r="E268" s="382"/>
      <c r="F268" s="417"/>
      <c r="G268" s="383"/>
      <c r="H268" s="507"/>
      <c r="I268" s="382"/>
      <c r="J268" s="417"/>
      <c r="K268" s="383"/>
      <c r="L268" s="507"/>
      <c r="M268" s="382"/>
      <c r="N268" s="417"/>
      <c r="O268" s="383"/>
      <c r="P268" s="507"/>
      <c r="Q268" s="518"/>
      <c r="R268" s="519"/>
      <c r="S268" s="520"/>
      <c r="T268" s="513"/>
      <c r="U268" s="518"/>
      <c r="V268" s="519"/>
      <c r="W268" s="520"/>
      <c r="X268" s="513"/>
      <c r="Y268" s="518"/>
      <c r="Z268" s="519"/>
      <c r="AA268" s="520"/>
      <c r="AB268" s="513"/>
      <c r="AC268" s="518"/>
      <c r="AD268" s="519"/>
      <c r="AE268" s="520"/>
      <c r="AF268" s="513"/>
      <c r="AG268" s="518"/>
      <c r="AH268" s="519"/>
      <c r="AI268" s="520"/>
      <c r="AJ268" s="513"/>
      <c r="AK268" s="382"/>
      <c r="AL268" s="417"/>
      <c r="AM268" s="383"/>
      <c r="AN268" s="507"/>
      <c r="AO268" s="382"/>
      <c r="AP268" s="417"/>
      <c r="AQ268" s="383"/>
      <c r="AR268" s="507"/>
      <c r="AS268" s="514"/>
      <c r="AT268" s="514"/>
    </row>
    <row r="269">
      <c r="A269" s="382"/>
      <c r="B269" s="417"/>
      <c r="C269" s="383"/>
      <c r="D269" s="507"/>
      <c r="E269" s="382"/>
      <c r="F269" s="417"/>
      <c r="G269" s="383"/>
      <c r="H269" s="507"/>
      <c r="I269" s="382"/>
      <c r="J269" s="417"/>
      <c r="K269" s="383"/>
      <c r="L269" s="507"/>
      <c r="M269" s="382"/>
      <c r="N269" s="417"/>
      <c r="O269" s="383"/>
      <c r="P269" s="507"/>
      <c r="Q269" s="518"/>
      <c r="R269" s="519"/>
      <c r="S269" s="520"/>
      <c r="T269" s="513"/>
      <c r="U269" s="518"/>
      <c r="V269" s="519"/>
      <c r="W269" s="520"/>
      <c r="X269" s="513"/>
      <c r="Y269" s="518"/>
      <c r="Z269" s="519"/>
      <c r="AA269" s="520"/>
      <c r="AB269" s="513"/>
      <c r="AC269" s="518"/>
      <c r="AD269" s="519"/>
      <c r="AE269" s="520"/>
      <c r="AF269" s="513"/>
      <c r="AG269" s="518"/>
      <c r="AH269" s="519"/>
      <c r="AI269" s="520"/>
      <c r="AJ269" s="513"/>
      <c r="AK269" s="382"/>
      <c r="AL269" s="417"/>
      <c r="AM269" s="383"/>
      <c r="AN269" s="507"/>
      <c r="AO269" s="382"/>
      <c r="AP269" s="417"/>
      <c r="AQ269" s="383"/>
      <c r="AR269" s="507"/>
      <c r="AS269" s="514"/>
      <c r="AT269" s="514"/>
    </row>
    <row r="270">
      <c r="A270" s="382"/>
      <c r="B270" s="417"/>
      <c r="C270" s="383"/>
      <c r="D270" s="507"/>
      <c r="E270" s="382"/>
      <c r="F270" s="417"/>
      <c r="G270" s="383"/>
      <c r="H270" s="507"/>
      <c r="I270" s="382"/>
      <c r="J270" s="417"/>
      <c r="K270" s="383"/>
      <c r="L270" s="507"/>
      <c r="M270" s="382"/>
      <c r="N270" s="417"/>
      <c r="O270" s="383"/>
      <c r="P270" s="507"/>
      <c r="Q270" s="518"/>
      <c r="R270" s="519"/>
      <c r="S270" s="520"/>
      <c r="T270" s="513"/>
      <c r="U270" s="518"/>
      <c r="V270" s="519"/>
      <c r="W270" s="520"/>
      <c r="X270" s="513"/>
      <c r="Y270" s="518"/>
      <c r="Z270" s="519"/>
      <c r="AA270" s="520"/>
      <c r="AB270" s="513"/>
      <c r="AC270" s="518"/>
      <c r="AD270" s="519"/>
      <c r="AE270" s="520"/>
      <c r="AF270" s="513"/>
      <c r="AG270" s="518"/>
      <c r="AH270" s="519"/>
      <c r="AI270" s="520"/>
      <c r="AJ270" s="513"/>
      <c r="AK270" s="382"/>
      <c r="AL270" s="417"/>
      <c r="AM270" s="383"/>
      <c r="AN270" s="507"/>
      <c r="AO270" s="382"/>
      <c r="AP270" s="417"/>
      <c r="AQ270" s="383"/>
      <c r="AR270" s="507"/>
      <c r="AS270" s="514"/>
      <c r="AT270" s="514"/>
    </row>
    <row r="271">
      <c r="A271" s="382"/>
      <c r="B271" s="417"/>
      <c r="C271" s="383"/>
      <c r="D271" s="507"/>
      <c r="E271" s="382"/>
      <c r="F271" s="417"/>
      <c r="G271" s="383"/>
      <c r="H271" s="507"/>
      <c r="I271" s="382"/>
      <c r="J271" s="417"/>
      <c r="K271" s="383"/>
      <c r="L271" s="507"/>
      <c r="M271" s="382"/>
      <c r="N271" s="417"/>
      <c r="O271" s="383"/>
      <c r="P271" s="507"/>
      <c r="Q271" s="518"/>
      <c r="R271" s="519"/>
      <c r="S271" s="520"/>
      <c r="T271" s="513"/>
      <c r="U271" s="518"/>
      <c r="V271" s="519"/>
      <c r="W271" s="520"/>
      <c r="X271" s="513"/>
      <c r="Y271" s="518"/>
      <c r="Z271" s="519"/>
      <c r="AA271" s="520"/>
      <c r="AB271" s="513"/>
      <c r="AC271" s="518"/>
      <c r="AD271" s="519"/>
      <c r="AE271" s="520"/>
      <c r="AF271" s="513"/>
      <c r="AG271" s="518"/>
      <c r="AH271" s="519"/>
      <c r="AI271" s="520"/>
      <c r="AJ271" s="513"/>
      <c r="AK271" s="382"/>
      <c r="AL271" s="417"/>
      <c r="AM271" s="383"/>
      <c r="AN271" s="507"/>
      <c r="AO271" s="382"/>
      <c r="AP271" s="417"/>
      <c r="AQ271" s="383"/>
      <c r="AR271" s="507"/>
      <c r="AS271" s="514"/>
      <c r="AT271" s="514"/>
    </row>
    <row r="272">
      <c r="A272" s="382"/>
      <c r="B272" s="417"/>
      <c r="C272" s="383"/>
      <c r="D272" s="507"/>
      <c r="E272" s="382"/>
      <c r="F272" s="417"/>
      <c r="G272" s="383"/>
      <c r="H272" s="507"/>
      <c r="I272" s="382"/>
      <c r="J272" s="417"/>
      <c r="K272" s="383"/>
      <c r="L272" s="507"/>
      <c r="M272" s="382"/>
      <c r="N272" s="417"/>
      <c r="O272" s="383"/>
      <c r="P272" s="507"/>
      <c r="Q272" s="518"/>
      <c r="R272" s="519"/>
      <c r="S272" s="520"/>
      <c r="T272" s="513"/>
      <c r="U272" s="518"/>
      <c r="V272" s="519"/>
      <c r="W272" s="520"/>
      <c r="X272" s="513"/>
      <c r="Y272" s="518"/>
      <c r="Z272" s="519"/>
      <c r="AA272" s="520"/>
      <c r="AB272" s="513"/>
      <c r="AC272" s="518"/>
      <c r="AD272" s="519"/>
      <c r="AE272" s="520"/>
      <c r="AF272" s="513"/>
      <c r="AG272" s="518"/>
      <c r="AH272" s="519"/>
      <c r="AI272" s="520"/>
      <c r="AJ272" s="513"/>
      <c r="AK272" s="382"/>
      <c r="AL272" s="417"/>
      <c r="AM272" s="383"/>
      <c r="AN272" s="507"/>
      <c r="AO272" s="382"/>
      <c r="AP272" s="417"/>
      <c r="AQ272" s="383"/>
      <c r="AR272" s="507"/>
      <c r="AS272" s="514"/>
      <c r="AT272" s="514"/>
    </row>
    <row r="273">
      <c r="A273" s="382"/>
      <c r="B273" s="417"/>
      <c r="C273" s="383"/>
      <c r="D273" s="507"/>
      <c r="E273" s="382"/>
      <c r="F273" s="417"/>
      <c r="G273" s="383"/>
      <c r="H273" s="507"/>
      <c r="I273" s="382"/>
      <c r="J273" s="417"/>
      <c r="K273" s="383"/>
      <c r="L273" s="507"/>
      <c r="M273" s="382"/>
      <c r="N273" s="417"/>
      <c r="O273" s="383"/>
      <c r="P273" s="507"/>
      <c r="Q273" s="518"/>
      <c r="R273" s="519"/>
      <c r="S273" s="520"/>
      <c r="T273" s="513"/>
      <c r="U273" s="518"/>
      <c r="V273" s="519"/>
      <c r="W273" s="520"/>
      <c r="X273" s="513"/>
      <c r="Y273" s="518"/>
      <c r="Z273" s="519"/>
      <c r="AA273" s="520"/>
      <c r="AB273" s="513"/>
      <c r="AC273" s="518"/>
      <c r="AD273" s="519"/>
      <c r="AE273" s="520"/>
      <c r="AF273" s="513"/>
      <c r="AG273" s="518"/>
      <c r="AH273" s="519"/>
      <c r="AI273" s="520"/>
      <c r="AJ273" s="513"/>
      <c r="AK273" s="382"/>
      <c r="AL273" s="417"/>
      <c r="AM273" s="383"/>
      <c r="AN273" s="507"/>
      <c r="AO273" s="382"/>
      <c r="AP273" s="417"/>
      <c r="AQ273" s="383"/>
      <c r="AR273" s="507"/>
      <c r="AS273" s="514"/>
      <c r="AT273" s="514"/>
    </row>
    <row r="274">
      <c r="A274" s="382"/>
      <c r="B274" s="417"/>
      <c r="C274" s="383"/>
      <c r="D274" s="507"/>
      <c r="E274" s="382"/>
      <c r="F274" s="417"/>
      <c r="G274" s="383"/>
      <c r="H274" s="507"/>
      <c r="I274" s="382"/>
      <c r="J274" s="417"/>
      <c r="K274" s="383"/>
      <c r="L274" s="507"/>
      <c r="M274" s="382"/>
      <c r="N274" s="417"/>
      <c r="O274" s="383"/>
      <c r="P274" s="507"/>
      <c r="Q274" s="518"/>
      <c r="R274" s="519"/>
      <c r="S274" s="520"/>
      <c r="T274" s="513"/>
      <c r="U274" s="518"/>
      <c r="V274" s="519"/>
      <c r="W274" s="520"/>
      <c r="X274" s="513"/>
      <c r="Y274" s="518"/>
      <c r="Z274" s="519"/>
      <c r="AA274" s="520"/>
      <c r="AB274" s="513"/>
      <c r="AC274" s="518"/>
      <c r="AD274" s="519"/>
      <c r="AE274" s="520"/>
      <c r="AF274" s="513"/>
      <c r="AG274" s="518"/>
      <c r="AH274" s="519"/>
      <c r="AI274" s="520"/>
      <c r="AJ274" s="513"/>
      <c r="AK274" s="382"/>
      <c r="AL274" s="417"/>
      <c r="AM274" s="383"/>
      <c r="AN274" s="507"/>
      <c r="AO274" s="382"/>
      <c r="AP274" s="417"/>
      <c r="AQ274" s="383"/>
      <c r="AR274" s="507"/>
      <c r="AS274" s="514"/>
      <c r="AT274" s="514"/>
    </row>
    <row r="275">
      <c r="A275" s="382"/>
      <c r="B275" s="417"/>
      <c r="C275" s="383"/>
      <c r="D275" s="507"/>
      <c r="E275" s="382"/>
      <c r="F275" s="417"/>
      <c r="G275" s="383"/>
      <c r="H275" s="507"/>
      <c r="I275" s="382"/>
      <c r="J275" s="417"/>
      <c r="K275" s="383"/>
      <c r="L275" s="507"/>
      <c r="M275" s="382"/>
      <c r="N275" s="417"/>
      <c r="O275" s="383"/>
      <c r="P275" s="507"/>
      <c r="Q275" s="518"/>
      <c r="R275" s="519"/>
      <c r="S275" s="520"/>
      <c r="T275" s="513"/>
      <c r="U275" s="518"/>
      <c r="V275" s="519"/>
      <c r="W275" s="520"/>
      <c r="X275" s="513"/>
      <c r="Y275" s="518"/>
      <c r="Z275" s="519"/>
      <c r="AA275" s="520"/>
      <c r="AB275" s="513"/>
      <c r="AC275" s="518"/>
      <c r="AD275" s="519"/>
      <c r="AE275" s="520"/>
      <c r="AF275" s="513"/>
      <c r="AG275" s="518"/>
      <c r="AH275" s="519"/>
      <c r="AI275" s="520"/>
      <c r="AJ275" s="513"/>
      <c r="AK275" s="382"/>
      <c r="AL275" s="417"/>
      <c r="AM275" s="383"/>
      <c r="AN275" s="507"/>
      <c r="AO275" s="382"/>
      <c r="AP275" s="417"/>
      <c r="AQ275" s="383"/>
      <c r="AR275" s="507"/>
      <c r="AS275" s="514"/>
      <c r="AT275" s="514"/>
    </row>
    <row r="276">
      <c r="A276" s="382"/>
      <c r="B276" s="417"/>
      <c r="C276" s="383"/>
      <c r="D276" s="507"/>
      <c r="E276" s="382"/>
      <c r="F276" s="417"/>
      <c r="G276" s="383"/>
      <c r="H276" s="507"/>
      <c r="I276" s="382"/>
      <c r="J276" s="417"/>
      <c r="K276" s="383"/>
      <c r="L276" s="507"/>
      <c r="M276" s="382"/>
      <c r="N276" s="417"/>
      <c r="O276" s="383"/>
      <c r="P276" s="507"/>
      <c r="Q276" s="518"/>
      <c r="R276" s="519"/>
      <c r="S276" s="520"/>
      <c r="T276" s="513"/>
      <c r="U276" s="518"/>
      <c r="V276" s="519"/>
      <c r="W276" s="520"/>
      <c r="X276" s="513"/>
      <c r="Y276" s="518"/>
      <c r="Z276" s="519"/>
      <c r="AA276" s="520"/>
      <c r="AB276" s="513"/>
      <c r="AC276" s="518"/>
      <c r="AD276" s="519"/>
      <c r="AE276" s="520"/>
      <c r="AF276" s="513"/>
      <c r="AG276" s="518"/>
      <c r="AH276" s="519"/>
      <c r="AI276" s="520"/>
      <c r="AJ276" s="513"/>
      <c r="AK276" s="382"/>
      <c r="AL276" s="417"/>
      <c r="AM276" s="383"/>
      <c r="AN276" s="507"/>
      <c r="AO276" s="382"/>
      <c r="AP276" s="417"/>
      <c r="AQ276" s="383"/>
      <c r="AR276" s="507"/>
      <c r="AS276" s="514"/>
      <c r="AT276" s="514"/>
    </row>
    <row r="277">
      <c r="A277" s="382"/>
      <c r="B277" s="417"/>
      <c r="C277" s="383"/>
      <c r="D277" s="507"/>
      <c r="E277" s="382"/>
      <c r="F277" s="417"/>
      <c r="G277" s="383"/>
      <c r="H277" s="507"/>
      <c r="I277" s="382"/>
      <c r="J277" s="417"/>
      <c r="K277" s="383"/>
      <c r="L277" s="507"/>
      <c r="M277" s="382"/>
      <c r="N277" s="417"/>
      <c r="O277" s="383"/>
      <c r="P277" s="507"/>
      <c r="Q277" s="518"/>
      <c r="R277" s="519"/>
      <c r="S277" s="520"/>
      <c r="T277" s="513"/>
      <c r="U277" s="518"/>
      <c r="V277" s="519"/>
      <c r="W277" s="520"/>
      <c r="X277" s="513"/>
      <c r="Y277" s="518"/>
      <c r="Z277" s="519"/>
      <c r="AA277" s="520"/>
      <c r="AB277" s="513"/>
      <c r="AC277" s="518"/>
      <c r="AD277" s="519"/>
      <c r="AE277" s="520"/>
      <c r="AF277" s="513"/>
      <c r="AG277" s="518"/>
      <c r="AH277" s="519"/>
      <c r="AI277" s="520"/>
      <c r="AJ277" s="513"/>
      <c r="AK277" s="382"/>
      <c r="AL277" s="417"/>
      <c r="AM277" s="383"/>
      <c r="AN277" s="507"/>
      <c r="AO277" s="382"/>
      <c r="AP277" s="417"/>
      <c r="AQ277" s="383"/>
      <c r="AR277" s="507"/>
      <c r="AS277" s="514"/>
      <c r="AT277" s="514"/>
    </row>
    <row r="278">
      <c r="A278" s="382"/>
      <c r="B278" s="417"/>
      <c r="C278" s="383"/>
      <c r="D278" s="507"/>
      <c r="E278" s="382"/>
      <c r="F278" s="417"/>
      <c r="G278" s="383"/>
      <c r="H278" s="507"/>
      <c r="I278" s="382"/>
      <c r="J278" s="417"/>
      <c r="K278" s="383"/>
      <c r="L278" s="507"/>
      <c r="M278" s="382"/>
      <c r="N278" s="417"/>
      <c r="O278" s="383"/>
      <c r="P278" s="507"/>
      <c r="Q278" s="518"/>
      <c r="R278" s="519"/>
      <c r="S278" s="520"/>
      <c r="T278" s="513"/>
      <c r="U278" s="518"/>
      <c r="V278" s="519"/>
      <c r="W278" s="520"/>
      <c r="X278" s="513"/>
      <c r="Y278" s="518"/>
      <c r="Z278" s="519"/>
      <c r="AA278" s="520"/>
      <c r="AB278" s="513"/>
      <c r="AC278" s="518"/>
      <c r="AD278" s="519"/>
      <c r="AE278" s="520"/>
      <c r="AF278" s="513"/>
      <c r="AG278" s="518"/>
      <c r="AH278" s="519"/>
      <c r="AI278" s="520"/>
      <c r="AJ278" s="513"/>
      <c r="AK278" s="382"/>
      <c r="AL278" s="417"/>
      <c r="AM278" s="383"/>
      <c r="AN278" s="507"/>
      <c r="AO278" s="382"/>
      <c r="AP278" s="417"/>
      <c r="AQ278" s="383"/>
      <c r="AR278" s="507"/>
      <c r="AS278" s="514"/>
      <c r="AT278" s="514"/>
    </row>
    <row r="279">
      <c r="A279" s="382"/>
      <c r="B279" s="417"/>
      <c r="C279" s="383"/>
      <c r="D279" s="507"/>
      <c r="E279" s="382"/>
      <c r="F279" s="417"/>
      <c r="G279" s="383"/>
      <c r="H279" s="507"/>
      <c r="I279" s="382"/>
      <c r="J279" s="417"/>
      <c r="K279" s="383"/>
      <c r="L279" s="507"/>
      <c r="M279" s="382"/>
      <c r="N279" s="417"/>
      <c r="O279" s="383"/>
      <c r="P279" s="507"/>
      <c r="Q279" s="518"/>
      <c r="R279" s="519"/>
      <c r="S279" s="520"/>
      <c r="T279" s="513"/>
      <c r="U279" s="518"/>
      <c r="V279" s="519"/>
      <c r="W279" s="520"/>
      <c r="X279" s="513"/>
      <c r="Y279" s="518"/>
      <c r="Z279" s="519"/>
      <c r="AA279" s="520"/>
      <c r="AB279" s="513"/>
      <c r="AC279" s="518"/>
      <c r="AD279" s="519"/>
      <c r="AE279" s="520"/>
      <c r="AF279" s="513"/>
      <c r="AG279" s="518"/>
      <c r="AH279" s="519"/>
      <c r="AI279" s="520"/>
      <c r="AJ279" s="513"/>
      <c r="AK279" s="382"/>
      <c r="AL279" s="417"/>
      <c r="AM279" s="383"/>
      <c r="AN279" s="507"/>
      <c r="AO279" s="382"/>
      <c r="AP279" s="417"/>
      <c r="AQ279" s="383"/>
      <c r="AR279" s="507"/>
      <c r="AS279" s="514"/>
      <c r="AT279" s="514"/>
    </row>
    <row r="280">
      <c r="A280" s="382"/>
      <c r="B280" s="417"/>
      <c r="C280" s="383"/>
      <c r="D280" s="507"/>
      <c r="E280" s="382"/>
      <c r="F280" s="417"/>
      <c r="G280" s="383"/>
      <c r="H280" s="507"/>
      <c r="I280" s="382"/>
      <c r="J280" s="417"/>
      <c r="K280" s="383"/>
      <c r="L280" s="507"/>
      <c r="M280" s="382"/>
      <c r="N280" s="417"/>
      <c r="O280" s="383"/>
      <c r="P280" s="507"/>
      <c r="Q280" s="518"/>
      <c r="R280" s="519"/>
      <c r="S280" s="520"/>
      <c r="T280" s="513"/>
      <c r="U280" s="518"/>
      <c r="V280" s="519"/>
      <c r="W280" s="520"/>
      <c r="X280" s="513"/>
      <c r="Y280" s="518"/>
      <c r="Z280" s="519"/>
      <c r="AA280" s="520"/>
      <c r="AB280" s="513"/>
      <c r="AC280" s="518"/>
      <c r="AD280" s="519"/>
      <c r="AE280" s="520"/>
      <c r="AF280" s="513"/>
      <c r="AG280" s="518"/>
      <c r="AH280" s="519"/>
      <c r="AI280" s="520"/>
      <c r="AJ280" s="513"/>
      <c r="AK280" s="382"/>
      <c r="AL280" s="417"/>
      <c r="AM280" s="383"/>
      <c r="AN280" s="507"/>
      <c r="AO280" s="382"/>
      <c r="AP280" s="417"/>
      <c r="AQ280" s="383"/>
      <c r="AR280" s="507"/>
      <c r="AS280" s="514"/>
      <c r="AT280" s="514"/>
    </row>
    <row r="281">
      <c r="A281" s="382"/>
      <c r="B281" s="417"/>
      <c r="C281" s="383"/>
      <c r="D281" s="507"/>
      <c r="E281" s="382"/>
      <c r="F281" s="417"/>
      <c r="G281" s="383"/>
      <c r="H281" s="507"/>
      <c r="I281" s="382"/>
      <c r="J281" s="417"/>
      <c r="K281" s="383"/>
      <c r="L281" s="507"/>
      <c r="M281" s="382"/>
      <c r="N281" s="417"/>
      <c r="O281" s="383"/>
      <c r="P281" s="507"/>
      <c r="Q281" s="518"/>
      <c r="R281" s="519"/>
      <c r="S281" s="520"/>
      <c r="T281" s="513"/>
      <c r="U281" s="518"/>
      <c r="V281" s="519"/>
      <c r="W281" s="520"/>
      <c r="X281" s="513"/>
      <c r="Y281" s="518"/>
      <c r="Z281" s="519"/>
      <c r="AA281" s="520"/>
      <c r="AB281" s="513"/>
      <c r="AC281" s="518"/>
      <c r="AD281" s="519"/>
      <c r="AE281" s="520"/>
      <c r="AF281" s="513"/>
      <c r="AG281" s="356"/>
      <c r="AH281" s="519"/>
      <c r="AI281" s="520"/>
      <c r="AJ281" s="513"/>
      <c r="AK281" s="382"/>
      <c r="AL281" s="417"/>
      <c r="AM281" s="383"/>
      <c r="AN281" s="507"/>
      <c r="AO281" s="382"/>
      <c r="AP281" s="417"/>
      <c r="AQ281" s="383"/>
      <c r="AR281" s="507"/>
      <c r="AS281" s="514"/>
      <c r="AT281" s="514"/>
    </row>
    <row r="282">
      <c r="A282" s="382"/>
      <c r="B282" s="417"/>
      <c r="C282" s="383"/>
      <c r="D282" s="507"/>
      <c r="E282" s="382"/>
      <c r="F282" s="417"/>
      <c r="G282" s="383"/>
      <c r="H282" s="507"/>
      <c r="I282" s="382"/>
      <c r="J282" s="417"/>
      <c r="K282" s="383"/>
      <c r="L282" s="507"/>
      <c r="M282" s="382"/>
      <c r="N282" s="417"/>
      <c r="O282" s="383"/>
      <c r="P282" s="507"/>
      <c r="Q282" s="518"/>
      <c r="R282" s="519"/>
      <c r="S282" s="520"/>
      <c r="T282" s="513"/>
      <c r="U282" s="518"/>
      <c r="V282" s="519"/>
      <c r="W282" s="520"/>
      <c r="X282" s="513"/>
      <c r="Y282" s="518"/>
      <c r="Z282" s="519"/>
      <c r="AA282" s="520"/>
      <c r="AB282" s="513"/>
      <c r="AC282" s="518"/>
      <c r="AD282" s="519"/>
      <c r="AE282" s="520"/>
      <c r="AF282" s="513"/>
      <c r="AG282" s="356"/>
      <c r="AH282" s="519"/>
      <c r="AI282" s="520"/>
      <c r="AJ282" s="513"/>
      <c r="AK282" s="382"/>
      <c r="AL282" s="417"/>
      <c r="AM282" s="383"/>
      <c r="AN282" s="507"/>
      <c r="AO282" s="382"/>
      <c r="AP282" s="417"/>
      <c r="AQ282" s="383"/>
      <c r="AR282" s="507"/>
      <c r="AS282" s="514"/>
      <c r="AT282" s="514"/>
    </row>
    <row r="283">
      <c r="A283" s="382"/>
      <c r="B283" s="417"/>
      <c r="C283" s="383"/>
      <c r="D283" s="507"/>
      <c r="E283" s="382"/>
      <c r="F283" s="417"/>
      <c r="G283" s="383"/>
      <c r="H283" s="507"/>
      <c r="I283" s="382"/>
      <c r="J283" s="417"/>
      <c r="K283" s="383"/>
      <c r="L283" s="507"/>
      <c r="M283" s="382"/>
      <c r="N283" s="417"/>
      <c r="O283" s="383"/>
      <c r="P283" s="507"/>
      <c r="Q283" s="518"/>
      <c r="R283" s="519"/>
      <c r="S283" s="520"/>
      <c r="T283" s="513"/>
      <c r="U283" s="518"/>
      <c r="V283" s="519"/>
      <c r="W283" s="520"/>
      <c r="X283" s="513"/>
      <c r="Y283" s="518"/>
      <c r="Z283" s="519"/>
      <c r="AA283" s="520"/>
      <c r="AB283" s="513"/>
      <c r="AC283" s="518"/>
      <c r="AD283" s="519"/>
      <c r="AE283" s="520"/>
      <c r="AF283" s="513"/>
      <c r="AG283" s="356"/>
      <c r="AH283" s="519"/>
      <c r="AI283" s="520"/>
      <c r="AJ283" s="513"/>
      <c r="AK283" s="382"/>
      <c r="AL283" s="417"/>
      <c r="AM283" s="383"/>
      <c r="AN283" s="507"/>
      <c r="AO283" s="382"/>
      <c r="AP283" s="417"/>
      <c r="AQ283" s="383"/>
      <c r="AR283" s="507"/>
      <c r="AS283" s="514"/>
      <c r="AT283" s="514"/>
    </row>
    <row r="284">
      <c r="A284" s="382"/>
      <c r="B284" s="417"/>
      <c r="C284" s="383"/>
      <c r="D284" s="507"/>
      <c r="E284" s="382"/>
      <c r="F284" s="417"/>
      <c r="G284" s="383"/>
      <c r="H284" s="507"/>
      <c r="I284" s="382"/>
      <c r="J284" s="417"/>
      <c r="K284" s="383"/>
      <c r="L284" s="507"/>
      <c r="M284" s="382"/>
      <c r="N284" s="417"/>
      <c r="O284" s="383"/>
      <c r="P284" s="507"/>
      <c r="Q284" s="518"/>
      <c r="R284" s="519"/>
      <c r="S284" s="520"/>
      <c r="T284" s="513"/>
      <c r="U284" s="518"/>
      <c r="V284" s="519"/>
      <c r="W284" s="520"/>
      <c r="X284" s="513"/>
      <c r="Y284" s="518"/>
      <c r="Z284" s="519"/>
      <c r="AA284" s="520"/>
      <c r="AB284" s="513"/>
      <c r="AC284" s="518"/>
      <c r="AD284" s="519"/>
      <c r="AE284" s="520"/>
      <c r="AF284" s="513"/>
      <c r="AG284" s="356"/>
      <c r="AH284" s="519"/>
      <c r="AI284" s="520"/>
      <c r="AJ284" s="513"/>
      <c r="AK284" s="382"/>
      <c r="AL284" s="417"/>
      <c r="AM284" s="383"/>
      <c r="AN284" s="507"/>
      <c r="AO284" s="382"/>
      <c r="AP284" s="417"/>
      <c r="AQ284" s="383"/>
      <c r="AR284" s="507"/>
      <c r="AS284" s="514"/>
      <c r="AT284" s="514"/>
    </row>
    <row r="285">
      <c r="A285" s="382"/>
      <c r="B285" s="417"/>
      <c r="C285" s="383"/>
      <c r="D285" s="507"/>
      <c r="E285" s="382"/>
      <c r="F285" s="417"/>
      <c r="G285" s="383"/>
      <c r="H285" s="507"/>
      <c r="I285" s="382"/>
      <c r="J285" s="417"/>
      <c r="K285" s="383"/>
      <c r="L285" s="507"/>
      <c r="M285" s="382"/>
      <c r="N285" s="417"/>
      <c r="O285" s="383"/>
      <c r="P285" s="507"/>
      <c r="Q285" s="518"/>
      <c r="R285" s="519"/>
      <c r="S285" s="520"/>
      <c r="T285" s="513"/>
      <c r="U285" s="518"/>
      <c r="V285" s="519"/>
      <c r="W285" s="520"/>
      <c r="X285" s="513"/>
      <c r="Y285" s="518"/>
      <c r="Z285" s="519"/>
      <c r="AA285" s="520"/>
      <c r="AB285" s="513"/>
      <c r="AC285" s="518"/>
      <c r="AD285" s="519"/>
      <c r="AE285" s="520"/>
      <c r="AF285" s="513"/>
      <c r="AG285" s="356"/>
      <c r="AH285" s="519"/>
      <c r="AI285" s="520"/>
      <c r="AJ285" s="513"/>
      <c r="AK285" s="382"/>
      <c r="AL285" s="417"/>
      <c r="AM285" s="383"/>
      <c r="AN285" s="507"/>
      <c r="AO285" s="382"/>
      <c r="AP285" s="417"/>
      <c r="AQ285" s="383"/>
      <c r="AR285" s="507"/>
      <c r="AS285" s="514"/>
      <c r="AT285" s="514"/>
    </row>
    <row r="286">
      <c r="A286" s="382"/>
      <c r="B286" s="417"/>
      <c r="C286" s="383"/>
      <c r="D286" s="507"/>
      <c r="E286" s="382"/>
      <c r="F286" s="417"/>
      <c r="G286" s="383"/>
      <c r="H286" s="507"/>
      <c r="I286" s="382"/>
      <c r="J286" s="417"/>
      <c r="K286" s="383"/>
      <c r="L286" s="507"/>
      <c r="M286" s="382"/>
      <c r="N286" s="417"/>
      <c r="O286" s="383"/>
      <c r="P286" s="507"/>
      <c r="Q286" s="518"/>
      <c r="R286" s="519"/>
      <c r="S286" s="520"/>
      <c r="T286" s="513"/>
      <c r="U286" s="518"/>
      <c r="V286" s="519"/>
      <c r="W286" s="520"/>
      <c r="X286" s="513"/>
      <c r="Y286" s="518"/>
      <c r="Z286" s="519"/>
      <c r="AA286" s="520"/>
      <c r="AB286" s="513"/>
      <c r="AC286" s="518"/>
      <c r="AD286" s="519"/>
      <c r="AE286" s="520"/>
      <c r="AF286" s="513"/>
      <c r="AG286" s="356"/>
      <c r="AH286" s="519"/>
      <c r="AI286" s="520"/>
      <c r="AJ286" s="513"/>
      <c r="AK286" s="382"/>
      <c r="AL286" s="417"/>
      <c r="AM286" s="383"/>
      <c r="AN286" s="507"/>
      <c r="AO286" s="382"/>
      <c r="AP286" s="417"/>
      <c r="AQ286" s="383"/>
      <c r="AR286" s="507"/>
      <c r="AS286" s="514"/>
      <c r="AT286" s="514"/>
    </row>
    <row r="287">
      <c r="A287" s="382"/>
      <c r="B287" s="417"/>
      <c r="C287" s="383"/>
      <c r="D287" s="507"/>
      <c r="E287" s="382"/>
      <c r="F287" s="417"/>
      <c r="G287" s="383"/>
      <c r="H287" s="507"/>
      <c r="I287" s="382"/>
      <c r="J287" s="417"/>
      <c r="K287" s="383"/>
      <c r="L287" s="507"/>
      <c r="M287" s="382"/>
      <c r="N287" s="417"/>
      <c r="O287" s="383"/>
      <c r="P287" s="507"/>
      <c r="Q287" s="518"/>
      <c r="R287" s="519"/>
      <c r="S287" s="520"/>
      <c r="T287" s="513"/>
      <c r="U287" s="518"/>
      <c r="V287" s="519"/>
      <c r="W287" s="520"/>
      <c r="X287" s="513"/>
      <c r="Y287" s="518"/>
      <c r="Z287" s="519"/>
      <c r="AA287" s="520"/>
      <c r="AB287" s="513"/>
      <c r="AC287" s="518"/>
      <c r="AD287" s="519"/>
      <c r="AE287" s="520"/>
      <c r="AF287" s="513"/>
      <c r="AG287" s="356"/>
      <c r="AH287" s="519"/>
      <c r="AI287" s="520"/>
      <c r="AJ287" s="513"/>
      <c r="AK287" s="382"/>
      <c r="AL287" s="417"/>
      <c r="AM287" s="383"/>
      <c r="AN287" s="507"/>
      <c r="AO287" s="382"/>
      <c r="AP287" s="417"/>
      <c r="AQ287" s="383"/>
      <c r="AR287" s="507"/>
      <c r="AS287" s="514"/>
      <c r="AT287" s="514"/>
    </row>
    <row r="288">
      <c r="A288" s="382"/>
      <c r="B288" s="417"/>
      <c r="C288" s="383"/>
      <c r="D288" s="507"/>
      <c r="E288" s="382"/>
      <c r="F288" s="417"/>
      <c r="G288" s="383"/>
      <c r="H288" s="507"/>
      <c r="I288" s="382"/>
      <c r="J288" s="417"/>
      <c r="K288" s="383"/>
      <c r="L288" s="507"/>
      <c r="M288" s="382"/>
      <c r="N288" s="417"/>
      <c r="O288" s="383"/>
      <c r="P288" s="507"/>
      <c r="Q288" s="518"/>
      <c r="R288" s="519"/>
      <c r="S288" s="520"/>
      <c r="T288" s="513"/>
      <c r="U288" s="518"/>
      <c r="V288" s="519"/>
      <c r="W288" s="520"/>
      <c r="X288" s="513"/>
      <c r="Y288" s="518"/>
      <c r="Z288" s="519"/>
      <c r="AA288" s="520"/>
      <c r="AB288" s="513"/>
      <c r="AC288" s="518"/>
      <c r="AD288" s="519"/>
      <c r="AE288" s="520"/>
      <c r="AF288" s="513"/>
      <c r="AG288" s="356"/>
      <c r="AH288" s="519"/>
      <c r="AI288" s="520"/>
      <c r="AJ288" s="513"/>
      <c r="AK288" s="382"/>
      <c r="AL288" s="417"/>
      <c r="AM288" s="383"/>
      <c r="AN288" s="507"/>
      <c r="AO288" s="382"/>
      <c r="AP288" s="417"/>
      <c r="AQ288" s="383"/>
      <c r="AR288" s="507"/>
      <c r="AS288" s="514"/>
      <c r="AT288" s="514"/>
    </row>
    <row r="289">
      <c r="A289" s="382"/>
      <c r="B289" s="417"/>
      <c r="C289" s="383"/>
      <c r="D289" s="507"/>
      <c r="E289" s="382"/>
      <c r="F289" s="417"/>
      <c r="G289" s="383"/>
      <c r="H289" s="507"/>
      <c r="I289" s="382"/>
      <c r="J289" s="417"/>
      <c r="K289" s="383"/>
      <c r="L289" s="507"/>
      <c r="M289" s="382"/>
      <c r="N289" s="417"/>
      <c r="O289" s="383"/>
      <c r="P289" s="507"/>
      <c r="Q289" s="518"/>
      <c r="R289" s="519"/>
      <c r="S289" s="520"/>
      <c r="T289" s="513"/>
      <c r="U289" s="518"/>
      <c r="V289" s="519"/>
      <c r="W289" s="520"/>
      <c r="X289" s="513"/>
      <c r="Y289" s="518"/>
      <c r="Z289" s="519"/>
      <c r="AA289" s="520"/>
      <c r="AB289" s="513"/>
      <c r="AC289" s="518"/>
      <c r="AD289" s="519"/>
      <c r="AE289" s="520"/>
      <c r="AF289" s="513"/>
      <c r="AG289" s="356"/>
      <c r="AH289" s="519"/>
      <c r="AI289" s="520"/>
      <c r="AJ289" s="513"/>
      <c r="AK289" s="382"/>
      <c r="AL289" s="417"/>
      <c r="AM289" s="383"/>
      <c r="AN289" s="507"/>
      <c r="AO289" s="382"/>
      <c r="AP289" s="417"/>
      <c r="AQ289" s="383"/>
      <c r="AR289" s="507"/>
      <c r="AS289" s="514"/>
      <c r="AT289" s="514"/>
    </row>
    <row r="290">
      <c r="A290" s="382"/>
      <c r="B290" s="417"/>
      <c r="C290" s="383"/>
      <c r="D290" s="507"/>
      <c r="E290" s="382"/>
      <c r="F290" s="417"/>
      <c r="G290" s="383"/>
      <c r="H290" s="507"/>
      <c r="I290" s="382"/>
      <c r="J290" s="417"/>
      <c r="K290" s="383"/>
      <c r="L290" s="507"/>
      <c r="M290" s="382"/>
      <c r="N290" s="417"/>
      <c r="O290" s="383"/>
      <c r="P290" s="507"/>
      <c r="Q290" s="518"/>
      <c r="R290" s="519"/>
      <c r="S290" s="520"/>
      <c r="T290" s="513"/>
      <c r="U290" s="518"/>
      <c r="V290" s="519"/>
      <c r="W290" s="520"/>
      <c r="X290" s="513"/>
      <c r="Y290" s="518"/>
      <c r="Z290" s="519"/>
      <c r="AA290" s="520"/>
      <c r="AB290" s="513"/>
      <c r="AC290" s="518"/>
      <c r="AD290" s="519"/>
      <c r="AE290" s="520"/>
      <c r="AF290" s="513"/>
      <c r="AG290" s="356"/>
      <c r="AH290" s="519"/>
      <c r="AI290" s="520"/>
      <c r="AJ290" s="513"/>
      <c r="AK290" s="382"/>
      <c r="AL290" s="417"/>
      <c r="AM290" s="383"/>
      <c r="AN290" s="507"/>
      <c r="AO290" s="382"/>
      <c r="AP290" s="417"/>
      <c r="AQ290" s="383"/>
      <c r="AR290" s="507"/>
      <c r="AS290" s="514"/>
      <c r="AT290" s="514"/>
    </row>
    <row r="291">
      <c r="A291" s="382"/>
      <c r="B291" s="417"/>
      <c r="C291" s="383"/>
      <c r="D291" s="507"/>
      <c r="E291" s="382"/>
      <c r="F291" s="417"/>
      <c r="G291" s="383"/>
      <c r="H291" s="507"/>
      <c r="I291" s="382"/>
      <c r="J291" s="417"/>
      <c r="K291" s="383"/>
      <c r="L291" s="507"/>
      <c r="M291" s="382"/>
      <c r="N291" s="417"/>
      <c r="O291" s="383"/>
      <c r="P291" s="507"/>
      <c r="Q291" s="518"/>
      <c r="R291" s="519"/>
      <c r="S291" s="520"/>
      <c r="T291" s="513"/>
      <c r="U291" s="518"/>
      <c r="V291" s="519"/>
      <c r="W291" s="520"/>
      <c r="X291" s="513"/>
      <c r="Y291" s="518"/>
      <c r="Z291" s="519"/>
      <c r="AA291" s="520"/>
      <c r="AB291" s="513"/>
      <c r="AC291" s="518"/>
      <c r="AD291" s="519"/>
      <c r="AE291" s="520"/>
      <c r="AF291" s="513"/>
      <c r="AG291" s="356"/>
      <c r="AH291" s="519"/>
      <c r="AI291" s="520"/>
      <c r="AJ291" s="513"/>
      <c r="AK291" s="382"/>
      <c r="AL291" s="417"/>
      <c r="AM291" s="383"/>
      <c r="AN291" s="507"/>
      <c r="AO291" s="382"/>
      <c r="AP291" s="417"/>
      <c r="AQ291" s="383"/>
      <c r="AR291" s="507"/>
      <c r="AS291" s="514"/>
      <c r="AT291" s="514"/>
    </row>
    <row r="292">
      <c r="A292" s="382"/>
      <c r="B292" s="417"/>
      <c r="C292" s="383"/>
      <c r="D292" s="507"/>
      <c r="E292" s="382"/>
      <c r="F292" s="417"/>
      <c r="G292" s="383"/>
      <c r="H292" s="507"/>
      <c r="I292" s="382"/>
      <c r="J292" s="417"/>
      <c r="K292" s="383"/>
      <c r="L292" s="507"/>
      <c r="M292" s="382"/>
      <c r="N292" s="417"/>
      <c r="O292" s="383"/>
      <c r="P292" s="507"/>
      <c r="Q292" s="518"/>
      <c r="R292" s="519"/>
      <c r="S292" s="520"/>
      <c r="T292" s="513"/>
      <c r="U292" s="518"/>
      <c r="V292" s="519"/>
      <c r="W292" s="520"/>
      <c r="X292" s="513"/>
      <c r="Y292" s="518"/>
      <c r="Z292" s="519"/>
      <c r="AA292" s="520"/>
      <c r="AB292" s="513"/>
      <c r="AC292" s="518"/>
      <c r="AD292" s="519"/>
      <c r="AE292" s="520"/>
      <c r="AF292" s="513"/>
      <c r="AG292" s="356"/>
      <c r="AH292" s="356"/>
      <c r="AI292" s="356"/>
      <c r="AJ292" s="356"/>
      <c r="AK292" s="382"/>
      <c r="AL292" s="417"/>
      <c r="AM292" s="383"/>
      <c r="AN292" s="507"/>
      <c r="AO292" s="382"/>
      <c r="AP292" s="417"/>
      <c r="AQ292" s="383"/>
      <c r="AR292" s="507"/>
      <c r="AS292" s="514"/>
      <c r="AT292" s="514"/>
    </row>
    <row r="293">
      <c r="A293" s="382"/>
      <c r="B293" s="417"/>
      <c r="C293" s="383"/>
      <c r="D293" s="507"/>
      <c r="E293" s="382"/>
      <c r="F293" s="417"/>
      <c r="G293" s="383"/>
      <c r="H293" s="507"/>
      <c r="I293" s="382"/>
      <c r="J293" s="417"/>
      <c r="K293" s="383"/>
      <c r="L293" s="507"/>
      <c r="M293" s="382"/>
      <c r="N293" s="417"/>
      <c r="O293" s="383"/>
      <c r="P293" s="507"/>
      <c r="Q293" s="518"/>
      <c r="R293" s="519"/>
      <c r="S293" s="520"/>
      <c r="T293" s="513"/>
      <c r="U293" s="518"/>
      <c r="V293" s="519"/>
      <c r="W293" s="520"/>
      <c r="X293" s="513"/>
      <c r="Y293" s="518"/>
      <c r="Z293" s="519"/>
      <c r="AA293" s="520"/>
      <c r="AB293" s="513"/>
      <c r="AC293" s="518"/>
      <c r="AD293" s="519"/>
      <c r="AE293" s="520"/>
      <c r="AF293" s="513"/>
      <c r="AG293" s="356"/>
      <c r="AH293" s="356"/>
      <c r="AI293" s="356"/>
      <c r="AJ293" s="356"/>
      <c r="AK293" s="382"/>
      <c r="AL293" s="417"/>
      <c r="AM293" s="383"/>
      <c r="AN293" s="507"/>
      <c r="AO293" s="382"/>
      <c r="AP293" s="417"/>
      <c r="AQ293" s="383"/>
      <c r="AR293" s="507"/>
      <c r="AS293" s="514"/>
      <c r="AT293" s="514"/>
    </row>
    <row r="294">
      <c r="A294" s="382"/>
      <c r="B294" s="417"/>
      <c r="C294" s="383"/>
      <c r="D294" s="507"/>
      <c r="E294" s="382"/>
      <c r="F294" s="417"/>
      <c r="G294" s="383"/>
      <c r="H294" s="507"/>
      <c r="I294" s="382"/>
      <c r="J294" s="417"/>
      <c r="K294" s="383"/>
      <c r="L294" s="507"/>
      <c r="M294" s="382"/>
      <c r="N294" s="417"/>
      <c r="O294" s="383"/>
      <c r="P294" s="507"/>
      <c r="Q294" s="518"/>
      <c r="R294" s="519"/>
      <c r="S294" s="520"/>
      <c r="T294" s="513"/>
      <c r="U294" s="518"/>
      <c r="V294" s="519"/>
      <c r="W294" s="520"/>
      <c r="X294" s="513"/>
      <c r="Y294" s="518"/>
      <c r="Z294" s="519"/>
      <c r="AA294" s="520"/>
      <c r="AB294" s="513"/>
      <c r="AC294" s="518"/>
      <c r="AD294" s="519"/>
      <c r="AE294" s="520"/>
      <c r="AF294" s="513"/>
      <c r="AG294" s="356"/>
      <c r="AH294" s="356"/>
      <c r="AI294" s="356"/>
      <c r="AJ294" s="356"/>
      <c r="AK294" s="382"/>
      <c r="AL294" s="417"/>
      <c r="AM294" s="383"/>
      <c r="AN294" s="507"/>
      <c r="AO294" s="382"/>
      <c r="AP294" s="417"/>
      <c r="AQ294" s="383"/>
      <c r="AR294" s="507"/>
      <c r="AS294" s="514"/>
      <c r="AT294" s="514"/>
    </row>
    <row r="295">
      <c r="A295" s="382"/>
      <c r="B295" s="417"/>
      <c r="C295" s="383"/>
      <c r="D295" s="507"/>
      <c r="E295" s="382"/>
      <c r="F295" s="417"/>
      <c r="G295" s="383"/>
      <c r="H295" s="507"/>
      <c r="I295" s="382"/>
      <c r="J295" s="417"/>
      <c r="K295" s="383"/>
      <c r="L295" s="507"/>
      <c r="M295" s="382"/>
      <c r="N295" s="417"/>
      <c r="O295" s="383"/>
      <c r="P295" s="507"/>
      <c r="Q295" s="518"/>
      <c r="R295" s="519"/>
      <c r="S295" s="520"/>
      <c r="T295" s="513"/>
      <c r="U295" s="518"/>
      <c r="V295" s="519"/>
      <c r="W295" s="520"/>
      <c r="X295" s="513"/>
      <c r="Y295" s="518"/>
      <c r="Z295" s="519"/>
      <c r="AA295" s="520"/>
      <c r="AB295" s="513"/>
      <c r="AC295" s="518"/>
      <c r="AD295" s="519"/>
      <c r="AE295" s="520"/>
      <c r="AF295" s="513"/>
      <c r="AG295" s="356"/>
      <c r="AH295" s="356"/>
      <c r="AI295" s="356"/>
      <c r="AJ295" s="356"/>
      <c r="AK295" s="382"/>
      <c r="AL295" s="417"/>
      <c r="AM295" s="383"/>
      <c r="AN295" s="507"/>
      <c r="AO295" s="382"/>
      <c r="AP295" s="417"/>
      <c r="AQ295" s="383"/>
      <c r="AR295" s="507"/>
      <c r="AS295" s="514"/>
      <c r="AT295" s="514"/>
    </row>
    <row r="296">
      <c r="A296" s="382"/>
      <c r="B296" s="417"/>
      <c r="C296" s="383"/>
      <c r="D296" s="507"/>
      <c r="E296" s="382"/>
      <c r="F296" s="417"/>
      <c r="G296" s="383"/>
      <c r="H296" s="507"/>
      <c r="I296" s="382"/>
      <c r="J296" s="417"/>
      <c r="K296" s="383"/>
      <c r="L296" s="507"/>
      <c r="M296" s="382"/>
      <c r="N296" s="417"/>
      <c r="O296" s="383"/>
      <c r="P296" s="507"/>
      <c r="Q296" s="518"/>
      <c r="R296" s="519"/>
      <c r="S296" s="520"/>
      <c r="T296" s="513"/>
      <c r="U296" s="518"/>
      <c r="V296" s="519"/>
      <c r="W296" s="520"/>
      <c r="X296" s="513"/>
      <c r="Y296" s="518"/>
      <c r="Z296" s="519"/>
      <c r="AA296" s="520"/>
      <c r="AB296" s="513"/>
      <c r="AC296" s="518"/>
      <c r="AD296" s="519"/>
      <c r="AE296" s="520"/>
      <c r="AF296" s="513"/>
      <c r="AG296" s="356"/>
      <c r="AH296" s="356"/>
      <c r="AI296" s="356"/>
      <c r="AJ296" s="356"/>
      <c r="AK296" s="382"/>
      <c r="AL296" s="417"/>
      <c r="AM296" s="383"/>
      <c r="AN296" s="507"/>
      <c r="AO296" s="382"/>
      <c r="AP296" s="417"/>
      <c r="AQ296" s="383"/>
      <c r="AR296" s="507"/>
      <c r="AS296" s="514"/>
      <c r="AT296" s="514"/>
    </row>
    <row r="297">
      <c r="A297" s="382"/>
      <c r="B297" s="417"/>
      <c r="C297" s="383"/>
      <c r="D297" s="507"/>
      <c r="E297" s="382"/>
      <c r="F297" s="417"/>
      <c r="G297" s="383"/>
      <c r="H297" s="507"/>
      <c r="I297" s="382"/>
      <c r="J297" s="417"/>
      <c r="K297" s="383"/>
      <c r="L297" s="507"/>
      <c r="M297" s="382"/>
      <c r="N297" s="417"/>
      <c r="O297" s="383"/>
      <c r="P297" s="507"/>
      <c r="Q297" s="518"/>
      <c r="R297" s="519"/>
      <c r="S297" s="520"/>
      <c r="T297" s="513"/>
      <c r="U297" s="518"/>
      <c r="V297" s="519"/>
      <c r="W297" s="520"/>
      <c r="X297" s="513"/>
      <c r="Y297" s="518"/>
      <c r="Z297" s="519"/>
      <c r="AA297" s="520"/>
      <c r="AB297" s="513"/>
      <c r="AC297" s="518"/>
      <c r="AD297" s="519"/>
      <c r="AE297" s="520"/>
      <c r="AF297" s="513"/>
      <c r="AG297" s="356"/>
      <c r="AH297" s="356"/>
      <c r="AI297" s="356"/>
      <c r="AJ297" s="356"/>
      <c r="AK297" s="382"/>
      <c r="AL297" s="417"/>
      <c r="AM297" s="383"/>
      <c r="AN297" s="507"/>
      <c r="AO297" s="382"/>
      <c r="AP297" s="417"/>
      <c r="AQ297" s="383"/>
      <c r="AR297" s="507"/>
      <c r="AS297" s="514"/>
      <c r="AT297" s="514"/>
    </row>
    <row r="298">
      <c r="A298" s="382"/>
      <c r="B298" s="417"/>
      <c r="C298" s="383"/>
      <c r="D298" s="507"/>
      <c r="E298" s="382"/>
      <c r="F298" s="417"/>
      <c r="G298" s="383"/>
      <c r="H298" s="507"/>
      <c r="I298" s="382"/>
      <c r="J298" s="417"/>
      <c r="K298" s="383"/>
      <c r="L298" s="507"/>
      <c r="M298" s="382"/>
      <c r="N298" s="417"/>
      <c r="O298" s="383"/>
      <c r="P298" s="507"/>
      <c r="Q298" s="518"/>
      <c r="R298" s="519"/>
      <c r="S298" s="520"/>
      <c r="T298" s="513"/>
      <c r="U298" s="518"/>
      <c r="V298" s="519"/>
      <c r="W298" s="520"/>
      <c r="X298" s="513"/>
      <c r="Y298" s="518"/>
      <c r="Z298" s="519"/>
      <c r="AA298" s="520"/>
      <c r="AB298" s="513"/>
      <c r="AC298" s="518"/>
      <c r="AD298" s="519"/>
      <c r="AE298" s="520"/>
      <c r="AF298" s="513"/>
      <c r="AG298" s="356"/>
      <c r="AH298" s="356"/>
      <c r="AI298" s="356"/>
      <c r="AJ298" s="356"/>
      <c r="AK298" s="382"/>
      <c r="AL298" s="417"/>
      <c r="AM298" s="383"/>
      <c r="AN298" s="507"/>
      <c r="AO298" s="382"/>
      <c r="AP298" s="417"/>
      <c r="AQ298" s="383"/>
      <c r="AR298" s="507"/>
      <c r="AS298" s="514"/>
      <c r="AT298" s="514"/>
    </row>
    <row r="299">
      <c r="A299" s="382"/>
      <c r="B299" s="417"/>
      <c r="C299" s="383"/>
      <c r="D299" s="507"/>
      <c r="E299" s="382"/>
      <c r="F299" s="417"/>
      <c r="G299" s="383"/>
      <c r="H299" s="507"/>
      <c r="I299" s="382"/>
      <c r="J299" s="417"/>
      <c r="K299" s="383"/>
      <c r="L299" s="507"/>
      <c r="M299" s="382"/>
      <c r="N299" s="417"/>
      <c r="O299" s="383"/>
      <c r="P299" s="507"/>
      <c r="Q299" s="518"/>
      <c r="R299" s="519"/>
      <c r="S299" s="520"/>
      <c r="T299" s="513"/>
      <c r="U299" s="518"/>
      <c r="V299" s="519"/>
      <c r="W299" s="520"/>
      <c r="X299" s="513"/>
      <c r="Y299" s="518"/>
      <c r="Z299" s="519"/>
      <c r="AA299" s="520"/>
      <c r="AB299" s="513"/>
      <c r="AC299" s="518"/>
      <c r="AD299" s="519"/>
      <c r="AE299" s="520"/>
      <c r="AF299" s="513"/>
      <c r="AG299" s="356"/>
      <c r="AH299" s="356"/>
      <c r="AI299" s="356"/>
      <c r="AJ299" s="356"/>
      <c r="AK299" s="382"/>
      <c r="AL299" s="417"/>
      <c r="AM299" s="383"/>
      <c r="AN299" s="507"/>
      <c r="AO299" s="382"/>
      <c r="AP299" s="417"/>
      <c r="AQ299" s="383"/>
      <c r="AR299" s="507"/>
      <c r="AS299" s="514"/>
      <c r="AT299" s="514"/>
    </row>
    <row r="300">
      <c r="A300" s="382"/>
      <c r="B300" s="417"/>
      <c r="C300" s="383"/>
      <c r="D300" s="507"/>
      <c r="E300" s="382"/>
      <c r="F300" s="417"/>
      <c r="G300" s="383"/>
      <c r="H300" s="507"/>
      <c r="I300" s="382"/>
      <c r="J300" s="417"/>
      <c r="K300" s="383"/>
      <c r="L300" s="507"/>
      <c r="M300" s="382"/>
      <c r="N300" s="417"/>
      <c r="O300" s="383"/>
      <c r="P300" s="507"/>
      <c r="Q300" s="518"/>
      <c r="R300" s="519"/>
      <c r="S300" s="520"/>
      <c r="T300" s="513"/>
      <c r="U300" s="518"/>
      <c r="V300" s="519"/>
      <c r="W300" s="520"/>
      <c r="X300" s="513"/>
      <c r="Y300" s="518"/>
      <c r="Z300" s="519"/>
      <c r="AA300" s="520"/>
      <c r="AB300" s="513"/>
      <c r="AC300" s="518"/>
      <c r="AD300" s="519"/>
      <c r="AE300" s="520"/>
      <c r="AF300" s="513"/>
      <c r="AG300" s="356"/>
      <c r="AH300" s="356"/>
      <c r="AI300" s="356"/>
      <c r="AJ300" s="356"/>
      <c r="AK300" s="382"/>
      <c r="AL300" s="417"/>
      <c r="AM300" s="383"/>
      <c r="AN300" s="507"/>
      <c r="AO300" s="382"/>
      <c r="AP300" s="417"/>
      <c r="AQ300" s="383"/>
      <c r="AR300" s="507"/>
      <c r="AS300" s="514"/>
      <c r="AT300" s="514"/>
    </row>
    <row r="301">
      <c r="A301" s="382"/>
      <c r="B301" s="417"/>
      <c r="C301" s="383"/>
      <c r="D301" s="507"/>
      <c r="E301" s="382"/>
      <c r="F301" s="417"/>
      <c r="G301" s="383"/>
      <c r="H301" s="507"/>
      <c r="I301" s="382"/>
      <c r="J301" s="417"/>
      <c r="K301" s="383"/>
      <c r="L301" s="507"/>
      <c r="M301" s="382"/>
      <c r="N301" s="417"/>
      <c r="O301" s="383"/>
      <c r="P301" s="507"/>
      <c r="Q301" s="518"/>
      <c r="R301" s="519"/>
      <c r="S301" s="520"/>
      <c r="T301" s="513"/>
      <c r="U301" s="518"/>
      <c r="V301" s="519"/>
      <c r="W301" s="520"/>
      <c r="X301" s="513"/>
      <c r="Y301" s="518"/>
      <c r="Z301" s="519"/>
      <c r="AA301" s="520"/>
      <c r="AB301" s="513"/>
      <c r="AC301" s="518"/>
      <c r="AD301" s="519"/>
      <c r="AE301" s="520"/>
      <c r="AF301" s="513"/>
      <c r="AG301" s="356"/>
      <c r="AH301" s="356"/>
      <c r="AI301" s="356"/>
      <c r="AJ301" s="356"/>
      <c r="AK301" s="382"/>
      <c r="AL301" s="417"/>
      <c r="AM301" s="383"/>
      <c r="AN301" s="507"/>
      <c r="AO301" s="382"/>
      <c r="AP301" s="417"/>
      <c r="AQ301" s="383"/>
      <c r="AR301" s="507"/>
      <c r="AS301" s="514"/>
      <c r="AT301" s="514"/>
    </row>
    <row r="302">
      <c r="A302" s="382"/>
      <c r="B302" s="417"/>
      <c r="C302" s="383"/>
      <c r="D302" s="507"/>
      <c r="E302" s="382"/>
      <c r="F302" s="417"/>
      <c r="G302" s="383"/>
      <c r="H302" s="507"/>
      <c r="I302" s="382"/>
      <c r="J302" s="417"/>
      <c r="K302" s="383"/>
      <c r="L302" s="507"/>
      <c r="M302" s="382"/>
      <c r="N302" s="417"/>
      <c r="O302" s="383"/>
      <c r="P302" s="507"/>
      <c r="Q302" s="518"/>
      <c r="R302" s="519"/>
      <c r="S302" s="520"/>
      <c r="T302" s="513"/>
      <c r="U302" s="518"/>
      <c r="V302" s="519"/>
      <c r="W302" s="520"/>
      <c r="X302" s="513"/>
      <c r="Y302" s="518"/>
      <c r="Z302" s="519"/>
      <c r="AA302" s="520"/>
      <c r="AB302" s="513"/>
      <c r="AC302" s="518"/>
      <c r="AD302" s="519"/>
      <c r="AE302" s="520"/>
      <c r="AF302" s="513"/>
      <c r="AG302" s="356"/>
      <c r="AH302" s="356"/>
      <c r="AI302" s="356"/>
      <c r="AJ302" s="356"/>
      <c r="AK302" s="382"/>
      <c r="AL302" s="417"/>
      <c r="AM302" s="383"/>
      <c r="AN302" s="507"/>
      <c r="AO302" s="382"/>
      <c r="AP302" s="417"/>
      <c r="AQ302" s="383"/>
      <c r="AR302" s="507"/>
      <c r="AS302" s="514"/>
      <c r="AT302" s="514"/>
    </row>
    <row r="303">
      <c r="A303" s="382"/>
      <c r="B303" s="417"/>
      <c r="C303" s="383"/>
      <c r="D303" s="507"/>
      <c r="E303" s="382"/>
      <c r="F303" s="417"/>
      <c r="G303" s="383"/>
      <c r="H303" s="507"/>
      <c r="I303" s="382"/>
      <c r="J303" s="417"/>
      <c r="K303" s="383"/>
      <c r="L303" s="507"/>
      <c r="M303" s="382"/>
      <c r="N303" s="417"/>
      <c r="O303" s="383"/>
      <c r="P303" s="507"/>
      <c r="Q303" s="518"/>
      <c r="R303" s="519"/>
      <c r="S303" s="520"/>
      <c r="T303" s="513"/>
      <c r="U303" s="518"/>
      <c r="V303" s="519"/>
      <c r="W303" s="520"/>
      <c r="X303" s="513"/>
      <c r="Y303" s="518"/>
      <c r="Z303" s="519"/>
      <c r="AA303" s="520"/>
      <c r="AB303" s="513"/>
      <c r="AC303" s="518"/>
      <c r="AD303" s="519"/>
      <c r="AE303" s="520"/>
      <c r="AF303" s="513"/>
      <c r="AG303" s="356"/>
      <c r="AH303" s="356"/>
      <c r="AI303" s="356"/>
      <c r="AJ303" s="356"/>
      <c r="AK303" s="382"/>
      <c r="AL303" s="417"/>
      <c r="AM303" s="383"/>
      <c r="AN303" s="507"/>
      <c r="AO303" s="382"/>
      <c r="AP303" s="417"/>
      <c r="AQ303" s="383"/>
      <c r="AR303" s="507"/>
      <c r="AS303" s="514"/>
      <c r="AT303" s="514"/>
    </row>
    <row r="304">
      <c r="A304" s="382"/>
      <c r="B304" s="417"/>
      <c r="C304" s="383"/>
      <c r="D304" s="507"/>
      <c r="E304" s="382"/>
      <c r="F304" s="417"/>
      <c r="G304" s="383"/>
      <c r="H304" s="507"/>
      <c r="I304" s="382"/>
      <c r="J304" s="417"/>
      <c r="K304" s="383"/>
      <c r="L304" s="507"/>
      <c r="M304" s="382"/>
      <c r="N304" s="417"/>
      <c r="O304" s="383"/>
      <c r="P304" s="507"/>
      <c r="Q304" s="518"/>
      <c r="R304" s="519"/>
      <c r="S304" s="520"/>
      <c r="T304" s="513"/>
      <c r="U304" s="518"/>
      <c r="V304" s="519"/>
      <c r="W304" s="520"/>
      <c r="X304" s="513"/>
      <c r="Y304" s="518"/>
      <c r="Z304" s="519"/>
      <c r="AA304" s="520"/>
      <c r="AB304" s="513"/>
      <c r="AC304" s="518"/>
      <c r="AD304" s="519"/>
      <c r="AE304" s="520"/>
      <c r="AF304" s="513"/>
      <c r="AG304" s="356"/>
      <c r="AH304" s="356"/>
      <c r="AI304" s="356"/>
      <c r="AJ304" s="356"/>
      <c r="AK304" s="382"/>
      <c r="AL304" s="417"/>
      <c r="AM304" s="383"/>
      <c r="AN304" s="507"/>
      <c r="AO304" s="382"/>
      <c r="AP304" s="417"/>
      <c r="AQ304" s="383"/>
      <c r="AR304" s="507"/>
      <c r="AS304" s="514"/>
      <c r="AT304" s="514"/>
    </row>
    <row r="305">
      <c r="A305" s="382"/>
      <c r="B305" s="417"/>
      <c r="C305" s="383"/>
      <c r="D305" s="507"/>
      <c r="E305" s="382"/>
      <c r="F305" s="417"/>
      <c r="G305" s="383"/>
      <c r="H305" s="507"/>
      <c r="I305" s="382"/>
      <c r="J305" s="417"/>
      <c r="K305" s="383"/>
      <c r="L305" s="507"/>
      <c r="M305" s="382"/>
      <c r="N305" s="417"/>
      <c r="O305" s="383"/>
      <c r="P305" s="507"/>
      <c r="Q305" s="518"/>
      <c r="R305" s="519"/>
      <c r="S305" s="520"/>
      <c r="T305" s="513"/>
      <c r="U305" s="518"/>
      <c r="V305" s="519"/>
      <c r="W305" s="520"/>
      <c r="X305" s="513"/>
      <c r="Y305" s="518"/>
      <c r="Z305" s="519"/>
      <c r="AA305" s="520"/>
      <c r="AB305" s="513"/>
      <c r="AC305" s="518"/>
      <c r="AD305" s="519"/>
      <c r="AE305" s="520"/>
      <c r="AF305" s="513"/>
      <c r="AG305" s="356"/>
      <c r="AH305" s="356"/>
      <c r="AI305" s="356"/>
      <c r="AJ305" s="356"/>
      <c r="AK305" s="382"/>
      <c r="AL305" s="417"/>
      <c r="AM305" s="383"/>
      <c r="AN305" s="507"/>
      <c r="AO305" s="382"/>
      <c r="AP305" s="417"/>
      <c r="AQ305" s="383"/>
      <c r="AR305" s="507"/>
      <c r="AS305" s="514"/>
      <c r="AT305" s="514"/>
    </row>
    <row r="306">
      <c r="A306" s="382"/>
      <c r="B306" s="417"/>
      <c r="C306" s="383"/>
      <c r="D306" s="507"/>
      <c r="E306" s="382"/>
      <c r="F306" s="417"/>
      <c r="G306" s="383"/>
      <c r="H306" s="507"/>
      <c r="I306" s="382"/>
      <c r="J306" s="417"/>
      <c r="K306" s="383"/>
      <c r="L306" s="507"/>
      <c r="M306" s="382"/>
      <c r="N306" s="417"/>
      <c r="O306" s="383"/>
      <c r="P306" s="507"/>
      <c r="Q306" s="518"/>
      <c r="R306" s="519"/>
      <c r="S306" s="520"/>
      <c r="T306" s="513"/>
      <c r="U306" s="518"/>
      <c r="V306" s="519"/>
      <c r="W306" s="520"/>
      <c r="X306" s="513"/>
      <c r="Y306" s="518"/>
      <c r="Z306" s="519"/>
      <c r="AA306" s="520"/>
      <c r="AB306" s="513"/>
      <c r="AC306" s="518"/>
      <c r="AD306" s="519"/>
      <c r="AE306" s="520"/>
      <c r="AF306" s="513"/>
      <c r="AG306" s="356"/>
      <c r="AH306" s="356"/>
      <c r="AI306" s="356"/>
      <c r="AJ306" s="356"/>
      <c r="AK306" s="382"/>
      <c r="AL306" s="417"/>
      <c r="AM306" s="383"/>
      <c r="AN306" s="507"/>
      <c r="AO306" s="382"/>
      <c r="AP306" s="417"/>
      <c r="AQ306" s="383"/>
      <c r="AR306" s="507"/>
      <c r="AS306" s="514"/>
      <c r="AT306" s="514"/>
    </row>
    <row r="307">
      <c r="A307" s="382"/>
      <c r="B307" s="417"/>
      <c r="C307" s="383"/>
      <c r="D307" s="507"/>
      <c r="E307" s="382"/>
      <c r="F307" s="417"/>
      <c r="G307" s="383"/>
      <c r="H307" s="507"/>
      <c r="I307" s="382"/>
      <c r="J307" s="417"/>
      <c r="K307" s="383"/>
      <c r="L307" s="507"/>
      <c r="M307" s="382"/>
      <c r="N307" s="417"/>
      <c r="O307" s="383"/>
      <c r="P307" s="507"/>
      <c r="Q307" s="518"/>
      <c r="R307" s="519"/>
      <c r="S307" s="520"/>
      <c r="T307" s="513"/>
      <c r="U307" s="518"/>
      <c r="V307" s="519"/>
      <c r="W307" s="520"/>
      <c r="X307" s="513"/>
      <c r="Y307" s="518"/>
      <c r="Z307" s="519"/>
      <c r="AA307" s="520"/>
      <c r="AB307" s="513"/>
      <c r="AC307" s="518"/>
      <c r="AD307" s="519"/>
      <c r="AE307" s="520"/>
      <c r="AF307" s="513"/>
      <c r="AG307" s="356"/>
      <c r="AH307" s="356"/>
      <c r="AI307" s="356"/>
      <c r="AJ307" s="356"/>
      <c r="AK307" s="382"/>
      <c r="AL307" s="417"/>
      <c r="AM307" s="383"/>
      <c r="AN307" s="507"/>
      <c r="AO307" s="382"/>
      <c r="AP307" s="417"/>
      <c r="AQ307" s="383"/>
      <c r="AR307" s="507"/>
      <c r="AS307" s="514"/>
      <c r="AT307" s="514"/>
    </row>
    <row r="308">
      <c r="A308" s="382"/>
      <c r="B308" s="417"/>
      <c r="C308" s="383"/>
      <c r="D308" s="507"/>
      <c r="E308" s="382"/>
      <c r="F308" s="417"/>
      <c r="G308" s="383"/>
      <c r="H308" s="507"/>
      <c r="I308" s="382"/>
      <c r="J308" s="417"/>
      <c r="K308" s="383"/>
      <c r="L308" s="507"/>
      <c r="M308" s="382"/>
      <c r="N308" s="417"/>
      <c r="O308" s="383"/>
      <c r="P308" s="507"/>
      <c r="Q308" s="518"/>
      <c r="R308" s="519"/>
      <c r="S308" s="520"/>
      <c r="T308" s="513"/>
      <c r="U308" s="518"/>
      <c r="V308" s="519"/>
      <c r="W308" s="520"/>
      <c r="X308" s="513"/>
      <c r="Y308" s="518"/>
      <c r="Z308" s="519"/>
      <c r="AA308" s="520"/>
      <c r="AB308" s="513"/>
      <c r="AC308" s="518"/>
      <c r="AD308" s="519"/>
      <c r="AE308" s="520"/>
      <c r="AF308" s="513"/>
      <c r="AG308" s="356"/>
      <c r="AH308" s="356"/>
      <c r="AI308" s="356"/>
      <c r="AJ308" s="356"/>
      <c r="AK308" s="382"/>
      <c r="AL308" s="417"/>
      <c r="AM308" s="383"/>
      <c r="AN308" s="507"/>
      <c r="AO308" s="382"/>
      <c r="AP308" s="417"/>
      <c r="AQ308" s="383"/>
      <c r="AR308" s="507"/>
      <c r="AS308" s="514"/>
      <c r="AT308" s="514"/>
    </row>
    <row r="309">
      <c r="A309" s="382"/>
      <c r="B309" s="417"/>
      <c r="C309" s="383"/>
      <c r="D309" s="507"/>
      <c r="E309" s="382"/>
      <c r="F309" s="417"/>
      <c r="G309" s="383"/>
      <c r="H309" s="507"/>
      <c r="I309" s="382"/>
      <c r="J309" s="417"/>
      <c r="K309" s="383"/>
      <c r="L309" s="507"/>
      <c r="M309" s="382"/>
      <c r="N309" s="417"/>
      <c r="O309" s="383"/>
      <c r="P309" s="507"/>
      <c r="Q309" s="518"/>
      <c r="R309" s="519"/>
      <c r="S309" s="520"/>
      <c r="T309" s="513"/>
      <c r="U309" s="518"/>
      <c r="V309" s="519"/>
      <c r="W309" s="520"/>
      <c r="X309" s="513"/>
      <c r="Y309" s="518"/>
      <c r="Z309" s="519"/>
      <c r="AA309" s="520"/>
      <c r="AB309" s="513"/>
      <c r="AC309" s="518"/>
      <c r="AD309" s="519"/>
      <c r="AE309" s="520"/>
      <c r="AF309" s="513"/>
      <c r="AG309" s="356"/>
      <c r="AH309" s="356"/>
      <c r="AI309" s="356"/>
      <c r="AJ309" s="356"/>
      <c r="AK309" s="382"/>
      <c r="AL309" s="417"/>
      <c r="AM309" s="383"/>
      <c r="AN309" s="507"/>
      <c r="AO309" s="382"/>
      <c r="AP309" s="417"/>
      <c r="AQ309" s="383"/>
      <c r="AR309" s="507"/>
      <c r="AS309" s="514"/>
      <c r="AT309" s="514"/>
    </row>
    <row r="310">
      <c r="A310" s="382"/>
      <c r="B310" s="417"/>
      <c r="C310" s="383"/>
      <c r="D310" s="507"/>
      <c r="E310" s="382"/>
      <c r="F310" s="417"/>
      <c r="G310" s="383"/>
      <c r="H310" s="507"/>
      <c r="I310" s="382"/>
      <c r="J310" s="417"/>
      <c r="K310" s="383"/>
      <c r="L310" s="507"/>
      <c r="M310" s="382"/>
      <c r="N310" s="417"/>
      <c r="O310" s="383"/>
      <c r="P310" s="507"/>
      <c r="Q310" s="518"/>
      <c r="R310" s="519"/>
      <c r="S310" s="520"/>
      <c r="T310" s="513"/>
      <c r="U310" s="518"/>
      <c r="V310" s="519"/>
      <c r="W310" s="520"/>
      <c r="X310" s="513"/>
      <c r="Y310" s="518"/>
      <c r="Z310" s="519"/>
      <c r="AA310" s="520"/>
      <c r="AB310" s="513"/>
      <c r="AC310" s="518"/>
      <c r="AD310" s="519"/>
      <c r="AE310" s="520"/>
      <c r="AF310" s="513"/>
      <c r="AG310" s="356"/>
      <c r="AH310" s="356"/>
      <c r="AI310" s="356"/>
      <c r="AJ310" s="356"/>
      <c r="AK310" s="382"/>
      <c r="AL310" s="417"/>
      <c r="AM310" s="383"/>
      <c r="AN310" s="507"/>
      <c r="AO310" s="382"/>
      <c r="AP310" s="417"/>
      <c r="AQ310" s="383"/>
      <c r="AR310" s="507"/>
      <c r="AS310" s="514"/>
      <c r="AT310" s="514"/>
    </row>
    <row r="311">
      <c r="A311" s="382"/>
      <c r="B311" s="417"/>
      <c r="C311" s="383"/>
      <c r="D311" s="507"/>
      <c r="E311" s="382"/>
      <c r="F311" s="417"/>
      <c r="G311" s="383"/>
      <c r="H311" s="507"/>
      <c r="I311" s="382"/>
      <c r="J311" s="417"/>
      <c r="K311" s="383"/>
      <c r="L311" s="507"/>
      <c r="M311" s="382"/>
      <c r="N311" s="417"/>
      <c r="O311" s="383"/>
      <c r="P311" s="507"/>
      <c r="Q311" s="518"/>
      <c r="R311" s="519"/>
      <c r="S311" s="520"/>
      <c r="T311" s="513"/>
      <c r="U311" s="518"/>
      <c r="V311" s="519"/>
      <c r="W311" s="520"/>
      <c r="X311" s="513"/>
      <c r="Y311" s="518"/>
      <c r="Z311" s="519"/>
      <c r="AA311" s="520"/>
      <c r="AB311" s="513"/>
      <c r="AC311" s="518"/>
      <c r="AD311" s="519"/>
      <c r="AE311" s="520"/>
      <c r="AF311" s="513"/>
      <c r="AG311" s="356"/>
      <c r="AH311" s="356"/>
      <c r="AI311" s="356"/>
      <c r="AJ311" s="356"/>
      <c r="AK311" s="382"/>
      <c r="AL311" s="417"/>
      <c r="AM311" s="383"/>
      <c r="AN311" s="507"/>
      <c r="AO311" s="382"/>
      <c r="AP311" s="417"/>
      <c r="AQ311" s="383"/>
      <c r="AR311" s="507"/>
      <c r="AS311" s="514"/>
      <c r="AT311" s="514"/>
    </row>
    <row r="312">
      <c r="A312" s="382"/>
      <c r="B312" s="417"/>
      <c r="C312" s="383"/>
      <c r="D312" s="507"/>
      <c r="E312" s="382"/>
      <c r="F312" s="417"/>
      <c r="G312" s="383"/>
      <c r="H312" s="507"/>
      <c r="I312" s="382"/>
      <c r="J312" s="417"/>
      <c r="K312" s="383"/>
      <c r="L312" s="507"/>
      <c r="M312" s="382"/>
      <c r="N312" s="417"/>
      <c r="O312" s="383"/>
      <c r="P312" s="507"/>
      <c r="Q312" s="518"/>
      <c r="R312" s="519"/>
      <c r="S312" s="520"/>
      <c r="T312" s="513"/>
      <c r="U312" s="518"/>
      <c r="V312" s="519"/>
      <c r="W312" s="520"/>
      <c r="X312" s="513"/>
      <c r="Y312" s="518"/>
      <c r="Z312" s="519"/>
      <c r="AA312" s="520"/>
      <c r="AB312" s="513"/>
      <c r="AC312" s="518"/>
      <c r="AD312" s="519"/>
      <c r="AE312" s="520"/>
      <c r="AF312" s="513"/>
      <c r="AG312" s="356"/>
      <c r="AH312" s="356"/>
      <c r="AI312" s="356"/>
      <c r="AJ312" s="356"/>
      <c r="AK312" s="382"/>
      <c r="AL312" s="417"/>
      <c r="AM312" s="383"/>
      <c r="AN312" s="507"/>
      <c r="AO312" s="382"/>
      <c r="AP312" s="417"/>
      <c r="AQ312" s="383"/>
      <c r="AR312" s="507"/>
      <c r="AS312" s="514"/>
      <c r="AT312" s="514"/>
    </row>
    <row r="313">
      <c r="A313" s="382"/>
      <c r="B313" s="417"/>
      <c r="C313" s="383"/>
      <c r="D313" s="507"/>
      <c r="E313" s="382"/>
      <c r="F313" s="417"/>
      <c r="G313" s="383"/>
      <c r="H313" s="507"/>
      <c r="I313" s="382"/>
      <c r="J313" s="417"/>
      <c r="K313" s="383"/>
      <c r="L313" s="507"/>
      <c r="M313" s="382"/>
      <c r="N313" s="417"/>
      <c r="O313" s="383"/>
      <c r="P313" s="507"/>
      <c r="Q313" s="518"/>
      <c r="R313" s="519"/>
      <c r="S313" s="520"/>
      <c r="T313" s="513"/>
      <c r="U313" s="518"/>
      <c r="V313" s="519"/>
      <c r="W313" s="520"/>
      <c r="X313" s="513"/>
      <c r="Y313" s="518"/>
      <c r="Z313" s="519"/>
      <c r="AA313" s="520"/>
      <c r="AB313" s="513"/>
      <c r="AC313" s="518"/>
      <c r="AD313" s="519"/>
      <c r="AE313" s="520"/>
      <c r="AF313" s="513"/>
      <c r="AG313" s="356"/>
      <c r="AH313" s="356"/>
      <c r="AI313" s="356"/>
      <c r="AJ313" s="356"/>
      <c r="AK313" s="382"/>
      <c r="AL313" s="417"/>
      <c r="AM313" s="383"/>
      <c r="AN313" s="507"/>
      <c r="AO313" s="382"/>
      <c r="AP313" s="417"/>
      <c r="AQ313" s="383"/>
      <c r="AR313" s="507"/>
      <c r="AS313" s="514"/>
      <c r="AT313" s="514"/>
    </row>
    <row r="314">
      <c r="A314" s="382"/>
      <c r="B314" s="417"/>
      <c r="C314" s="383"/>
      <c r="D314" s="507"/>
      <c r="E314" s="382"/>
      <c r="F314" s="417"/>
      <c r="G314" s="383"/>
      <c r="H314" s="507"/>
      <c r="I314" s="382"/>
      <c r="J314" s="417"/>
      <c r="K314" s="383"/>
      <c r="L314" s="507"/>
      <c r="M314" s="382"/>
      <c r="N314" s="417"/>
      <c r="O314" s="383"/>
      <c r="P314" s="507"/>
      <c r="Q314" s="518"/>
      <c r="R314" s="519"/>
      <c r="S314" s="520"/>
      <c r="T314" s="513"/>
      <c r="U314" s="518"/>
      <c r="V314" s="519"/>
      <c r="W314" s="520"/>
      <c r="X314" s="513"/>
      <c r="Y314" s="518"/>
      <c r="Z314" s="519"/>
      <c r="AA314" s="520"/>
      <c r="AB314" s="513"/>
      <c r="AC314" s="518"/>
      <c r="AD314" s="519"/>
      <c r="AE314" s="520"/>
      <c r="AF314" s="513"/>
      <c r="AG314" s="356"/>
      <c r="AH314" s="356"/>
      <c r="AI314" s="356"/>
      <c r="AJ314" s="356"/>
      <c r="AK314" s="382"/>
      <c r="AL314" s="417"/>
      <c r="AM314" s="383"/>
      <c r="AN314" s="507"/>
      <c r="AO314" s="382"/>
      <c r="AP314" s="417"/>
      <c r="AQ314" s="383"/>
      <c r="AR314" s="507"/>
      <c r="AS314" s="514"/>
      <c r="AT314" s="514"/>
    </row>
    <row r="315">
      <c r="A315" s="382"/>
      <c r="B315" s="417"/>
      <c r="C315" s="383"/>
      <c r="D315" s="507"/>
      <c r="E315" s="382"/>
      <c r="F315" s="417"/>
      <c r="G315" s="383"/>
      <c r="H315" s="507"/>
      <c r="I315" s="382"/>
      <c r="J315" s="417"/>
      <c r="K315" s="383"/>
      <c r="L315" s="507"/>
      <c r="M315" s="382"/>
      <c r="N315" s="417"/>
      <c r="O315" s="383"/>
      <c r="P315" s="507"/>
      <c r="Q315" s="518"/>
      <c r="R315" s="519"/>
      <c r="S315" s="520"/>
      <c r="T315" s="513"/>
      <c r="U315" s="518"/>
      <c r="V315" s="519"/>
      <c r="W315" s="520"/>
      <c r="X315" s="513"/>
      <c r="Y315" s="518"/>
      <c r="Z315" s="519"/>
      <c r="AA315" s="520"/>
      <c r="AB315" s="513"/>
      <c r="AC315" s="518"/>
      <c r="AD315" s="519"/>
      <c r="AE315" s="520"/>
      <c r="AF315" s="513"/>
      <c r="AG315" s="356"/>
      <c r="AH315" s="356"/>
      <c r="AI315" s="356"/>
      <c r="AJ315" s="356"/>
      <c r="AK315" s="382"/>
      <c r="AL315" s="417"/>
      <c r="AM315" s="383"/>
      <c r="AN315" s="507"/>
      <c r="AO315" s="382"/>
      <c r="AP315" s="417"/>
      <c r="AQ315" s="383"/>
      <c r="AR315" s="507"/>
      <c r="AS315" s="514"/>
      <c r="AT315" s="514"/>
    </row>
    <row r="316">
      <c r="A316" s="382"/>
      <c r="B316" s="417"/>
      <c r="C316" s="383"/>
      <c r="D316" s="507"/>
      <c r="E316" s="382"/>
      <c r="F316" s="417"/>
      <c r="G316" s="383"/>
      <c r="H316" s="507"/>
      <c r="I316" s="382"/>
      <c r="J316" s="417"/>
      <c r="K316" s="383"/>
      <c r="L316" s="507"/>
      <c r="M316" s="382"/>
      <c r="N316" s="417"/>
      <c r="O316" s="383"/>
      <c r="P316" s="507"/>
      <c r="Q316" s="518"/>
      <c r="R316" s="519"/>
      <c r="S316" s="520"/>
      <c r="T316" s="513"/>
      <c r="U316" s="518"/>
      <c r="V316" s="519"/>
      <c r="W316" s="520"/>
      <c r="X316" s="513"/>
      <c r="Y316" s="518"/>
      <c r="Z316" s="519"/>
      <c r="AA316" s="520"/>
      <c r="AB316" s="513"/>
      <c r="AC316" s="518"/>
      <c r="AD316" s="519"/>
      <c r="AE316" s="520"/>
      <c r="AF316" s="513"/>
      <c r="AG316" s="356"/>
      <c r="AH316" s="356"/>
      <c r="AI316" s="356"/>
      <c r="AJ316" s="356"/>
      <c r="AK316" s="382"/>
      <c r="AL316" s="417"/>
      <c r="AM316" s="383"/>
      <c r="AN316" s="507"/>
      <c r="AO316" s="382"/>
      <c r="AP316" s="417"/>
      <c r="AQ316" s="383"/>
      <c r="AR316" s="507"/>
      <c r="AS316" s="514"/>
      <c r="AT316" s="514"/>
    </row>
    <row r="317">
      <c r="A317" s="382"/>
      <c r="B317" s="417"/>
      <c r="C317" s="383"/>
      <c r="D317" s="507"/>
      <c r="E317" s="382"/>
      <c r="F317" s="417"/>
      <c r="G317" s="383"/>
      <c r="H317" s="507"/>
      <c r="I317" s="382"/>
      <c r="J317" s="417"/>
      <c r="K317" s="383"/>
      <c r="L317" s="507"/>
      <c r="M317" s="382"/>
      <c r="N317" s="417"/>
      <c r="O317" s="383"/>
      <c r="P317" s="507"/>
      <c r="Q317" s="518"/>
      <c r="R317" s="519"/>
      <c r="S317" s="520"/>
      <c r="T317" s="513"/>
      <c r="U317" s="518"/>
      <c r="V317" s="519"/>
      <c r="W317" s="520"/>
      <c r="X317" s="513"/>
      <c r="Y317" s="518"/>
      <c r="Z317" s="519"/>
      <c r="AA317" s="520"/>
      <c r="AB317" s="513"/>
      <c r="AC317" s="518"/>
      <c r="AD317" s="519"/>
      <c r="AE317" s="520"/>
      <c r="AF317" s="513"/>
      <c r="AG317" s="356"/>
      <c r="AH317" s="356"/>
      <c r="AI317" s="356"/>
      <c r="AJ317" s="356"/>
      <c r="AK317" s="382"/>
      <c r="AL317" s="417"/>
      <c r="AM317" s="383"/>
      <c r="AN317" s="507"/>
      <c r="AO317" s="382"/>
      <c r="AP317" s="417"/>
      <c r="AQ317" s="383"/>
      <c r="AR317" s="507"/>
      <c r="AS317" s="514"/>
      <c r="AT317" s="514"/>
    </row>
    <row r="318">
      <c r="A318" s="382"/>
      <c r="B318" s="417"/>
      <c r="C318" s="383"/>
      <c r="D318" s="507"/>
      <c r="E318" s="382"/>
      <c r="F318" s="417"/>
      <c r="G318" s="383"/>
      <c r="H318" s="507"/>
      <c r="I318" s="382"/>
      <c r="J318" s="417"/>
      <c r="K318" s="383"/>
      <c r="L318" s="507"/>
      <c r="M318" s="382"/>
      <c r="N318" s="417"/>
      <c r="O318" s="383"/>
      <c r="P318" s="507"/>
      <c r="Q318" s="518"/>
      <c r="R318" s="519"/>
      <c r="S318" s="520"/>
      <c r="T318" s="513"/>
      <c r="U318" s="518"/>
      <c r="V318" s="519"/>
      <c r="W318" s="520"/>
      <c r="X318" s="513"/>
      <c r="Y318" s="518"/>
      <c r="Z318" s="519"/>
      <c r="AA318" s="520"/>
      <c r="AB318" s="513"/>
      <c r="AC318" s="518"/>
      <c r="AD318" s="519"/>
      <c r="AE318" s="520"/>
      <c r="AF318" s="513"/>
      <c r="AG318" s="356"/>
      <c r="AH318" s="356"/>
      <c r="AI318" s="356"/>
      <c r="AJ318" s="356"/>
      <c r="AK318" s="382"/>
      <c r="AL318" s="417"/>
      <c r="AM318" s="383"/>
      <c r="AN318" s="507"/>
      <c r="AO318" s="382"/>
      <c r="AP318" s="417"/>
      <c r="AQ318" s="383"/>
      <c r="AR318" s="507"/>
      <c r="AS318" s="514"/>
      <c r="AT318" s="514"/>
    </row>
    <row r="319">
      <c r="A319" s="382"/>
      <c r="B319" s="417"/>
      <c r="C319" s="383"/>
      <c r="D319" s="507"/>
      <c r="E319" s="382"/>
      <c r="F319" s="417"/>
      <c r="G319" s="383"/>
      <c r="H319" s="507"/>
      <c r="I319" s="382"/>
      <c r="J319" s="417"/>
      <c r="K319" s="383"/>
      <c r="L319" s="507"/>
      <c r="M319" s="382"/>
      <c r="N319" s="417"/>
      <c r="O319" s="383"/>
      <c r="P319" s="507"/>
      <c r="Q319" s="518"/>
      <c r="R319" s="519"/>
      <c r="S319" s="520"/>
      <c r="T319" s="513"/>
      <c r="U319" s="518"/>
      <c r="V319" s="519"/>
      <c r="W319" s="520"/>
      <c r="X319" s="513"/>
      <c r="Y319" s="518"/>
      <c r="Z319" s="519"/>
      <c r="AA319" s="520"/>
      <c r="AB319" s="513"/>
      <c r="AC319" s="518"/>
      <c r="AD319" s="519"/>
      <c r="AE319" s="520"/>
      <c r="AF319" s="513"/>
      <c r="AG319" s="356"/>
      <c r="AH319" s="356"/>
      <c r="AI319" s="356"/>
      <c r="AJ319" s="356"/>
      <c r="AK319" s="382"/>
      <c r="AL319" s="417"/>
      <c r="AM319" s="383"/>
      <c r="AN319" s="507"/>
      <c r="AO319" s="382"/>
      <c r="AP319" s="417"/>
      <c r="AQ319" s="383"/>
      <c r="AR319" s="507"/>
      <c r="AS319" s="514"/>
      <c r="AT319" s="514"/>
    </row>
    <row r="320">
      <c r="A320" s="382"/>
      <c r="B320" s="417"/>
      <c r="C320" s="383"/>
      <c r="D320" s="507"/>
      <c r="E320" s="382"/>
      <c r="F320" s="417"/>
      <c r="G320" s="383"/>
      <c r="H320" s="507"/>
      <c r="I320" s="382"/>
      <c r="J320" s="417"/>
      <c r="K320" s="383"/>
      <c r="L320" s="507"/>
      <c r="M320" s="382"/>
      <c r="N320" s="417"/>
      <c r="O320" s="383"/>
      <c r="P320" s="507"/>
      <c r="Q320" s="518"/>
      <c r="R320" s="519"/>
      <c r="S320" s="520"/>
      <c r="T320" s="513"/>
      <c r="U320" s="518"/>
      <c r="V320" s="519"/>
      <c r="W320" s="520"/>
      <c r="X320" s="513"/>
      <c r="Y320" s="518"/>
      <c r="Z320" s="519"/>
      <c r="AA320" s="520"/>
      <c r="AB320" s="513"/>
      <c r="AC320" s="518"/>
      <c r="AD320" s="519"/>
      <c r="AE320" s="520"/>
      <c r="AF320" s="513"/>
      <c r="AG320" s="356"/>
      <c r="AH320" s="356"/>
      <c r="AI320" s="356"/>
      <c r="AJ320" s="356"/>
      <c r="AK320" s="382"/>
      <c r="AL320" s="417"/>
      <c r="AM320" s="383"/>
      <c r="AN320" s="507"/>
      <c r="AO320" s="382"/>
      <c r="AP320" s="417"/>
      <c r="AQ320" s="383"/>
      <c r="AR320" s="507"/>
      <c r="AS320" s="514"/>
      <c r="AT320" s="514"/>
    </row>
    <row r="321">
      <c r="A321" s="382"/>
      <c r="B321" s="417"/>
      <c r="C321" s="383"/>
      <c r="D321" s="507"/>
      <c r="E321" s="382"/>
      <c r="F321" s="417"/>
      <c r="G321" s="383"/>
      <c r="H321" s="507"/>
      <c r="I321" s="382"/>
      <c r="J321" s="417"/>
      <c r="K321" s="383"/>
      <c r="L321" s="507"/>
      <c r="M321" s="382"/>
      <c r="N321" s="417"/>
      <c r="O321" s="383"/>
      <c r="P321" s="507"/>
      <c r="Q321" s="518"/>
      <c r="R321" s="519"/>
      <c r="S321" s="520"/>
      <c r="T321" s="513"/>
      <c r="U321" s="518"/>
      <c r="V321" s="519"/>
      <c r="W321" s="520"/>
      <c r="X321" s="513"/>
      <c r="Y321" s="518"/>
      <c r="Z321" s="519"/>
      <c r="AA321" s="520"/>
      <c r="AB321" s="513"/>
      <c r="AC321" s="518"/>
      <c r="AD321" s="519"/>
      <c r="AE321" s="520"/>
      <c r="AF321" s="513"/>
      <c r="AG321" s="356"/>
      <c r="AH321" s="356"/>
      <c r="AI321" s="356"/>
      <c r="AJ321" s="356"/>
      <c r="AK321" s="382"/>
      <c r="AL321" s="417"/>
      <c r="AM321" s="383"/>
      <c r="AN321" s="507"/>
      <c r="AO321" s="382"/>
      <c r="AP321" s="417"/>
      <c r="AQ321" s="383"/>
      <c r="AR321" s="507"/>
      <c r="AS321" s="514"/>
      <c r="AT321" s="514"/>
    </row>
    <row r="322">
      <c r="A322" s="382"/>
      <c r="B322" s="417"/>
      <c r="C322" s="383"/>
      <c r="D322" s="507"/>
      <c r="E322" s="382"/>
      <c r="F322" s="417"/>
      <c r="G322" s="383"/>
      <c r="H322" s="507"/>
      <c r="I322" s="382"/>
      <c r="J322" s="417"/>
      <c r="K322" s="383"/>
      <c r="L322" s="507"/>
      <c r="M322" s="382"/>
      <c r="N322" s="417"/>
      <c r="O322" s="383"/>
      <c r="P322" s="507"/>
      <c r="Q322" s="518"/>
      <c r="R322" s="519"/>
      <c r="S322" s="520"/>
      <c r="T322" s="513"/>
      <c r="U322" s="518"/>
      <c r="V322" s="519"/>
      <c r="W322" s="520"/>
      <c r="X322" s="513"/>
      <c r="Y322" s="518"/>
      <c r="Z322" s="519"/>
      <c r="AA322" s="520"/>
      <c r="AB322" s="513"/>
      <c r="AC322" s="518"/>
      <c r="AD322" s="519"/>
      <c r="AE322" s="520"/>
      <c r="AF322" s="513"/>
      <c r="AG322" s="356"/>
      <c r="AH322" s="356"/>
      <c r="AI322" s="356"/>
      <c r="AJ322" s="356"/>
      <c r="AK322" s="382"/>
      <c r="AL322" s="417"/>
      <c r="AM322" s="383"/>
      <c r="AN322" s="507"/>
      <c r="AO322" s="382"/>
      <c r="AP322" s="417"/>
      <c r="AQ322" s="383"/>
      <c r="AR322" s="507"/>
      <c r="AS322" s="514"/>
      <c r="AT322" s="514"/>
    </row>
    <row r="323">
      <c r="A323" s="382"/>
      <c r="B323" s="417"/>
      <c r="C323" s="383"/>
      <c r="D323" s="507"/>
      <c r="E323" s="382"/>
      <c r="F323" s="417"/>
      <c r="G323" s="383"/>
      <c r="H323" s="507"/>
      <c r="I323" s="382"/>
      <c r="J323" s="417"/>
      <c r="K323" s="383"/>
      <c r="L323" s="507"/>
      <c r="M323" s="382"/>
      <c r="N323" s="417"/>
      <c r="O323" s="383"/>
      <c r="P323" s="507"/>
      <c r="Q323" s="518"/>
      <c r="R323" s="519"/>
      <c r="S323" s="520"/>
      <c r="T323" s="513"/>
      <c r="U323" s="518"/>
      <c r="V323" s="519"/>
      <c r="W323" s="520"/>
      <c r="X323" s="513"/>
      <c r="Y323" s="518"/>
      <c r="Z323" s="519"/>
      <c r="AA323" s="520"/>
      <c r="AB323" s="513"/>
      <c r="AC323" s="518"/>
      <c r="AD323" s="519"/>
      <c r="AE323" s="520"/>
      <c r="AF323" s="513"/>
      <c r="AG323" s="356"/>
      <c r="AH323" s="356"/>
      <c r="AI323" s="356"/>
      <c r="AJ323" s="356"/>
      <c r="AK323" s="382"/>
      <c r="AL323" s="417"/>
      <c r="AM323" s="383"/>
      <c r="AN323" s="507"/>
      <c r="AO323" s="382"/>
      <c r="AP323" s="417"/>
      <c r="AQ323" s="383"/>
      <c r="AR323" s="507"/>
      <c r="AS323" s="514"/>
      <c r="AT323" s="514"/>
    </row>
    <row r="324">
      <c r="A324" s="382"/>
      <c r="B324" s="417"/>
      <c r="C324" s="383"/>
      <c r="D324" s="507"/>
      <c r="E324" s="382"/>
      <c r="F324" s="417"/>
      <c r="G324" s="383"/>
      <c r="H324" s="507"/>
      <c r="I324" s="382"/>
      <c r="J324" s="417"/>
      <c r="K324" s="383"/>
      <c r="L324" s="507"/>
      <c r="M324" s="382"/>
      <c r="N324" s="417"/>
      <c r="O324" s="383"/>
      <c r="P324" s="507"/>
      <c r="Q324" s="518"/>
      <c r="R324" s="519"/>
      <c r="S324" s="520"/>
      <c r="T324" s="513"/>
      <c r="U324" s="518"/>
      <c r="V324" s="519"/>
      <c r="W324" s="520"/>
      <c r="X324" s="513"/>
      <c r="Y324" s="518"/>
      <c r="Z324" s="519"/>
      <c r="AA324" s="520"/>
      <c r="AB324" s="513"/>
      <c r="AC324" s="518"/>
      <c r="AD324" s="519"/>
      <c r="AE324" s="520"/>
      <c r="AF324" s="513"/>
      <c r="AG324" s="356"/>
      <c r="AH324" s="356"/>
      <c r="AI324" s="356"/>
      <c r="AJ324" s="356"/>
      <c r="AK324" s="382"/>
      <c r="AL324" s="417"/>
      <c r="AM324" s="383"/>
      <c r="AN324" s="507"/>
      <c r="AO324" s="382"/>
      <c r="AP324" s="417"/>
      <c r="AQ324" s="383"/>
      <c r="AR324" s="507"/>
      <c r="AS324" s="514"/>
      <c r="AT324" s="514"/>
    </row>
    <row r="325">
      <c r="A325" s="382"/>
      <c r="B325" s="417"/>
      <c r="C325" s="383"/>
      <c r="D325" s="507"/>
      <c r="E325" s="382"/>
      <c r="F325" s="417"/>
      <c r="G325" s="383"/>
      <c r="H325" s="507"/>
      <c r="I325" s="382"/>
      <c r="J325" s="417"/>
      <c r="K325" s="383"/>
      <c r="L325" s="507"/>
      <c r="M325" s="382"/>
      <c r="N325" s="417"/>
      <c r="O325" s="383"/>
      <c r="P325" s="507"/>
      <c r="Q325" s="518"/>
      <c r="R325" s="519"/>
      <c r="S325" s="520"/>
      <c r="T325" s="513"/>
      <c r="U325" s="518"/>
      <c r="V325" s="519"/>
      <c r="W325" s="520"/>
      <c r="X325" s="513"/>
      <c r="Y325" s="518"/>
      <c r="Z325" s="519"/>
      <c r="AA325" s="520"/>
      <c r="AB325" s="513"/>
      <c r="AC325" s="518"/>
      <c r="AD325" s="519"/>
      <c r="AE325" s="520"/>
      <c r="AF325" s="513"/>
      <c r="AG325" s="356"/>
      <c r="AH325" s="356"/>
      <c r="AI325" s="356"/>
      <c r="AJ325" s="356"/>
      <c r="AK325" s="382"/>
      <c r="AL325" s="417"/>
      <c r="AM325" s="383"/>
      <c r="AN325" s="507"/>
      <c r="AO325" s="382"/>
      <c r="AP325" s="417"/>
      <c r="AQ325" s="383"/>
      <c r="AR325" s="507"/>
      <c r="AS325" s="514"/>
      <c r="AT325" s="514"/>
    </row>
    <row r="326">
      <c r="A326" s="382"/>
      <c r="B326" s="417"/>
      <c r="C326" s="383"/>
      <c r="D326" s="507"/>
      <c r="E326" s="382"/>
      <c r="F326" s="417"/>
      <c r="G326" s="383"/>
      <c r="H326" s="507"/>
      <c r="I326" s="382"/>
      <c r="J326" s="417"/>
      <c r="K326" s="383"/>
      <c r="L326" s="507"/>
      <c r="M326" s="382"/>
      <c r="N326" s="417"/>
      <c r="O326" s="383"/>
      <c r="P326" s="507"/>
      <c r="Q326" s="518"/>
      <c r="R326" s="519"/>
      <c r="S326" s="520"/>
      <c r="T326" s="513"/>
      <c r="U326" s="518"/>
      <c r="V326" s="519"/>
      <c r="W326" s="520"/>
      <c r="X326" s="513"/>
      <c r="Y326" s="518"/>
      <c r="Z326" s="519"/>
      <c r="AA326" s="520"/>
      <c r="AB326" s="513"/>
      <c r="AC326" s="518"/>
      <c r="AD326" s="519"/>
      <c r="AE326" s="520"/>
      <c r="AF326" s="513"/>
      <c r="AG326" s="356"/>
      <c r="AH326" s="356"/>
      <c r="AI326" s="356"/>
      <c r="AJ326" s="356"/>
      <c r="AK326" s="382"/>
      <c r="AL326" s="417"/>
      <c r="AM326" s="383"/>
      <c r="AN326" s="507"/>
      <c r="AO326" s="382"/>
      <c r="AP326" s="417"/>
      <c r="AQ326" s="383"/>
      <c r="AR326" s="507"/>
      <c r="AS326" s="514"/>
      <c r="AT326" s="514"/>
    </row>
    <row r="327">
      <c r="A327" s="382"/>
      <c r="B327" s="417"/>
      <c r="C327" s="383"/>
      <c r="D327" s="507"/>
      <c r="E327" s="382"/>
      <c r="F327" s="417"/>
      <c r="G327" s="383"/>
      <c r="H327" s="507"/>
      <c r="I327" s="382"/>
      <c r="J327" s="417"/>
      <c r="K327" s="383"/>
      <c r="L327" s="507"/>
      <c r="M327" s="382"/>
      <c r="N327" s="417"/>
      <c r="O327" s="383"/>
      <c r="P327" s="507"/>
      <c r="Q327" s="518"/>
      <c r="R327" s="519"/>
      <c r="S327" s="520"/>
      <c r="T327" s="513"/>
      <c r="U327" s="518"/>
      <c r="V327" s="519"/>
      <c r="W327" s="520"/>
      <c r="X327" s="513"/>
      <c r="Y327" s="518"/>
      <c r="Z327" s="519"/>
      <c r="AA327" s="520"/>
      <c r="AB327" s="513"/>
      <c r="AC327" s="518"/>
      <c r="AD327" s="519"/>
      <c r="AE327" s="520"/>
      <c r="AF327" s="513"/>
      <c r="AG327" s="356"/>
      <c r="AH327" s="356"/>
      <c r="AI327" s="356"/>
      <c r="AJ327" s="356"/>
      <c r="AK327" s="382"/>
      <c r="AL327" s="417"/>
      <c r="AM327" s="383"/>
      <c r="AN327" s="507"/>
      <c r="AO327" s="382"/>
      <c r="AP327" s="417"/>
      <c r="AQ327" s="383"/>
      <c r="AR327" s="507"/>
      <c r="AS327" s="514"/>
      <c r="AT327" s="514"/>
    </row>
    <row r="328">
      <c r="A328" s="382"/>
      <c r="B328" s="417"/>
      <c r="C328" s="383"/>
      <c r="D328" s="507"/>
      <c r="E328" s="382"/>
      <c r="F328" s="417"/>
      <c r="G328" s="383"/>
      <c r="H328" s="507"/>
      <c r="I328" s="382"/>
      <c r="J328" s="417"/>
      <c r="K328" s="383"/>
      <c r="L328" s="507"/>
      <c r="M328" s="382"/>
      <c r="N328" s="417"/>
      <c r="O328" s="383"/>
      <c r="P328" s="507"/>
      <c r="Q328" s="518"/>
      <c r="R328" s="519"/>
      <c r="S328" s="520"/>
      <c r="T328" s="513"/>
      <c r="U328" s="518"/>
      <c r="V328" s="519"/>
      <c r="W328" s="520"/>
      <c r="X328" s="513"/>
      <c r="Y328" s="518"/>
      <c r="Z328" s="519"/>
      <c r="AA328" s="520"/>
      <c r="AB328" s="513"/>
      <c r="AC328" s="518"/>
      <c r="AD328" s="519"/>
      <c r="AE328" s="520"/>
      <c r="AF328" s="513"/>
      <c r="AG328" s="356"/>
      <c r="AH328" s="356"/>
      <c r="AI328" s="356"/>
      <c r="AJ328" s="356"/>
      <c r="AK328" s="382"/>
      <c r="AL328" s="417"/>
      <c r="AM328" s="383"/>
      <c r="AN328" s="507"/>
      <c r="AO328" s="382"/>
      <c r="AP328" s="417"/>
      <c r="AQ328" s="383"/>
      <c r="AR328" s="507"/>
      <c r="AS328" s="514"/>
      <c r="AT328" s="514"/>
    </row>
    <row r="329">
      <c r="A329" s="382"/>
      <c r="B329" s="417"/>
      <c r="C329" s="383"/>
      <c r="D329" s="507"/>
      <c r="E329" s="382"/>
      <c r="F329" s="417"/>
      <c r="G329" s="383"/>
      <c r="H329" s="507"/>
      <c r="I329" s="382"/>
      <c r="J329" s="417"/>
      <c r="K329" s="383"/>
      <c r="L329" s="507"/>
      <c r="M329" s="382"/>
      <c r="N329" s="417"/>
      <c r="O329" s="383"/>
      <c r="P329" s="507"/>
      <c r="Q329" s="518"/>
      <c r="R329" s="519"/>
      <c r="S329" s="520"/>
      <c r="T329" s="513"/>
      <c r="U329" s="518"/>
      <c r="V329" s="519"/>
      <c r="W329" s="520"/>
      <c r="X329" s="513"/>
      <c r="Y329" s="518"/>
      <c r="Z329" s="519"/>
      <c r="AA329" s="520"/>
      <c r="AB329" s="513"/>
      <c r="AC329" s="518"/>
      <c r="AD329" s="519"/>
      <c r="AE329" s="520"/>
      <c r="AF329" s="513"/>
      <c r="AG329" s="356"/>
      <c r="AH329" s="356"/>
      <c r="AI329" s="356"/>
      <c r="AJ329" s="356"/>
      <c r="AK329" s="382"/>
      <c r="AL329" s="417"/>
      <c r="AM329" s="383"/>
      <c r="AN329" s="507"/>
      <c r="AO329" s="382"/>
      <c r="AP329" s="417"/>
      <c r="AQ329" s="383"/>
      <c r="AR329" s="507"/>
      <c r="AS329" s="514"/>
      <c r="AT329" s="514"/>
    </row>
    <row r="330">
      <c r="A330" s="382"/>
      <c r="B330" s="417"/>
      <c r="C330" s="383"/>
      <c r="D330" s="507"/>
      <c r="E330" s="382"/>
      <c r="F330" s="417"/>
      <c r="G330" s="383"/>
      <c r="H330" s="507"/>
      <c r="I330" s="382"/>
      <c r="J330" s="417"/>
      <c r="K330" s="383"/>
      <c r="L330" s="507"/>
      <c r="M330" s="382"/>
      <c r="N330" s="417"/>
      <c r="O330" s="383"/>
      <c r="P330" s="507"/>
      <c r="Q330" s="518"/>
      <c r="R330" s="519"/>
      <c r="S330" s="520"/>
      <c r="T330" s="513"/>
      <c r="U330" s="518"/>
      <c r="V330" s="519"/>
      <c r="W330" s="520"/>
      <c r="X330" s="513"/>
      <c r="Y330" s="518"/>
      <c r="Z330" s="519"/>
      <c r="AA330" s="520"/>
      <c r="AB330" s="513"/>
      <c r="AC330" s="518"/>
      <c r="AD330" s="519"/>
      <c r="AE330" s="520"/>
      <c r="AF330" s="513"/>
      <c r="AG330" s="356"/>
      <c r="AH330" s="356"/>
      <c r="AI330" s="356"/>
      <c r="AJ330" s="356"/>
      <c r="AK330" s="382"/>
      <c r="AL330" s="417"/>
      <c r="AM330" s="383"/>
      <c r="AN330" s="507"/>
      <c r="AO330" s="382"/>
      <c r="AP330" s="417"/>
      <c r="AQ330" s="383"/>
      <c r="AR330" s="507"/>
      <c r="AS330" s="514"/>
      <c r="AT330" s="514"/>
    </row>
    <row r="331">
      <c r="A331" s="382"/>
      <c r="B331" s="417"/>
      <c r="C331" s="383"/>
      <c r="D331" s="507"/>
      <c r="E331" s="382"/>
      <c r="F331" s="417"/>
      <c r="G331" s="383"/>
      <c r="H331" s="507"/>
      <c r="I331" s="382"/>
      <c r="J331" s="417"/>
      <c r="K331" s="383"/>
      <c r="L331" s="507"/>
      <c r="M331" s="382"/>
      <c r="N331" s="417"/>
      <c r="O331" s="383"/>
      <c r="P331" s="507"/>
      <c r="Q331" s="518"/>
      <c r="R331" s="519"/>
      <c r="S331" s="520"/>
      <c r="T331" s="513"/>
      <c r="U331" s="518"/>
      <c r="V331" s="519"/>
      <c r="W331" s="520"/>
      <c r="X331" s="513"/>
      <c r="Y331" s="518"/>
      <c r="Z331" s="519"/>
      <c r="AA331" s="520"/>
      <c r="AB331" s="513"/>
      <c r="AC331" s="518"/>
      <c r="AD331" s="519"/>
      <c r="AE331" s="520"/>
      <c r="AF331" s="513"/>
      <c r="AG331" s="356"/>
      <c r="AH331" s="356"/>
      <c r="AI331" s="356"/>
      <c r="AJ331" s="356"/>
      <c r="AK331" s="382"/>
      <c r="AL331" s="417"/>
      <c r="AM331" s="383"/>
      <c r="AN331" s="507"/>
      <c r="AO331" s="382"/>
      <c r="AP331" s="417"/>
      <c r="AQ331" s="383"/>
      <c r="AR331" s="507"/>
      <c r="AS331" s="514"/>
      <c r="AT331" s="514"/>
    </row>
    <row r="332">
      <c r="A332" s="382"/>
      <c r="B332" s="417"/>
      <c r="C332" s="383"/>
      <c r="D332" s="507"/>
      <c r="E332" s="382"/>
      <c r="F332" s="417"/>
      <c r="G332" s="383"/>
      <c r="H332" s="507"/>
      <c r="I332" s="382"/>
      <c r="J332" s="417"/>
      <c r="K332" s="383"/>
      <c r="L332" s="507"/>
      <c r="M332" s="382"/>
      <c r="N332" s="417"/>
      <c r="O332" s="383"/>
      <c r="P332" s="507"/>
      <c r="Q332" s="518"/>
      <c r="R332" s="519"/>
      <c r="S332" s="520"/>
      <c r="T332" s="513"/>
      <c r="U332" s="518"/>
      <c r="V332" s="519"/>
      <c r="W332" s="520"/>
      <c r="X332" s="513"/>
      <c r="Y332" s="518"/>
      <c r="Z332" s="519"/>
      <c r="AA332" s="520"/>
      <c r="AB332" s="513"/>
      <c r="AC332" s="518"/>
      <c r="AD332" s="519"/>
      <c r="AE332" s="520"/>
      <c r="AF332" s="513"/>
      <c r="AG332" s="356"/>
      <c r="AH332" s="356"/>
      <c r="AI332" s="356"/>
      <c r="AJ332" s="356"/>
      <c r="AK332" s="382"/>
      <c r="AL332" s="417"/>
      <c r="AM332" s="383"/>
      <c r="AN332" s="507"/>
      <c r="AO332" s="382"/>
      <c r="AP332" s="417"/>
      <c r="AQ332" s="383"/>
      <c r="AR332" s="507"/>
      <c r="AS332" s="514"/>
      <c r="AT332" s="514"/>
    </row>
    <row r="333">
      <c r="A333" s="382"/>
      <c r="B333" s="417"/>
      <c r="C333" s="383"/>
      <c r="D333" s="507"/>
      <c r="E333" s="382"/>
      <c r="F333" s="417"/>
      <c r="G333" s="383"/>
      <c r="H333" s="507"/>
      <c r="I333" s="382"/>
      <c r="J333" s="417"/>
      <c r="K333" s="383"/>
      <c r="L333" s="507"/>
      <c r="M333" s="382"/>
      <c r="N333" s="417"/>
      <c r="O333" s="383"/>
      <c r="P333" s="507"/>
      <c r="Q333" s="518"/>
      <c r="R333" s="519"/>
      <c r="S333" s="520"/>
      <c r="T333" s="513"/>
      <c r="U333" s="518"/>
      <c r="V333" s="519"/>
      <c r="W333" s="520"/>
      <c r="X333" s="513"/>
      <c r="Y333" s="518"/>
      <c r="Z333" s="519"/>
      <c r="AA333" s="520"/>
      <c r="AB333" s="513"/>
      <c r="AC333" s="518"/>
      <c r="AD333" s="519"/>
      <c r="AE333" s="520"/>
      <c r="AF333" s="513"/>
      <c r="AG333" s="356"/>
      <c r="AH333" s="356"/>
      <c r="AI333" s="356"/>
      <c r="AJ333" s="356"/>
      <c r="AK333" s="382"/>
      <c r="AL333" s="417"/>
      <c r="AM333" s="383"/>
      <c r="AN333" s="507"/>
      <c r="AO333" s="382"/>
      <c r="AP333" s="417"/>
      <c r="AQ333" s="383"/>
      <c r="AR333" s="507"/>
      <c r="AS333" s="514"/>
      <c r="AT333" s="514"/>
    </row>
    <row r="334">
      <c r="A334" s="382"/>
      <c r="B334" s="417"/>
      <c r="C334" s="383"/>
      <c r="D334" s="507"/>
      <c r="E334" s="382"/>
      <c r="F334" s="417"/>
      <c r="G334" s="383"/>
      <c r="H334" s="507"/>
      <c r="I334" s="382"/>
      <c r="J334" s="417"/>
      <c r="K334" s="383"/>
      <c r="L334" s="507"/>
      <c r="M334" s="382"/>
      <c r="N334" s="417"/>
      <c r="O334" s="383"/>
      <c r="P334" s="507"/>
      <c r="Q334" s="518"/>
      <c r="R334" s="519"/>
      <c r="S334" s="520"/>
      <c r="T334" s="513"/>
      <c r="U334" s="518"/>
      <c r="V334" s="519"/>
      <c r="W334" s="520"/>
      <c r="X334" s="513"/>
      <c r="Y334" s="518"/>
      <c r="Z334" s="519"/>
      <c r="AA334" s="520"/>
      <c r="AB334" s="513"/>
      <c r="AC334" s="518"/>
      <c r="AD334" s="519"/>
      <c r="AE334" s="520"/>
      <c r="AF334" s="513"/>
      <c r="AG334" s="356"/>
      <c r="AH334" s="356"/>
      <c r="AI334" s="356"/>
      <c r="AJ334" s="356"/>
      <c r="AK334" s="382"/>
      <c r="AL334" s="417"/>
      <c r="AM334" s="383"/>
      <c r="AN334" s="507"/>
      <c r="AO334" s="382"/>
      <c r="AP334" s="417"/>
      <c r="AQ334" s="383"/>
      <c r="AR334" s="507"/>
      <c r="AS334" s="514"/>
      <c r="AT334" s="514"/>
    </row>
    <row r="335">
      <c r="A335" s="382"/>
      <c r="B335" s="417"/>
      <c r="C335" s="383"/>
      <c r="D335" s="507"/>
      <c r="E335" s="382"/>
      <c r="F335" s="417"/>
      <c r="G335" s="383"/>
      <c r="H335" s="507"/>
      <c r="I335" s="382"/>
      <c r="J335" s="417"/>
      <c r="K335" s="383"/>
      <c r="L335" s="507"/>
      <c r="M335" s="382"/>
      <c r="N335" s="417"/>
      <c r="O335" s="383"/>
      <c r="P335" s="507"/>
      <c r="Q335" s="518"/>
      <c r="R335" s="519"/>
      <c r="S335" s="520"/>
      <c r="T335" s="513"/>
      <c r="U335" s="518"/>
      <c r="V335" s="519"/>
      <c r="W335" s="520"/>
      <c r="X335" s="513"/>
      <c r="Y335" s="518"/>
      <c r="Z335" s="519"/>
      <c r="AA335" s="520"/>
      <c r="AB335" s="513"/>
      <c r="AC335" s="518"/>
      <c r="AD335" s="519"/>
      <c r="AE335" s="520"/>
      <c r="AF335" s="513"/>
      <c r="AG335" s="356"/>
      <c r="AH335" s="356"/>
      <c r="AI335" s="356"/>
      <c r="AJ335" s="356"/>
      <c r="AK335" s="382"/>
      <c r="AL335" s="417"/>
      <c r="AM335" s="383"/>
      <c r="AN335" s="507"/>
      <c r="AO335" s="382"/>
      <c r="AP335" s="417"/>
      <c r="AQ335" s="383"/>
      <c r="AR335" s="507"/>
      <c r="AS335" s="514"/>
      <c r="AT335" s="514"/>
    </row>
    <row r="336">
      <c r="A336" s="382"/>
      <c r="B336" s="417"/>
      <c r="C336" s="383"/>
      <c r="D336" s="507"/>
      <c r="E336" s="382"/>
      <c r="F336" s="417"/>
      <c r="G336" s="383"/>
      <c r="H336" s="507"/>
      <c r="I336" s="382"/>
      <c r="J336" s="417"/>
      <c r="K336" s="383"/>
      <c r="L336" s="507"/>
      <c r="M336" s="382"/>
      <c r="N336" s="417"/>
      <c r="O336" s="383"/>
      <c r="P336" s="507"/>
      <c r="Q336" s="518"/>
      <c r="R336" s="519"/>
      <c r="S336" s="520"/>
      <c r="T336" s="513"/>
      <c r="U336" s="518"/>
      <c r="V336" s="519"/>
      <c r="W336" s="520"/>
      <c r="X336" s="513"/>
      <c r="Y336" s="518"/>
      <c r="Z336" s="519"/>
      <c r="AA336" s="520"/>
      <c r="AB336" s="513"/>
      <c r="AC336" s="518"/>
      <c r="AD336" s="519"/>
      <c r="AE336" s="520"/>
      <c r="AF336" s="513"/>
      <c r="AG336" s="356"/>
      <c r="AH336" s="356"/>
      <c r="AI336" s="356"/>
      <c r="AJ336" s="356"/>
      <c r="AK336" s="382"/>
      <c r="AL336" s="417"/>
      <c r="AM336" s="383"/>
      <c r="AN336" s="507"/>
      <c r="AO336" s="382"/>
      <c r="AP336" s="417"/>
      <c r="AQ336" s="383"/>
      <c r="AR336" s="507"/>
      <c r="AS336" s="514"/>
      <c r="AT336" s="514"/>
    </row>
    <row r="337">
      <c r="A337" s="382"/>
      <c r="B337" s="417"/>
      <c r="C337" s="383"/>
      <c r="D337" s="507"/>
      <c r="E337" s="382"/>
      <c r="F337" s="417"/>
      <c r="G337" s="383"/>
      <c r="H337" s="507"/>
      <c r="I337" s="382"/>
      <c r="J337" s="417"/>
      <c r="K337" s="383"/>
      <c r="L337" s="507"/>
      <c r="M337" s="382"/>
      <c r="N337" s="417"/>
      <c r="O337" s="383"/>
      <c r="P337" s="507"/>
      <c r="Q337" s="518"/>
      <c r="R337" s="519"/>
      <c r="S337" s="520"/>
      <c r="T337" s="513"/>
      <c r="U337" s="518"/>
      <c r="V337" s="519"/>
      <c r="W337" s="520"/>
      <c r="X337" s="513"/>
      <c r="Y337" s="518"/>
      <c r="Z337" s="519"/>
      <c r="AA337" s="520"/>
      <c r="AB337" s="513"/>
      <c r="AC337" s="518"/>
      <c r="AD337" s="519"/>
      <c r="AE337" s="520"/>
      <c r="AF337" s="513"/>
      <c r="AG337" s="356"/>
      <c r="AH337" s="356"/>
      <c r="AI337" s="356"/>
      <c r="AJ337" s="356"/>
      <c r="AK337" s="382"/>
      <c r="AL337" s="417"/>
      <c r="AM337" s="383"/>
      <c r="AN337" s="507"/>
      <c r="AO337" s="382"/>
      <c r="AP337" s="417"/>
      <c r="AQ337" s="383"/>
      <c r="AR337" s="507"/>
      <c r="AS337" s="514"/>
      <c r="AT337" s="514"/>
    </row>
    <row r="338">
      <c r="A338" s="382"/>
      <c r="B338" s="417"/>
      <c r="C338" s="383"/>
      <c r="D338" s="507"/>
      <c r="E338" s="382"/>
      <c r="F338" s="417"/>
      <c r="G338" s="383"/>
      <c r="H338" s="507"/>
      <c r="I338" s="382"/>
      <c r="J338" s="417"/>
      <c r="K338" s="383"/>
      <c r="L338" s="507"/>
      <c r="M338" s="382"/>
      <c r="N338" s="417"/>
      <c r="O338" s="383"/>
      <c r="P338" s="507"/>
      <c r="Q338" s="518"/>
      <c r="R338" s="519"/>
      <c r="S338" s="520"/>
      <c r="T338" s="513"/>
      <c r="U338" s="518"/>
      <c r="V338" s="519"/>
      <c r="W338" s="520"/>
      <c r="X338" s="513"/>
      <c r="Y338" s="518"/>
      <c r="Z338" s="519"/>
      <c r="AA338" s="520"/>
      <c r="AB338" s="513"/>
      <c r="AC338" s="518"/>
      <c r="AD338" s="519"/>
      <c r="AE338" s="520"/>
      <c r="AF338" s="513"/>
      <c r="AG338" s="356"/>
      <c r="AH338" s="356"/>
      <c r="AI338" s="356"/>
      <c r="AJ338" s="356"/>
      <c r="AK338" s="382"/>
      <c r="AL338" s="417"/>
      <c r="AM338" s="383"/>
      <c r="AN338" s="507"/>
      <c r="AO338" s="382"/>
      <c r="AP338" s="417"/>
      <c r="AQ338" s="383"/>
      <c r="AR338" s="507"/>
      <c r="AS338" s="514"/>
      <c r="AT338" s="514"/>
    </row>
    <row r="339">
      <c r="A339" s="382"/>
      <c r="B339" s="417"/>
      <c r="C339" s="383"/>
      <c r="D339" s="507"/>
      <c r="E339" s="382"/>
      <c r="F339" s="417"/>
      <c r="G339" s="383"/>
      <c r="H339" s="507"/>
      <c r="I339" s="382"/>
      <c r="J339" s="417"/>
      <c r="K339" s="383"/>
      <c r="L339" s="507"/>
      <c r="M339" s="382"/>
      <c r="N339" s="417"/>
      <c r="O339" s="383"/>
      <c r="P339" s="507"/>
      <c r="Q339" s="518"/>
      <c r="R339" s="519"/>
      <c r="S339" s="520"/>
      <c r="T339" s="513"/>
      <c r="U339" s="518"/>
      <c r="V339" s="519"/>
      <c r="W339" s="520"/>
      <c r="X339" s="513"/>
      <c r="Y339" s="518"/>
      <c r="Z339" s="519"/>
      <c r="AA339" s="520"/>
      <c r="AB339" s="513"/>
      <c r="AC339" s="518"/>
      <c r="AD339" s="519"/>
      <c r="AE339" s="520"/>
      <c r="AF339" s="513"/>
      <c r="AG339" s="356"/>
      <c r="AH339" s="356"/>
      <c r="AI339" s="356"/>
      <c r="AJ339" s="356"/>
      <c r="AK339" s="382"/>
      <c r="AL339" s="417"/>
      <c r="AM339" s="383"/>
      <c r="AN339" s="507"/>
      <c r="AO339" s="382"/>
      <c r="AP339" s="417"/>
      <c r="AQ339" s="383"/>
      <c r="AR339" s="507"/>
      <c r="AS339" s="514"/>
      <c r="AT339" s="514"/>
    </row>
    <row r="340">
      <c r="A340" s="382"/>
      <c r="B340" s="417"/>
      <c r="C340" s="383"/>
      <c r="D340" s="507"/>
      <c r="E340" s="382"/>
      <c r="F340" s="417"/>
      <c r="G340" s="383"/>
      <c r="H340" s="507"/>
      <c r="I340" s="382"/>
      <c r="J340" s="417"/>
      <c r="K340" s="383"/>
      <c r="L340" s="507"/>
      <c r="M340" s="382"/>
      <c r="N340" s="417"/>
      <c r="O340" s="383"/>
      <c r="P340" s="507"/>
      <c r="Q340" s="518"/>
      <c r="R340" s="519"/>
      <c r="S340" s="520"/>
      <c r="T340" s="513"/>
      <c r="U340" s="518"/>
      <c r="V340" s="519"/>
      <c r="W340" s="520"/>
      <c r="X340" s="513"/>
      <c r="Y340" s="518"/>
      <c r="Z340" s="519"/>
      <c r="AA340" s="520"/>
      <c r="AB340" s="513"/>
      <c r="AC340" s="518"/>
      <c r="AD340" s="519"/>
      <c r="AE340" s="520"/>
      <c r="AF340" s="513"/>
      <c r="AG340" s="356"/>
      <c r="AH340" s="356"/>
      <c r="AI340" s="356"/>
      <c r="AJ340" s="356"/>
      <c r="AK340" s="382"/>
      <c r="AL340" s="417"/>
      <c r="AM340" s="383"/>
      <c r="AN340" s="507"/>
      <c r="AO340" s="382"/>
      <c r="AP340" s="417"/>
      <c r="AQ340" s="383"/>
      <c r="AR340" s="507"/>
      <c r="AS340" s="514"/>
      <c r="AT340" s="514"/>
    </row>
    <row r="341">
      <c r="A341" s="382"/>
      <c r="B341" s="417"/>
      <c r="C341" s="383"/>
      <c r="D341" s="507"/>
      <c r="E341" s="382"/>
      <c r="F341" s="417"/>
      <c r="G341" s="383"/>
      <c r="H341" s="507"/>
      <c r="I341" s="382"/>
      <c r="J341" s="417"/>
      <c r="K341" s="383"/>
      <c r="L341" s="507"/>
      <c r="M341" s="382"/>
      <c r="N341" s="417"/>
      <c r="O341" s="383"/>
      <c r="P341" s="507"/>
      <c r="Q341" s="518"/>
      <c r="R341" s="519"/>
      <c r="S341" s="520"/>
      <c r="T341" s="513"/>
      <c r="U341" s="518"/>
      <c r="V341" s="519"/>
      <c r="W341" s="520"/>
      <c r="X341" s="513"/>
      <c r="Y341" s="518"/>
      <c r="Z341" s="519"/>
      <c r="AA341" s="520"/>
      <c r="AB341" s="513"/>
      <c r="AC341" s="518"/>
      <c r="AD341" s="519"/>
      <c r="AE341" s="520"/>
      <c r="AF341" s="513"/>
      <c r="AG341" s="356"/>
      <c r="AH341" s="356"/>
      <c r="AI341" s="356"/>
      <c r="AJ341" s="356"/>
      <c r="AK341" s="382"/>
      <c r="AL341" s="417"/>
      <c r="AM341" s="383"/>
      <c r="AN341" s="507"/>
      <c r="AO341" s="382"/>
      <c r="AP341" s="417"/>
      <c r="AQ341" s="383"/>
      <c r="AR341" s="507"/>
      <c r="AS341" s="514"/>
      <c r="AT341" s="514"/>
    </row>
    <row r="342">
      <c r="A342" s="382"/>
      <c r="B342" s="417"/>
      <c r="C342" s="383"/>
      <c r="D342" s="507"/>
      <c r="E342" s="382"/>
      <c r="F342" s="417"/>
      <c r="G342" s="383"/>
      <c r="H342" s="507"/>
      <c r="I342" s="382"/>
      <c r="J342" s="417"/>
      <c r="K342" s="383"/>
      <c r="L342" s="507"/>
      <c r="M342" s="382"/>
      <c r="N342" s="417"/>
      <c r="O342" s="383"/>
      <c r="P342" s="507"/>
      <c r="Q342" s="518"/>
      <c r="R342" s="519"/>
      <c r="S342" s="520"/>
      <c r="T342" s="513"/>
      <c r="U342" s="518"/>
      <c r="V342" s="519"/>
      <c r="W342" s="520"/>
      <c r="X342" s="513"/>
      <c r="Y342" s="518"/>
      <c r="Z342" s="519"/>
      <c r="AA342" s="520"/>
      <c r="AB342" s="513"/>
      <c r="AC342" s="518"/>
      <c r="AD342" s="519"/>
      <c r="AE342" s="520"/>
      <c r="AF342" s="513"/>
      <c r="AG342" s="356"/>
      <c r="AH342" s="356"/>
      <c r="AI342" s="356"/>
      <c r="AJ342" s="356"/>
      <c r="AK342" s="382"/>
      <c r="AL342" s="417"/>
      <c r="AM342" s="383"/>
      <c r="AN342" s="507"/>
      <c r="AO342" s="382"/>
      <c r="AP342" s="417"/>
      <c r="AQ342" s="383"/>
      <c r="AR342" s="507"/>
      <c r="AS342" s="514"/>
      <c r="AT342" s="514"/>
    </row>
    <row r="343">
      <c r="A343" s="382"/>
      <c r="B343" s="417"/>
      <c r="C343" s="383"/>
      <c r="D343" s="507"/>
      <c r="E343" s="382"/>
      <c r="F343" s="417"/>
      <c r="G343" s="383"/>
      <c r="H343" s="507"/>
      <c r="I343" s="382"/>
      <c r="J343" s="417"/>
      <c r="K343" s="383"/>
      <c r="L343" s="507"/>
      <c r="M343" s="382"/>
      <c r="N343" s="417"/>
      <c r="O343" s="383"/>
      <c r="P343" s="507"/>
      <c r="Q343" s="518"/>
      <c r="R343" s="519"/>
      <c r="S343" s="520"/>
      <c r="T343" s="513"/>
      <c r="U343" s="518"/>
      <c r="V343" s="519"/>
      <c r="W343" s="520"/>
      <c r="X343" s="513"/>
      <c r="Y343" s="518"/>
      <c r="Z343" s="519"/>
      <c r="AA343" s="520"/>
      <c r="AB343" s="513"/>
      <c r="AC343" s="518"/>
      <c r="AD343" s="519"/>
      <c r="AE343" s="520"/>
      <c r="AF343" s="513"/>
      <c r="AG343" s="356"/>
      <c r="AH343" s="356"/>
      <c r="AI343" s="356"/>
      <c r="AJ343" s="356"/>
      <c r="AK343" s="382"/>
      <c r="AL343" s="417"/>
      <c r="AM343" s="383"/>
      <c r="AN343" s="507"/>
      <c r="AO343" s="382"/>
      <c r="AP343" s="417"/>
      <c r="AQ343" s="383"/>
      <c r="AR343" s="507"/>
      <c r="AS343" s="514"/>
      <c r="AT343" s="514"/>
    </row>
    <row r="344">
      <c r="A344" s="382"/>
      <c r="B344" s="417"/>
      <c r="C344" s="383"/>
      <c r="D344" s="507"/>
      <c r="E344" s="382"/>
      <c r="F344" s="417"/>
      <c r="G344" s="383"/>
      <c r="H344" s="507"/>
      <c r="I344" s="382"/>
      <c r="J344" s="417"/>
      <c r="K344" s="383"/>
      <c r="L344" s="507"/>
      <c r="M344" s="382"/>
      <c r="N344" s="417"/>
      <c r="O344" s="383"/>
      <c r="P344" s="507"/>
      <c r="Q344" s="518"/>
      <c r="R344" s="519"/>
      <c r="S344" s="520"/>
      <c r="T344" s="513"/>
      <c r="U344" s="518"/>
      <c r="V344" s="519"/>
      <c r="W344" s="520"/>
      <c r="X344" s="513"/>
      <c r="Y344" s="518"/>
      <c r="Z344" s="519"/>
      <c r="AA344" s="520"/>
      <c r="AB344" s="513"/>
      <c r="AC344" s="518"/>
      <c r="AD344" s="519"/>
      <c r="AE344" s="520"/>
      <c r="AF344" s="513"/>
      <c r="AG344" s="356"/>
      <c r="AH344" s="356"/>
      <c r="AI344" s="356"/>
      <c r="AJ344" s="356"/>
      <c r="AK344" s="382"/>
      <c r="AL344" s="417"/>
      <c r="AM344" s="383"/>
      <c r="AN344" s="507"/>
      <c r="AO344" s="382"/>
      <c r="AP344" s="417"/>
      <c r="AQ344" s="383"/>
      <c r="AR344" s="507"/>
      <c r="AS344" s="514"/>
      <c r="AT344" s="514"/>
    </row>
    <row r="345">
      <c r="A345" s="382"/>
      <c r="B345" s="417"/>
      <c r="C345" s="383"/>
      <c r="D345" s="507"/>
      <c r="E345" s="382"/>
      <c r="F345" s="417"/>
      <c r="G345" s="383"/>
      <c r="H345" s="507"/>
      <c r="I345" s="382"/>
      <c r="J345" s="417"/>
      <c r="K345" s="383"/>
      <c r="L345" s="507"/>
      <c r="M345" s="382"/>
      <c r="N345" s="417"/>
      <c r="O345" s="383"/>
      <c r="P345" s="507"/>
      <c r="Q345" s="518"/>
      <c r="R345" s="519"/>
      <c r="S345" s="520"/>
      <c r="T345" s="513"/>
      <c r="U345" s="518"/>
      <c r="V345" s="519"/>
      <c r="W345" s="520"/>
      <c r="X345" s="513"/>
      <c r="Y345" s="518"/>
      <c r="Z345" s="519"/>
      <c r="AA345" s="520"/>
      <c r="AB345" s="513"/>
      <c r="AC345" s="518"/>
      <c r="AD345" s="519"/>
      <c r="AE345" s="520"/>
      <c r="AF345" s="513"/>
      <c r="AG345" s="356"/>
      <c r="AH345" s="356"/>
      <c r="AI345" s="356"/>
      <c r="AJ345" s="356"/>
      <c r="AK345" s="382"/>
      <c r="AL345" s="417"/>
      <c r="AM345" s="383"/>
      <c r="AN345" s="507"/>
      <c r="AO345" s="382"/>
      <c r="AP345" s="417"/>
      <c r="AQ345" s="383"/>
      <c r="AR345" s="507"/>
      <c r="AS345" s="514"/>
      <c r="AT345" s="514"/>
    </row>
    <row r="346">
      <c r="A346" s="382"/>
      <c r="B346" s="417"/>
      <c r="C346" s="383"/>
      <c r="D346" s="507"/>
      <c r="E346" s="382"/>
      <c r="F346" s="417"/>
      <c r="G346" s="383"/>
      <c r="H346" s="507"/>
      <c r="I346" s="382"/>
      <c r="J346" s="417"/>
      <c r="K346" s="383"/>
      <c r="L346" s="507"/>
      <c r="M346" s="382"/>
      <c r="N346" s="417"/>
      <c r="O346" s="383"/>
      <c r="P346" s="507"/>
      <c r="Q346" s="518"/>
      <c r="R346" s="519"/>
      <c r="S346" s="520"/>
      <c r="T346" s="513"/>
      <c r="U346" s="518"/>
      <c r="V346" s="519"/>
      <c r="W346" s="520"/>
      <c r="X346" s="513"/>
      <c r="Y346" s="518"/>
      <c r="Z346" s="519"/>
      <c r="AA346" s="520"/>
      <c r="AB346" s="513"/>
      <c r="AC346" s="518"/>
      <c r="AD346" s="519"/>
      <c r="AE346" s="520"/>
      <c r="AF346" s="513"/>
      <c r="AG346" s="356"/>
      <c r="AH346" s="356"/>
      <c r="AI346" s="356"/>
      <c r="AJ346" s="356"/>
      <c r="AK346" s="382"/>
      <c r="AL346" s="417"/>
      <c r="AM346" s="383"/>
      <c r="AN346" s="507"/>
      <c r="AO346" s="382"/>
      <c r="AP346" s="417"/>
      <c r="AQ346" s="383"/>
      <c r="AR346" s="507"/>
      <c r="AS346" s="514"/>
      <c r="AT346" s="514"/>
    </row>
    <row r="347">
      <c r="A347" s="382"/>
      <c r="B347" s="417"/>
      <c r="C347" s="383"/>
      <c r="D347" s="507"/>
      <c r="E347" s="382"/>
      <c r="F347" s="417"/>
      <c r="G347" s="383"/>
      <c r="H347" s="507"/>
      <c r="I347" s="382"/>
      <c r="J347" s="417"/>
      <c r="K347" s="383"/>
      <c r="L347" s="507"/>
      <c r="M347" s="382"/>
      <c r="N347" s="417"/>
      <c r="O347" s="383"/>
      <c r="P347" s="507"/>
      <c r="Q347" s="518"/>
      <c r="R347" s="519"/>
      <c r="S347" s="520"/>
      <c r="T347" s="513"/>
      <c r="U347" s="518"/>
      <c r="V347" s="519"/>
      <c r="W347" s="520"/>
      <c r="X347" s="513"/>
      <c r="Y347" s="518"/>
      <c r="Z347" s="519"/>
      <c r="AA347" s="520"/>
      <c r="AB347" s="513"/>
      <c r="AC347" s="518"/>
      <c r="AD347" s="519"/>
      <c r="AE347" s="520"/>
      <c r="AF347" s="513"/>
      <c r="AG347" s="356"/>
      <c r="AH347" s="356"/>
      <c r="AI347" s="356"/>
      <c r="AJ347" s="356"/>
      <c r="AK347" s="382"/>
      <c r="AL347" s="417"/>
      <c r="AM347" s="383"/>
      <c r="AN347" s="507"/>
      <c r="AO347" s="382"/>
      <c r="AP347" s="417"/>
      <c r="AQ347" s="383"/>
      <c r="AR347" s="507"/>
      <c r="AS347" s="514"/>
      <c r="AT347" s="514"/>
    </row>
    <row r="348">
      <c r="A348" s="382"/>
      <c r="B348" s="417"/>
      <c r="C348" s="383"/>
      <c r="D348" s="507"/>
      <c r="E348" s="382"/>
      <c r="F348" s="417"/>
      <c r="G348" s="383"/>
      <c r="H348" s="507"/>
      <c r="I348" s="382"/>
      <c r="J348" s="417"/>
      <c r="K348" s="383"/>
      <c r="L348" s="507"/>
      <c r="M348" s="382"/>
      <c r="N348" s="417"/>
      <c r="O348" s="383"/>
      <c r="P348" s="507"/>
      <c r="Q348" s="518"/>
      <c r="R348" s="519"/>
      <c r="S348" s="520"/>
      <c r="T348" s="513"/>
      <c r="U348" s="518"/>
      <c r="V348" s="519"/>
      <c r="W348" s="520"/>
      <c r="X348" s="513"/>
      <c r="Y348" s="518"/>
      <c r="Z348" s="519"/>
      <c r="AA348" s="520"/>
      <c r="AB348" s="513"/>
      <c r="AC348" s="518"/>
      <c r="AD348" s="519"/>
      <c r="AE348" s="520"/>
      <c r="AF348" s="513"/>
      <c r="AG348" s="356"/>
      <c r="AH348" s="356"/>
      <c r="AI348" s="356"/>
      <c r="AJ348" s="356"/>
      <c r="AK348" s="382"/>
      <c r="AL348" s="417"/>
      <c r="AM348" s="383"/>
      <c r="AN348" s="507"/>
      <c r="AO348" s="382"/>
      <c r="AP348" s="417"/>
      <c r="AQ348" s="383"/>
      <c r="AR348" s="507"/>
      <c r="AS348" s="514"/>
      <c r="AT348" s="514"/>
    </row>
    <row r="349">
      <c r="A349" s="382"/>
      <c r="B349" s="417"/>
      <c r="C349" s="383"/>
      <c r="D349" s="507"/>
      <c r="E349" s="382"/>
      <c r="F349" s="417"/>
      <c r="G349" s="383"/>
      <c r="H349" s="507"/>
      <c r="I349" s="382"/>
      <c r="J349" s="417"/>
      <c r="K349" s="383"/>
      <c r="L349" s="507"/>
      <c r="M349" s="382"/>
      <c r="N349" s="417"/>
      <c r="O349" s="383"/>
      <c r="P349" s="507"/>
      <c r="Q349" s="518"/>
      <c r="R349" s="519"/>
      <c r="S349" s="520"/>
      <c r="T349" s="513"/>
      <c r="U349" s="518"/>
      <c r="V349" s="519"/>
      <c r="W349" s="520"/>
      <c r="X349" s="513"/>
      <c r="Y349" s="518"/>
      <c r="Z349" s="519"/>
      <c r="AA349" s="520"/>
      <c r="AB349" s="513"/>
      <c r="AC349" s="518"/>
      <c r="AD349" s="519"/>
      <c r="AE349" s="520"/>
      <c r="AF349" s="513"/>
      <c r="AG349" s="356"/>
      <c r="AH349" s="356"/>
      <c r="AI349" s="356"/>
      <c r="AJ349" s="356"/>
      <c r="AK349" s="382"/>
      <c r="AL349" s="417"/>
      <c r="AM349" s="383"/>
      <c r="AN349" s="507"/>
      <c r="AO349" s="382"/>
      <c r="AP349" s="417"/>
      <c r="AQ349" s="383"/>
      <c r="AR349" s="507"/>
      <c r="AS349" s="514"/>
      <c r="AT349" s="514"/>
    </row>
    <row r="350">
      <c r="A350" s="382"/>
      <c r="B350" s="417"/>
      <c r="C350" s="383"/>
      <c r="D350" s="507"/>
      <c r="E350" s="382"/>
      <c r="F350" s="417"/>
      <c r="G350" s="383"/>
      <c r="H350" s="507"/>
      <c r="I350" s="382"/>
      <c r="J350" s="417"/>
      <c r="K350" s="383"/>
      <c r="L350" s="507"/>
      <c r="M350" s="382"/>
      <c r="N350" s="417"/>
      <c r="O350" s="383"/>
      <c r="P350" s="507"/>
      <c r="Q350" s="518"/>
      <c r="R350" s="519"/>
      <c r="S350" s="520"/>
      <c r="T350" s="513"/>
      <c r="U350" s="518"/>
      <c r="V350" s="519"/>
      <c r="W350" s="520"/>
      <c r="X350" s="513"/>
      <c r="Y350" s="518"/>
      <c r="Z350" s="519"/>
      <c r="AA350" s="520"/>
      <c r="AB350" s="513"/>
      <c r="AC350" s="518"/>
      <c r="AD350" s="519"/>
      <c r="AE350" s="520"/>
      <c r="AF350" s="513"/>
      <c r="AG350" s="356"/>
      <c r="AH350" s="356"/>
      <c r="AI350" s="356"/>
      <c r="AJ350" s="356"/>
      <c r="AK350" s="382"/>
      <c r="AL350" s="417"/>
      <c r="AM350" s="383"/>
      <c r="AN350" s="507"/>
      <c r="AO350" s="382"/>
      <c r="AP350" s="417"/>
      <c r="AQ350" s="383"/>
      <c r="AR350" s="507"/>
      <c r="AS350" s="514"/>
      <c r="AT350" s="514"/>
    </row>
    <row r="351">
      <c r="A351" s="382"/>
      <c r="B351" s="417"/>
      <c r="C351" s="383"/>
      <c r="D351" s="507"/>
      <c r="E351" s="382"/>
      <c r="F351" s="417"/>
      <c r="G351" s="383"/>
      <c r="H351" s="507"/>
      <c r="I351" s="382"/>
      <c r="J351" s="417"/>
      <c r="K351" s="383"/>
      <c r="L351" s="507"/>
      <c r="M351" s="382"/>
      <c r="N351" s="417"/>
      <c r="O351" s="383"/>
      <c r="P351" s="507"/>
      <c r="Q351" s="518"/>
      <c r="R351" s="519"/>
      <c r="S351" s="520"/>
      <c r="T351" s="513"/>
      <c r="U351" s="518"/>
      <c r="V351" s="519"/>
      <c r="W351" s="520"/>
      <c r="X351" s="513"/>
      <c r="Y351" s="518"/>
      <c r="Z351" s="519"/>
      <c r="AA351" s="520"/>
      <c r="AB351" s="513"/>
      <c r="AC351" s="518"/>
      <c r="AD351" s="519"/>
      <c r="AE351" s="520"/>
      <c r="AF351" s="513"/>
      <c r="AG351" s="356"/>
      <c r="AH351" s="356"/>
      <c r="AI351" s="356"/>
      <c r="AJ351" s="356"/>
      <c r="AK351" s="382"/>
      <c r="AL351" s="417"/>
      <c r="AM351" s="383"/>
      <c r="AN351" s="507"/>
      <c r="AO351" s="382"/>
      <c r="AP351" s="417"/>
      <c r="AQ351" s="383"/>
      <c r="AR351" s="507"/>
      <c r="AS351" s="514"/>
      <c r="AT351" s="514"/>
    </row>
    <row r="352">
      <c r="A352" s="382"/>
      <c r="B352" s="417"/>
      <c r="C352" s="383"/>
      <c r="D352" s="507"/>
      <c r="E352" s="382"/>
      <c r="F352" s="417"/>
      <c r="G352" s="383"/>
      <c r="H352" s="507"/>
      <c r="I352" s="382"/>
      <c r="J352" s="417"/>
      <c r="K352" s="383"/>
      <c r="L352" s="507"/>
      <c r="M352" s="382"/>
      <c r="N352" s="417"/>
      <c r="O352" s="383"/>
      <c r="P352" s="507"/>
      <c r="Q352" s="518"/>
      <c r="R352" s="519"/>
      <c r="S352" s="520"/>
      <c r="T352" s="513"/>
      <c r="U352" s="518"/>
      <c r="V352" s="519"/>
      <c r="W352" s="520"/>
      <c r="X352" s="513"/>
      <c r="Y352" s="518"/>
      <c r="Z352" s="519"/>
      <c r="AA352" s="520"/>
      <c r="AB352" s="513"/>
      <c r="AC352" s="518"/>
      <c r="AD352" s="519"/>
      <c r="AE352" s="520"/>
      <c r="AF352" s="513"/>
      <c r="AG352" s="356"/>
      <c r="AH352" s="356"/>
      <c r="AI352" s="356"/>
      <c r="AJ352" s="356"/>
      <c r="AK352" s="382"/>
      <c r="AL352" s="417"/>
      <c r="AM352" s="383"/>
      <c r="AN352" s="507"/>
      <c r="AO352" s="382"/>
      <c r="AP352" s="417"/>
      <c r="AQ352" s="383"/>
      <c r="AR352" s="507"/>
      <c r="AS352" s="514"/>
      <c r="AT352" s="514"/>
    </row>
    <row r="353">
      <c r="A353" s="382"/>
      <c r="B353" s="417"/>
      <c r="C353" s="383"/>
      <c r="D353" s="507"/>
      <c r="E353" s="382"/>
      <c r="F353" s="417"/>
      <c r="G353" s="383"/>
      <c r="H353" s="507"/>
      <c r="I353" s="382"/>
      <c r="J353" s="417"/>
      <c r="K353" s="383"/>
      <c r="L353" s="507"/>
      <c r="M353" s="382"/>
      <c r="N353" s="417"/>
      <c r="O353" s="383"/>
      <c r="P353" s="507"/>
      <c r="Q353" s="518"/>
      <c r="R353" s="519"/>
      <c r="S353" s="520"/>
      <c r="T353" s="513"/>
      <c r="U353" s="518"/>
      <c r="V353" s="519"/>
      <c r="W353" s="520"/>
      <c r="X353" s="513"/>
      <c r="Y353" s="518"/>
      <c r="Z353" s="519"/>
      <c r="AA353" s="520"/>
      <c r="AB353" s="513"/>
      <c r="AC353" s="518"/>
      <c r="AD353" s="519"/>
      <c r="AE353" s="520"/>
      <c r="AF353" s="513"/>
      <c r="AG353" s="356"/>
      <c r="AH353" s="356"/>
      <c r="AI353" s="356"/>
      <c r="AJ353" s="356"/>
      <c r="AK353" s="382"/>
      <c r="AL353" s="417"/>
      <c r="AM353" s="383"/>
      <c r="AN353" s="507"/>
      <c r="AO353" s="382"/>
      <c r="AP353" s="417"/>
      <c r="AQ353" s="383"/>
      <c r="AR353" s="507"/>
      <c r="AS353" s="514"/>
      <c r="AT353" s="514"/>
    </row>
    <row r="354">
      <c r="A354" s="382"/>
      <c r="B354" s="417"/>
      <c r="C354" s="383"/>
      <c r="D354" s="507"/>
      <c r="E354" s="382"/>
      <c r="F354" s="417"/>
      <c r="G354" s="383"/>
      <c r="H354" s="507"/>
      <c r="I354" s="382"/>
      <c r="J354" s="417"/>
      <c r="K354" s="383"/>
      <c r="L354" s="507"/>
      <c r="M354" s="382"/>
      <c r="N354" s="417"/>
      <c r="O354" s="383"/>
      <c r="P354" s="507"/>
      <c r="Q354" s="518"/>
      <c r="R354" s="519"/>
      <c r="S354" s="520"/>
      <c r="T354" s="513"/>
      <c r="U354" s="518"/>
      <c r="V354" s="519"/>
      <c r="W354" s="520"/>
      <c r="X354" s="513"/>
      <c r="Y354" s="518"/>
      <c r="Z354" s="519"/>
      <c r="AA354" s="520"/>
      <c r="AB354" s="513"/>
      <c r="AC354" s="518"/>
      <c r="AD354" s="519"/>
      <c r="AE354" s="520"/>
      <c r="AF354" s="513"/>
      <c r="AG354" s="356"/>
      <c r="AH354" s="356"/>
      <c r="AI354" s="356"/>
      <c r="AJ354" s="356"/>
      <c r="AK354" s="382"/>
      <c r="AL354" s="417"/>
      <c r="AM354" s="383"/>
      <c r="AN354" s="507"/>
      <c r="AO354" s="382"/>
      <c r="AP354" s="417"/>
      <c r="AQ354" s="383"/>
      <c r="AR354" s="507"/>
      <c r="AS354" s="514"/>
      <c r="AT354" s="514"/>
    </row>
    <row r="355">
      <c r="A355" s="382"/>
      <c r="B355" s="417"/>
      <c r="C355" s="383"/>
      <c r="D355" s="507"/>
      <c r="E355" s="382"/>
      <c r="F355" s="417"/>
      <c r="G355" s="383"/>
      <c r="H355" s="507"/>
      <c r="I355" s="382"/>
      <c r="J355" s="417"/>
      <c r="K355" s="383"/>
      <c r="L355" s="507"/>
      <c r="M355" s="382"/>
      <c r="N355" s="417"/>
      <c r="O355" s="383"/>
      <c r="P355" s="507"/>
      <c r="Q355" s="518"/>
      <c r="R355" s="519"/>
      <c r="S355" s="520"/>
      <c r="T355" s="513"/>
      <c r="U355" s="518"/>
      <c r="V355" s="519"/>
      <c r="W355" s="520"/>
      <c r="X355" s="513"/>
      <c r="Y355" s="518"/>
      <c r="Z355" s="519"/>
      <c r="AA355" s="520"/>
      <c r="AB355" s="513"/>
      <c r="AC355" s="518"/>
      <c r="AD355" s="519"/>
      <c r="AE355" s="520"/>
      <c r="AF355" s="513"/>
      <c r="AG355" s="356"/>
      <c r="AH355" s="356"/>
      <c r="AI355" s="356"/>
      <c r="AJ355" s="356"/>
      <c r="AK355" s="382"/>
      <c r="AL355" s="417"/>
      <c r="AM355" s="383"/>
      <c r="AN355" s="507"/>
      <c r="AO355" s="382"/>
      <c r="AP355" s="417"/>
      <c r="AQ355" s="383"/>
      <c r="AR355" s="507"/>
      <c r="AS355" s="514"/>
      <c r="AT355" s="514"/>
    </row>
    <row r="356">
      <c r="A356" s="382"/>
      <c r="B356" s="417"/>
      <c r="C356" s="383"/>
      <c r="D356" s="507"/>
      <c r="E356" s="382"/>
      <c r="F356" s="417"/>
      <c r="G356" s="383"/>
      <c r="H356" s="507"/>
      <c r="I356" s="382"/>
      <c r="J356" s="417"/>
      <c r="K356" s="383"/>
      <c r="L356" s="507"/>
      <c r="M356" s="382"/>
      <c r="N356" s="417"/>
      <c r="O356" s="383"/>
      <c r="P356" s="507"/>
      <c r="Q356" s="518"/>
      <c r="R356" s="519"/>
      <c r="S356" s="520"/>
      <c r="T356" s="513"/>
      <c r="U356" s="518"/>
      <c r="V356" s="519"/>
      <c r="W356" s="520"/>
      <c r="X356" s="513"/>
      <c r="Y356" s="518"/>
      <c r="Z356" s="519"/>
      <c r="AA356" s="520"/>
      <c r="AB356" s="513"/>
      <c r="AC356" s="518"/>
      <c r="AD356" s="519"/>
      <c r="AE356" s="520"/>
      <c r="AF356" s="513"/>
      <c r="AG356" s="356"/>
      <c r="AH356" s="356"/>
      <c r="AI356" s="356"/>
      <c r="AJ356" s="356"/>
      <c r="AK356" s="382"/>
      <c r="AL356" s="417"/>
      <c r="AM356" s="383"/>
      <c r="AN356" s="507"/>
      <c r="AO356" s="382"/>
      <c r="AP356" s="417"/>
      <c r="AQ356" s="383"/>
      <c r="AR356" s="507"/>
      <c r="AS356" s="514"/>
      <c r="AT356" s="514"/>
    </row>
    <row r="357">
      <c r="A357" s="382"/>
      <c r="B357" s="417"/>
      <c r="C357" s="383"/>
      <c r="D357" s="507"/>
      <c r="E357" s="382"/>
      <c r="F357" s="417"/>
      <c r="G357" s="383"/>
      <c r="H357" s="507"/>
      <c r="I357" s="382"/>
      <c r="J357" s="417"/>
      <c r="K357" s="383"/>
      <c r="L357" s="507"/>
      <c r="M357" s="382"/>
      <c r="N357" s="417"/>
      <c r="O357" s="383"/>
      <c r="P357" s="507"/>
      <c r="Q357" s="518"/>
      <c r="R357" s="519"/>
      <c r="S357" s="520"/>
      <c r="T357" s="513"/>
      <c r="U357" s="518"/>
      <c r="V357" s="519"/>
      <c r="W357" s="520"/>
      <c r="X357" s="513"/>
      <c r="Y357" s="518"/>
      <c r="Z357" s="519"/>
      <c r="AA357" s="520"/>
      <c r="AB357" s="513"/>
      <c r="AC357" s="518"/>
      <c r="AD357" s="519"/>
      <c r="AE357" s="520"/>
      <c r="AF357" s="513"/>
      <c r="AG357" s="356"/>
      <c r="AH357" s="356"/>
      <c r="AI357" s="356"/>
      <c r="AJ357" s="356"/>
      <c r="AK357" s="382"/>
      <c r="AL357" s="417"/>
      <c r="AM357" s="383"/>
      <c r="AN357" s="507"/>
      <c r="AO357" s="382"/>
      <c r="AP357" s="417"/>
      <c r="AQ357" s="383"/>
      <c r="AR357" s="507"/>
      <c r="AS357" s="514"/>
      <c r="AT357" s="514"/>
    </row>
    <row r="358">
      <c r="A358" s="382"/>
      <c r="B358" s="417"/>
      <c r="C358" s="383"/>
      <c r="D358" s="507"/>
      <c r="E358" s="382"/>
      <c r="F358" s="417"/>
      <c r="G358" s="383"/>
      <c r="H358" s="507"/>
      <c r="I358" s="382"/>
      <c r="J358" s="417"/>
      <c r="K358" s="383"/>
      <c r="L358" s="507"/>
      <c r="M358" s="382"/>
      <c r="N358" s="417"/>
      <c r="O358" s="383"/>
      <c r="P358" s="507"/>
      <c r="Q358" s="518"/>
      <c r="R358" s="519"/>
      <c r="S358" s="520"/>
      <c r="T358" s="513"/>
      <c r="U358" s="518"/>
      <c r="V358" s="519"/>
      <c r="W358" s="520"/>
      <c r="X358" s="513"/>
      <c r="Y358" s="518"/>
      <c r="Z358" s="519"/>
      <c r="AA358" s="520"/>
      <c r="AB358" s="513"/>
      <c r="AC358" s="518"/>
      <c r="AD358" s="519"/>
      <c r="AE358" s="520"/>
      <c r="AF358" s="513"/>
      <c r="AG358" s="356"/>
      <c r="AH358" s="356"/>
      <c r="AI358" s="356"/>
      <c r="AJ358" s="356"/>
      <c r="AK358" s="382"/>
      <c r="AL358" s="417"/>
      <c r="AM358" s="383"/>
      <c r="AN358" s="507"/>
      <c r="AO358" s="382"/>
      <c r="AP358" s="417"/>
      <c r="AQ358" s="383"/>
      <c r="AR358" s="507"/>
      <c r="AS358" s="514"/>
      <c r="AT358" s="514"/>
    </row>
    <row r="359">
      <c r="A359" s="382"/>
      <c r="B359" s="417"/>
      <c r="C359" s="383"/>
      <c r="D359" s="507"/>
      <c r="E359" s="382"/>
      <c r="F359" s="417"/>
      <c r="G359" s="383"/>
      <c r="H359" s="507"/>
      <c r="I359" s="382"/>
      <c r="J359" s="417"/>
      <c r="K359" s="383"/>
      <c r="L359" s="507"/>
      <c r="M359" s="382"/>
      <c r="N359" s="417"/>
      <c r="O359" s="383"/>
      <c r="P359" s="507"/>
      <c r="Q359" s="518"/>
      <c r="R359" s="519"/>
      <c r="S359" s="520"/>
      <c r="T359" s="513"/>
      <c r="U359" s="518"/>
      <c r="V359" s="519"/>
      <c r="W359" s="520"/>
      <c r="X359" s="513"/>
      <c r="Y359" s="518"/>
      <c r="Z359" s="519"/>
      <c r="AA359" s="520"/>
      <c r="AB359" s="513"/>
      <c r="AC359" s="518"/>
      <c r="AD359" s="519"/>
      <c r="AE359" s="520"/>
      <c r="AF359" s="513"/>
      <c r="AG359" s="356"/>
      <c r="AH359" s="356"/>
      <c r="AI359" s="356"/>
      <c r="AJ359" s="356"/>
      <c r="AK359" s="382"/>
      <c r="AL359" s="417"/>
      <c r="AM359" s="383"/>
      <c r="AN359" s="507"/>
      <c r="AO359" s="382"/>
      <c r="AP359" s="417"/>
      <c r="AQ359" s="383"/>
      <c r="AR359" s="507"/>
      <c r="AS359" s="514"/>
      <c r="AT359" s="514"/>
    </row>
    <row r="360">
      <c r="A360" s="382"/>
      <c r="B360" s="417"/>
      <c r="C360" s="383"/>
      <c r="D360" s="507"/>
      <c r="E360" s="382"/>
      <c r="F360" s="417"/>
      <c r="G360" s="383"/>
      <c r="H360" s="507"/>
      <c r="I360" s="382"/>
      <c r="J360" s="417"/>
      <c r="K360" s="383"/>
      <c r="L360" s="507"/>
      <c r="M360" s="382"/>
      <c r="N360" s="417"/>
      <c r="O360" s="383"/>
      <c r="P360" s="507"/>
      <c r="Q360" s="518"/>
      <c r="R360" s="519"/>
      <c r="S360" s="520"/>
      <c r="T360" s="513"/>
      <c r="U360" s="518"/>
      <c r="V360" s="519"/>
      <c r="W360" s="520"/>
      <c r="X360" s="513"/>
      <c r="Y360" s="518"/>
      <c r="Z360" s="519"/>
      <c r="AA360" s="520"/>
      <c r="AB360" s="513"/>
      <c r="AC360" s="518"/>
      <c r="AD360" s="519"/>
      <c r="AE360" s="520"/>
      <c r="AF360" s="513"/>
      <c r="AG360" s="356"/>
      <c r="AH360" s="356"/>
      <c r="AI360" s="356"/>
      <c r="AJ360" s="356"/>
      <c r="AK360" s="382"/>
      <c r="AL360" s="417"/>
      <c r="AM360" s="383"/>
      <c r="AN360" s="507"/>
      <c r="AO360" s="382"/>
      <c r="AP360" s="417"/>
      <c r="AQ360" s="383"/>
      <c r="AR360" s="507"/>
      <c r="AS360" s="514"/>
      <c r="AT360" s="514"/>
    </row>
    <row r="361">
      <c r="A361" s="382"/>
      <c r="B361" s="417"/>
      <c r="C361" s="383"/>
      <c r="D361" s="507"/>
      <c r="E361" s="382"/>
      <c r="F361" s="417"/>
      <c r="G361" s="383"/>
      <c r="H361" s="507"/>
      <c r="I361" s="382"/>
      <c r="J361" s="417"/>
      <c r="K361" s="383"/>
      <c r="L361" s="507"/>
      <c r="M361" s="382"/>
      <c r="N361" s="417"/>
      <c r="O361" s="383"/>
      <c r="P361" s="507"/>
      <c r="Q361" s="518"/>
      <c r="R361" s="519"/>
      <c r="S361" s="520"/>
      <c r="T361" s="513"/>
      <c r="U361" s="518"/>
      <c r="V361" s="519"/>
      <c r="W361" s="520"/>
      <c r="X361" s="513"/>
      <c r="Y361" s="518"/>
      <c r="Z361" s="519"/>
      <c r="AA361" s="520"/>
      <c r="AB361" s="513"/>
      <c r="AC361" s="518"/>
      <c r="AD361" s="519"/>
      <c r="AE361" s="520"/>
      <c r="AF361" s="513"/>
      <c r="AG361" s="356"/>
      <c r="AH361" s="356"/>
      <c r="AI361" s="356"/>
      <c r="AJ361" s="356"/>
      <c r="AK361" s="382"/>
      <c r="AL361" s="417"/>
      <c r="AM361" s="383"/>
      <c r="AN361" s="507"/>
      <c r="AO361" s="382"/>
      <c r="AP361" s="417"/>
      <c r="AQ361" s="383"/>
      <c r="AR361" s="507"/>
      <c r="AS361" s="514"/>
      <c r="AT361" s="514"/>
    </row>
    <row r="362">
      <c r="A362" s="382"/>
      <c r="B362" s="417"/>
      <c r="C362" s="383"/>
      <c r="D362" s="507"/>
      <c r="E362" s="382"/>
      <c r="F362" s="417"/>
      <c r="G362" s="383"/>
      <c r="H362" s="507"/>
      <c r="I362" s="382"/>
      <c r="J362" s="417"/>
      <c r="K362" s="383"/>
      <c r="L362" s="507"/>
      <c r="M362" s="382"/>
      <c r="N362" s="417"/>
      <c r="O362" s="383"/>
      <c r="P362" s="507"/>
      <c r="Q362" s="518"/>
      <c r="R362" s="519"/>
      <c r="S362" s="520"/>
      <c r="T362" s="513"/>
      <c r="U362" s="518"/>
      <c r="V362" s="519"/>
      <c r="W362" s="520"/>
      <c r="X362" s="513"/>
      <c r="Y362" s="518"/>
      <c r="Z362" s="519"/>
      <c r="AA362" s="520"/>
      <c r="AB362" s="513"/>
      <c r="AC362" s="518"/>
      <c r="AD362" s="519"/>
      <c r="AE362" s="520"/>
      <c r="AF362" s="513"/>
      <c r="AG362" s="356"/>
      <c r="AH362" s="356"/>
      <c r="AI362" s="356"/>
      <c r="AJ362" s="356"/>
      <c r="AK362" s="382"/>
      <c r="AL362" s="417"/>
      <c r="AM362" s="383"/>
      <c r="AN362" s="507"/>
      <c r="AO362" s="382"/>
      <c r="AP362" s="417"/>
      <c r="AQ362" s="383"/>
      <c r="AR362" s="507"/>
      <c r="AS362" s="514"/>
      <c r="AT362" s="514"/>
    </row>
    <row r="363">
      <c r="A363" s="382"/>
      <c r="B363" s="417"/>
      <c r="C363" s="383"/>
      <c r="D363" s="507"/>
      <c r="E363" s="382"/>
      <c r="F363" s="417"/>
      <c r="G363" s="383"/>
      <c r="H363" s="507"/>
      <c r="I363" s="382"/>
      <c r="J363" s="417"/>
      <c r="K363" s="383"/>
      <c r="L363" s="507"/>
      <c r="M363" s="382"/>
      <c r="N363" s="417"/>
      <c r="O363" s="383"/>
      <c r="P363" s="507"/>
      <c r="Q363" s="518"/>
      <c r="R363" s="519"/>
      <c r="S363" s="520"/>
      <c r="T363" s="513"/>
      <c r="U363" s="518"/>
      <c r="V363" s="519"/>
      <c r="W363" s="520"/>
      <c r="X363" s="513"/>
      <c r="Y363" s="518"/>
      <c r="Z363" s="519"/>
      <c r="AA363" s="520"/>
      <c r="AB363" s="513"/>
      <c r="AC363" s="518"/>
      <c r="AD363" s="519"/>
      <c r="AE363" s="520"/>
      <c r="AF363" s="513"/>
      <c r="AG363" s="356"/>
      <c r="AH363" s="356"/>
      <c r="AI363" s="356"/>
      <c r="AJ363" s="356"/>
      <c r="AK363" s="382"/>
      <c r="AL363" s="417"/>
      <c r="AM363" s="383"/>
      <c r="AN363" s="507"/>
      <c r="AO363" s="382"/>
      <c r="AP363" s="417"/>
      <c r="AQ363" s="383"/>
      <c r="AR363" s="507"/>
      <c r="AS363" s="514"/>
      <c r="AT363" s="514"/>
    </row>
    <row r="364">
      <c r="A364" s="382"/>
      <c r="B364" s="417"/>
      <c r="C364" s="383"/>
      <c r="D364" s="507"/>
      <c r="E364" s="382"/>
      <c r="F364" s="417"/>
      <c r="G364" s="383"/>
      <c r="H364" s="507"/>
      <c r="I364" s="382"/>
      <c r="J364" s="417"/>
      <c r="K364" s="383"/>
      <c r="L364" s="507"/>
      <c r="M364" s="382"/>
      <c r="N364" s="417"/>
      <c r="O364" s="383"/>
      <c r="P364" s="507"/>
      <c r="Q364" s="518"/>
      <c r="R364" s="519"/>
      <c r="S364" s="520"/>
      <c r="T364" s="513"/>
      <c r="U364" s="518"/>
      <c r="V364" s="519"/>
      <c r="W364" s="520"/>
      <c r="X364" s="513"/>
      <c r="Y364" s="518"/>
      <c r="Z364" s="519"/>
      <c r="AA364" s="520"/>
      <c r="AB364" s="513"/>
      <c r="AC364" s="518"/>
      <c r="AD364" s="519"/>
      <c r="AE364" s="520"/>
      <c r="AF364" s="513"/>
      <c r="AG364" s="356"/>
      <c r="AH364" s="356"/>
      <c r="AI364" s="356"/>
      <c r="AJ364" s="356"/>
      <c r="AK364" s="382"/>
      <c r="AL364" s="417"/>
      <c r="AM364" s="383"/>
      <c r="AN364" s="507"/>
      <c r="AO364" s="382"/>
      <c r="AP364" s="417"/>
      <c r="AQ364" s="383"/>
      <c r="AR364" s="507"/>
      <c r="AS364" s="514"/>
      <c r="AT364" s="514"/>
    </row>
    <row r="365">
      <c r="A365" s="382"/>
      <c r="B365" s="417"/>
      <c r="C365" s="383"/>
      <c r="D365" s="507"/>
      <c r="E365" s="382"/>
      <c r="F365" s="417"/>
      <c r="G365" s="383"/>
      <c r="H365" s="507"/>
      <c r="I365" s="382"/>
      <c r="J365" s="417"/>
      <c r="K365" s="383"/>
      <c r="L365" s="507"/>
      <c r="M365" s="382"/>
      <c r="N365" s="417"/>
      <c r="O365" s="383"/>
      <c r="P365" s="507"/>
      <c r="Q365" s="518"/>
      <c r="R365" s="519"/>
      <c r="S365" s="520"/>
      <c r="T365" s="513"/>
      <c r="U365" s="518"/>
      <c r="V365" s="519"/>
      <c r="W365" s="520"/>
      <c r="X365" s="513"/>
      <c r="Y365" s="518"/>
      <c r="Z365" s="519"/>
      <c r="AA365" s="520"/>
      <c r="AB365" s="513"/>
      <c r="AC365" s="518"/>
      <c r="AD365" s="519"/>
      <c r="AE365" s="520"/>
      <c r="AF365" s="513"/>
      <c r="AG365" s="356"/>
      <c r="AH365" s="356"/>
      <c r="AI365" s="356"/>
      <c r="AJ365" s="356"/>
      <c r="AK365" s="382"/>
      <c r="AL365" s="417"/>
      <c r="AM365" s="383"/>
      <c r="AN365" s="507"/>
      <c r="AO365" s="382"/>
      <c r="AP365" s="417"/>
      <c r="AQ365" s="383"/>
      <c r="AR365" s="507"/>
      <c r="AS365" s="514"/>
      <c r="AT365" s="514"/>
    </row>
    <row r="366">
      <c r="A366" s="382"/>
      <c r="B366" s="417"/>
      <c r="C366" s="383"/>
      <c r="D366" s="507"/>
      <c r="E366" s="382"/>
      <c r="F366" s="417"/>
      <c r="G366" s="383"/>
      <c r="H366" s="507"/>
      <c r="I366" s="382"/>
      <c r="J366" s="417"/>
      <c r="K366" s="383"/>
      <c r="L366" s="507"/>
      <c r="M366" s="382"/>
      <c r="N366" s="417"/>
      <c r="O366" s="383"/>
      <c r="P366" s="507"/>
      <c r="Q366" s="518"/>
      <c r="R366" s="519"/>
      <c r="S366" s="520"/>
      <c r="T366" s="513"/>
      <c r="U366" s="518"/>
      <c r="V366" s="519"/>
      <c r="W366" s="520"/>
      <c r="X366" s="513"/>
      <c r="Y366" s="518"/>
      <c r="Z366" s="519"/>
      <c r="AA366" s="520"/>
      <c r="AB366" s="513"/>
      <c r="AC366" s="518"/>
      <c r="AD366" s="519"/>
      <c r="AE366" s="520"/>
      <c r="AF366" s="513"/>
      <c r="AG366" s="356"/>
      <c r="AH366" s="356"/>
      <c r="AI366" s="356"/>
      <c r="AJ366" s="356"/>
      <c r="AK366" s="382"/>
      <c r="AL366" s="417"/>
      <c r="AM366" s="383"/>
      <c r="AN366" s="507"/>
      <c r="AO366" s="382"/>
      <c r="AP366" s="417"/>
      <c r="AQ366" s="383"/>
      <c r="AR366" s="507"/>
      <c r="AS366" s="514"/>
      <c r="AT366" s="514"/>
    </row>
    <row r="367">
      <c r="A367" s="382"/>
      <c r="B367" s="417"/>
      <c r="C367" s="383"/>
      <c r="D367" s="507"/>
      <c r="E367" s="382"/>
      <c r="F367" s="417"/>
      <c r="G367" s="383"/>
      <c r="H367" s="507"/>
      <c r="I367" s="382"/>
      <c r="J367" s="417"/>
      <c r="K367" s="383"/>
      <c r="L367" s="507"/>
      <c r="M367" s="382"/>
      <c r="N367" s="417"/>
      <c r="O367" s="383"/>
      <c r="P367" s="507"/>
      <c r="Q367" s="518"/>
      <c r="R367" s="519"/>
      <c r="S367" s="520"/>
      <c r="T367" s="513"/>
      <c r="U367" s="518"/>
      <c r="V367" s="519"/>
      <c r="W367" s="520"/>
      <c r="X367" s="513"/>
      <c r="Y367" s="518"/>
      <c r="Z367" s="519"/>
      <c r="AA367" s="520"/>
      <c r="AB367" s="513"/>
      <c r="AC367" s="518"/>
      <c r="AD367" s="519"/>
      <c r="AE367" s="520"/>
      <c r="AF367" s="513"/>
      <c r="AG367" s="356"/>
      <c r="AH367" s="356"/>
      <c r="AI367" s="356"/>
      <c r="AJ367" s="356"/>
      <c r="AK367" s="382"/>
      <c r="AL367" s="417"/>
      <c r="AM367" s="383"/>
      <c r="AN367" s="507"/>
      <c r="AO367" s="382"/>
      <c r="AP367" s="417"/>
      <c r="AQ367" s="383"/>
      <c r="AR367" s="507"/>
      <c r="AS367" s="514"/>
      <c r="AT367" s="514"/>
    </row>
    <row r="368">
      <c r="A368" s="382"/>
      <c r="B368" s="417"/>
      <c r="C368" s="383"/>
      <c r="D368" s="507"/>
      <c r="E368" s="382"/>
      <c r="F368" s="417"/>
      <c r="G368" s="383"/>
      <c r="H368" s="507"/>
      <c r="I368" s="382"/>
      <c r="J368" s="417"/>
      <c r="K368" s="383"/>
      <c r="L368" s="507"/>
      <c r="M368" s="382"/>
      <c r="N368" s="417"/>
      <c r="O368" s="383"/>
      <c r="P368" s="507"/>
      <c r="Q368" s="518"/>
      <c r="R368" s="519"/>
      <c r="S368" s="520"/>
      <c r="T368" s="513"/>
      <c r="U368" s="518"/>
      <c r="V368" s="519"/>
      <c r="W368" s="520"/>
      <c r="X368" s="513"/>
      <c r="Y368" s="518"/>
      <c r="Z368" s="519"/>
      <c r="AA368" s="520"/>
      <c r="AB368" s="513"/>
      <c r="AC368" s="518"/>
      <c r="AD368" s="519"/>
      <c r="AE368" s="520"/>
      <c r="AF368" s="513"/>
      <c r="AG368" s="356"/>
      <c r="AH368" s="356"/>
      <c r="AI368" s="356"/>
      <c r="AJ368" s="356"/>
      <c r="AK368" s="382"/>
      <c r="AL368" s="417"/>
      <c r="AM368" s="383"/>
      <c r="AN368" s="507"/>
      <c r="AO368" s="382"/>
      <c r="AP368" s="417"/>
      <c r="AQ368" s="383"/>
      <c r="AR368" s="507"/>
      <c r="AS368" s="514"/>
      <c r="AT368" s="514"/>
    </row>
    <row r="369">
      <c r="A369" s="382"/>
      <c r="B369" s="417"/>
      <c r="C369" s="383"/>
      <c r="D369" s="507"/>
      <c r="E369" s="382"/>
      <c r="F369" s="417"/>
      <c r="G369" s="383"/>
      <c r="H369" s="507"/>
      <c r="I369" s="382"/>
      <c r="J369" s="417"/>
      <c r="K369" s="383"/>
      <c r="L369" s="507"/>
      <c r="M369" s="382"/>
      <c r="N369" s="417"/>
      <c r="O369" s="383"/>
      <c r="P369" s="507"/>
      <c r="Q369" s="518"/>
      <c r="R369" s="519"/>
      <c r="S369" s="520"/>
      <c r="T369" s="513"/>
      <c r="U369" s="518"/>
      <c r="V369" s="519"/>
      <c r="W369" s="520"/>
      <c r="X369" s="513"/>
      <c r="Y369" s="518"/>
      <c r="Z369" s="519"/>
      <c r="AA369" s="520"/>
      <c r="AB369" s="513"/>
      <c r="AC369" s="518"/>
      <c r="AD369" s="519"/>
      <c r="AE369" s="520"/>
      <c r="AF369" s="513"/>
      <c r="AG369" s="356"/>
      <c r="AH369" s="356"/>
      <c r="AI369" s="356"/>
      <c r="AJ369" s="356"/>
      <c r="AK369" s="382"/>
      <c r="AL369" s="417"/>
      <c r="AM369" s="383"/>
      <c r="AN369" s="507"/>
      <c r="AO369" s="382"/>
      <c r="AP369" s="417"/>
      <c r="AQ369" s="383"/>
      <c r="AR369" s="507"/>
      <c r="AS369" s="514"/>
      <c r="AT369" s="514"/>
    </row>
    <row r="370">
      <c r="A370" s="382"/>
      <c r="B370" s="417"/>
      <c r="C370" s="383"/>
      <c r="D370" s="507"/>
      <c r="E370" s="382"/>
      <c r="F370" s="417"/>
      <c r="G370" s="383"/>
      <c r="H370" s="507"/>
      <c r="I370" s="382"/>
      <c r="J370" s="417"/>
      <c r="K370" s="383"/>
      <c r="L370" s="507"/>
      <c r="M370" s="382"/>
      <c r="N370" s="417"/>
      <c r="O370" s="383"/>
      <c r="P370" s="507"/>
      <c r="Q370" s="518"/>
      <c r="R370" s="519"/>
      <c r="S370" s="520"/>
      <c r="T370" s="513"/>
      <c r="U370" s="518"/>
      <c r="V370" s="519"/>
      <c r="W370" s="520"/>
      <c r="X370" s="513"/>
      <c r="Y370" s="518"/>
      <c r="Z370" s="519"/>
      <c r="AA370" s="520"/>
      <c r="AB370" s="513"/>
      <c r="AC370" s="518"/>
      <c r="AD370" s="519"/>
      <c r="AE370" s="520"/>
      <c r="AF370" s="513"/>
      <c r="AG370" s="356"/>
      <c r="AH370" s="356"/>
      <c r="AI370" s="356"/>
      <c r="AJ370" s="356"/>
      <c r="AK370" s="382"/>
      <c r="AL370" s="417"/>
      <c r="AM370" s="383"/>
      <c r="AN370" s="507"/>
      <c r="AO370" s="382"/>
      <c r="AP370" s="417"/>
      <c r="AQ370" s="383"/>
      <c r="AR370" s="507"/>
      <c r="AS370" s="514"/>
      <c r="AT370" s="514"/>
    </row>
    <row r="371">
      <c r="A371" s="382"/>
      <c r="B371" s="417"/>
      <c r="C371" s="383"/>
      <c r="D371" s="507"/>
      <c r="E371" s="382"/>
      <c r="F371" s="417"/>
      <c r="G371" s="383"/>
      <c r="H371" s="507"/>
      <c r="I371" s="382"/>
      <c r="J371" s="417"/>
      <c r="K371" s="383"/>
      <c r="L371" s="507"/>
      <c r="M371" s="382"/>
      <c r="N371" s="417"/>
      <c r="O371" s="383"/>
      <c r="P371" s="507"/>
      <c r="Q371" s="518"/>
      <c r="R371" s="519"/>
      <c r="S371" s="520"/>
      <c r="T371" s="513"/>
      <c r="U371" s="518"/>
      <c r="V371" s="519"/>
      <c r="W371" s="520"/>
      <c r="X371" s="513"/>
      <c r="Y371" s="518"/>
      <c r="Z371" s="519"/>
      <c r="AA371" s="520"/>
      <c r="AB371" s="513"/>
      <c r="AC371" s="518"/>
      <c r="AD371" s="519"/>
      <c r="AE371" s="520"/>
      <c r="AF371" s="513"/>
      <c r="AG371" s="356"/>
      <c r="AH371" s="356"/>
      <c r="AI371" s="356"/>
      <c r="AJ371" s="356"/>
      <c r="AK371" s="382"/>
      <c r="AL371" s="417"/>
      <c r="AM371" s="383"/>
      <c r="AN371" s="507"/>
      <c r="AO371" s="382"/>
      <c r="AP371" s="417"/>
      <c r="AQ371" s="383"/>
      <c r="AR371" s="507"/>
      <c r="AS371" s="514"/>
      <c r="AT371" s="514"/>
    </row>
    <row r="372">
      <c r="A372" s="382"/>
      <c r="B372" s="417"/>
      <c r="C372" s="383"/>
      <c r="D372" s="507"/>
      <c r="E372" s="382"/>
      <c r="F372" s="417"/>
      <c r="G372" s="383"/>
      <c r="H372" s="507"/>
      <c r="I372" s="382"/>
      <c r="J372" s="417"/>
      <c r="K372" s="383"/>
      <c r="L372" s="507"/>
      <c r="M372" s="382"/>
      <c r="N372" s="417"/>
      <c r="O372" s="383"/>
      <c r="P372" s="507"/>
      <c r="Q372" s="518"/>
      <c r="R372" s="519"/>
      <c r="S372" s="520"/>
      <c r="T372" s="513"/>
      <c r="U372" s="518"/>
      <c r="V372" s="519"/>
      <c r="W372" s="520"/>
      <c r="X372" s="513"/>
      <c r="Y372" s="518"/>
      <c r="Z372" s="519"/>
      <c r="AA372" s="520"/>
      <c r="AB372" s="513"/>
      <c r="AC372" s="518"/>
      <c r="AD372" s="519"/>
      <c r="AE372" s="520"/>
      <c r="AF372" s="513"/>
      <c r="AG372" s="356"/>
      <c r="AH372" s="356"/>
      <c r="AI372" s="356"/>
      <c r="AJ372" s="356"/>
      <c r="AK372" s="382"/>
      <c r="AL372" s="417"/>
      <c r="AM372" s="383"/>
      <c r="AN372" s="507"/>
      <c r="AO372" s="382"/>
      <c r="AP372" s="417"/>
      <c r="AQ372" s="383"/>
      <c r="AR372" s="507"/>
      <c r="AS372" s="514"/>
      <c r="AT372" s="514"/>
    </row>
    <row r="373">
      <c r="A373" s="382"/>
      <c r="B373" s="417"/>
      <c r="C373" s="383"/>
      <c r="D373" s="507"/>
      <c r="E373" s="382"/>
      <c r="F373" s="417"/>
      <c r="G373" s="383"/>
      <c r="H373" s="507"/>
      <c r="I373" s="382"/>
      <c r="J373" s="417"/>
      <c r="K373" s="383"/>
      <c r="L373" s="507"/>
      <c r="M373" s="382"/>
      <c r="N373" s="417"/>
      <c r="O373" s="383"/>
      <c r="P373" s="507"/>
      <c r="Q373" s="518"/>
      <c r="R373" s="519"/>
      <c r="S373" s="520"/>
      <c r="T373" s="513"/>
      <c r="U373" s="518"/>
      <c r="V373" s="519"/>
      <c r="W373" s="520"/>
      <c r="X373" s="513"/>
      <c r="Y373" s="518"/>
      <c r="Z373" s="519"/>
      <c r="AA373" s="520"/>
      <c r="AB373" s="513"/>
      <c r="AC373" s="518"/>
      <c r="AD373" s="519"/>
      <c r="AE373" s="520"/>
      <c r="AF373" s="513"/>
      <c r="AG373" s="356"/>
      <c r="AH373" s="356"/>
      <c r="AI373" s="356"/>
      <c r="AJ373" s="356"/>
      <c r="AK373" s="382"/>
      <c r="AL373" s="417"/>
      <c r="AM373" s="383"/>
      <c r="AN373" s="507"/>
      <c r="AO373" s="382"/>
      <c r="AP373" s="417"/>
      <c r="AQ373" s="383"/>
      <c r="AR373" s="507"/>
      <c r="AS373" s="514"/>
      <c r="AT373" s="514"/>
    </row>
    <row r="374">
      <c r="A374" s="382"/>
      <c r="B374" s="417"/>
      <c r="C374" s="383"/>
      <c r="D374" s="507"/>
      <c r="E374" s="382"/>
      <c r="F374" s="417"/>
      <c r="G374" s="383"/>
      <c r="H374" s="507"/>
      <c r="I374" s="382"/>
      <c r="J374" s="417"/>
      <c r="K374" s="383"/>
      <c r="L374" s="507"/>
      <c r="M374" s="382"/>
      <c r="N374" s="417"/>
      <c r="O374" s="383"/>
      <c r="P374" s="507"/>
      <c r="Q374" s="518"/>
      <c r="R374" s="519"/>
      <c r="S374" s="520"/>
      <c r="T374" s="513"/>
      <c r="U374" s="518"/>
      <c r="V374" s="519"/>
      <c r="W374" s="520"/>
      <c r="X374" s="513"/>
      <c r="Y374" s="518"/>
      <c r="Z374" s="519"/>
      <c r="AA374" s="520"/>
      <c r="AB374" s="513"/>
      <c r="AC374" s="518"/>
      <c r="AD374" s="519"/>
      <c r="AE374" s="520"/>
      <c r="AF374" s="513"/>
      <c r="AG374" s="356"/>
      <c r="AH374" s="356"/>
      <c r="AI374" s="356"/>
      <c r="AJ374" s="356"/>
      <c r="AK374" s="382"/>
      <c r="AL374" s="417"/>
      <c r="AM374" s="383"/>
      <c r="AN374" s="507"/>
      <c r="AO374" s="382"/>
      <c r="AP374" s="417"/>
      <c r="AQ374" s="383"/>
      <c r="AR374" s="507"/>
      <c r="AS374" s="514"/>
      <c r="AT374" s="514"/>
    </row>
    <row r="375">
      <c r="A375" s="382"/>
      <c r="B375" s="417"/>
      <c r="C375" s="383"/>
      <c r="D375" s="507"/>
      <c r="E375" s="382"/>
      <c r="F375" s="417"/>
      <c r="G375" s="383"/>
      <c r="H375" s="507"/>
      <c r="I375" s="382"/>
      <c r="J375" s="417"/>
      <c r="K375" s="383"/>
      <c r="L375" s="507"/>
      <c r="M375" s="382"/>
      <c r="N375" s="417"/>
      <c r="O375" s="383"/>
      <c r="P375" s="507"/>
      <c r="Q375" s="518"/>
      <c r="R375" s="519"/>
      <c r="S375" s="520"/>
      <c r="T375" s="513"/>
      <c r="U375" s="518"/>
      <c r="V375" s="519"/>
      <c r="W375" s="520"/>
      <c r="X375" s="513"/>
      <c r="Y375" s="518"/>
      <c r="Z375" s="519"/>
      <c r="AA375" s="520"/>
      <c r="AB375" s="513"/>
      <c r="AC375" s="518"/>
      <c r="AD375" s="519"/>
      <c r="AE375" s="520"/>
      <c r="AF375" s="513"/>
      <c r="AG375" s="356"/>
      <c r="AH375" s="356"/>
      <c r="AI375" s="356"/>
      <c r="AJ375" s="356"/>
      <c r="AK375" s="382"/>
      <c r="AL375" s="417"/>
      <c r="AM375" s="383"/>
      <c r="AN375" s="507"/>
      <c r="AO375" s="382"/>
      <c r="AP375" s="417"/>
      <c r="AQ375" s="383"/>
      <c r="AR375" s="507"/>
      <c r="AS375" s="514"/>
      <c r="AT375" s="514"/>
    </row>
    <row r="376">
      <c r="A376" s="382"/>
      <c r="B376" s="417"/>
      <c r="C376" s="383"/>
      <c r="D376" s="507"/>
      <c r="E376" s="382"/>
      <c r="F376" s="417"/>
      <c r="G376" s="383"/>
      <c r="H376" s="507"/>
      <c r="I376" s="382"/>
      <c r="J376" s="417"/>
      <c r="K376" s="383"/>
      <c r="L376" s="507"/>
      <c r="M376" s="382"/>
      <c r="N376" s="417"/>
      <c r="O376" s="383"/>
      <c r="P376" s="507"/>
      <c r="Q376" s="518"/>
      <c r="R376" s="519"/>
      <c r="S376" s="520"/>
      <c r="T376" s="513"/>
      <c r="U376" s="518"/>
      <c r="V376" s="519"/>
      <c r="W376" s="520"/>
      <c r="X376" s="513"/>
      <c r="Y376" s="518"/>
      <c r="Z376" s="519"/>
      <c r="AA376" s="520"/>
      <c r="AB376" s="513"/>
      <c r="AC376" s="518"/>
      <c r="AD376" s="519"/>
      <c r="AE376" s="520"/>
      <c r="AF376" s="513"/>
      <c r="AG376" s="356"/>
      <c r="AH376" s="356"/>
      <c r="AI376" s="356"/>
      <c r="AJ376" s="356"/>
      <c r="AK376" s="382"/>
      <c r="AL376" s="417"/>
      <c r="AM376" s="383"/>
      <c r="AN376" s="507"/>
      <c r="AO376" s="382"/>
      <c r="AP376" s="417"/>
      <c r="AQ376" s="383"/>
      <c r="AR376" s="507"/>
      <c r="AS376" s="514"/>
      <c r="AT376" s="514"/>
    </row>
    <row r="377">
      <c r="A377" s="382"/>
      <c r="B377" s="417"/>
      <c r="C377" s="383"/>
      <c r="D377" s="507"/>
      <c r="E377" s="382"/>
      <c r="F377" s="417"/>
      <c r="G377" s="383"/>
      <c r="H377" s="507"/>
      <c r="I377" s="382"/>
      <c r="J377" s="417"/>
      <c r="K377" s="383"/>
      <c r="L377" s="507"/>
      <c r="M377" s="382"/>
      <c r="N377" s="417"/>
      <c r="O377" s="383"/>
      <c r="P377" s="507"/>
      <c r="Q377" s="518"/>
      <c r="R377" s="519"/>
      <c r="S377" s="520"/>
      <c r="T377" s="513"/>
      <c r="U377" s="518"/>
      <c r="V377" s="519"/>
      <c r="W377" s="520"/>
      <c r="X377" s="513"/>
      <c r="Y377" s="518"/>
      <c r="Z377" s="519"/>
      <c r="AA377" s="520"/>
      <c r="AB377" s="513"/>
      <c r="AC377" s="518"/>
      <c r="AD377" s="519"/>
      <c r="AE377" s="520"/>
      <c r="AF377" s="513"/>
      <c r="AG377" s="356"/>
      <c r="AH377" s="356"/>
      <c r="AI377" s="356"/>
      <c r="AJ377" s="356"/>
      <c r="AK377" s="382"/>
      <c r="AL377" s="417"/>
      <c r="AM377" s="383"/>
      <c r="AN377" s="507"/>
      <c r="AO377" s="382"/>
      <c r="AP377" s="417"/>
      <c r="AQ377" s="383"/>
      <c r="AR377" s="507"/>
      <c r="AS377" s="514"/>
      <c r="AT377" s="514"/>
    </row>
    <row r="378">
      <c r="A378" s="382"/>
      <c r="B378" s="417"/>
      <c r="C378" s="383"/>
      <c r="D378" s="507"/>
      <c r="E378" s="382"/>
      <c r="F378" s="417"/>
      <c r="G378" s="383"/>
      <c r="H378" s="507"/>
      <c r="I378" s="382"/>
      <c r="J378" s="417"/>
      <c r="K378" s="383"/>
      <c r="L378" s="507"/>
      <c r="M378" s="382"/>
      <c r="N378" s="417"/>
      <c r="O378" s="383"/>
      <c r="P378" s="507"/>
      <c r="Q378" s="518"/>
      <c r="R378" s="519"/>
      <c r="S378" s="520"/>
      <c r="T378" s="513"/>
      <c r="U378" s="518"/>
      <c r="V378" s="519"/>
      <c r="W378" s="520"/>
      <c r="X378" s="513"/>
      <c r="Y378" s="518"/>
      <c r="Z378" s="519"/>
      <c r="AA378" s="520"/>
      <c r="AB378" s="513"/>
      <c r="AC378" s="518"/>
      <c r="AD378" s="519"/>
      <c r="AE378" s="520"/>
      <c r="AF378" s="513"/>
      <c r="AG378" s="356"/>
      <c r="AH378" s="356"/>
      <c r="AI378" s="356"/>
      <c r="AJ378" s="356"/>
      <c r="AK378" s="382"/>
      <c r="AL378" s="417"/>
      <c r="AM378" s="383"/>
      <c r="AN378" s="507"/>
      <c r="AO378" s="382"/>
      <c r="AP378" s="417"/>
      <c r="AQ378" s="383"/>
      <c r="AR378" s="507"/>
      <c r="AS378" s="514"/>
      <c r="AT378" s="514"/>
    </row>
    <row r="379">
      <c r="A379" s="382"/>
      <c r="B379" s="417"/>
      <c r="C379" s="383"/>
      <c r="D379" s="507"/>
      <c r="E379" s="382"/>
      <c r="F379" s="417"/>
      <c r="G379" s="383"/>
      <c r="H379" s="507"/>
      <c r="I379" s="382"/>
      <c r="J379" s="417"/>
      <c r="K379" s="383"/>
      <c r="L379" s="507"/>
      <c r="M379" s="382"/>
      <c r="N379" s="417"/>
      <c r="O379" s="383"/>
      <c r="P379" s="507"/>
      <c r="Q379" s="518"/>
      <c r="R379" s="519"/>
      <c r="S379" s="520"/>
      <c r="T379" s="513"/>
      <c r="U379" s="518"/>
      <c r="V379" s="519"/>
      <c r="W379" s="520"/>
      <c r="X379" s="513"/>
      <c r="Y379" s="518"/>
      <c r="Z379" s="519"/>
      <c r="AA379" s="520"/>
      <c r="AB379" s="513"/>
      <c r="AC379" s="518"/>
      <c r="AD379" s="519"/>
      <c r="AE379" s="520"/>
      <c r="AF379" s="513"/>
      <c r="AG379" s="356"/>
      <c r="AH379" s="356"/>
      <c r="AI379" s="356"/>
      <c r="AJ379" s="356"/>
      <c r="AK379" s="382"/>
      <c r="AL379" s="417"/>
      <c r="AM379" s="383"/>
      <c r="AN379" s="507"/>
      <c r="AO379" s="382"/>
      <c r="AP379" s="417"/>
      <c r="AQ379" s="383"/>
      <c r="AR379" s="507"/>
      <c r="AS379" s="514"/>
      <c r="AT379" s="514"/>
    </row>
    <row r="380">
      <c r="A380" s="382"/>
      <c r="B380" s="417"/>
      <c r="C380" s="383"/>
      <c r="D380" s="507"/>
      <c r="E380" s="382"/>
      <c r="F380" s="417"/>
      <c r="G380" s="383"/>
      <c r="H380" s="507"/>
      <c r="I380" s="382"/>
      <c r="J380" s="417"/>
      <c r="K380" s="383"/>
      <c r="L380" s="507"/>
      <c r="M380" s="382"/>
      <c r="N380" s="417"/>
      <c r="O380" s="383"/>
      <c r="P380" s="507"/>
      <c r="Q380" s="518"/>
      <c r="R380" s="519"/>
      <c r="S380" s="520"/>
      <c r="T380" s="513"/>
      <c r="U380" s="518"/>
      <c r="V380" s="519"/>
      <c r="W380" s="520"/>
      <c r="X380" s="513"/>
      <c r="Y380" s="518"/>
      <c r="Z380" s="519"/>
      <c r="AA380" s="520"/>
      <c r="AB380" s="513"/>
      <c r="AC380" s="518"/>
      <c r="AD380" s="519"/>
      <c r="AE380" s="520"/>
      <c r="AF380" s="513"/>
      <c r="AG380" s="356"/>
      <c r="AH380" s="356"/>
      <c r="AI380" s="356"/>
      <c r="AJ380" s="356"/>
      <c r="AK380" s="382"/>
      <c r="AL380" s="417"/>
      <c r="AM380" s="383"/>
      <c r="AN380" s="507"/>
      <c r="AO380" s="382"/>
      <c r="AP380" s="417"/>
      <c r="AQ380" s="383"/>
      <c r="AR380" s="507"/>
      <c r="AS380" s="514"/>
      <c r="AT380" s="514"/>
    </row>
    <row r="381">
      <c r="A381" s="382"/>
      <c r="B381" s="417"/>
      <c r="C381" s="383"/>
      <c r="D381" s="507"/>
      <c r="E381" s="382"/>
      <c r="F381" s="417"/>
      <c r="G381" s="383"/>
      <c r="H381" s="507"/>
      <c r="I381" s="382"/>
      <c r="J381" s="417"/>
      <c r="K381" s="383"/>
      <c r="L381" s="507"/>
      <c r="M381" s="382"/>
      <c r="N381" s="417"/>
      <c r="O381" s="383"/>
      <c r="P381" s="507"/>
      <c r="Q381" s="518"/>
      <c r="R381" s="519"/>
      <c r="S381" s="520"/>
      <c r="T381" s="513"/>
      <c r="U381" s="518"/>
      <c r="V381" s="519"/>
      <c r="W381" s="520"/>
      <c r="X381" s="513"/>
      <c r="Y381" s="518"/>
      <c r="Z381" s="519"/>
      <c r="AA381" s="520"/>
      <c r="AB381" s="513"/>
      <c r="AC381" s="518"/>
      <c r="AD381" s="519"/>
      <c r="AE381" s="520"/>
      <c r="AF381" s="513"/>
      <c r="AG381" s="356"/>
      <c r="AH381" s="356"/>
      <c r="AI381" s="356"/>
      <c r="AJ381" s="356"/>
      <c r="AK381" s="382"/>
      <c r="AL381" s="417"/>
      <c r="AM381" s="383"/>
      <c r="AN381" s="507"/>
      <c r="AO381" s="382"/>
      <c r="AP381" s="417"/>
      <c r="AQ381" s="383"/>
      <c r="AR381" s="507"/>
      <c r="AS381" s="514"/>
      <c r="AT381" s="514"/>
    </row>
    <row r="382">
      <c r="A382" s="382"/>
      <c r="B382" s="417"/>
      <c r="C382" s="383"/>
      <c r="D382" s="507"/>
      <c r="E382" s="382"/>
      <c r="F382" s="417"/>
      <c r="G382" s="383"/>
      <c r="H382" s="507"/>
      <c r="I382" s="382"/>
      <c r="J382" s="417"/>
      <c r="K382" s="383"/>
      <c r="L382" s="507"/>
      <c r="M382" s="382"/>
      <c r="N382" s="417"/>
      <c r="O382" s="383"/>
      <c r="P382" s="507"/>
      <c r="Q382" s="518"/>
      <c r="R382" s="519"/>
      <c r="S382" s="520"/>
      <c r="T382" s="513"/>
      <c r="U382" s="518"/>
      <c r="V382" s="519"/>
      <c r="W382" s="520"/>
      <c r="X382" s="513"/>
      <c r="Y382" s="518"/>
      <c r="Z382" s="519"/>
      <c r="AA382" s="520"/>
      <c r="AB382" s="513"/>
      <c r="AC382" s="518"/>
      <c r="AD382" s="519"/>
      <c r="AE382" s="520"/>
      <c r="AF382" s="513"/>
      <c r="AG382" s="356"/>
      <c r="AH382" s="356"/>
      <c r="AI382" s="356"/>
      <c r="AJ382" s="356"/>
      <c r="AK382" s="382"/>
      <c r="AL382" s="417"/>
      <c r="AM382" s="383"/>
      <c r="AN382" s="507"/>
      <c r="AO382" s="382"/>
      <c r="AP382" s="417"/>
      <c r="AQ382" s="383"/>
      <c r="AR382" s="507"/>
      <c r="AS382" s="514"/>
      <c r="AT382" s="514"/>
    </row>
    <row r="383">
      <c r="A383" s="382"/>
      <c r="B383" s="417"/>
      <c r="C383" s="383"/>
      <c r="D383" s="507"/>
      <c r="E383" s="382"/>
      <c r="F383" s="417"/>
      <c r="G383" s="383"/>
      <c r="H383" s="507"/>
      <c r="I383" s="382"/>
      <c r="J383" s="417"/>
      <c r="K383" s="383"/>
      <c r="L383" s="507"/>
      <c r="M383" s="382"/>
      <c r="N383" s="417"/>
      <c r="O383" s="383"/>
      <c r="P383" s="507"/>
      <c r="Q383" s="518"/>
      <c r="R383" s="519"/>
      <c r="S383" s="520"/>
      <c r="T383" s="513"/>
      <c r="U383" s="518"/>
      <c r="V383" s="519"/>
      <c r="W383" s="520"/>
      <c r="X383" s="513"/>
      <c r="Y383" s="518"/>
      <c r="Z383" s="519"/>
      <c r="AA383" s="520"/>
      <c r="AB383" s="513"/>
      <c r="AC383" s="518"/>
      <c r="AD383" s="519"/>
      <c r="AE383" s="520"/>
      <c r="AF383" s="513"/>
      <c r="AG383" s="356"/>
      <c r="AH383" s="356"/>
      <c r="AI383" s="356"/>
      <c r="AJ383" s="356"/>
      <c r="AK383" s="382"/>
      <c r="AL383" s="417"/>
      <c r="AM383" s="383"/>
      <c r="AN383" s="507"/>
      <c r="AO383" s="382"/>
      <c r="AP383" s="417"/>
      <c r="AQ383" s="383"/>
      <c r="AR383" s="507"/>
      <c r="AS383" s="514"/>
      <c r="AT383" s="514"/>
    </row>
    <row r="384">
      <c r="A384" s="382"/>
      <c r="B384" s="417"/>
      <c r="C384" s="383"/>
      <c r="D384" s="507"/>
      <c r="E384" s="382"/>
      <c r="F384" s="417"/>
      <c r="G384" s="383"/>
      <c r="H384" s="507"/>
      <c r="I384" s="382"/>
      <c r="J384" s="417"/>
      <c r="K384" s="383"/>
      <c r="L384" s="507"/>
      <c r="M384" s="382"/>
      <c r="N384" s="417"/>
      <c r="O384" s="383"/>
      <c r="P384" s="507"/>
      <c r="Q384" s="518"/>
      <c r="R384" s="519"/>
      <c r="S384" s="520"/>
      <c r="T384" s="513"/>
      <c r="U384" s="518"/>
      <c r="V384" s="519"/>
      <c r="W384" s="520"/>
      <c r="X384" s="513"/>
      <c r="Y384" s="518"/>
      <c r="Z384" s="519"/>
      <c r="AA384" s="520"/>
      <c r="AB384" s="513"/>
      <c r="AC384" s="518"/>
      <c r="AD384" s="519"/>
      <c r="AE384" s="520"/>
      <c r="AF384" s="513"/>
      <c r="AG384" s="356"/>
      <c r="AH384" s="356"/>
      <c r="AI384" s="356"/>
      <c r="AJ384" s="356"/>
      <c r="AK384" s="382"/>
      <c r="AL384" s="417"/>
      <c r="AM384" s="383"/>
      <c r="AN384" s="507"/>
      <c r="AO384" s="382"/>
      <c r="AP384" s="417"/>
      <c r="AQ384" s="383"/>
      <c r="AR384" s="507"/>
      <c r="AS384" s="514"/>
      <c r="AT384" s="514"/>
    </row>
    <row r="385">
      <c r="A385" s="382"/>
      <c r="B385" s="417"/>
      <c r="C385" s="383"/>
      <c r="D385" s="507"/>
      <c r="E385" s="382"/>
      <c r="F385" s="417"/>
      <c r="G385" s="383"/>
      <c r="H385" s="507"/>
      <c r="I385" s="382"/>
      <c r="J385" s="417"/>
      <c r="K385" s="383"/>
      <c r="L385" s="507"/>
      <c r="M385" s="382"/>
      <c r="N385" s="417"/>
      <c r="O385" s="383"/>
      <c r="P385" s="507"/>
      <c r="Q385" s="518"/>
      <c r="R385" s="519"/>
      <c r="S385" s="520"/>
      <c r="T385" s="513"/>
      <c r="U385" s="518"/>
      <c r="V385" s="519"/>
      <c r="W385" s="520"/>
      <c r="X385" s="513"/>
      <c r="Y385" s="518"/>
      <c r="Z385" s="519"/>
      <c r="AA385" s="520"/>
      <c r="AB385" s="513"/>
      <c r="AC385" s="518"/>
      <c r="AD385" s="519"/>
      <c r="AE385" s="520"/>
      <c r="AF385" s="513"/>
      <c r="AG385" s="356"/>
      <c r="AH385" s="356"/>
      <c r="AI385" s="356"/>
      <c r="AJ385" s="356"/>
      <c r="AK385" s="382"/>
      <c r="AL385" s="417"/>
      <c r="AM385" s="383"/>
      <c r="AN385" s="507"/>
      <c r="AO385" s="382"/>
      <c r="AP385" s="417"/>
      <c r="AQ385" s="383"/>
      <c r="AR385" s="507"/>
      <c r="AS385" s="514"/>
      <c r="AT385" s="514"/>
    </row>
    <row r="386">
      <c r="A386" s="382"/>
      <c r="B386" s="417"/>
      <c r="C386" s="383"/>
      <c r="D386" s="507"/>
      <c r="E386" s="382"/>
      <c r="F386" s="417"/>
      <c r="G386" s="383"/>
      <c r="H386" s="507"/>
      <c r="I386" s="382"/>
      <c r="J386" s="417"/>
      <c r="K386" s="383"/>
      <c r="L386" s="507"/>
      <c r="M386" s="382"/>
      <c r="N386" s="417"/>
      <c r="O386" s="383"/>
      <c r="P386" s="507"/>
      <c r="Q386" s="518"/>
      <c r="R386" s="519"/>
      <c r="S386" s="520"/>
      <c r="T386" s="513"/>
      <c r="U386" s="518"/>
      <c r="V386" s="519"/>
      <c r="W386" s="520"/>
      <c r="X386" s="513"/>
      <c r="Y386" s="518"/>
      <c r="Z386" s="519"/>
      <c r="AA386" s="520"/>
      <c r="AB386" s="513"/>
      <c r="AC386" s="518"/>
      <c r="AD386" s="519"/>
      <c r="AE386" s="520"/>
      <c r="AF386" s="513"/>
      <c r="AG386" s="356"/>
      <c r="AH386" s="356"/>
      <c r="AI386" s="356"/>
      <c r="AJ386" s="356"/>
      <c r="AK386" s="382"/>
      <c r="AL386" s="417"/>
      <c r="AM386" s="383"/>
      <c r="AN386" s="507"/>
      <c r="AO386" s="382"/>
      <c r="AP386" s="417"/>
      <c r="AQ386" s="383"/>
      <c r="AR386" s="507"/>
      <c r="AS386" s="514"/>
      <c r="AT386" s="514"/>
    </row>
    <row r="387">
      <c r="A387" s="382"/>
      <c r="B387" s="417"/>
      <c r="C387" s="383"/>
      <c r="D387" s="507"/>
      <c r="E387" s="382"/>
      <c r="F387" s="417"/>
      <c r="G387" s="383"/>
      <c r="H387" s="507"/>
      <c r="I387" s="382"/>
      <c r="J387" s="417"/>
      <c r="K387" s="383"/>
      <c r="L387" s="507"/>
      <c r="M387" s="382"/>
      <c r="N387" s="417"/>
      <c r="O387" s="383"/>
      <c r="P387" s="507"/>
      <c r="Q387" s="518"/>
      <c r="R387" s="519"/>
      <c r="S387" s="520"/>
      <c r="T387" s="513"/>
      <c r="U387" s="518"/>
      <c r="V387" s="519"/>
      <c r="W387" s="520"/>
      <c r="X387" s="513"/>
      <c r="Y387" s="518"/>
      <c r="Z387" s="519"/>
      <c r="AA387" s="520"/>
      <c r="AB387" s="513"/>
      <c r="AC387" s="518"/>
      <c r="AD387" s="519"/>
      <c r="AE387" s="520"/>
      <c r="AF387" s="513"/>
      <c r="AG387" s="356"/>
      <c r="AH387" s="356"/>
      <c r="AI387" s="356"/>
      <c r="AJ387" s="356"/>
      <c r="AK387" s="382"/>
      <c r="AL387" s="417"/>
      <c r="AM387" s="383"/>
      <c r="AN387" s="507"/>
      <c r="AO387" s="382"/>
      <c r="AP387" s="417"/>
      <c r="AQ387" s="383"/>
      <c r="AR387" s="507"/>
      <c r="AS387" s="514"/>
      <c r="AT387" s="514"/>
    </row>
    <row r="388">
      <c r="A388" s="382"/>
      <c r="B388" s="417"/>
      <c r="C388" s="383"/>
      <c r="D388" s="507"/>
      <c r="E388" s="382"/>
      <c r="F388" s="417"/>
      <c r="G388" s="383"/>
      <c r="H388" s="507"/>
      <c r="I388" s="382"/>
      <c r="J388" s="417"/>
      <c r="K388" s="383"/>
      <c r="L388" s="507"/>
      <c r="M388" s="382"/>
      <c r="N388" s="417"/>
      <c r="O388" s="383"/>
      <c r="P388" s="507"/>
      <c r="Q388" s="518"/>
      <c r="R388" s="519"/>
      <c r="S388" s="520"/>
      <c r="T388" s="513"/>
      <c r="U388" s="518"/>
      <c r="V388" s="519"/>
      <c r="W388" s="520"/>
      <c r="X388" s="513"/>
      <c r="Y388" s="518"/>
      <c r="Z388" s="519"/>
      <c r="AA388" s="520"/>
      <c r="AB388" s="513"/>
      <c r="AC388" s="518"/>
      <c r="AD388" s="519"/>
      <c r="AE388" s="520"/>
      <c r="AF388" s="513"/>
      <c r="AG388" s="356"/>
      <c r="AH388" s="356"/>
      <c r="AI388" s="356"/>
      <c r="AJ388" s="356"/>
      <c r="AK388" s="382"/>
      <c r="AL388" s="417"/>
      <c r="AM388" s="383"/>
      <c r="AN388" s="507"/>
      <c r="AO388" s="382"/>
      <c r="AP388" s="417"/>
      <c r="AQ388" s="383"/>
      <c r="AR388" s="507"/>
      <c r="AS388" s="514"/>
      <c r="AT388" s="514"/>
    </row>
    <row r="389">
      <c r="A389" s="382"/>
      <c r="B389" s="417"/>
      <c r="C389" s="383"/>
      <c r="D389" s="507"/>
      <c r="E389" s="382"/>
      <c r="F389" s="417"/>
      <c r="G389" s="383"/>
      <c r="H389" s="507"/>
      <c r="I389" s="382"/>
      <c r="J389" s="417"/>
      <c r="K389" s="383"/>
      <c r="L389" s="507"/>
      <c r="M389" s="382"/>
      <c r="N389" s="417"/>
      <c r="O389" s="383"/>
      <c r="P389" s="507"/>
      <c r="Q389" s="518"/>
      <c r="R389" s="519"/>
      <c r="S389" s="520"/>
      <c r="T389" s="513"/>
      <c r="U389" s="518"/>
      <c r="V389" s="519"/>
      <c r="W389" s="520"/>
      <c r="X389" s="513"/>
      <c r="Y389" s="518"/>
      <c r="Z389" s="519"/>
      <c r="AA389" s="520"/>
      <c r="AB389" s="513"/>
      <c r="AC389" s="518"/>
      <c r="AD389" s="519"/>
      <c r="AE389" s="520"/>
      <c r="AF389" s="513"/>
      <c r="AG389" s="356"/>
      <c r="AH389" s="356"/>
      <c r="AI389" s="356"/>
      <c r="AJ389" s="356"/>
      <c r="AK389" s="382"/>
      <c r="AL389" s="417"/>
      <c r="AM389" s="383"/>
      <c r="AN389" s="507"/>
      <c r="AO389" s="382"/>
      <c r="AP389" s="417"/>
      <c r="AQ389" s="383"/>
      <c r="AR389" s="507"/>
      <c r="AS389" s="514"/>
      <c r="AT389" s="514"/>
    </row>
    <row r="390">
      <c r="A390" s="382"/>
      <c r="B390" s="417"/>
      <c r="C390" s="383"/>
      <c r="D390" s="507"/>
      <c r="E390" s="382"/>
      <c r="F390" s="417"/>
      <c r="G390" s="383"/>
      <c r="H390" s="507"/>
      <c r="I390" s="382"/>
      <c r="J390" s="417"/>
      <c r="K390" s="383"/>
      <c r="L390" s="507"/>
      <c r="M390" s="382"/>
      <c r="N390" s="417"/>
      <c r="O390" s="383"/>
      <c r="P390" s="507"/>
      <c r="Q390" s="518"/>
      <c r="R390" s="519"/>
      <c r="S390" s="520"/>
      <c r="T390" s="513"/>
      <c r="U390" s="518"/>
      <c r="V390" s="519"/>
      <c r="W390" s="520"/>
      <c r="X390" s="513"/>
      <c r="Y390" s="518"/>
      <c r="Z390" s="519"/>
      <c r="AA390" s="520"/>
      <c r="AB390" s="513"/>
      <c r="AC390" s="518"/>
      <c r="AD390" s="519"/>
      <c r="AE390" s="520"/>
      <c r="AF390" s="513"/>
      <c r="AG390" s="356"/>
      <c r="AH390" s="356"/>
      <c r="AI390" s="356"/>
      <c r="AJ390" s="356"/>
      <c r="AK390" s="382"/>
      <c r="AL390" s="417"/>
      <c r="AM390" s="383"/>
      <c r="AN390" s="507"/>
      <c r="AO390" s="382"/>
      <c r="AP390" s="417"/>
      <c r="AQ390" s="383"/>
      <c r="AR390" s="507"/>
      <c r="AS390" s="514"/>
      <c r="AT390" s="514"/>
    </row>
    <row r="391">
      <c r="A391" s="382"/>
      <c r="B391" s="417"/>
      <c r="C391" s="383"/>
      <c r="D391" s="507"/>
      <c r="E391" s="382"/>
      <c r="F391" s="417"/>
      <c r="G391" s="383"/>
      <c r="H391" s="507"/>
      <c r="I391" s="382"/>
      <c r="J391" s="417"/>
      <c r="K391" s="383"/>
      <c r="L391" s="507"/>
      <c r="M391" s="382"/>
      <c r="N391" s="417"/>
      <c r="O391" s="383"/>
      <c r="P391" s="507"/>
      <c r="Q391" s="518"/>
      <c r="R391" s="519"/>
      <c r="S391" s="520"/>
      <c r="T391" s="513"/>
      <c r="U391" s="518"/>
      <c r="V391" s="519"/>
      <c r="W391" s="520"/>
      <c r="X391" s="513"/>
      <c r="Y391" s="518"/>
      <c r="Z391" s="519"/>
      <c r="AA391" s="520"/>
      <c r="AB391" s="513"/>
      <c r="AC391" s="518"/>
      <c r="AD391" s="519"/>
      <c r="AE391" s="520"/>
      <c r="AF391" s="513"/>
      <c r="AG391" s="356"/>
      <c r="AH391" s="356"/>
      <c r="AI391" s="356"/>
      <c r="AJ391" s="356"/>
      <c r="AK391" s="382"/>
      <c r="AL391" s="417"/>
      <c r="AM391" s="383"/>
      <c r="AN391" s="507"/>
      <c r="AO391" s="382"/>
      <c r="AP391" s="417"/>
      <c r="AQ391" s="383"/>
      <c r="AR391" s="507"/>
      <c r="AS391" s="514"/>
      <c r="AT391" s="514"/>
    </row>
    <row r="392">
      <c r="A392" s="382"/>
      <c r="B392" s="417"/>
      <c r="C392" s="383"/>
      <c r="D392" s="507"/>
      <c r="E392" s="382"/>
      <c r="F392" s="417"/>
      <c r="G392" s="383"/>
      <c r="H392" s="507"/>
      <c r="I392" s="382"/>
      <c r="J392" s="417"/>
      <c r="K392" s="383"/>
      <c r="L392" s="507"/>
      <c r="M392" s="382"/>
      <c r="N392" s="417"/>
      <c r="O392" s="383"/>
      <c r="P392" s="507"/>
      <c r="Q392" s="518"/>
      <c r="R392" s="519"/>
      <c r="S392" s="520"/>
      <c r="T392" s="513"/>
      <c r="U392" s="518"/>
      <c r="V392" s="519"/>
      <c r="W392" s="520"/>
      <c r="X392" s="513"/>
      <c r="Y392" s="518"/>
      <c r="Z392" s="519"/>
      <c r="AA392" s="520"/>
      <c r="AB392" s="513"/>
      <c r="AC392" s="518"/>
      <c r="AD392" s="519"/>
      <c r="AE392" s="520"/>
      <c r="AF392" s="513"/>
      <c r="AG392" s="356"/>
      <c r="AH392" s="356"/>
      <c r="AI392" s="356"/>
      <c r="AJ392" s="356"/>
      <c r="AK392" s="382"/>
      <c r="AL392" s="417"/>
      <c r="AM392" s="383"/>
      <c r="AN392" s="507"/>
      <c r="AO392" s="382"/>
      <c r="AP392" s="417"/>
      <c r="AQ392" s="383"/>
      <c r="AR392" s="507"/>
      <c r="AS392" s="514"/>
      <c r="AT392" s="514"/>
    </row>
    <row r="393">
      <c r="A393" s="382"/>
      <c r="B393" s="417"/>
      <c r="C393" s="383"/>
      <c r="D393" s="507"/>
      <c r="E393" s="382"/>
      <c r="F393" s="417"/>
      <c r="G393" s="383"/>
      <c r="H393" s="507"/>
      <c r="I393" s="382"/>
      <c r="J393" s="417"/>
      <c r="K393" s="383"/>
      <c r="L393" s="507"/>
      <c r="M393" s="382"/>
      <c r="N393" s="417"/>
      <c r="O393" s="383"/>
      <c r="P393" s="507"/>
      <c r="Q393" s="518"/>
      <c r="R393" s="519"/>
      <c r="S393" s="520"/>
      <c r="T393" s="513"/>
      <c r="U393" s="518"/>
      <c r="V393" s="519"/>
      <c r="W393" s="520"/>
      <c r="X393" s="513"/>
      <c r="Y393" s="518"/>
      <c r="Z393" s="519"/>
      <c r="AA393" s="520"/>
      <c r="AB393" s="513"/>
      <c r="AC393" s="518"/>
      <c r="AD393" s="519"/>
      <c r="AE393" s="520"/>
      <c r="AF393" s="513"/>
      <c r="AG393" s="356"/>
      <c r="AH393" s="356"/>
      <c r="AI393" s="356"/>
      <c r="AJ393" s="356"/>
      <c r="AK393" s="382"/>
      <c r="AL393" s="417"/>
      <c r="AM393" s="383"/>
      <c r="AN393" s="507"/>
      <c r="AO393" s="382"/>
      <c r="AP393" s="417"/>
      <c r="AQ393" s="383"/>
      <c r="AR393" s="507"/>
      <c r="AS393" s="514"/>
      <c r="AT393" s="514"/>
    </row>
    <row r="394">
      <c r="A394" s="382"/>
      <c r="B394" s="417"/>
      <c r="C394" s="383"/>
      <c r="D394" s="507"/>
      <c r="E394" s="382"/>
      <c r="F394" s="417"/>
      <c r="G394" s="383"/>
      <c r="H394" s="507"/>
      <c r="I394" s="382"/>
      <c r="J394" s="417"/>
      <c r="K394" s="383"/>
      <c r="L394" s="507"/>
      <c r="M394" s="382"/>
      <c r="N394" s="417"/>
      <c r="O394" s="383"/>
      <c r="P394" s="507"/>
      <c r="Q394" s="518"/>
      <c r="R394" s="519"/>
      <c r="S394" s="520"/>
      <c r="T394" s="513"/>
      <c r="U394" s="518"/>
      <c r="V394" s="519"/>
      <c r="W394" s="520"/>
      <c r="X394" s="513"/>
      <c r="Y394" s="518"/>
      <c r="Z394" s="519"/>
      <c r="AA394" s="520"/>
      <c r="AB394" s="513"/>
      <c r="AC394" s="518"/>
      <c r="AD394" s="519"/>
      <c r="AE394" s="520"/>
      <c r="AF394" s="513"/>
      <c r="AG394" s="356"/>
      <c r="AH394" s="356"/>
      <c r="AI394" s="356"/>
      <c r="AJ394" s="356"/>
      <c r="AK394" s="382"/>
      <c r="AL394" s="417"/>
      <c r="AM394" s="383"/>
      <c r="AN394" s="507"/>
      <c r="AO394" s="382"/>
      <c r="AP394" s="417"/>
      <c r="AQ394" s="383"/>
      <c r="AR394" s="507"/>
      <c r="AS394" s="514"/>
      <c r="AT394" s="514"/>
    </row>
    <row r="395">
      <c r="A395" s="382"/>
      <c r="B395" s="417"/>
      <c r="C395" s="383"/>
      <c r="D395" s="507"/>
      <c r="E395" s="382"/>
      <c r="F395" s="417"/>
      <c r="G395" s="383"/>
      <c r="H395" s="507"/>
      <c r="I395" s="382"/>
      <c r="J395" s="417"/>
      <c r="K395" s="383"/>
      <c r="L395" s="507"/>
      <c r="M395" s="382"/>
      <c r="N395" s="417"/>
      <c r="O395" s="383"/>
      <c r="P395" s="507"/>
      <c r="Q395" s="518"/>
      <c r="R395" s="519"/>
      <c r="S395" s="520"/>
      <c r="T395" s="513"/>
      <c r="U395" s="518"/>
      <c r="V395" s="519"/>
      <c r="W395" s="520"/>
      <c r="X395" s="513"/>
      <c r="Y395" s="518"/>
      <c r="Z395" s="519"/>
      <c r="AA395" s="520"/>
      <c r="AB395" s="513"/>
      <c r="AC395" s="518"/>
      <c r="AD395" s="519"/>
      <c r="AE395" s="520"/>
      <c r="AF395" s="513"/>
      <c r="AG395" s="356"/>
      <c r="AH395" s="356"/>
      <c r="AI395" s="356"/>
      <c r="AJ395" s="356"/>
      <c r="AK395" s="382"/>
      <c r="AL395" s="417"/>
      <c r="AM395" s="383"/>
      <c r="AN395" s="507"/>
      <c r="AO395" s="382"/>
      <c r="AP395" s="417"/>
      <c r="AQ395" s="383"/>
      <c r="AR395" s="507"/>
      <c r="AS395" s="514"/>
      <c r="AT395" s="514"/>
    </row>
    <row r="396">
      <c r="A396" s="382"/>
      <c r="B396" s="417"/>
      <c r="C396" s="383"/>
      <c r="D396" s="507"/>
      <c r="E396" s="382"/>
      <c r="F396" s="417"/>
      <c r="G396" s="383"/>
      <c r="H396" s="507"/>
      <c r="I396" s="382"/>
      <c r="J396" s="417"/>
      <c r="K396" s="383"/>
      <c r="L396" s="507"/>
      <c r="M396" s="382"/>
      <c r="N396" s="417"/>
      <c r="O396" s="383"/>
      <c r="P396" s="507"/>
      <c r="Q396" s="518"/>
      <c r="R396" s="519"/>
      <c r="S396" s="520"/>
      <c r="T396" s="513"/>
      <c r="U396" s="518"/>
      <c r="V396" s="519"/>
      <c r="W396" s="520"/>
      <c r="X396" s="513"/>
      <c r="Y396" s="518"/>
      <c r="Z396" s="519"/>
      <c r="AA396" s="520"/>
      <c r="AB396" s="513"/>
      <c r="AC396" s="518"/>
      <c r="AD396" s="519"/>
      <c r="AE396" s="520"/>
      <c r="AF396" s="513"/>
      <c r="AG396" s="356"/>
      <c r="AH396" s="356"/>
      <c r="AI396" s="356"/>
      <c r="AJ396" s="356"/>
      <c r="AK396" s="382"/>
      <c r="AL396" s="417"/>
      <c r="AM396" s="383"/>
      <c r="AN396" s="507"/>
      <c r="AO396" s="382"/>
      <c r="AP396" s="417"/>
      <c r="AQ396" s="383"/>
      <c r="AR396" s="507"/>
      <c r="AS396" s="514"/>
      <c r="AT396" s="514"/>
    </row>
    <row r="397">
      <c r="A397" s="382"/>
      <c r="B397" s="417"/>
      <c r="C397" s="383"/>
      <c r="D397" s="507"/>
      <c r="E397" s="382"/>
      <c r="F397" s="417"/>
      <c r="G397" s="383"/>
      <c r="H397" s="507"/>
      <c r="I397" s="382"/>
      <c r="J397" s="417"/>
      <c r="K397" s="383"/>
      <c r="L397" s="507"/>
      <c r="M397" s="382"/>
      <c r="N397" s="417"/>
      <c r="O397" s="383"/>
      <c r="P397" s="507"/>
      <c r="Q397" s="518"/>
      <c r="R397" s="519"/>
      <c r="S397" s="520"/>
      <c r="T397" s="513"/>
      <c r="U397" s="518"/>
      <c r="V397" s="519"/>
      <c r="W397" s="520"/>
      <c r="X397" s="513"/>
      <c r="Y397" s="518"/>
      <c r="Z397" s="519"/>
      <c r="AA397" s="520"/>
      <c r="AB397" s="513"/>
      <c r="AC397" s="518"/>
      <c r="AD397" s="519"/>
      <c r="AE397" s="520"/>
      <c r="AF397" s="513"/>
      <c r="AG397" s="356"/>
      <c r="AH397" s="356"/>
      <c r="AI397" s="356"/>
      <c r="AJ397" s="356"/>
      <c r="AK397" s="382"/>
      <c r="AL397" s="417"/>
      <c r="AM397" s="383"/>
      <c r="AN397" s="507"/>
      <c r="AO397" s="382"/>
      <c r="AP397" s="417"/>
      <c r="AQ397" s="383"/>
      <c r="AR397" s="507"/>
      <c r="AS397" s="514"/>
      <c r="AT397" s="514"/>
    </row>
    <row r="398">
      <c r="A398" s="382"/>
      <c r="B398" s="417"/>
      <c r="C398" s="383"/>
      <c r="D398" s="507"/>
      <c r="E398" s="382"/>
      <c r="F398" s="417"/>
      <c r="G398" s="383"/>
      <c r="H398" s="507"/>
      <c r="I398" s="382"/>
      <c r="J398" s="417"/>
      <c r="K398" s="383"/>
      <c r="L398" s="507"/>
      <c r="M398" s="382"/>
      <c r="N398" s="417"/>
      <c r="O398" s="383"/>
      <c r="P398" s="507"/>
      <c r="Q398" s="518"/>
      <c r="R398" s="519"/>
      <c r="S398" s="520"/>
      <c r="T398" s="513"/>
      <c r="U398" s="518"/>
      <c r="V398" s="519"/>
      <c r="W398" s="520"/>
      <c r="X398" s="513"/>
      <c r="Y398" s="518"/>
      <c r="Z398" s="519"/>
      <c r="AA398" s="520"/>
      <c r="AB398" s="513"/>
      <c r="AC398" s="518"/>
      <c r="AD398" s="519"/>
      <c r="AE398" s="520"/>
      <c r="AF398" s="513"/>
      <c r="AG398" s="356"/>
      <c r="AH398" s="356"/>
      <c r="AI398" s="356"/>
      <c r="AJ398" s="356"/>
      <c r="AK398" s="382"/>
      <c r="AL398" s="417"/>
      <c r="AM398" s="383"/>
      <c r="AN398" s="507"/>
      <c r="AO398" s="382"/>
      <c r="AP398" s="417"/>
      <c r="AQ398" s="383"/>
      <c r="AR398" s="507"/>
      <c r="AS398" s="514"/>
      <c r="AT398" s="514"/>
    </row>
    <row r="399">
      <c r="A399" s="382"/>
      <c r="B399" s="417"/>
      <c r="C399" s="383"/>
      <c r="D399" s="507"/>
      <c r="E399" s="382"/>
      <c r="F399" s="417"/>
      <c r="G399" s="383"/>
      <c r="H399" s="507"/>
      <c r="I399" s="382"/>
      <c r="J399" s="417"/>
      <c r="K399" s="383"/>
      <c r="L399" s="507"/>
      <c r="M399" s="382"/>
      <c r="N399" s="417"/>
      <c r="O399" s="383"/>
      <c r="P399" s="507"/>
      <c r="Q399" s="518"/>
      <c r="R399" s="519"/>
      <c r="S399" s="520"/>
      <c r="T399" s="513"/>
      <c r="U399" s="518"/>
      <c r="V399" s="519"/>
      <c r="W399" s="520"/>
      <c r="X399" s="513"/>
      <c r="Y399" s="518"/>
      <c r="Z399" s="519"/>
      <c r="AA399" s="520"/>
      <c r="AB399" s="513"/>
      <c r="AC399" s="518"/>
      <c r="AD399" s="519"/>
      <c r="AE399" s="520"/>
      <c r="AF399" s="513"/>
      <c r="AG399" s="356"/>
      <c r="AH399" s="356"/>
      <c r="AI399" s="356"/>
      <c r="AJ399" s="356"/>
      <c r="AK399" s="382"/>
      <c r="AL399" s="417"/>
      <c r="AM399" s="383"/>
      <c r="AN399" s="507"/>
      <c r="AO399" s="382"/>
      <c r="AP399" s="417"/>
      <c r="AQ399" s="383"/>
      <c r="AR399" s="507"/>
      <c r="AS399" s="514"/>
      <c r="AT399" s="514"/>
    </row>
    <row r="400">
      <c r="A400" s="382"/>
      <c r="B400" s="417"/>
      <c r="C400" s="383"/>
      <c r="D400" s="507"/>
      <c r="E400" s="382"/>
      <c r="F400" s="417"/>
      <c r="G400" s="383"/>
      <c r="H400" s="507"/>
      <c r="I400" s="382"/>
      <c r="J400" s="417"/>
      <c r="K400" s="383"/>
      <c r="L400" s="507"/>
      <c r="M400" s="382"/>
      <c r="N400" s="417"/>
      <c r="O400" s="383"/>
      <c r="P400" s="507"/>
      <c r="Q400" s="518"/>
      <c r="R400" s="519"/>
      <c r="S400" s="520"/>
      <c r="T400" s="513"/>
      <c r="U400" s="518"/>
      <c r="V400" s="519"/>
      <c r="W400" s="520"/>
      <c r="X400" s="513"/>
      <c r="Y400" s="518"/>
      <c r="Z400" s="519"/>
      <c r="AA400" s="520"/>
      <c r="AB400" s="513"/>
      <c r="AC400" s="518"/>
      <c r="AD400" s="519"/>
      <c r="AE400" s="520"/>
      <c r="AF400" s="513"/>
      <c r="AG400" s="356"/>
      <c r="AH400" s="356"/>
      <c r="AI400" s="356"/>
      <c r="AJ400" s="356"/>
      <c r="AK400" s="382"/>
      <c r="AL400" s="417"/>
      <c r="AM400" s="383"/>
      <c r="AN400" s="507"/>
      <c r="AO400" s="382"/>
      <c r="AP400" s="417"/>
      <c r="AQ400" s="383"/>
      <c r="AR400" s="507"/>
      <c r="AS400" s="514"/>
      <c r="AT400" s="514"/>
    </row>
    <row r="401">
      <c r="A401" s="382"/>
      <c r="B401" s="417"/>
      <c r="C401" s="383"/>
      <c r="D401" s="507"/>
      <c r="E401" s="382"/>
      <c r="F401" s="417"/>
      <c r="G401" s="383"/>
      <c r="H401" s="507"/>
      <c r="I401" s="382"/>
      <c r="J401" s="417"/>
      <c r="K401" s="383"/>
      <c r="L401" s="507"/>
      <c r="M401" s="382"/>
      <c r="N401" s="417"/>
      <c r="O401" s="383"/>
      <c r="P401" s="507"/>
      <c r="Q401" s="518"/>
      <c r="R401" s="519"/>
      <c r="S401" s="520"/>
      <c r="T401" s="513"/>
      <c r="U401" s="518"/>
      <c r="V401" s="519"/>
      <c r="W401" s="520"/>
      <c r="X401" s="513"/>
      <c r="Y401" s="518"/>
      <c r="Z401" s="519"/>
      <c r="AA401" s="520"/>
      <c r="AB401" s="513"/>
      <c r="AC401" s="518"/>
      <c r="AD401" s="519"/>
      <c r="AE401" s="520"/>
      <c r="AF401" s="513"/>
      <c r="AG401" s="356"/>
      <c r="AH401" s="356"/>
      <c r="AI401" s="356"/>
      <c r="AJ401" s="356"/>
      <c r="AK401" s="382"/>
      <c r="AL401" s="417"/>
      <c r="AM401" s="383"/>
      <c r="AN401" s="507"/>
      <c r="AO401" s="382"/>
      <c r="AP401" s="417"/>
      <c r="AQ401" s="383"/>
      <c r="AR401" s="507"/>
      <c r="AS401" s="514"/>
      <c r="AT401" s="514"/>
    </row>
    <row r="402">
      <c r="A402" s="382"/>
      <c r="B402" s="417"/>
      <c r="C402" s="383"/>
      <c r="D402" s="507"/>
      <c r="E402" s="382"/>
      <c r="F402" s="417"/>
      <c r="G402" s="383"/>
      <c r="H402" s="507"/>
      <c r="I402" s="382"/>
      <c r="J402" s="417"/>
      <c r="K402" s="383"/>
      <c r="L402" s="507"/>
      <c r="M402" s="382"/>
      <c r="N402" s="417"/>
      <c r="O402" s="383"/>
      <c r="P402" s="507"/>
      <c r="Q402" s="518"/>
      <c r="R402" s="519"/>
      <c r="S402" s="520"/>
      <c r="T402" s="513"/>
      <c r="U402" s="518"/>
      <c r="V402" s="519"/>
      <c r="W402" s="520"/>
      <c r="X402" s="513"/>
      <c r="Y402" s="518"/>
      <c r="Z402" s="519"/>
      <c r="AA402" s="520"/>
      <c r="AB402" s="513"/>
      <c r="AC402" s="518"/>
      <c r="AD402" s="519"/>
      <c r="AE402" s="520"/>
      <c r="AF402" s="513"/>
      <c r="AG402" s="356"/>
      <c r="AH402" s="356"/>
      <c r="AI402" s="356"/>
      <c r="AJ402" s="356"/>
      <c r="AK402" s="382"/>
      <c r="AL402" s="417"/>
      <c r="AM402" s="383"/>
      <c r="AN402" s="507"/>
      <c r="AO402" s="382"/>
      <c r="AP402" s="417"/>
      <c r="AQ402" s="383"/>
      <c r="AR402" s="507"/>
      <c r="AS402" s="514"/>
      <c r="AT402" s="514"/>
    </row>
    <row r="403">
      <c r="A403" s="382"/>
      <c r="B403" s="417"/>
      <c r="C403" s="383"/>
      <c r="D403" s="507"/>
      <c r="E403" s="382"/>
      <c r="F403" s="417"/>
      <c r="G403" s="383"/>
      <c r="H403" s="507"/>
      <c r="I403" s="382"/>
      <c r="J403" s="417"/>
      <c r="K403" s="383"/>
      <c r="L403" s="507"/>
      <c r="M403" s="382"/>
      <c r="N403" s="417"/>
      <c r="O403" s="383"/>
      <c r="P403" s="507"/>
      <c r="Q403" s="518"/>
      <c r="R403" s="519"/>
      <c r="S403" s="520"/>
      <c r="T403" s="513"/>
      <c r="U403" s="518"/>
      <c r="V403" s="519"/>
      <c r="W403" s="520"/>
      <c r="X403" s="513"/>
      <c r="Y403" s="518"/>
      <c r="Z403" s="519"/>
      <c r="AA403" s="520"/>
      <c r="AB403" s="513"/>
      <c r="AC403" s="518"/>
      <c r="AD403" s="519"/>
      <c r="AE403" s="520"/>
      <c r="AF403" s="513"/>
      <c r="AG403" s="356"/>
      <c r="AH403" s="356"/>
      <c r="AI403" s="356"/>
      <c r="AJ403" s="356"/>
      <c r="AK403" s="382"/>
      <c r="AL403" s="417"/>
      <c r="AM403" s="383"/>
      <c r="AN403" s="507"/>
      <c r="AO403" s="382"/>
      <c r="AP403" s="417"/>
      <c r="AQ403" s="383"/>
      <c r="AR403" s="507"/>
      <c r="AS403" s="514"/>
      <c r="AT403" s="514"/>
    </row>
    <row r="404">
      <c r="A404" s="382"/>
      <c r="B404" s="417"/>
      <c r="C404" s="383"/>
      <c r="D404" s="507"/>
      <c r="E404" s="382"/>
      <c r="F404" s="417"/>
      <c r="G404" s="383"/>
      <c r="H404" s="507"/>
      <c r="I404" s="382"/>
      <c r="J404" s="417"/>
      <c r="K404" s="383"/>
      <c r="L404" s="507"/>
      <c r="M404" s="382"/>
      <c r="N404" s="417"/>
      <c r="O404" s="383"/>
      <c r="P404" s="507"/>
      <c r="Q404" s="518"/>
      <c r="R404" s="519"/>
      <c r="S404" s="520"/>
      <c r="T404" s="513"/>
      <c r="U404" s="518"/>
      <c r="V404" s="519"/>
      <c r="W404" s="520"/>
      <c r="X404" s="513"/>
      <c r="Y404" s="518"/>
      <c r="Z404" s="519"/>
      <c r="AA404" s="520"/>
      <c r="AB404" s="513"/>
      <c r="AC404" s="518"/>
      <c r="AD404" s="519"/>
      <c r="AE404" s="520"/>
      <c r="AF404" s="513"/>
      <c r="AG404" s="356"/>
      <c r="AH404" s="356"/>
      <c r="AI404" s="356"/>
      <c r="AJ404" s="356"/>
      <c r="AK404" s="382"/>
      <c r="AL404" s="417"/>
      <c r="AM404" s="383"/>
      <c r="AN404" s="507"/>
      <c r="AO404" s="382"/>
      <c r="AP404" s="417"/>
      <c r="AQ404" s="383"/>
      <c r="AR404" s="507"/>
      <c r="AS404" s="514"/>
      <c r="AT404" s="514"/>
    </row>
    <row r="405">
      <c r="A405" s="382"/>
      <c r="B405" s="417"/>
      <c r="C405" s="383"/>
      <c r="D405" s="507"/>
      <c r="E405" s="382"/>
      <c r="F405" s="417"/>
      <c r="G405" s="383"/>
      <c r="H405" s="507"/>
      <c r="I405" s="382"/>
      <c r="J405" s="417"/>
      <c r="K405" s="383"/>
      <c r="L405" s="507"/>
      <c r="M405" s="382"/>
      <c r="N405" s="417"/>
      <c r="O405" s="383"/>
      <c r="P405" s="507"/>
      <c r="Q405" s="518"/>
      <c r="R405" s="519"/>
      <c r="S405" s="520"/>
      <c r="T405" s="513"/>
      <c r="U405" s="518"/>
      <c r="V405" s="519"/>
      <c r="W405" s="520"/>
      <c r="X405" s="513"/>
      <c r="Y405" s="518"/>
      <c r="Z405" s="519"/>
      <c r="AA405" s="520"/>
      <c r="AB405" s="513"/>
      <c r="AC405" s="518"/>
      <c r="AD405" s="519"/>
      <c r="AE405" s="520"/>
      <c r="AF405" s="513"/>
      <c r="AG405" s="356"/>
      <c r="AH405" s="356"/>
      <c r="AI405" s="356"/>
      <c r="AJ405" s="356"/>
      <c r="AK405" s="382"/>
      <c r="AL405" s="417"/>
      <c r="AM405" s="383"/>
      <c r="AN405" s="507"/>
      <c r="AO405" s="382"/>
      <c r="AP405" s="417"/>
      <c r="AQ405" s="383"/>
      <c r="AR405" s="507"/>
      <c r="AS405" s="514"/>
      <c r="AT405" s="514"/>
    </row>
    <row r="406">
      <c r="A406" s="382"/>
      <c r="B406" s="417"/>
      <c r="C406" s="383"/>
      <c r="D406" s="507"/>
      <c r="E406" s="382"/>
      <c r="F406" s="417"/>
      <c r="G406" s="383"/>
      <c r="H406" s="507"/>
      <c r="I406" s="382"/>
      <c r="J406" s="417"/>
      <c r="K406" s="383"/>
      <c r="L406" s="507"/>
      <c r="M406" s="382"/>
      <c r="N406" s="417"/>
      <c r="O406" s="383"/>
      <c r="P406" s="507"/>
      <c r="Q406" s="518"/>
      <c r="R406" s="519"/>
      <c r="S406" s="520"/>
      <c r="T406" s="513"/>
      <c r="U406" s="518"/>
      <c r="V406" s="519"/>
      <c r="W406" s="520"/>
      <c r="X406" s="513"/>
      <c r="Y406" s="518"/>
      <c r="Z406" s="519"/>
      <c r="AA406" s="520"/>
      <c r="AB406" s="513"/>
      <c r="AC406" s="518"/>
      <c r="AD406" s="519"/>
      <c r="AE406" s="520"/>
      <c r="AF406" s="513"/>
      <c r="AG406" s="356"/>
      <c r="AH406" s="356"/>
      <c r="AI406" s="356"/>
      <c r="AJ406" s="356"/>
      <c r="AK406" s="382"/>
      <c r="AL406" s="417"/>
      <c r="AM406" s="383"/>
      <c r="AN406" s="507"/>
      <c r="AO406" s="382"/>
      <c r="AP406" s="417"/>
      <c r="AQ406" s="383"/>
      <c r="AR406" s="507"/>
      <c r="AS406" s="514"/>
      <c r="AT406" s="514"/>
    </row>
    <row r="407">
      <c r="A407" s="382"/>
      <c r="B407" s="417"/>
      <c r="C407" s="383"/>
      <c r="D407" s="507"/>
      <c r="E407" s="382"/>
      <c r="F407" s="417"/>
      <c r="G407" s="383"/>
      <c r="H407" s="507"/>
      <c r="I407" s="382"/>
      <c r="J407" s="417"/>
      <c r="K407" s="383"/>
      <c r="L407" s="507"/>
      <c r="M407" s="382"/>
      <c r="N407" s="417"/>
      <c r="O407" s="383"/>
      <c r="P407" s="507"/>
      <c r="Q407" s="518"/>
      <c r="R407" s="519"/>
      <c r="S407" s="520"/>
      <c r="T407" s="513"/>
      <c r="U407" s="518"/>
      <c r="V407" s="519"/>
      <c r="W407" s="520"/>
      <c r="X407" s="513"/>
      <c r="Y407" s="518"/>
      <c r="Z407" s="519"/>
      <c r="AA407" s="520"/>
      <c r="AB407" s="513"/>
      <c r="AC407" s="518"/>
      <c r="AD407" s="519"/>
      <c r="AE407" s="520"/>
      <c r="AF407" s="513"/>
      <c r="AG407" s="356"/>
      <c r="AH407" s="356"/>
      <c r="AI407" s="356"/>
      <c r="AJ407" s="356"/>
      <c r="AK407" s="382"/>
      <c r="AL407" s="417"/>
      <c r="AM407" s="383"/>
      <c r="AN407" s="507"/>
      <c r="AO407" s="382"/>
      <c r="AP407" s="417"/>
      <c r="AQ407" s="383"/>
      <c r="AR407" s="507"/>
      <c r="AS407" s="514"/>
      <c r="AT407" s="514"/>
    </row>
    <row r="408">
      <c r="A408" s="382"/>
      <c r="B408" s="417"/>
      <c r="C408" s="383"/>
      <c r="D408" s="507"/>
      <c r="E408" s="382"/>
      <c r="F408" s="417"/>
      <c r="G408" s="383"/>
      <c r="H408" s="507"/>
      <c r="I408" s="382"/>
      <c r="J408" s="417"/>
      <c r="K408" s="383"/>
      <c r="L408" s="507"/>
      <c r="M408" s="382"/>
      <c r="N408" s="417"/>
      <c r="O408" s="383"/>
      <c r="P408" s="507"/>
      <c r="Q408" s="518"/>
      <c r="R408" s="519"/>
      <c r="S408" s="520"/>
      <c r="T408" s="513"/>
      <c r="U408" s="518"/>
      <c r="V408" s="519"/>
      <c r="W408" s="520"/>
      <c r="X408" s="513"/>
      <c r="Y408" s="518"/>
      <c r="Z408" s="519"/>
      <c r="AA408" s="520"/>
      <c r="AB408" s="513"/>
      <c r="AC408" s="518"/>
      <c r="AD408" s="519"/>
      <c r="AE408" s="520"/>
      <c r="AF408" s="513"/>
      <c r="AG408" s="356"/>
      <c r="AH408" s="356"/>
      <c r="AI408" s="356"/>
      <c r="AJ408" s="356"/>
      <c r="AK408" s="382"/>
      <c r="AL408" s="417"/>
      <c r="AM408" s="383"/>
      <c r="AN408" s="507"/>
      <c r="AO408" s="382"/>
      <c r="AP408" s="417"/>
      <c r="AQ408" s="383"/>
      <c r="AR408" s="507"/>
      <c r="AS408" s="514"/>
      <c r="AT408" s="514"/>
    </row>
    <row r="409">
      <c r="A409" s="382"/>
      <c r="B409" s="417"/>
      <c r="C409" s="383"/>
      <c r="D409" s="507"/>
      <c r="E409" s="382"/>
      <c r="F409" s="417"/>
      <c r="G409" s="383"/>
      <c r="H409" s="507"/>
      <c r="I409" s="382"/>
      <c r="J409" s="417"/>
      <c r="K409" s="383"/>
      <c r="L409" s="507"/>
      <c r="M409" s="382"/>
      <c r="N409" s="417"/>
      <c r="O409" s="383"/>
      <c r="P409" s="507"/>
      <c r="Q409" s="518"/>
      <c r="R409" s="519"/>
      <c r="S409" s="520"/>
      <c r="T409" s="513"/>
      <c r="U409" s="518"/>
      <c r="V409" s="519"/>
      <c r="W409" s="520"/>
      <c r="X409" s="513"/>
      <c r="Y409" s="518"/>
      <c r="Z409" s="519"/>
      <c r="AA409" s="520"/>
      <c r="AB409" s="513"/>
      <c r="AC409" s="518"/>
      <c r="AD409" s="519"/>
      <c r="AE409" s="520"/>
      <c r="AF409" s="513"/>
      <c r="AG409" s="356"/>
      <c r="AH409" s="356"/>
      <c r="AI409" s="356"/>
      <c r="AJ409" s="356"/>
      <c r="AK409" s="382"/>
      <c r="AL409" s="417"/>
      <c r="AM409" s="383"/>
      <c r="AN409" s="507"/>
      <c r="AO409" s="382"/>
      <c r="AP409" s="417"/>
      <c r="AQ409" s="383"/>
      <c r="AR409" s="507"/>
      <c r="AS409" s="514"/>
      <c r="AT409" s="514"/>
    </row>
    <row r="410">
      <c r="A410" s="382"/>
      <c r="B410" s="417"/>
      <c r="C410" s="383"/>
      <c r="D410" s="507"/>
      <c r="E410" s="382"/>
      <c r="F410" s="417"/>
      <c r="G410" s="383"/>
      <c r="H410" s="507"/>
      <c r="I410" s="382"/>
      <c r="J410" s="417"/>
      <c r="K410" s="383"/>
      <c r="L410" s="507"/>
      <c r="M410" s="382"/>
      <c r="N410" s="417"/>
      <c r="O410" s="383"/>
      <c r="P410" s="507"/>
      <c r="Q410" s="518"/>
      <c r="R410" s="519"/>
      <c r="S410" s="520"/>
      <c r="T410" s="513"/>
      <c r="U410" s="518"/>
      <c r="V410" s="519"/>
      <c r="W410" s="520"/>
      <c r="X410" s="513"/>
      <c r="Y410" s="518"/>
      <c r="Z410" s="519"/>
      <c r="AA410" s="520"/>
      <c r="AB410" s="513"/>
      <c r="AC410" s="518"/>
      <c r="AD410" s="519"/>
      <c r="AE410" s="520"/>
      <c r="AF410" s="513"/>
      <c r="AG410" s="356"/>
      <c r="AH410" s="356"/>
      <c r="AI410" s="356"/>
      <c r="AJ410" s="356"/>
      <c r="AK410" s="382"/>
      <c r="AL410" s="417"/>
      <c r="AM410" s="383"/>
      <c r="AN410" s="507"/>
      <c r="AO410" s="382"/>
      <c r="AP410" s="417"/>
      <c r="AQ410" s="383"/>
      <c r="AR410" s="507"/>
      <c r="AS410" s="514"/>
      <c r="AT410" s="514"/>
    </row>
    <row r="411">
      <c r="A411" s="382"/>
      <c r="B411" s="417"/>
      <c r="C411" s="383"/>
      <c r="D411" s="507"/>
      <c r="E411" s="382"/>
      <c r="F411" s="417"/>
      <c r="G411" s="383"/>
      <c r="H411" s="507"/>
      <c r="I411" s="382"/>
      <c r="J411" s="417"/>
      <c r="K411" s="383"/>
      <c r="L411" s="507"/>
      <c r="M411" s="382"/>
      <c r="N411" s="417"/>
      <c r="O411" s="383"/>
      <c r="P411" s="507"/>
      <c r="Q411" s="518"/>
      <c r="R411" s="519"/>
      <c r="S411" s="520"/>
      <c r="T411" s="513"/>
      <c r="U411" s="518"/>
      <c r="V411" s="519"/>
      <c r="W411" s="520"/>
      <c r="X411" s="513"/>
      <c r="Y411" s="518"/>
      <c r="Z411" s="519"/>
      <c r="AA411" s="520"/>
      <c r="AB411" s="513"/>
      <c r="AC411" s="518"/>
      <c r="AD411" s="519"/>
      <c r="AE411" s="520"/>
      <c r="AF411" s="513"/>
      <c r="AG411" s="356"/>
      <c r="AH411" s="356"/>
      <c r="AI411" s="356"/>
      <c r="AJ411" s="356"/>
      <c r="AK411" s="382"/>
      <c r="AL411" s="417"/>
      <c r="AM411" s="383"/>
      <c r="AN411" s="507"/>
      <c r="AO411" s="382"/>
      <c r="AP411" s="417"/>
      <c r="AQ411" s="383"/>
      <c r="AR411" s="507"/>
      <c r="AS411" s="514"/>
      <c r="AT411" s="514"/>
    </row>
    <row r="412">
      <c r="A412" s="382"/>
      <c r="B412" s="417"/>
      <c r="C412" s="383"/>
      <c r="D412" s="507"/>
      <c r="E412" s="382"/>
      <c r="F412" s="417"/>
      <c r="G412" s="383"/>
      <c r="H412" s="507"/>
      <c r="I412" s="382"/>
      <c r="J412" s="417"/>
      <c r="K412" s="383"/>
      <c r="L412" s="507"/>
      <c r="M412" s="382"/>
      <c r="N412" s="417"/>
      <c r="O412" s="383"/>
      <c r="P412" s="507"/>
      <c r="Q412" s="518"/>
      <c r="R412" s="519"/>
      <c r="S412" s="520"/>
      <c r="T412" s="513"/>
      <c r="U412" s="518"/>
      <c r="V412" s="519"/>
      <c r="W412" s="520"/>
      <c r="X412" s="513"/>
      <c r="Y412" s="518"/>
      <c r="Z412" s="519"/>
      <c r="AA412" s="520"/>
      <c r="AB412" s="513"/>
      <c r="AC412" s="518"/>
      <c r="AD412" s="519"/>
      <c r="AE412" s="520"/>
      <c r="AF412" s="513"/>
      <c r="AG412" s="356"/>
      <c r="AH412" s="356"/>
      <c r="AI412" s="356"/>
      <c r="AJ412" s="356"/>
      <c r="AK412" s="382"/>
      <c r="AL412" s="417"/>
      <c r="AM412" s="383"/>
      <c r="AN412" s="507"/>
      <c r="AO412" s="382"/>
      <c r="AP412" s="417"/>
      <c r="AQ412" s="383"/>
      <c r="AR412" s="507"/>
      <c r="AS412" s="514"/>
      <c r="AT412" s="514"/>
    </row>
    <row r="413">
      <c r="A413" s="382"/>
      <c r="B413" s="417"/>
      <c r="C413" s="383"/>
      <c r="D413" s="507"/>
      <c r="E413" s="382"/>
      <c r="F413" s="417"/>
      <c r="G413" s="383"/>
      <c r="H413" s="507"/>
      <c r="I413" s="382"/>
      <c r="J413" s="417"/>
      <c r="K413" s="383"/>
      <c r="L413" s="507"/>
      <c r="M413" s="382"/>
      <c r="N413" s="417"/>
      <c r="O413" s="383"/>
      <c r="P413" s="507"/>
      <c r="Q413" s="518"/>
      <c r="R413" s="519"/>
      <c r="S413" s="520"/>
      <c r="T413" s="513"/>
      <c r="U413" s="518"/>
      <c r="V413" s="519"/>
      <c r="W413" s="520"/>
      <c r="X413" s="513"/>
      <c r="Y413" s="518"/>
      <c r="Z413" s="519"/>
      <c r="AA413" s="520"/>
      <c r="AB413" s="513"/>
      <c r="AC413" s="518"/>
      <c r="AD413" s="519"/>
      <c r="AE413" s="520"/>
      <c r="AF413" s="513"/>
      <c r="AG413" s="356"/>
      <c r="AH413" s="356"/>
      <c r="AI413" s="356"/>
      <c r="AJ413" s="356"/>
      <c r="AK413" s="382"/>
      <c r="AL413" s="417"/>
      <c r="AM413" s="383"/>
      <c r="AN413" s="507"/>
      <c r="AO413" s="382"/>
      <c r="AP413" s="417"/>
      <c r="AQ413" s="383"/>
      <c r="AR413" s="507"/>
      <c r="AS413" s="514"/>
      <c r="AT413" s="514"/>
    </row>
    <row r="414">
      <c r="A414" s="382"/>
      <c r="B414" s="417"/>
      <c r="C414" s="383"/>
      <c r="D414" s="507"/>
      <c r="E414" s="382"/>
      <c r="F414" s="417"/>
      <c r="G414" s="383"/>
      <c r="H414" s="507"/>
      <c r="I414" s="382"/>
      <c r="J414" s="417"/>
      <c r="K414" s="383"/>
      <c r="L414" s="507"/>
      <c r="M414" s="382"/>
      <c r="N414" s="417"/>
      <c r="O414" s="383"/>
      <c r="P414" s="507"/>
      <c r="Q414" s="518"/>
      <c r="R414" s="519"/>
      <c r="S414" s="520"/>
      <c r="T414" s="513"/>
      <c r="U414" s="518"/>
      <c r="V414" s="519"/>
      <c r="W414" s="520"/>
      <c r="X414" s="513"/>
      <c r="Y414" s="518"/>
      <c r="Z414" s="519"/>
      <c r="AA414" s="520"/>
      <c r="AB414" s="513"/>
      <c r="AC414" s="518"/>
      <c r="AD414" s="519"/>
      <c r="AE414" s="520"/>
      <c r="AF414" s="513"/>
      <c r="AG414" s="356"/>
      <c r="AH414" s="356"/>
      <c r="AI414" s="356"/>
      <c r="AJ414" s="356"/>
      <c r="AK414" s="382"/>
      <c r="AL414" s="417"/>
      <c r="AM414" s="383"/>
      <c r="AN414" s="507"/>
      <c r="AO414" s="382"/>
      <c r="AP414" s="417"/>
      <c r="AQ414" s="383"/>
      <c r="AR414" s="507"/>
      <c r="AS414" s="514"/>
      <c r="AT414" s="514"/>
    </row>
    <row r="415">
      <c r="A415" s="382"/>
      <c r="B415" s="417"/>
      <c r="C415" s="383"/>
      <c r="D415" s="507"/>
      <c r="E415" s="382"/>
      <c r="F415" s="417"/>
      <c r="G415" s="383"/>
      <c r="H415" s="507"/>
      <c r="I415" s="382"/>
      <c r="J415" s="417"/>
      <c r="K415" s="383"/>
      <c r="L415" s="507"/>
      <c r="M415" s="382"/>
      <c r="N415" s="417"/>
      <c r="O415" s="383"/>
      <c r="P415" s="507"/>
      <c r="Q415" s="518"/>
      <c r="R415" s="519"/>
      <c r="S415" s="520"/>
      <c r="T415" s="513"/>
      <c r="U415" s="518"/>
      <c r="V415" s="519"/>
      <c r="W415" s="520"/>
      <c r="X415" s="513"/>
      <c r="Y415" s="518"/>
      <c r="Z415" s="519"/>
      <c r="AA415" s="520"/>
      <c r="AB415" s="513"/>
      <c r="AC415" s="518"/>
      <c r="AD415" s="519"/>
      <c r="AE415" s="520"/>
      <c r="AF415" s="513"/>
      <c r="AG415" s="356"/>
      <c r="AH415" s="356"/>
      <c r="AI415" s="356"/>
      <c r="AJ415" s="356"/>
      <c r="AK415" s="382"/>
      <c r="AL415" s="417"/>
      <c r="AM415" s="383"/>
      <c r="AN415" s="507"/>
      <c r="AO415" s="382"/>
      <c r="AP415" s="417"/>
      <c r="AQ415" s="383"/>
      <c r="AR415" s="507"/>
      <c r="AS415" s="514"/>
      <c r="AT415" s="514"/>
    </row>
    <row r="416">
      <c r="A416" s="382"/>
      <c r="B416" s="417"/>
      <c r="C416" s="383"/>
      <c r="D416" s="507"/>
      <c r="E416" s="382"/>
      <c r="F416" s="417"/>
      <c r="G416" s="383"/>
      <c r="H416" s="507"/>
      <c r="I416" s="382"/>
      <c r="J416" s="417"/>
      <c r="K416" s="383"/>
      <c r="L416" s="507"/>
      <c r="M416" s="382"/>
      <c r="N416" s="417"/>
      <c r="O416" s="383"/>
      <c r="P416" s="507"/>
      <c r="Q416" s="518"/>
      <c r="R416" s="519"/>
      <c r="S416" s="520"/>
      <c r="T416" s="513"/>
      <c r="U416" s="518"/>
      <c r="V416" s="519"/>
      <c r="W416" s="520"/>
      <c r="X416" s="513"/>
      <c r="Y416" s="518"/>
      <c r="Z416" s="519"/>
      <c r="AA416" s="520"/>
      <c r="AB416" s="513"/>
      <c r="AC416" s="518"/>
      <c r="AD416" s="519"/>
      <c r="AE416" s="520"/>
      <c r="AF416" s="513"/>
      <c r="AG416" s="356"/>
      <c r="AH416" s="356"/>
      <c r="AI416" s="356"/>
      <c r="AJ416" s="356"/>
      <c r="AK416" s="382"/>
      <c r="AL416" s="417"/>
      <c r="AM416" s="383"/>
      <c r="AN416" s="507"/>
      <c r="AO416" s="382"/>
      <c r="AP416" s="417"/>
      <c r="AQ416" s="383"/>
      <c r="AR416" s="507"/>
      <c r="AS416" s="514"/>
      <c r="AT416" s="514"/>
    </row>
    <row r="417">
      <c r="A417" s="382"/>
      <c r="B417" s="417"/>
      <c r="C417" s="383"/>
      <c r="D417" s="507"/>
      <c r="E417" s="382"/>
      <c r="F417" s="417"/>
      <c r="G417" s="383"/>
      <c r="H417" s="507"/>
      <c r="I417" s="382"/>
      <c r="J417" s="417"/>
      <c r="K417" s="383"/>
      <c r="L417" s="507"/>
      <c r="M417" s="382"/>
      <c r="N417" s="417"/>
      <c r="O417" s="383"/>
      <c r="P417" s="507"/>
      <c r="Q417" s="518"/>
      <c r="R417" s="519"/>
      <c r="S417" s="520"/>
      <c r="T417" s="513"/>
      <c r="U417" s="518"/>
      <c r="V417" s="519"/>
      <c r="W417" s="520"/>
      <c r="X417" s="513"/>
      <c r="Y417" s="518"/>
      <c r="Z417" s="519"/>
      <c r="AA417" s="520"/>
      <c r="AB417" s="513"/>
      <c r="AC417" s="518"/>
      <c r="AD417" s="519"/>
      <c r="AE417" s="520"/>
      <c r="AF417" s="513"/>
      <c r="AG417" s="356"/>
      <c r="AH417" s="356"/>
      <c r="AI417" s="356"/>
      <c r="AJ417" s="356"/>
      <c r="AK417" s="382"/>
      <c r="AL417" s="417"/>
      <c r="AM417" s="383"/>
      <c r="AN417" s="507"/>
      <c r="AO417" s="382"/>
      <c r="AP417" s="417"/>
      <c r="AQ417" s="383"/>
      <c r="AR417" s="507"/>
      <c r="AS417" s="514"/>
      <c r="AT417" s="514"/>
    </row>
    <row r="418">
      <c r="A418" s="382"/>
      <c r="B418" s="417"/>
      <c r="C418" s="383"/>
      <c r="D418" s="507"/>
      <c r="E418" s="382"/>
      <c r="F418" s="417"/>
      <c r="G418" s="383"/>
      <c r="H418" s="507"/>
      <c r="I418" s="382"/>
      <c r="J418" s="417"/>
      <c r="K418" s="383"/>
      <c r="L418" s="507"/>
      <c r="M418" s="382"/>
      <c r="N418" s="417"/>
      <c r="O418" s="383"/>
      <c r="P418" s="507"/>
      <c r="Q418" s="518"/>
      <c r="R418" s="519"/>
      <c r="S418" s="520"/>
      <c r="T418" s="513"/>
      <c r="U418" s="518"/>
      <c r="V418" s="519"/>
      <c r="W418" s="520"/>
      <c r="X418" s="513"/>
      <c r="Y418" s="518"/>
      <c r="Z418" s="519"/>
      <c r="AA418" s="520"/>
      <c r="AB418" s="513"/>
      <c r="AC418" s="518"/>
      <c r="AD418" s="519"/>
      <c r="AE418" s="520"/>
      <c r="AF418" s="513"/>
      <c r="AG418" s="356"/>
      <c r="AH418" s="356"/>
      <c r="AI418" s="356"/>
      <c r="AJ418" s="356"/>
      <c r="AK418" s="382"/>
      <c r="AL418" s="417"/>
      <c r="AM418" s="383"/>
      <c r="AN418" s="507"/>
      <c r="AO418" s="382"/>
      <c r="AP418" s="417"/>
      <c r="AQ418" s="383"/>
      <c r="AR418" s="507"/>
      <c r="AS418" s="514"/>
      <c r="AT418" s="514"/>
    </row>
    <row r="419">
      <c r="A419" s="382"/>
      <c r="B419" s="417"/>
      <c r="C419" s="383"/>
      <c r="D419" s="507"/>
      <c r="E419" s="382"/>
      <c r="F419" s="417"/>
      <c r="G419" s="383"/>
      <c r="H419" s="507"/>
      <c r="I419" s="382"/>
      <c r="J419" s="417"/>
      <c r="K419" s="383"/>
      <c r="L419" s="507"/>
      <c r="M419" s="382"/>
      <c r="N419" s="417"/>
      <c r="O419" s="383"/>
      <c r="P419" s="507"/>
      <c r="Q419" s="518"/>
      <c r="R419" s="519"/>
      <c r="S419" s="520"/>
      <c r="T419" s="513"/>
      <c r="U419" s="518"/>
      <c r="V419" s="519"/>
      <c r="W419" s="520"/>
      <c r="X419" s="513"/>
      <c r="Y419" s="518"/>
      <c r="Z419" s="519"/>
      <c r="AA419" s="520"/>
      <c r="AB419" s="513"/>
      <c r="AC419" s="518"/>
      <c r="AD419" s="519"/>
      <c r="AE419" s="520"/>
      <c r="AF419" s="513"/>
      <c r="AG419" s="356"/>
      <c r="AH419" s="356"/>
      <c r="AI419" s="356"/>
      <c r="AJ419" s="356"/>
      <c r="AK419" s="382"/>
      <c r="AL419" s="417"/>
      <c r="AM419" s="383"/>
      <c r="AN419" s="507"/>
      <c r="AO419" s="382"/>
      <c r="AP419" s="417"/>
      <c r="AQ419" s="383"/>
      <c r="AR419" s="507"/>
      <c r="AS419" s="514"/>
      <c r="AT419" s="514"/>
    </row>
    <row r="420">
      <c r="A420" s="382"/>
      <c r="B420" s="417"/>
      <c r="C420" s="383"/>
      <c r="D420" s="507"/>
      <c r="E420" s="382"/>
      <c r="F420" s="417"/>
      <c r="G420" s="383"/>
      <c r="H420" s="507"/>
      <c r="I420" s="382"/>
      <c r="J420" s="417"/>
      <c r="K420" s="383"/>
      <c r="L420" s="507"/>
      <c r="M420" s="382"/>
      <c r="N420" s="417"/>
      <c r="O420" s="383"/>
      <c r="P420" s="507"/>
      <c r="Q420" s="518"/>
      <c r="R420" s="519"/>
      <c r="S420" s="520"/>
      <c r="T420" s="513"/>
      <c r="U420" s="518"/>
      <c r="V420" s="519"/>
      <c r="W420" s="520"/>
      <c r="X420" s="513"/>
      <c r="Y420" s="518"/>
      <c r="Z420" s="519"/>
      <c r="AA420" s="520"/>
      <c r="AB420" s="513"/>
      <c r="AC420" s="518"/>
      <c r="AD420" s="519"/>
      <c r="AE420" s="520"/>
      <c r="AF420" s="513"/>
      <c r="AG420" s="356"/>
      <c r="AH420" s="356"/>
      <c r="AI420" s="356"/>
      <c r="AJ420" s="356"/>
      <c r="AK420" s="382"/>
      <c r="AL420" s="417"/>
      <c r="AM420" s="383"/>
      <c r="AN420" s="507"/>
      <c r="AO420" s="382"/>
      <c r="AP420" s="417"/>
      <c r="AQ420" s="383"/>
      <c r="AR420" s="507"/>
      <c r="AS420" s="514"/>
      <c r="AT420" s="514"/>
    </row>
    <row r="421">
      <c r="A421" s="382"/>
      <c r="B421" s="417"/>
      <c r="C421" s="383"/>
      <c r="D421" s="507"/>
      <c r="E421" s="382"/>
      <c r="F421" s="417"/>
      <c r="G421" s="383"/>
      <c r="H421" s="507"/>
      <c r="I421" s="382"/>
      <c r="J421" s="417"/>
      <c r="K421" s="383"/>
      <c r="L421" s="507"/>
      <c r="M421" s="382"/>
      <c r="N421" s="417"/>
      <c r="O421" s="383"/>
      <c r="P421" s="507"/>
      <c r="Q421" s="518"/>
      <c r="R421" s="519"/>
      <c r="S421" s="520"/>
      <c r="T421" s="513"/>
      <c r="U421" s="518"/>
      <c r="V421" s="519"/>
      <c r="W421" s="520"/>
      <c r="X421" s="513"/>
      <c r="Y421" s="518"/>
      <c r="Z421" s="519"/>
      <c r="AA421" s="520"/>
      <c r="AB421" s="513"/>
      <c r="AC421" s="518"/>
      <c r="AD421" s="519"/>
      <c r="AE421" s="520"/>
      <c r="AF421" s="513"/>
      <c r="AG421" s="356"/>
      <c r="AH421" s="356"/>
      <c r="AI421" s="356"/>
      <c r="AJ421" s="356"/>
      <c r="AK421" s="382"/>
      <c r="AL421" s="417"/>
      <c r="AM421" s="383"/>
      <c r="AN421" s="507"/>
      <c r="AO421" s="382"/>
      <c r="AP421" s="417"/>
      <c r="AQ421" s="383"/>
      <c r="AR421" s="507"/>
      <c r="AS421" s="514"/>
      <c r="AT421" s="514"/>
    </row>
    <row r="422">
      <c r="A422" s="382"/>
      <c r="B422" s="417"/>
      <c r="C422" s="383"/>
      <c r="D422" s="507"/>
      <c r="E422" s="382"/>
      <c r="F422" s="417"/>
      <c r="G422" s="383"/>
      <c r="H422" s="507"/>
      <c r="I422" s="382"/>
      <c r="J422" s="417"/>
      <c r="K422" s="383"/>
      <c r="L422" s="507"/>
      <c r="M422" s="382"/>
      <c r="N422" s="417"/>
      <c r="O422" s="383"/>
      <c r="P422" s="507"/>
      <c r="Q422" s="518"/>
      <c r="R422" s="519"/>
      <c r="S422" s="520"/>
      <c r="T422" s="513"/>
      <c r="U422" s="518"/>
      <c r="V422" s="519"/>
      <c r="W422" s="520"/>
      <c r="X422" s="513"/>
      <c r="Y422" s="518"/>
      <c r="Z422" s="519"/>
      <c r="AA422" s="520"/>
      <c r="AB422" s="513"/>
      <c r="AC422" s="518"/>
      <c r="AD422" s="519"/>
      <c r="AE422" s="520"/>
      <c r="AF422" s="513"/>
      <c r="AG422" s="356"/>
      <c r="AH422" s="356"/>
      <c r="AI422" s="356"/>
      <c r="AJ422" s="356"/>
      <c r="AK422" s="382"/>
      <c r="AL422" s="417"/>
      <c r="AM422" s="383"/>
      <c r="AN422" s="507"/>
      <c r="AO422" s="382"/>
      <c r="AP422" s="417"/>
      <c r="AQ422" s="383"/>
      <c r="AR422" s="507"/>
      <c r="AS422" s="514"/>
      <c r="AT422" s="514"/>
    </row>
    <row r="423">
      <c r="A423" s="382"/>
      <c r="B423" s="417"/>
      <c r="C423" s="383"/>
      <c r="D423" s="507"/>
      <c r="E423" s="382"/>
      <c r="F423" s="417"/>
      <c r="G423" s="383"/>
      <c r="H423" s="507"/>
      <c r="I423" s="382"/>
      <c r="J423" s="417"/>
      <c r="K423" s="383"/>
      <c r="L423" s="507"/>
      <c r="M423" s="382"/>
      <c r="N423" s="417"/>
      <c r="O423" s="383"/>
      <c r="P423" s="507"/>
      <c r="Q423" s="518"/>
      <c r="R423" s="519"/>
      <c r="S423" s="520"/>
      <c r="T423" s="513"/>
      <c r="U423" s="518"/>
      <c r="V423" s="519"/>
      <c r="W423" s="520"/>
      <c r="X423" s="513"/>
      <c r="Y423" s="518"/>
      <c r="Z423" s="519"/>
      <c r="AA423" s="520"/>
      <c r="AB423" s="513"/>
      <c r="AC423" s="518"/>
      <c r="AD423" s="519"/>
      <c r="AE423" s="520"/>
      <c r="AF423" s="513"/>
      <c r="AG423" s="356"/>
      <c r="AH423" s="356"/>
      <c r="AI423" s="356"/>
      <c r="AJ423" s="356"/>
      <c r="AK423" s="382"/>
      <c r="AL423" s="417"/>
      <c r="AM423" s="383"/>
      <c r="AN423" s="507"/>
      <c r="AO423" s="382"/>
      <c r="AP423" s="417"/>
      <c r="AQ423" s="383"/>
      <c r="AR423" s="507"/>
      <c r="AS423" s="514"/>
      <c r="AT423" s="514"/>
    </row>
    <row r="424">
      <c r="A424" s="382"/>
      <c r="B424" s="417"/>
      <c r="C424" s="383"/>
      <c r="D424" s="507"/>
      <c r="E424" s="382"/>
      <c r="F424" s="417"/>
      <c r="G424" s="383"/>
      <c r="H424" s="507"/>
      <c r="I424" s="382"/>
      <c r="J424" s="417"/>
      <c r="K424" s="383"/>
      <c r="L424" s="507"/>
      <c r="M424" s="382"/>
      <c r="N424" s="417"/>
      <c r="O424" s="383"/>
      <c r="P424" s="507"/>
      <c r="Q424" s="518"/>
      <c r="R424" s="519"/>
      <c r="S424" s="520"/>
      <c r="T424" s="513"/>
      <c r="U424" s="518"/>
      <c r="V424" s="519"/>
      <c r="W424" s="520"/>
      <c r="X424" s="513"/>
      <c r="Y424" s="518"/>
      <c r="Z424" s="519"/>
      <c r="AA424" s="520"/>
      <c r="AB424" s="513"/>
      <c r="AC424" s="518"/>
      <c r="AD424" s="519"/>
      <c r="AE424" s="520"/>
      <c r="AF424" s="513"/>
      <c r="AG424" s="356"/>
      <c r="AH424" s="356"/>
      <c r="AI424" s="356"/>
      <c r="AJ424" s="356"/>
      <c r="AK424" s="382"/>
      <c r="AL424" s="417"/>
      <c r="AM424" s="383"/>
      <c r="AN424" s="507"/>
      <c r="AO424" s="382"/>
      <c r="AP424" s="417"/>
      <c r="AQ424" s="383"/>
      <c r="AR424" s="507"/>
      <c r="AS424" s="514"/>
      <c r="AT424" s="514"/>
    </row>
    <row r="425">
      <c r="A425" s="382"/>
      <c r="B425" s="417"/>
      <c r="C425" s="383"/>
      <c r="D425" s="507"/>
      <c r="E425" s="382"/>
      <c r="F425" s="417"/>
      <c r="G425" s="383"/>
      <c r="H425" s="507"/>
      <c r="I425" s="382"/>
      <c r="J425" s="417"/>
      <c r="K425" s="383"/>
      <c r="L425" s="507"/>
      <c r="M425" s="382"/>
      <c r="N425" s="417"/>
      <c r="O425" s="383"/>
      <c r="P425" s="507"/>
      <c r="Q425" s="518"/>
      <c r="R425" s="519"/>
      <c r="S425" s="520"/>
      <c r="T425" s="513"/>
      <c r="U425" s="518"/>
      <c r="V425" s="519"/>
      <c r="W425" s="520"/>
      <c r="X425" s="513"/>
      <c r="Y425" s="518"/>
      <c r="Z425" s="519"/>
      <c r="AA425" s="520"/>
      <c r="AB425" s="513"/>
      <c r="AC425" s="518"/>
      <c r="AD425" s="519"/>
      <c r="AE425" s="520"/>
      <c r="AF425" s="513"/>
      <c r="AG425" s="356"/>
      <c r="AH425" s="356"/>
      <c r="AI425" s="356"/>
      <c r="AJ425" s="356"/>
      <c r="AK425" s="382"/>
      <c r="AL425" s="417"/>
      <c r="AM425" s="383"/>
      <c r="AN425" s="507"/>
      <c r="AO425" s="382"/>
      <c r="AP425" s="417"/>
      <c r="AQ425" s="383"/>
      <c r="AR425" s="507"/>
      <c r="AS425" s="514"/>
      <c r="AT425" s="514"/>
    </row>
    <row r="426">
      <c r="A426" s="382"/>
      <c r="B426" s="417"/>
      <c r="C426" s="383"/>
      <c r="D426" s="507"/>
      <c r="E426" s="382"/>
      <c r="F426" s="417"/>
      <c r="G426" s="383"/>
      <c r="H426" s="507"/>
      <c r="I426" s="382"/>
      <c r="J426" s="417"/>
      <c r="K426" s="383"/>
      <c r="L426" s="507"/>
      <c r="M426" s="382"/>
      <c r="N426" s="417"/>
      <c r="O426" s="383"/>
      <c r="P426" s="507"/>
      <c r="Q426" s="518"/>
      <c r="R426" s="519"/>
      <c r="S426" s="520"/>
      <c r="T426" s="513"/>
      <c r="U426" s="518"/>
      <c r="V426" s="519"/>
      <c r="W426" s="520"/>
      <c r="X426" s="513"/>
      <c r="Y426" s="518"/>
      <c r="Z426" s="519"/>
      <c r="AA426" s="520"/>
      <c r="AB426" s="513"/>
      <c r="AC426" s="518"/>
      <c r="AD426" s="519"/>
      <c r="AE426" s="520"/>
      <c r="AF426" s="513"/>
      <c r="AG426" s="356"/>
      <c r="AH426" s="356"/>
      <c r="AI426" s="356"/>
      <c r="AJ426" s="356"/>
      <c r="AK426" s="382"/>
      <c r="AL426" s="417"/>
      <c r="AM426" s="383"/>
      <c r="AN426" s="507"/>
      <c r="AO426" s="382"/>
      <c r="AP426" s="417"/>
      <c r="AQ426" s="383"/>
      <c r="AR426" s="507"/>
      <c r="AS426" s="514"/>
      <c r="AT426" s="514"/>
    </row>
    <row r="427">
      <c r="A427" s="382"/>
      <c r="B427" s="417"/>
      <c r="C427" s="383"/>
      <c r="D427" s="507"/>
      <c r="E427" s="382"/>
      <c r="F427" s="417"/>
      <c r="G427" s="383"/>
      <c r="H427" s="507"/>
      <c r="I427" s="382"/>
      <c r="J427" s="417"/>
      <c r="K427" s="383"/>
      <c r="L427" s="507"/>
      <c r="M427" s="382"/>
      <c r="N427" s="417"/>
      <c r="O427" s="383"/>
      <c r="P427" s="507"/>
      <c r="Q427" s="518"/>
      <c r="R427" s="519"/>
      <c r="S427" s="520"/>
      <c r="T427" s="513"/>
      <c r="U427" s="518"/>
      <c r="V427" s="519"/>
      <c r="W427" s="520"/>
      <c r="X427" s="513"/>
      <c r="Y427" s="518"/>
      <c r="Z427" s="519"/>
      <c r="AA427" s="520"/>
      <c r="AB427" s="513"/>
      <c r="AC427" s="518"/>
      <c r="AD427" s="519"/>
      <c r="AE427" s="520"/>
      <c r="AF427" s="513"/>
      <c r="AG427" s="356"/>
      <c r="AH427" s="356"/>
      <c r="AI427" s="356"/>
      <c r="AJ427" s="356"/>
      <c r="AK427" s="382"/>
      <c r="AL427" s="417"/>
      <c r="AM427" s="383"/>
      <c r="AN427" s="507"/>
      <c r="AO427" s="382"/>
      <c r="AP427" s="417"/>
      <c r="AQ427" s="383"/>
      <c r="AR427" s="507"/>
      <c r="AS427" s="514"/>
      <c r="AT427" s="514"/>
    </row>
    <row r="428">
      <c r="A428" s="382"/>
      <c r="B428" s="417"/>
      <c r="C428" s="383"/>
      <c r="D428" s="507"/>
      <c r="E428" s="382"/>
      <c r="F428" s="417"/>
      <c r="G428" s="383"/>
      <c r="H428" s="507"/>
      <c r="I428" s="382"/>
      <c r="J428" s="417"/>
      <c r="K428" s="383"/>
      <c r="L428" s="507"/>
      <c r="M428" s="382"/>
      <c r="N428" s="417"/>
      <c r="O428" s="383"/>
      <c r="P428" s="507"/>
      <c r="Q428" s="518"/>
      <c r="R428" s="519"/>
      <c r="S428" s="520"/>
      <c r="T428" s="513"/>
      <c r="U428" s="518"/>
      <c r="V428" s="519"/>
      <c r="W428" s="520"/>
      <c r="X428" s="513"/>
      <c r="Y428" s="518"/>
      <c r="Z428" s="519"/>
      <c r="AA428" s="520"/>
      <c r="AB428" s="513"/>
      <c r="AC428" s="518"/>
      <c r="AD428" s="519"/>
      <c r="AE428" s="520"/>
      <c r="AF428" s="513"/>
      <c r="AG428" s="356"/>
      <c r="AH428" s="356"/>
      <c r="AI428" s="356"/>
      <c r="AJ428" s="356"/>
      <c r="AK428" s="382"/>
      <c r="AL428" s="417"/>
      <c r="AM428" s="383"/>
      <c r="AN428" s="507"/>
      <c r="AO428" s="382"/>
      <c r="AP428" s="417"/>
      <c r="AQ428" s="383"/>
      <c r="AR428" s="507"/>
      <c r="AS428" s="514"/>
      <c r="AT428" s="514"/>
    </row>
    <row r="429">
      <c r="A429" s="382"/>
      <c r="B429" s="417"/>
      <c r="C429" s="383"/>
      <c r="D429" s="507"/>
      <c r="E429" s="382"/>
      <c r="F429" s="417"/>
      <c r="G429" s="383"/>
      <c r="H429" s="507"/>
      <c r="I429" s="382"/>
      <c r="J429" s="417"/>
      <c r="K429" s="383"/>
      <c r="L429" s="507"/>
      <c r="M429" s="382"/>
      <c r="N429" s="417"/>
      <c r="O429" s="383"/>
      <c r="P429" s="507"/>
      <c r="Q429" s="518"/>
      <c r="R429" s="519"/>
      <c r="S429" s="520"/>
      <c r="T429" s="513"/>
      <c r="U429" s="518"/>
      <c r="V429" s="519"/>
      <c r="W429" s="520"/>
      <c r="X429" s="513"/>
      <c r="Y429" s="518"/>
      <c r="Z429" s="519"/>
      <c r="AA429" s="520"/>
      <c r="AB429" s="513"/>
      <c r="AC429" s="518"/>
      <c r="AD429" s="519"/>
      <c r="AE429" s="520"/>
      <c r="AF429" s="513"/>
      <c r="AG429" s="356"/>
      <c r="AH429" s="356"/>
      <c r="AI429" s="356"/>
      <c r="AJ429" s="356"/>
      <c r="AK429" s="382"/>
      <c r="AL429" s="417"/>
      <c r="AM429" s="383"/>
      <c r="AN429" s="507"/>
      <c r="AO429" s="382"/>
      <c r="AP429" s="417"/>
      <c r="AQ429" s="383"/>
      <c r="AR429" s="507"/>
      <c r="AS429" s="514"/>
      <c r="AT429" s="514"/>
    </row>
    <row r="430">
      <c r="A430" s="382"/>
      <c r="B430" s="417"/>
      <c r="C430" s="383"/>
      <c r="D430" s="507"/>
      <c r="E430" s="382"/>
      <c r="F430" s="417"/>
      <c r="G430" s="383"/>
      <c r="H430" s="507"/>
      <c r="I430" s="382"/>
      <c r="J430" s="417"/>
      <c r="K430" s="383"/>
      <c r="L430" s="507"/>
      <c r="M430" s="382"/>
      <c r="N430" s="417"/>
      <c r="O430" s="383"/>
      <c r="P430" s="507"/>
      <c r="Q430" s="518"/>
      <c r="R430" s="519"/>
      <c r="S430" s="520"/>
      <c r="T430" s="513"/>
      <c r="U430" s="518"/>
      <c r="V430" s="519"/>
      <c r="W430" s="520"/>
      <c r="X430" s="513"/>
      <c r="Y430" s="518"/>
      <c r="Z430" s="519"/>
      <c r="AA430" s="520"/>
      <c r="AB430" s="513"/>
      <c r="AC430" s="518"/>
      <c r="AD430" s="519"/>
      <c r="AE430" s="520"/>
      <c r="AF430" s="513"/>
      <c r="AG430" s="356"/>
      <c r="AH430" s="356"/>
      <c r="AI430" s="356"/>
      <c r="AJ430" s="356"/>
      <c r="AK430" s="382"/>
      <c r="AL430" s="417"/>
      <c r="AM430" s="383"/>
      <c r="AN430" s="507"/>
      <c r="AO430" s="382"/>
      <c r="AP430" s="417"/>
      <c r="AQ430" s="383"/>
      <c r="AR430" s="507"/>
      <c r="AS430" s="514"/>
      <c r="AT430" s="514"/>
    </row>
    <row r="431">
      <c r="A431" s="382"/>
      <c r="B431" s="417"/>
      <c r="C431" s="383"/>
      <c r="D431" s="507"/>
      <c r="E431" s="382"/>
      <c r="F431" s="417"/>
      <c r="G431" s="383"/>
      <c r="H431" s="507"/>
      <c r="I431" s="382"/>
      <c r="J431" s="417"/>
      <c r="K431" s="383"/>
      <c r="L431" s="507"/>
      <c r="M431" s="382"/>
      <c r="N431" s="417"/>
      <c r="O431" s="383"/>
      <c r="P431" s="507"/>
      <c r="Q431" s="518"/>
      <c r="R431" s="519"/>
      <c r="S431" s="520"/>
      <c r="T431" s="513"/>
      <c r="U431" s="518"/>
      <c r="V431" s="519"/>
      <c r="W431" s="520"/>
      <c r="X431" s="513"/>
      <c r="Y431" s="518"/>
      <c r="Z431" s="519"/>
      <c r="AA431" s="520"/>
      <c r="AB431" s="513"/>
      <c r="AC431" s="518"/>
      <c r="AD431" s="519"/>
      <c r="AE431" s="520"/>
      <c r="AF431" s="513"/>
      <c r="AG431" s="356"/>
      <c r="AH431" s="356"/>
      <c r="AI431" s="356"/>
      <c r="AJ431" s="356"/>
      <c r="AK431" s="382"/>
      <c r="AL431" s="417"/>
      <c r="AM431" s="383"/>
      <c r="AN431" s="507"/>
      <c r="AO431" s="382"/>
      <c r="AP431" s="417"/>
      <c r="AQ431" s="383"/>
      <c r="AR431" s="507"/>
      <c r="AS431" s="514"/>
      <c r="AT431" s="514"/>
    </row>
    <row r="432">
      <c r="A432" s="382"/>
      <c r="B432" s="417"/>
      <c r="C432" s="383"/>
      <c r="D432" s="507"/>
      <c r="E432" s="382"/>
      <c r="F432" s="417"/>
      <c r="G432" s="383"/>
      <c r="H432" s="507"/>
      <c r="I432" s="382"/>
      <c r="J432" s="417"/>
      <c r="K432" s="383"/>
      <c r="L432" s="507"/>
      <c r="M432" s="382"/>
      <c r="N432" s="417"/>
      <c r="O432" s="383"/>
      <c r="P432" s="507"/>
      <c r="Q432" s="518"/>
      <c r="R432" s="519"/>
      <c r="S432" s="520"/>
      <c r="T432" s="513"/>
      <c r="U432" s="518"/>
      <c r="V432" s="519"/>
      <c r="W432" s="520"/>
      <c r="X432" s="513"/>
      <c r="Y432" s="518"/>
      <c r="Z432" s="519"/>
      <c r="AA432" s="520"/>
      <c r="AB432" s="513"/>
      <c r="AC432" s="518"/>
      <c r="AD432" s="519"/>
      <c r="AE432" s="520"/>
      <c r="AF432" s="513"/>
      <c r="AG432" s="356"/>
      <c r="AH432" s="356"/>
      <c r="AI432" s="356"/>
      <c r="AJ432" s="356"/>
      <c r="AK432" s="382"/>
      <c r="AL432" s="417"/>
      <c r="AM432" s="383"/>
      <c r="AN432" s="507"/>
      <c r="AO432" s="382"/>
      <c r="AP432" s="417"/>
      <c r="AQ432" s="383"/>
      <c r="AR432" s="507"/>
      <c r="AS432" s="514"/>
      <c r="AT432" s="514"/>
    </row>
    <row r="433">
      <c r="A433" s="382"/>
      <c r="B433" s="417"/>
      <c r="C433" s="383"/>
      <c r="D433" s="507"/>
      <c r="E433" s="382"/>
      <c r="F433" s="417"/>
      <c r="G433" s="383"/>
      <c r="H433" s="507"/>
      <c r="I433" s="382"/>
      <c r="J433" s="417"/>
      <c r="K433" s="383"/>
      <c r="L433" s="507"/>
      <c r="M433" s="382"/>
      <c r="N433" s="417"/>
      <c r="O433" s="383"/>
      <c r="P433" s="507"/>
      <c r="Q433" s="518"/>
      <c r="R433" s="519"/>
      <c r="S433" s="520"/>
      <c r="T433" s="513"/>
      <c r="U433" s="518"/>
      <c r="V433" s="519"/>
      <c r="W433" s="520"/>
      <c r="X433" s="513"/>
      <c r="Y433" s="518"/>
      <c r="Z433" s="519"/>
      <c r="AA433" s="520"/>
      <c r="AB433" s="513"/>
      <c r="AC433" s="518"/>
      <c r="AD433" s="519"/>
      <c r="AE433" s="520"/>
      <c r="AF433" s="513"/>
      <c r="AG433" s="356"/>
      <c r="AH433" s="356"/>
      <c r="AI433" s="356"/>
      <c r="AJ433" s="356"/>
      <c r="AK433" s="382"/>
      <c r="AL433" s="417"/>
      <c r="AM433" s="383"/>
      <c r="AN433" s="507"/>
      <c r="AO433" s="382"/>
      <c r="AP433" s="417"/>
      <c r="AQ433" s="383"/>
      <c r="AR433" s="507"/>
      <c r="AS433" s="514"/>
      <c r="AT433" s="514"/>
    </row>
    <row r="434">
      <c r="A434" s="382"/>
      <c r="B434" s="417"/>
      <c r="C434" s="383"/>
      <c r="D434" s="507"/>
      <c r="E434" s="382"/>
      <c r="F434" s="417"/>
      <c r="G434" s="383"/>
      <c r="H434" s="507"/>
      <c r="I434" s="382"/>
      <c r="J434" s="417"/>
      <c r="K434" s="383"/>
      <c r="L434" s="507"/>
      <c r="M434" s="382"/>
      <c r="N434" s="417"/>
      <c r="O434" s="383"/>
      <c r="P434" s="507"/>
      <c r="Q434" s="518"/>
      <c r="R434" s="519"/>
      <c r="S434" s="520"/>
      <c r="T434" s="513"/>
      <c r="U434" s="518"/>
      <c r="V434" s="519"/>
      <c r="W434" s="520"/>
      <c r="X434" s="513"/>
      <c r="Y434" s="518"/>
      <c r="Z434" s="519"/>
      <c r="AA434" s="520"/>
      <c r="AB434" s="513"/>
      <c r="AC434" s="518"/>
      <c r="AD434" s="519"/>
      <c r="AE434" s="520"/>
      <c r="AF434" s="513"/>
      <c r="AG434" s="356"/>
      <c r="AH434" s="356"/>
      <c r="AI434" s="356"/>
      <c r="AJ434" s="356"/>
      <c r="AK434" s="382"/>
      <c r="AL434" s="417"/>
      <c r="AM434" s="383"/>
      <c r="AN434" s="507"/>
      <c r="AO434" s="382"/>
      <c r="AP434" s="417"/>
      <c r="AQ434" s="383"/>
      <c r="AR434" s="507"/>
      <c r="AS434" s="514"/>
      <c r="AT434" s="514"/>
    </row>
    <row r="435">
      <c r="A435" s="382"/>
      <c r="B435" s="417"/>
      <c r="C435" s="383"/>
      <c r="D435" s="507"/>
      <c r="E435" s="382"/>
      <c r="F435" s="417"/>
      <c r="G435" s="383"/>
      <c r="H435" s="507"/>
      <c r="I435" s="382"/>
      <c r="J435" s="417"/>
      <c r="K435" s="383"/>
      <c r="L435" s="507"/>
      <c r="M435" s="382"/>
      <c r="N435" s="417"/>
      <c r="O435" s="383"/>
      <c r="P435" s="507"/>
      <c r="Q435" s="518"/>
      <c r="R435" s="519"/>
      <c r="S435" s="520"/>
      <c r="T435" s="513"/>
      <c r="U435" s="518"/>
      <c r="V435" s="519"/>
      <c r="W435" s="520"/>
      <c r="X435" s="513"/>
      <c r="Y435" s="518"/>
      <c r="Z435" s="519"/>
      <c r="AA435" s="520"/>
      <c r="AB435" s="513"/>
      <c r="AC435" s="518"/>
      <c r="AD435" s="519"/>
      <c r="AE435" s="520"/>
      <c r="AF435" s="513"/>
      <c r="AG435" s="356"/>
      <c r="AH435" s="356"/>
      <c r="AI435" s="356"/>
      <c r="AJ435" s="356"/>
      <c r="AK435" s="382"/>
      <c r="AL435" s="417"/>
      <c r="AM435" s="383"/>
      <c r="AN435" s="507"/>
      <c r="AO435" s="382"/>
      <c r="AP435" s="417"/>
      <c r="AQ435" s="383"/>
      <c r="AR435" s="507"/>
      <c r="AS435" s="514"/>
      <c r="AT435" s="514"/>
    </row>
    <row r="436">
      <c r="A436" s="382"/>
      <c r="B436" s="417"/>
      <c r="C436" s="383"/>
      <c r="D436" s="507"/>
      <c r="E436" s="382"/>
      <c r="F436" s="417"/>
      <c r="G436" s="383"/>
      <c r="H436" s="507"/>
      <c r="I436" s="382"/>
      <c r="J436" s="417"/>
      <c r="K436" s="383"/>
      <c r="L436" s="507"/>
      <c r="M436" s="382"/>
      <c r="N436" s="417"/>
      <c r="O436" s="383"/>
      <c r="P436" s="507"/>
      <c r="Q436" s="518"/>
      <c r="R436" s="519"/>
      <c r="S436" s="520"/>
      <c r="T436" s="513"/>
      <c r="U436" s="518"/>
      <c r="V436" s="519"/>
      <c r="W436" s="520"/>
      <c r="X436" s="513"/>
      <c r="Y436" s="518"/>
      <c r="Z436" s="519"/>
      <c r="AA436" s="520"/>
      <c r="AB436" s="513"/>
      <c r="AC436" s="518"/>
      <c r="AD436" s="519"/>
      <c r="AE436" s="520"/>
      <c r="AF436" s="513"/>
      <c r="AG436" s="356"/>
      <c r="AH436" s="356"/>
      <c r="AI436" s="356"/>
      <c r="AJ436" s="356"/>
      <c r="AK436" s="382"/>
      <c r="AL436" s="417"/>
      <c r="AM436" s="383"/>
      <c r="AN436" s="507"/>
      <c r="AO436" s="382"/>
      <c r="AP436" s="417"/>
      <c r="AQ436" s="383"/>
      <c r="AR436" s="507"/>
      <c r="AS436" s="514"/>
      <c r="AT436" s="514"/>
    </row>
    <row r="437">
      <c r="A437" s="382"/>
      <c r="B437" s="417"/>
      <c r="C437" s="383"/>
      <c r="D437" s="507"/>
      <c r="E437" s="382"/>
      <c r="F437" s="417"/>
      <c r="G437" s="383"/>
      <c r="H437" s="507"/>
      <c r="I437" s="382"/>
      <c r="J437" s="417"/>
      <c r="K437" s="383"/>
      <c r="L437" s="507"/>
      <c r="M437" s="382"/>
      <c r="N437" s="417"/>
      <c r="O437" s="383"/>
      <c r="P437" s="507"/>
      <c r="Q437" s="518"/>
      <c r="R437" s="519"/>
      <c r="S437" s="520"/>
      <c r="T437" s="513"/>
      <c r="U437" s="518"/>
      <c r="V437" s="519"/>
      <c r="W437" s="520"/>
      <c r="X437" s="513"/>
      <c r="Y437" s="518"/>
      <c r="Z437" s="519"/>
      <c r="AA437" s="520"/>
      <c r="AB437" s="513"/>
      <c r="AC437" s="518"/>
      <c r="AD437" s="519"/>
      <c r="AE437" s="520"/>
      <c r="AF437" s="513"/>
      <c r="AG437" s="356"/>
      <c r="AH437" s="356"/>
      <c r="AI437" s="356"/>
      <c r="AJ437" s="356"/>
      <c r="AK437" s="382"/>
      <c r="AL437" s="417"/>
      <c r="AM437" s="383"/>
      <c r="AN437" s="507"/>
      <c r="AO437" s="382"/>
      <c r="AP437" s="417"/>
      <c r="AQ437" s="383"/>
      <c r="AR437" s="507"/>
      <c r="AS437" s="514"/>
      <c r="AT437" s="514"/>
    </row>
    <row r="438">
      <c r="A438" s="382"/>
      <c r="B438" s="417"/>
      <c r="C438" s="383"/>
      <c r="D438" s="507"/>
      <c r="E438" s="382"/>
      <c r="F438" s="417"/>
      <c r="G438" s="383"/>
      <c r="H438" s="507"/>
      <c r="I438" s="382"/>
      <c r="J438" s="417"/>
      <c r="K438" s="383"/>
      <c r="L438" s="507"/>
      <c r="M438" s="382"/>
      <c r="N438" s="417"/>
      <c r="O438" s="383"/>
      <c r="P438" s="507"/>
      <c r="Q438" s="518"/>
      <c r="R438" s="519"/>
      <c r="S438" s="520"/>
      <c r="T438" s="513"/>
      <c r="U438" s="518"/>
      <c r="V438" s="519"/>
      <c r="W438" s="520"/>
      <c r="X438" s="513"/>
      <c r="Y438" s="518"/>
      <c r="Z438" s="519"/>
      <c r="AA438" s="520"/>
      <c r="AB438" s="513"/>
      <c r="AC438" s="518"/>
      <c r="AD438" s="519"/>
      <c r="AE438" s="520"/>
      <c r="AF438" s="513"/>
      <c r="AG438" s="356"/>
      <c r="AH438" s="356"/>
      <c r="AI438" s="356"/>
      <c r="AJ438" s="356"/>
      <c r="AK438" s="382"/>
      <c r="AL438" s="417"/>
      <c r="AM438" s="383"/>
      <c r="AN438" s="507"/>
      <c r="AO438" s="382"/>
      <c r="AP438" s="417"/>
      <c r="AQ438" s="383"/>
      <c r="AR438" s="507"/>
      <c r="AS438" s="514"/>
      <c r="AT438" s="514"/>
    </row>
    <row r="439">
      <c r="A439" s="382"/>
      <c r="B439" s="417"/>
      <c r="C439" s="383"/>
      <c r="D439" s="507"/>
      <c r="E439" s="382"/>
      <c r="F439" s="417"/>
      <c r="G439" s="383"/>
      <c r="H439" s="507"/>
      <c r="I439" s="382"/>
      <c r="J439" s="417"/>
      <c r="K439" s="383"/>
      <c r="L439" s="507"/>
      <c r="M439" s="382"/>
      <c r="N439" s="417"/>
      <c r="O439" s="383"/>
      <c r="P439" s="507"/>
      <c r="Q439" s="518"/>
      <c r="R439" s="519"/>
      <c r="S439" s="520"/>
      <c r="T439" s="513"/>
      <c r="U439" s="518"/>
      <c r="V439" s="519"/>
      <c r="W439" s="520"/>
      <c r="X439" s="513"/>
      <c r="Y439" s="518"/>
      <c r="Z439" s="519"/>
      <c r="AA439" s="520"/>
      <c r="AB439" s="513"/>
      <c r="AC439" s="518"/>
      <c r="AD439" s="519"/>
      <c r="AE439" s="520"/>
      <c r="AF439" s="513"/>
      <c r="AG439" s="356"/>
      <c r="AH439" s="356"/>
      <c r="AI439" s="356"/>
      <c r="AJ439" s="356"/>
      <c r="AK439" s="382"/>
      <c r="AL439" s="417"/>
      <c r="AM439" s="383"/>
      <c r="AN439" s="507"/>
      <c r="AO439" s="382"/>
      <c r="AP439" s="417"/>
      <c r="AQ439" s="383"/>
      <c r="AR439" s="507"/>
      <c r="AS439" s="514"/>
      <c r="AT439" s="514"/>
    </row>
    <row r="440">
      <c r="A440" s="382"/>
      <c r="B440" s="417"/>
      <c r="C440" s="383"/>
      <c r="D440" s="507"/>
      <c r="E440" s="382"/>
      <c r="F440" s="417"/>
      <c r="G440" s="383"/>
      <c r="H440" s="507"/>
      <c r="I440" s="382"/>
      <c r="J440" s="417"/>
      <c r="K440" s="383"/>
      <c r="L440" s="507"/>
      <c r="M440" s="382"/>
      <c r="N440" s="417"/>
      <c r="O440" s="383"/>
      <c r="P440" s="507"/>
      <c r="Q440" s="518"/>
      <c r="R440" s="519"/>
      <c r="S440" s="520"/>
      <c r="T440" s="513"/>
      <c r="U440" s="518"/>
      <c r="V440" s="519"/>
      <c r="W440" s="520"/>
      <c r="X440" s="513"/>
      <c r="Y440" s="518"/>
      <c r="Z440" s="519"/>
      <c r="AA440" s="520"/>
      <c r="AB440" s="513"/>
      <c r="AC440" s="518"/>
      <c r="AD440" s="519"/>
      <c r="AE440" s="520"/>
      <c r="AF440" s="513"/>
      <c r="AG440" s="356"/>
      <c r="AH440" s="356"/>
      <c r="AI440" s="356"/>
      <c r="AJ440" s="356"/>
      <c r="AK440" s="382"/>
      <c r="AL440" s="417"/>
      <c r="AM440" s="383"/>
      <c r="AN440" s="507"/>
      <c r="AO440" s="382"/>
      <c r="AP440" s="417"/>
      <c r="AQ440" s="383"/>
      <c r="AR440" s="507"/>
      <c r="AS440" s="514"/>
      <c r="AT440" s="514"/>
    </row>
    <row r="441">
      <c r="A441" s="382"/>
      <c r="B441" s="417"/>
      <c r="C441" s="383"/>
      <c r="D441" s="507"/>
      <c r="E441" s="382"/>
      <c r="F441" s="417"/>
      <c r="G441" s="383"/>
      <c r="H441" s="507"/>
      <c r="I441" s="382"/>
      <c r="J441" s="417"/>
      <c r="K441" s="383"/>
      <c r="L441" s="507"/>
      <c r="M441" s="382"/>
      <c r="N441" s="417"/>
      <c r="O441" s="383"/>
      <c r="P441" s="507"/>
      <c r="Q441" s="518"/>
      <c r="R441" s="519"/>
      <c r="S441" s="520"/>
      <c r="T441" s="513"/>
      <c r="U441" s="518"/>
      <c r="V441" s="519"/>
      <c r="W441" s="520"/>
      <c r="X441" s="513"/>
      <c r="Y441" s="518"/>
      <c r="Z441" s="519"/>
      <c r="AA441" s="520"/>
      <c r="AB441" s="513"/>
      <c r="AC441" s="518"/>
      <c r="AD441" s="519"/>
      <c r="AE441" s="520"/>
      <c r="AF441" s="513"/>
      <c r="AG441" s="356"/>
      <c r="AH441" s="356"/>
      <c r="AI441" s="356"/>
      <c r="AJ441" s="356"/>
      <c r="AK441" s="382"/>
      <c r="AL441" s="417"/>
      <c r="AM441" s="383"/>
      <c r="AN441" s="507"/>
      <c r="AO441" s="382"/>
      <c r="AP441" s="417"/>
      <c r="AQ441" s="383"/>
      <c r="AR441" s="507"/>
      <c r="AS441" s="514"/>
      <c r="AT441" s="514"/>
    </row>
    <row r="442">
      <c r="A442" s="382"/>
      <c r="B442" s="417"/>
      <c r="C442" s="383"/>
      <c r="D442" s="507"/>
      <c r="E442" s="382"/>
      <c r="F442" s="417"/>
      <c r="G442" s="383"/>
      <c r="H442" s="507"/>
      <c r="I442" s="382"/>
      <c r="J442" s="417"/>
      <c r="K442" s="383"/>
      <c r="L442" s="507"/>
      <c r="M442" s="382"/>
      <c r="N442" s="417"/>
      <c r="O442" s="383"/>
      <c r="P442" s="507"/>
      <c r="Q442" s="518"/>
      <c r="R442" s="519"/>
      <c r="S442" s="520"/>
      <c r="T442" s="513"/>
      <c r="U442" s="518"/>
      <c r="V442" s="519"/>
      <c r="W442" s="520"/>
      <c r="X442" s="513"/>
      <c r="Y442" s="518"/>
      <c r="Z442" s="519"/>
      <c r="AA442" s="520"/>
      <c r="AB442" s="513"/>
      <c r="AC442" s="518"/>
      <c r="AD442" s="519"/>
      <c r="AE442" s="520"/>
      <c r="AF442" s="513"/>
      <c r="AG442" s="356"/>
      <c r="AH442" s="356"/>
      <c r="AI442" s="356"/>
      <c r="AJ442" s="356"/>
      <c r="AK442" s="382"/>
      <c r="AL442" s="417"/>
      <c r="AM442" s="383"/>
      <c r="AN442" s="507"/>
      <c r="AO442" s="382"/>
      <c r="AP442" s="417"/>
      <c r="AQ442" s="383"/>
      <c r="AR442" s="507"/>
      <c r="AS442" s="514"/>
      <c r="AT442" s="514"/>
    </row>
    <row r="443">
      <c r="A443" s="382"/>
      <c r="B443" s="417"/>
      <c r="C443" s="383"/>
      <c r="D443" s="507"/>
      <c r="E443" s="382"/>
      <c r="F443" s="417"/>
      <c r="G443" s="383"/>
      <c r="H443" s="507"/>
      <c r="I443" s="382"/>
      <c r="J443" s="417"/>
      <c r="K443" s="383"/>
      <c r="L443" s="507"/>
      <c r="M443" s="382"/>
      <c r="N443" s="417"/>
      <c r="O443" s="383"/>
      <c r="P443" s="507"/>
      <c r="Q443" s="518"/>
      <c r="R443" s="519"/>
      <c r="S443" s="520"/>
      <c r="T443" s="513"/>
      <c r="U443" s="518"/>
      <c r="V443" s="519"/>
      <c r="W443" s="520"/>
      <c r="X443" s="513"/>
      <c r="Y443" s="518"/>
      <c r="Z443" s="519"/>
      <c r="AA443" s="520"/>
      <c r="AB443" s="513"/>
      <c r="AC443" s="518"/>
      <c r="AD443" s="519"/>
      <c r="AE443" s="520"/>
      <c r="AF443" s="513"/>
      <c r="AG443" s="356"/>
      <c r="AH443" s="356"/>
      <c r="AI443" s="356"/>
      <c r="AJ443" s="356"/>
      <c r="AK443" s="382"/>
      <c r="AL443" s="417"/>
      <c r="AM443" s="383"/>
      <c r="AN443" s="507"/>
      <c r="AO443" s="382"/>
      <c r="AP443" s="417"/>
      <c r="AQ443" s="383"/>
      <c r="AR443" s="507"/>
      <c r="AS443" s="514"/>
      <c r="AT443" s="514"/>
    </row>
    <row r="444">
      <c r="A444" s="382"/>
      <c r="B444" s="417"/>
      <c r="C444" s="383"/>
      <c r="D444" s="507"/>
      <c r="E444" s="382"/>
      <c r="F444" s="417"/>
      <c r="G444" s="383"/>
      <c r="H444" s="507"/>
      <c r="I444" s="382"/>
      <c r="J444" s="417"/>
      <c r="K444" s="383"/>
      <c r="L444" s="507"/>
      <c r="M444" s="382"/>
      <c r="N444" s="417"/>
      <c r="O444" s="383"/>
      <c r="P444" s="507"/>
      <c r="Q444" s="518"/>
      <c r="R444" s="519"/>
      <c r="S444" s="520"/>
      <c r="T444" s="513"/>
      <c r="U444" s="518"/>
      <c r="V444" s="519"/>
      <c r="W444" s="520"/>
      <c r="X444" s="513"/>
      <c r="Y444" s="518"/>
      <c r="Z444" s="519"/>
      <c r="AA444" s="520"/>
      <c r="AB444" s="513"/>
      <c r="AC444" s="518"/>
      <c r="AD444" s="519"/>
      <c r="AE444" s="520"/>
      <c r="AF444" s="513"/>
      <c r="AG444" s="356"/>
      <c r="AH444" s="356"/>
      <c r="AI444" s="356"/>
      <c r="AJ444" s="356"/>
      <c r="AK444" s="382"/>
      <c r="AL444" s="417"/>
      <c r="AM444" s="383"/>
      <c r="AN444" s="507"/>
      <c r="AO444" s="382"/>
      <c r="AP444" s="417"/>
      <c r="AQ444" s="383"/>
      <c r="AR444" s="507"/>
      <c r="AS444" s="514"/>
      <c r="AT444" s="514"/>
    </row>
    <row r="445">
      <c r="A445" s="382"/>
      <c r="B445" s="417"/>
      <c r="C445" s="383"/>
      <c r="D445" s="507"/>
      <c r="E445" s="382"/>
      <c r="F445" s="417"/>
      <c r="G445" s="383"/>
      <c r="H445" s="507"/>
      <c r="I445" s="382"/>
      <c r="J445" s="417"/>
      <c r="K445" s="383"/>
      <c r="L445" s="507"/>
      <c r="M445" s="382"/>
      <c r="N445" s="417"/>
      <c r="O445" s="383"/>
      <c r="P445" s="507"/>
      <c r="Q445" s="518"/>
      <c r="R445" s="519"/>
      <c r="S445" s="520"/>
      <c r="T445" s="513"/>
      <c r="U445" s="518"/>
      <c r="V445" s="519"/>
      <c r="W445" s="520"/>
      <c r="X445" s="513"/>
      <c r="Y445" s="518"/>
      <c r="Z445" s="519"/>
      <c r="AA445" s="520"/>
      <c r="AB445" s="513"/>
      <c r="AC445" s="518"/>
      <c r="AD445" s="519"/>
      <c r="AE445" s="520"/>
      <c r="AF445" s="513"/>
      <c r="AG445" s="356"/>
      <c r="AH445" s="356"/>
      <c r="AI445" s="356"/>
      <c r="AJ445" s="356"/>
      <c r="AK445" s="382"/>
      <c r="AL445" s="417"/>
      <c r="AM445" s="383"/>
      <c r="AN445" s="507"/>
      <c r="AO445" s="382"/>
      <c r="AP445" s="417"/>
      <c r="AQ445" s="383"/>
      <c r="AR445" s="507"/>
      <c r="AS445" s="514"/>
      <c r="AT445" s="514"/>
    </row>
    <row r="446">
      <c r="A446" s="382"/>
      <c r="B446" s="417"/>
      <c r="C446" s="383"/>
      <c r="D446" s="507"/>
      <c r="E446" s="382"/>
      <c r="F446" s="417"/>
      <c r="G446" s="383"/>
      <c r="H446" s="507"/>
      <c r="I446" s="382"/>
      <c r="J446" s="417"/>
      <c r="K446" s="383"/>
      <c r="L446" s="507"/>
      <c r="M446" s="382"/>
      <c r="N446" s="417"/>
      <c r="O446" s="383"/>
      <c r="P446" s="507"/>
      <c r="Q446" s="518"/>
      <c r="R446" s="519"/>
      <c r="S446" s="520"/>
      <c r="T446" s="513"/>
      <c r="U446" s="518"/>
      <c r="V446" s="519"/>
      <c r="W446" s="520"/>
      <c r="X446" s="513"/>
      <c r="Y446" s="518"/>
      <c r="Z446" s="519"/>
      <c r="AA446" s="520"/>
      <c r="AB446" s="513"/>
      <c r="AC446" s="518"/>
      <c r="AD446" s="519"/>
      <c r="AE446" s="520"/>
      <c r="AF446" s="513"/>
      <c r="AG446" s="356"/>
      <c r="AH446" s="356"/>
      <c r="AI446" s="356"/>
      <c r="AJ446" s="356"/>
      <c r="AK446" s="382"/>
      <c r="AL446" s="417"/>
      <c r="AM446" s="383"/>
      <c r="AN446" s="507"/>
      <c r="AO446" s="382"/>
      <c r="AP446" s="417"/>
      <c r="AQ446" s="383"/>
      <c r="AR446" s="507"/>
      <c r="AS446" s="514"/>
      <c r="AT446" s="514"/>
    </row>
    <row r="447">
      <c r="A447" s="382"/>
      <c r="B447" s="417"/>
      <c r="C447" s="383"/>
      <c r="D447" s="507"/>
      <c r="E447" s="382"/>
      <c r="F447" s="417"/>
      <c r="G447" s="383"/>
      <c r="H447" s="507"/>
      <c r="I447" s="382"/>
      <c r="J447" s="417"/>
      <c r="K447" s="383"/>
      <c r="L447" s="507"/>
      <c r="M447" s="382"/>
      <c r="N447" s="417"/>
      <c r="O447" s="383"/>
      <c r="P447" s="507"/>
      <c r="Q447" s="518"/>
      <c r="R447" s="519"/>
      <c r="S447" s="520"/>
      <c r="T447" s="513"/>
      <c r="U447" s="518"/>
      <c r="V447" s="519"/>
      <c r="W447" s="520"/>
      <c r="X447" s="513"/>
      <c r="Y447" s="518"/>
      <c r="Z447" s="519"/>
      <c r="AA447" s="520"/>
      <c r="AB447" s="513"/>
      <c r="AC447" s="518"/>
      <c r="AD447" s="519"/>
      <c r="AE447" s="520"/>
      <c r="AF447" s="513"/>
      <c r="AG447" s="356"/>
      <c r="AH447" s="356"/>
      <c r="AI447" s="356"/>
      <c r="AJ447" s="356"/>
      <c r="AK447" s="382"/>
      <c r="AL447" s="417"/>
      <c r="AM447" s="383"/>
      <c r="AN447" s="507"/>
      <c r="AO447" s="382"/>
      <c r="AP447" s="417"/>
      <c r="AQ447" s="383"/>
      <c r="AR447" s="507"/>
      <c r="AS447" s="514"/>
      <c r="AT447" s="514"/>
    </row>
    <row r="448">
      <c r="A448" s="382"/>
      <c r="B448" s="417"/>
      <c r="C448" s="383"/>
      <c r="D448" s="507"/>
      <c r="E448" s="382"/>
      <c r="F448" s="417"/>
      <c r="G448" s="383"/>
      <c r="H448" s="507"/>
      <c r="I448" s="382"/>
      <c r="J448" s="417"/>
      <c r="K448" s="383"/>
      <c r="L448" s="507"/>
      <c r="M448" s="382"/>
      <c r="N448" s="417"/>
      <c r="O448" s="383"/>
      <c r="P448" s="507"/>
      <c r="Q448" s="518"/>
      <c r="R448" s="519"/>
      <c r="S448" s="520"/>
      <c r="T448" s="513"/>
      <c r="U448" s="518"/>
      <c r="V448" s="519"/>
      <c r="W448" s="520"/>
      <c r="X448" s="513"/>
      <c r="Y448" s="518"/>
      <c r="Z448" s="519"/>
      <c r="AA448" s="520"/>
      <c r="AB448" s="513"/>
      <c r="AC448" s="518"/>
      <c r="AD448" s="519"/>
      <c r="AE448" s="520"/>
      <c r="AF448" s="513"/>
      <c r="AG448" s="356"/>
      <c r="AH448" s="356"/>
      <c r="AI448" s="356"/>
      <c r="AJ448" s="356"/>
      <c r="AK448" s="382"/>
      <c r="AL448" s="417"/>
      <c r="AM448" s="383"/>
      <c r="AN448" s="507"/>
      <c r="AO448" s="382"/>
      <c r="AP448" s="417"/>
      <c r="AQ448" s="383"/>
      <c r="AR448" s="507"/>
      <c r="AS448" s="514"/>
      <c r="AT448" s="514"/>
    </row>
    <row r="449">
      <c r="A449" s="382"/>
      <c r="B449" s="417"/>
      <c r="C449" s="383"/>
      <c r="D449" s="507"/>
      <c r="E449" s="382"/>
      <c r="F449" s="417"/>
      <c r="G449" s="383"/>
      <c r="H449" s="507"/>
      <c r="I449" s="382"/>
      <c r="J449" s="417"/>
      <c r="K449" s="383"/>
      <c r="L449" s="507"/>
      <c r="M449" s="382"/>
      <c r="N449" s="417"/>
      <c r="O449" s="383"/>
      <c r="P449" s="507"/>
      <c r="Q449" s="518"/>
      <c r="R449" s="519"/>
      <c r="S449" s="520"/>
      <c r="T449" s="513"/>
      <c r="U449" s="518"/>
      <c r="V449" s="519"/>
      <c r="W449" s="520"/>
      <c r="X449" s="513"/>
      <c r="Y449" s="518"/>
      <c r="Z449" s="519"/>
      <c r="AA449" s="520"/>
      <c r="AB449" s="513"/>
      <c r="AC449" s="518"/>
      <c r="AD449" s="519"/>
      <c r="AE449" s="520"/>
      <c r="AF449" s="513"/>
      <c r="AG449" s="356"/>
      <c r="AH449" s="356"/>
      <c r="AI449" s="356"/>
      <c r="AJ449" s="356"/>
      <c r="AK449" s="382"/>
      <c r="AL449" s="417"/>
      <c r="AM449" s="383"/>
      <c r="AN449" s="507"/>
      <c r="AO449" s="382"/>
      <c r="AP449" s="417"/>
      <c r="AQ449" s="383"/>
      <c r="AR449" s="507"/>
      <c r="AS449" s="514"/>
      <c r="AT449" s="514"/>
    </row>
    <row r="450">
      <c r="A450" s="382"/>
      <c r="B450" s="417"/>
      <c r="C450" s="383"/>
      <c r="D450" s="507"/>
      <c r="E450" s="382"/>
      <c r="F450" s="417"/>
      <c r="G450" s="383"/>
      <c r="H450" s="507"/>
      <c r="I450" s="382"/>
      <c r="J450" s="417"/>
      <c r="K450" s="383"/>
      <c r="L450" s="507"/>
      <c r="M450" s="382"/>
      <c r="N450" s="417"/>
      <c r="O450" s="383"/>
      <c r="P450" s="507"/>
      <c r="Q450" s="518"/>
      <c r="R450" s="519"/>
      <c r="S450" s="520"/>
      <c r="T450" s="513"/>
      <c r="U450" s="518"/>
      <c r="V450" s="519"/>
      <c r="W450" s="520"/>
      <c r="X450" s="513"/>
      <c r="Y450" s="518"/>
      <c r="Z450" s="519"/>
      <c r="AA450" s="520"/>
      <c r="AB450" s="513"/>
      <c r="AC450" s="518"/>
      <c r="AD450" s="519"/>
      <c r="AE450" s="520"/>
      <c r="AF450" s="513"/>
      <c r="AG450" s="356"/>
      <c r="AH450" s="356"/>
      <c r="AI450" s="356"/>
      <c r="AJ450" s="356"/>
      <c r="AK450" s="382"/>
      <c r="AL450" s="417"/>
      <c r="AM450" s="383"/>
      <c r="AN450" s="507"/>
      <c r="AO450" s="382"/>
      <c r="AP450" s="417"/>
      <c r="AQ450" s="383"/>
      <c r="AR450" s="507"/>
      <c r="AS450" s="514"/>
      <c r="AT450" s="514"/>
    </row>
    <row r="451">
      <c r="A451" s="382"/>
      <c r="B451" s="417"/>
      <c r="C451" s="383"/>
      <c r="D451" s="507"/>
      <c r="E451" s="382"/>
      <c r="F451" s="417"/>
      <c r="G451" s="383"/>
      <c r="H451" s="507"/>
      <c r="I451" s="382"/>
      <c r="J451" s="417"/>
      <c r="K451" s="383"/>
      <c r="L451" s="507"/>
      <c r="M451" s="382"/>
      <c r="N451" s="417"/>
      <c r="O451" s="383"/>
      <c r="P451" s="507"/>
      <c r="Q451" s="518"/>
      <c r="R451" s="519"/>
      <c r="S451" s="520"/>
      <c r="T451" s="513"/>
      <c r="U451" s="518"/>
      <c r="V451" s="519"/>
      <c r="W451" s="520"/>
      <c r="X451" s="513"/>
      <c r="Y451" s="518"/>
      <c r="Z451" s="519"/>
      <c r="AA451" s="520"/>
      <c r="AB451" s="513"/>
      <c r="AC451" s="518"/>
      <c r="AD451" s="519"/>
      <c r="AE451" s="520"/>
      <c r="AF451" s="513"/>
      <c r="AG451" s="356"/>
      <c r="AH451" s="356"/>
      <c r="AI451" s="356"/>
      <c r="AJ451" s="356"/>
      <c r="AK451" s="382"/>
      <c r="AL451" s="417"/>
      <c r="AM451" s="383"/>
      <c r="AN451" s="507"/>
      <c r="AO451" s="382"/>
      <c r="AP451" s="417"/>
      <c r="AQ451" s="383"/>
      <c r="AR451" s="507"/>
      <c r="AS451" s="514"/>
      <c r="AT451" s="514"/>
    </row>
    <row r="452">
      <c r="A452" s="382"/>
      <c r="B452" s="417"/>
      <c r="C452" s="383"/>
      <c r="D452" s="507"/>
      <c r="E452" s="382"/>
      <c r="F452" s="417"/>
      <c r="G452" s="383"/>
      <c r="H452" s="507"/>
      <c r="I452" s="382"/>
      <c r="J452" s="417"/>
      <c r="K452" s="383"/>
      <c r="L452" s="507"/>
      <c r="M452" s="382"/>
      <c r="N452" s="417"/>
      <c r="O452" s="383"/>
      <c r="P452" s="507"/>
      <c r="Q452" s="518"/>
      <c r="R452" s="519"/>
      <c r="S452" s="520"/>
      <c r="T452" s="513"/>
      <c r="U452" s="518"/>
      <c r="V452" s="519"/>
      <c r="W452" s="520"/>
      <c r="X452" s="513"/>
      <c r="Y452" s="518"/>
      <c r="Z452" s="519"/>
      <c r="AA452" s="520"/>
      <c r="AB452" s="513"/>
      <c r="AC452" s="518"/>
      <c r="AD452" s="519"/>
      <c r="AE452" s="520"/>
      <c r="AF452" s="513"/>
      <c r="AG452" s="356"/>
      <c r="AH452" s="356"/>
      <c r="AI452" s="356"/>
      <c r="AJ452" s="356"/>
      <c r="AK452" s="382"/>
      <c r="AL452" s="417"/>
      <c r="AM452" s="383"/>
      <c r="AN452" s="507"/>
      <c r="AO452" s="382"/>
      <c r="AP452" s="417"/>
      <c r="AQ452" s="383"/>
      <c r="AR452" s="507"/>
      <c r="AS452" s="514"/>
      <c r="AT452" s="514"/>
    </row>
    <row r="453">
      <c r="A453" s="382"/>
      <c r="B453" s="417"/>
      <c r="C453" s="383"/>
      <c r="D453" s="507"/>
      <c r="E453" s="382"/>
      <c r="F453" s="417"/>
      <c r="G453" s="383"/>
      <c r="H453" s="507"/>
      <c r="I453" s="382"/>
      <c r="J453" s="417"/>
      <c r="K453" s="383"/>
      <c r="L453" s="507"/>
      <c r="M453" s="382"/>
      <c r="N453" s="417"/>
      <c r="O453" s="383"/>
      <c r="P453" s="507"/>
      <c r="Q453" s="518"/>
      <c r="R453" s="519"/>
      <c r="S453" s="520"/>
      <c r="T453" s="513"/>
      <c r="U453" s="518"/>
      <c r="V453" s="519"/>
      <c r="W453" s="520"/>
      <c r="X453" s="513"/>
      <c r="Y453" s="518"/>
      <c r="Z453" s="519"/>
      <c r="AA453" s="520"/>
      <c r="AB453" s="513"/>
      <c r="AC453" s="518"/>
      <c r="AD453" s="519"/>
      <c r="AE453" s="520"/>
      <c r="AF453" s="513"/>
      <c r="AG453" s="356"/>
      <c r="AH453" s="356"/>
      <c r="AI453" s="356"/>
      <c r="AJ453" s="356"/>
      <c r="AK453" s="382"/>
      <c r="AL453" s="417"/>
      <c r="AM453" s="383"/>
      <c r="AN453" s="507"/>
      <c r="AO453" s="382"/>
      <c r="AP453" s="417"/>
      <c r="AQ453" s="383"/>
      <c r="AR453" s="507"/>
      <c r="AS453" s="514"/>
      <c r="AT453" s="514"/>
    </row>
    <row r="454">
      <c r="A454" s="382"/>
      <c r="B454" s="417"/>
      <c r="C454" s="383"/>
      <c r="D454" s="507"/>
      <c r="E454" s="382"/>
      <c r="F454" s="417"/>
      <c r="G454" s="383"/>
      <c r="H454" s="507"/>
      <c r="I454" s="382"/>
      <c r="J454" s="417"/>
      <c r="K454" s="383"/>
      <c r="L454" s="507"/>
      <c r="M454" s="382"/>
      <c r="N454" s="417"/>
      <c r="O454" s="383"/>
      <c r="P454" s="507"/>
      <c r="Q454" s="518"/>
      <c r="R454" s="519"/>
      <c r="S454" s="520"/>
      <c r="T454" s="513"/>
      <c r="U454" s="518"/>
      <c r="V454" s="519"/>
      <c r="W454" s="520"/>
      <c r="X454" s="513"/>
      <c r="Y454" s="518"/>
      <c r="Z454" s="519"/>
      <c r="AA454" s="520"/>
      <c r="AB454" s="513"/>
      <c r="AC454" s="518"/>
      <c r="AD454" s="519"/>
      <c r="AE454" s="520"/>
      <c r="AF454" s="513"/>
      <c r="AG454" s="356"/>
      <c r="AH454" s="356"/>
      <c r="AI454" s="356"/>
      <c r="AJ454" s="356"/>
      <c r="AK454" s="382"/>
      <c r="AL454" s="417"/>
      <c r="AM454" s="383"/>
      <c r="AN454" s="507"/>
      <c r="AO454" s="382"/>
      <c r="AP454" s="417"/>
      <c r="AQ454" s="383"/>
      <c r="AR454" s="507"/>
      <c r="AS454" s="514"/>
      <c r="AT454" s="514"/>
    </row>
    <row r="455">
      <c r="A455" s="382"/>
      <c r="B455" s="417"/>
      <c r="C455" s="383"/>
      <c r="D455" s="507"/>
      <c r="E455" s="382"/>
      <c r="F455" s="417"/>
      <c r="G455" s="383"/>
      <c r="H455" s="507"/>
      <c r="I455" s="382"/>
      <c r="J455" s="417"/>
      <c r="K455" s="383"/>
      <c r="L455" s="507"/>
      <c r="M455" s="382"/>
      <c r="N455" s="417"/>
      <c r="O455" s="383"/>
      <c r="P455" s="507"/>
      <c r="Q455" s="518"/>
      <c r="R455" s="519"/>
      <c r="S455" s="520"/>
      <c r="T455" s="513"/>
      <c r="U455" s="518"/>
      <c r="V455" s="519"/>
      <c r="W455" s="520"/>
      <c r="X455" s="513"/>
      <c r="Y455" s="518"/>
      <c r="Z455" s="519"/>
      <c r="AA455" s="520"/>
      <c r="AB455" s="513"/>
      <c r="AC455" s="518"/>
      <c r="AD455" s="519"/>
      <c r="AE455" s="520"/>
      <c r="AF455" s="513"/>
      <c r="AG455" s="356"/>
      <c r="AH455" s="356"/>
      <c r="AI455" s="356"/>
      <c r="AJ455" s="356"/>
      <c r="AK455" s="382"/>
      <c r="AL455" s="417"/>
      <c r="AM455" s="383"/>
      <c r="AN455" s="507"/>
      <c r="AO455" s="382"/>
      <c r="AP455" s="417"/>
      <c r="AQ455" s="383"/>
      <c r="AR455" s="507"/>
      <c r="AS455" s="514"/>
      <c r="AT455" s="514"/>
    </row>
    <row r="456">
      <c r="A456" s="382"/>
      <c r="B456" s="417"/>
      <c r="C456" s="383"/>
      <c r="D456" s="507"/>
      <c r="E456" s="382"/>
      <c r="F456" s="417"/>
      <c r="G456" s="383"/>
      <c r="H456" s="507"/>
      <c r="I456" s="382"/>
      <c r="J456" s="417"/>
      <c r="K456" s="383"/>
      <c r="L456" s="507"/>
      <c r="M456" s="382"/>
      <c r="N456" s="417"/>
      <c r="O456" s="383"/>
      <c r="P456" s="507"/>
      <c r="Q456" s="518"/>
      <c r="R456" s="519"/>
      <c r="S456" s="520"/>
      <c r="T456" s="513"/>
      <c r="U456" s="518"/>
      <c r="V456" s="519"/>
      <c r="W456" s="520"/>
      <c r="X456" s="513"/>
      <c r="Y456" s="518"/>
      <c r="Z456" s="519"/>
      <c r="AA456" s="520"/>
      <c r="AB456" s="513"/>
      <c r="AC456" s="518"/>
      <c r="AD456" s="519"/>
      <c r="AE456" s="520"/>
      <c r="AF456" s="513"/>
      <c r="AG456" s="356"/>
      <c r="AH456" s="356"/>
      <c r="AI456" s="356"/>
      <c r="AJ456" s="356"/>
      <c r="AK456" s="382"/>
      <c r="AL456" s="417"/>
      <c r="AM456" s="383"/>
      <c r="AN456" s="507"/>
      <c r="AO456" s="382"/>
      <c r="AP456" s="417"/>
      <c r="AQ456" s="383"/>
      <c r="AR456" s="507"/>
      <c r="AS456" s="514"/>
      <c r="AT456" s="514"/>
    </row>
    <row r="457">
      <c r="A457" s="382"/>
      <c r="B457" s="417"/>
      <c r="C457" s="383"/>
      <c r="D457" s="507"/>
      <c r="E457" s="382"/>
      <c r="F457" s="417"/>
      <c r="G457" s="383"/>
      <c r="H457" s="507"/>
      <c r="I457" s="382"/>
      <c r="J457" s="417"/>
      <c r="K457" s="383"/>
      <c r="L457" s="507"/>
      <c r="M457" s="382"/>
      <c r="N457" s="417"/>
      <c r="O457" s="383"/>
      <c r="P457" s="507"/>
      <c r="Q457" s="518"/>
      <c r="R457" s="519"/>
      <c r="S457" s="520"/>
      <c r="T457" s="513"/>
      <c r="U457" s="518"/>
      <c r="V457" s="519"/>
      <c r="W457" s="520"/>
      <c r="X457" s="513"/>
      <c r="Y457" s="518"/>
      <c r="Z457" s="519"/>
      <c r="AA457" s="520"/>
      <c r="AB457" s="513"/>
      <c r="AC457" s="518"/>
      <c r="AD457" s="519"/>
      <c r="AE457" s="520"/>
      <c r="AF457" s="513"/>
      <c r="AG457" s="356"/>
      <c r="AH457" s="356"/>
      <c r="AI457" s="356"/>
      <c r="AJ457" s="356"/>
      <c r="AK457" s="382"/>
      <c r="AL457" s="417"/>
      <c r="AM457" s="383"/>
      <c r="AN457" s="507"/>
      <c r="AO457" s="382"/>
      <c r="AP457" s="417"/>
      <c r="AQ457" s="383"/>
      <c r="AR457" s="507"/>
      <c r="AS457" s="514"/>
      <c r="AT457" s="514"/>
    </row>
    <row r="458">
      <c r="A458" s="382"/>
      <c r="B458" s="417"/>
      <c r="C458" s="383"/>
      <c r="D458" s="507"/>
      <c r="E458" s="382"/>
      <c r="F458" s="417"/>
      <c r="G458" s="383"/>
      <c r="H458" s="507"/>
      <c r="I458" s="382"/>
      <c r="J458" s="417"/>
      <c r="K458" s="383"/>
      <c r="L458" s="507"/>
      <c r="M458" s="382"/>
      <c r="N458" s="417"/>
      <c r="O458" s="383"/>
      <c r="P458" s="507"/>
      <c r="Q458" s="518"/>
      <c r="R458" s="519"/>
      <c r="S458" s="520"/>
      <c r="T458" s="513"/>
      <c r="U458" s="518"/>
      <c r="V458" s="519"/>
      <c r="W458" s="520"/>
      <c r="X458" s="513"/>
      <c r="Y458" s="518"/>
      <c r="Z458" s="519"/>
      <c r="AA458" s="520"/>
      <c r="AB458" s="513"/>
      <c r="AC458" s="518"/>
      <c r="AD458" s="519"/>
      <c r="AE458" s="520"/>
      <c r="AF458" s="513"/>
      <c r="AG458" s="356"/>
      <c r="AH458" s="356"/>
      <c r="AI458" s="356"/>
      <c r="AJ458" s="356"/>
      <c r="AK458" s="382"/>
      <c r="AL458" s="417"/>
      <c r="AM458" s="383"/>
      <c r="AN458" s="507"/>
      <c r="AO458" s="382"/>
      <c r="AP458" s="417"/>
      <c r="AQ458" s="383"/>
      <c r="AR458" s="507"/>
      <c r="AS458" s="514"/>
      <c r="AT458" s="514"/>
    </row>
    <row r="459">
      <c r="A459" s="382"/>
      <c r="B459" s="417"/>
      <c r="C459" s="383"/>
      <c r="D459" s="507"/>
      <c r="E459" s="382"/>
      <c r="F459" s="417"/>
      <c r="G459" s="383"/>
      <c r="H459" s="507"/>
      <c r="I459" s="382"/>
      <c r="J459" s="417"/>
      <c r="K459" s="383"/>
      <c r="L459" s="507"/>
      <c r="M459" s="382"/>
      <c r="N459" s="417"/>
      <c r="O459" s="383"/>
      <c r="P459" s="507"/>
      <c r="Q459" s="518"/>
      <c r="R459" s="519"/>
      <c r="S459" s="520"/>
      <c r="T459" s="513"/>
      <c r="U459" s="518"/>
      <c r="V459" s="519"/>
      <c r="W459" s="520"/>
      <c r="X459" s="513"/>
      <c r="Y459" s="518"/>
      <c r="Z459" s="519"/>
      <c r="AA459" s="520"/>
      <c r="AB459" s="513"/>
      <c r="AC459" s="518"/>
      <c r="AD459" s="519"/>
      <c r="AE459" s="520"/>
      <c r="AF459" s="513"/>
      <c r="AG459" s="356"/>
      <c r="AH459" s="356"/>
      <c r="AI459" s="356"/>
      <c r="AJ459" s="356"/>
      <c r="AK459" s="382"/>
      <c r="AL459" s="417"/>
      <c r="AM459" s="383"/>
      <c r="AN459" s="507"/>
      <c r="AO459" s="382"/>
      <c r="AP459" s="417"/>
      <c r="AQ459" s="383"/>
      <c r="AR459" s="507"/>
      <c r="AS459" s="514"/>
      <c r="AT459" s="514"/>
    </row>
    <row r="460">
      <c r="A460" s="382"/>
      <c r="B460" s="417"/>
      <c r="C460" s="383"/>
      <c r="D460" s="507"/>
      <c r="E460" s="382"/>
      <c r="F460" s="417"/>
      <c r="G460" s="383"/>
      <c r="H460" s="507"/>
      <c r="I460" s="382"/>
      <c r="J460" s="417"/>
      <c r="K460" s="383"/>
      <c r="L460" s="507"/>
      <c r="M460" s="382"/>
      <c r="N460" s="417"/>
      <c r="O460" s="383"/>
      <c r="P460" s="507"/>
      <c r="Q460" s="518"/>
      <c r="R460" s="519"/>
      <c r="S460" s="520"/>
      <c r="T460" s="513"/>
      <c r="U460" s="518"/>
      <c r="V460" s="519"/>
      <c r="W460" s="520"/>
      <c r="X460" s="513"/>
      <c r="Y460" s="518"/>
      <c r="Z460" s="519"/>
      <c r="AA460" s="520"/>
      <c r="AB460" s="513"/>
      <c r="AC460" s="518"/>
      <c r="AD460" s="519"/>
      <c r="AE460" s="520"/>
      <c r="AF460" s="513"/>
      <c r="AG460" s="356"/>
      <c r="AH460" s="356"/>
      <c r="AI460" s="356"/>
      <c r="AJ460" s="356"/>
      <c r="AK460" s="382"/>
      <c r="AL460" s="417"/>
      <c r="AM460" s="383"/>
      <c r="AN460" s="507"/>
      <c r="AO460" s="382"/>
      <c r="AP460" s="417"/>
      <c r="AQ460" s="383"/>
      <c r="AR460" s="507"/>
      <c r="AS460" s="514"/>
      <c r="AT460" s="514"/>
    </row>
    <row r="461">
      <c r="A461" s="382"/>
      <c r="B461" s="417"/>
      <c r="C461" s="383"/>
      <c r="D461" s="507"/>
      <c r="E461" s="382"/>
      <c r="F461" s="417"/>
      <c r="G461" s="383"/>
      <c r="H461" s="507"/>
      <c r="I461" s="382"/>
      <c r="J461" s="417"/>
      <c r="K461" s="383"/>
      <c r="L461" s="507"/>
      <c r="M461" s="382"/>
      <c r="N461" s="417"/>
      <c r="O461" s="383"/>
      <c r="P461" s="507"/>
      <c r="Q461" s="518"/>
      <c r="R461" s="519"/>
      <c r="S461" s="520"/>
      <c r="T461" s="513"/>
      <c r="U461" s="518"/>
      <c r="V461" s="519"/>
      <c r="W461" s="520"/>
      <c r="X461" s="513"/>
      <c r="Y461" s="518"/>
      <c r="Z461" s="519"/>
      <c r="AA461" s="520"/>
      <c r="AB461" s="513"/>
      <c r="AC461" s="518"/>
      <c r="AD461" s="519"/>
      <c r="AE461" s="520"/>
      <c r="AF461" s="513"/>
      <c r="AG461" s="356"/>
      <c r="AH461" s="356"/>
      <c r="AI461" s="356"/>
      <c r="AJ461" s="356"/>
      <c r="AK461" s="382"/>
      <c r="AL461" s="417"/>
      <c r="AM461" s="383"/>
      <c r="AN461" s="507"/>
      <c r="AO461" s="382"/>
      <c r="AP461" s="417"/>
      <c r="AQ461" s="383"/>
      <c r="AR461" s="507"/>
      <c r="AS461" s="514"/>
      <c r="AT461" s="514"/>
    </row>
    <row r="462">
      <c r="A462" s="382"/>
      <c r="B462" s="417"/>
      <c r="C462" s="383"/>
      <c r="D462" s="507"/>
      <c r="E462" s="382"/>
      <c r="F462" s="417"/>
      <c r="G462" s="383"/>
      <c r="H462" s="507"/>
      <c r="I462" s="382"/>
      <c r="J462" s="417"/>
      <c r="K462" s="383"/>
      <c r="L462" s="507"/>
      <c r="M462" s="382"/>
      <c r="N462" s="417"/>
      <c r="O462" s="383"/>
      <c r="P462" s="507"/>
      <c r="Q462" s="518"/>
      <c r="R462" s="519"/>
      <c r="S462" s="520"/>
      <c r="T462" s="513"/>
      <c r="U462" s="518"/>
      <c r="V462" s="519"/>
      <c r="W462" s="520"/>
      <c r="X462" s="513"/>
      <c r="Y462" s="518"/>
      <c r="Z462" s="519"/>
      <c r="AA462" s="520"/>
      <c r="AB462" s="513"/>
      <c r="AC462" s="518"/>
      <c r="AD462" s="519"/>
      <c r="AE462" s="520"/>
      <c r="AF462" s="513"/>
      <c r="AG462" s="356"/>
      <c r="AH462" s="356"/>
      <c r="AI462" s="356"/>
      <c r="AJ462" s="356"/>
      <c r="AK462" s="382"/>
      <c r="AL462" s="417"/>
      <c r="AM462" s="383"/>
      <c r="AN462" s="507"/>
      <c r="AO462" s="382"/>
      <c r="AP462" s="417"/>
      <c r="AQ462" s="383"/>
      <c r="AR462" s="507"/>
      <c r="AS462" s="514"/>
      <c r="AT462" s="514"/>
    </row>
    <row r="463">
      <c r="A463" s="382"/>
      <c r="B463" s="417"/>
      <c r="C463" s="383"/>
      <c r="D463" s="507"/>
      <c r="E463" s="382"/>
      <c r="F463" s="417"/>
      <c r="G463" s="383"/>
      <c r="H463" s="507"/>
      <c r="I463" s="382"/>
      <c r="J463" s="417"/>
      <c r="K463" s="383"/>
      <c r="L463" s="507"/>
      <c r="M463" s="382"/>
      <c r="N463" s="417"/>
      <c r="O463" s="383"/>
      <c r="P463" s="507"/>
      <c r="Q463" s="518"/>
      <c r="R463" s="519"/>
      <c r="S463" s="520"/>
      <c r="T463" s="513"/>
      <c r="U463" s="518"/>
      <c r="V463" s="519"/>
      <c r="W463" s="520"/>
      <c r="X463" s="513"/>
      <c r="Y463" s="518"/>
      <c r="Z463" s="519"/>
      <c r="AA463" s="520"/>
      <c r="AB463" s="513"/>
      <c r="AC463" s="518"/>
      <c r="AD463" s="519"/>
      <c r="AE463" s="520"/>
      <c r="AF463" s="513"/>
      <c r="AG463" s="356"/>
      <c r="AH463" s="356"/>
      <c r="AI463" s="356"/>
      <c r="AJ463" s="356"/>
      <c r="AK463" s="382"/>
      <c r="AL463" s="417"/>
      <c r="AM463" s="383"/>
      <c r="AN463" s="507"/>
      <c r="AO463" s="382"/>
      <c r="AP463" s="417"/>
      <c r="AQ463" s="383"/>
      <c r="AR463" s="507"/>
      <c r="AS463" s="514"/>
      <c r="AT463" s="514"/>
    </row>
    <row r="464">
      <c r="A464" s="382"/>
      <c r="B464" s="417"/>
      <c r="C464" s="383"/>
      <c r="D464" s="507"/>
      <c r="E464" s="382"/>
      <c r="F464" s="417"/>
      <c r="G464" s="383"/>
      <c r="H464" s="507"/>
      <c r="I464" s="382"/>
      <c r="J464" s="417"/>
      <c r="K464" s="383"/>
      <c r="L464" s="507"/>
      <c r="M464" s="382"/>
      <c r="N464" s="417"/>
      <c r="O464" s="383"/>
      <c r="P464" s="507"/>
      <c r="Q464" s="518"/>
      <c r="R464" s="519"/>
      <c r="S464" s="520"/>
      <c r="T464" s="513"/>
      <c r="U464" s="518"/>
      <c r="V464" s="519"/>
      <c r="W464" s="520"/>
      <c r="X464" s="513"/>
      <c r="Y464" s="518"/>
      <c r="Z464" s="519"/>
      <c r="AA464" s="520"/>
      <c r="AB464" s="513"/>
      <c r="AC464" s="518"/>
      <c r="AD464" s="519"/>
      <c r="AE464" s="520"/>
      <c r="AF464" s="513"/>
      <c r="AG464" s="356"/>
      <c r="AH464" s="356"/>
      <c r="AI464" s="356"/>
      <c r="AJ464" s="356"/>
      <c r="AK464" s="382"/>
      <c r="AL464" s="417"/>
      <c r="AM464" s="383"/>
      <c r="AN464" s="507"/>
      <c r="AO464" s="382"/>
      <c r="AP464" s="417"/>
      <c r="AQ464" s="383"/>
      <c r="AR464" s="507"/>
      <c r="AS464" s="514"/>
      <c r="AT464" s="514"/>
    </row>
    <row r="465">
      <c r="A465" s="382"/>
      <c r="B465" s="417"/>
      <c r="C465" s="383"/>
      <c r="D465" s="507"/>
      <c r="E465" s="382"/>
      <c r="F465" s="417"/>
      <c r="G465" s="383"/>
      <c r="H465" s="507"/>
      <c r="I465" s="382"/>
      <c r="J465" s="417"/>
      <c r="K465" s="383"/>
      <c r="L465" s="507"/>
      <c r="M465" s="382"/>
      <c r="N465" s="417"/>
      <c r="O465" s="383"/>
      <c r="P465" s="507"/>
      <c r="Q465" s="518"/>
      <c r="R465" s="519"/>
      <c r="S465" s="520"/>
      <c r="T465" s="513"/>
      <c r="U465" s="518"/>
      <c r="V465" s="519"/>
      <c r="W465" s="520"/>
      <c r="X465" s="513"/>
      <c r="Y465" s="518"/>
      <c r="Z465" s="519"/>
      <c r="AA465" s="520"/>
      <c r="AB465" s="513"/>
      <c r="AC465" s="518"/>
      <c r="AD465" s="519"/>
      <c r="AE465" s="520"/>
      <c r="AF465" s="513"/>
      <c r="AG465" s="356"/>
      <c r="AH465" s="356"/>
      <c r="AI465" s="356"/>
      <c r="AJ465" s="356"/>
      <c r="AK465" s="382"/>
      <c r="AL465" s="417"/>
      <c r="AM465" s="383"/>
      <c r="AN465" s="507"/>
      <c r="AO465" s="382"/>
      <c r="AP465" s="417"/>
      <c r="AQ465" s="383"/>
      <c r="AR465" s="507"/>
      <c r="AS465" s="514"/>
      <c r="AT465" s="514"/>
    </row>
    <row r="466">
      <c r="A466" s="382"/>
      <c r="B466" s="417"/>
      <c r="C466" s="383"/>
      <c r="D466" s="507"/>
      <c r="E466" s="382"/>
      <c r="F466" s="417"/>
      <c r="G466" s="383"/>
      <c r="H466" s="507"/>
      <c r="I466" s="382"/>
      <c r="J466" s="417"/>
      <c r="K466" s="383"/>
      <c r="L466" s="507"/>
      <c r="M466" s="382"/>
      <c r="N466" s="417"/>
      <c r="O466" s="383"/>
      <c r="P466" s="507"/>
      <c r="Q466" s="518"/>
      <c r="R466" s="519"/>
      <c r="S466" s="520"/>
      <c r="T466" s="513"/>
      <c r="U466" s="518"/>
      <c r="V466" s="519"/>
      <c r="W466" s="520"/>
      <c r="X466" s="513"/>
      <c r="Y466" s="518"/>
      <c r="Z466" s="519"/>
      <c r="AA466" s="520"/>
      <c r="AB466" s="513"/>
      <c r="AC466" s="518"/>
      <c r="AD466" s="519"/>
      <c r="AE466" s="520"/>
      <c r="AF466" s="513"/>
      <c r="AG466" s="356"/>
      <c r="AH466" s="356"/>
      <c r="AI466" s="356"/>
      <c r="AJ466" s="356"/>
      <c r="AK466" s="382"/>
      <c r="AL466" s="417"/>
      <c r="AM466" s="383"/>
      <c r="AN466" s="507"/>
      <c r="AO466" s="382"/>
      <c r="AP466" s="417"/>
      <c r="AQ466" s="383"/>
      <c r="AR466" s="507"/>
      <c r="AS466" s="514"/>
      <c r="AT466" s="514"/>
    </row>
    <row r="467">
      <c r="A467" s="382"/>
      <c r="B467" s="417"/>
      <c r="C467" s="383"/>
      <c r="D467" s="507"/>
      <c r="E467" s="382"/>
      <c r="F467" s="417"/>
      <c r="G467" s="383"/>
      <c r="H467" s="507"/>
      <c r="I467" s="382"/>
      <c r="J467" s="417"/>
      <c r="K467" s="383"/>
      <c r="L467" s="507"/>
      <c r="M467" s="382"/>
      <c r="N467" s="417"/>
      <c r="O467" s="383"/>
      <c r="P467" s="507"/>
      <c r="Q467" s="518"/>
      <c r="R467" s="519"/>
      <c r="S467" s="520"/>
      <c r="T467" s="513"/>
      <c r="U467" s="518"/>
      <c r="V467" s="519"/>
      <c r="W467" s="520"/>
      <c r="X467" s="513"/>
      <c r="Y467" s="518"/>
      <c r="Z467" s="519"/>
      <c r="AA467" s="520"/>
      <c r="AB467" s="513"/>
      <c r="AC467" s="518"/>
      <c r="AD467" s="519"/>
      <c r="AE467" s="520"/>
      <c r="AF467" s="513"/>
      <c r="AG467" s="356"/>
      <c r="AH467" s="356"/>
      <c r="AI467" s="356"/>
      <c r="AJ467" s="356"/>
      <c r="AK467" s="382"/>
      <c r="AL467" s="417"/>
      <c r="AM467" s="383"/>
      <c r="AN467" s="507"/>
      <c r="AO467" s="382"/>
      <c r="AP467" s="417"/>
      <c r="AQ467" s="383"/>
      <c r="AR467" s="507"/>
      <c r="AS467" s="514"/>
      <c r="AT467" s="514"/>
    </row>
    <row r="468">
      <c r="A468" s="382"/>
      <c r="B468" s="417"/>
      <c r="C468" s="383"/>
      <c r="D468" s="507"/>
      <c r="E468" s="382"/>
      <c r="F468" s="417"/>
      <c r="G468" s="383"/>
      <c r="H468" s="507"/>
      <c r="I468" s="382"/>
      <c r="J468" s="417"/>
      <c r="K468" s="383"/>
      <c r="L468" s="507"/>
      <c r="M468" s="382"/>
      <c r="N468" s="417"/>
      <c r="O468" s="383"/>
      <c r="P468" s="507"/>
      <c r="Q468" s="518"/>
      <c r="R468" s="519"/>
      <c r="S468" s="520"/>
      <c r="T468" s="513"/>
      <c r="U468" s="518"/>
      <c r="V468" s="519"/>
      <c r="W468" s="520"/>
      <c r="X468" s="513"/>
      <c r="Y468" s="518"/>
      <c r="Z468" s="519"/>
      <c r="AA468" s="520"/>
      <c r="AB468" s="513"/>
      <c r="AC468" s="518"/>
      <c r="AD468" s="519"/>
      <c r="AE468" s="520"/>
      <c r="AF468" s="513"/>
      <c r="AG468" s="356"/>
      <c r="AH468" s="356"/>
      <c r="AI468" s="356"/>
      <c r="AJ468" s="356"/>
      <c r="AK468" s="382"/>
      <c r="AL468" s="417"/>
      <c r="AM468" s="383"/>
      <c r="AN468" s="507"/>
      <c r="AO468" s="382"/>
      <c r="AP468" s="417"/>
      <c r="AQ468" s="383"/>
      <c r="AR468" s="507"/>
      <c r="AS468" s="514"/>
      <c r="AT468" s="514"/>
    </row>
    <row r="469">
      <c r="A469" s="382"/>
      <c r="B469" s="417"/>
      <c r="C469" s="383"/>
      <c r="D469" s="507"/>
      <c r="E469" s="382"/>
      <c r="F469" s="417"/>
      <c r="G469" s="383"/>
      <c r="H469" s="507"/>
      <c r="I469" s="382"/>
      <c r="J469" s="417"/>
      <c r="K469" s="383"/>
      <c r="L469" s="507"/>
      <c r="M469" s="382"/>
      <c r="N469" s="417"/>
      <c r="O469" s="383"/>
      <c r="P469" s="507"/>
      <c r="Q469" s="518"/>
      <c r="R469" s="519"/>
      <c r="S469" s="520"/>
      <c r="T469" s="513"/>
      <c r="U469" s="518"/>
      <c r="V469" s="519"/>
      <c r="W469" s="520"/>
      <c r="X469" s="513"/>
      <c r="Y469" s="518"/>
      <c r="Z469" s="519"/>
      <c r="AA469" s="520"/>
      <c r="AB469" s="513"/>
      <c r="AC469" s="518"/>
      <c r="AD469" s="519"/>
      <c r="AE469" s="520"/>
      <c r="AF469" s="513"/>
      <c r="AG469" s="356"/>
      <c r="AH469" s="356"/>
      <c r="AI469" s="356"/>
      <c r="AJ469" s="356"/>
      <c r="AK469" s="382"/>
      <c r="AL469" s="417"/>
      <c r="AM469" s="383"/>
      <c r="AN469" s="507"/>
      <c r="AO469" s="382"/>
      <c r="AP469" s="417"/>
      <c r="AQ469" s="383"/>
      <c r="AR469" s="507"/>
      <c r="AS469" s="514"/>
      <c r="AT469" s="514"/>
    </row>
    <row r="470">
      <c r="A470" s="382"/>
      <c r="B470" s="417"/>
      <c r="C470" s="383"/>
      <c r="D470" s="507"/>
      <c r="E470" s="382"/>
      <c r="F470" s="417"/>
      <c r="G470" s="383"/>
      <c r="H470" s="507"/>
      <c r="I470" s="382"/>
      <c r="J470" s="417"/>
      <c r="K470" s="383"/>
      <c r="L470" s="507"/>
      <c r="M470" s="382"/>
      <c r="N470" s="417"/>
      <c r="O470" s="383"/>
      <c r="P470" s="507"/>
      <c r="Q470" s="518"/>
      <c r="R470" s="519"/>
      <c r="S470" s="520"/>
      <c r="T470" s="513"/>
      <c r="U470" s="518"/>
      <c r="V470" s="519"/>
      <c r="W470" s="520"/>
      <c r="X470" s="513"/>
      <c r="Y470" s="518"/>
      <c r="Z470" s="519"/>
      <c r="AA470" s="520"/>
      <c r="AB470" s="513"/>
      <c r="AC470" s="518"/>
      <c r="AD470" s="519"/>
      <c r="AE470" s="520"/>
      <c r="AF470" s="513"/>
      <c r="AG470" s="356"/>
      <c r="AH470" s="356"/>
      <c r="AI470" s="356"/>
      <c r="AJ470" s="356"/>
      <c r="AK470" s="382"/>
      <c r="AL470" s="417"/>
      <c r="AM470" s="383"/>
      <c r="AN470" s="507"/>
      <c r="AO470" s="382"/>
      <c r="AP470" s="417"/>
      <c r="AQ470" s="383"/>
      <c r="AR470" s="507"/>
      <c r="AS470" s="514"/>
      <c r="AT470" s="514"/>
    </row>
    <row r="471">
      <c r="A471" s="382"/>
      <c r="B471" s="417"/>
      <c r="C471" s="383"/>
      <c r="D471" s="507"/>
      <c r="E471" s="382"/>
      <c r="F471" s="417"/>
      <c r="G471" s="383"/>
      <c r="H471" s="507"/>
      <c r="I471" s="382"/>
      <c r="J471" s="417"/>
      <c r="K471" s="383"/>
      <c r="L471" s="507"/>
      <c r="M471" s="382"/>
      <c r="N471" s="417"/>
      <c r="O471" s="383"/>
      <c r="P471" s="507"/>
      <c r="Q471" s="518"/>
      <c r="R471" s="519"/>
      <c r="S471" s="520"/>
      <c r="T471" s="513"/>
      <c r="U471" s="518"/>
      <c r="V471" s="519"/>
      <c r="W471" s="520"/>
      <c r="X471" s="513"/>
      <c r="Y471" s="518"/>
      <c r="Z471" s="519"/>
      <c r="AA471" s="520"/>
      <c r="AB471" s="513"/>
      <c r="AC471" s="518"/>
      <c r="AD471" s="519"/>
      <c r="AE471" s="520"/>
      <c r="AF471" s="513"/>
      <c r="AG471" s="356"/>
      <c r="AH471" s="356"/>
      <c r="AI471" s="356"/>
      <c r="AJ471" s="356"/>
      <c r="AK471" s="382"/>
      <c r="AL471" s="417"/>
      <c r="AM471" s="383"/>
      <c r="AN471" s="507"/>
      <c r="AO471" s="382"/>
      <c r="AP471" s="417"/>
      <c r="AQ471" s="383"/>
      <c r="AR471" s="507"/>
      <c r="AS471" s="514"/>
      <c r="AT471" s="514"/>
    </row>
    <row r="472">
      <c r="A472" s="382"/>
      <c r="B472" s="417"/>
      <c r="C472" s="383"/>
      <c r="D472" s="507"/>
      <c r="E472" s="382"/>
      <c r="F472" s="417"/>
      <c r="G472" s="383"/>
      <c r="H472" s="507"/>
      <c r="I472" s="382"/>
      <c r="J472" s="417"/>
      <c r="K472" s="383"/>
      <c r="L472" s="507"/>
      <c r="M472" s="382"/>
      <c r="N472" s="417"/>
      <c r="O472" s="383"/>
      <c r="P472" s="507"/>
      <c r="Q472" s="518"/>
      <c r="R472" s="519"/>
      <c r="S472" s="520"/>
      <c r="T472" s="513"/>
      <c r="U472" s="518"/>
      <c r="V472" s="519"/>
      <c r="W472" s="520"/>
      <c r="X472" s="513"/>
      <c r="Y472" s="518"/>
      <c r="Z472" s="519"/>
      <c r="AA472" s="520"/>
      <c r="AB472" s="513"/>
      <c r="AC472" s="518"/>
      <c r="AD472" s="519"/>
      <c r="AE472" s="520"/>
      <c r="AF472" s="513"/>
      <c r="AG472" s="356"/>
      <c r="AH472" s="356"/>
      <c r="AI472" s="356"/>
      <c r="AJ472" s="356"/>
      <c r="AK472" s="382"/>
      <c r="AL472" s="417"/>
      <c r="AM472" s="383"/>
      <c r="AN472" s="507"/>
      <c r="AO472" s="382"/>
      <c r="AP472" s="417"/>
      <c r="AQ472" s="383"/>
      <c r="AR472" s="507"/>
      <c r="AS472" s="514"/>
      <c r="AT472" s="514"/>
    </row>
    <row r="473">
      <c r="A473" s="382"/>
      <c r="B473" s="417"/>
      <c r="C473" s="383"/>
      <c r="D473" s="507"/>
      <c r="E473" s="382"/>
      <c r="F473" s="417"/>
      <c r="G473" s="383"/>
      <c r="H473" s="507"/>
      <c r="I473" s="382"/>
      <c r="J473" s="417"/>
      <c r="K473" s="383"/>
      <c r="L473" s="507"/>
      <c r="M473" s="382"/>
      <c r="N473" s="417"/>
      <c r="O473" s="383"/>
      <c r="P473" s="507"/>
      <c r="Q473" s="518"/>
      <c r="R473" s="519"/>
      <c r="S473" s="520"/>
      <c r="T473" s="513"/>
      <c r="U473" s="518"/>
      <c r="V473" s="519"/>
      <c r="W473" s="520"/>
      <c r="X473" s="513"/>
      <c r="Y473" s="518"/>
      <c r="Z473" s="519"/>
      <c r="AA473" s="520"/>
      <c r="AB473" s="513"/>
      <c r="AC473" s="518"/>
      <c r="AD473" s="519"/>
      <c r="AE473" s="520"/>
      <c r="AF473" s="513"/>
      <c r="AG473" s="356"/>
      <c r="AH473" s="356"/>
      <c r="AI473" s="356"/>
      <c r="AJ473" s="356"/>
      <c r="AK473" s="382"/>
      <c r="AL473" s="417"/>
      <c r="AM473" s="383"/>
      <c r="AN473" s="507"/>
      <c r="AO473" s="382"/>
      <c r="AP473" s="417"/>
      <c r="AQ473" s="383"/>
      <c r="AR473" s="507"/>
      <c r="AS473" s="514"/>
      <c r="AT473" s="514"/>
    </row>
    <row r="474">
      <c r="A474" s="382"/>
      <c r="B474" s="417"/>
      <c r="C474" s="383"/>
      <c r="D474" s="507"/>
      <c r="E474" s="382"/>
      <c r="F474" s="417"/>
      <c r="G474" s="383"/>
      <c r="H474" s="507"/>
      <c r="I474" s="382"/>
      <c r="J474" s="417"/>
      <c r="K474" s="383"/>
      <c r="L474" s="507"/>
      <c r="M474" s="382"/>
      <c r="N474" s="417"/>
      <c r="O474" s="383"/>
      <c r="P474" s="507"/>
      <c r="Q474" s="518"/>
      <c r="R474" s="519"/>
      <c r="S474" s="520"/>
      <c r="T474" s="513"/>
      <c r="U474" s="518"/>
      <c r="V474" s="519"/>
      <c r="W474" s="520"/>
      <c r="X474" s="513"/>
      <c r="Y474" s="518"/>
      <c r="Z474" s="519"/>
      <c r="AA474" s="520"/>
      <c r="AB474" s="513"/>
      <c r="AC474" s="518"/>
      <c r="AD474" s="519"/>
      <c r="AE474" s="520"/>
      <c r="AF474" s="513"/>
      <c r="AG474" s="356"/>
      <c r="AH474" s="356"/>
      <c r="AI474" s="356"/>
      <c r="AJ474" s="356"/>
      <c r="AK474" s="382"/>
      <c r="AL474" s="417"/>
      <c r="AM474" s="383"/>
      <c r="AN474" s="507"/>
      <c r="AO474" s="382"/>
      <c r="AP474" s="417"/>
      <c r="AQ474" s="383"/>
      <c r="AR474" s="507"/>
      <c r="AS474" s="514"/>
      <c r="AT474" s="514"/>
    </row>
    <row r="475">
      <c r="A475" s="382"/>
      <c r="B475" s="417"/>
      <c r="C475" s="383"/>
      <c r="D475" s="507"/>
      <c r="E475" s="382"/>
      <c r="F475" s="417"/>
      <c r="G475" s="383"/>
      <c r="H475" s="507"/>
      <c r="I475" s="382"/>
      <c r="J475" s="417"/>
      <c r="K475" s="383"/>
      <c r="L475" s="507"/>
      <c r="M475" s="382"/>
      <c r="N475" s="417"/>
      <c r="O475" s="383"/>
      <c r="P475" s="507"/>
      <c r="Q475" s="518"/>
      <c r="R475" s="519"/>
      <c r="S475" s="520"/>
      <c r="T475" s="513"/>
      <c r="U475" s="518"/>
      <c r="V475" s="519"/>
      <c r="W475" s="520"/>
      <c r="X475" s="513"/>
      <c r="Y475" s="518"/>
      <c r="Z475" s="519"/>
      <c r="AA475" s="520"/>
      <c r="AB475" s="513"/>
      <c r="AC475" s="518"/>
      <c r="AD475" s="519"/>
      <c r="AE475" s="520"/>
      <c r="AF475" s="513"/>
      <c r="AG475" s="356"/>
      <c r="AH475" s="356"/>
      <c r="AI475" s="356"/>
      <c r="AJ475" s="356"/>
      <c r="AK475" s="382"/>
      <c r="AL475" s="417"/>
      <c r="AM475" s="383"/>
      <c r="AN475" s="507"/>
      <c r="AO475" s="382"/>
      <c r="AP475" s="417"/>
      <c r="AQ475" s="383"/>
      <c r="AR475" s="507"/>
      <c r="AS475" s="514"/>
      <c r="AT475" s="514"/>
    </row>
    <row r="476">
      <c r="A476" s="382"/>
      <c r="B476" s="417"/>
      <c r="C476" s="383"/>
      <c r="D476" s="507"/>
      <c r="E476" s="382"/>
      <c r="F476" s="417"/>
      <c r="G476" s="383"/>
      <c r="H476" s="507"/>
      <c r="I476" s="382"/>
      <c r="J476" s="417"/>
      <c r="K476" s="383"/>
      <c r="L476" s="507"/>
      <c r="M476" s="382"/>
      <c r="N476" s="417"/>
      <c r="O476" s="383"/>
      <c r="P476" s="507"/>
      <c r="Q476" s="518"/>
      <c r="R476" s="519"/>
      <c r="S476" s="520"/>
      <c r="T476" s="513"/>
      <c r="U476" s="518"/>
      <c r="V476" s="519"/>
      <c r="W476" s="520"/>
      <c r="X476" s="513"/>
      <c r="Y476" s="518"/>
      <c r="Z476" s="519"/>
      <c r="AA476" s="520"/>
      <c r="AB476" s="513"/>
      <c r="AC476" s="518"/>
      <c r="AD476" s="519"/>
      <c r="AE476" s="520"/>
      <c r="AF476" s="513"/>
      <c r="AG476" s="356"/>
      <c r="AH476" s="356"/>
      <c r="AI476" s="356"/>
      <c r="AJ476" s="356"/>
      <c r="AK476" s="382"/>
      <c r="AL476" s="417"/>
      <c r="AM476" s="383"/>
      <c r="AN476" s="507"/>
      <c r="AO476" s="382"/>
      <c r="AP476" s="417"/>
      <c r="AQ476" s="383"/>
      <c r="AR476" s="507"/>
      <c r="AS476" s="514"/>
      <c r="AT476" s="514"/>
    </row>
    <row r="477">
      <c r="A477" s="382"/>
      <c r="B477" s="417"/>
      <c r="C477" s="383"/>
      <c r="D477" s="507"/>
      <c r="E477" s="382"/>
      <c r="F477" s="417"/>
      <c r="G477" s="383"/>
      <c r="H477" s="507"/>
      <c r="I477" s="382"/>
      <c r="J477" s="417"/>
      <c r="K477" s="383"/>
      <c r="L477" s="507"/>
      <c r="M477" s="382"/>
      <c r="N477" s="417"/>
      <c r="O477" s="383"/>
      <c r="P477" s="507"/>
      <c r="Q477" s="518"/>
      <c r="R477" s="519"/>
      <c r="S477" s="520"/>
      <c r="T477" s="513"/>
      <c r="U477" s="518"/>
      <c r="V477" s="519"/>
      <c r="W477" s="520"/>
      <c r="X477" s="513"/>
      <c r="Y477" s="518"/>
      <c r="Z477" s="519"/>
      <c r="AA477" s="520"/>
      <c r="AB477" s="513"/>
      <c r="AC477" s="518"/>
      <c r="AD477" s="519"/>
      <c r="AE477" s="520"/>
      <c r="AF477" s="513"/>
      <c r="AG477" s="356"/>
      <c r="AH477" s="356"/>
      <c r="AI477" s="356"/>
      <c r="AJ477" s="356"/>
      <c r="AK477" s="382"/>
      <c r="AL477" s="417"/>
      <c r="AM477" s="383"/>
      <c r="AN477" s="507"/>
      <c r="AO477" s="382"/>
      <c r="AP477" s="417"/>
      <c r="AQ477" s="383"/>
      <c r="AR477" s="507"/>
      <c r="AS477" s="514"/>
      <c r="AT477" s="514"/>
    </row>
    <row r="478">
      <c r="A478" s="382"/>
      <c r="B478" s="417"/>
      <c r="C478" s="383"/>
      <c r="D478" s="507"/>
      <c r="E478" s="382"/>
      <c r="F478" s="417"/>
      <c r="G478" s="383"/>
      <c r="H478" s="507"/>
      <c r="I478" s="382"/>
      <c r="J478" s="417"/>
      <c r="K478" s="383"/>
      <c r="L478" s="507"/>
      <c r="M478" s="382"/>
      <c r="N478" s="417"/>
      <c r="O478" s="383"/>
      <c r="P478" s="507"/>
      <c r="Q478" s="518"/>
      <c r="R478" s="519"/>
      <c r="S478" s="520"/>
      <c r="T478" s="513"/>
      <c r="U478" s="518"/>
      <c r="V478" s="519"/>
      <c r="W478" s="520"/>
      <c r="X478" s="513"/>
      <c r="Y478" s="518"/>
      <c r="Z478" s="519"/>
      <c r="AA478" s="520"/>
      <c r="AB478" s="513"/>
      <c r="AC478" s="518"/>
      <c r="AD478" s="519"/>
      <c r="AE478" s="520"/>
      <c r="AF478" s="513"/>
      <c r="AG478" s="356"/>
      <c r="AH478" s="356"/>
      <c r="AI478" s="356"/>
      <c r="AJ478" s="356"/>
      <c r="AK478" s="382"/>
      <c r="AL478" s="417"/>
      <c r="AM478" s="383"/>
      <c r="AN478" s="507"/>
      <c r="AO478" s="382"/>
      <c r="AP478" s="417"/>
      <c r="AQ478" s="383"/>
      <c r="AR478" s="507"/>
      <c r="AS478" s="514"/>
      <c r="AT478" s="514"/>
    </row>
    <row r="479">
      <c r="A479" s="382"/>
      <c r="B479" s="417"/>
      <c r="C479" s="383"/>
      <c r="D479" s="507"/>
      <c r="E479" s="382"/>
      <c r="F479" s="417"/>
      <c r="G479" s="383"/>
      <c r="H479" s="507"/>
      <c r="I479" s="382"/>
      <c r="J479" s="417"/>
      <c r="K479" s="383"/>
      <c r="L479" s="507"/>
      <c r="M479" s="382"/>
      <c r="N479" s="417"/>
      <c r="O479" s="383"/>
      <c r="P479" s="507"/>
      <c r="Q479" s="518"/>
      <c r="R479" s="519"/>
      <c r="S479" s="520"/>
      <c r="T479" s="513"/>
      <c r="U479" s="518"/>
      <c r="V479" s="519"/>
      <c r="W479" s="520"/>
      <c r="X479" s="513"/>
      <c r="Y479" s="518"/>
      <c r="Z479" s="519"/>
      <c r="AA479" s="520"/>
      <c r="AB479" s="513"/>
      <c r="AC479" s="518"/>
      <c r="AD479" s="519"/>
      <c r="AE479" s="520"/>
      <c r="AF479" s="513"/>
      <c r="AG479" s="356"/>
      <c r="AH479" s="356"/>
      <c r="AI479" s="356"/>
      <c r="AJ479" s="356"/>
      <c r="AK479" s="382"/>
      <c r="AL479" s="417"/>
      <c r="AM479" s="383"/>
      <c r="AN479" s="507"/>
      <c r="AO479" s="382"/>
      <c r="AP479" s="417"/>
      <c r="AQ479" s="383"/>
      <c r="AR479" s="507"/>
      <c r="AS479" s="514"/>
      <c r="AT479" s="514"/>
    </row>
    <row r="480">
      <c r="A480" s="382"/>
      <c r="B480" s="417"/>
      <c r="C480" s="383"/>
      <c r="D480" s="507"/>
      <c r="E480" s="382"/>
      <c r="F480" s="417"/>
      <c r="G480" s="383"/>
      <c r="H480" s="507"/>
      <c r="I480" s="382"/>
      <c r="J480" s="417"/>
      <c r="K480" s="383"/>
      <c r="L480" s="507"/>
      <c r="M480" s="382"/>
      <c r="N480" s="417"/>
      <c r="O480" s="383"/>
      <c r="P480" s="507"/>
      <c r="Q480" s="518"/>
      <c r="R480" s="519"/>
      <c r="S480" s="520"/>
      <c r="T480" s="513"/>
      <c r="U480" s="518"/>
      <c r="V480" s="519"/>
      <c r="W480" s="520"/>
      <c r="X480" s="513"/>
      <c r="Y480" s="518"/>
      <c r="Z480" s="519"/>
      <c r="AA480" s="520"/>
      <c r="AB480" s="513"/>
      <c r="AC480" s="518"/>
      <c r="AD480" s="519"/>
      <c r="AE480" s="520"/>
      <c r="AF480" s="513"/>
      <c r="AG480" s="356"/>
      <c r="AH480" s="356"/>
      <c r="AI480" s="356"/>
      <c r="AJ480" s="356"/>
      <c r="AK480" s="382"/>
      <c r="AL480" s="417"/>
      <c r="AM480" s="383"/>
      <c r="AN480" s="507"/>
      <c r="AO480" s="382"/>
      <c r="AP480" s="417"/>
      <c r="AQ480" s="383"/>
      <c r="AR480" s="507"/>
      <c r="AS480" s="514"/>
      <c r="AT480" s="514"/>
    </row>
    <row r="481">
      <c r="A481" s="382"/>
      <c r="B481" s="417"/>
      <c r="C481" s="383"/>
      <c r="D481" s="507"/>
      <c r="E481" s="382"/>
      <c r="F481" s="417"/>
      <c r="G481" s="383"/>
      <c r="H481" s="507"/>
      <c r="I481" s="382"/>
      <c r="J481" s="417"/>
      <c r="K481" s="383"/>
      <c r="L481" s="507"/>
      <c r="M481" s="382"/>
      <c r="N481" s="417"/>
      <c r="O481" s="383"/>
      <c r="P481" s="507"/>
      <c r="Q481" s="518"/>
      <c r="R481" s="519"/>
      <c r="S481" s="520"/>
      <c r="T481" s="513"/>
      <c r="U481" s="518"/>
      <c r="V481" s="519"/>
      <c r="W481" s="520"/>
      <c r="X481" s="513"/>
      <c r="Y481" s="518"/>
      <c r="Z481" s="519"/>
      <c r="AA481" s="520"/>
      <c r="AB481" s="513"/>
      <c r="AC481" s="518"/>
      <c r="AD481" s="519"/>
      <c r="AE481" s="520"/>
      <c r="AF481" s="513"/>
      <c r="AG481" s="356"/>
      <c r="AH481" s="356"/>
      <c r="AI481" s="356"/>
      <c r="AJ481" s="356"/>
      <c r="AK481" s="382"/>
      <c r="AL481" s="417"/>
      <c r="AM481" s="383"/>
      <c r="AN481" s="507"/>
      <c r="AO481" s="382"/>
      <c r="AP481" s="417"/>
      <c r="AQ481" s="383"/>
      <c r="AR481" s="507"/>
      <c r="AS481" s="514"/>
      <c r="AT481" s="514"/>
    </row>
    <row r="482">
      <c r="A482" s="382"/>
      <c r="B482" s="417"/>
      <c r="C482" s="383"/>
      <c r="D482" s="507"/>
      <c r="E482" s="382"/>
      <c r="F482" s="417"/>
      <c r="G482" s="383"/>
      <c r="H482" s="507"/>
      <c r="I482" s="382"/>
      <c r="J482" s="417"/>
      <c r="K482" s="383"/>
      <c r="L482" s="507"/>
      <c r="M482" s="382"/>
      <c r="N482" s="417"/>
      <c r="O482" s="383"/>
      <c r="P482" s="507"/>
      <c r="Q482" s="518"/>
      <c r="R482" s="519"/>
      <c r="S482" s="520"/>
      <c r="T482" s="513"/>
      <c r="U482" s="518"/>
      <c r="V482" s="519"/>
      <c r="W482" s="520"/>
      <c r="X482" s="513"/>
      <c r="Y482" s="518"/>
      <c r="Z482" s="519"/>
      <c r="AA482" s="520"/>
      <c r="AB482" s="513"/>
      <c r="AC482" s="518"/>
      <c r="AD482" s="519"/>
      <c r="AE482" s="520"/>
      <c r="AF482" s="513"/>
      <c r="AG482" s="356"/>
      <c r="AH482" s="356"/>
      <c r="AI482" s="356"/>
      <c r="AJ482" s="356"/>
      <c r="AK482" s="382"/>
      <c r="AL482" s="417"/>
      <c r="AM482" s="383"/>
      <c r="AN482" s="507"/>
      <c r="AO482" s="382"/>
      <c r="AP482" s="417"/>
      <c r="AQ482" s="383"/>
      <c r="AR482" s="507"/>
      <c r="AS482" s="514"/>
      <c r="AT482" s="514"/>
    </row>
    <row r="483">
      <c r="A483" s="382"/>
      <c r="B483" s="417"/>
      <c r="C483" s="383"/>
      <c r="D483" s="507"/>
      <c r="E483" s="382"/>
      <c r="F483" s="417"/>
      <c r="G483" s="383"/>
      <c r="H483" s="507"/>
      <c r="I483" s="382"/>
      <c r="J483" s="417"/>
      <c r="K483" s="383"/>
      <c r="L483" s="507"/>
      <c r="M483" s="382"/>
      <c r="N483" s="417"/>
      <c r="O483" s="383"/>
      <c r="P483" s="507"/>
      <c r="Q483" s="518"/>
      <c r="R483" s="519"/>
      <c r="S483" s="520"/>
      <c r="T483" s="513"/>
      <c r="U483" s="518"/>
      <c r="V483" s="519"/>
      <c r="W483" s="520"/>
      <c r="X483" s="513"/>
      <c r="Y483" s="518"/>
      <c r="Z483" s="519"/>
      <c r="AA483" s="520"/>
      <c r="AB483" s="513"/>
      <c r="AC483" s="518"/>
      <c r="AD483" s="519"/>
      <c r="AE483" s="520"/>
      <c r="AF483" s="513"/>
      <c r="AG483" s="356"/>
      <c r="AH483" s="356"/>
      <c r="AI483" s="356"/>
      <c r="AJ483" s="356"/>
      <c r="AK483" s="382"/>
      <c r="AL483" s="417"/>
      <c r="AM483" s="383"/>
      <c r="AN483" s="507"/>
      <c r="AO483" s="382"/>
      <c r="AP483" s="417"/>
      <c r="AQ483" s="383"/>
      <c r="AR483" s="507"/>
      <c r="AS483" s="514"/>
      <c r="AT483" s="514"/>
    </row>
    <row r="484">
      <c r="A484" s="382"/>
      <c r="B484" s="417"/>
      <c r="C484" s="383"/>
      <c r="D484" s="507"/>
      <c r="E484" s="382"/>
      <c r="F484" s="417"/>
      <c r="G484" s="383"/>
      <c r="H484" s="507"/>
      <c r="I484" s="382"/>
      <c r="J484" s="417"/>
      <c r="K484" s="383"/>
      <c r="L484" s="507"/>
      <c r="M484" s="382"/>
      <c r="N484" s="417"/>
      <c r="O484" s="383"/>
      <c r="P484" s="507"/>
      <c r="Q484" s="518"/>
      <c r="R484" s="519"/>
      <c r="S484" s="520"/>
      <c r="T484" s="513"/>
      <c r="U484" s="518"/>
      <c r="V484" s="519"/>
      <c r="W484" s="520"/>
      <c r="X484" s="513"/>
      <c r="Y484" s="518"/>
      <c r="Z484" s="519"/>
      <c r="AA484" s="520"/>
      <c r="AB484" s="513"/>
      <c r="AC484" s="518"/>
      <c r="AD484" s="519"/>
      <c r="AE484" s="520"/>
      <c r="AF484" s="513"/>
      <c r="AG484" s="356"/>
      <c r="AH484" s="356"/>
      <c r="AI484" s="356"/>
      <c r="AJ484" s="356"/>
      <c r="AK484" s="382"/>
      <c r="AL484" s="417"/>
      <c r="AM484" s="383"/>
      <c r="AN484" s="507"/>
      <c r="AO484" s="382"/>
      <c r="AP484" s="417"/>
      <c r="AQ484" s="383"/>
      <c r="AR484" s="507"/>
      <c r="AS484" s="514"/>
      <c r="AT484" s="514"/>
    </row>
    <row r="485">
      <c r="A485" s="382"/>
      <c r="B485" s="417"/>
      <c r="C485" s="383"/>
      <c r="D485" s="507"/>
      <c r="E485" s="382"/>
      <c r="F485" s="417"/>
      <c r="G485" s="383"/>
      <c r="H485" s="507"/>
      <c r="I485" s="382"/>
      <c r="J485" s="417"/>
      <c r="K485" s="383"/>
      <c r="L485" s="507"/>
      <c r="M485" s="382"/>
      <c r="N485" s="417"/>
      <c r="O485" s="383"/>
      <c r="P485" s="507"/>
      <c r="Q485" s="518"/>
      <c r="R485" s="519"/>
      <c r="S485" s="520"/>
      <c r="T485" s="513"/>
      <c r="U485" s="518"/>
      <c r="V485" s="519"/>
      <c r="W485" s="520"/>
      <c r="X485" s="513"/>
      <c r="Y485" s="518"/>
      <c r="Z485" s="519"/>
      <c r="AA485" s="520"/>
      <c r="AB485" s="513"/>
      <c r="AC485" s="518"/>
      <c r="AD485" s="519"/>
      <c r="AE485" s="520"/>
      <c r="AF485" s="513"/>
      <c r="AG485" s="356"/>
      <c r="AH485" s="356"/>
      <c r="AI485" s="356"/>
      <c r="AJ485" s="356"/>
      <c r="AK485" s="382"/>
      <c r="AL485" s="417"/>
      <c r="AM485" s="383"/>
      <c r="AN485" s="507"/>
      <c r="AO485" s="382"/>
      <c r="AP485" s="417"/>
      <c r="AQ485" s="383"/>
      <c r="AR485" s="507"/>
      <c r="AS485" s="514"/>
      <c r="AT485" s="514"/>
    </row>
    <row r="486">
      <c r="A486" s="382"/>
      <c r="B486" s="417"/>
      <c r="C486" s="383"/>
      <c r="D486" s="507"/>
      <c r="E486" s="382"/>
      <c r="F486" s="417"/>
      <c r="G486" s="383"/>
      <c r="H486" s="507"/>
      <c r="I486" s="382"/>
      <c r="J486" s="417"/>
      <c r="K486" s="383"/>
      <c r="L486" s="507"/>
      <c r="M486" s="382"/>
      <c r="N486" s="417"/>
      <c r="O486" s="383"/>
      <c r="P486" s="507"/>
      <c r="Q486" s="518"/>
      <c r="R486" s="519"/>
      <c r="S486" s="520"/>
      <c r="T486" s="513"/>
      <c r="U486" s="518"/>
      <c r="V486" s="519"/>
      <c r="W486" s="520"/>
      <c r="X486" s="513"/>
      <c r="Y486" s="518"/>
      <c r="Z486" s="519"/>
      <c r="AA486" s="520"/>
      <c r="AB486" s="513"/>
      <c r="AC486" s="518"/>
      <c r="AD486" s="519"/>
      <c r="AE486" s="520"/>
      <c r="AF486" s="513"/>
      <c r="AG486" s="356"/>
      <c r="AH486" s="356"/>
      <c r="AI486" s="356"/>
      <c r="AJ486" s="356"/>
      <c r="AK486" s="382"/>
      <c r="AL486" s="417"/>
      <c r="AM486" s="383"/>
      <c r="AN486" s="507"/>
      <c r="AO486" s="382"/>
      <c r="AP486" s="417"/>
      <c r="AQ486" s="383"/>
      <c r="AR486" s="507"/>
      <c r="AS486" s="514"/>
      <c r="AT486" s="514"/>
    </row>
    <row r="487">
      <c r="A487" s="382"/>
      <c r="B487" s="417"/>
      <c r="C487" s="383"/>
      <c r="D487" s="507"/>
      <c r="E487" s="382"/>
      <c r="F487" s="417"/>
      <c r="G487" s="383"/>
      <c r="H487" s="507"/>
      <c r="I487" s="382"/>
      <c r="J487" s="417"/>
      <c r="K487" s="383"/>
      <c r="L487" s="507"/>
      <c r="M487" s="382"/>
      <c r="N487" s="417"/>
      <c r="O487" s="383"/>
      <c r="P487" s="507"/>
      <c r="Q487" s="518"/>
      <c r="R487" s="519"/>
      <c r="S487" s="520"/>
      <c r="T487" s="513"/>
      <c r="U487" s="518"/>
      <c r="V487" s="519"/>
      <c r="W487" s="520"/>
      <c r="X487" s="513"/>
      <c r="Y487" s="518"/>
      <c r="Z487" s="519"/>
      <c r="AA487" s="520"/>
      <c r="AB487" s="513"/>
      <c r="AC487" s="518"/>
      <c r="AD487" s="519"/>
      <c r="AE487" s="520"/>
      <c r="AF487" s="513"/>
      <c r="AG487" s="356"/>
      <c r="AH487" s="356"/>
      <c r="AI487" s="356"/>
      <c r="AJ487" s="356"/>
      <c r="AK487" s="382"/>
      <c r="AL487" s="417"/>
      <c r="AM487" s="383"/>
      <c r="AN487" s="507"/>
      <c r="AO487" s="382"/>
      <c r="AP487" s="417"/>
      <c r="AQ487" s="383"/>
      <c r="AR487" s="507"/>
      <c r="AS487" s="514"/>
      <c r="AT487" s="514"/>
    </row>
    <row r="488">
      <c r="A488" s="382"/>
      <c r="B488" s="417"/>
      <c r="C488" s="383"/>
      <c r="D488" s="507"/>
      <c r="E488" s="382"/>
      <c r="F488" s="417"/>
      <c r="G488" s="383"/>
      <c r="H488" s="507"/>
      <c r="I488" s="382"/>
      <c r="J488" s="417"/>
      <c r="K488" s="383"/>
      <c r="L488" s="507"/>
      <c r="M488" s="382"/>
      <c r="N488" s="417"/>
      <c r="O488" s="383"/>
      <c r="P488" s="507"/>
      <c r="Q488" s="518"/>
      <c r="R488" s="519"/>
      <c r="S488" s="520"/>
      <c r="T488" s="513"/>
      <c r="U488" s="518"/>
      <c r="V488" s="519"/>
      <c r="W488" s="520"/>
      <c r="X488" s="513"/>
      <c r="Y488" s="518"/>
      <c r="Z488" s="519"/>
      <c r="AA488" s="520"/>
      <c r="AB488" s="513"/>
      <c r="AC488" s="518"/>
      <c r="AD488" s="519"/>
      <c r="AE488" s="520"/>
      <c r="AF488" s="513"/>
      <c r="AG488" s="356"/>
      <c r="AH488" s="356"/>
      <c r="AI488" s="356"/>
      <c r="AJ488" s="356"/>
      <c r="AK488" s="382"/>
      <c r="AL488" s="417"/>
      <c r="AM488" s="383"/>
      <c r="AN488" s="507"/>
      <c r="AO488" s="382"/>
      <c r="AP488" s="417"/>
      <c r="AQ488" s="383"/>
      <c r="AR488" s="507"/>
      <c r="AS488" s="514"/>
      <c r="AT488" s="514"/>
    </row>
    <row r="489">
      <c r="A489" s="382"/>
      <c r="B489" s="417"/>
      <c r="C489" s="383"/>
      <c r="D489" s="507"/>
      <c r="E489" s="382"/>
      <c r="F489" s="417"/>
      <c r="G489" s="383"/>
      <c r="H489" s="507"/>
      <c r="I489" s="382"/>
      <c r="J489" s="417"/>
      <c r="K489" s="383"/>
      <c r="L489" s="507"/>
      <c r="M489" s="382"/>
      <c r="N489" s="417"/>
      <c r="O489" s="383"/>
      <c r="P489" s="507"/>
      <c r="Q489" s="518"/>
      <c r="R489" s="519"/>
      <c r="S489" s="520"/>
      <c r="T489" s="513"/>
      <c r="U489" s="518"/>
      <c r="V489" s="519"/>
      <c r="W489" s="520"/>
      <c r="X489" s="513"/>
      <c r="Y489" s="518"/>
      <c r="Z489" s="519"/>
      <c r="AA489" s="520"/>
      <c r="AB489" s="513"/>
      <c r="AC489" s="518"/>
      <c r="AD489" s="519"/>
      <c r="AE489" s="520"/>
      <c r="AF489" s="513"/>
      <c r="AG489" s="356"/>
      <c r="AH489" s="356"/>
      <c r="AI489" s="356"/>
      <c r="AJ489" s="356"/>
      <c r="AK489" s="382"/>
      <c r="AL489" s="417"/>
      <c r="AM489" s="383"/>
      <c r="AN489" s="507"/>
      <c r="AO489" s="382"/>
      <c r="AP489" s="417"/>
      <c r="AQ489" s="383"/>
      <c r="AR489" s="507"/>
      <c r="AS489" s="514"/>
      <c r="AT489" s="514"/>
    </row>
    <row r="490">
      <c r="A490" s="382"/>
      <c r="B490" s="417"/>
      <c r="C490" s="383"/>
      <c r="D490" s="507"/>
      <c r="E490" s="382"/>
      <c r="F490" s="417"/>
      <c r="G490" s="383"/>
      <c r="H490" s="507"/>
      <c r="I490" s="382"/>
      <c r="J490" s="417"/>
      <c r="K490" s="383"/>
      <c r="L490" s="507"/>
      <c r="M490" s="382"/>
      <c r="N490" s="417"/>
      <c r="O490" s="383"/>
      <c r="P490" s="507"/>
      <c r="Q490" s="518"/>
      <c r="R490" s="519"/>
      <c r="S490" s="520"/>
      <c r="T490" s="513"/>
      <c r="U490" s="518"/>
      <c r="V490" s="519"/>
      <c r="W490" s="520"/>
      <c r="X490" s="513"/>
      <c r="Y490" s="518"/>
      <c r="Z490" s="519"/>
      <c r="AA490" s="520"/>
      <c r="AB490" s="513"/>
      <c r="AC490" s="518"/>
      <c r="AD490" s="519"/>
      <c r="AE490" s="520"/>
      <c r="AF490" s="513"/>
      <c r="AG490" s="356"/>
      <c r="AH490" s="356"/>
      <c r="AI490" s="356"/>
      <c r="AJ490" s="356"/>
      <c r="AK490" s="382"/>
      <c r="AL490" s="417"/>
      <c r="AM490" s="383"/>
      <c r="AN490" s="507"/>
      <c r="AO490" s="382"/>
      <c r="AP490" s="417"/>
      <c r="AQ490" s="383"/>
      <c r="AR490" s="507"/>
      <c r="AS490" s="514"/>
      <c r="AT490" s="514"/>
    </row>
    <row r="491">
      <c r="A491" s="382"/>
      <c r="B491" s="417"/>
      <c r="C491" s="383"/>
      <c r="D491" s="507"/>
      <c r="E491" s="382"/>
      <c r="F491" s="417"/>
      <c r="G491" s="383"/>
      <c r="H491" s="507"/>
      <c r="I491" s="382"/>
      <c r="J491" s="417"/>
      <c r="K491" s="383"/>
      <c r="L491" s="507"/>
      <c r="M491" s="382"/>
      <c r="N491" s="417"/>
      <c r="O491" s="383"/>
      <c r="P491" s="507"/>
      <c r="Q491" s="518"/>
      <c r="R491" s="519"/>
      <c r="S491" s="520"/>
      <c r="T491" s="513"/>
      <c r="U491" s="518"/>
      <c r="V491" s="519"/>
      <c r="W491" s="520"/>
      <c r="X491" s="513"/>
      <c r="Y491" s="518"/>
      <c r="Z491" s="519"/>
      <c r="AA491" s="520"/>
      <c r="AB491" s="513"/>
      <c r="AC491" s="518"/>
      <c r="AD491" s="519"/>
      <c r="AE491" s="520"/>
      <c r="AF491" s="513"/>
      <c r="AG491" s="356"/>
      <c r="AH491" s="356"/>
      <c r="AI491" s="356"/>
      <c r="AJ491" s="356"/>
      <c r="AK491" s="382"/>
      <c r="AL491" s="417"/>
      <c r="AM491" s="383"/>
      <c r="AN491" s="507"/>
      <c r="AO491" s="382"/>
      <c r="AP491" s="417"/>
      <c r="AQ491" s="383"/>
      <c r="AR491" s="507"/>
      <c r="AS491" s="514"/>
      <c r="AT491" s="514"/>
    </row>
    <row r="492">
      <c r="A492" s="382"/>
      <c r="B492" s="417"/>
      <c r="C492" s="383"/>
      <c r="D492" s="507"/>
      <c r="E492" s="382"/>
      <c r="F492" s="417"/>
      <c r="G492" s="383"/>
      <c r="H492" s="507"/>
      <c r="I492" s="382"/>
      <c r="J492" s="417"/>
      <c r="K492" s="383"/>
      <c r="L492" s="507"/>
      <c r="M492" s="382"/>
      <c r="N492" s="417"/>
      <c r="O492" s="383"/>
      <c r="P492" s="507"/>
      <c r="Q492" s="518"/>
      <c r="R492" s="519"/>
      <c r="S492" s="520"/>
      <c r="T492" s="513"/>
      <c r="U492" s="518"/>
      <c r="V492" s="519"/>
      <c r="W492" s="520"/>
      <c r="X492" s="513"/>
      <c r="Y492" s="518"/>
      <c r="Z492" s="519"/>
      <c r="AA492" s="520"/>
      <c r="AB492" s="513"/>
      <c r="AC492" s="518"/>
      <c r="AD492" s="519"/>
      <c r="AE492" s="520"/>
      <c r="AF492" s="513"/>
      <c r="AG492" s="356"/>
      <c r="AH492" s="356"/>
      <c r="AI492" s="356"/>
      <c r="AJ492" s="356"/>
      <c r="AK492" s="382"/>
      <c r="AL492" s="417"/>
      <c r="AM492" s="383"/>
      <c r="AN492" s="507"/>
      <c r="AO492" s="382"/>
      <c r="AP492" s="417"/>
      <c r="AQ492" s="383"/>
      <c r="AR492" s="507"/>
      <c r="AS492" s="514"/>
      <c r="AT492" s="514"/>
    </row>
    <row r="493">
      <c r="A493" s="382"/>
      <c r="B493" s="417"/>
      <c r="C493" s="383"/>
      <c r="D493" s="507"/>
      <c r="E493" s="382"/>
      <c r="F493" s="417"/>
      <c r="G493" s="383"/>
      <c r="H493" s="507"/>
      <c r="I493" s="382"/>
      <c r="J493" s="417"/>
      <c r="K493" s="383"/>
      <c r="L493" s="507"/>
      <c r="M493" s="382"/>
      <c r="N493" s="417"/>
      <c r="O493" s="383"/>
      <c r="P493" s="507"/>
      <c r="Q493" s="518"/>
      <c r="R493" s="519"/>
      <c r="S493" s="520"/>
      <c r="T493" s="513"/>
      <c r="U493" s="518"/>
      <c r="V493" s="519"/>
      <c r="W493" s="520"/>
      <c r="X493" s="513"/>
      <c r="Y493" s="518"/>
      <c r="Z493" s="519"/>
      <c r="AA493" s="520"/>
      <c r="AB493" s="513"/>
      <c r="AC493" s="518"/>
      <c r="AD493" s="519"/>
      <c r="AE493" s="520"/>
      <c r="AF493" s="513"/>
      <c r="AG493" s="356"/>
      <c r="AH493" s="356"/>
      <c r="AI493" s="356"/>
      <c r="AJ493" s="356"/>
      <c r="AK493" s="382"/>
      <c r="AL493" s="417"/>
      <c r="AM493" s="383"/>
      <c r="AN493" s="507"/>
      <c r="AO493" s="382"/>
      <c r="AP493" s="417"/>
      <c r="AQ493" s="383"/>
      <c r="AR493" s="507"/>
      <c r="AS493" s="514"/>
      <c r="AT493" s="514"/>
    </row>
    <row r="494">
      <c r="A494" s="382"/>
      <c r="B494" s="417"/>
      <c r="C494" s="383"/>
      <c r="D494" s="507"/>
      <c r="E494" s="382"/>
      <c r="F494" s="417"/>
      <c r="G494" s="383"/>
      <c r="H494" s="507"/>
      <c r="I494" s="382"/>
      <c r="J494" s="417"/>
      <c r="K494" s="383"/>
      <c r="L494" s="507"/>
      <c r="M494" s="382"/>
      <c r="N494" s="417"/>
      <c r="O494" s="383"/>
      <c r="P494" s="507"/>
      <c r="Q494" s="518"/>
      <c r="R494" s="519"/>
      <c r="S494" s="520"/>
      <c r="T494" s="513"/>
      <c r="U494" s="518"/>
      <c r="V494" s="519"/>
      <c r="W494" s="520"/>
      <c r="X494" s="513"/>
      <c r="Y494" s="518"/>
      <c r="Z494" s="519"/>
      <c r="AA494" s="520"/>
      <c r="AB494" s="513"/>
      <c r="AC494" s="518"/>
      <c r="AD494" s="519"/>
      <c r="AE494" s="520"/>
      <c r="AF494" s="513"/>
      <c r="AG494" s="356"/>
      <c r="AH494" s="356"/>
      <c r="AI494" s="356"/>
      <c r="AJ494" s="356"/>
      <c r="AK494" s="382"/>
      <c r="AL494" s="417"/>
      <c r="AM494" s="383"/>
      <c r="AN494" s="507"/>
      <c r="AO494" s="382"/>
      <c r="AP494" s="417"/>
      <c r="AQ494" s="383"/>
      <c r="AR494" s="507"/>
      <c r="AS494" s="514"/>
      <c r="AT494" s="514"/>
    </row>
    <row r="495">
      <c r="A495" s="382"/>
      <c r="B495" s="417"/>
      <c r="C495" s="383"/>
      <c r="D495" s="507"/>
      <c r="E495" s="382"/>
      <c r="F495" s="417"/>
      <c r="G495" s="383"/>
      <c r="H495" s="507"/>
      <c r="I495" s="382"/>
      <c r="J495" s="417"/>
      <c r="K495" s="383"/>
      <c r="L495" s="507"/>
      <c r="M495" s="382"/>
      <c r="N495" s="417"/>
      <c r="O495" s="383"/>
      <c r="P495" s="507"/>
      <c r="Q495" s="518"/>
      <c r="R495" s="519"/>
      <c r="S495" s="520"/>
      <c r="T495" s="513"/>
      <c r="U495" s="518"/>
      <c r="V495" s="519"/>
      <c r="W495" s="520"/>
      <c r="X495" s="513"/>
      <c r="Y495" s="518"/>
      <c r="Z495" s="519"/>
      <c r="AA495" s="520"/>
      <c r="AB495" s="513"/>
      <c r="AC495" s="518"/>
      <c r="AD495" s="519"/>
      <c r="AE495" s="520"/>
      <c r="AF495" s="513"/>
      <c r="AG495" s="356"/>
      <c r="AH495" s="356"/>
      <c r="AI495" s="356"/>
      <c r="AJ495" s="356"/>
      <c r="AK495" s="382"/>
      <c r="AL495" s="417"/>
      <c r="AM495" s="383"/>
      <c r="AN495" s="507"/>
      <c r="AO495" s="382"/>
      <c r="AP495" s="417"/>
      <c r="AQ495" s="383"/>
      <c r="AR495" s="507"/>
      <c r="AS495" s="514"/>
      <c r="AT495" s="514"/>
    </row>
    <row r="496">
      <c r="A496" s="382"/>
      <c r="B496" s="417"/>
      <c r="C496" s="383"/>
      <c r="D496" s="507"/>
      <c r="E496" s="382"/>
      <c r="F496" s="417"/>
      <c r="G496" s="383"/>
      <c r="H496" s="507"/>
      <c r="I496" s="382"/>
      <c r="J496" s="417"/>
      <c r="K496" s="383"/>
      <c r="L496" s="507"/>
      <c r="M496" s="382"/>
      <c r="N496" s="417"/>
      <c r="O496" s="383"/>
      <c r="P496" s="507"/>
      <c r="Q496" s="518"/>
      <c r="R496" s="519"/>
      <c r="S496" s="520"/>
      <c r="T496" s="513"/>
      <c r="U496" s="518"/>
      <c r="V496" s="519"/>
      <c r="W496" s="520"/>
      <c r="X496" s="513"/>
      <c r="Y496" s="518"/>
      <c r="Z496" s="519"/>
      <c r="AA496" s="520"/>
      <c r="AB496" s="513"/>
      <c r="AC496" s="518"/>
      <c r="AD496" s="519"/>
      <c r="AE496" s="520"/>
      <c r="AF496" s="513"/>
      <c r="AG496" s="356"/>
      <c r="AH496" s="356"/>
      <c r="AI496" s="356"/>
      <c r="AJ496" s="356"/>
      <c r="AK496" s="382"/>
      <c r="AL496" s="417"/>
      <c r="AM496" s="383"/>
      <c r="AN496" s="507"/>
      <c r="AO496" s="382"/>
      <c r="AP496" s="417"/>
      <c r="AQ496" s="383"/>
      <c r="AR496" s="507"/>
      <c r="AS496" s="514"/>
      <c r="AT496" s="514"/>
    </row>
    <row r="497">
      <c r="A497" s="382"/>
      <c r="B497" s="417"/>
      <c r="C497" s="383"/>
      <c r="D497" s="507"/>
      <c r="E497" s="382"/>
      <c r="F497" s="417"/>
      <c r="G497" s="383"/>
      <c r="H497" s="507"/>
      <c r="I497" s="382"/>
      <c r="J497" s="417"/>
      <c r="K497" s="383"/>
      <c r="L497" s="507"/>
      <c r="M497" s="382"/>
      <c r="N497" s="417"/>
      <c r="O497" s="383"/>
      <c r="P497" s="507"/>
      <c r="Q497" s="518"/>
      <c r="R497" s="519"/>
      <c r="S497" s="520"/>
      <c r="T497" s="513"/>
      <c r="U497" s="518"/>
      <c r="V497" s="519"/>
      <c r="W497" s="520"/>
      <c r="X497" s="513"/>
      <c r="Y497" s="518"/>
      <c r="Z497" s="519"/>
      <c r="AA497" s="520"/>
      <c r="AB497" s="513"/>
      <c r="AC497" s="518"/>
      <c r="AD497" s="519"/>
      <c r="AE497" s="520"/>
      <c r="AF497" s="513"/>
      <c r="AG497" s="356"/>
      <c r="AH497" s="356"/>
      <c r="AI497" s="356"/>
      <c r="AJ497" s="356"/>
      <c r="AK497" s="382"/>
      <c r="AL497" s="417"/>
      <c r="AM497" s="383"/>
      <c r="AN497" s="507"/>
      <c r="AO497" s="382"/>
      <c r="AP497" s="417"/>
      <c r="AQ497" s="383"/>
      <c r="AR497" s="507"/>
      <c r="AS497" s="514"/>
      <c r="AT497" s="514"/>
    </row>
    <row r="498">
      <c r="A498" s="382"/>
      <c r="B498" s="417"/>
      <c r="C498" s="383"/>
      <c r="D498" s="507"/>
      <c r="E498" s="382"/>
      <c r="F498" s="417"/>
      <c r="G498" s="383"/>
      <c r="H498" s="507"/>
      <c r="I498" s="382"/>
      <c r="J498" s="417"/>
      <c r="K498" s="383"/>
      <c r="L498" s="507"/>
      <c r="M498" s="382"/>
      <c r="N498" s="417"/>
      <c r="O498" s="383"/>
      <c r="P498" s="507"/>
      <c r="Q498" s="518"/>
      <c r="R498" s="519"/>
      <c r="S498" s="520"/>
      <c r="T498" s="513"/>
      <c r="U498" s="518"/>
      <c r="V498" s="519"/>
      <c r="W498" s="520"/>
      <c r="X498" s="513"/>
      <c r="Y498" s="518"/>
      <c r="Z498" s="519"/>
      <c r="AA498" s="520"/>
      <c r="AB498" s="513"/>
      <c r="AC498" s="518"/>
      <c r="AD498" s="519"/>
      <c r="AE498" s="520"/>
      <c r="AF498" s="513"/>
      <c r="AG498" s="356"/>
      <c r="AH498" s="356"/>
      <c r="AI498" s="356"/>
      <c r="AJ498" s="356"/>
      <c r="AK498" s="382"/>
      <c r="AL498" s="417"/>
      <c r="AM498" s="383"/>
      <c r="AN498" s="507"/>
      <c r="AO498" s="382"/>
      <c r="AP498" s="417"/>
      <c r="AQ498" s="383"/>
      <c r="AR498" s="507"/>
      <c r="AS498" s="514"/>
      <c r="AT498" s="514"/>
    </row>
    <row r="499">
      <c r="A499" s="382"/>
      <c r="B499" s="417"/>
      <c r="C499" s="383"/>
      <c r="D499" s="507"/>
      <c r="E499" s="382"/>
      <c r="F499" s="417"/>
      <c r="G499" s="383"/>
      <c r="H499" s="507"/>
      <c r="I499" s="382"/>
      <c r="J499" s="417"/>
      <c r="K499" s="383"/>
      <c r="L499" s="507"/>
      <c r="M499" s="382"/>
      <c r="N499" s="417"/>
      <c r="O499" s="383"/>
      <c r="P499" s="507"/>
      <c r="Q499" s="518"/>
      <c r="R499" s="519"/>
      <c r="S499" s="520"/>
      <c r="T499" s="513"/>
      <c r="U499" s="518"/>
      <c r="V499" s="519"/>
      <c r="W499" s="520"/>
      <c r="X499" s="513"/>
      <c r="Y499" s="518"/>
      <c r="Z499" s="519"/>
      <c r="AA499" s="520"/>
      <c r="AB499" s="513"/>
      <c r="AC499" s="518"/>
      <c r="AD499" s="519"/>
      <c r="AE499" s="520"/>
      <c r="AF499" s="513"/>
      <c r="AG499" s="356"/>
      <c r="AH499" s="356"/>
      <c r="AI499" s="356"/>
      <c r="AJ499" s="356"/>
      <c r="AK499" s="382"/>
      <c r="AL499" s="417"/>
      <c r="AM499" s="383"/>
      <c r="AN499" s="507"/>
      <c r="AO499" s="382"/>
      <c r="AP499" s="417"/>
      <c r="AQ499" s="383"/>
      <c r="AR499" s="507"/>
      <c r="AS499" s="514"/>
      <c r="AT499" s="514"/>
    </row>
    <row r="500">
      <c r="A500" s="382"/>
      <c r="B500" s="417"/>
      <c r="C500" s="383"/>
      <c r="D500" s="507"/>
      <c r="E500" s="382"/>
      <c r="F500" s="417"/>
      <c r="G500" s="383"/>
      <c r="H500" s="507"/>
      <c r="I500" s="382"/>
      <c r="J500" s="417"/>
      <c r="K500" s="383"/>
      <c r="L500" s="507"/>
      <c r="M500" s="382"/>
      <c r="N500" s="417"/>
      <c r="O500" s="383"/>
      <c r="P500" s="507"/>
      <c r="Q500" s="518"/>
      <c r="R500" s="519"/>
      <c r="S500" s="520"/>
      <c r="T500" s="513"/>
      <c r="U500" s="518"/>
      <c r="V500" s="519"/>
      <c r="W500" s="520"/>
      <c r="X500" s="513"/>
      <c r="Y500" s="518"/>
      <c r="Z500" s="519"/>
      <c r="AA500" s="520"/>
      <c r="AB500" s="513"/>
      <c r="AC500" s="518"/>
      <c r="AD500" s="519"/>
      <c r="AE500" s="520"/>
      <c r="AF500" s="513"/>
      <c r="AG500" s="356"/>
      <c r="AH500" s="356"/>
      <c r="AI500" s="356"/>
      <c r="AJ500" s="356"/>
      <c r="AK500" s="382"/>
      <c r="AL500" s="417"/>
      <c r="AM500" s="383"/>
      <c r="AN500" s="507"/>
      <c r="AO500" s="382"/>
      <c r="AP500" s="417"/>
      <c r="AQ500" s="383"/>
      <c r="AR500" s="507"/>
      <c r="AS500" s="514"/>
      <c r="AT500" s="514"/>
    </row>
    <row r="501">
      <c r="A501" s="382"/>
      <c r="B501" s="417"/>
      <c r="C501" s="383"/>
      <c r="D501" s="507"/>
      <c r="E501" s="382"/>
      <c r="F501" s="417"/>
      <c r="G501" s="383"/>
      <c r="H501" s="507"/>
      <c r="I501" s="382"/>
      <c r="J501" s="417"/>
      <c r="K501" s="383"/>
      <c r="L501" s="507"/>
      <c r="M501" s="382"/>
      <c r="N501" s="417"/>
      <c r="O501" s="383"/>
      <c r="P501" s="507"/>
      <c r="Q501" s="518"/>
      <c r="R501" s="519"/>
      <c r="S501" s="520"/>
      <c r="T501" s="513"/>
      <c r="U501" s="518"/>
      <c r="V501" s="519"/>
      <c r="W501" s="520"/>
      <c r="X501" s="513"/>
      <c r="Y501" s="518"/>
      <c r="Z501" s="519"/>
      <c r="AA501" s="520"/>
      <c r="AB501" s="513"/>
      <c r="AC501" s="518"/>
      <c r="AD501" s="519"/>
      <c r="AE501" s="520"/>
      <c r="AF501" s="513"/>
      <c r="AG501" s="356"/>
      <c r="AH501" s="356"/>
      <c r="AI501" s="356"/>
      <c r="AJ501" s="356"/>
      <c r="AK501" s="382"/>
      <c r="AL501" s="417"/>
      <c r="AM501" s="383"/>
      <c r="AN501" s="507"/>
      <c r="AO501" s="382"/>
      <c r="AP501" s="417"/>
      <c r="AQ501" s="383"/>
      <c r="AR501" s="507"/>
      <c r="AS501" s="514"/>
      <c r="AT501" s="514"/>
    </row>
    <row r="502">
      <c r="A502" s="382"/>
      <c r="B502" s="417"/>
      <c r="C502" s="383"/>
      <c r="D502" s="507"/>
      <c r="E502" s="382"/>
      <c r="F502" s="417"/>
      <c r="G502" s="383"/>
      <c r="H502" s="507"/>
      <c r="I502" s="382"/>
      <c r="J502" s="417"/>
      <c r="K502" s="383"/>
      <c r="L502" s="507"/>
      <c r="M502" s="382"/>
      <c r="N502" s="417"/>
      <c r="O502" s="383"/>
      <c r="P502" s="507"/>
      <c r="Q502" s="518"/>
      <c r="R502" s="519"/>
      <c r="S502" s="520"/>
      <c r="T502" s="513"/>
      <c r="U502" s="518"/>
      <c r="V502" s="519"/>
      <c r="W502" s="520"/>
      <c r="X502" s="513"/>
      <c r="Y502" s="518"/>
      <c r="Z502" s="519"/>
      <c r="AA502" s="520"/>
      <c r="AB502" s="513"/>
      <c r="AC502" s="518"/>
      <c r="AD502" s="519"/>
      <c r="AE502" s="520"/>
      <c r="AF502" s="513"/>
      <c r="AG502" s="356"/>
      <c r="AH502" s="356"/>
      <c r="AI502" s="356"/>
      <c r="AJ502" s="356"/>
      <c r="AK502" s="382"/>
      <c r="AL502" s="417"/>
      <c r="AM502" s="383"/>
      <c r="AN502" s="507"/>
      <c r="AO502" s="382"/>
      <c r="AP502" s="417"/>
      <c r="AQ502" s="383"/>
      <c r="AR502" s="507"/>
      <c r="AS502" s="514"/>
      <c r="AT502" s="514"/>
    </row>
    <row r="503">
      <c r="A503" s="382"/>
      <c r="B503" s="417"/>
      <c r="C503" s="383"/>
      <c r="D503" s="507"/>
      <c r="E503" s="382"/>
      <c r="F503" s="417"/>
      <c r="G503" s="383"/>
      <c r="H503" s="507"/>
      <c r="I503" s="382"/>
      <c r="J503" s="417"/>
      <c r="K503" s="383"/>
      <c r="L503" s="507"/>
      <c r="M503" s="382"/>
      <c r="N503" s="417"/>
      <c r="O503" s="383"/>
      <c r="P503" s="507"/>
      <c r="Q503" s="518"/>
      <c r="R503" s="519"/>
      <c r="S503" s="520"/>
      <c r="T503" s="513"/>
      <c r="U503" s="518"/>
      <c r="V503" s="519"/>
      <c r="W503" s="520"/>
      <c r="X503" s="513"/>
      <c r="Y503" s="518"/>
      <c r="Z503" s="519"/>
      <c r="AA503" s="520"/>
      <c r="AB503" s="513"/>
      <c r="AC503" s="518"/>
      <c r="AD503" s="519"/>
      <c r="AE503" s="520"/>
      <c r="AF503" s="513"/>
      <c r="AG503" s="356"/>
      <c r="AH503" s="356"/>
      <c r="AI503" s="356"/>
      <c r="AJ503" s="356"/>
      <c r="AK503" s="382"/>
      <c r="AL503" s="417"/>
      <c r="AM503" s="383"/>
      <c r="AN503" s="507"/>
      <c r="AO503" s="382"/>
      <c r="AP503" s="417"/>
      <c r="AQ503" s="383"/>
      <c r="AR503" s="507"/>
      <c r="AS503" s="514"/>
      <c r="AT503" s="514"/>
    </row>
    <row r="504">
      <c r="A504" s="382"/>
      <c r="B504" s="417"/>
      <c r="C504" s="383"/>
      <c r="D504" s="507"/>
      <c r="E504" s="382"/>
      <c r="F504" s="417"/>
      <c r="G504" s="383"/>
      <c r="H504" s="507"/>
      <c r="I504" s="382"/>
      <c r="J504" s="417"/>
      <c r="K504" s="383"/>
      <c r="L504" s="507"/>
      <c r="M504" s="382"/>
      <c r="N504" s="417"/>
      <c r="O504" s="383"/>
      <c r="P504" s="507"/>
      <c r="Q504" s="518"/>
      <c r="R504" s="519"/>
      <c r="S504" s="520"/>
      <c r="T504" s="513"/>
      <c r="U504" s="518"/>
      <c r="V504" s="519"/>
      <c r="W504" s="520"/>
      <c r="X504" s="513"/>
      <c r="Y504" s="518"/>
      <c r="Z504" s="519"/>
      <c r="AA504" s="520"/>
      <c r="AB504" s="513"/>
      <c r="AC504" s="518"/>
      <c r="AD504" s="519"/>
      <c r="AE504" s="520"/>
      <c r="AF504" s="513"/>
      <c r="AG504" s="356"/>
      <c r="AH504" s="356"/>
      <c r="AI504" s="356"/>
      <c r="AJ504" s="356"/>
      <c r="AK504" s="382"/>
      <c r="AL504" s="417"/>
      <c r="AM504" s="383"/>
      <c r="AN504" s="507"/>
      <c r="AO504" s="382"/>
      <c r="AP504" s="417"/>
      <c r="AQ504" s="383"/>
      <c r="AR504" s="507"/>
      <c r="AS504" s="514"/>
      <c r="AT504" s="514"/>
    </row>
    <row r="505">
      <c r="A505" s="382"/>
      <c r="B505" s="417"/>
      <c r="C505" s="383"/>
      <c r="D505" s="507"/>
      <c r="E505" s="382"/>
      <c r="F505" s="417"/>
      <c r="G505" s="383"/>
      <c r="H505" s="507"/>
      <c r="I505" s="382"/>
      <c r="J505" s="417"/>
      <c r="K505" s="383"/>
      <c r="L505" s="507"/>
      <c r="M505" s="382"/>
      <c r="N505" s="417"/>
      <c r="O505" s="383"/>
      <c r="P505" s="507"/>
      <c r="Q505" s="518"/>
      <c r="R505" s="519"/>
      <c r="S505" s="520"/>
      <c r="T505" s="513"/>
      <c r="U505" s="518"/>
      <c r="V505" s="519"/>
      <c r="W505" s="520"/>
      <c r="X505" s="513"/>
      <c r="Y505" s="518"/>
      <c r="Z505" s="519"/>
      <c r="AA505" s="520"/>
      <c r="AB505" s="513"/>
      <c r="AC505" s="518"/>
      <c r="AD505" s="519"/>
      <c r="AE505" s="520"/>
      <c r="AF505" s="513"/>
      <c r="AG505" s="356"/>
      <c r="AH505" s="356"/>
      <c r="AI505" s="356"/>
      <c r="AJ505" s="356"/>
      <c r="AK505" s="382"/>
      <c r="AL505" s="417"/>
      <c r="AM505" s="383"/>
      <c r="AN505" s="507"/>
      <c r="AO505" s="382"/>
      <c r="AP505" s="417"/>
      <c r="AQ505" s="383"/>
      <c r="AR505" s="507"/>
      <c r="AS505" s="514"/>
      <c r="AT505" s="514"/>
    </row>
    <row r="506">
      <c r="A506" s="382"/>
      <c r="B506" s="417"/>
      <c r="C506" s="383"/>
      <c r="D506" s="507"/>
      <c r="E506" s="382"/>
      <c r="F506" s="417"/>
      <c r="G506" s="383"/>
      <c r="H506" s="507"/>
      <c r="I506" s="382"/>
      <c r="J506" s="417"/>
      <c r="K506" s="383"/>
      <c r="L506" s="507"/>
      <c r="M506" s="382"/>
      <c r="N506" s="417"/>
      <c r="O506" s="383"/>
      <c r="P506" s="507"/>
      <c r="Q506" s="518"/>
      <c r="R506" s="519"/>
      <c r="S506" s="520"/>
      <c r="T506" s="513"/>
      <c r="U506" s="518"/>
      <c r="V506" s="519"/>
      <c r="W506" s="520"/>
      <c r="X506" s="513"/>
      <c r="Y506" s="518"/>
      <c r="Z506" s="519"/>
      <c r="AA506" s="520"/>
      <c r="AB506" s="513"/>
      <c r="AC506" s="518"/>
      <c r="AD506" s="519"/>
      <c r="AE506" s="520"/>
      <c r="AF506" s="513"/>
      <c r="AG506" s="356"/>
      <c r="AH506" s="356"/>
      <c r="AI506" s="356"/>
      <c r="AJ506" s="356"/>
      <c r="AK506" s="382"/>
      <c r="AL506" s="417"/>
      <c r="AM506" s="383"/>
      <c r="AN506" s="507"/>
      <c r="AO506" s="382"/>
      <c r="AP506" s="417"/>
      <c r="AQ506" s="383"/>
      <c r="AR506" s="507"/>
      <c r="AS506" s="514"/>
      <c r="AT506" s="514"/>
    </row>
    <row r="507">
      <c r="A507" s="382"/>
      <c r="B507" s="417"/>
      <c r="C507" s="383"/>
      <c r="D507" s="507"/>
      <c r="E507" s="382"/>
      <c r="F507" s="417"/>
      <c r="G507" s="383"/>
      <c r="H507" s="507"/>
      <c r="I507" s="382"/>
      <c r="J507" s="417"/>
      <c r="K507" s="383"/>
      <c r="L507" s="507"/>
      <c r="M507" s="382"/>
      <c r="N507" s="417"/>
      <c r="O507" s="383"/>
      <c r="P507" s="507"/>
      <c r="Q507" s="518"/>
      <c r="R507" s="519"/>
      <c r="S507" s="520"/>
      <c r="T507" s="513"/>
      <c r="U507" s="518"/>
      <c r="V507" s="519"/>
      <c r="W507" s="520"/>
      <c r="X507" s="513"/>
      <c r="Y507" s="518"/>
      <c r="Z507" s="519"/>
      <c r="AA507" s="520"/>
      <c r="AB507" s="513"/>
      <c r="AC507" s="518"/>
      <c r="AD507" s="519"/>
      <c r="AE507" s="520"/>
      <c r="AF507" s="513"/>
      <c r="AG507" s="356"/>
      <c r="AH507" s="356"/>
      <c r="AI507" s="356"/>
      <c r="AJ507" s="356"/>
      <c r="AK507" s="382"/>
      <c r="AL507" s="417"/>
      <c r="AM507" s="383"/>
      <c r="AN507" s="507"/>
      <c r="AO507" s="382"/>
      <c r="AP507" s="417"/>
      <c r="AQ507" s="383"/>
      <c r="AR507" s="507"/>
      <c r="AS507" s="514"/>
      <c r="AT507" s="514"/>
    </row>
    <row r="508">
      <c r="A508" s="382"/>
      <c r="B508" s="417"/>
      <c r="C508" s="383"/>
      <c r="D508" s="507"/>
      <c r="E508" s="382"/>
      <c r="F508" s="417"/>
      <c r="G508" s="383"/>
      <c r="H508" s="507"/>
      <c r="I508" s="382"/>
      <c r="J508" s="417"/>
      <c r="K508" s="383"/>
      <c r="L508" s="507"/>
      <c r="M508" s="382"/>
      <c r="N508" s="417"/>
      <c r="O508" s="383"/>
      <c r="P508" s="507"/>
      <c r="Q508" s="518"/>
      <c r="R508" s="519"/>
      <c r="S508" s="520"/>
      <c r="T508" s="513"/>
      <c r="U508" s="518"/>
      <c r="V508" s="519"/>
      <c r="W508" s="520"/>
      <c r="X508" s="513"/>
      <c r="Y508" s="518"/>
      <c r="Z508" s="519"/>
      <c r="AA508" s="520"/>
      <c r="AB508" s="513"/>
      <c r="AC508" s="518"/>
      <c r="AD508" s="519"/>
      <c r="AE508" s="520"/>
      <c r="AF508" s="513"/>
      <c r="AG508" s="356"/>
      <c r="AH508" s="356"/>
      <c r="AI508" s="356"/>
      <c r="AJ508" s="356"/>
      <c r="AK508" s="382"/>
      <c r="AL508" s="417"/>
      <c r="AM508" s="383"/>
      <c r="AN508" s="507"/>
      <c r="AO508" s="382"/>
      <c r="AP508" s="417"/>
      <c r="AQ508" s="383"/>
      <c r="AR508" s="507"/>
      <c r="AS508" s="514"/>
      <c r="AT508" s="514"/>
    </row>
    <row r="509">
      <c r="A509" s="382"/>
      <c r="B509" s="417"/>
      <c r="C509" s="383"/>
      <c r="D509" s="507"/>
      <c r="E509" s="382"/>
      <c r="F509" s="417"/>
      <c r="G509" s="383"/>
      <c r="H509" s="507"/>
      <c r="I509" s="382"/>
      <c r="J509" s="417"/>
      <c r="K509" s="383"/>
      <c r="L509" s="507"/>
      <c r="M509" s="382"/>
      <c r="N509" s="417"/>
      <c r="O509" s="383"/>
      <c r="P509" s="507"/>
      <c r="Q509" s="518"/>
      <c r="R509" s="519"/>
      <c r="S509" s="520"/>
      <c r="T509" s="513"/>
      <c r="U509" s="518"/>
      <c r="V509" s="519"/>
      <c r="W509" s="520"/>
      <c r="X509" s="513"/>
      <c r="Y509" s="518"/>
      <c r="Z509" s="519"/>
      <c r="AA509" s="520"/>
      <c r="AB509" s="513"/>
      <c r="AC509" s="518"/>
      <c r="AD509" s="519"/>
      <c r="AE509" s="520"/>
      <c r="AF509" s="513"/>
      <c r="AG509" s="356"/>
      <c r="AH509" s="356"/>
      <c r="AI509" s="356"/>
      <c r="AJ509" s="356"/>
      <c r="AK509" s="382"/>
      <c r="AL509" s="417"/>
      <c r="AM509" s="383"/>
      <c r="AN509" s="507"/>
      <c r="AO509" s="382"/>
      <c r="AP509" s="417"/>
      <c r="AQ509" s="383"/>
      <c r="AR509" s="507"/>
      <c r="AS509" s="514"/>
      <c r="AT509" s="514"/>
    </row>
    <row r="510">
      <c r="A510" s="382"/>
      <c r="B510" s="417"/>
      <c r="C510" s="383"/>
      <c r="D510" s="507"/>
      <c r="E510" s="382"/>
      <c r="F510" s="417"/>
      <c r="G510" s="383"/>
      <c r="H510" s="507"/>
      <c r="I510" s="382"/>
      <c r="J510" s="417"/>
      <c r="K510" s="383"/>
      <c r="L510" s="507"/>
      <c r="M510" s="382"/>
      <c r="N510" s="417"/>
      <c r="O510" s="383"/>
      <c r="P510" s="507"/>
      <c r="Q510" s="518"/>
      <c r="R510" s="519"/>
      <c r="S510" s="520"/>
      <c r="T510" s="513"/>
      <c r="U510" s="518"/>
      <c r="V510" s="519"/>
      <c r="W510" s="520"/>
      <c r="X510" s="513"/>
      <c r="Y510" s="518"/>
      <c r="Z510" s="519"/>
      <c r="AA510" s="520"/>
      <c r="AB510" s="513"/>
      <c r="AC510" s="518"/>
      <c r="AD510" s="519"/>
      <c r="AE510" s="520"/>
      <c r="AF510" s="513"/>
      <c r="AG510" s="356"/>
      <c r="AH510" s="356"/>
      <c r="AI510" s="356"/>
      <c r="AJ510" s="356"/>
      <c r="AK510" s="382"/>
      <c r="AL510" s="417"/>
      <c r="AM510" s="383"/>
      <c r="AN510" s="507"/>
      <c r="AO510" s="382"/>
      <c r="AP510" s="417"/>
      <c r="AQ510" s="383"/>
      <c r="AR510" s="507"/>
      <c r="AS510" s="514"/>
      <c r="AT510" s="514"/>
    </row>
    <row r="511">
      <c r="A511" s="382"/>
      <c r="B511" s="417"/>
      <c r="C511" s="383"/>
      <c r="D511" s="507"/>
      <c r="E511" s="382"/>
      <c r="F511" s="417"/>
      <c r="G511" s="383"/>
      <c r="H511" s="507"/>
      <c r="I511" s="382"/>
      <c r="J511" s="417"/>
      <c r="K511" s="383"/>
      <c r="L511" s="507"/>
      <c r="M511" s="382"/>
      <c r="N511" s="417"/>
      <c r="O511" s="383"/>
      <c r="P511" s="507"/>
      <c r="Q511" s="518"/>
      <c r="R511" s="519"/>
      <c r="S511" s="520"/>
      <c r="T511" s="513"/>
      <c r="U511" s="518"/>
      <c r="V511" s="519"/>
      <c r="W511" s="520"/>
      <c r="X511" s="513"/>
      <c r="Y511" s="518"/>
      <c r="Z511" s="519"/>
      <c r="AA511" s="520"/>
      <c r="AB511" s="513"/>
      <c r="AC511" s="518"/>
      <c r="AD511" s="519"/>
      <c r="AE511" s="520"/>
      <c r="AF511" s="513"/>
      <c r="AG511" s="356"/>
      <c r="AH511" s="356"/>
      <c r="AI511" s="356"/>
      <c r="AJ511" s="356"/>
      <c r="AK511" s="382"/>
      <c r="AL511" s="417"/>
      <c r="AM511" s="383"/>
      <c r="AN511" s="507"/>
      <c r="AO511" s="382"/>
      <c r="AP511" s="417"/>
      <c r="AQ511" s="383"/>
      <c r="AR511" s="507"/>
      <c r="AS511" s="514"/>
      <c r="AT511" s="514"/>
    </row>
    <row r="512">
      <c r="A512" s="382"/>
      <c r="B512" s="417"/>
      <c r="C512" s="383"/>
      <c r="D512" s="507"/>
      <c r="E512" s="382"/>
      <c r="F512" s="417"/>
      <c r="G512" s="383"/>
      <c r="H512" s="507"/>
      <c r="I512" s="382"/>
      <c r="J512" s="417"/>
      <c r="K512" s="383"/>
      <c r="L512" s="507"/>
      <c r="M512" s="382"/>
      <c r="N512" s="417"/>
      <c r="O512" s="383"/>
      <c r="P512" s="507"/>
      <c r="Q512" s="518"/>
      <c r="R512" s="519"/>
      <c r="S512" s="520"/>
      <c r="T512" s="513"/>
      <c r="U512" s="518"/>
      <c r="V512" s="519"/>
      <c r="W512" s="520"/>
      <c r="X512" s="513"/>
      <c r="Y512" s="518"/>
      <c r="Z512" s="519"/>
      <c r="AA512" s="520"/>
      <c r="AB512" s="513"/>
      <c r="AC512" s="518"/>
      <c r="AD512" s="519"/>
      <c r="AE512" s="520"/>
      <c r="AF512" s="513"/>
      <c r="AG512" s="356"/>
      <c r="AH512" s="356"/>
      <c r="AI512" s="356"/>
      <c r="AJ512" s="356"/>
      <c r="AK512" s="382"/>
      <c r="AL512" s="417"/>
      <c r="AM512" s="383"/>
      <c r="AN512" s="507"/>
      <c r="AO512" s="382"/>
      <c r="AP512" s="417"/>
      <c r="AQ512" s="383"/>
      <c r="AR512" s="507"/>
      <c r="AS512" s="514"/>
      <c r="AT512" s="514"/>
    </row>
    <row r="513">
      <c r="A513" s="382"/>
      <c r="B513" s="417"/>
      <c r="C513" s="383"/>
      <c r="D513" s="507"/>
      <c r="E513" s="382"/>
      <c r="F513" s="417"/>
      <c r="G513" s="383"/>
      <c r="H513" s="507"/>
      <c r="I513" s="382"/>
      <c r="J513" s="417"/>
      <c r="K513" s="383"/>
      <c r="L513" s="507"/>
      <c r="M513" s="382"/>
      <c r="N513" s="417"/>
      <c r="O513" s="383"/>
      <c r="P513" s="507"/>
      <c r="Q513" s="518"/>
      <c r="R513" s="519"/>
      <c r="S513" s="520"/>
      <c r="T513" s="513"/>
      <c r="U513" s="518"/>
      <c r="V513" s="519"/>
      <c r="W513" s="520"/>
      <c r="X513" s="513"/>
      <c r="Y513" s="518"/>
      <c r="Z513" s="519"/>
      <c r="AA513" s="520"/>
      <c r="AB513" s="513"/>
      <c r="AC513" s="518"/>
      <c r="AD513" s="519"/>
      <c r="AE513" s="520"/>
      <c r="AF513" s="513"/>
      <c r="AG513" s="356"/>
      <c r="AH513" s="356"/>
      <c r="AI513" s="356"/>
      <c r="AJ513" s="356"/>
      <c r="AK513" s="382"/>
      <c r="AL513" s="417"/>
      <c r="AM513" s="383"/>
      <c r="AN513" s="507"/>
      <c r="AO513" s="382"/>
      <c r="AP513" s="417"/>
      <c r="AQ513" s="383"/>
      <c r="AR513" s="507"/>
      <c r="AS513" s="514"/>
      <c r="AT513" s="514"/>
    </row>
    <row r="514">
      <c r="A514" s="382"/>
      <c r="B514" s="417"/>
      <c r="C514" s="383"/>
      <c r="D514" s="507"/>
      <c r="E514" s="382"/>
      <c r="F514" s="417"/>
      <c r="G514" s="383"/>
      <c r="H514" s="507"/>
      <c r="I514" s="382"/>
      <c r="J514" s="417"/>
      <c r="K514" s="383"/>
      <c r="L514" s="507"/>
      <c r="M514" s="382"/>
      <c r="N514" s="417"/>
      <c r="O514" s="383"/>
      <c r="P514" s="507"/>
      <c r="Q514" s="518"/>
      <c r="R514" s="519"/>
      <c r="S514" s="520"/>
      <c r="T514" s="513"/>
      <c r="U514" s="518"/>
      <c r="V514" s="519"/>
      <c r="W514" s="520"/>
      <c r="X514" s="513"/>
      <c r="Y514" s="518"/>
      <c r="Z514" s="519"/>
      <c r="AA514" s="520"/>
      <c r="AB514" s="513"/>
      <c r="AC514" s="518"/>
      <c r="AD514" s="519"/>
      <c r="AE514" s="520"/>
      <c r="AF514" s="513"/>
      <c r="AG514" s="356"/>
      <c r="AH514" s="356"/>
      <c r="AI514" s="356"/>
      <c r="AJ514" s="356"/>
      <c r="AK514" s="382"/>
      <c r="AL514" s="417"/>
      <c r="AM514" s="383"/>
      <c r="AN514" s="507"/>
      <c r="AO514" s="382"/>
      <c r="AP514" s="417"/>
      <c r="AQ514" s="383"/>
      <c r="AR514" s="507"/>
      <c r="AS514" s="514"/>
      <c r="AT514" s="514"/>
    </row>
    <row r="515">
      <c r="A515" s="382"/>
      <c r="B515" s="417"/>
      <c r="C515" s="383"/>
      <c r="D515" s="507"/>
      <c r="E515" s="382"/>
      <c r="F515" s="417"/>
      <c r="G515" s="383"/>
      <c r="H515" s="507"/>
      <c r="I515" s="382"/>
      <c r="J515" s="417"/>
      <c r="K515" s="383"/>
      <c r="L515" s="507"/>
      <c r="M515" s="382"/>
      <c r="N515" s="417"/>
      <c r="O515" s="383"/>
      <c r="P515" s="507"/>
      <c r="Q515" s="518"/>
      <c r="R515" s="519"/>
      <c r="S515" s="520"/>
      <c r="T515" s="513"/>
      <c r="U515" s="518"/>
      <c r="V515" s="519"/>
      <c r="W515" s="520"/>
      <c r="X515" s="513"/>
      <c r="Y515" s="518"/>
      <c r="Z515" s="519"/>
      <c r="AA515" s="520"/>
      <c r="AB515" s="513"/>
      <c r="AC515" s="518"/>
      <c r="AD515" s="519"/>
      <c r="AE515" s="520"/>
      <c r="AF515" s="513"/>
      <c r="AG515" s="356"/>
      <c r="AH515" s="356"/>
      <c r="AI515" s="356"/>
      <c r="AJ515" s="356"/>
      <c r="AK515" s="382"/>
      <c r="AL515" s="417"/>
      <c r="AM515" s="383"/>
      <c r="AN515" s="507"/>
      <c r="AO515" s="382"/>
      <c r="AP515" s="417"/>
      <c r="AQ515" s="383"/>
      <c r="AR515" s="507"/>
      <c r="AS515" s="514"/>
      <c r="AT515" s="514"/>
    </row>
    <row r="516">
      <c r="A516" s="382"/>
      <c r="B516" s="417"/>
      <c r="C516" s="383"/>
      <c r="D516" s="507"/>
      <c r="E516" s="382"/>
      <c r="F516" s="417"/>
      <c r="G516" s="383"/>
      <c r="H516" s="507"/>
      <c r="I516" s="382"/>
      <c r="J516" s="417"/>
      <c r="K516" s="383"/>
      <c r="L516" s="507"/>
      <c r="M516" s="382"/>
      <c r="N516" s="417"/>
      <c r="O516" s="383"/>
      <c r="P516" s="507"/>
      <c r="Q516" s="518"/>
      <c r="R516" s="519"/>
      <c r="S516" s="520"/>
      <c r="T516" s="513"/>
      <c r="U516" s="518"/>
      <c r="V516" s="519"/>
      <c r="W516" s="520"/>
      <c r="X516" s="513"/>
      <c r="Y516" s="518"/>
      <c r="Z516" s="519"/>
      <c r="AA516" s="520"/>
      <c r="AB516" s="513"/>
      <c r="AC516" s="518"/>
      <c r="AD516" s="519"/>
      <c r="AE516" s="520"/>
      <c r="AF516" s="513"/>
      <c r="AG516" s="356"/>
      <c r="AH516" s="356"/>
      <c r="AI516" s="356"/>
      <c r="AJ516" s="356"/>
      <c r="AK516" s="382"/>
      <c r="AL516" s="417"/>
      <c r="AM516" s="383"/>
      <c r="AN516" s="507"/>
      <c r="AO516" s="382"/>
      <c r="AP516" s="417"/>
      <c r="AQ516" s="383"/>
      <c r="AR516" s="507"/>
      <c r="AS516" s="514"/>
      <c r="AT516" s="514"/>
    </row>
    <row r="517">
      <c r="A517" s="382"/>
      <c r="B517" s="417"/>
      <c r="C517" s="383"/>
      <c r="D517" s="507"/>
      <c r="E517" s="382"/>
      <c r="F517" s="417"/>
      <c r="G517" s="383"/>
      <c r="H517" s="507"/>
      <c r="I517" s="382"/>
      <c r="J517" s="417"/>
      <c r="K517" s="383"/>
      <c r="L517" s="507"/>
      <c r="M517" s="382"/>
      <c r="N517" s="417"/>
      <c r="O517" s="383"/>
      <c r="P517" s="507"/>
      <c r="Q517" s="518"/>
      <c r="R517" s="519"/>
      <c r="S517" s="520"/>
      <c r="T517" s="513"/>
      <c r="U517" s="518"/>
      <c r="V517" s="519"/>
      <c r="W517" s="520"/>
      <c r="X517" s="513"/>
      <c r="Y517" s="518"/>
      <c r="Z517" s="519"/>
      <c r="AA517" s="520"/>
      <c r="AB517" s="513"/>
      <c r="AC517" s="518"/>
      <c r="AD517" s="519"/>
      <c r="AE517" s="520"/>
      <c r="AF517" s="513"/>
      <c r="AG517" s="356"/>
      <c r="AH517" s="356"/>
      <c r="AI517" s="356"/>
      <c r="AJ517" s="356"/>
      <c r="AK517" s="382"/>
      <c r="AL517" s="417"/>
      <c r="AM517" s="383"/>
      <c r="AN517" s="507"/>
      <c r="AO517" s="382"/>
      <c r="AP517" s="417"/>
      <c r="AQ517" s="383"/>
      <c r="AR517" s="507"/>
      <c r="AS517" s="514"/>
      <c r="AT517" s="514"/>
    </row>
    <row r="518">
      <c r="A518" s="382"/>
      <c r="B518" s="417"/>
      <c r="C518" s="383"/>
      <c r="D518" s="507"/>
      <c r="E518" s="382"/>
      <c r="F518" s="417"/>
      <c r="G518" s="383"/>
      <c r="H518" s="507"/>
      <c r="I518" s="382"/>
      <c r="J518" s="417"/>
      <c r="K518" s="383"/>
      <c r="L518" s="507"/>
      <c r="M518" s="382"/>
      <c r="N518" s="417"/>
      <c r="O518" s="383"/>
      <c r="P518" s="507"/>
      <c r="Q518" s="518"/>
      <c r="R518" s="519"/>
      <c r="S518" s="520"/>
      <c r="T518" s="513"/>
      <c r="U518" s="518"/>
      <c r="V518" s="519"/>
      <c r="W518" s="520"/>
      <c r="X518" s="513"/>
      <c r="Y518" s="518"/>
      <c r="Z518" s="519"/>
      <c r="AA518" s="520"/>
      <c r="AB518" s="513"/>
      <c r="AC518" s="518"/>
      <c r="AD518" s="519"/>
      <c r="AE518" s="520"/>
      <c r="AF518" s="513"/>
      <c r="AG518" s="356"/>
      <c r="AH518" s="356"/>
      <c r="AI518" s="356"/>
      <c r="AJ518" s="356"/>
      <c r="AK518" s="382"/>
      <c r="AL518" s="417"/>
      <c r="AM518" s="383"/>
      <c r="AN518" s="507"/>
      <c r="AO518" s="382"/>
      <c r="AP518" s="417"/>
      <c r="AQ518" s="383"/>
      <c r="AR518" s="507"/>
      <c r="AS518" s="514"/>
      <c r="AT518" s="514"/>
    </row>
    <row r="519">
      <c r="A519" s="382"/>
      <c r="B519" s="417"/>
      <c r="C519" s="383"/>
      <c r="D519" s="507"/>
      <c r="E519" s="382"/>
      <c r="F519" s="417"/>
      <c r="G519" s="383"/>
      <c r="H519" s="507"/>
      <c r="I519" s="382"/>
      <c r="J519" s="417"/>
      <c r="K519" s="383"/>
      <c r="L519" s="507"/>
      <c r="M519" s="382"/>
      <c r="N519" s="417"/>
      <c r="O519" s="383"/>
      <c r="P519" s="507"/>
      <c r="Q519" s="518"/>
      <c r="R519" s="519"/>
      <c r="S519" s="520"/>
      <c r="T519" s="513"/>
      <c r="U519" s="518"/>
      <c r="V519" s="519"/>
      <c r="W519" s="520"/>
      <c r="X519" s="513"/>
      <c r="Y519" s="518"/>
      <c r="Z519" s="519"/>
      <c r="AA519" s="520"/>
      <c r="AB519" s="513"/>
      <c r="AC519" s="518"/>
      <c r="AD519" s="519"/>
      <c r="AE519" s="520"/>
      <c r="AF519" s="513"/>
      <c r="AG519" s="356"/>
      <c r="AH519" s="356"/>
      <c r="AI519" s="356"/>
      <c r="AJ519" s="356"/>
      <c r="AK519" s="382"/>
      <c r="AL519" s="417"/>
      <c r="AM519" s="383"/>
      <c r="AN519" s="507"/>
      <c r="AO519" s="382"/>
      <c r="AP519" s="417"/>
      <c r="AQ519" s="383"/>
      <c r="AR519" s="507"/>
      <c r="AS519" s="514"/>
      <c r="AT519" s="514"/>
    </row>
    <row r="520">
      <c r="A520" s="382"/>
      <c r="B520" s="417"/>
      <c r="C520" s="383"/>
      <c r="D520" s="507"/>
      <c r="E520" s="382"/>
      <c r="F520" s="417"/>
      <c r="G520" s="383"/>
      <c r="H520" s="507"/>
      <c r="I520" s="382"/>
      <c r="J520" s="417"/>
      <c r="K520" s="383"/>
      <c r="L520" s="507"/>
      <c r="M520" s="382"/>
      <c r="N520" s="417"/>
      <c r="O520" s="383"/>
      <c r="P520" s="507"/>
      <c r="Q520" s="518"/>
      <c r="R520" s="519"/>
      <c r="S520" s="520"/>
      <c r="T520" s="513"/>
      <c r="U520" s="518"/>
      <c r="V520" s="519"/>
      <c r="W520" s="520"/>
      <c r="X520" s="513"/>
      <c r="Y520" s="518"/>
      <c r="Z520" s="519"/>
      <c r="AA520" s="520"/>
      <c r="AB520" s="513"/>
      <c r="AC520" s="518"/>
      <c r="AD520" s="519"/>
      <c r="AE520" s="520"/>
      <c r="AF520" s="513"/>
      <c r="AG520" s="356"/>
      <c r="AH520" s="356"/>
      <c r="AI520" s="356"/>
      <c r="AJ520" s="356"/>
      <c r="AK520" s="382"/>
      <c r="AL520" s="417"/>
      <c r="AM520" s="383"/>
      <c r="AN520" s="507"/>
      <c r="AO520" s="382"/>
      <c r="AP520" s="417"/>
      <c r="AQ520" s="383"/>
      <c r="AR520" s="507"/>
      <c r="AS520" s="514"/>
      <c r="AT520" s="514"/>
    </row>
    <row r="521">
      <c r="A521" s="382"/>
      <c r="B521" s="417"/>
      <c r="C521" s="383"/>
      <c r="D521" s="507"/>
      <c r="E521" s="382"/>
      <c r="F521" s="417"/>
      <c r="G521" s="383"/>
      <c r="H521" s="507"/>
      <c r="I521" s="382"/>
      <c r="J521" s="417"/>
      <c r="K521" s="383"/>
      <c r="L521" s="507"/>
      <c r="M521" s="382"/>
      <c r="N521" s="417"/>
      <c r="O521" s="383"/>
      <c r="P521" s="507"/>
      <c r="Q521" s="518"/>
      <c r="R521" s="519"/>
      <c r="S521" s="520"/>
      <c r="T521" s="513"/>
      <c r="U521" s="518"/>
      <c r="V521" s="519"/>
      <c r="W521" s="520"/>
      <c r="X521" s="513"/>
      <c r="Y521" s="518"/>
      <c r="Z521" s="519"/>
      <c r="AA521" s="520"/>
      <c r="AB521" s="513"/>
      <c r="AC521" s="518"/>
      <c r="AD521" s="519"/>
      <c r="AE521" s="520"/>
      <c r="AF521" s="513"/>
      <c r="AG521" s="356"/>
      <c r="AH521" s="356"/>
      <c r="AI521" s="356"/>
      <c r="AJ521" s="356"/>
      <c r="AK521" s="382"/>
      <c r="AL521" s="417"/>
      <c r="AM521" s="383"/>
      <c r="AN521" s="507"/>
      <c r="AO521" s="382"/>
      <c r="AP521" s="417"/>
      <c r="AQ521" s="383"/>
      <c r="AR521" s="507"/>
      <c r="AS521" s="514"/>
      <c r="AT521" s="514"/>
    </row>
    <row r="522">
      <c r="A522" s="382"/>
      <c r="B522" s="417"/>
      <c r="C522" s="383"/>
      <c r="D522" s="507"/>
      <c r="E522" s="382"/>
      <c r="F522" s="417"/>
      <c r="G522" s="383"/>
      <c r="H522" s="507"/>
      <c r="I522" s="382"/>
      <c r="J522" s="417"/>
      <c r="K522" s="383"/>
      <c r="L522" s="507"/>
      <c r="M522" s="382"/>
      <c r="N522" s="417"/>
      <c r="O522" s="383"/>
      <c r="P522" s="507"/>
      <c r="Q522" s="518"/>
      <c r="R522" s="519"/>
      <c r="S522" s="520"/>
      <c r="T522" s="513"/>
      <c r="U522" s="518"/>
      <c r="V522" s="519"/>
      <c r="W522" s="520"/>
      <c r="X522" s="513"/>
      <c r="Y522" s="518"/>
      <c r="Z522" s="519"/>
      <c r="AA522" s="520"/>
      <c r="AB522" s="513"/>
      <c r="AC522" s="518"/>
      <c r="AD522" s="519"/>
      <c r="AE522" s="520"/>
      <c r="AF522" s="513"/>
      <c r="AG522" s="356"/>
      <c r="AH522" s="356"/>
      <c r="AI522" s="356"/>
      <c r="AJ522" s="356"/>
      <c r="AK522" s="382"/>
      <c r="AL522" s="417"/>
      <c r="AM522" s="383"/>
      <c r="AN522" s="507"/>
      <c r="AO522" s="382"/>
      <c r="AP522" s="417"/>
      <c r="AQ522" s="383"/>
      <c r="AR522" s="507"/>
      <c r="AS522" s="514"/>
      <c r="AT522" s="514"/>
    </row>
    <row r="523">
      <c r="A523" s="382"/>
      <c r="B523" s="417"/>
      <c r="C523" s="383"/>
      <c r="D523" s="507"/>
      <c r="E523" s="382"/>
      <c r="F523" s="417"/>
      <c r="G523" s="383"/>
      <c r="H523" s="507"/>
      <c r="I523" s="382"/>
      <c r="J523" s="417"/>
      <c r="K523" s="383"/>
      <c r="L523" s="507"/>
      <c r="M523" s="382"/>
      <c r="N523" s="417"/>
      <c r="O523" s="383"/>
      <c r="P523" s="507"/>
      <c r="Q523" s="518"/>
      <c r="R523" s="519"/>
      <c r="S523" s="520"/>
      <c r="T523" s="513"/>
      <c r="U523" s="518"/>
      <c r="V523" s="519"/>
      <c r="W523" s="520"/>
      <c r="X523" s="513"/>
      <c r="Y523" s="518"/>
      <c r="Z523" s="519"/>
      <c r="AA523" s="520"/>
      <c r="AB523" s="513"/>
      <c r="AC523" s="518"/>
      <c r="AD523" s="519"/>
      <c r="AE523" s="520"/>
      <c r="AF523" s="513"/>
      <c r="AG523" s="356"/>
      <c r="AH523" s="356"/>
      <c r="AI523" s="356"/>
      <c r="AJ523" s="356"/>
      <c r="AK523" s="382"/>
      <c r="AL523" s="417"/>
      <c r="AM523" s="383"/>
      <c r="AN523" s="507"/>
      <c r="AO523" s="382"/>
      <c r="AP523" s="417"/>
      <c r="AQ523" s="383"/>
      <c r="AR523" s="507"/>
      <c r="AS523" s="514"/>
      <c r="AT523" s="514"/>
    </row>
    <row r="524">
      <c r="A524" s="382"/>
      <c r="B524" s="417"/>
      <c r="C524" s="383"/>
      <c r="D524" s="507"/>
      <c r="E524" s="382"/>
      <c r="F524" s="417"/>
      <c r="G524" s="383"/>
      <c r="H524" s="507"/>
      <c r="I524" s="382"/>
      <c r="J524" s="417"/>
      <c r="K524" s="383"/>
      <c r="L524" s="507"/>
      <c r="M524" s="382"/>
      <c r="N524" s="417"/>
      <c r="O524" s="383"/>
      <c r="P524" s="507"/>
      <c r="Q524" s="518"/>
      <c r="R524" s="519"/>
      <c r="S524" s="520"/>
      <c r="T524" s="513"/>
      <c r="U524" s="518"/>
      <c r="V524" s="519"/>
      <c r="W524" s="520"/>
      <c r="X524" s="513"/>
      <c r="Y524" s="518"/>
      <c r="Z524" s="519"/>
      <c r="AA524" s="520"/>
      <c r="AB524" s="513"/>
      <c r="AC524" s="518"/>
      <c r="AD524" s="519"/>
      <c r="AE524" s="520"/>
      <c r="AF524" s="513"/>
      <c r="AG524" s="356"/>
      <c r="AH524" s="356"/>
      <c r="AI524" s="356"/>
      <c r="AJ524" s="356"/>
      <c r="AK524" s="382"/>
      <c r="AL524" s="417"/>
      <c r="AM524" s="383"/>
      <c r="AN524" s="507"/>
      <c r="AO524" s="382"/>
      <c r="AP524" s="417"/>
      <c r="AQ524" s="383"/>
      <c r="AR524" s="507"/>
      <c r="AS524" s="514"/>
      <c r="AT524" s="514"/>
    </row>
    <row r="525">
      <c r="A525" s="382"/>
      <c r="B525" s="417"/>
      <c r="C525" s="383"/>
      <c r="D525" s="507"/>
      <c r="E525" s="382"/>
      <c r="F525" s="417"/>
      <c r="G525" s="383"/>
      <c r="H525" s="507"/>
      <c r="I525" s="382"/>
      <c r="J525" s="417"/>
      <c r="K525" s="383"/>
      <c r="L525" s="507"/>
      <c r="M525" s="382"/>
      <c r="N525" s="417"/>
      <c r="O525" s="383"/>
      <c r="P525" s="507"/>
      <c r="Q525" s="518"/>
      <c r="R525" s="519"/>
      <c r="S525" s="520"/>
      <c r="T525" s="513"/>
      <c r="U525" s="518"/>
      <c r="V525" s="519"/>
      <c r="W525" s="520"/>
      <c r="X525" s="513"/>
      <c r="Y525" s="518"/>
      <c r="Z525" s="519"/>
      <c r="AA525" s="520"/>
      <c r="AB525" s="513"/>
      <c r="AC525" s="518"/>
      <c r="AD525" s="519"/>
      <c r="AE525" s="520"/>
      <c r="AF525" s="513"/>
      <c r="AG525" s="356"/>
      <c r="AH525" s="356"/>
      <c r="AI525" s="356"/>
      <c r="AJ525" s="356"/>
      <c r="AK525" s="382"/>
      <c r="AL525" s="417"/>
      <c r="AM525" s="383"/>
      <c r="AN525" s="507"/>
      <c r="AO525" s="382"/>
      <c r="AP525" s="417"/>
      <c r="AQ525" s="383"/>
      <c r="AR525" s="507"/>
      <c r="AS525" s="514"/>
      <c r="AT525" s="514"/>
    </row>
    <row r="526">
      <c r="A526" s="382"/>
      <c r="B526" s="417"/>
      <c r="C526" s="383"/>
      <c r="D526" s="507"/>
      <c r="E526" s="382"/>
      <c r="F526" s="417"/>
      <c r="G526" s="383"/>
      <c r="H526" s="507"/>
      <c r="I526" s="382"/>
      <c r="J526" s="417"/>
      <c r="K526" s="383"/>
      <c r="L526" s="507"/>
      <c r="M526" s="382"/>
      <c r="N526" s="417"/>
      <c r="O526" s="383"/>
      <c r="P526" s="507"/>
      <c r="Q526" s="518"/>
      <c r="R526" s="519"/>
      <c r="S526" s="520"/>
      <c r="T526" s="513"/>
      <c r="U526" s="518"/>
      <c r="V526" s="519"/>
      <c r="W526" s="520"/>
      <c r="X526" s="513"/>
      <c r="Y526" s="518"/>
      <c r="Z526" s="519"/>
      <c r="AA526" s="520"/>
      <c r="AB526" s="513"/>
      <c r="AC526" s="518"/>
      <c r="AD526" s="519"/>
      <c r="AE526" s="520"/>
      <c r="AF526" s="513"/>
      <c r="AG526" s="356"/>
      <c r="AH526" s="356"/>
      <c r="AI526" s="356"/>
      <c r="AJ526" s="356"/>
      <c r="AK526" s="382"/>
      <c r="AL526" s="417"/>
      <c r="AM526" s="383"/>
      <c r="AN526" s="507"/>
      <c r="AO526" s="382"/>
      <c r="AP526" s="417"/>
      <c r="AQ526" s="383"/>
      <c r="AR526" s="507"/>
      <c r="AS526" s="514"/>
      <c r="AT526" s="514"/>
    </row>
    <row r="527">
      <c r="A527" s="382"/>
      <c r="B527" s="417"/>
      <c r="C527" s="383"/>
      <c r="D527" s="507"/>
      <c r="E527" s="382"/>
      <c r="F527" s="417"/>
      <c r="G527" s="383"/>
      <c r="H527" s="507"/>
      <c r="I527" s="382"/>
      <c r="J527" s="417"/>
      <c r="K527" s="383"/>
      <c r="L527" s="507"/>
      <c r="M527" s="382"/>
      <c r="N527" s="417"/>
      <c r="O527" s="383"/>
      <c r="P527" s="507"/>
      <c r="Q527" s="518"/>
      <c r="R527" s="519"/>
      <c r="S527" s="520"/>
      <c r="T527" s="513"/>
      <c r="U527" s="518"/>
      <c r="V527" s="519"/>
      <c r="W527" s="520"/>
      <c r="X527" s="513"/>
      <c r="Y527" s="518"/>
      <c r="Z527" s="519"/>
      <c r="AA527" s="520"/>
      <c r="AB527" s="513"/>
      <c r="AC527" s="518"/>
      <c r="AD527" s="519"/>
      <c r="AE527" s="520"/>
      <c r="AF527" s="513"/>
      <c r="AG527" s="356"/>
      <c r="AH527" s="356"/>
      <c r="AI527" s="356"/>
      <c r="AJ527" s="356"/>
      <c r="AK527" s="382"/>
      <c r="AL527" s="417"/>
      <c r="AM527" s="383"/>
      <c r="AN527" s="507"/>
      <c r="AO527" s="382"/>
      <c r="AP527" s="417"/>
      <c r="AQ527" s="383"/>
      <c r="AR527" s="507"/>
      <c r="AS527" s="514"/>
      <c r="AT527" s="514"/>
    </row>
    <row r="528">
      <c r="A528" s="382"/>
      <c r="B528" s="417"/>
      <c r="C528" s="383"/>
      <c r="D528" s="507"/>
      <c r="E528" s="382"/>
      <c r="F528" s="417"/>
      <c r="G528" s="383"/>
      <c r="H528" s="507"/>
      <c r="I528" s="382"/>
      <c r="J528" s="417"/>
      <c r="K528" s="383"/>
      <c r="L528" s="507"/>
      <c r="M528" s="382"/>
      <c r="N528" s="417"/>
      <c r="O528" s="383"/>
      <c r="P528" s="507"/>
      <c r="Q528" s="518"/>
      <c r="R528" s="519"/>
      <c r="S528" s="520"/>
      <c r="T528" s="513"/>
      <c r="U528" s="518"/>
      <c r="V528" s="519"/>
      <c r="W528" s="520"/>
      <c r="X528" s="513"/>
      <c r="Y528" s="518"/>
      <c r="Z528" s="519"/>
      <c r="AA528" s="520"/>
      <c r="AB528" s="513"/>
      <c r="AC528" s="518"/>
      <c r="AD528" s="519"/>
      <c r="AE528" s="520"/>
      <c r="AF528" s="513"/>
      <c r="AG528" s="356"/>
      <c r="AH528" s="356"/>
      <c r="AI528" s="356"/>
      <c r="AJ528" s="356"/>
      <c r="AK528" s="382"/>
      <c r="AL528" s="417"/>
      <c r="AM528" s="383"/>
      <c r="AN528" s="507"/>
      <c r="AO528" s="382"/>
      <c r="AP528" s="417"/>
      <c r="AQ528" s="383"/>
      <c r="AR528" s="507"/>
      <c r="AS528" s="514"/>
      <c r="AT528" s="514"/>
    </row>
    <row r="529">
      <c r="A529" s="382"/>
      <c r="B529" s="417"/>
      <c r="C529" s="383"/>
      <c r="D529" s="507"/>
      <c r="E529" s="382"/>
      <c r="F529" s="417"/>
      <c r="G529" s="383"/>
      <c r="H529" s="507"/>
      <c r="I529" s="382"/>
      <c r="J529" s="417"/>
      <c r="K529" s="383"/>
      <c r="L529" s="507"/>
      <c r="M529" s="382"/>
      <c r="N529" s="417"/>
      <c r="O529" s="383"/>
      <c r="P529" s="507"/>
      <c r="Q529" s="518"/>
      <c r="R529" s="519"/>
      <c r="S529" s="520"/>
      <c r="T529" s="513"/>
      <c r="U529" s="518"/>
      <c r="V529" s="519"/>
      <c r="W529" s="520"/>
      <c r="X529" s="513"/>
      <c r="Y529" s="518"/>
      <c r="Z529" s="519"/>
      <c r="AA529" s="520"/>
      <c r="AB529" s="513"/>
      <c r="AC529" s="518"/>
      <c r="AD529" s="519"/>
      <c r="AE529" s="520"/>
      <c r="AF529" s="513"/>
      <c r="AG529" s="356"/>
      <c r="AH529" s="356"/>
      <c r="AI529" s="356"/>
      <c r="AJ529" s="356"/>
      <c r="AK529" s="382"/>
      <c r="AL529" s="417"/>
      <c r="AM529" s="383"/>
      <c r="AN529" s="507"/>
      <c r="AO529" s="382"/>
      <c r="AP529" s="417"/>
      <c r="AQ529" s="383"/>
      <c r="AR529" s="507"/>
      <c r="AS529" s="514"/>
      <c r="AT529" s="514"/>
    </row>
    <row r="530">
      <c r="A530" s="382"/>
      <c r="B530" s="417"/>
      <c r="C530" s="383"/>
      <c r="D530" s="507"/>
      <c r="E530" s="382"/>
      <c r="F530" s="417"/>
      <c r="G530" s="383"/>
      <c r="H530" s="507"/>
      <c r="I530" s="382"/>
      <c r="J530" s="417"/>
      <c r="K530" s="383"/>
      <c r="L530" s="507"/>
      <c r="M530" s="382"/>
      <c r="N530" s="417"/>
      <c r="O530" s="383"/>
      <c r="P530" s="507"/>
      <c r="Q530" s="518"/>
      <c r="R530" s="519"/>
      <c r="S530" s="520"/>
      <c r="T530" s="513"/>
      <c r="U530" s="518"/>
      <c r="V530" s="519"/>
      <c r="W530" s="520"/>
      <c r="X530" s="513"/>
      <c r="Y530" s="518"/>
      <c r="Z530" s="519"/>
      <c r="AA530" s="520"/>
      <c r="AB530" s="513"/>
      <c r="AC530" s="518"/>
      <c r="AD530" s="519"/>
      <c r="AE530" s="520"/>
      <c r="AF530" s="513"/>
      <c r="AG530" s="356"/>
      <c r="AH530" s="356"/>
      <c r="AI530" s="356"/>
      <c r="AJ530" s="356"/>
      <c r="AK530" s="382"/>
      <c r="AL530" s="417"/>
      <c r="AM530" s="383"/>
      <c r="AN530" s="507"/>
      <c r="AO530" s="382"/>
      <c r="AP530" s="417"/>
      <c r="AQ530" s="383"/>
      <c r="AR530" s="507"/>
      <c r="AS530" s="514"/>
      <c r="AT530" s="514"/>
    </row>
    <row r="531">
      <c r="A531" s="382"/>
      <c r="B531" s="417"/>
      <c r="C531" s="383"/>
      <c r="D531" s="507"/>
      <c r="E531" s="382"/>
      <c r="F531" s="417"/>
      <c r="G531" s="383"/>
      <c r="H531" s="507"/>
      <c r="I531" s="382"/>
      <c r="J531" s="417"/>
      <c r="K531" s="383"/>
      <c r="L531" s="507"/>
      <c r="M531" s="382"/>
      <c r="N531" s="417"/>
      <c r="O531" s="383"/>
      <c r="P531" s="507"/>
      <c r="Q531" s="518"/>
      <c r="R531" s="519"/>
      <c r="S531" s="520"/>
      <c r="T531" s="513"/>
      <c r="U531" s="518"/>
      <c r="V531" s="519"/>
      <c r="W531" s="520"/>
      <c r="X531" s="513"/>
      <c r="Y531" s="518"/>
      <c r="Z531" s="519"/>
      <c r="AA531" s="520"/>
      <c r="AB531" s="513"/>
      <c r="AC531" s="518"/>
      <c r="AD531" s="519"/>
      <c r="AE531" s="520"/>
      <c r="AF531" s="513"/>
      <c r="AG531" s="356"/>
      <c r="AH531" s="356"/>
      <c r="AI531" s="356"/>
      <c r="AJ531" s="356"/>
      <c r="AK531" s="382"/>
      <c r="AL531" s="417"/>
      <c r="AM531" s="383"/>
      <c r="AN531" s="507"/>
      <c r="AO531" s="382"/>
      <c r="AP531" s="417"/>
      <c r="AQ531" s="383"/>
      <c r="AR531" s="507"/>
      <c r="AS531" s="514"/>
      <c r="AT531" s="514"/>
    </row>
    <row r="532">
      <c r="A532" s="382"/>
      <c r="B532" s="417"/>
      <c r="C532" s="383"/>
      <c r="D532" s="507"/>
      <c r="E532" s="382"/>
      <c r="F532" s="417"/>
      <c r="G532" s="383"/>
      <c r="H532" s="507"/>
      <c r="I532" s="382"/>
      <c r="J532" s="417"/>
      <c r="K532" s="383"/>
      <c r="L532" s="507"/>
      <c r="M532" s="382"/>
      <c r="N532" s="417"/>
      <c r="O532" s="383"/>
      <c r="P532" s="507"/>
      <c r="Q532" s="518"/>
      <c r="R532" s="519"/>
      <c r="S532" s="520"/>
      <c r="T532" s="513"/>
      <c r="U532" s="518"/>
      <c r="V532" s="519"/>
      <c r="W532" s="520"/>
      <c r="X532" s="513"/>
      <c r="Y532" s="518"/>
      <c r="Z532" s="519"/>
      <c r="AA532" s="520"/>
      <c r="AB532" s="513"/>
      <c r="AC532" s="518"/>
      <c r="AD532" s="519"/>
      <c r="AE532" s="520"/>
      <c r="AF532" s="513"/>
      <c r="AG532" s="356"/>
      <c r="AH532" s="356"/>
      <c r="AI532" s="356"/>
      <c r="AJ532" s="356"/>
      <c r="AK532" s="382"/>
      <c r="AL532" s="417"/>
      <c r="AM532" s="383"/>
      <c r="AN532" s="507"/>
      <c r="AO532" s="382"/>
      <c r="AP532" s="417"/>
      <c r="AQ532" s="383"/>
      <c r="AR532" s="507"/>
      <c r="AS532" s="514"/>
      <c r="AT532" s="514"/>
    </row>
    <row r="533">
      <c r="A533" s="382"/>
      <c r="B533" s="417"/>
      <c r="C533" s="383"/>
      <c r="D533" s="507"/>
      <c r="E533" s="382"/>
      <c r="F533" s="417"/>
      <c r="G533" s="383"/>
      <c r="H533" s="507"/>
      <c r="I533" s="382"/>
      <c r="J533" s="417"/>
      <c r="K533" s="383"/>
      <c r="L533" s="507"/>
      <c r="M533" s="382"/>
      <c r="N533" s="417"/>
      <c r="O533" s="383"/>
      <c r="P533" s="507"/>
      <c r="Q533" s="518"/>
      <c r="R533" s="519"/>
      <c r="S533" s="520"/>
      <c r="T533" s="513"/>
      <c r="U533" s="518"/>
      <c r="V533" s="519"/>
      <c r="W533" s="520"/>
      <c r="X533" s="513"/>
      <c r="Y533" s="518"/>
      <c r="Z533" s="519"/>
      <c r="AA533" s="520"/>
      <c r="AB533" s="513"/>
      <c r="AC533" s="518"/>
      <c r="AD533" s="519"/>
      <c r="AE533" s="520"/>
      <c r="AF533" s="513"/>
      <c r="AG533" s="356"/>
      <c r="AH533" s="356"/>
      <c r="AI533" s="356"/>
      <c r="AJ533" s="356"/>
      <c r="AK533" s="382"/>
      <c r="AL533" s="417"/>
      <c r="AM533" s="383"/>
      <c r="AN533" s="507"/>
      <c r="AO533" s="382"/>
      <c r="AP533" s="417"/>
      <c r="AQ533" s="383"/>
      <c r="AR533" s="507"/>
      <c r="AS533" s="514"/>
      <c r="AT533" s="514"/>
    </row>
    <row r="534">
      <c r="A534" s="382"/>
      <c r="B534" s="417"/>
      <c r="C534" s="383"/>
      <c r="D534" s="507"/>
      <c r="E534" s="382"/>
      <c r="F534" s="417"/>
      <c r="G534" s="383"/>
      <c r="H534" s="507"/>
      <c r="I534" s="382"/>
      <c r="J534" s="417"/>
      <c r="K534" s="383"/>
      <c r="L534" s="507"/>
      <c r="M534" s="382"/>
      <c r="N534" s="417"/>
      <c r="O534" s="383"/>
      <c r="P534" s="507"/>
      <c r="Q534" s="518"/>
      <c r="R534" s="519"/>
      <c r="S534" s="520"/>
      <c r="T534" s="513"/>
      <c r="U534" s="518"/>
      <c r="V534" s="519"/>
      <c r="W534" s="520"/>
      <c r="X534" s="513"/>
      <c r="Y534" s="518"/>
      <c r="Z534" s="519"/>
      <c r="AA534" s="520"/>
      <c r="AB534" s="513"/>
      <c r="AC534" s="518"/>
      <c r="AD534" s="519"/>
      <c r="AE534" s="520"/>
      <c r="AF534" s="513"/>
      <c r="AG534" s="356"/>
      <c r="AH534" s="356"/>
      <c r="AI534" s="356"/>
      <c r="AJ534" s="356"/>
      <c r="AK534" s="382"/>
      <c r="AL534" s="417"/>
      <c r="AM534" s="383"/>
      <c r="AN534" s="507"/>
      <c r="AO534" s="382"/>
      <c r="AP534" s="417"/>
      <c r="AQ534" s="383"/>
      <c r="AR534" s="507"/>
      <c r="AS534" s="514"/>
      <c r="AT534" s="514"/>
    </row>
    <row r="535">
      <c r="A535" s="382"/>
      <c r="B535" s="417"/>
      <c r="C535" s="383"/>
      <c r="D535" s="507"/>
      <c r="E535" s="382"/>
      <c r="F535" s="417"/>
      <c r="G535" s="383"/>
      <c r="H535" s="507"/>
      <c r="I535" s="382"/>
      <c r="J535" s="417"/>
      <c r="K535" s="383"/>
      <c r="L535" s="507"/>
      <c r="M535" s="382"/>
      <c r="N535" s="417"/>
      <c r="O535" s="383"/>
      <c r="P535" s="507"/>
      <c r="Q535" s="518"/>
      <c r="R535" s="519"/>
      <c r="S535" s="520"/>
      <c r="T535" s="513"/>
      <c r="U535" s="518"/>
      <c r="V535" s="519"/>
      <c r="W535" s="520"/>
      <c r="X535" s="513"/>
      <c r="Y535" s="518"/>
      <c r="Z535" s="519"/>
      <c r="AA535" s="520"/>
      <c r="AB535" s="513"/>
      <c r="AC535" s="518"/>
      <c r="AD535" s="519"/>
      <c r="AE535" s="520"/>
      <c r="AF535" s="513"/>
      <c r="AG535" s="356"/>
      <c r="AH535" s="356"/>
      <c r="AI535" s="356"/>
      <c r="AJ535" s="356"/>
      <c r="AK535" s="382"/>
      <c r="AL535" s="417"/>
      <c r="AM535" s="383"/>
      <c r="AN535" s="507"/>
      <c r="AO535" s="382"/>
      <c r="AP535" s="417"/>
      <c r="AQ535" s="383"/>
      <c r="AR535" s="507"/>
      <c r="AS535" s="514"/>
      <c r="AT535" s="514"/>
    </row>
    <row r="536">
      <c r="A536" s="382"/>
      <c r="B536" s="417"/>
      <c r="C536" s="383"/>
      <c r="D536" s="507"/>
      <c r="E536" s="382"/>
      <c r="F536" s="417"/>
      <c r="G536" s="383"/>
      <c r="H536" s="507"/>
      <c r="I536" s="382"/>
      <c r="J536" s="417"/>
      <c r="K536" s="383"/>
      <c r="L536" s="507"/>
      <c r="M536" s="382"/>
      <c r="N536" s="417"/>
      <c r="O536" s="383"/>
      <c r="P536" s="507"/>
      <c r="Q536" s="518"/>
      <c r="R536" s="519"/>
      <c r="S536" s="520"/>
      <c r="T536" s="513"/>
      <c r="U536" s="518"/>
      <c r="V536" s="519"/>
      <c r="W536" s="520"/>
      <c r="X536" s="513"/>
      <c r="Y536" s="518"/>
      <c r="Z536" s="519"/>
      <c r="AA536" s="520"/>
      <c r="AB536" s="513"/>
      <c r="AC536" s="518"/>
      <c r="AD536" s="519"/>
      <c r="AE536" s="520"/>
      <c r="AF536" s="513"/>
      <c r="AG536" s="356"/>
      <c r="AH536" s="356"/>
      <c r="AI536" s="356"/>
      <c r="AJ536" s="356"/>
      <c r="AK536" s="382"/>
      <c r="AL536" s="417"/>
      <c r="AM536" s="383"/>
      <c r="AN536" s="507"/>
      <c r="AO536" s="382"/>
      <c r="AP536" s="417"/>
      <c r="AQ536" s="383"/>
      <c r="AR536" s="507"/>
      <c r="AS536" s="514"/>
      <c r="AT536" s="514"/>
    </row>
    <row r="537">
      <c r="A537" s="382"/>
      <c r="B537" s="417"/>
      <c r="C537" s="383"/>
      <c r="D537" s="507"/>
      <c r="E537" s="382"/>
      <c r="F537" s="417"/>
      <c r="G537" s="383"/>
      <c r="H537" s="507"/>
      <c r="I537" s="382"/>
      <c r="J537" s="417"/>
      <c r="K537" s="383"/>
      <c r="L537" s="507"/>
      <c r="M537" s="382"/>
      <c r="N537" s="417"/>
      <c r="O537" s="383"/>
      <c r="P537" s="507"/>
      <c r="Q537" s="518"/>
      <c r="R537" s="519"/>
      <c r="S537" s="520"/>
      <c r="T537" s="513"/>
      <c r="U537" s="518"/>
      <c r="V537" s="519"/>
      <c r="W537" s="520"/>
      <c r="X537" s="513"/>
      <c r="Y537" s="518"/>
      <c r="Z537" s="519"/>
      <c r="AA537" s="520"/>
      <c r="AB537" s="513"/>
      <c r="AC537" s="518"/>
      <c r="AD537" s="519"/>
      <c r="AE537" s="520"/>
      <c r="AF537" s="513"/>
      <c r="AG537" s="356"/>
      <c r="AH537" s="356"/>
      <c r="AI537" s="356"/>
      <c r="AJ537" s="356"/>
      <c r="AK537" s="382"/>
      <c r="AL537" s="417"/>
      <c r="AM537" s="383"/>
      <c r="AN537" s="507"/>
      <c r="AO537" s="382"/>
      <c r="AP537" s="417"/>
      <c r="AQ537" s="383"/>
      <c r="AR537" s="507"/>
      <c r="AS537" s="514"/>
      <c r="AT537" s="514"/>
    </row>
    <row r="538">
      <c r="A538" s="382"/>
      <c r="B538" s="417"/>
      <c r="C538" s="383"/>
      <c r="D538" s="507"/>
      <c r="E538" s="382"/>
      <c r="F538" s="417"/>
      <c r="G538" s="383"/>
      <c r="H538" s="507"/>
      <c r="I538" s="382"/>
      <c r="J538" s="417"/>
      <c r="K538" s="383"/>
      <c r="L538" s="507"/>
      <c r="M538" s="382"/>
      <c r="N538" s="417"/>
      <c r="O538" s="383"/>
      <c r="P538" s="507"/>
      <c r="Q538" s="518"/>
      <c r="R538" s="519"/>
      <c r="S538" s="520"/>
      <c r="T538" s="513"/>
      <c r="U538" s="518"/>
      <c r="V538" s="519"/>
      <c r="W538" s="520"/>
      <c r="X538" s="513"/>
      <c r="Y538" s="518"/>
      <c r="Z538" s="519"/>
      <c r="AA538" s="520"/>
      <c r="AB538" s="513"/>
      <c r="AC538" s="518"/>
      <c r="AD538" s="519"/>
      <c r="AE538" s="520"/>
      <c r="AF538" s="513"/>
      <c r="AG538" s="356"/>
      <c r="AH538" s="356"/>
      <c r="AI538" s="356"/>
      <c r="AJ538" s="356"/>
      <c r="AK538" s="382"/>
      <c r="AL538" s="417"/>
      <c r="AM538" s="383"/>
      <c r="AN538" s="507"/>
      <c r="AO538" s="382"/>
      <c r="AP538" s="417"/>
      <c r="AQ538" s="383"/>
      <c r="AR538" s="507"/>
      <c r="AS538" s="514"/>
      <c r="AT538" s="514"/>
    </row>
    <row r="539">
      <c r="A539" s="382"/>
      <c r="B539" s="417"/>
      <c r="C539" s="383"/>
      <c r="D539" s="507"/>
      <c r="E539" s="382"/>
      <c r="F539" s="417"/>
      <c r="G539" s="383"/>
      <c r="H539" s="507"/>
      <c r="I539" s="382"/>
      <c r="J539" s="417"/>
      <c r="K539" s="383"/>
      <c r="L539" s="507"/>
      <c r="M539" s="382"/>
      <c r="N539" s="417"/>
      <c r="O539" s="383"/>
      <c r="P539" s="507"/>
      <c r="Q539" s="518"/>
      <c r="R539" s="519"/>
      <c r="S539" s="520"/>
      <c r="T539" s="513"/>
      <c r="U539" s="518"/>
      <c r="V539" s="519"/>
      <c r="W539" s="520"/>
      <c r="X539" s="513"/>
      <c r="Y539" s="518"/>
      <c r="Z539" s="519"/>
      <c r="AA539" s="520"/>
      <c r="AB539" s="513"/>
      <c r="AC539" s="518"/>
      <c r="AD539" s="519"/>
      <c r="AE539" s="520"/>
      <c r="AF539" s="513"/>
      <c r="AG539" s="356"/>
      <c r="AH539" s="356"/>
      <c r="AI539" s="356"/>
      <c r="AJ539" s="356"/>
      <c r="AK539" s="382"/>
      <c r="AL539" s="417"/>
      <c r="AM539" s="383"/>
      <c r="AN539" s="507"/>
      <c r="AO539" s="382"/>
      <c r="AP539" s="417"/>
      <c r="AQ539" s="383"/>
      <c r="AR539" s="507"/>
      <c r="AS539" s="514"/>
      <c r="AT539" s="514"/>
    </row>
    <row r="540">
      <c r="A540" s="382"/>
      <c r="B540" s="417"/>
      <c r="C540" s="383"/>
      <c r="D540" s="507"/>
      <c r="E540" s="382"/>
      <c r="F540" s="417"/>
      <c r="G540" s="383"/>
      <c r="H540" s="507"/>
      <c r="I540" s="382"/>
      <c r="J540" s="417"/>
      <c r="K540" s="383"/>
      <c r="L540" s="507"/>
      <c r="M540" s="382"/>
      <c r="N540" s="417"/>
      <c r="O540" s="383"/>
      <c r="P540" s="507"/>
      <c r="Q540" s="518"/>
      <c r="R540" s="519"/>
      <c r="S540" s="520"/>
      <c r="T540" s="513"/>
      <c r="U540" s="518"/>
      <c r="V540" s="519"/>
      <c r="W540" s="520"/>
      <c r="X540" s="513"/>
      <c r="Y540" s="518"/>
      <c r="Z540" s="519"/>
      <c r="AA540" s="520"/>
      <c r="AB540" s="513"/>
      <c r="AC540" s="518"/>
      <c r="AD540" s="519"/>
      <c r="AE540" s="520"/>
      <c r="AF540" s="513"/>
      <c r="AG540" s="356"/>
      <c r="AH540" s="356"/>
      <c r="AI540" s="356"/>
      <c r="AJ540" s="356"/>
      <c r="AK540" s="382"/>
      <c r="AL540" s="417"/>
      <c r="AM540" s="383"/>
      <c r="AN540" s="507"/>
      <c r="AO540" s="382"/>
      <c r="AP540" s="417"/>
      <c r="AQ540" s="383"/>
      <c r="AR540" s="507"/>
      <c r="AS540" s="514"/>
      <c r="AT540" s="514"/>
    </row>
    <row r="541">
      <c r="A541" s="382"/>
      <c r="B541" s="417"/>
      <c r="C541" s="383"/>
      <c r="D541" s="507"/>
      <c r="E541" s="382"/>
      <c r="F541" s="417"/>
      <c r="G541" s="383"/>
      <c r="H541" s="507"/>
      <c r="I541" s="382"/>
      <c r="J541" s="417"/>
      <c r="K541" s="383"/>
      <c r="L541" s="507"/>
      <c r="M541" s="382"/>
      <c r="N541" s="417"/>
      <c r="O541" s="383"/>
      <c r="P541" s="507"/>
      <c r="Q541" s="518"/>
      <c r="R541" s="519"/>
      <c r="S541" s="520"/>
      <c r="T541" s="513"/>
      <c r="U541" s="518"/>
      <c r="V541" s="519"/>
      <c r="W541" s="520"/>
      <c r="X541" s="513"/>
      <c r="Y541" s="518"/>
      <c r="Z541" s="519"/>
      <c r="AA541" s="520"/>
      <c r="AB541" s="513"/>
      <c r="AC541" s="518"/>
      <c r="AD541" s="519"/>
      <c r="AE541" s="520"/>
      <c r="AF541" s="513"/>
      <c r="AG541" s="356"/>
      <c r="AH541" s="356"/>
      <c r="AI541" s="356"/>
      <c r="AJ541" s="356"/>
      <c r="AK541" s="382"/>
      <c r="AL541" s="417"/>
      <c r="AM541" s="383"/>
      <c r="AN541" s="507"/>
      <c r="AO541" s="382"/>
      <c r="AP541" s="417"/>
      <c r="AQ541" s="383"/>
      <c r="AR541" s="507"/>
      <c r="AS541" s="514"/>
      <c r="AT541" s="514"/>
    </row>
    <row r="542">
      <c r="A542" s="382"/>
      <c r="B542" s="417"/>
      <c r="C542" s="383"/>
      <c r="D542" s="507"/>
      <c r="E542" s="382"/>
      <c r="F542" s="417"/>
      <c r="G542" s="383"/>
      <c r="H542" s="507"/>
      <c r="I542" s="382"/>
      <c r="J542" s="417"/>
      <c r="K542" s="383"/>
      <c r="L542" s="507"/>
      <c r="M542" s="382"/>
      <c r="N542" s="417"/>
      <c r="O542" s="383"/>
      <c r="P542" s="507"/>
      <c r="Q542" s="518"/>
      <c r="R542" s="519"/>
      <c r="S542" s="520"/>
      <c r="T542" s="513"/>
      <c r="U542" s="518"/>
      <c r="V542" s="519"/>
      <c r="W542" s="520"/>
      <c r="X542" s="513"/>
      <c r="Y542" s="518"/>
      <c r="Z542" s="519"/>
      <c r="AA542" s="520"/>
      <c r="AB542" s="513"/>
      <c r="AC542" s="518"/>
      <c r="AD542" s="519"/>
      <c r="AE542" s="520"/>
      <c r="AF542" s="513"/>
      <c r="AG542" s="356"/>
      <c r="AH542" s="356"/>
      <c r="AI542" s="356"/>
      <c r="AJ542" s="356"/>
      <c r="AK542" s="382"/>
      <c r="AL542" s="417"/>
      <c r="AM542" s="383"/>
      <c r="AN542" s="507"/>
      <c r="AO542" s="382"/>
      <c r="AP542" s="417"/>
      <c r="AQ542" s="383"/>
      <c r="AR542" s="507"/>
      <c r="AS542" s="514"/>
      <c r="AT542" s="514"/>
    </row>
    <row r="543">
      <c r="A543" s="382"/>
      <c r="B543" s="417"/>
      <c r="C543" s="383"/>
      <c r="D543" s="507"/>
      <c r="E543" s="382"/>
      <c r="F543" s="417"/>
      <c r="G543" s="383"/>
      <c r="H543" s="507"/>
      <c r="I543" s="382"/>
      <c r="J543" s="417"/>
      <c r="K543" s="383"/>
      <c r="L543" s="507"/>
      <c r="M543" s="382"/>
      <c r="N543" s="417"/>
      <c r="O543" s="383"/>
      <c r="P543" s="507"/>
      <c r="Q543" s="518"/>
      <c r="R543" s="519"/>
      <c r="S543" s="520"/>
      <c r="T543" s="513"/>
      <c r="U543" s="518"/>
      <c r="V543" s="519"/>
      <c r="W543" s="520"/>
      <c r="X543" s="513"/>
      <c r="Y543" s="518"/>
      <c r="Z543" s="519"/>
      <c r="AA543" s="520"/>
      <c r="AB543" s="513"/>
      <c r="AC543" s="518"/>
      <c r="AD543" s="519"/>
      <c r="AE543" s="520"/>
      <c r="AF543" s="513"/>
      <c r="AG543" s="356"/>
      <c r="AH543" s="356"/>
      <c r="AI543" s="356"/>
      <c r="AJ543" s="356"/>
      <c r="AK543" s="382"/>
      <c r="AL543" s="417"/>
      <c r="AM543" s="383"/>
      <c r="AN543" s="507"/>
      <c r="AO543" s="382"/>
      <c r="AP543" s="417"/>
      <c r="AQ543" s="383"/>
      <c r="AR543" s="507"/>
      <c r="AS543" s="514"/>
      <c r="AT543" s="514"/>
    </row>
    <row r="544">
      <c r="A544" s="382"/>
      <c r="B544" s="417"/>
      <c r="C544" s="383"/>
      <c r="D544" s="507"/>
      <c r="E544" s="382"/>
      <c r="F544" s="417"/>
      <c r="G544" s="383"/>
      <c r="H544" s="507"/>
      <c r="I544" s="382"/>
      <c r="J544" s="417"/>
      <c r="K544" s="383"/>
      <c r="L544" s="507"/>
      <c r="M544" s="382"/>
      <c r="N544" s="417"/>
      <c r="O544" s="383"/>
      <c r="P544" s="507"/>
      <c r="Q544" s="518"/>
      <c r="R544" s="519"/>
      <c r="S544" s="520"/>
      <c r="T544" s="513"/>
      <c r="U544" s="518"/>
      <c r="V544" s="519"/>
      <c r="W544" s="520"/>
      <c r="X544" s="513"/>
      <c r="Y544" s="518"/>
      <c r="Z544" s="519"/>
      <c r="AA544" s="520"/>
      <c r="AB544" s="513"/>
      <c r="AC544" s="518"/>
      <c r="AD544" s="519"/>
      <c r="AE544" s="520"/>
      <c r="AF544" s="513"/>
      <c r="AG544" s="356"/>
      <c r="AH544" s="356"/>
      <c r="AI544" s="356"/>
      <c r="AJ544" s="356"/>
      <c r="AK544" s="382"/>
      <c r="AL544" s="417"/>
      <c r="AM544" s="383"/>
      <c r="AN544" s="507"/>
      <c r="AO544" s="382"/>
      <c r="AP544" s="417"/>
      <c r="AQ544" s="383"/>
      <c r="AR544" s="507"/>
      <c r="AS544" s="514"/>
      <c r="AT544" s="514"/>
    </row>
    <row r="545">
      <c r="A545" s="382"/>
      <c r="B545" s="417"/>
      <c r="C545" s="383"/>
      <c r="D545" s="507"/>
      <c r="E545" s="382"/>
      <c r="F545" s="417"/>
      <c r="G545" s="383"/>
      <c r="H545" s="507"/>
      <c r="I545" s="382"/>
      <c r="J545" s="417"/>
      <c r="K545" s="383"/>
      <c r="L545" s="507"/>
      <c r="M545" s="382"/>
      <c r="N545" s="417"/>
      <c r="O545" s="383"/>
      <c r="P545" s="507"/>
      <c r="Q545" s="518"/>
      <c r="R545" s="519"/>
      <c r="S545" s="520"/>
      <c r="T545" s="513"/>
      <c r="U545" s="518"/>
      <c r="V545" s="519"/>
      <c r="W545" s="520"/>
      <c r="X545" s="513"/>
      <c r="Y545" s="518"/>
      <c r="Z545" s="519"/>
      <c r="AA545" s="520"/>
      <c r="AB545" s="513"/>
      <c r="AC545" s="518"/>
      <c r="AD545" s="519"/>
      <c r="AE545" s="520"/>
      <c r="AF545" s="513"/>
      <c r="AG545" s="356"/>
      <c r="AH545" s="356"/>
      <c r="AI545" s="356"/>
      <c r="AJ545" s="356"/>
      <c r="AK545" s="382"/>
      <c r="AL545" s="417"/>
      <c r="AM545" s="383"/>
      <c r="AN545" s="507"/>
      <c r="AO545" s="382"/>
      <c r="AP545" s="417"/>
      <c r="AQ545" s="383"/>
      <c r="AR545" s="507"/>
      <c r="AS545" s="514"/>
      <c r="AT545" s="514"/>
    </row>
    <row r="546">
      <c r="A546" s="382"/>
      <c r="B546" s="417"/>
      <c r="C546" s="383"/>
      <c r="D546" s="507"/>
      <c r="E546" s="382"/>
      <c r="F546" s="417"/>
      <c r="G546" s="383"/>
      <c r="H546" s="507"/>
      <c r="I546" s="382"/>
      <c r="J546" s="417"/>
      <c r="K546" s="383"/>
      <c r="L546" s="507"/>
      <c r="M546" s="382"/>
      <c r="N546" s="417"/>
      <c r="O546" s="383"/>
      <c r="P546" s="507"/>
      <c r="Q546" s="518"/>
      <c r="R546" s="519"/>
      <c r="S546" s="520"/>
      <c r="T546" s="513"/>
      <c r="U546" s="518"/>
      <c r="V546" s="519"/>
      <c r="W546" s="520"/>
      <c r="X546" s="513"/>
      <c r="Y546" s="518"/>
      <c r="Z546" s="519"/>
      <c r="AA546" s="520"/>
      <c r="AB546" s="513"/>
      <c r="AC546" s="518"/>
      <c r="AD546" s="519"/>
      <c r="AE546" s="520"/>
      <c r="AF546" s="513"/>
      <c r="AG546" s="356"/>
      <c r="AH546" s="356"/>
      <c r="AI546" s="356"/>
      <c r="AJ546" s="356"/>
      <c r="AK546" s="382"/>
      <c r="AL546" s="417"/>
      <c r="AM546" s="383"/>
      <c r="AN546" s="507"/>
      <c r="AO546" s="382"/>
      <c r="AP546" s="417"/>
      <c r="AQ546" s="383"/>
      <c r="AR546" s="507"/>
      <c r="AS546" s="514"/>
      <c r="AT546" s="514"/>
    </row>
    <row r="547">
      <c r="A547" s="382"/>
      <c r="B547" s="417"/>
      <c r="C547" s="383"/>
      <c r="D547" s="507"/>
      <c r="E547" s="382"/>
      <c r="F547" s="417"/>
      <c r="G547" s="383"/>
      <c r="H547" s="507"/>
      <c r="I547" s="382"/>
      <c r="J547" s="417"/>
      <c r="K547" s="383"/>
      <c r="L547" s="507"/>
      <c r="M547" s="382"/>
      <c r="N547" s="417"/>
      <c r="O547" s="383"/>
      <c r="P547" s="507"/>
      <c r="Q547" s="518"/>
      <c r="R547" s="519"/>
      <c r="S547" s="520"/>
      <c r="T547" s="513"/>
      <c r="U547" s="518"/>
      <c r="V547" s="519"/>
      <c r="W547" s="520"/>
      <c r="X547" s="513"/>
      <c r="Y547" s="518"/>
      <c r="Z547" s="519"/>
      <c r="AA547" s="520"/>
      <c r="AB547" s="513"/>
      <c r="AC547" s="518"/>
      <c r="AD547" s="519"/>
      <c r="AE547" s="520"/>
      <c r="AF547" s="513"/>
      <c r="AG547" s="356"/>
      <c r="AH547" s="356"/>
      <c r="AI547" s="356"/>
      <c r="AJ547" s="356"/>
      <c r="AK547" s="382"/>
      <c r="AL547" s="417"/>
      <c r="AM547" s="383"/>
      <c r="AN547" s="507"/>
      <c r="AO547" s="382"/>
      <c r="AP547" s="417"/>
      <c r="AQ547" s="383"/>
      <c r="AR547" s="507"/>
      <c r="AS547" s="514"/>
      <c r="AT547" s="514"/>
    </row>
    <row r="548">
      <c r="A548" s="382"/>
      <c r="B548" s="417"/>
      <c r="C548" s="383"/>
      <c r="D548" s="507"/>
      <c r="E548" s="382"/>
      <c r="F548" s="417"/>
      <c r="G548" s="383"/>
      <c r="H548" s="507"/>
      <c r="I548" s="382"/>
      <c r="J548" s="417"/>
      <c r="K548" s="383"/>
      <c r="L548" s="507"/>
      <c r="M548" s="382"/>
      <c r="N548" s="417"/>
      <c r="O548" s="383"/>
      <c r="P548" s="507"/>
      <c r="Q548" s="518"/>
      <c r="R548" s="519"/>
      <c r="S548" s="520"/>
      <c r="T548" s="513"/>
      <c r="U548" s="518"/>
      <c r="V548" s="519"/>
      <c r="W548" s="520"/>
      <c r="X548" s="513"/>
      <c r="Y548" s="518"/>
      <c r="Z548" s="519"/>
      <c r="AA548" s="520"/>
      <c r="AB548" s="513"/>
      <c r="AC548" s="518"/>
      <c r="AD548" s="519"/>
      <c r="AE548" s="520"/>
      <c r="AF548" s="513"/>
      <c r="AG548" s="356"/>
      <c r="AH548" s="356"/>
      <c r="AI548" s="356"/>
      <c r="AJ548" s="356"/>
      <c r="AK548" s="382"/>
      <c r="AL548" s="417"/>
      <c r="AM548" s="383"/>
      <c r="AN548" s="507"/>
      <c r="AO548" s="382"/>
      <c r="AP548" s="417"/>
      <c r="AQ548" s="383"/>
      <c r="AR548" s="507"/>
      <c r="AS548" s="514"/>
      <c r="AT548" s="514"/>
    </row>
    <row r="549">
      <c r="A549" s="382"/>
      <c r="B549" s="417"/>
      <c r="C549" s="383"/>
      <c r="D549" s="507"/>
      <c r="E549" s="382"/>
      <c r="F549" s="417"/>
      <c r="G549" s="383"/>
      <c r="H549" s="507"/>
      <c r="I549" s="382"/>
      <c r="J549" s="417"/>
      <c r="K549" s="383"/>
      <c r="L549" s="507"/>
      <c r="M549" s="382"/>
      <c r="N549" s="417"/>
      <c r="O549" s="383"/>
      <c r="P549" s="507"/>
      <c r="Q549" s="518"/>
      <c r="R549" s="519"/>
      <c r="S549" s="520"/>
      <c r="T549" s="513"/>
      <c r="U549" s="518"/>
      <c r="V549" s="519"/>
      <c r="W549" s="520"/>
      <c r="X549" s="513"/>
      <c r="Y549" s="518"/>
      <c r="Z549" s="519"/>
      <c r="AA549" s="520"/>
      <c r="AB549" s="513"/>
      <c r="AC549" s="518"/>
      <c r="AD549" s="519"/>
      <c r="AE549" s="520"/>
      <c r="AF549" s="513"/>
      <c r="AG549" s="356"/>
      <c r="AH549" s="356"/>
      <c r="AI549" s="356"/>
      <c r="AJ549" s="356"/>
      <c r="AK549" s="382"/>
      <c r="AL549" s="417"/>
      <c r="AM549" s="383"/>
      <c r="AN549" s="507"/>
      <c r="AO549" s="382"/>
      <c r="AP549" s="417"/>
      <c r="AQ549" s="383"/>
      <c r="AR549" s="507"/>
      <c r="AS549" s="514"/>
      <c r="AT549" s="514"/>
    </row>
    <row r="550">
      <c r="A550" s="382"/>
      <c r="B550" s="417"/>
      <c r="C550" s="383"/>
      <c r="D550" s="507"/>
      <c r="E550" s="382"/>
      <c r="F550" s="417"/>
      <c r="G550" s="383"/>
      <c r="H550" s="507"/>
      <c r="I550" s="382"/>
      <c r="J550" s="417"/>
      <c r="K550" s="383"/>
      <c r="L550" s="507"/>
      <c r="M550" s="382"/>
      <c r="N550" s="417"/>
      <c r="O550" s="383"/>
      <c r="P550" s="507"/>
      <c r="Q550" s="518"/>
      <c r="R550" s="519"/>
      <c r="S550" s="520"/>
      <c r="T550" s="513"/>
      <c r="U550" s="518"/>
      <c r="V550" s="519"/>
      <c r="W550" s="520"/>
      <c r="X550" s="513"/>
      <c r="Y550" s="518"/>
      <c r="Z550" s="519"/>
      <c r="AA550" s="520"/>
      <c r="AB550" s="513"/>
      <c r="AC550" s="518"/>
      <c r="AD550" s="519"/>
      <c r="AE550" s="520"/>
      <c r="AF550" s="513"/>
      <c r="AG550" s="356"/>
      <c r="AH550" s="356"/>
      <c r="AI550" s="356"/>
      <c r="AJ550" s="356"/>
      <c r="AK550" s="382"/>
      <c r="AL550" s="417"/>
      <c r="AM550" s="383"/>
      <c r="AN550" s="507"/>
      <c r="AO550" s="382"/>
      <c r="AP550" s="417"/>
      <c r="AQ550" s="383"/>
      <c r="AR550" s="507"/>
      <c r="AS550" s="514"/>
      <c r="AT550" s="514"/>
    </row>
    <row r="551">
      <c r="A551" s="382"/>
      <c r="B551" s="417"/>
      <c r="C551" s="383"/>
      <c r="D551" s="507"/>
      <c r="E551" s="382"/>
      <c r="F551" s="417"/>
      <c r="G551" s="383"/>
      <c r="H551" s="507"/>
      <c r="I551" s="382"/>
      <c r="J551" s="417"/>
      <c r="K551" s="383"/>
      <c r="L551" s="507"/>
      <c r="M551" s="382"/>
      <c r="N551" s="417"/>
      <c r="O551" s="383"/>
      <c r="P551" s="507"/>
      <c r="Q551" s="518"/>
      <c r="R551" s="519"/>
      <c r="S551" s="520"/>
      <c r="T551" s="513"/>
      <c r="U551" s="518"/>
      <c r="V551" s="519"/>
      <c r="W551" s="520"/>
      <c r="X551" s="513"/>
      <c r="Y551" s="518"/>
      <c r="Z551" s="519"/>
      <c r="AA551" s="520"/>
      <c r="AB551" s="513"/>
      <c r="AC551" s="518"/>
      <c r="AD551" s="519"/>
      <c r="AE551" s="520"/>
      <c r="AF551" s="513"/>
      <c r="AG551" s="356"/>
      <c r="AH551" s="356"/>
      <c r="AI551" s="356"/>
      <c r="AJ551" s="356"/>
      <c r="AK551" s="382"/>
      <c r="AL551" s="417"/>
      <c r="AM551" s="383"/>
      <c r="AN551" s="507"/>
      <c r="AO551" s="382"/>
      <c r="AP551" s="417"/>
      <c r="AQ551" s="383"/>
      <c r="AR551" s="507"/>
      <c r="AS551" s="514"/>
      <c r="AT551" s="514"/>
    </row>
    <row r="552">
      <c r="A552" s="382"/>
      <c r="B552" s="417"/>
      <c r="C552" s="383"/>
      <c r="D552" s="507"/>
      <c r="E552" s="382"/>
      <c r="F552" s="417"/>
      <c r="G552" s="383"/>
      <c r="H552" s="507"/>
      <c r="I552" s="382"/>
      <c r="J552" s="417"/>
      <c r="K552" s="383"/>
      <c r="L552" s="507"/>
      <c r="M552" s="382"/>
      <c r="N552" s="417"/>
      <c r="O552" s="383"/>
      <c r="P552" s="507"/>
      <c r="Q552" s="518"/>
      <c r="R552" s="519"/>
      <c r="S552" s="520"/>
      <c r="T552" s="513"/>
      <c r="U552" s="518"/>
      <c r="V552" s="519"/>
      <c r="W552" s="520"/>
      <c r="X552" s="513"/>
      <c r="Y552" s="518"/>
      <c r="Z552" s="519"/>
      <c r="AA552" s="520"/>
      <c r="AB552" s="513"/>
      <c r="AC552" s="518"/>
      <c r="AD552" s="519"/>
      <c r="AE552" s="520"/>
      <c r="AF552" s="513"/>
      <c r="AG552" s="356"/>
      <c r="AH552" s="356"/>
      <c r="AI552" s="356"/>
      <c r="AJ552" s="356"/>
      <c r="AK552" s="382"/>
      <c r="AL552" s="417"/>
      <c r="AM552" s="383"/>
      <c r="AN552" s="507"/>
      <c r="AO552" s="382"/>
      <c r="AP552" s="417"/>
      <c r="AQ552" s="383"/>
      <c r="AR552" s="507"/>
      <c r="AS552" s="514"/>
      <c r="AT552" s="514"/>
    </row>
    <row r="553">
      <c r="A553" s="382"/>
      <c r="B553" s="417"/>
      <c r="C553" s="383"/>
      <c r="D553" s="507"/>
      <c r="E553" s="382"/>
      <c r="F553" s="417"/>
      <c r="G553" s="383"/>
      <c r="H553" s="507"/>
      <c r="I553" s="382"/>
      <c r="J553" s="417"/>
      <c r="K553" s="383"/>
      <c r="L553" s="507"/>
      <c r="M553" s="382"/>
      <c r="N553" s="417"/>
      <c r="O553" s="383"/>
      <c r="P553" s="507"/>
      <c r="Q553" s="518"/>
      <c r="R553" s="519"/>
      <c r="S553" s="520"/>
      <c r="T553" s="513"/>
      <c r="U553" s="518"/>
      <c r="V553" s="519"/>
      <c r="W553" s="520"/>
      <c r="X553" s="513"/>
      <c r="Y553" s="518"/>
      <c r="Z553" s="519"/>
      <c r="AA553" s="520"/>
      <c r="AB553" s="513"/>
      <c r="AC553" s="518"/>
      <c r="AD553" s="519"/>
      <c r="AE553" s="520"/>
      <c r="AF553" s="513"/>
      <c r="AG553" s="356"/>
      <c r="AH553" s="356"/>
      <c r="AI553" s="356"/>
      <c r="AJ553" s="356"/>
      <c r="AK553" s="382"/>
      <c r="AL553" s="417"/>
      <c r="AM553" s="383"/>
      <c r="AN553" s="507"/>
      <c r="AO553" s="382"/>
      <c r="AP553" s="417"/>
      <c r="AQ553" s="383"/>
      <c r="AR553" s="507"/>
      <c r="AS553" s="514"/>
      <c r="AT553" s="514"/>
    </row>
    <row r="554">
      <c r="A554" s="382"/>
      <c r="B554" s="417"/>
      <c r="C554" s="383"/>
      <c r="D554" s="507"/>
      <c r="E554" s="382"/>
      <c r="F554" s="417"/>
      <c r="G554" s="383"/>
      <c r="H554" s="507"/>
      <c r="I554" s="382"/>
      <c r="J554" s="417"/>
      <c r="K554" s="383"/>
      <c r="L554" s="507"/>
      <c r="M554" s="382"/>
      <c r="N554" s="417"/>
      <c r="O554" s="383"/>
      <c r="P554" s="507"/>
      <c r="Q554" s="518"/>
      <c r="R554" s="519"/>
      <c r="S554" s="520"/>
      <c r="T554" s="513"/>
      <c r="U554" s="518"/>
      <c r="V554" s="519"/>
      <c r="W554" s="520"/>
      <c r="X554" s="513"/>
      <c r="Y554" s="518"/>
      <c r="Z554" s="519"/>
      <c r="AA554" s="520"/>
      <c r="AB554" s="513"/>
      <c r="AC554" s="518"/>
      <c r="AD554" s="519"/>
      <c r="AE554" s="520"/>
      <c r="AF554" s="513"/>
      <c r="AG554" s="356"/>
      <c r="AH554" s="356"/>
      <c r="AI554" s="356"/>
      <c r="AJ554" s="356"/>
      <c r="AK554" s="382"/>
      <c r="AL554" s="417"/>
      <c r="AM554" s="383"/>
      <c r="AN554" s="507"/>
      <c r="AO554" s="382"/>
      <c r="AP554" s="417"/>
      <c r="AQ554" s="383"/>
      <c r="AR554" s="507"/>
      <c r="AS554" s="514"/>
      <c r="AT554" s="514"/>
    </row>
    <row r="555">
      <c r="A555" s="382"/>
      <c r="B555" s="417"/>
      <c r="C555" s="383"/>
      <c r="D555" s="507"/>
      <c r="E555" s="382"/>
      <c r="F555" s="417"/>
      <c r="G555" s="383"/>
      <c r="H555" s="507"/>
      <c r="I555" s="382"/>
      <c r="J555" s="417"/>
      <c r="K555" s="383"/>
      <c r="L555" s="507"/>
      <c r="M555" s="382"/>
      <c r="N555" s="417"/>
      <c r="O555" s="383"/>
      <c r="P555" s="507"/>
      <c r="Q555" s="518"/>
      <c r="R555" s="519"/>
      <c r="S555" s="520"/>
      <c r="T555" s="513"/>
      <c r="U555" s="518"/>
      <c r="V555" s="519"/>
      <c r="W555" s="520"/>
      <c r="X555" s="513"/>
      <c r="Y555" s="518"/>
      <c r="Z555" s="519"/>
      <c r="AA555" s="520"/>
      <c r="AB555" s="513"/>
      <c r="AC555" s="518"/>
      <c r="AD555" s="519"/>
      <c r="AE555" s="520"/>
      <c r="AF555" s="513"/>
      <c r="AG555" s="356"/>
      <c r="AH555" s="356"/>
      <c r="AI555" s="356"/>
      <c r="AJ555" s="356"/>
      <c r="AK555" s="382"/>
      <c r="AL555" s="417"/>
      <c r="AM555" s="383"/>
      <c r="AN555" s="507"/>
      <c r="AO555" s="382"/>
      <c r="AP555" s="417"/>
      <c r="AQ555" s="383"/>
      <c r="AR555" s="507"/>
      <c r="AS555" s="514"/>
      <c r="AT555" s="514"/>
    </row>
    <row r="556">
      <c r="A556" s="382"/>
      <c r="B556" s="417"/>
      <c r="C556" s="383"/>
      <c r="D556" s="507"/>
      <c r="E556" s="382"/>
      <c r="F556" s="417"/>
      <c r="G556" s="383"/>
      <c r="H556" s="507"/>
      <c r="I556" s="382"/>
      <c r="J556" s="417"/>
      <c r="K556" s="383"/>
      <c r="L556" s="507"/>
      <c r="M556" s="382"/>
      <c r="N556" s="417"/>
      <c r="O556" s="383"/>
      <c r="P556" s="507"/>
      <c r="Q556" s="518"/>
      <c r="R556" s="519"/>
      <c r="S556" s="520"/>
      <c r="T556" s="513"/>
      <c r="U556" s="518"/>
      <c r="V556" s="519"/>
      <c r="W556" s="520"/>
      <c r="X556" s="513"/>
      <c r="Y556" s="518"/>
      <c r="Z556" s="519"/>
      <c r="AA556" s="520"/>
      <c r="AB556" s="513"/>
      <c r="AC556" s="518"/>
      <c r="AD556" s="519"/>
      <c r="AE556" s="520"/>
      <c r="AF556" s="513"/>
      <c r="AG556" s="356"/>
      <c r="AH556" s="356"/>
      <c r="AI556" s="356"/>
      <c r="AJ556" s="356"/>
      <c r="AK556" s="382"/>
      <c r="AL556" s="417"/>
      <c r="AM556" s="383"/>
      <c r="AN556" s="507"/>
      <c r="AO556" s="382"/>
      <c r="AP556" s="417"/>
      <c r="AQ556" s="383"/>
      <c r="AR556" s="507"/>
      <c r="AS556" s="514"/>
      <c r="AT556" s="514"/>
    </row>
    <row r="557">
      <c r="A557" s="382"/>
      <c r="B557" s="417"/>
      <c r="C557" s="383"/>
      <c r="D557" s="507"/>
      <c r="E557" s="382"/>
      <c r="F557" s="417"/>
      <c r="G557" s="383"/>
      <c r="H557" s="507"/>
      <c r="I557" s="382"/>
      <c r="J557" s="417"/>
      <c r="K557" s="383"/>
      <c r="L557" s="507"/>
      <c r="M557" s="382"/>
      <c r="N557" s="417"/>
      <c r="O557" s="383"/>
      <c r="P557" s="507"/>
      <c r="Q557" s="518"/>
      <c r="R557" s="519"/>
      <c r="S557" s="520"/>
      <c r="T557" s="513"/>
      <c r="U557" s="518"/>
      <c r="V557" s="519"/>
      <c r="W557" s="520"/>
      <c r="X557" s="513"/>
      <c r="Y557" s="518"/>
      <c r="Z557" s="519"/>
      <c r="AA557" s="520"/>
      <c r="AB557" s="513"/>
      <c r="AC557" s="518"/>
      <c r="AD557" s="519"/>
      <c r="AE557" s="520"/>
      <c r="AF557" s="513"/>
      <c r="AG557" s="356"/>
      <c r="AH557" s="356"/>
      <c r="AI557" s="356"/>
      <c r="AJ557" s="356"/>
      <c r="AK557" s="382"/>
      <c r="AL557" s="417"/>
      <c r="AM557" s="383"/>
      <c r="AN557" s="507"/>
      <c r="AO557" s="382"/>
      <c r="AP557" s="417"/>
      <c r="AQ557" s="383"/>
      <c r="AR557" s="507"/>
      <c r="AS557" s="514"/>
      <c r="AT557" s="514"/>
    </row>
    <row r="558">
      <c r="A558" s="382"/>
      <c r="B558" s="417"/>
      <c r="C558" s="383"/>
      <c r="D558" s="507"/>
      <c r="E558" s="382"/>
      <c r="F558" s="417"/>
      <c r="G558" s="383"/>
      <c r="H558" s="507"/>
      <c r="I558" s="382"/>
      <c r="J558" s="417"/>
      <c r="K558" s="383"/>
      <c r="L558" s="507"/>
      <c r="M558" s="382"/>
      <c r="N558" s="417"/>
      <c r="O558" s="383"/>
      <c r="P558" s="507"/>
      <c r="Q558" s="518"/>
      <c r="R558" s="519"/>
      <c r="S558" s="520"/>
      <c r="T558" s="513"/>
      <c r="U558" s="518"/>
      <c r="V558" s="519"/>
      <c r="W558" s="520"/>
      <c r="X558" s="513"/>
      <c r="Y558" s="518"/>
      <c r="Z558" s="519"/>
      <c r="AA558" s="520"/>
      <c r="AB558" s="513"/>
      <c r="AC558" s="518"/>
      <c r="AD558" s="519"/>
      <c r="AE558" s="520"/>
      <c r="AF558" s="513"/>
      <c r="AG558" s="356"/>
      <c r="AH558" s="356"/>
      <c r="AI558" s="356"/>
      <c r="AJ558" s="356"/>
      <c r="AK558" s="382"/>
      <c r="AL558" s="417"/>
      <c r="AM558" s="383"/>
      <c r="AN558" s="507"/>
      <c r="AO558" s="382"/>
      <c r="AP558" s="417"/>
      <c r="AQ558" s="383"/>
      <c r="AR558" s="507"/>
      <c r="AS558" s="514"/>
      <c r="AT558" s="514"/>
    </row>
    <row r="559">
      <c r="A559" s="382"/>
      <c r="B559" s="417"/>
      <c r="C559" s="383"/>
      <c r="D559" s="507"/>
      <c r="E559" s="382"/>
      <c r="F559" s="417"/>
      <c r="G559" s="383"/>
      <c r="H559" s="507"/>
      <c r="I559" s="382"/>
      <c r="J559" s="417"/>
      <c r="K559" s="383"/>
      <c r="L559" s="507"/>
      <c r="M559" s="382"/>
      <c r="N559" s="417"/>
      <c r="O559" s="383"/>
      <c r="P559" s="507"/>
      <c r="Q559" s="518"/>
      <c r="R559" s="519"/>
      <c r="S559" s="520"/>
      <c r="T559" s="513"/>
      <c r="U559" s="518"/>
      <c r="V559" s="519"/>
      <c r="W559" s="520"/>
      <c r="X559" s="513"/>
      <c r="Y559" s="518"/>
      <c r="Z559" s="519"/>
      <c r="AA559" s="520"/>
      <c r="AB559" s="513"/>
      <c r="AC559" s="518"/>
      <c r="AD559" s="519"/>
      <c r="AE559" s="520"/>
      <c r="AF559" s="513"/>
      <c r="AG559" s="356"/>
      <c r="AH559" s="356"/>
      <c r="AI559" s="356"/>
      <c r="AJ559" s="356"/>
      <c r="AK559" s="382"/>
      <c r="AL559" s="417"/>
      <c r="AM559" s="383"/>
      <c r="AN559" s="507"/>
      <c r="AO559" s="382"/>
      <c r="AP559" s="417"/>
      <c r="AQ559" s="383"/>
      <c r="AR559" s="507"/>
      <c r="AS559" s="514"/>
      <c r="AT559" s="514"/>
    </row>
    <row r="560">
      <c r="A560" s="382"/>
      <c r="B560" s="417"/>
      <c r="C560" s="383"/>
      <c r="D560" s="507"/>
      <c r="E560" s="382"/>
      <c r="F560" s="417"/>
      <c r="G560" s="383"/>
      <c r="H560" s="507"/>
      <c r="I560" s="382"/>
      <c r="J560" s="417"/>
      <c r="K560" s="383"/>
      <c r="L560" s="507"/>
      <c r="M560" s="382"/>
      <c r="N560" s="417"/>
      <c r="O560" s="383"/>
      <c r="P560" s="507"/>
      <c r="Q560" s="518"/>
      <c r="R560" s="519"/>
      <c r="S560" s="520"/>
      <c r="T560" s="513"/>
      <c r="U560" s="518"/>
      <c r="V560" s="519"/>
      <c r="W560" s="520"/>
      <c r="X560" s="513"/>
      <c r="Y560" s="518"/>
      <c r="Z560" s="519"/>
      <c r="AA560" s="520"/>
      <c r="AB560" s="513"/>
      <c r="AC560" s="518"/>
      <c r="AD560" s="519"/>
      <c r="AE560" s="520"/>
      <c r="AF560" s="513"/>
      <c r="AG560" s="356"/>
      <c r="AH560" s="356"/>
      <c r="AI560" s="356"/>
      <c r="AJ560" s="356"/>
      <c r="AK560" s="382"/>
      <c r="AL560" s="417"/>
      <c r="AM560" s="383"/>
      <c r="AN560" s="507"/>
      <c r="AO560" s="382"/>
      <c r="AP560" s="417"/>
      <c r="AQ560" s="383"/>
      <c r="AR560" s="507"/>
      <c r="AS560" s="514"/>
      <c r="AT560" s="514"/>
    </row>
    <row r="561">
      <c r="A561" s="382"/>
      <c r="B561" s="417"/>
      <c r="C561" s="383"/>
      <c r="D561" s="507"/>
      <c r="E561" s="382"/>
      <c r="F561" s="417"/>
      <c r="G561" s="383"/>
      <c r="H561" s="507"/>
      <c r="I561" s="382"/>
      <c r="J561" s="417"/>
      <c r="K561" s="383"/>
      <c r="L561" s="507"/>
      <c r="M561" s="382"/>
      <c r="N561" s="417"/>
      <c r="O561" s="383"/>
      <c r="P561" s="507"/>
      <c r="Q561" s="518"/>
      <c r="R561" s="519"/>
      <c r="S561" s="520"/>
      <c r="T561" s="513"/>
      <c r="U561" s="518"/>
      <c r="V561" s="519"/>
      <c r="W561" s="520"/>
      <c r="X561" s="513"/>
      <c r="Y561" s="518"/>
      <c r="Z561" s="519"/>
      <c r="AA561" s="520"/>
      <c r="AB561" s="513"/>
      <c r="AC561" s="518"/>
      <c r="AD561" s="519"/>
      <c r="AE561" s="520"/>
      <c r="AF561" s="513"/>
      <c r="AG561" s="356"/>
      <c r="AH561" s="356"/>
      <c r="AI561" s="356"/>
      <c r="AJ561" s="356"/>
      <c r="AK561" s="382"/>
      <c r="AL561" s="417"/>
      <c r="AM561" s="383"/>
      <c r="AN561" s="507"/>
      <c r="AO561" s="382"/>
      <c r="AP561" s="417"/>
      <c r="AQ561" s="383"/>
      <c r="AR561" s="507"/>
      <c r="AS561" s="514"/>
      <c r="AT561" s="514"/>
    </row>
    <row r="562">
      <c r="A562" s="382"/>
      <c r="B562" s="417"/>
      <c r="C562" s="383"/>
      <c r="D562" s="507"/>
      <c r="E562" s="382"/>
      <c r="F562" s="417"/>
      <c r="G562" s="383"/>
      <c r="H562" s="507"/>
      <c r="I562" s="382"/>
      <c r="J562" s="417"/>
      <c r="K562" s="383"/>
      <c r="L562" s="507"/>
      <c r="M562" s="382"/>
      <c r="N562" s="417"/>
      <c r="O562" s="383"/>
      <c r="P562" s="507"/>
      <c r="Q562" s="518"/>
      <c r="R562" s="519"/>
      <c r="S562" s="520"/>
      <c r="T562" s="513"/>
      <c r="U562" s="518"/>
      <c r="V562" s="519"/>
      <c r="W562" s="520"/>
      <c r="X562" s="513"/>
      <c r="Y562" s="518"/>
      <c r="Z562" s="519"/>
      <c r="AA562" s="520"/>
      <c r="AB562" s="513"/>
      <c r="AC562" s="518"/>
      <c r="AD562" s="519"/>
      <c r="AE562" s="520"/>
      <c r="AF562" s="513"/>
      <c r="AG562" s="356"/>
      <c r="AH562" s="356"/>
      <c r="AI562" s="356"/>
      <c r="AJ562" s="356"/>
      <c r="AK562" s="382"/>
      <c r="AL562" s="417"/>
      <c r="AM562" s="383"/>
      <c r="AN562" s="507"/>
      <c r="AO562" s="382"/>
      <c r="AP562" s="417"/>
      <c r="AQ562" s="383"/>
      <c r="AR562" s="507"/>
      <c r="AS562" s="514"/>
      <c r="AT562" s="514"/>
    </row>
    <row r="563">
      <c r="A563" s="382"/>
      <c r="B563" s="417"/>
      <c r="C563" s="383"/>
      <c r="D563" s="507"/>
      <c r="E563" s="382"/>
      <c r="F563" s="417"/>
      <c r="G563" s="383"/>
      <c r="H563" s="507"/>
      <c r="I563" s="382"/>
      <c r="J563" s="417"/>
      <c r="K563" s="383"/>
      <c r="L563" s="507"/>
      <c r="M563" s="382"/>
      <c r="N563" s="417"/>
      <c r="O563" s="383"/>
      <c r="P563" s="507"/>
      <c r="Q563" s="518"/>
      <c r="R563" s="519"/>
      <c r="S563" s="520"/>
      <c r="T563" s="513"/>
      <c r="U563" s="518"/>
      <c r="V563" s="519"/>
      <c r="W563" s="520"/>
      <c r="X563" s="513"/>
      <c r="Y563" s="518"/>
      <c r="Z563" s="519"/>
      <c r="AA563" s="520"/>
      <c r="AB563" s="513"/>
      <c r="AC563" s="518"/>
      <c r="AD563" s="519"/>
      <c r="AE563" s="520"/>
      <c r="AF563" s="513"/>
      <c r="AG563" s="356"/>
      <c r="AH563" s="356"/>
      <c r="AI563" s="356"/>
      <c r="AJ563" s="356"/>
      <c r="AK563" s="382"/>
      <c r="AL563" s="417"/>
      <c r="AM563" s="383"/>
      <c r="AN563" s="507"/>
      <c r="AO563" s="382"/>
      <c r="AP563" s="417"/>
      <c r="AQ563" s="383"/>
      <c r="AR563" s="507"/>
      <c r="AS563" s="514"/>
      <c r="AT563" s="514"/>
    </row>
    <row r="564">
      <c r="A564" s="382"/>
      <c r="B564" s="417"/>
      <c r="C564" s="383"/>
      <c r="D564" s="507"/>
      <c r="E564" s="382"/>
      <c r="F564" s="417"/>
      <c r="G564" s="383"/>
      <c r="H564" s="507"/>
      <c r="I564" s="382"/>
      <c r="J564" s="417"/>
      <c r="K564" s="383"/>
      <c r="L564" s="507"/>
      <c r="M564" s="382"/>
      <c r="N564" s="417"/>
      <c r="O564" s="383"/>
      <c r="P564" s="507"/>
      <c r="Q564" s="518"/>
      <c r="R564" s="519"/>
      <c r="S564" s="520"/>
      <c r="T564" s="513"/>
      <c r="U564" s="518"/>
      <c r="V564" s="519"/>
      <c r="W564" s="520"/>
      <c r="X564" s="513"/>
      <c r="Y564" s="518"/>
      <c r="Z564" s="519"/>
      <c r="AA564" s="520"/>
      <c r="AB564" s="513"/>
      <c r="AC564" s="518"/>
      <c r="AD564" s="519"/>
      <c r="AE564" s="520"/>
      <c r="AF564" s="513"/>
      <c r="AG564" s="356"/>
      <c r="AH564" s="356"/>
      <c r="AI564" s="356"/>
      <c r="AJ564" s="356"/>
      <c r="AK564" s="382"/>
      <c r="AL564" s="417"/>
      <c r="AM564" s="383"/>
      <c r="AN564" s="507"/>
      <c r="AO564" s="382"/>
      <c r="AP564" s="417"/>
      <c r="AQ564" s="383"/>
      <c r="AR564" s="507"/>
      <c r="AS564" s="514"/>
      <c r="AT564" s="514"/>
    </row>
    <row r="565">
      <c r="A565" s="382"/>
      <c r="B565" s="417"/>
      <c r="C565" s="383"/>
      <c r="D565" s="507"/>
      <c r="E565" s="382"/>
      <c r="F565" s="417"/>
      <c r="G565" s="383"/>
      <c r="H565" s="507"/>
      <c r="I565" s="382"/>
      <c r="J565" s="417"/>
      <c r="K565" s="383"/>
      <c r="L565" s="507"/>
      <c r="M565" s="382"/>
      <c r="N565" s="417"/>
      <c r="O565" s="383"/>
      <c r="P565" s="507"/>
      <c r="Q565" s="518"/>
      <c r="R565" s="519"/>
      <c r="S565" s="520"/>
      <c r="T565" s="513"/>
      <c r="U565" s="518"/>
      <c r="V565" s="519"/>
      <c r="W565" s="520"/>
      <c r="X565" s="513"/>
      <c r="Y565" s="518"/>
      <c r="Z565" s="519"/>
      <c r="AA565" s="520"/>
      <c r="AB565" s="513"/>
      <c r="AC565" s="518"/>
      <c r="AD565" s="519"/>
      <c r="AE565" s="520"/>
      <c r="AF565" s="513"/>
      <c r="AG565" s="356"/>
      <c r="AH565" s="356"/>
      <c r="AI565" s="356"/>
      <c r="AJ565" s="356"/>
      <c r="AK565" s="382"/>
      <c r="AL565" s="417"/>
      <c r="AM565" s="383"/>
      <c r="AN565" s="507"/>
      <c r="AO565" s="382"/>
      <c r="AP565" s="417"/>
      <c r="AQ565" s="383"/>
      <c r="AR565" s="507"/>
      <c r="AS565" s="514"/>
      <c r="AT565" s="514"/>
    </row>
    <row r="566">
      <c r="A566" s="382"/>
      <c r="B566" s="417"/>
      <c r="C566" s="383"/>
      <c r="D566" s="507"/>
      <c r="E566" s="382"/>
      <c r="F566" s="417"/>
      <c r="G566" s="383"/>
      <c r="H566" s="507"/>
      <c r="I566" s="382"/>
      <c r="J566" s="417"/>
      <c r="K566" s="383"/>
      <c r="L566" s="507"/>
      <c r="M566" s="382"/>
      <c r="N566" s="417"/>
      <c r="O566" s="383"/>
      <c r="P566" s="507"/>
      <c r="Q566" s="518"/>
      <c r="R566" s="519"/>
      <c r="S566" s="520"/>
      <c r="T566" s="513"/>
      <c r="U566" s="518"/>
      <c r="V566" s="519"/>
      <c r="W566" s="520"/>
      <c r="X566" s="513"/>
      <c r="Y566" s="518"/>
      <c r="Z566" s="519"/>
      <c r="AA566" s="520"/>
      <c r="AB566" s="513"/>
      <c r="AC566" s="518"/>
      <c r="AD566" s="519"/>
      <c r="AE566" s="520"/>
      <c r="AF566" s="513"/>
      <c r="AG566" s="356"/>
      <c r="AH566" s="356"/>
      <c r="AI566" s="356"/>
      <c r="AJ566" s="356"/>
      <c r="AK566" s="382"/>
      <c r="AL566" s="417"/>
      <c r="AM566" s="383"/>
      <c r="AN566" s="507"/>
      <c r="AO566" s="382"/>
      <c r="AP566" s="417"/>
      <c r="AQ566" s="383"/>
      <c r="AR566" s="507"/>
      <c r="AS566" s="514"/>
      <c r="AT566" s="514"/>
    </row>
    <row r="567">
      <c r="A567" s="382"/>
      <c r="B567" s="417"/>
      <c r="C567" s="383"/>
      <c r="D567" s="507"/>
      <c r="E567" s="382"/>
      <c r="F567" s="417"/>
      <c r="G567" s="383"/>
      <c r="H567" s="507"/>
      <c r="I567" s="382"/>
      <c r="J567" s="417"/>
      <c r="K567" s="383"/>
      <c r="L567" s="507"/>
      <c r="M567" s="382"/>
      <c r="N567" s="417"/>
      <c r="O567" s="383"/>
      <c r="P567" s="507"/>
      <c r="Q567" s="518"/>
      <c r="R567" s="519"/>
      <c r="S567" s="520"/>
      <c r="T567" s="513"/>
      <c r="U567" s="518"/>
      <c r="V567" s="519"/>
      <c r="W567" s="520"/>
      <c r="X567" s="513"/>
      <c r="Y567" s="518"/>
      <c r="Z567" s="519"/>
      <c r="AA567" s="520"/>
      <c r="AB567" s="513"/>
      <c r="AC567" s="518"/>
      <c r="AD567" s="519"/>
      <c r="AE567" s="520"/>
      <c r="AF567" s="513"/>
      <c r="AG567" s="356"/>
      <c r="AH567" s="356"/>
      <c r="AI567" s="356"/>
      <c r="AJ567" s="356"/>
      <c r="AK567" s="382"/>
      <c r="AL567" s="417"/>
      <c r="AM567" s="383"/>
      <c r="AN567" s="507"/>
      <c r="AO567" s="382"/>
      <c r="AP567" s="417"/>
      <c r="AQ567" s="383"/>
      <c r="AR567" s="507"/>
      <c r="AS567" s="514"/>
      <c r="AT567" s="514"/>
    </row>
    <row r="568">
      <c r="A568" s="382"/>
      <c r="B568" s="417"/>
      <c r="C568" s="383"/>
      <c r="D568" s="507"/>
      <c r="E568" s="382"/>
      <c r="F568" s="417"/>
      <c r="G568" s="383"/>
      <c r="H568" s="507"/>
      <c r="I568" s="382"/>
      <c r="J568" s="417"/>
      <c r="K568" s="383"/>
      <c r="L568" s="507"/>
      <c r="M568" s="382"/>
      <c r="N568" s="417"/>
      <c r="O568" s="383"/>
      <c r="P568" s="507"/>
      <c r="Q568" s="518"/>
      <c r="R568" s="519"/>
      <c r="S568" s="520"/>
      <c r="T568" s="513"/>
      <c r="U568" s="518"/>
      <c r="V568" s="519"/>
      <c r="W568" s="520"/>
      <c r="X568" s="513"/>
      <c r="Y568" s="518"/>
      <c r="Z568" s="519"/>
      <c r="AA568" s="520"/>
      <c r="AB568" s="513"/>
      <c r="AC568" s="518"/>
      <c r="AD568" s="519"/>
      <c r="AE568" s="520"/>
      <c r="AF568" s="513"/>
      <c r="AG568" s="356"/>
      <c r="AH568" s="356"/>
      <c r="AI568" s="356"/>
      <c r="AJ568" s="356"/>
      <c r="AK568" s="382"/>
      <c r="AL568" s="417"/>
      <c r="AM568" s="383"/>
      <c r="AN568" s="507"/>
      <c r="AO568" s="382"/>
      <c r="AP568" s="417"/>
      <c r="AQ568" s="383"/>
      <c r="AR568" s="507"/>
      <c r="AS568" s="514"/>
      <c r="AT568" s="514"/>
    </row>
    <row r="569">
      <c r="A569" s="382"/>
      <c r="B569" s="417"/>
      <c r="C569" s="383"/>
      <c r="D569" s="507"/>
      <c r="E569" s="382"/>
      <c r="F569" s="417"/>
      <c r="G569" s="383"/>
      <c r="H569" s="507"/>
      <c r="I569" s="382"/>
      <c r="J569" s="417"/>
      <c r="K569" s="383"/>
      <c r="L569" s="507"/>
      <c r="M569" s="382"/>
      <c r="N569" s="417"/>
      <c r="O569" s="383"/>
      <c r="P569" s="507"/>
      <c r="Q569" s="518"/>
      <c r="R569" s="519"/>
      <c r="S569" s="520"/>
      <c r="T569" s="513"/>
      <c r="U569" s="518"/>
      <c r="V569" s="519"/>
      <c r="W569" s="520"/>
      <c r="X569" s="513"/>
      <c r="Y569" s="518"/>
      <c r="Z569" s="519"/>
      <c r="AA569" s="520"/>
      <c r="AB569" s="513"/>
      <c r="AC569" s="518"/>
      <c r="AD569" s="519"/>
      <c r="AE569" s="520"/>
      <c r="AF569" s="513"/>
      <c r="AG569" s="356"/>
      <c r="AH569" s="356"/>
      <c r="AI569" s="356"/>
      <c r="AJ569" s="356"/>
      <c r="AK569" s="382"/>
      <c r="AL569" s="417"/>
      <c r="AM569" s="383"/>
      <c r="AN569" s="507"/>
      <c r="AO569" s="382"/>
      <c r="AP569" s="417"/>
      <c r="AQ569" s="383"/>
      <c r="AR569" s="507"/>
      <c r="AS569" s="514"/>
      <c r="AT569" s="514"/>
    </row>
    <row r="570">
      <c r="A570" s="382"/>
      <c r="B570" s="417"/>
      <c r="C570" s="383"/>
      <c r="D570" s="507"/>
      <c r="E570" s="382"/>
      <c r="F570" s="417"/>
      <c r="G570" s="383"/>
      <c r="H570" s="507"/>
      <c r="I570" s="382"/>
      <c r="J570" s="417"/>
      <c r="K570" s="383"/>
      <c r="L570" s="507"/>
      <c r="M570" s="382"/>
      <c r="N570" s="417"/>
      <c r="O570" s="383"/>
      <c r="P570" s="507"/>
      <c r="Q570" s="518"/>
      <c r="R570" s="519"/>
      <c r="S570" s="520"/>
      <c r="T570" s="513"/>
      <c r="U570" s="518"/>
      <c r="V570" s="519"/>
      <c r="W570" s="520"/>
      <c r="X570" s="513"/>
      <c r="Y570" s="518"/>
      <c r="Z570" s="519"/>
      <c r="AA570" s="520"/>
      <c r="AB570" s="513"/>
      <c r="AC570" s="518"/>
      <c r="AD570" s="519"/>
      <c r="AE570" s="520"/>
      <c r="AF570" s="513"/>
      <c r="AG570" s="356"/>
      <c r="AH570" s="356"/>
      <c r="AI570" s="356"/>
      <c r="AJ570" s="356"/>
      <c r="AK570" s="382"/>
      <c r="AL570" s="417"/>
      <c r="AM570" s="383"/>
      <c r="AN570" s="507"/>
      <c r="AO570" s="382"/>
      <c r="AP570" s="417"/>
      <c r="AQ570" s="383"/>
      <c r="AR570" s="507"/>
      <c r="AS570" s="514"/>
      <c r="AT570" s="514"/>
    </row>
    <row r="571">
      <c r="A571" s="382"/>
      <c r="B571" s="417"/>
      <c r="C571" s="383"/>
      <c r="D571" s="507"/>
      <c r="E571" s="382"/>
      <c r="F571" s="417"/>
      <c r="G571" s="383"/>
      <c r="H571" s="507"/>
      <c r="I571" s="382"/>
      <c r="J571" s="417"/>
      <c r="K571" s="383"/>
      <c r="L571" s="507"/>
      <c r="M571" s="382"/>
      <c r="N571" s="417"/>
      <c r="O571" s="383"/>
      <c r="P571" s="507"/>
      <c r="Q571" s="518"/>
      <c r="R571" s="519"/>
      <c r="S571" s="520"/>
      <c r="T571" s="513"/>
      <c r="U571" s="518"/>
      <c r="V571" s="519"/>
      <c r="W571" s="520"/>
      <c r="X571" s="513"/>
      <c r="Y571" s="518"/>
      <c r="Z571" s="519"/>
      <c r="AA571" s="520"/>
      <c r="AB571" s="513"/>
      <c r="AC571" s="518"/>
      <c r="AD571" s="519"/>
      <c r="AE571" s="520"/>
      <c r="AF571" s="513"/>
      <c r="AG571" s="356"/>
      <c r="AH571" s="356"/>
      <c r="AI571" s="356"/>
      <c r="AJ571" s="356"/>
      <c r="AK571" s="382"/>
      <c r="AL571" s="417"/>
      <c r="AM571" s="383"/>
      <c r="AN571" s="507"/>
      <c r="AO571" s="382"/>
      <c r="AP571" s="417"/>
      <c r="AQ571" s="383"/>
      <c r="AR571" s="507"/>
      <c r="AS571" s="514"/>
      <c r="AT571" s="514"/>
    </row>
    <row r="572">
      <c r="A572" s="382"/>
      <c r="B572" s="417"/>
      <c r="C572" s="383"/>
      <c r="D572" s="507"/>
      <c r="E572" s="382"/>
      <c r="F572" s="417"/>
      <c r="G572" s="383"/>
      <c r="H572" s="507"/>
      <c r="I572" s="382"/>
      <c r="J572" s="417"/>
      <c r="K572" s="383"/>
      <c r="L572" s="507"/>
      <c r="M572" s="382"/>
      <c r="N572" s="417"/>
      <c r="O572" s="383"/>
      <c r="P572" s="507"/>
      <c r="Q572" s="518"/>
      <c r="R572" s="519"/>
      <c r="S572" s="520"/>
      <c r="T572" s="513"/>
      <c r="U572" s="518"/>
      <c r="V572" s="519"/>
      <c r="W572" s="520"/>
      <c r="X572" s="513"/>
      <c r="Y572" s="518"/>
      <c r="Z572" s="519"/>
      <c r="AA572" s="520"/>
      <c r="AB572" s="513"/>
      <c r="AC572" s="518"/>
      <c r="AD572" s="519"/>
      <c r="AE572" s="520"/>
      <c r="AF572" s="513"/>
      <c r="AG572" s="356"/>
      <c r="AH572" s="356"/>
      <c r="AI572" s="356"/>
      <c r="AJ572" s="356"/>
      <c r="AK572" s="382"/>
      <c r="AL572" s="417"/>
      <c r="AM572" s="383"/>
      <c r="AN572" s="507"/>
      <c r="AO572" s="382"/>
      <c r="AP572" s="417"/>
      <c r="AQ572" s="383"/>
      <c r="AR572" s="507"/>
      <c r="AS572" s="514"/>
      <c r="AT572" s="514"/>
    </row>
    <row r="573">
      <c r="A573" s="382"/>
      <c r="B573" s="417"/>
      <c r="C573" s="383"/>
      <c r="D573" s="507"/>
      <c r="E573" s="382"/>
      <c r="F573" s="417"/>
      <c r="G573" s="383"/>
      <c r="H573" s="507"/>
      <c r="I573" s="382"/>
      <c r="J573" s="417"/>
      <c r="K573" s="383"/>
      <c r="L573" s="507"/>
      <c r="M573" s="382"/>
      <c r="N573" s="417"/>
      <c r="O573" s="383"/>
      <c r="P573" s="507"/>
      <c r="Q573" s="518"/>
      <c r="R573" s="519"/>
      <c r="S573" s="520"/>
      <c r="T573" s="513"/>
      <c r="U573" s="518"/>
      <c r="V573" s="519"/>
      <c r="W573" s="520"/>
      <c r="X573" s="513"/>
      <c r="Y573" s="518"/>
      <c r="Z573" s="519"/>
      <c r="AA573" s="520"/>
      <c r="AB573" s="513"/>
      <c r="AC573" s="518"/>
      <c r="AD573" s="519"/>
      <c r="AE573" s="520"/>
      <c r="AF573" s="513"/>
      <c r="AG573" s="356"/>
      <c r="AH573" s="356"/>
      <c r="AI573" s="356"/>
      <c r="AJ573" s="356"/>
      <c r="AK573" s="382"/>
      <c r="AL573" s="417"/>
      <c r="AM573" s="383"/>
      <c r="AN573" s="507"/>
      <c r="AO573" s="382"/>
      <c r="AP573" s="417"/>
      <c r="AQ573" s="383"/>
      <c r="AR573" s="507"/>
      <c r="AS573" s="514"/>
      <c r="AT573" s="514"/>
    </row>
    <row r="574">
      <c r="A574" s="382"/>
      <c r="B574" s="417"/>
      <c r="C574" s="383"/>
      <c r="D574" s="507"/>
      <c r="E574" s="382"/>
      <c r="F574" s="417"/>
      <c r="G574" s="383"/>
      <c r="H574" s="507"/>
      <c r="I574" s="382"/>
      <c r="J574" s="417"/>
      <c r="K574" s="383"/>
      <c r="L574" s="507"/>
      <c r="M574" s="382"/>
      <c r="N574" s="417"/>
      <c r="O574" s="383"/>
      <c r="P574" s="507"/>
      <c r="Q574" s="518"/>
      <c r="R574" s="519"/>
      <c r="S574" s="520"/>
      <c r="T574" s="513"/>
      <c r="U574" s="518"/>
      <c r="V574" s="519"/>
      <c r="W574" s="520"/>
      <c r="X574" s="513"/>
      <c r="Y574" s="518"/>
      <c r="Z574" s="519"/>
      <c r="AA574" s="520"/>
      <c r="AB574" s="513"/>
      <c r="AC574" s="518"/>
      <c r="AD574" s="519"/>
      <c r="AE574" s="520"/>
      <c r="AF574" s="513"/>
      <c r="AG574" s="356"/>
      <c r="AH574" s="356"/>
      <c r="AI574" s="356"/>
      <c r="AJ574" s="356"/>
      <c r="AK574" s="382"/>
      <c r="AL574" s="417"/>
      <c r="AM574" s="383"/>
      <c r="AN574" s="507"/>
      <c r="AO574" s="382"/>
      <c r="AP574" s="417"/>
      <c r="AQ574" s="383"/>
      <c r="AR574" s="507"/>
      <c r="AS574" s="514"/>
      <c r="AT574" s="514"/>
    </row>
    <row r="575">
      <c r="A575" s="382"/>
      <c r="B575" s="417"/>
      <c r="C575" s="383"/>
      <c r="D575" s="507"/>
      <c r="E575" s="382"/>
      <c r="F575" s="417"/>
      <c r="G575" s="383"/>
      <c r="H575" s="507"/>
      <c r="I575" s="382"/>
      <c r="J575" s="417"/>
      <c r="K575" s="383"/>
      <c r="L575" s="507"/>
      <c r="M575" s="382"/>
      <c r="N575" s="417"/>
      <c r="O575" s="383"/>
      <c r="P575" s="507"/>
      <c r="Q575" s="518"/>
      <c r="R575" s="519"/>
      <c r="S575" s="520"/>
      <c r="T575" s="513"/>
      <c r="U575" s="518"/>
      <c r="V575" s="519"/>
      <c r="W575" s="520"/>
      <c r="X575" s="513"/>
      <c r="Y575" s="518"/>
      <c r="Z575" s="519"/>
      <c r="AA575" s="520"/>
      <c r="AB575" s="513"/>
      <c r="AC575" s="518"/>
      <c r="AD575" s="519"/>
      <c r="AE575" s="520"/>
      <c r="AF575" s="513"/>
      <c r="AG575" s="356"/>
      <c r="AH575" s="356"/>
      <c r="AI575" s="356"/>
      <c r="AJ575" s="356"/>
      <c r="AK575" s="382"/>
      <c r="AL575" s="417"/>
      <c r="AM575" s="383"/>
      <c r="AN575" s="507"/>
      <c r="AO575" s="382"/>
      <c r="AP575" s="417"/>
      <c r="AQ575" s="383"/>
      <c r="AR575" s="507"/>
      <c r="AS575" s="514"/>
      <c r="AT575" s="514"/>
    </row>
    <row r="576">
      <c r="A576" s="382"/>
      <c r="B576" s="417"/>
      <c r="C576" s="383"/>
      <c r="D576" s="507"/>
      <c r="E576" s="382"/>
      <c r="F576" s="417"/>
      <c r="G576" s="383"/>
      <c r="H576" s="507"/>
      <c r="I576" s="382"/>
      <c r="J576" s="417"/>
      <c r="K576" s="383"/>
      <c r="L576" s="507"/>
      <c r="M576" s="382"/>
      <c r="N576" s="417"/>
      <c r="O576" s="383"/>
      <c r="P576" s="507"/>
      <c r="Q576" s="518"/>
      <c r="R576" s="519"/>
      <c r="S576" s="520"/>
      <c r="T576" s="513"/>
      <c r="U576" s="518"/>
      <c r="V576" s="519"/>
      <c r="W576" s="520"/>
      <c r="X576" s="513"/>
      <c r="Y576" s="518"/>
      <c r="Z576" s="519"/>
      <c r="AA576" s="520"/>
      <c r="AB576" s="513"/>
      <c r="AC576" s="518"/>
      <c r="AD576" s="519"/>
      <c r="AE576" s="520"/>
      <c r="AF576" s="513"/>
      <c r="AG576" s="356"/>
      <c r="AH576" s="356"/>
      <c r="AI576" s="356"/>
      <c r="AJ576" s="356"/>
      <c r="AK576" s="382"/>
      <c r="AL576" s="417"/>
      <c r="AM576" s="383"/>
      <c r="AN576" s="507"/>
      <c r="AO576" s="382"/>
      <c r="AP576" s="417"/>
      <c r="AQ576" s="383"/>
      <c r="AR576" s="507"/>
      <c r="AS576" s="514"/>
      <c r="AT576" s="514"/>
    </row>
    <row r="577">
      <c r="A577" s="382"/>
      <c r="B577" s="417"/>
      <c r="C577" s="383"/>
      <c r="D577" s="507"/>
      <c r="E577" s="382"/>
      <c r="F577" s="417"/>
      <c r="G577" s="383"/>
      <c r="H577" s="507"/>
      <c r="I577" s="382"/>
      <c r="J577" s="417"/>
      <c r="K577" s="383"/>
      <c r="L577" s="507"/>
      <c r="M577" s="382"/>
      <c r="N577" s="417"/>
      <c r="O577" s="383"/>
      <c r="P577" s="507"/>
      <c r="Q577" s="518"/>
      <c r="R577" s="519"/>
      <c r="S577" s="520"/>
      <c r="T577" s="513"/>
      <c r="U577" s="518"/>
      <c r="V577" s="519"/>
      <c r="W577" s="520"/>
      <c r="X577" s="513"/>
      <c r="Y577" s="518"/>
      <c r="Z577" s="519"/>
      <c r="AA577" s="520"/>
      <c r="AB577" s="513"/>
      <c r="AC577" s="518"/>
      <c r="AD577" s="519"/>
      <c r="AE577" s="520"/>
      <c r="AF577" s="513"/>
      <c r="AG577" s="356"/>
      <c r="AH577" s="356"/>
      <c r="AI577" s="356"/>
      <c r="AJ577" s="356"/>
      <c r="AK577" s="382"/>
      <c r="AL577" s="417"/>
      <c r="AM577" s="383"/>
      <c r="AN577" s="507"/>
      <c r="AO577" s="382"/>
      <c r="AP577" s="417"/>
      <c r="AQ577" s="383"/>
      <c r="AR577" s="507"/>
      <c r="AS577" s="514"/>
      <c r="AT577" s="514"/>
    </row>
    <row r="578">
      <c r="A578" s="382"/>
      <c r="B578" s="417"/>
      <c r="C578" s="383"/>
      <c r="D578" s="507"/>
      <c r="E578" s="382"/>
      <c r="F578" s="417"/>
      <c r="G578" s="383"/>
      <c r="H578" s="507"/>
      <c r="I578" s="382"/>
      <c r="J578" s="417"/>
      <c r="K578" s="383"/>
      <c r="L578" s="507"/>
      <c r="M578" s="382"/>
      <c r="N578" s="417"/>
      <c r="O578" s="383"/>
      <c r="P578" s="507"/>
      <c r="Q578" s="518"/>
      <c r="R578" s="519"/>
      <c r="S578" s="520"/>
      <c r="T578" s="513"/>
      <c r="U578" s="518"/>
      <c r="V578" s="519"/>
      <c r="W578" s="520"/>
      <c r="X578" s="513"/>
      <c r="Y578" s="518"/>
      <c r="Z578" s="519"/>
      <c r="AA578" s="520"/>
      <c r="AB578" s="513"/>
      <c r="AC578" s="518"/>
      <c r="AD578" s="519"/>
      <c r="AE578" s="520"/>
      <c r="AF578" s="513"/>
      <c r="AG578" s="356"/>
      <c r="AH578" s="356"/>
      <c r="AI578" s="356"/>
      <c r="AJ578" s="356"/>
      <c r="AK578" s="382"/>
      <c r="AL578" s="417"/>
      <c r="AM578" s="383"/>
      <c r="AN578" s="507"/>
      <c r="AO578" s="382"/>
      <c r="AP578" s="417"/>
      <c r="AQ578" s="383"/>
      <c r="AR578" s="507"/>
      <c r="AS578" s="514"/>
      <c r="AT578" s="514"/>
    </row>
    <row r="579">
      <c r="A579" s="382"/>
      <c r="B579" s="417"/>
      <c r="C579" s="383"/>
      <c r="D579" s="507"/>
      <c r="E579" s="382"/>
      <c r="F579" s="417"/>
      <c r="G579" s="383"/>
      <c r="H579" s="507"/>
      <c r="I579" s="382"/>
      <c r="J579" s="417"/>
      <c r="K579" s="383"/>
      <c r="L579" s="507"/>
      <c r="M579" s="382"/>
      <c r="N579" s="417"/>
      <c r="O579" s="383"/>
      <c r="P579" s="507"/>
      <c r="Q579" s="518"/>
      <c r="R579" s="519"/>
      <c r="S579" s="520"/>
      <c r="T579" s="513"/>
      <c r="U579" s="518"/>
      <c r="V579" s="519"/>
      <c r="W579" s="520"/>
      <c r="X579" s="513"/>
      <c r="Y579" s="518"/>
      <c r="Z579" s="519"/>
      <c r="AA579" s="520"/>
      <c r="AB579" s="513"/>
      <c r="AC579" s="518"/>
      <c r="AD579" s="519"/>
      <c r="AE579" s="520"/>
      <c r="AF579" s="513"/>
      <c r="AG579" s="356"/>
      <c r="AH579" s="356"/>
      <c r="AI579" s="356"/>
      <c r="AJ579" s="356"/>
      <c r="AK579" s="382"/>
      <c r="AL579" s="417"/>
      <c r="AM579" s="383"/>
      <c r="AN579" s="507"/>
      <c r="AO579" s="382"/>
      <c r="AP579" s="417"/>
      <c r="AQ579" s="383"/>
      <c r="AR579" s="507"/>
      <c r="AS579" s="514"/>
      <c r="AT579" s="514"/>
    </row>
    <row r="580">
      <c r="A580" s="382"/>
      <c r="B580" s="417"/>
      <c r="C580" s="383"/>
      <c r="D580" s="507"/>
      <c r="E580" s="382"/>
      <c r="F580" s="417"/>
      <c r="G580" s="383"/>
      <c r="H580" s="507"/>
      <c r="I580" s="382"/>
      <c r="J580" s="417"/>
      <c r="K580" s="383"/>
      <c r="L580" s="507"/>
      <c r="M580" s="382"/>
      <c r="N580" s="417"/>
      <c r="O580" s="383"/>
      <c r="P580" s="507"/>
      <c r="Q580" s="518"/>
      <c r="R580" s="519"/>
      <c r="S580" s="520"/>
      <c r="T580" s="513"/>
      <c r="U580" s="518"/>
      <c r="V580" s="519"/>
      <c r="W580" s="520"/>
      <c r="X580" s="513"/>
      <c r="Y580" s="518"/>
      <c r="Z580" s="519"/>
      <c r="AA580" s="520"/>
      <c r="AB580" s="513"/>
      <c r="AC580" s="518"/>
      <c r="AD580" s="519"/>
      <c r="AE580" s="520"/>
      <c r="AF580" s="513"/>
      <c r="AG580" s="356"/>
      <c r="AH580" s="356"/>
      <c r="AI580" s="356"/>
      <c r="AJ580" s="356"/>
      <c r="AK580" s="382"/>
      <c r="AL580" s="417"/>
      <c r="AM580" s="383"/>
      <c r="AN580" s="507"/>
      <c r="AO580" s="382"/>
      <c r="AP580" s="417"/>
      <c r="AQ580" s="383"/>
      <c r="AR580" s="507"/>
      <c r="AS580" s="514"/>
      <c r="AT580" s="514"/>
    </row>
    <row r="581">
      <c r="A581" s="382"/>
      <c r="B581" s="417"/>
      <c r="C581" s="383"/>
      <c r="D581" s="507"/>
      <c r="E581" s="382"/>
      <c r="F581" s="417"/>
      <c r="G581" s="383"/>
      <c r="H581" s="507"/>
      <c r="I581" s="382"/>
      <c r="J581" s="417"/>
      <c r="K581" s="383"/>
      <c r="L581" s="507"/>
      <c r="M581" s="382"/>
      <c r="N581" s="417"/>
      <c r="O581" s="383"/>
      <c r="P581" s="507"/>
      <c r="Q581" s="518"/>
      <c r="R581" s="519"/>
      <c r="S581" s="520"/>
      <c r="T581" s="513"/>
      <c r="U581" s="518"/>
      <c r="V581" s="519"/>
      <c r="W581" s="520"/>
      <c r="X581" s="513"/>
      <c r="Y581" s="518"/>
      <c r="Z581" s="519"/>
      <c r="AA581" s="520"/>
      <c r="AB581" s="513"/>
      <c r="AC581" s="518"/>
      <c r="AD581" s="519"/>
      <c r="AE581" s="520"/>
      <c r="AF581" s="513"/>
      <c r="AG581" s="356"/>
      <c r="AH581" s="356"/>
      <c r="AI581" s="356"/>
      <c r="AJ581" s="356"/>
      <c r="AK581" s="382"/>
      <c r="AL581" s="417"/>
      <c r="AM581" s="383"/>
      <c r="AN581" s="507"/>
      <c r="AO581" s="382"/>
      <c r="AP581" s="417"/>
      <c r="AQ581" s="383"/>
      <c r="AR581" s="507"/>
      <c r="AS581" s="514"/>
      <c r="AT581" s="514"/>
    </row>
    <row r="582">
      <c r="A582" s="382"/>
      <c r="B582" s="417"/>
      <c r="C582" s="383"/>
      <c r="D582" s="507"/>
      <c r="E582" s="382"/>
      <c r="F582" s="417"/>
      <c r="G582" s="383"/>
      <c r="H582" s="507"/>
      <c r="I582" s="382"/>
      <c r="J582" s="417"/>
      <c r="K582" s="383"/>
      <c r="L582" s="507"/>
      <c r="M582" s="382"/>
      <c r="N582" s="417"/>
      <c r="O582" s="383"/>
      <c r="P582" s="507"/>
      <c r="Q582" s="518"/>
      <c r="R582" s="519"/>
      <c r="S582" s="520"/>
      <c r="T582" s="513"/>
      <c r="U582" s="518"/>
      <c r="V582" s="519"/>
      <c r="W582" s="520"/>
      <c r="X582" s="513"/>
      <c r="Y582" s="518"/>
      <c r="Z582" s="519"/>
      <c r="AA582" s="520"/>
      <c r="AB582" s="513"/>
      <c r="AC582" s="518"/>
      <c r="AD582" s="519"/>
      <c r="AE582" s="520"/>
      <c r="AF582" s="513"/>
      <c r="AG582" s="356"/>
      <c r="AH582" s="356"/>
      <c r="AI582" s="356"/>
      <c r="AJ582" s="356"/>
      <c r="AK582" s="382"/>
      <c r="AL582" s="417"/>
      <c r="AM582" s="383"/>
      <c r="AN582" s="507"/>
      <c r="AO582" s="382"/>
      <c r="AP582" s="417"/>
      <c r="AQ582" s="383"/>
      <c r="AR582" s="507"/>
      <c r="AS582" s="514"/>
      <c r="AT582" s="514"/>
    </row>
    <row r="583">
      <c r="A583" s="382"/>
      <c r="B583" s="417"/>
      <c r="C583" s="383"/>
      <c r="D583" s="507"/>
      <c r="E583" s="382"/>
      <c r="F583" s="417"/>
      <c r="G583" s="383"/>
      <c r="H583" s="507"/>
      <c r="I583" s="382"/>
      <c r="J583" s="417"/>
      <c r="K583" s="383"/>
      <c r="L583" s="507"/>
      <c r="M583" s="382"/>
      <c r="N583" s="417"/>
      <c r="O583" s="383"/>
      <c r="P583" s="507"/>
      <c r="Q583" s="518"/>
      <c r="R583" s="519"/>
      <c r="S583" s="520"/>
      <c r="T583" s="513"/>
      <c r="U583" s="518"/>
      <c r="V583" s="519"/>
      <c r="W583" s="520"/>
      <c r="X583" s="513"/>
      <c r="Y583" s="518"/>
      <c r="Z583" s="519"/>
      <c r="AA583" s="520"/>
      <c r="AB583" s="513"/>
      <c r="AC583" s="518"/>
      <c r="AD583" s="519"/>
      <c r="AE583" s="520"/>
      <c r="AF583" s="513"/>
      <c r="AG583" s="356"/>
      <c r="AH583" s="356"/>
      <c r="AI583" s="356"/>
      <c r="AJ583" s="356"/>
      <c r="AK583" s="382"/>
      <c r="AL583" s="417"/>
      <c r="AM583" s="383"/>
      <c r="AN583" s="507"/>
      <c r="AO583" s="382"/>
      <c r="AP583" s="417"/>
      <c r="AQ583" s="383"/>
      <c r="AR583" s="507"/>
      <c r="AS583" s="514"/>
      <c r="AT583" s="514"/>
    </row>
    <row r="584">
      <c r="A584" s="382"/>
      <c r="B584" s="417"/>
      <c r="C584" s="383"/>
      <c r="D584" s="507"/>
      <c r="E584" s="382"/>
      <c r="F584" s="417"/>
      <c r="G584" s="383"/>
      <c r="H584" s="507"/>
      <c r="I584" s="382"/>
      <c r="J584" s="417"/>
      <c r="K584" s="383"/>
      <c r="L584" s="507"/>
      <c r="M584" s="382"/>
      <c r="N584" s="417"/>
      <c r="O584" s="383"/>
      <c r="P584" s="507"/>
      <c r="Q584" s="518"/>
      <c r="R584" s="519"/>
      <c r="S584" s="520"/>
      <c r="T584" s="513"/>
      <c r="U584" s="518"/>
      <c r="V584" s="519"/>
      <c r="W584" s="520"/>
      <c r="X584" s="513"/>
      <c r="Y584" s="518"/>
      <c r="Z584" s="519"/>
      <c r="AA584" s="520"/>
      <c r="AB584" s="513"/>
      <c r="AC584" s="518"/>
      <c r="AD584" s="519"/>
      <c r="AE584" s="520"/>
      <c r="AF584" s="513"/>
      <c r="AG584" s="356"/>
      <c r="AH584" s="356"/>
      <c r="AI584" s="356"/>
      <c r="AJ584" s="356"/>
      <c r="AK584" s="382"/>
      <c r="AL584" s="417"/>
      <c r="AM584" s="383"/>
      <c r="AN584" s="507"/>
      <c r="AO584" s="382"/>
      <c r="AP584" s="417"/>
      <c r="AQ584" s="383"/>
      <c r="AR584" s="507"/>
      <c r="AS584" s="514"/>
      <c r="AT584" s="514"/>
    </row>
    <row r="585">
      <c r="A585" s="382"/>
      <c r="B585" s="417"/>
      <c r="C585" s="383"/>
      <c r="D585" s="507"/>
      <c r="E585" s="382"/>
      <c r="F585" s="417"/>
      <c r="G585" s="383"/>
      <c r="H585" s="507"/>
      <c r="I585" s="382"/>
      <c r="J585" s="417"/>
      <c r="K585" s="383"/>
      <c r="L585" s="507"/>
      <c r="M585" s="382"/>
      <c r="N585" s="417"/>
      <c r="O585" s="383"/>
      <c r="P585" s="507"/>
      <c r="Q585" s="518"/>
      <c r="R585" s="519"/>
      <c r="S585" s="520"/>
      <c r="T585" s="513"/>
      <c r="U585" s="518"/>
      <c r="V585" s="519"/>
      <c r="W585" s="520"/>
      <c r="X585" s="513"/>
      <c r="Y585" s="518"/>
      <c r="Z585" s="519"/>
      <c r="AA585" s="520"/>
      <c r="AB585" s="513"/>
      <c r="AC585" s="518"/>
      <c r="AD585" s="519"/>
      <c r="AE585" s="520"/>
      <c r="AF585" s="513"/>
      <c r="AG585" s="356"/>
      <c r="AH585" s="356"/>
      <c r="AI585" s="356"/>
      <c r="AJ585" s="356"/>
      <c r="AK585" s="382"/>
      <c r="AL585" s="417"/>
      <c r="AM585" s="383"/>
      <c r="AN585" s="507"/>
      <c r="AO585" s="382"/>
      <c r="AP585" s="417"/>
      <c r="AQ585" s="383"/>
      <c r="AR585" s="507"/>
      <c r="AS585" s="514"/>
      <c r="AT585" s="514"/>
    </row>
    <row r="586">
      <c r="A586" s="382"/>
      <c r="B586" s="417"/>
      <c r="C586" s="383"/>
      <c r="D586" s="507"/>
      <c r="E586" s="382"/>
      <c r="F586" s="417"/>
      <c r="G586" s="383"/>
      <c r="H586" s="507"/>
      <c r="I586" s="382"/>
      <c r="J586" s="417"/>
      <c r="K586" s="383"/>
      <c r="L586" s="507"/>
      <c r="M586" s="382"/>
      <c r="N586" s="417"/>
      <c r="O586" s="383"/>
      <c r="P586" s="507"/>
      <c r="Q586" s="518"/>
      <c r="R586" s="519"/>
      <c r="S586" s="520"/>
      <c r="T586" s="513"/>
      <c r="U586" s="518"/>
      <c r="V586" s="519"/>
      <c r="W586" s="520"/>
      <c r="X586" s="513"/>
      <c r="Y586" s="518"/>
      <c r="Z586" s="519"/>
      <c r="AA586" s="520"/>
      <c r="AB586" s="513"/>
      <c r="AC586" s="518"/>
      <c r="AD586" s="519"/>
      <c r="AE586" s="520"/>
      <c r="AF586" s="513"/>
      <c r="AG586" s="356"/>
      <c r="AH586" s="356"/>
      <c r="AI586" s="356"/>
      <c r="AJ586" s="356"/>
      <c r="AK586" s="382"/>
      <c r="AL586" s="417"/>
      <c r="AM586" s="383"/>
      <c r="AN586" s="507"/>
      <c r="AO586" s="382"/>
      <c r="AP586" s="417"/>
      <c r="AQ586" s="383"/>
      <c r="AR586" s="507"/>
      <c r="AS586" s="514"/>
      <c r="AT586" s="514"/>
    </row>
    <row r="587">
      <c r="A587" s="382"/>
      <c r="B587" s="417"/>
      <c r="C587" s="383"/>
      <c r="D587" s="507"/>
      <c r="E587" s="382"/>
      <c r="F587" s="417"/>
      <c r="G587" s="383"/>
      <c r="H587" s="507"/>
      <c r="I587" s="382"/>
      <c r="J587" s="417"/>
      <c r="K587" s="383"/>
      <c r="L587" s="507"/>
      <c r="M587" s="382"/>
      <c r="N587" s="417"/>
      <c r="O587" s="383"/>
      <c r="P587" s="507"/>
      <c r="Q587" s="518"/>
      <c r="R587" s="519"/>
      <c r="S587" s="520"/>
      <c r="T587" s="513"/>
      <c r="U587" s="518"/>
      <c r="V587" s="519"/>
      <c r="W587" s="520"/>
      <c r="X587" s="513"/>
      <c r="Y587" s="518"/>
      <c r="Z587" s="519"/>
      <c r="AA587" s="520"/>
      <c r="AB587" s="513"/>
      <c r="AC587" s="518"/>
      <c r="AD587" s="519"/>
      <c r="AE587" s="520"/>
      <c r="AF587" s="513"/>
      <c r="AG587" s="356"/>
      <c r="AH587" s="356"/>
      <c r="AI587" s="356"/>
      <c r="AJ587" s="356"/>
      <c r="AK587" s="382"/>
      <c r="AL587" s="417"/>
      <c r="AM587" s="383"/>
      <c r="AN587" s="507"/>
      <c r="AO587" s="382"/>
      <c r="AP587" s="417"/>
      <c r="AQ587" s="383"/>
      <c r="AR587" s="507"/>
      <c r="AS587" s="514"/>
      <c r="AT587" s="514"/>
    </row>
    <row r="588">
      <c r="A588" s="382"/>
      <c r="B588" s="417"/>
      <c r="C588" s="383"/>
      <c r="D588" s="507"/>
      <c r="E588" s="382"/>
      <c r="F588" s="417"/>
      <c r="G588" s="383"/>
      <c r="H588" s="507"/>
      <c r="I588" s="382"/>
      <c r="J588" s="417"/>
      <c r="K588" s="383"/>
      <c r="L588" s="507"/>
      <c r="M588" s="382"/>
      <c r="N588" s="417"/>
      <c r="O588" s="383"/>
      <c r="P588" s="507"/>
      <c r="Q588" s="518"/>
      <c r="R588" s="519"/>
      <c r="S588" s="520"/>
      <c r="T588" s="513"/>
      <c r="U588" s="518"/>
      <c r="V588" s="519"/>
      <c r="W588" s="520"/>
      <c r="X588" s="513"/>
      <c r="Y588" s="518"/>
      <c r="Z588" s="519"/>
      <c r="AA588" s="520"/>
      <c r="AB588" s="513"/>
      <c r="AC588" s="518"/>
      <c r="AD588" s="519"/>
      <c r="AE588" s="520"/>
      <c r="AF588" s="513"/>
      <c r="AG588" s="356"/>
      <c r="AH588" s="356"/>
      <c r="AI588" s="356"/>
      <c r="AJ588" s="356"/>
      <c r="AK588" s="382"/>
      <c r="AL588" s="417"/>
      <c r="AM588" s="383"/>
      <c r="AN588" s="507"/>
      <c r="AO588" s="382"/>
      <c r="AP588" s="417"/>
      <c r="AQ588" s="383"/>
      <c r="AR588" s="507"/>
      <c r="AS588" s="514"/>
      <c r="AT588" s="514"/>
    </row>
    <row r="589">
      <c r="A589" s="382"/>
      <c r="B589" s="417"/>
      <c r="C589" s="383"/>
      <c r="D589" s="507"/>
      <c r="E589" s="382"/>
      <c r="F589" s="417"/>
      <c r="G589" s="383"/>
      <c r="H589" s="507"/>
      <c r="I589" s="382"/>
      <c r="J589" s="417"/>
      <c r="K589" s="383"/>
      <c r="L589" s="507"/>
      <c r="M589" s="382"/>
      <c r="N589" s="417"/>
      <c r="O589" s="383"/>
      <c r="P589" s="507"/>
      <c r="Q589" s="518"/>
      <c r="R589" s="519"/>
      <c r="S589" s="520"/>
      <c r="T589" s="513"/>
      <c r="U589" s="518"/>
      <c r="V589" s="519"/>
      <c r="W589" s="520"/>
      <c r="X589" s="513"/>
      <c r="Y589" s="518"/>
      <c r="Z589" s="519"/>
      <c r="AA589" s="520"/>
      <c r="AB589" s="513"/>
      <c r="AC589" s="518"/>
      <c r="AD589" s="519"/>
      <c r="AE589" s="520"/>
      <c r="AF589" s="513"/>
      <c r="AG589" s="356"/>
      <c r="AH589" s="356"/>
      <c r="AI589" s="356"/>
      <c r="AJ589" s="356"/>
      <c r="AK589" s="382"/>
      <c r="AL589" s="417"/>
      <c r="AM589" s="383"/>
      <c r="AN589" s="507"/>
      <c r="AO589" s="382"/>
      <c r="AP589" s="417"/>
      <c r="AQ589" s="383"/>
      <c r="AR589" s="507"/>
      <c r="AS589" s="514"/>
      <c r="AT589" s="514"/>
    </row>
    <row r="590">
      <c r="A590" s="382"/>
      <c r="B590" s="417"/>
      <c r="C590" s="383"/>
      <c r="D590" s="507"/>
      <c r="E590" s="382"/>
      <c r="F590" s="417"/>
      <c r="G590" s="383"/>
      <c r="H590" s="507"/>
      <c r="I590" s="382"/>
      <c r="J590" s="417"/>
      <c r="K590" s="383"/>
      <c r="L590" s="507"/>
      <c r="M590" s="382"/>
      <c r="N590" s="417"/>
      <c r="O590" s="383"/>
      <c r="P590" s="507"/>
      <c r="Q590" s="518"/>
      <c r="R590" s="519"/>
      <c r="S590" s="520"/>
      <c r="T590" s="513"/>
      <c r="U590" s="518"/>
      <c r="V590" s="519"/>
      <c r="W590" s="520"/>
      <c r="X590" s="513"/>
      <c r="Y590" s="518"/>
      <c r="Z590" s="519"/>
      <c r="AA590" s="520"/>
      <c r="AB590" s="513"/>
      <c r="AC590" s="518"/>
      <c r="AD590" s="519"/>
      <c r="AE590" s="520"/>
      <c r="AF590" s="513"/>
      <c r="AG590" s="356"/>
      <c r="AH590" s="356"/>
      <c r="AI590" s="356"/>
      <c r="AJ590" s="356"/>
      <c r="AK590" s="382"/>
      <c r="AL590" s="417"/>
      <c r="AM590" s="383"/>
      <c r="AN590" s="507"/>
      <c r="AO590" s="382"/>
      <c r="AP590" s="417"/>
      <c r="AQ590" s="383"/>
      <c r="AR590" s="507"/>
      <c r="AS590" s="514"/>
      <c r="AT590" s="514"/>
    </row>
    <row r="591">
      <c r="A591" s="382"/>
      <c r="B591" s="417"/>
      <c r="C591" s="383"/>
      <c r="D591" s="507"/>
      <c r="E591" s="382"/>
      <c r="F591" s="417"/>
      <c r="G591" s="383"/>
      <c r="H591" s="507"/>
      <c r="I591" s="382"/>
      <c r="J591" s="417"/>
      <c r="K591" s="383"/>
      <c r="L591" s="507"/>
      <c r="M591" s="382"/>
      <c r="N591" s="417"/>
      <c r="O591" s="383"/>
      <c r="P591" s="507"/>
      <c r="Q591" s="518"/>
      <c r="R591" s="519"/>
      <c r="S591" s="520"/>
      <c r="T591" s="513"/>
      <c r="U591" s="518"/>
      <c r="V591" s="519"/>
      <c r="W591" s="520"/>
      <c r="X591" s="513"/>
      <c r="Y591" s="518"/>
      <c r="Z591" s="519"/>
      <c r="AA591" s="520"/>
      <c r="AB591" s="513"/>
      <c r="AC591" s="518"/>
      <c r="AD591" s="519"/>
      <c r="AE591" s="520"/>
      <c r="AF591" s="513"/>
      <c r="AG591" s="356"/>
      <c r="AH591" s="356"/>
      <c r="AI591" s="356"/>
      <c r="AJ591" s="356"/>
      <c r="AK591" s="382"/>
      <c r="AL591" s="417"/>
      <c r="AM591" s="383"/>
      <c r="AN591" s="507"/>
      <c r="AO591" s="382"/>
      <c r="AP591" s="417"/>
      <c r="AQ591" s="383"/>
      <c r="AR591" s="507"/>
      <c r="AS591" s="514"/>
      <c r="AT591" s="514"/>
    </row>
    <row r="592">
      <c r="A592" s="382"/>
      <c r="B592" s="417"/>
      <c r="C592" s="383"/>
      <c r="D592" s="507"/>
      <c r="E592" s="382"/>
      <c r="F592" s="417"/>
      <c r="G592" s="383"/>
      <c r="H592" s="507"/>
      <c r="I592" s="382"/>
      <c r="J592" s="417"/>
      <c r="K592" s="383"/>
      <c r="L592" s="507"/>
      <c r="M592" s="382"/>
      <c r="N592" s="417"/>
      <c r="O592" s="383"/>
      <c r="P592" s="507"/>
      <c r="Q592" s="518"/>
      <c r="R592" s="519"/>
      <c r="S592" s="520"/>
      <c r="T592" s="513"/>
      <c r="U592" s="518"/>
      <c r="V592" s="519"/>
      <c r="W592" s="520"/>
      <c r="X592" s="513"/>
      <c r="Y592" s="518"/>
      <c r="Z592" s="519"/>
      <c r="AA592" s="520"/>
      <c r="AB592" s="513"/>
      <c r="AC592" s="518"/>
      <c r="AD592" s="519"/>
      <c r="AE592" s="520"/>
      <c r="AF592" s="513"/>
      <c r="AG592" s="356"/>
      <c r="AH592" s="356"/>
      <c r="AI592" s="356"/>
      <c r="AJ592" s="356"/>
      <c r="AK592" s="382"/>
      <c r="AL592" s="417"/>
      <c r="AM592" s="383"/>
      <c r="AN592" s="507"/>
      <c r="AO592" s="382"/>
      <c r="AP592" s="417"/>
      <c r="AQ592" s="383"/>
      <c r="AR592" s="507"/>
      <c r="AS592" s="514"/>
      <c r="AT592" s="514"/>
    </row>
    <row r="593">
      <c r="A593" s="382"/>
      <c r="B593" s="417"/>
      <c r="C593" s="383"/>
      <c r="D593" s="507"/>
      <c r="E593" s="382"/>
      <c r="F593" s="417"/>
      <c r="G593" s="383"/>
      <c r="H593" s="507"/>
      <c r="I593" s="382"/>
      <c r="J593" s="417"/>
      <c r="K593" s="383"/>
      <c r="L593" s="507"/>
      <c r="M593" s="382"/>
      <c r="N593" s="417"/>
      <c r="O593" s="383"/>
      <c r="P593" s="507"/>
      <c r="Q593" s="518"/>
      <c r="R593" s="519"/>
      <c r="S593" s="520"/>
      <c r="T593" s="513"/>
      <c r="U593" s="518"/>
      <c r="V593" s="519"/>
      <c r="W593" s="520"/>
      <c r="X593" s="513"/>
      <c r="Y593" s="518"/>
      <c r="Z593" s="519"/>
      <c r="AA593" s="520"/>
      <c r="AB593" s="513"/>
      <c r="AC593" s="518"/>
      <c r="AD593" s="519"/>
      <c r="AE593" s="520"/>
      <c r="AF593" s="513"/>
      <c r="AG593" s="356"/>
      <c r="AH593" s="356"/>
      <c r="AI593" s="356"/>
      <c r="AJ593" s="356"/>
      <c r="AK593" s="382"/>
      <c r="AL593" s="417"/>
      <c r="AM593" s="383"/>
      <c r="AN593" s="507"/>
      <c r="AO593" s="382"/>
      <c r="AP593" s="417"/>
      <c r="AQ593" s="383"/>
      <c r="AR593" s="507"/>
      <c r="AS593" s="514"/>
      <c r="AT593" s="514"/>
    </row>
    <row r="594">
      <c r="A594" s="382"/>
      <c r="B594" s="417"/>
      <c r="C594" s="383"/>
      <c r="D594" s="507"/>
      <c r="E594" s="382"/>
      <c r="F594" s="417"/>
      <c r="G594" s="383"/>
      <c r="H594" s="507"/>
      <c r="I594" s="382"/>
      <c r="J594" s="417"/>
      <c r="K594" s="383"/>
      <c r="L594" s="507"/>
      <c r="M594" s="382"/>
      <c r="N594" s="417"/>
      <c r="O594" s="383"/>
      <c r="P594" s="507"/>
      <c r="Q594" s="518"/>
      <c r="R594" s="519"/>
      <c r="S594" s="520"/>
      <c r="T594" s="513"/>
      <c r="U594" s="518"/>
      <c r="V594" s="519"/>
      <c r="W594" s="520"/>
      <c r="X594" s="513"/>
      <c r="Y594" s="518"/>
      <c r="Z594" s="519"/>
      <c r="AA594" s="520"/>
      <c r="AB594" s="513"/>
      <c r="AC594" s="518"/>
      <c r="AD594" s="519"/>
      <c r="AE594" s="520"/>
      <c r="AF594" s="513"/>
      <c r="AG594" s="356"/>
      <c r="AH594" s="356"/>
      <c r="AI594" s="356"/>
      <c r="AJ594" s="356"/>
      <c r="AK594" s="382"/>
      <c r="AL594" s="417"/>
      <c r="AM594" s="383"/>
      <c r="AN594" s="507"/>
      <c r="AO594" s="382"/>
      <c r="AP594" s="417"/>
      <c r="AQ594" s="383"/>
      <c r="AR594" s="507"/>
      <c r="AS594" s="514"/>
      <c r="AT594" s="514"/>
    </row>
    <row r="595">
      <c r="A595" s="382"/>
      <c r="B595" s="417"/>
      <c r="C595" s="383"/>
      <c r="D595" s="507"/>
      <c r="E595" s="382"/>
      <c r="F595" s="417"/>
      <c r="G595" s="383"/>
      <c r="H595" s="507"/>
      <c r="I595" s="382"/>
      <c r="J595" s="417"/>
      <c r="K595" s="383"/>
      <c r="L595" s="507"/>
      <c r="M595" s="382"/>
      <c r="N595" s="417"/>
      <c r="O595" s="383"/>
      <c r="P595" s="507"/>
      <c r="Q595" s="518"/>
      <c r="R595" s="519"/>
      <c r="S595" s="520"/>
      <c r="T595" s="513"/>
      <c r="U595" s="518"/>
      <c r="V595" s="519"/>
      <c r="W595" s="520"/>
      <c r="X595" s="513"/>
      <c r="Y595" s="518"/>
      <c r="Z595" s="519"/>
      <c r="AA595" s="520"/>
      <c r="AB595" s="513"/>
      <c r="AC595" s="518"/>
      <c r="AD595" s="519"/>
      <c r="AE595" s="520"/>
      <c r="AF595" s="513"/>
      <c r="AG595" s="356"/>
      <c r="AH595" s="356"/>
      <c r="AI595" s="356"/>
      <c r="AJ595" s="356"/>
      <c r="AK595" s="382"/>
      <c r="AL595" s="417"/>
      <c r="AM595" s="383"/>
      <c r="AN595" s="507"/>
      <c r="AO595" s="382"/>
      <c r="AP595" s="417"/>
      <c r="AQ595" s="383"/>
      <c r="AR595" s="507"/>
      <c r="AS595" s="514"/>
      <c r="AT595" s="514"/>
    </row>
    <row r="596">
      <c r="A596" s="382"/>
      <c r="B596" s="417"/>
      <c r="C596" s="383"/>
      <c r="D596" s="507"/>
      <c r="E596" s="382"/>
      <c r="F596" s="417"/>
      <c r="G596" s="383"/>
      <c r="H596" s="507"/>
      <c r="I596" s="382"/>
      <c r="J596" s="417"/>
      <c r="K596" s="383"/>
      <c r="L596" s="507"/>
      <c r="M596" s="382"/>
      <c r="N596" s="417"/>
      <c r="O596" s="383"/>
      <c r="P596" s="507"/>
      <c r="Q596" s="518"/>
      <c r="R596" s="519"/>
      <c r="S596" s="520"/>
      <c r="T596" s="513"/>
      <c r="U596" s="518"/>
      <c r="V596" s="519"/>
      <c r="W596" s="520"/>
      <c r="X596" s="513"/>
      <c r="Y596" s="518"/>
      <c r="Z596" s="519"/>
      <c r="AA596" s="520"/>
      <c r="AB596" s="513"/>
      <c r="AC596" s="518"/>
      <c r="AD596" s="519"/>
      <c r="AE596" s="520"/>
      <c r="AF596" s="513"/>
      <c r="AG596" s="356"/>
      <c r="AH596" s="356"/>
      <c r="AI596" s="356"/>
      <c r="AJ596" s="356"/>
      <c r="AK596" s="382"/>
      <c r="AL596" s="417"/>
      <c r="AM596" s="383"/>
      <c r="AN596" s="507"/>
      <c r="AO596" s="382"/>
      <c r="AP596" s="417"/>
      <c r="AQ596" s="383"/>
      <c r="AR596" s="507"/>
      <c r="AS596" s="514"/>
      <c r="AT596" s="514"/>
    </row>
    <row r="597">
      <c r="A597" s="382"/>
      <c r="B597" s="417"/>
      <c r="C597" s="383"/>
      <c r="D597" s="507"/>
      <c r="E597" s="382"/>
      <c r="F597" s="417"/>
      <c r="G597" s="383"/>
      <c r="H597" s="507"/>
      <c r="I597" s="382"/>
      <c r="J597" s="417"/>
      <c r="K597" s="383"/>
      <c r="L597" s="507"/>
      <c r="M597" s="382"/>
      <c r="N597" s="417"/>
      <c r="O597" s="383"/>
      <c r="P597" s="507"/>
      <c r="Q597" s="518"/>
      <c r="R597" s="519"/>
      <c r="S597" s="520"/>
      <c r="T597" s="513"/>
      <c r="U597" s="518"/>
      <c r="V597" s="519"/>
      <c r="W597" s="520"/>
      <c r="X597" s="513"/>
      <c r="Y597" s="518"/>
      <c r="Z597" s="519"/>
      <c r="AA597" s="520"/>
      <c r="AB597" s="513"/>
      <c r="AC597" s="518"/>
      <c r="AD597" s="519"/>
      <c r="AE597" s="520"/>
      <c r="AF597" s="513"/>
      <c r="AG597" s="356"/>
      <c r="AH597" s="356"/>
      <c r="AI597" s="356"/>
      <c r="AJ597" s="356"/>
      <c r="AK597" s="382"/>
      <c r="AL597" s="417"/>
      <c r="AM597" s="383"/>
      <c r="AN597" s="507"/>
      <c r="AO597" s="382"/>
      <c r="AP597" s="417"/>
      <c r="AQ597" s="383"/>
      <c r="AR597" s="507"/>
      <c r="AS597" s="514"/>
      <c r="AT597" s="514"/>
    </row>
    <row r="598">
      <c r="A598" s="382"/>
      <c r="B598" s="417"/>
      <c r="C598" s="383"/>
      <c r="D598" s="507"/>
      <c r="E598" s="382"/>
      <c r="F598" s="417"/>
      <c r="G598" s="383"/>
      <c r="H598" s="507"/>
      <c r="I598" s="382"/>
      <c r="J598" s="417"/>
      <c r="K598" s="383"/>
      <c r="L598" s="507"/>
      <c r="M598" s="382"/>
      <c r="N598" s="417"/>
      <c r="O598" s="383"/>
      <c r="P598" s="507"/>
      <c r="Q598" s="518"/>
      <c r="R598" s="519"/>
      <c r="S598" s="520"/>
      <c r="T598" s="513"/>
      <c r="U598" s="518"/>
      <c r="V598" s="519"/>
      <c r="W598" s="520"/>
      <c r="X598" s="513"/>
      <c r="Y598" s="518"/>
      <c r="Z598" s="519"/>
      <c r="AA598" s="520"/>
      <c r="AB598" s="513"/>
      <c r="AC598" s="518"/>
      <c r="AD598" s="519"/>
      <c r="AE598" s="520"/>
      <c r="AF598" s="513"/>
      <c r="AG598" s="356"/>
      <c r="AH598" s="356"/>
      <c r="AI598" s="356"/>
      <c r="AJ598" s="356"/>
      <c r="AK598" s="382"/>
      <c r="AL598" s="417"/>
      <c r="AM598" s="383"/>
      <c r="AN598" s="507"/>
      <c r="AO598" s="382"/>
      <c r="AP598" s="417"/>
      <c r="AQ598" s="383"/>
      <c r="AR598" s="507"/>
      <c r="AS598" s="514"/>
      <c r="AT598" s="514"/>
    </row>
    <row r="599">
      <c r="A599" s="382"/>
      <c r="B599" s="417"/>
      <c r="C599" s="383"/>
      <c r="D599" s="507"/>
      <c r="E599" s="382"/>
      <c r="F599" s="417"/>
      <c r="G599" s="383"/>
      <c r="H599" s="507"/>
      <c r="I599" s="382"/>
      <c r="J599" s="417"/>
      <c r="K599" s="383"/>
      <c r="L599" s="507"/>
      <c r="M599" s="382"/>
      <c r="N599" s="417"/>
      <c r="O599" s="383"/>
      <c r="P599" s="507"/>
      <c r="Q599" s="518"/>
      <c r="R599" s="519"/>
      <c r="S599" s="520"/>
      <c r="T599" s="513"/>
      <c r="U599" s="518"/>
      <c r="V599" s="519"/>
      <c r="W599" s="520"/>
      <c r="X599" s="513"/>
      <c r="Y599" s="518"/>
      <c r="Z599" s="519"/>
      <c r="AA599" s="520"/>
      <c r="AB599" s="513"/>
      <c r="AC599" s="518"/>
      <c r="AD599" s="519"/>
      <c r="AE599" s="520"/>
      <c r="AF599" s="513"/>
      <c r="AG599" s="356"/>
      <c r="AH599" s="356"/>
      <c r="AI599" s="356"/>
      <c r="AJ599" s="356"/>
      <c r="AK599" s="382"/>
      <c r="AL599" s="417"/>
      <c r="AM599" s="383"/>
      <c r="AN599" s="507"/>
      <c r="AO599" s="382"/>
      <c r="AP599" s="417"/>
      <c r="AQ599" s="383"/>
      <c r="AR599" s="507"/>
      <c r="AS599" s="514"/>
      <c r="AT599" s="514"/>
    </row>
    <row r="600">
      <c r="A600" s="382"/>
      <c r="B600" s="417"/>
      <c r="C600" s="383"/>
      <c r="D600" s="507"/>
      <c r="E600" s="382"/>
      <c r="F600" s="417"/>
      <c r="G600" s="383"/>
      <c r="H600" s="507"/>
      <c r="I600" s="382"/>
      <c r="J600" s="417"/>
      <c r="K600" s="383"/>
      <c r="L600" s="507"/>
      <c r="M600" s="382"/>
      <c r="N600" s="417"/>
      <c r="O600" s="383"/>
      <c r="P600" s="507"/>
      <c r="Q600" s="518"/>
      <c r="R600" s="519"/>
      <c r="S600" s="520"/>
      <c r="T600" s="513"/>
      <c r="U600" s="518"/>
      <c r="V600" s="519"/>
      <c r="W600" s="520"/>
      <c r="X600" s="513"/>
      <c r="Y600" s="518"/>
      <c r="Z600" s="519"/>
      <c r="AA600" s="520"/>
      <c r="AB600" s="513"/>
      <c r="AC600" s="518"/>
      <c r="AD600" s="519"/>
      <c r="AE600" s="520"/>
      <c r="AF600" s="513"/>
      <c r="AG600" s="356"/>
      <c r="AH600" s="356"/>
      <c r="AI600" s="356"/>
      <c r="AJ600" s="356"/>
      <c r="AK600" s="382"/>
      <c r="AL600" s="417"/>
      <c r="AM600" s="383"/>
      <c r="AN600" s="507"/>
      <c r="AO600" s="382"/>
      <c r="AP600" s="417"/>
      <c r="AQ600" s="383"/>
      <c r="AR600" s="507"/>
      <c r="AS600" s="514"/>
      <c r="AT600" s="514"/>
    </row>
    <row r="601">
      <c r="A601" s="382"/>
      <c r="B601" s="417"/>
      <c r="C601" s="383"/>
      <c r="D601" s="507"/>
      <c r="E601" s="382"/>
      <c r="F601" s="417"/>
      <c r="G601" s="383"/>
      <c r="H601" s="507"/>
      <c r="I601" s="382"/>
      <c r="J601" s="417"/>
      <c r="K601" s="383"/>
      <c r="L601" s="507"/>
      <c r="M601" s="382"/>
      <c r="N601" s="417"/>
      <c r="O601" s="383"/>
      <c r="P601" s="507"/>
      <c r="Q601" s="518"/>
      <c r="R601" s="519"/>
      <c r="S601" s="520"/>
      <c r="T601" s="513"/>
      <c r="U601" s="518"/>
      <c r="V601" s="519"/>
      <c r="W601" s="520"/>
      <c r="X601" s="513"/>
      <c r="Y601" s="518"/>
      <c r="Z601" s="519"/>
      <c r="AA601" s="520"/>
      <c r="AB601" s="513"/>
      <c r="AC601" s="518"/>
      <c r="AD601" s="519"/>
      <c r="AE601" s="520"/>
      <c r="AF601" s="513"/>
      <c r="AG601" s="356"/>
      <c r="AH601" s="356"/>
      <c r="AI601" s="356"/>
      <c r="AJ601" s="356"/>
      <c r="AK601" s="382"/>
      <c r="AL601" s="417"/>
      <c r="AM601" s="383"/>
      <c r="AN601" s="507"/>
      <c r="AO601" s="382"/>
      <c r="AP601" s="417"/>
      <c r="AQ601" s="383"/>
      <c r="AR601" s="507"/>
      <c r="AS601" s="514"/>
      <c r="AT601" s="514"/>
    </row>
    <row r="602">
      <c r="A602" s="382"/>
      <c r="B602" s="417"/>
      <c r="C602" s="383"/>
      <c r="D602" s="507"/>
      <c r="E602" s="382"/>
      <c r="F602" s="417"/>
      <c r="G602" s="383"/>
      <c r="H602" s="507"/>
      <c r="I602" s="382"/>
      <c r="J602" s="417"/>
      <c r="K602" s="383"/>
      <c r="L602" s="507"/>
      <c r="M602" s="382"/>
      <c r="N602" s="417"/>
      <c r="O602" s="383"/>
      <c r="P602" s="507"/>
      <c r="Q602" s="518"/>
      <c r="R602" s="519"/>
      <c r="S602" s="520"/>
      <c r="T602" s="513"/>
      <c r="U602" s="518"/>
      <c r="V602" s="519"/>
      <c r="W602" s="520"/>
      <c r="X602" s="513"/>
      <c r="Y602" s="518"/>
      <c r="Z602" s="519"/>
      <c r="AA602" s="520"/>
      <c r="AB602" s="513"/>
      <c r="AC602" s="518"/>
      <c r="AD602" s="519"/>
      <c r="AE602" s="520"/>
      <c r="AF602" s="513"/>
      <c r="AG602" s="356"/>
      <c r="AH602" s="356"/>
      <c r="AI602" s="356"/>
      <c r="AJ602" s="356"/>
      <c r="AK602" s="382"/>
      <c r="AL602" s="417"/>
      <c r="AM602" s="383"/>
      <c r="AN602" s="507"/>
      <c r="AO602" s="382"/>
      <c r="AP602" s="417"/>
      <c r="AQ602" s="383"/>
      <c r="AR602" s="507"/>
      <c r="AS602" s="514"/>
      <c r="AT602" s="514"/>
    </row>
    <row r="603">
      <c r="A603" s="382"/>
      <c r="B603" s="417"/>
      <c r="C603" s="383"/>
      <c r="D603" s="507"/>
      <c r="E603" s="382"/>
      <c r="F603" s="417"/>
      <c r="G603" s="383"/>
      <c r="H603" s="507"/>
      <c r="I603" s="382"/>
      <c r="J603" s="417"/>
      <c r="K603" s="383"/>
      <c r="L603" s="507"/>
      <c r="M603" s="382"/>
      <c r="N603" s="417"/>
      <c r="O603" s="383"/>
      <c r="P603" s="507"/>
      <c r="Q603" s="518"/>
      <c r="R603" s="519"/>
      <c r="S603" s="520"/>
      <c r="T603" s="513"/>
      <c r="U603" s="518"/>
      <c r="V603" s="519"/>
      <c r="W603" s="520"/>
      <c r="X603" s="513"/>
      <c r="Y603" s="518"/>
      <c r="Z603" s="519"/>
      <c r="AA603" s="520"/>
      <c r="AB603" s="513"/>
      <c r="AC603" s="518"/>
      <c r="AD603" s="519"/>
      <c r="AE603" s="520"/>
      <c r="AF603" s="513"/>
      <c r="AG603" s="356"/>
      <c r="AH603" s="356"/>
      <c r="AI603" s="356"/>
      <c r="AJ603" s="356"/>
      <c r="AK603" s="382"/>
      <c r="AL603" s="417"/>
      <c r="AM603" s="383"/>
      <c r="AN603" s="507"/>
      <c r="AO603" s="382"/>
      <c r="AP603" s="417"/>
      <c r="AQ603" s="383"/>
      <c r="AR603" s="507"/>
      <c r="AS603" s="514"/>
      <c r="AT603" s="514"/>
    </row>
    <row r="604">
      <c r="A604" s="382"/>
      <c r="B604" s="417"/>
      <c r="C604" s="383"/>
      <c r="D604" s="507"/>
      <c r="E604" s="382"/>
      <c r="F604" s="417"/>
      <c r="G604" s="383"/>
      <c r="H604" s="507"/>
      <c r="I604" s="382"/>
      <c r="J604" s="417"/>
      <c r="K604" s="383"/>
      <c r="L604" s="507"/>
      <c r="M604" s="382"/>
      <c r="N604" s="417"/>
      <c r="O604" s="383"/>
      <c r="P604" s="507"/>
      <c r="Q604" s="518"/>
      <c r="R604" s="519"/>
      <c r="S604" s="520"/>
      <c r="T604" s="513"/>
      <c r="U604" s="518"/>
      <c r="V604" s="519"/>
      <c r="W604" s="520"/>
      <c r="X604" s="513"/>
      <c r="Y604" s="518"/>
      <c r="Z604" s="519"/>
      <c r="AA604" s="520"/>
      <c r="AB604" s="513"/>
      <c r="AC604" s="518"/>
      <c r="AD604" s="519"/>
      <c r="AE604" s="520"/>
      <c r="AF604" s="513"/>
      <c r="AG604" s="356"/>
      <c r="AH604" s="356"/>
      <c r="AI604" s="356"/>
      <c r="AJ604" s="356"/>
      <c r="AK604" s="382"/>
      <c r="AL604" s="417"/>
      <c r="AM604" s="383"/>
      <c r="AN604" s="507"/>
      <c r="AO604" s="382"/>
      <c r="AP604" s="417"/>
      <c r="AQ604" s="383"/>
      <c r="AR604" s="507"/>
      <c r="AS604" s="514"/>
      <c r="AT604" s="514"/>
    </row>
    <row r="605">
      <c r="A605" s="382"/>
      <c r="B605" s="417"/>
      <c r="C605" s="383"/>
      <c r="D605" s="507"/>
      <c r="E605" s="382"/>
      <c r="F605" s="417"/>
      <c r="G605" s="383"/>
      <c r="H605" s="507"/>
      <c r="I605" s="382"/>
      <c r="J605" s="417"/>
      <c r="K605" s="383"/>
      <c r="L605" s="507"/>
      <c r="M605" s="382"/>
      <c r="N605" s="417"/>
      <c r="O605" s="383"/>
      <c r="P605" s="507"/>
      <c r="Q605" s="518"/>
      <c r="R605" s="519"/>
      <c r="S605" s="520"/>
      <c r="T605" s="513"/>
      <c r="U605" s="518"/>
      <c r="V605" s="519"/>
      <c r="W605" s="520"/>
      <c r="X605" s="513"/>
      <c r="Y605" s="518"/>
      <c r="Z605" s="519"/>
      <c r="AA605" s="520"/>
      <c r="AB605" s="513"/>
      <c r="AC605" s="518"/>
      <c r="AD605" s="519"/>
      <c r="AE605" s="520"/>
      <c r="AF605" s="513"/>
      <c r="AG605" s="356"/>
      <c r="AH605" s="356"/>
      <c r="AI605" s="356"/>
      <c r="AJ605" s="356"/>
      <c r="AK605" s="382"/>
      <c r="AL605" s="417"/>
      <c r="AM605" s="383"/>
      <c r="AN605" s="507"/>
      <c r="AO605" s="382"/>
      <c r="AP605" s="417"/>
      <c r="AQ605" s="383"/>
      <c r="AR605" s="507"/>
      <c r="AS605" s="514"/>
      <c r="AT605" s="514"/>
    </row>
    <row r="606">
      <c r="A606" s="382"/>
      <c r="B606" s="417"/>
      <c r="C606" s="383"/>
      <c r="D606" s="507"/>
      <c r="E606" s="382"/>
      <c r="F606" s="417"/>
      <c r="G606" s="383"/>
      <c r="H606" s="507"/>
      <c r="I606" s="382"/>
      <c r="J606" s="417"/>
      <c r="K606" s="383"/>
      <c r="L606" s="507"/>
      <c r="M606" s="382"/>
      <c r="N606" s="417"/>
      <c r="O606" s="383"/>
      <c r="P606" s="507"/>
      <c r="Q606" s="518"/>
      <c r="R606" s="519"/>
      <c r="S606" s="520"/>
      <c r="T606" s="513"/>
      <c r="U606" s="518"/>
      <c r="V606" s="519"/>
      <c r="W606" s="520"/>
      <c r="X606" s="513"/>
      <c r="Y606" s="518"/>
      <c r="Z606" s="519"/>
      <c r="AA606" s="520"/>
      <c r="AB606" s="513"/>
      <c r="AC606" s="518"/>
      <c r="AD606" s="519"/>
      <c r="AE606" s="520"/>
      <c r="AF606" s="513"/>
      <c r="AG606" s="356"/>
      <c r="AH606" s="356"/>
      <c r="AI606" s="356"/>
      <c r="AJ606" s="356"/>
      <c r="AK606" s="382"/>
      <c r="AL606" s="417"/>
      <c r="AM606" s="383"/>
      <c r="AN606" s="507"/>
      <c r="AO606" s="382"/>
      <c r="AP606" s="417"/>
      <c r="AQ606" s="383"/>
      <c r="AR606" s="507"/>
      <c r="AS606" s="514"/>
      <c r="AT606" s="514"/>
    </row>
    <row r="607">
      <c r="A607" s="382"/>
      <c r="B607" s="417"/>
      <c r="C607" s="383"/>
      <c r="D607" s="507"/>
      <c r="E607" s="382"/>
      <c r="F607" s="417"/>
      <c r="G607" s="383"/>
      <c r="H607" s="507"/>
      <c r="I607" s="382"/>
      <c r="J607" s="417"/>
      <c r="K607" s="383"/>
      <c r="L607" s="507"/>
      <c r="M607" s="382"/>
      <c r="N607" s="417"/>
      <c r="O607" s="383"/>
      <c r="P607" s="507"/>
      <c r="Q607" s="518"/>
      <c r="R607" s="519"/>
      <c r="S607" s="520"/>
      <c r="T607" s="513"/>
      <c r="U607" s="518"/>
      <c r="V607" s="519"/>
      <c r="W607" s="520"/>
      <c r="X607" s="513"/>
      <c r="Y607" s="518"/>
      <c r="Z607" s="519"/>
      <c r="AA607" s="520"/>
      <c r="AB607" s="513"/>
      <c r="AC607" s="518"/>
      <c r="AD607" s="519"/>
      <c r="AE607" s="520"/>
      <c r="AF607" s="513"/>
      <c r="AG607" s="356"/>
      <c r="AH607" s="356"/>
      <c r="AI607" s="356"/>
      <c r="AJ607" s="356"/>
      <c r="AK607" s="382"/>
      <c r="AL607" s="417"/>
      <c r="AM607" s="383"/>
      <c r="AN607" s="507"/>
      <c r="AO607" s="382"/>
      <c r="AP607" s="417"/>
      <c r="AQ607" s="383"/>
      <c r="AR607" s="507"/>
      <c r="AS607" s="514"/>
      <c r="AT607" s="514"/>
    </row>
    <row r="608">
      <c r="A608" s="382"/>
      <c r="B608" s="417"/>
      <c r="C608" s="383"/>
      <c r="D608" s="507"/>
      <c r="E608" s="382"/>
      <c r="F608" s="417"/>
      <c r="G608" s="383"/>
      <c r="H608" s="507"/>
      <c r="I608" s="382"/>
      <c r="J608" s="417"/>
      <c r="K608" s="383"/>
      <c r="L608" s="507"/>
      <c r="M608" s="382"/>
      <c r="N608" s="417"/>
      <c r="O608" s="383"/>
      <c r="P608" s="507"/>
      <c r="Q608" s="518"/>
      <c r="R608" s="519"/>
      <c r="S608" s="520"/>
      <c r="T608" s="513"/>
      <c r="U608" s="518"/>
      <c r="V608" s="519"/>
      <c r="W608" s="520"/>
      <c r="X608" s="513"/>
      <c r="Y608" s="518"/>
      <c r="Z608" s="519"/>
      <c r="AA608" s="520"/>
      <c r="AB608" s="513"/>
      <c r="AC608" s="518"/>
      <c r="AD608" s="519"/>
      <c r="AE608" s="520"/>
      <c r="AF608" s="513"/>
      <c r="AG608" s="356"/>
      <c r="AH608" s="356"/>
      <c r="AI608" s="356"/>
      <c r="AJ608" s="356"/>
      <c r="AK608" s="382"/>
      <c r="AL608" s="417"/>
      <c r="AM608" s="383"/>
      <c r="AN608" s="507"/>
      <c r="AO608" s="382"/>
      <c r="AP608" s="417"/>
      <c r="AQ608" s="383"/>
      <c r="AR608" s="507"/>
      <c r="AS608" s="514"/>
      <c r="AT608" s="514"/>
    </row>
    <row r="609">
      <c r="A609" s="382"/>
      <c r="B609" s="417"/>
      <c r="C609" s="383"/>
      <c r="D609" s="507"/>
      <c r="E609" s="382"/>
      <c r="F609" s="417"/>
      <c r="G609" s="383"/>
      <c r="H609" s="507"/>
      <c r="I609" s="382"/>
      <c r="J609" s="417"/>
      <c r="K609" s="383"/>
      <c r="L609" s="507"/>
      <c r="M609" s="382"/>
      <c r="N609" s="417"/>
      <c r="O609" s="383"/>
      <c r="P609" s="507"/>
      <c r="Q609" s="518"/>
      <c r="R609" s="519"/>
      <c r="S609" s="520"/>
      <c r="T609" s="513"/>
      <c r="U609" s="518"/>
      <c r="V609" s="519"/>
      <c r="W609" s="520"/>
      <c r="X609" s="513"/>
      <c r="Y609" s="518"/>
      <c r="Z609" s="519"/>
      <c r="AA609" s="520"/>
      <c r="AB609" s="513"/>
      <c r="AC609" s="518"/>
      <c r="AD609" s="519"/>
      <c r="AE609" s="520"/>
      <c r="AF609" s="513"/>
      <c r="AG609" s="356"/>
      <c r="AH609" s="356"/>
      <c r="AI609" s="356"/>
      <c r="AJ609" s="356"/>
      <c r="AK609" s="382"/>
      <c r="AL609" s="417"/>
      <c r="AM609" s="383"/>
      <c r="AN609" s="507"/>
      <c r="AO609" s="382"/>
      <c r="AP609" s="417"/>
      <c r="AQ609" s="383"/>
      <c r="AR609" s="507"/>
      <c r="AS609" s="514"/>
      <c r="AT609" s="514"/>
    </row>
    <row r="610">
      <c r="A610" s="382"/>
      <c r="B610" s="417"/>
      <c r="C610" s="383"/>
      <c r="D610" s="507"/>
      <c r="E610" s="382"/>
      <c r="F610" s="417"/>
      <c r="G610" s="383"/>
      <c r="H610" s="507"/>
      <c r="I610" s="382"/>
      <c r="J610" s="417"/>
      <c r="K610" s="383"/>
      <c r="L610" s="507"/>
      <c r="M610" s="382"/>
      <c r="N610" s="417"/>
      <c r="O610" s="383"/>
      <c r="P610" s="507"/>
      <c r="Q610" s="518"/>
      <c r="R610" s="519"/>
      <c r="S610" s="520"/>
      <c r="T610" s="513"/>
      <c r="U610" s="518"/>
      <c r="V610" s="519"/>
      <c r="W610" s="520"/>
      <c r="X610" s="513"/>
      <c r="Y610" s="518"/>
      <c r="Z610" s="519"/>
      <c r="AA610" s="520"/>
      <c r="AB610" s="513"/>
      <c r="AC610" s="518"/>
      <c r="AD610" s="519"/>
      <c r="AE610" s="520"/>
      <c r="AF610" s="513"/>
      <c r="AG610" s="356"/>
      <c r="AH610" s="356"/>
      <c r="AI610" s="356"/>
      <c r="AJ610" s="356"/>
      <c r="AK610" s="382"/>
      <c r="AL610" s="417"/>
      <c r="AM610" s="383"/>
      <c r="AN610" s="507"/>
      <c r="AO610" s="382"/>
      <c r="AP610" s="417"/>
      <c r="AQ610" s="383"/>
      <c r="AR610" s="507"/>
      <c r="AS610" s="514"/>
      <c r="AT610" s="514"/>
    </row>
    <row r="611">
      <c r="A611" s="382"/>
      <c r="B611" s="417"/>
      <c r="C611" s="383"/>
      <c r="D611" s="507"/>
      <c r="E611" s="382"/>
      <c r="F611" s="417"/>
      <c r="G611" s="383"/>
      <c r="H611" s="507"/>
      <c r="I611" s="382"/>
      <c r="J611" s="417"/>
      <c r="K611" s="383"/>
      <c r="L611" s="507"/>
      <c r="M611" s="382"/>
      <c r="N611" s="417"/>
      <c r="O611" s="383"/>
      <c r="P611" s="507"/>
      <c r="Q611" s="518"/>
      <c r="R611" s="519"/>
      <c r="S611" s="520"/>
      <c r="T611" s="513"/>
      <c r="U611" s="518"/>
      <c r="V611" s="519"/>
      <c r="W611" s="520"/>
      <c r="X611" s="513"/>
      <c r="Y611" s="518"/>
      <c r="Z611" s="519"/>
      <c r="AA611" s="520"/>
      <c r="AB611" s="513"/>
      <c r="AC611" s="518"/>
      <c r="AD611" s="519"/>
      <c r="AE611" s="520"/>
      <c r="AF611" s="513"/>
      <c r="AG611" s="356"/>
      <c r="AH611" s="356"/>
      <c r="AI611" s="356"/>
      <c r="AJ611" s="356"/>
      <c r="AK611" s="382"/>
      <c r="AL611" s="417"/>
      <c r="AM611" s="383"/>
      <c r="AN611" s="507"/>
      <c r="AO611" s="382"/>
      <c r="AP611" s="417"/>
      <c r="AQ611" s="383"/>
      <c r="AR611" s="507"/>
      <c r="AS611" s="514"/>
      <c r="AT611" s="514"/>
    </row>
    <row r="612">
      <c r="A612" s="382"/>
      <c r="B612" s="417"/>
      <c r="C612" s="383"/>
      <c r="D612" s="507"/>
      <c r="E612" s="382"/>
      <c r="F612" s="417"/>
      <c r="G612" s="383"/>
      <c r="H612" s="507"/>
      <c r="I612" s="382"/>
      <c r="J612" s="417"/>
      <c r="K612" s="383"/>
      <c r="L612" s="507"/>
      <c r="M612" s="382"/>
      <c r="N612" s="417"/>
      <c r="O612" s="383"/>
      <c r="P612" s="507"/>
      <c r="Q612" s="518"/>
      <c r="R612" s="519"/>
      <c r="S612" s="520"/>
      <c r="T612" s="513"/>
      <c r="U612" s="518"/>
      <c r="V612" s="519"/>
      <c r="W612" s="520"/>
      <c r="X612" s="513"/>
      <c r="Y612" s="518"/>
      <c r="Z612" s="519"/>
      <c r="AA612" s="520"/>
      <c r="AB612" s="513"/>
      <c r="AC612" s="518"/>
      <c r="AD612" s="519"/>
      <c r="AE612" s="520"/>
      <c r="AF612" s="513"/>
      <c r="AG612" s="356"/>
      <c r="AH612" s="356"/>
      <c r="AI612" s="356"/>
      <c r="AJ612" s="356"/>
      <c r="AK612" s="382"/>
      <c r="AL612" s="417"/>
      <c r="AM612" s="383"/>
      <c r="AN612" s="507"/>
      <c r="AO612" s="382"/>
      <c r="AP612" s="417"/>
      <c r="AQ612" s="383"/>
      <c r="AR612" s="507"/>
      <c r="AS612" s="514"/>
      <c r="AT612" s="514"/>
    </row>
    <row r="613">
      <c r="A613" s="382"/>
      <c r="B613" s="417"/>
      <c r="C613" s="383"/>
      <c r="D613" s="507"/>
      <c r="E613" s="382"/>
      <c r="F613" s="417"/>
      <c r="G613" s="383"/>
      <c r="H613" s="507"/>
      <c r="I613" s="382"/>
      <c r="J613" s="417"/>
      <c r="K613" s="383"/>
      <c r="L613" s="507"/>
      <c r="M613" s="382"/>
      <c r="N613" s="417"/>
      <c r="O613" s="383"/>
      <c r="P613" s="507"/>
      <c r="Q613" s="518"/>
      <c r="R613" s="519"/>
      <c r="S613" s="520"/>
      <c r="T613" s="513"/>
      <c r="U613" s="518"/>
      <c r="V613" s="519"/>
      <c r="W613" s="520"/>
      <c r="X613" s="513"/>
      <c r="Y613" s="518"/>
      <c r="Z613" s="519"/>
      <c r="AA613" s="520"/>
      <c r="AB613" s="513"/>
      <c r="AC613" s="518"/>
      <c r="AD613" s="519"/>
      <c r="AE613" s="520"/>
      <c r="AF613" s="513"/>
      <c r="AG613" s="356"/>
      <c r="AH613" s="356"/>
      <c r="AI613" s="356"/>
      <c r="AJ613" s="356"/>
      <c r="AK613" s="382"/>
      <c r="AL613" s="417"/>
      <c r="AM613" s="383"/>
      <c r="AN613" s="507"/>
      <c r="AO613" s="382"/>
      <c r="AP613" s="417"/>
      <c r="AQ613" s="383"/>
      <c r="AR613" s="507"/>
      <c r="AS613" s="514"/>
      <c r="AT613" s="514"/>
    </row>
    <row r="614">
      <c r="A614" s="382"/>
      <c r="B614" s="417"/>
      <c r="C614" s="383"/>
      <c r="D614" s="507"/>
      <c r="E614" s="382"/>
      <c r="F614" s="417"/>
      <c r="G614" s="383"/>
      <c r="H614" s="507"/>
      <c r="I614" s="382"/>
      <c r="J614" s="417"/>
      <c r="K614" s="383"/>
      <c r="L614" s="507"/>
      <c r="M614" s="382"/>
      <c r="N614" s="417"/>
      <c r="O614" s="383"/>
      <c r="P614" s="507"/>
      <c r="Q614" s="518"/>
      <c r="R614" s="519"/>
      <c r="S614" s="520"/>
      <c r="T614" s="513"/>
      <c r="U614" s="518"/>
      <c r="V614" s="519"/>
      <c r="W614" s="520"/>
      <c r="X614" s="513"/>
      <c r="Y614" s="518"/>
      <c r="Z614" s="519"/>
      <c r="AA614" s="520"/>
      <c r="AB614" s="513"/>
      <c r="AC614" s="518"/>
      <c r="AD614" s="519"/>
      <c r="AE614" s="520"/>
      <c r="AF614" s="513"/>
      <c r="AG614" s="356"/>
      <c r="AH614" s="356"/>
      <c r="AI614" s="356"/>
      <c r="AJ614" s="356"/>
      <c r="AK614" s="382"/>
      <c r="AL614" s="417"/>
      <c r="AM614" s="383"/>
      <c r="AN614" s="507"/>
      <c r="AO614" s="382"/>
      <c r="AP614" s="417"/>
      <c r="AQ614" s="383"/>
      <c r="AR614" s="507"/>
      <c r="AS614" s="514"/>
      <c r="AT614" s="514"/>
    </row>
    <row r="615">
      <c r="A615" s="382"/>
      <c r="B615" s="417"/>
      <c r="C615" s="383"/>
      <c r="D615" s="507"/>
      <c r="E615" s="382"/>
      <c r="F615" s="417"/>
      <c r="G615" s="383"/>
      <c r="H615" s="507"/>
      <c r="I615" s="382"/>
      <c r="J615" s="417"/>
      <c r="K615" s="383"/>
      <c r="L615" s="507"/>
      <c r="M615" s="382"/>
      <c r="N615" s="417"/>
      <c r="O615" s="383"/>
      <c r="P615" s="507"/>
      <c r="Q615" s="518"/>
      <c r="R615" s="519"/>
      <c r="S615" s="520"/>
      <c r="T615" s="513"/>
      <c r="U615" s="518"/>
      <c r="V615" s="519"/>
      <c r="W615" s="520"/>
      <c r="X615" s="513"/>
      <c r="Y615" s="518"/>
      <c r="Z615" s="519"/>
      <c r="AA615" s="520"/>
      <c r="AB615" s="513"/>
      <c r="AC615" s="518"/>
      <c r="AD615" s="519"/>
      <c r="AE615" s="520"/>
      <c r="AF615" s="513"/>
      <c r="AG615" s="356"/>
      <c r="AH615" s="356"/>
      <c r="AI615" s="356"/>
      <c r="AJ615" s="356"/>
      <c r="AK615" s="382"/>
      <c r="AL615" s="417"/>
      <c r="AM615" s="383"/>
      <c r="AN615" s="507"/>
      <c r="AO615" s="382"/>
      <c r="AP615" s="417"/>
      <c r="AQ615" s="383"/>
      <c r="AR615" s="507"/>
      <c r="AS615" s="514"/>
      <c r="AT615" s="514"/>
    </row>
    <row r="616">
      <c r="A616" s="382"/>
      <c r="B616" s="417"/>
      <c r="C616" s="383"/>
      <c r="D616" s="507"/>
      <c r="E616" s="382"/>
      <c r="F616" s="417"/>
      <c r="G616" s="383"/>
      <c r="H616" s="507"/>
      <c r="I616" s="382"/>
      <c r="J616" s="417"/>
      <c r="K616" s="383"/>
      <c r="L616" s="507"/>
      <c r="M616" s="382"/>
      <c r="N616" s="417"/>
      <c r="O616" s="383"/>
      <c r="P616" s="507"/>
      <c r="Q616" s="518"/>
      <c r="R616" s="519"/>
      <c r="S616" s="520"/>
      <c r="T616" s="513"/>
      <c r="U616" s="518"/>
      <c r="V616" s="519"/>
      <c r="W616" s="520"/>
      <c r="X616" s="513"/>
      <c r="Y616" s="518"/>
      <c r="Z616" s="519"/>
      <c r="AA616" s="520"/>
      <c r="AB616" s="513"/>
      <c r="AC616" s="518"/>
      <c r="AD616" s="519"/>
      <c r="AE616" s="520"/>
      <c r="AF616" s="513"/>
      <c r="AG616" s="356"/>
      <c r="AH616" s="356"/>
      <c r="AI616" s="356"/>
      <c r="AJ616" s="356"/>
      <c r="AK616" s="382"/>
      <c r="AL616" s="417"/>
      <c r="AM616" s="383"/>
      <c r="AN616" s="507"/>
      <c r="AO616" s="382"/>
      <c r="AP616" s="417"/>
      <c r="AQ616" s="383"/>
      <c r="AR616" s="507"/>
      <c r="AS616" s="514"/>
      <c r="AT616" s="514"/>
    </row>
    <row r="617">
      <c r="A617" s="382"/>
      <c r="B617" s="417"/>
      <c r="C617" s="383"/>
      <c r="D617" s="507"/>
      <c r="E617" s="382"/>
      <c r="F617" s="417"/>
      <c r="G617" s="383"/>
      <c r="H617" s="507"/>
      <c r="I617" s="382"/>
      <c r="J617" s="417"/>
      <c r="K617" s="383"/>
      <c r="L617" s="507"/>
      <c r="M617" s="382"/>
      <c r="N617" s="417"/>
      <c r="O617" s="383"/>
      <c r="P617" s="507"/>
      <c r="Q617" s="518"/>
      <c r="R617" s="519"/>
      <c r="S617" s="520"/>
      <c r="T617" s="513"/>
      <c r="U617" s="518"/>
      <c r="V617" s="519"/>
      <c r="W617" s="520"/>
      <c r="X617" s="513"/>
      <c r="Y617" s="518"/>
      <c r="Z617" s="519"/>
      <c r="AA617" s="520"/>
      <c r="AB617" s="513"/>
      <c r="AC617" s="518"/>
      <c r="AD617" s="519"/>
      <c r="AE617" s="520"/>
      <c r="AF617" s="513"/>
      <c r="AG617" s="356"/>
      <c r="AH617" s="356"/>
      <c r="AI617" s="356"/>
      <c r="AJ617" s="356"/>
      <c r="AK617" s="382"/>
      <c r="AL617" s="417"/>
      <c r="AM617" s="383"/>
      <c r="AN617" s="507"/>
      <c r="AO617" s="382"/>
      <c r="AP617" s="417"/>
      <c r="AQ617" s="383"/>
      <c r="AR617" s="507"/>
      <c r="AS617" s="514"/>
      <c r="AT617" s="514"/>
    </row>
    <row r="618">
      <c r="A618" s="382"/>
      <c r="B618" s="417"/>
      <c r="C618" s="383"/>
      <c r="D618" s="507"/>
      <c r="E618" s="382"/>
      <c r="F618" s="417"/>
      <c r="G618" s="383"/>
      <c r="H618" s="507"/>
      <c r="I618" s="382"/>
      <c r="J618" s="417"/>
      <c r="K618" s="383"/>
      <c r="L618" s="507"/>
      <c r="M618" s="382"/>
      <c r="N618" s="417"/>
      <c r="O618" s="383"/>
      <c r="P618" s="507"/>
      <c r="Q618" s="518"/>
      <c r="R618" s="519"/>
      <c r="S618" s="520"/>
      <c r="T618" s="513"/>
      <c r="U618" s="518"/>
      <c r="V618" s="519"/>
      <c r="W618" s="520"/>
      <c r="X618" s="513"/>
      <c r="Y618" s="518"/>
      <c r="Z618" s="519"/>
      <c r="AA618" s="520"/>
      <c r="AB618" s="513"/>
      <c r="AC618" s="518"/>
      <c r="AD618" s="519"/>
      <c r="AE618" s="520"/>
      <c r="AF618" s="513"/>
      <c r="AG618" s="356"/>
      <c r="AH618" s="356"/>
      <c r="AI618" s="356"/>
      <c r="AJ618" s="356"/>
      <c r="AK618" s="382"/>
      <c r="AL618" s="417"/>
      <c r="AM618" s="383"/>
      <c r="AN618" s="507"/>
      <c r="AO618" s="382"/>
      <c r="AP618" s="417"/>
      <c r="AQ618" s="383"/>
      <c r="AR618" s="507"/>
      <c r="AS618" s="514"/>
      <c r="AT618" s="514"/>
    </row>
    <row r="619">
      <c r="A619" s="382"/>
      <c r="B619" s="417"/>
      <c r="C619" s="383"/>
      <c r="D619" s="507"/>
      <c r="E619" s="382"/>
      <c r="F619" s="417"/>
      <c r="G619" s="383"/>
      <c r="H619" s="507"/>
      <c r="I619" s="382"/>
      <c r="J619" s="417"/>
      <c r="K619" s="383"/>
      <c r="L619" s="507"/>
      <c r="M619" s="382"/>
      <c r="N619" s="417"/>
      <c r="O619" s="383"/>
      <c r="P619" s="507"/>
      <c r="Q619" s="518"/>
      <c r="R619" s="519"/>
      <c r="S619" s="520"/>
      <c r="T619" s="513"/>
      <c r="U619" s="518"/>
      <c r="V619" s="519"/>
      <c r="W619" s="520"/>
      <c r="X619" s="513"/>
      <c r="Y619" s="518"/>
      <c r="Z619" s="519"/>
      <c r="AA619" s="520"/>
      <c r="AB619" s="513"/>
      <c r="AC619" s="518"/>
      <c r="AD619" s="519"/>
      <c r="AE619" s="520"/>
      <c r="AF619" s="513"/>
      <c r="AG619" s="356"/>
      <c r="AH619" s="356"/>
      <c r="AI619" s="356"/>
      <c r="AJ619" s="356"/>
      <c r="AK619" s="382"/>
      <c r="AL619" s="417"/>
      <c r="AM619" s="383"/>
      <c r="AN619" s="507"/>
      <c r="AO619" s="382"/>
      <c r="AP619" s="417"/>
      <c r="AQ619" s="383"/>
      <c r="AR619" s="507"/>
      <c r="AS619" s="514"/>
      <c r="AT619" s="514"/>
    </row>
    <row r="620">
      <c r="A620" s="382"/>
      <c r="B620" s="417"/>
      <c r="C620" s="383"/>
      <c r="D620" s="507"/>
      <c r="E620" s="382"/>
      <c r="F620" s="417"/>
      <c r="G620" s="383"/>
      <c r="H620" s="507"/>
      <c r="I620" s="382"/>
      <c r="J620" s="417"/>
      <c r="K620" s="383"/>
      <c r="L620" s="507"/>
      <c r="M620" s="382"/>
      <c r="N620" s="417"/>
      <c r="O620" s="383"/>
      <c r="P620" s="507"/>
      <c r="Q620" s="518"/>
      <c r="R620" s="519"/>
      <c r="S620" s="520"/>
      <c r="T620" s="513"/>
      <c r="U620" s="518"/>
      <c r="V620" s="519"/>
      <c r="W620" s="520"/>
      <c r="X620" s="513"/>
      <c r="Y620" s="518"/>
      <c r="Z620" s="519"/>
      <c r="AA620" s="520"/>
      <c r="AB620" s="513"/>
      <c r="AC620" s="518"/>
      <c r="AD620" s="519"/>
      <c r="AE620" s="520"/>
      <c r="AF620" s="513"/>
      <c r="AG620" s="356"/>
      <c r="AH620" s="356"/>
      <c r="AI620" s="356"/>
      <c r="AJ620" s="356"/>
      <c r="AK620" s="382"/>
      <c r="AL620" s="417"/>
      <c r="AM620" s="383"/>
      <c r="AN620" s="507"/>
      <c r="AO620" s="382"/>
      <c r="AP620" s="417"/>
      <c r="AQ620" s="383"/>
      <c r="AR620" s="507"/>
      <c r="AS620" s="514"/>
      <c r="AT620" s="514"/>
    </row>
    <row r="621">
      <c r="A621" s="382"/>
      <c r="B621" s="417"/>
      <c r="C621" s="383"/>
      <c r="D621" s="507"/>
      <c r="E621" s="382"/>
      <c r="F621" s="417"/>
      <c r="G621" s="383"/>
      <c r="H621" s="507"/>
      <c r="I621" s="382"/>
      <c r="J621" s="417"/>
      <c r="K621" s="383"/>
      <c r="L621" s="507"/>
      <c r="M621" s="382"/>
      <c r="N621" s="417"/>
      <c r="O621" s="383"/>
      <c r="P621" s="507"/>
      <c r="Q621" s="518"/>
      <c r="R621" s="519"/>
      <c r="S621" s="520"/>
      <c r="T621" s="513"/>
      <c r="U621" s="518"/>
      <c r="V621" s="519"/>
      <c r="W621" s="520"/>
      <c r="X621" s="513"/>
      <c r="Y621" s="518"/>
      <c r="Z621" s="519"/>
      <c r="AA621" s="520"/>
      <c r="AB621" s="513"/>
      <c r="AC621" s="518"/>
      <c r="AD621" s="519"/>
      <c r="AE621" s="520"/>
      <c r="AF621" s="513"/>
      <c r="AG621" s="356"/>
      <c r="AH621" s="356"/>
      <c r="AI621" s="356"/>
      <c r="AJ621" s="356"/>
      <c r="AK621" s="382"/>
      <c r="AL621" s="417"/>
      <c r="AM621" s="383"/>
      <c r="AN621" s="507"/>
      <c r="AO621" s="382"/>
      <c r="AP621" s="417"/>
      <c r="AQ621" s="383"/>
      <c r="AR621" s="507"/>
      <c r="AS621" s="514"/>
      <c r="AT621" s="514"/>
    </row>
    <row r="622">
      <c r="A622" s="382"/>
      <c r="B622" s="417"/>
      <c r="C622" s="383"/>
      <c r="D622" s="507"/>
      <c r="E622" s="382"/>
      <c r="F622" s="417"/>
      <c r="G622" s="383"/>
      <c r="H622" s="507"/>
      <c r="I622" s="382"/>
      <c r="J622" s="417"/>
      <c r="K622" s="383"/>
      <c r="L622" s="507"/>
      <c r="M622" s="382"/>
      <c r="N622" s="417"/>
      <c r="O622" s="383"/>
      <c r="P622" s="507"/>
      <c r="Q622" s="518"/>
      <c r="R622" s="519"/>
      <c r="S622" s="520"/>
      <c r="T622" s="513"/>
      <c r="U622" s="518"/>
      <c r="V622" s="519"/>
      <c r="W622" s="520"/>
      <c r="X622" s="513"/>
      <c r="Y622" s="518"/>
      <c r="Z622" s="519"/>
      <c r="AA622" s="520"/>
      <c r="AB622" s="513"/>
      <c r="AC622" s="518"/>
      <c r="AD622" s="519"/>
      <c r="AE622" s="520"/>
      <c r="AF622" s="513"/>
      <c r="AG622" s="356"/>
      <c r="AH622" s="356"/>
      <c r="AI622" s="356"/>
      <c r="AJ622" s="356"/>
      <c r="AK622" s="382"/>
      <c r="AL622" s="417"/>
      <c r="AM622" s="383"/>
      <c r="AN622" s="507"/>
      <c r="AO622" s="382"/>
      <c r="AP622" s="417"/>
      <c r="AQ622" s="383"/>
      <c r="AR622" s="507"/>
      <c r="AS622" s="514"/>
      <c r="AT622" s="514"/>
    </row>
    <row r="623">
      <c r="A623" s="382"/>
      <c r="B623" s="417"/>
      <c r="C623" s="383"/>
      <c r="D623" s="507"/>
      <c r="E623" s="382"/>
      <c r="F623" s="417"/>
      <c r="G623" s="383"/>
      <c r="H623" s="507"/>
      <c r="I623" s="382"/>
      <c r="J623" s="417"/>
      <c r="K623" s="383"/>
      <c r="L623" s="507"/>
      <c r="M623" s="382"/>
      <c r="N623" s="417"/>
      <c r="O623" s="383"/>
      <c r="P623" s="507"/>
      <c r="Q623" s="518"/>
      <c r="R623" s="519"/>
      <c r="S623" s="520"/>
      <c r="T623" s="513"/>
      <c r="U623" s="518"/>
      <c r="V623" s="519"/>
      <c r="W623" s="520"/>
      <c r="X623" s="513"/>
      <c r="Y623" s="518"/>
      <c r="Z623" s="519"/>
      <c r="AA623" s="520"/>
      <c r="AB623" s="513"/>
      <c r="AC623" s="518"/>
      <c r="AD623" s="519"/>
      <c r="AE623" s="520"/>
      <c r="AF623" s="513"/>
      <c r="AG623" s="356"/>
      <c r="AH623" s="356"/>
      <c r="AI623" s="356"/>
      <c r="AJ623" s="356"/>
      <c r="AK623" s="382"/>
      <c r="AL623" s="417"/>
      <c r="AM623" s="383"/>
      <c r="AN623" s="507"/>
      <c r="AO623" s="382"/>
      <c r="AP623" s="417"/>
      <c r="AQ623" s="383"/>
      <c r="AR623" s="507"/>
      <c r="AS623" s="514"/>
      <c r="AT623" s="514"/>
    </row>
    <row r="624">
      <c r="A624" s="382"/>
      <c r="B624" s="417"/>
      <c r="C624" s="383"/>
      <c r="D624" s="507"/>
      <c r="E624" s="382"/>
      <c r="F624" s="417"/>
      <c r="G624" s="383"/>
      <c r="H624" s="507"/>
      <c r="I624" s="382"/>
      <c r="J624" s="417"/>
      <c r="K624" s="383"/>
      <c r="L624" s="507"/>
      <c r="M624" s="382"/>
      <c r="N624" s="417"/>
      <c r="O624" s="383"/>
      <c r="P624" s="507"/>
      <c r="Q624" s="518"/>
      <c r="R624" s="519"/>
      <c r="S624" s="520"/>
      <c r="T624" s="513"/>
      <c r="U624" s="518"/>
      <c r="V624" s="519"/>
      <c r="W624" s="520"/>
      <c r="X624" s="513"/>
      <c r="Y624" s="518"/>
      <c r="Z624" s="519"/>
      <c r="AA624" s="520"/>
      <c r="AB624" s="513"/>
      <c r="AC624" s="518"/>
      <c r="AD624" s="519"/>
      <c r="AE624" s="520"/>
      <c r="AF624" s="513"/>
      <c r="AG624" s="356"/>
      <c r="AH624" s="356"/>
      <c r="AI624" s="356"/>
      <c r="AJ624" s="356"/>
      <c r="AK624" s="382"/>
      <c r="AL624" s="417"/>
      <c r="AM624" s="383"/>
      <c r="AN624" s="507"/>
      <c r="AO624" s="382"/>
      <c r="AP624" s="417"/>
      <c r="AQ624" s="383"/>
      <c r="AR624" s="507"/>
      <c r="AS624" s="514"/>
      <c r="AT624" s="514"/>
    </row>
    <row r="625">
      <c r="A625" s="382"/>
      <c r="B625" s="417"/>
      <c r="C625" s="383"/>
      <c r="D625" s="507"/>
      <c r="E625" s="382"/>
      <c r="F625" s="417"/>
      <c r="G625" s="383"/>
      <c r="H625" s="507"/>
      <c r="I625" s="382"/>
      <c r="J625" s="417"/>
      <c r="K625" s="383"/>
      <c r="L625" s="507"/>
      <c r="M625" s="382"/>
      <c r="N625" s="417"/>
      <c r="O625" s="383"/>
      <c r="P625" s="507"/>
      <c r="Q625" s="518"/>
      <c r="R625" s="519"/>
      <c r="S625" s="520"/>
      <c r="T625" s="513"/>
      <c r="U625" s="518"/>
      <c r="V625" s="519"/>
      <c r="W625" s="520"/>
      <c r="X625" s="513"/>
      <c r="Y625" s="518"/>
      <c r="Z625" s="519"/>
      <c r="AA625" s="520"/>
      <c r="AB625" s="513"/>
      <c r="AC625" s="518"/>
      <c r="AD625" s="519"/>
      <c r="AE625" s="520"/>
      <c r="AF625" s="513"/>
      <c r="AG625" s="356"/>
      <c r="AH625" s="356"/>
      <c r="AI625" s="356"/>
      <c r="AJ625" s="356"/>
      <c r="AK625" s="382"/>
      <c r="AL625" s="417"/>
      <c r="AM625" s="383"/>
      <c r="AN625" s="507"/>
      <c r="AO625" s="382"/>
      <c r="AP625" s="417"/>
      <c r="AQ625" s="383"/>
      <c r="AR625" s="507"/>
      <c r="AS625" s="514"/>
      <c r="AT625" s="514"/>
    </row>
    <row r="626">
      <c r="A626" s="382"/>
      <c r="B626" s="417"/>
      <c r="C626" s="383"/>
      <c r="D626" s="507"/>
      <c r="E626" s="382"/>
      <c r="F626" s="417"/>
      <c r="G626" s="383"/>
      <c r="H626" s="507"/>
      <c r="I626" s="382"/>
      <c r="J626" s="417"/>
      <c r="K626" s="383"/>
      <c r="L626" s="507"/>
      <c r="M626" s="382"/>
      <c r="N626" s="417"/>
      <c r="O626" s="383"/>
      <c r="P626" s="507"/>
      <c r="Q626" s="518"/>
      <c r="R626" s="519"/>
      <c r="S626" s="520"/>
      <c r="T626" s="513"/>
      <c r="U626" s="518"/>
      <c r="V626" s="519"/>
      <c r="W626" s="520"/>
      <c r="X626" s="513"/>
      <c r="Y626" s="518"/>
      <c r="Z626" s="519"/>
      <c r="AA626" s="520"/>
      <c r="AB626" s="513"/>
      <c r="AC626" s="518"/>
      <c r="AD626" s="519"/>
      <c r="AE626" s="520"/>
      <c r="AF626" s="513"/>
      <c r="AG626" s="356"/>
      <c r="AH626" s="356"/>
      <c r="AI626" s="356"/>
      <c r="AJ626" s="356"/>
      <c r="AK626" s="382"/>
      <c r="AL626" s="417"/>
      <c r="AM626" s="383"/>
      <c r="AN626" s="507"/>
      <c r="AO626" s="382"/>
      <c r="AP626" s="417"/>
      <c r="AQ626" s="383"/>
      <c r="AR626" s="507"/>
      <c r="AS626" s="514"/>
      <c r="AT626" s="514"/>
    </row>
    <row r="627">
      <c r="A627" s="382"/>
      <c r="B627" s="417"/>
      <c r="C627" s="383"/>
      <c r="D627" s="507"/>
      <c r="E627" s="382"/>
      <c r="F627" s="417"/>
      <c r="G627" s="383"/>
      <c r="H627" s="507"/>
      <c r="I627" s="382"/>
      <c r="J627" s="417"/>
      <c r="K627" s="383"/>
      <c r="L627" s="507"/>
      <c r="M627" s="382"/>
      <c r="N627" s="417"/>
      <c r="O627" s="383"/>
      <c r="P627" s="507"/>
      <c r="Q627" s="518"/>
      <c r="R627" s="519"/>
      <c r="S627" s="520"/>
      <c r="T627" s="513"/>
      <c r="U627" s="518"/>
      <c r="V627" s="519"/>
      <c r="W627" s="520"/>
      <c r="X627" s="513"/>
      <c r="Y627" s="518"/>
      <c r="Z627" s="519"/>
      <c r="AA627" s="520"/>
      <c r="AB627" s="513"/>
      <c r="AC627" s="518"/>
      <c r="AD627" s="519"/>
      <c r="AE627" s="520"/>
      <c r="AF627" s="513"/>
      <c r="AG627" s="356"/>
      <c r="AH627" s="356"/>
      <c r="AI627" s="356"/>
      <c r="AJ627" s="356"/>
      <c r="AK627" s="382"/>
      <c r="AL627" s="417"/>
      <c r="AM627" s="383"/>
      <c r="AN627" s="507"/>
      <c r="AO627" s="382"/>
      <c r="AP627" s="417"/>
      <c r="AQ627" s="383"/>
      <c r="AR627" s="507"/>
      <c r="AS627" s="514"/>
      <c r="AT627" s="514"/>
    </row>
    <row r="628">
      <c r="A628" s="382"/>
      <c r="B628" s="417"/>
      <c r="C628" s="383"/>
      <c r="D628" s="507"/>
      <c r="E628" s="382"/>
      <c r="F628" s="417"/>
      <c r="G628" s="383"/>
      <c r="H628" s="507"/>
      <c r="I628" s="382"/>
      <c r="J628" s="417"/>
      <c r="K628" s="383"/>
      <c r="L628" s="507"/>
      <c r="M628" s="382"/>
      <c r="N628" s="417"/>
      <c r="O628" s="383"/>
      <c r="P628" s="507"/>
      <c r="Q628" s="518"/>
      <c r="R628" s="519"/>
      <c r="S628" s="520"/>
      <c r="T628" s="513"/>
      <c r="U628" s="518"/>
      <c r="V628" s="519"/>
      <c r="W628" s="520"/>
      <c r="X628" s="513"/>
      <c r="Y628" s="518"/>
      <c r="Z628" s="519"/>
      <c r="AA628" s="520"/>
      <c r="AB628" s="513"/>
      <c r="AC628" s="518"/>
      <c r="AD628" s="519"/>
      <c r="AE628" s="520"/>
      <c r="AF628" s="513"/>
      <c r="AG628" s="356"/>
      <c r="AH628" s="356"/>
      <c r="AI628" s="356"/>
      <c r="AJ628" s="356"/>
      <c r="AK628" s="382"/>
      <c r="AL628" s="417"/>
      <c r="AM628" s="383"/>
      <c r="AN628" s="507"/>
      <c r="AO628" s="382"/>
      <c r="AP628" s="417"/>
      <c r="AQ628" s="383"/>
      <c r="AR628" s="507"/>
      <c r="AS628" s="514"/>
      <c r="AT628" s="514"/>
    </row>
    <row r="629">
      <c r="A629" s="382"/>
      <c r="B629" s="417"/>
      <c r="C629" s="383"/>
      <c r="D629" s="507"/>
      <c r="E629" s="382"/>
      <c r="F629" s="417"/>
      <c r="G629" s="383"/>
      <c r="H629" s="507"/>
      <c r="I629" s="382"/>
      <c r="J629" s="417"/>
      <c r="K629" s="383"/>
      <c r="L629" s="507"/>
      <c r="M629" s="382"/>
      <c r="N629" s="417"/>
      <c r="O629" s="383"/>
      <c r="P629" s="507"/>
      <c r="Q629" s="518"/>
      <c r="R629" s="519"/>
      <c r="S629" s="520"/>
      <c r="T629" s="513"/>
      <c r="U629" s="518"/>
      <c r="V629" s="519"/>
      <c r="W629" s="520"/>
      <c r="X629" s="513"/>
      <c r="Y629" s="518"/>
      <c r="Z629" s="519"/>
      <c r="AA629" s="520"/>
      <c r="AB629" s="513"/>
      <c r="AC629" s="518"/>
      <c r="AD629" s="519"/>
      <c r="AE629" s="520"/>
      <c r="AF629" s="513"/>
      <c r="AG629" s="356"/>
      <c r="AH629" s="356"/>
      <c r="AI629" s="356"/>
      <c r="AJ629" s="356"/>
      <c r="AK629" s="382"/>
      <c r="AL629" s="417"/>
      <c r="AM629" s="383"/>
      <c r="AN629" s="507"/>
      <c r="AO629" s="382"/>
      <c r="AP629" s="417"/>
      <c r="AQ629" s="383"/>
      <c r="AR629" s="507"/>
      <c r="AS629" s="514"/>
      <c r="AT629" s="514"/>
    </row>
    <row r="630">
      <c r="A630" s="382"/>
      <c r="B630" s="417"/>
      <c r="C630" s="383"/>
      <c r="D630" s="507"/>
      <c r="E630" s="382"/>
      <c r="F630" s="417"/>
      <c r="G630" s="383"/>
      <c r="H630" s="507"/>
      <c r="I630" s="382"/>
      <c r="J630" s="417"/>
      <c r="K630" s="383"/>
      <c r="L630" s="507"/>
      <c r="M630" s="382"/>
      <c r="N630" s="417"/>
      <c r="O630" s="383"/>
      <c r="P630" s="507"/>
      <c r="Q630" s="518"/>
      <c r="R630" s="519"/>
      <c r="S630" s="520"/>
      <c r="T630" s="513"/>
      <c r="U630" s="518"/>
      <c r="V630" s="519"/>
      <c r="W630" s="520"/>
      <c r="X630" s="513"/>
      <c r="Y630" s="518"/>
      <c r="Z630" s="519"/>
      <c r="AA630" s="520"/>
      <c r="AB630" s="513"/>
      <c r="AC630" s="518"/>
      <c r="AD630" s="519"/>
      <c r="AE630" s="520"/>
      <c r="AF630" s="513"/>
      <c r="AG630" s="356"/>
      <c r="AH630" s="356"/>
      <c r="AI630" s="356"/>
      <c r="AJ630" s="356"/>
      <c r="AK630" s="382"/>
      <c r="AL630" s="417"/>
      <c r="AM630" s="383"/>
      <c r="AN630" s="507"/>
      <c r="AO630" s="382"/>
      <c r="AP630" s="417"/>
      <c r="AQ630" s="383"/>
      <c r="AR630" s="507"/>
      <c r="AS630" s="514"/>
      <c r="AT630" s="514"/>
    </row>
    <row r="631">
      <c r="A631" s="382"/>
      <c r="B631" s="417"/>
      <c r="C631" s="383"/>
      <c r="D631" s="507"/>
      <c r="E631" s="382"/>
      <c r="F631" s="417"/>
      <c r="G631" s="383"/>
      <c r="H631" s="507"/>
      <c r="I631" s="382"/>
      <c r="J631" s="417"/>
      <c r="K631" s="383"/>
      <c r="L631" s="507"/>
      <c r="M631" s="382"/>
      <c r="N631" s="417"/>
      <c r="O631" s="383"/>
      <c r="P631" s="507"/>
      <c r="Q631" s="518"/>
      <c r="R631" s="519"/>
      <c r="S631" s="520"/>
      <c r="T631" s="513"/>
      <c r="U631" s="518"/>
      <c r="V631" s="519"/>
      <c r="W631" s="520"/>
      <c r="X631" s="513"/>
      <c r="Y631" s="518"/>
      <c r="Z631" s="519"/>
      <c r="AA631" s="520"/>
      <c r="AB631" s="513"/>
      <c r="AC631" s="518"/>
      <c r="AD631" s="519"/>
      <c r="AE631" s="520"/>
      <c r="AF631" s="513"/>
      <c r="AG631" s="356"/>
      <c r="AH631" s="356"/>
      <c r="AI631" s="356"/>
      <c r="AJ631" s="356"/>
      <c r="AK631" s="382"/>
      <c r="AL631" s="417"/>
      <c r="AM631" s="383"/>
      <c r="AN631" s="507"/>
      <c r="AO631" s="382"/>
      <c r="AP631" s="417"/>
      <c r="AQ631" s="383"/>
      <c r="AR631" s="507"/>
      <c r="AS631" s="514"/>
      <c r="AT631" s="514"/>
    </row>
    <row r="632">
      <c r="A632" s="382"/>
      <c r="B632" s="417"/>
      <c r="C632" s="383"/>
      <c r="D632" s="507"/>
      <c r="E632" s="382"/>
      <c r="F632" s="417"/>
      <c r="G632" s="383"/>
      <c r="H632" s="507"/>
      <c r="I632" s="382"/>
      <c r="J632" s="417"/>
      <c r="K632" s="383"/>
      <c r="L632" s="507"/>
      <c r="M632" s="382"/>
      <c r="N632" s="417"/>
      <c r="O632" s="383"/>
      <c r="P632" s="507"/>
      <c r="Q632" s="518"/>
      <c r="R632" s="519"/>
      <c r="S632" s="520"/>
      <c r="T632" s="513"/>
      <c r="U632" s="518"/>
      <c r="V632" s="519"/>
      <c r="W632" s="520"/>
      <c r="X632" s="513"/>
      <c r="Y632" s="518"/>
      <c r="Z632" s="519"/>
      <c r="AA632" s="520"/>
      <c r="AB632" s="513"/>
      <c r="AC632" s="518"/>
      <c r="AD632" s="519"/>
      <c r="AE632" s="520"/>
      <c r="AF632" s="513"/>
      <c r="AG632" s="356"/>
      <c r="AH632" s="356"/>
      <c r="AI632" s="356"/>
      <c r="AJ632" s="356"/>
      <c r="AK632" s="382"/>
      <c r="AL632" s="417"/>
      <c r="AM632" s="383"/>
      <c r="AN632" s="507"/>
      <c r="AO632" s="382"/>
      <c r="AP632" s="417"/>
      <c r="AQ632" s="383"/>
      <c r="AR632" s="507"/>
      <c r="AS632" s="514"/>
      <c r="AT632" s="514"/>
    </row>
    <row r="633">
      <c r="A633" s="382"/>
      <c r="B633" s="417"/>
      <c r="C633" s="383"/>
      <c r="D633" s="507"/>
      <c r="E633" s="382"/>
      <c r="F633" s="417"/>
      <c r="G633" s="383"/>
      <c r="H633" s="507"/>
      <c r="I633" s="382"/>
      <c r="J633" s="417"/>
      <c r="K633" s="383"/>
      <c r="L633" s="507"/>
      <c r="M633" s="382"/>
      <c r="N633" s="417"/>
      <c r="O633" s="383"/>
      <c r="P633" s="507"/>
      <c r="Q633" s="518"/>
      <c r="R633" s="519"/>
      <c r="S633" s="520"/>
      <c r="T633" s="513"/>
      <c r="U633" s="518"/>
      <c r="V633" s="519"/>
      <c r="W633" s="520"/>
      <c r="X633" s="513"/>
      <c r="Y633" s="518"/>
      <c r="Z633" s="519"/>
      <c r="AA633" s="520"/>
      <c r="AB633" s="513"/>
      <c r="AC633" s="518"/>
      <c r="AD633" s="519"/>
      <c r="AE633" s="520"/>
      <c r="AF633" s="513"/>
      <c r="AG633" s="356"/>
      <c r="AH633" s="356"/>
      <c r="AI633" s="356"/>
      <c r="AJ633" s="356"/>
      <c r="AK633" s="382"/>
      <c r="AL633" s="417"/>
      <c r="AM633" s="383"/>
      <c r="AN633" s="507"/>
      <c r="AO633" s="382"/>
      <c r="AP633" s="417"/>
      <c r="AQ633" s="383"/>
      <c r="AR633" s="507"/>
      <c r="AS633" s="514"/>
      <c r="AT633" s="514"/>
    </row>
    <row r="634">
      <c r="A634" s="382"/>
      <c r="B634" s="417"/>
      <c r="C634" s="383"/>
      <c r="D634" s="507"/>
      <c r="E634" s="382"/>
      <c r="F634" s="417"/>
      <c r="G634" s="383"/>
      <c r="H634" s="507"/>
      <c r="I634" s="382"/>
      <c r="J634" s="417"/>
      <c r="K634" s="383"/>
      <c r="L634" s="507"/>
      <c r="M634" s="382"/>
      <c r="N634" s="417"/>
      <c r="O634" s="383"/>
      <c r="P634" s="507"/>
      <c r="Q634" s="518"/>
      <c r="R634" s="519"/>
      <c r="S634" s="520"/>
      <c r="T634" s="513"/>
      <c r="U634" s="518"/>
      <c r="V634" s="519"/>
      <c r="W634" s="520"/>
      <c r="X634" s="513"/>
      <c r="Y634" s="518"/>
      <c r="Z634" s="519"/>
      <c r="AA634" s="520"/>
      <c r="AB634" s="513"/>
      <c r="AC634" s="518"/>
      <c r="AD634" s="519"/>
      <c r="AE634" s="520"/>
      <c r="AF634" s="513"/>
      <c r="AG634" s="356"/>
      <c r="AH634" s="356"/>
      <c r="AI634" s="356"/>
      <c r="AJ634" s="356"/>
      <c r="AK634" s="382"/>
      <c r="AL634" s="417"/>
      <c r="AM634" s="383"/>
      <c r="AN634" s="507"/>
      <c r="AO634" s="382"/>
      <c r="AP634" s="417"/>
      <c r="AQ634" s="383"/>
      <c r="AR634" s="507"/>
      <c r="AS634" s="514"/>
      <c r="AT634" s="514"/>
    </row>
    <row r="635">
      <c r="A635" s="382"/>
      <c r="B635" s="417"/>
      <c r="C635" s="383"/>
      <c r="D635" s="507"/>
      <c r="E635" s="382"/>
      <c r="F635" s="417"/>
      <c r="G635" s="383"/>
      <c r="H635" s="507"/>
      <c r="I635" s="382"/>
      <c r="J635" s="417"/>
      <c r="K635" s="383"/>
      <c r="L635" s="507"/>
      <c r="M635" s="382"/>
      <c r="N635" s="417"/>
      <c r="O635" s="383"/>
      <c r="P635" s="507"/>
      <c r="Q635" s="518"/>
      <c r="R635" s="519"/>
      <c r="S635" s="520"/>
      <c r="T635" s="513"/>
      <c r="U635" s="518"/>
      <c r="V635" s="519"/>
      <c r="W635" s="520"/>
      <c r="X635" s="513"/>
      <c r="Y635" s="518"/>
      <c r="Z635" s="519"/>
      <c r="AA635" s="520"/>
      <c r="AB635" s="513"/>
      <c r="AC635" s="518"/>
      <c r="AD635" s="519"/>
      <c r="AE635" s="520"/>
      <c r="AF635" s="513"/>
      <c r="AG635" s="356"/>
      <c r="AH635" s="356"/>
      <c r="AI635" s="356"/>
      <c r="AJ635" s="356"/>
      <c r="AK635" s="382"/>
      <c r="AL635" s="417"/>
      <c r="AM635" s="383"/>
      <c r="AN635" s="507"/>
      <c r="AO635" s="382"/>
      <c r="AP635" s="417"/>
      <c r="AQ635" s="383"/>
      <c r="AR635" s="507"/>
      <c r="AS635" s="514"/>
      <c r="AT635" s="514"/>
    </row>
    <row r="636">
      <c r="A636" s="382"/>
      <c r="B636" s="417"/>
      <c r="C636" s="383"/>
      <c r="D636" s="507"/>
      <c r="E636" s="382"/>
      <c r="F636" s="417"/>
      <c r="G636" s="383"/>
      <c r="H636" s="507"/>
      <c r="I636" s="382"/>
      <c r="J636" s="417"/>
      <c r="K636" s="383"/>
      <c r="L636" s="507"/>
      <c r="M636" s="382"/>
      <c r="N636" s="417"/>
      <c r="O636" s="383"/>
      <c r="P636" s="507"/>
      <c r="Q636" s="518"/>
      <c r="R636" s="519"/>
      <c r="S636" s="520"/>
      <c r="T636" s="513"/>
      <c r="U636" s="518"/>
      <c r="V636" s="519"/>
      <c r="W636" s="520"/>
      <c r="X636" s="513"/>
      <c r="Y636" s="518"/>
      <c r="Z636" s="519"/>
      <c r="AA636" s="520"/>
      <c r="AB636" s="513"/>
      <c r="AC636" s="518"/>
      <c r="AD636" s="519"/>
      <c r="AE636" s="520"/>
      <c r="AF636" s="513"/>
      <c r="AG636" s="356"/>
      <c r="AH636" s="356"/>
      <c r="AI636" s="356"/>
      <c r="AJ636" s="356"/>
      <c r="AK636" s="382"/>
      <c r="AL636" s="417"/>
      <c r="AM636" s="383"/>
      <c r="AN636" s="507"/>
      <c r="AO636" s="382"/>
      <c r="AP636" s="417"/>
      <c r="AQ636" s="383"/>
      <c r="AR636" s="507"/>
      <c r="AS636" s="514"/>
      <c r="AT636" s="514"/>
    </row>
    <row r="637">
      <c r="A637" s="382"/>
      <c r="B637" s="417"/>
      <c r="C637" s="383"/>
      <c r="D637" s="507"/>
      <c r="E637" s="382"/>
      <c r="F637" s="417"/>
      <c r="G637" s="383"/>
      <c r="H637" s="507"/>
      <c r="I637" s="382"/>
      <c r="J637" s="417"/>
      <c r="K637" s="383"/>
      <c r="L637" s="507"/>
      <c r="M637" s="382"/>
      <c r="N637" s="417"/>
      <c r="O637" s="383"/>
      <c r="P637" s="507"/>
      <c r="Q637" s="518"/>
      <c r="R637" s="519"/>
      <c r="S637" s="520"/>
      <c r="T637" s="513"/>
      <c r="U637" s="518"/>
      <c r="V637" s="519"/>
      <c r="W637" s="520"/>
      <c r="X637" s="513"/>
      <c r="Y637" s="518"/>
      <c r="Z637" s="519"/>
      <c r="AA637" s="520"/>
      <c r="AB637" s="513"/>
      <c r="AC637" s="518"/>
      <c r="AD637" s="519"/>
      <c r="AE637" s="520"/>
      <c r="AF637" s="513"/>
      <c r="AG637" s="356"/>
      <c r="AH637" s="356"/>
      <c r="AI637" s="356"/>
      <c r="AJ637" s="356"/>
      <c r="AK637" s="382"/>
      <c r="AL637" s="417"/>
      <c r="AM637" s="383"/>
      <c r="AN637" s="507"/>
      <c r="AO637" s="382"/>
      <c r="AP637" s="417"/>
      <c r="AQ637" s="383"/>
      <c r="AR637" s="507"/>
      <c r="AS637" s="514"/>
      <c r="AT637" s="514"/>
    </row>
    <row r="638">
      <c r="A638" s="382"/>
      <c r="B638" s="417"/>
      <c r="C638" s="383"/>
      <c r="D638" s="507"/>
      <c r="E638" s="382"/>
      <c r="F638" s="417"/>
      <c r="G638" s="383"/>
      <c r="H638" s="507"/>
      <c r="I638" s="382"/>
      <c r="J638" s="417"/>
      <c r="K638" s="383"/>
      <c r="L638" s="507"/>
      <c r="M638" s="382"/>
      <c r="N638" s="417"/>
      <c r="O638" s="383"/>
      <c r="P638" s="507"/>
      <c r="Q638" s="518"/>
      <c r="R638" s="519"/>
      <c r="S638" s="520"/>
      <c r="T638" s="513"/>
      <c r="U638" s="518"/>
      <c r="V638" s="519"/>
      <c r="W638" s="520"/>
      <c r="X638" s="513"/>
      <c r="Y638" s="518"/>
      <c r="Z638" s="519"/>
      <c r="AA638" s="520"/>
      <c r="AB638" s="513"/>
      <c r="AC638" s="518"/>
      <c r="AD638" s="519"/>
      <c r="AE638" s="520"/>
      <c r="AF638" s="513"/>
      <c r="AG638" s="356"/>
      <c r="AH638" s="356"/>
      <c r="AI638" s="356"/>
      <c r="AJ638" s="356"/>
      <c r="AK638" s="382"/>
      <c r="AL638" s="417"/>
      <c r="AM638" s="383"/>
      <c r="AN638" s="507"/>
      <c r="AO638" s="382"/>
      <c r="AP638" s="417"/>
      <c r="AQ638" s="383"/>
      <c r="AR638" s="507"/>
      <c r="AS638" s="514"/>
      <c r="AT638" s="514"/>
    </row>
    <row r="639">
      <c r="A639" s="382"/>
      <c r="B639" s="417"/>
      <c r="C639" s="383"/>
      <c r="D639" s="507"/>
      <c r="E639" s="382"/>
      <c r="F639" s="417"/>
      <c r="G639" s="383"/>
      <c r="H639" s="507"/>
      <c r="I639" s="382"/>
      <c r="J639" s="417"/>
      <c r="K639" s="383"/>
      <c r="L639" s="507"/>
      <c r="M639" s="382"/>
      <c r="N639" s="417"/>
      <c r="O639" s="383"/>
      <c r="P639" s="507"/>
      <c r="Q639" s="518"/>
      <c r="R639" s="519"/>
      <c r="S639" s="520"/>
      <c r="T639" s="513"/>
      <c r="U639" s="518"/>
      <c r="V639" s="519"/>
      <c r="W639" s="520"/>
      <c r="X639" s="513"/>
      <c r="Y639" s="518"/>
      <c r="Z639" s="519"/>
      <c r="AA639" s="520"/>
      <c r="AB639" s="513"/>
      <c r="AC639" s="518"/>
      <c r="AD639" s="519"/>
      <c r="AE639" s="520"/>
      <c r="AF639" s="513"/>
      <c r="AG639" s="356"/>
      <c r="AH639" s="356"/>
      <c r="AI639" s="356"/>
      <c r="AJ639" s="356"/>
      <c r="AK639" s="382"/>
      <c r="AL639" s="417"/>
      <c r="AM639" s="383"/>
      <c r="AN639" s="507"/>
      <c r="AO639" s="382"/>
      <c r="AP639" s="417"/>
      <c r="AQ639" s="383"/>
      <c r="AR639" s="507"/>
      <c r="AS639" s="514"/>
      <c r="AT639" s="514"/>
    </row>
    <row r="640">
      <c r="A640" s="382"/>
      <c r="B640" s="417"/>
      <c r="C640" s="383"/>
      <c r="D640" s="507"/>
      <c r="E640" s="382"/>
      <c r="F640" s="417"/>
      <c r="G640" s="383"/>
      <c r="H640" s="507"/>
      <c r="I640" s="382"/>
      <c r="J640" s="417"/>
      <c r="K640" s="383"/>
      <c r="L640" s="507"/>
      <c r="M640" s="382"/>
      <c r="N640" s="417"/>
      <c r="O640" s="383"/>
      <c r="P640" s="507"/>
      <c r="Q640" s="518"/>
      <c r="R640" s="519"/>
      <c r="S640" s="520"/>
      <c r="T640" s="513"/>
      <c r="U640" s="518"/>
      <c r="V640" s="519"/>
      <c r="W640" s="520"/>
      <c r="X640" s="513"/>
      <c r="Y640" s="518"/>
      <c r="Z640" s="519"/>
      <c r="AA640" s="520"/>
      <c r="AB640" s="513"/>
      <c r="AC640" s="518"/>
      <c r="AD640" s="519"/>
      <c r="AE640" s="520"/>
      <c r="AF640" s="513"/>
      <c r="AG640" s="356"/>
      <c r="AH640" s="356"/>
      <c r="AI640" s="356"/>
      <c r="AJ640" s="356"/>
      <c r="AK640" s="382"/>
      <c r="AL640" s="417"/>
      <c r="AM640" s="383"/>
      <c r="AN640" s="507"/>
      <c r="AO640" s="382"/>
      <c r="AP640" s="417"/>
      <c r="AQ640" s="383"/>
      <c r="AR640" s="507"/>
      <c r="AS640" s="514"/>
      <c r="AT640" s="514"/>
    </row>
    <row r="641">
      <c r="A641" s="382"/>
      <c r="B641" s="417"/>
      <c r="C641" s="383"/>
      <c r="D641" s="507"/>
      <c r="E641" s="382"/>
      <c r="F641" s="417"/>
      <c r="G641" s="383"/>
      <c r="H641" s="507"/>
      <c r="I641" s="382"/>
      <c r="J641" s="417"/>
      <c r="K641" s="383"/>
      <c r="L641" s="507"/>
      <c r="M641" s="382"/>
      <c r="N641" s="417"/>
      <c r="O641" s="383"/>
      <c r="P641" s="507"/>
      <c r="Q641" s="518"/>
      <c r="R641" s="519"/>
      <c r="S641" s="520"/>
      <c r="T641" s="513"/>
      <c r="U641" s="518"/>
      <c r="V641" s="519"/>
      <c r="W641" s="520"/>
      <c r="X641" s="513"/>
      <c r="Y641" s="518"/>
      <c r="Z641" s="519"/>
      <c r="AA641" s="520"/>
      <c r="AB641" s="513"/>
      <c r="AC641" s="518"/>
      <c r="AD641" s="519"/>
      <c r="AE641" s="520"/>
      <c r="AF641" s="513"/>
      <c r="AG641" s="356"/>
      <c r="AH641" s="356"/>
      <c r="AI641" s="356"/>
      <c r="AJ641" s="356"/>
      <c r="AK641" s="382"/>
      <c r="AL641" s="417"/>
      <c r="AM641" s="383"/>
      <c r="AN641" s="507"/>
      <c r="AO641" s="382"/>
      <c r="AP641" s="417"/>
      <c r="AQ641" s="383"/>
      <c r="AR641" s="507"/>
      <c r="AS641" s="514"/>
      <c r="AT641" s="514"/>
    </row>
    <row r="642">
      <c r="A642" s="382"/>
      <c r="B642" s="417"/>
      <c r="C642" s="383"/>
      <c r="D642" s="507"/>
      <c r="E642" s="382"/>
      <c r="F642" s="417"/>
      <c r="G642" s="383"/>
      <c r="H642" s="507"/>
      <c r="I642" s="382"/>
      <c r="J642" s="417"/>
      <c r="K642" s="383"/>
      <c r="L642" s="507"/>
      <c r="M642" s="382"/>
      <c r="N642" s="417"/>
      <c r="O642" s="383"/>
      <c r="P642" s="507"/>
      <c r="Q642" s="518"/>
      <c r="R642" s="519"/>
      <c r="S642" s="520"/>
      <c r="T642" s="513"/>
      <c r="U642" s="518"/>
      <c r="V642" s="519"/>
      <c r="W642" s="520"/>
      <c r="X642" s="513"/>
      <c r="Y642" s="518"/>
      <c r="Z642" s="519"/>
      <c r="AA642" s="520"/>
      <c r="AB642" s="513"/>
      <c r="AC642" s="518"/>
      <c r="AD642" s="519"/>
      <c r="AE642" s="520"/>
      <c r="AF642" s="513"/>
      <c r="AG642" s="356"/>
      <c r="AH642" s="356"/>
      <c r="AI642" s="356"/>
      <c r="AJ642" s="356"/>
      <c r="AK642" s="382"/>
      <c r="AL642" s="417"/>
      <c r="AM642" s="383"/>
      <c r="AN642" s="507"/>
      <c r="AO642" s="382"/>
      <c r="AP642" s="417"/>
      <c r="AQ642" s="383"/>
      <c r="AR642" s="507"/>
      <c r="AS642" s="514"/>
      <c r="AT642" s="514"/>
    </row>
    <row r="643">
      <c r="A643" s="382"/>
      <c r="B643" s="417"/>
      <c r="C643" s="383"/>
      <c r="D643" s="507"/>
      <c r="E643" s="382"/>
      <c r="F643" s="417"/>
      <c r="G643" s="383"/>
      <c r="H643" s="507"/>
      <c r="I643" s="382"/>
      <c r="J643" s="417"/>
      <c r="K643" s="383"/>
      <c r="L643" s="507"/>
      <c r="M643" s="382"/>
      <c r="N643" s="417"/>
      <c r="O643" s="383"/>
      <c r="P643" s="507"/>
      <c r="Q643" s="518"/>
      <c r="R643" s="519"/>
      <c r="S643" s="520"/>
      <c r="T643" s="513"/>
      <c r="U643" s="518"/>
      <c r="V643" s="519"/>
      <c r="W643" s="520"/>
      <c r="X643" s="513"/>
      <c r="Y643" s="518"/>
      <c r="Z643" s="519"/>
      <c r="AA643" s="520"/>
      <c r="AB643" s="513"/>
      <c r="AC643" s="518"/>
      <c r="AD643" s="519"/>
      <c r="AE643" s="520"/>
      <c r="AF643" s="513"/>
      <c r="AG643" s="356"/>
      <c r="AH643" s="356"/>
      <c r="AI643" s="356"/>
      <c r="AJ643" s="356"/>
      <c r="AK643" s="382"/>
      <c r="AL643" s="417"/>
      <c r="AM643" s="383"/>
      <c r="AN643" s="507"/>
      <c r="AO643" s="382"/>
      <c r="AP643" s="417"/>
      <c r="AQ643" s="383"/>
      <c r="AR643" s="507"/>
      <c r="AS643" s="514"/>
      <c r="AT643" s="514"/>
    </row>
    <row r="644">
      <c r="A644" s="382"/>
      <c r="B644" s="417"/>
      <c r="C644" s="383"/>
      <c r="D644" s="507"/>
      <c r="E644" s="382"/>
      <c r="F644" s="417"/>
      <c r="G644" s="383"/>
      <c r="H644" s="507"/>
      <c r="I644" s="382"/>
      <c r="J644" s="417"/>
      <c r="K644" s="383"/>
      <c r="L644" s="507"/>
      <c r="M644" s="382"/>
      <c r="N644" s="417"/>
      <c r="O644" s="383"/>
      <c r="P644" s="507"/>
      <c r="Q644" s="518"/>
      <c r="R644" s="519"/>
      <c r="S644" s="520"/>
      <c r="T644" s="513"/>
      <c r="U644" s="518"/>
      <c r="V644" s="519"/>
      <c r="W644" s="520"/>
      <c r="X644" s="513"/>
      <c r="Y644" s="518"/>
      <c r="Z644" s="519"/>
      <c r="AA644" s="520"/>
      <c r="AB644" s="513"/>
      <c r="AC644" s="518"/>
      <c r="AD644" s="519"/>
      <c r="AE644" s="520"/>
      <c r="AF644" s="513"/>
      <c r="AG644" s="356"/>
      <c r="AH644" s="356"/>
      <c r="AI644" s="356"/>
      <c r="AJ644" s="356"/>
      <c r="AK644" s="382"/>
      <c r="AL644" s="417"/>
      <c r="AM644" s="383"/>
      <c r="AN644" s="507"/>
      <c r="AO644" s="382"/>
      <c r="AP644" s="417"/>
      <c r="AQ644" s="383"/>
      <c r="AR644" s="507"/>
      <c r="AS644" s="514"/>
      <c r="AT644" s="514"/>
    </row>
    <row r="645">
      <c r="A645" s="382"/>
      <c r="B645" s="417"/>
      <c r="C645" s="383"/>
      <c r="D645" s="507"/>
      <c r="E645" s="382"/>
      <c r="F645" s="417"/>
      <c r="G645" s="383"/>
      <c r="H645" s="507"/>
      <c r="I645" s="382"/>
      <c r="J645" s="417"/>
      <c r="K645" s="383"/>
      <c r="L645" s="507"/>
      <c r="M645" s="382"/>
      <c r="N645" s="417"/>
      <c r="O645" s="383"/>
      <c r="P645" s="507"/>
      <c r="Q645" s="518"/>
      <c r="R645" s="519"/>
      <c r="S645" s="520"/>
      <c r="T645" s="513"/>
      <c r="U645" s="518"/>
      <c r="V645" s="519"/>
      <c r="W645" s="520"/>
      <c r="X645" s="513"/>
      <c r="Y645" s="518"/>
      <c r="Z645" s="519"/>
      <c r="AA645" s="520"/>
      <c r="AB645" s="513"/>
      <c r="AC645" s="518"/>
      <c r="AD645" s="519"/>
      <c r="AE645" s="520"/>
      <c r="AF645" s="513"/>
      <c r="AG645" s="356"/>
      <c r="AH645" s="356"/>
      <c r="AI645" s="356"/>
      <c r="AJ645" s="356"/>
      <c r="AK645" s="382"/>
      <c r="AL645" s="417"/>
      <c r="AM645" s="383"/>
      <c r="AN645" s="507"/>
      <c r="AO645" s="382"/>
      <c r="AP645" s="417"/>
      <c r="AQ645" s="383"/>
      <c r="AR645" s="507"/>
      <c r="AS645" s="514"/>
      <c r="AT645" s="514"/>
    </row>
    <row r="646">
      <c r="A646" s="382"/>
      <c r="B646" s="417"/>
      <c r="C646" s="383"/>
      <c r="D646" s="507"/>
      <c r="E646" s="382"/>
      <c r="F646" s="417"/>
      <c r="G646" s="383"/>
      <c r="H646" s="507"/>
      <c r="I646" s="382"/>
      <c r="J646" s="417"/>
      <c r="K646" s="383"/>
      <c r="L646" s="507"/>
      <c r="M646" s="382"/>
      <c r="N646" s="417"/>
      <c r="O646" s="383"/>
      <c r="P646" s="507"/>
      <c r="Q646" s="518"/>
      <c r="R646" s="519"/>
      <c r="S646" s="520"/>
      <c r="T646" s="513"/>
      <c r="U646" s="518"/>
      <c r="V646" s="519"/>
      <c r="W646" s="520"/>
      <c r="X646" s="513"/>
      <c r="Y646" s="518"/>
      <c r="Z646" s="519"/>
      <c r="AA646" s="520"/>
      <c r="AB646" s="513"/>
      <c r="AC646" s="518"/>
      <c r="AD646" s="519"/>
      <c r="AE646" s="520"/>
      <c r="AF646" s="513"/>
      <c r="AG646" s="356"/>
      <c r="AH646" s="356"/>
      <c r="AI646" s="356"/>
      <c r="AJ646" s="356"/>
      <c r="AK646" s="382"/>
      <c r="AL646" s="417"/>
      <c r="AM646" s="383"/>
      <c r="AN646" s="507"/>
      <c r="AO646" s="382"/>
      <c r="AP646" s="417"/>
      <c r="AQ646" s="383"/>
      <c r="AR646" s="507"/>
      <c r="AS646" s="514"/>
      <c r="AT646" s="514"/>
    </row>
    <row r="647">
      <c r="A647" s="382"/>
      <c r="B647" s="417"/>
      <c r="C647" s="383"/>
      <c r="D647" s="507"/>
      <c r="E647" s="382"/>
      <c r="F647" s="417"/>
      <c r="G647" s="383"/>
      <c r="H647" s="507"/>
      <c r="I647" s="382"/>
      <c r="J647" s="417"/>
      <c r="K647" s="383"/>
      <c r="L647" s="507"/>
      <c r="M647" s="382"/>
      <c r="N647" s="417"/>
      <c r="O647" s="383"/>
      <c r="P647" s="507"/>
      <c r="Q647" s="518"/>
      <c r="R647" s="519"/>
      <c r="S647" s="520"/>
      <c r="T647" s="513"/>
      <c r="U647" s="518"/>
      <c r="V647" s="519"/>
      <c r="W647" s="520"/>
      <c r="X647" s="513"/>
      <c r="Y647" s="518"/>
      <c r="Z647" s="519"/>
      <c r="AA647" s="520"/>
      <c r="AB647" s="513"/>
      <c r="AC647" s="518"/>
      <c r="AD647" s="519"/>
      <c r="AE647" s="520"/>
      <c r="AF647" s="513"/>
      <c r="AG647" s="356"/>
      <c r="AH647" s="356"/>
      <c r="AI647" s="356"/>
      <c r="AJ647" s="356"/>
      <c r="AK647" s="382"/>
      <c r="AL647" s="417"/>
      <c r="AM647" s="383"/>
      <c r="AN647" s="507"/>
      <c r="AO647" s="382"/>
      <c r="AP647" s="417"/>
      <c r="AQ647" s="383"/>
      <c r="AR647" s="507"/>
      <c r="AS647" s="514"/>
      <c r="AT647" s="514"/>
    </row>
    <row r="648">
      <c r="A648" s="382"/>
      <c r="B648" s="417"/>
      <c r="C648" s="383"/>
      <c r="D648" s="507"/>
      <c r="E648" s="382"/>
      <c r="F648" s="417"/>
      <c r="G648" s="383"/>
      <c r="H648" s="507"/>
      <c r="I648" s="382"/>
      <c r="J648" s="417"/>
      <c r="K648" s="383"/>
      <c r="L648" s="507"/>
      <c r="M648" s="382"/>
      <c r="N648" s="417"/>
      <c r="O648" s="383"/>
      <c r="P648" s="507"/>
      <c r="Q648" s="518"/>
      <c r="R648" s="519"/>
      <c r="S648" s="520"/>
      <c r="T648" s="513"/>
      <c r="U648" s="518"/>
      <c r="V648" s="519"/>
      <c r="W648" s="520"/>
      <c r="X648" s="513"/>
      <c r="Y648" s="518"/>
      <c r="Z648" s="519"/>
      <c r="AA648" s="520"/>
      <c r="AB648" s="513"/>
      <c r="AC648" s="518"/>
      <c r="AD648" s="519"/>
      <c r="AE648" s="520"/>
      <c r="AF648" s="513"/>
      <c r="AG648" s="356"/>
      <c r="AH648" s="356"/>
      <c r="AI648" s="356"/>
      <c r="AJ648" s="356"/>
      <c r="AK648" s="382"/>
      <c r="AL648" s="417"/>
      <c r="AM648" s="383"/>
      <c r="AN648" s="507"/>
      <c r="AO648" s="382"/>
      <c r="AP648" s="417"/>
      <c r="AQ648" s="383"/>
      <c r="AR648" s="507"/>
      <c r="AS648" s="514"/>
      <c r="AT648" s="514"/>
    </row>
    <row r="649">
      <c r="A649" s="382"/>
      <c r="B649" s="417"/>
      <c r="C649" s="383"/>
      <c r="D649" s="507"/>
      <c r="E649" s="382"/>
      <c r="F649" s="417"/>
      <c r="G649" s="383"/>
      <c r="H649" s="507"/>
      <c r="I649" s="382"/>
      <c r="J649" s="417"/>
      <c r="K649" s="383"/>
      <c r="L649" s="507"/>
      <c r="M649" s="382"/>
      <c r="N649" s="417"/>
      <c r="O649" s="383"/>
      <c r="P649" s="507"/>
      <c r="Q649" s="518"/>
      <c r="R649" s="519"/>
      <c r="S649" s="520"/>
      <c r="T649" s="513"/>
      <c r="U649" s="518"/>
      <c r="V649" s="519"/>
      <c r="W649" s="520"/>
      <c r="X649" s="513"/>
      <c r="Y649" s="518"/>
      <c r="Z649" s="519"/>
      <c r="AA649" s="520"/>
      <c r="AB649" s="513"/>
      <c r="AC649" s="518"/>
      <c r="AD649" s="519"/>
      <c r="AE649" s="520"/>
      <c r="AF649" s="513"/>
      <c r="AG649" s="356"/>
      <c r="AH649" s="356"/>
      <c r="AI649" s="356"/>
      <c r="AJ649" s="356"/>
      <c r="AK649" s="382"/>
      <c r="AL649" s="417"/>
      <c r="AM649" s="383"/>
      <c r="AN649" s="507"/>
      <c r="AO649" s="382"/>
      <c r="AP649" s="417"/>
      <c r="AQ649" s="383"/>
      <c r="AR649" s="507"/>
      <c r="AS649" s="514"/>
      <c r="AT649" s="514"/>
    </row>
    <row r="650">
      <c r="A650" s="382"/>
      <c r="B650" s="417"/>
      <c r="C650" s="383"/>
      <c r="D650" s="507"/>
      <c r="E650" s="382"/>
      <c r="F650" s="417"/>
      <c r="G650" s="383"/>
      <c r="H650" s="507"/>
      <c r="I650" s="382"/>
      <c r="J650" s="417"/>
      <c r="K650" s="383"/>
      <c r="L650" s="507"/>
      <c r="M650" s="382"/>
      <c r="N650" s="417"/>
      <c r="O650" s="383"/>
      <c r="P650" s="507"/>
      <c r="Q650" s="518"/>
      <c r="R650" s="519"/>
      <c r="S650" s="520"/>
      <c r="T650" s="513"/>
      <c r="U650" s="518"/>
      <c r="V650" s="519"/>
      <c r="W650" s="520"/>
      <c r="X650" s="513"/>
      <c r="Y650" s="518"/>
      <c r="Z650" s="519"/>
      <c r="AA650" s="520"/>
      <c r="AB650" s="513"/>
      <c r="AC650" s="518"/>
      <c r="AD650" s="519"/>
      <c r="AE650" s="520"/>
      <c r="AF650" s="513"/>
      <c r="AG650" s="356"/>
      <c r="AH650" s="356"/>
      <c r="AI650" s="356"/>
      <c r="AJ650" s="356"/>
      <c r="AK650" s="382"/>
      <c r="AL650" s="417"/>
      <c r="AM650" s="383"/>
      <c r="AN650" s="507"/>
      <c r="AO650" s="382"/>
      <c r="AP650" s="417"/>
      <c r="AQ650" s="383"/>
      <c r="AR650" s="507"/>
      <c r="AS650" s="514"/>
      <c r="AT650" s="514"/>
    </row>
    <row r="651">
      <c r="A651" s="382"/>
      <c r="B651" s="417"/>
      <c r="C651" s="383"/>
      <c r="D651" s="507"/>
      <c r="E651" s="382"/>
      <c r="F651" s="417"/>
      <c r="G651" s="383"/>
      <c r="H651" s="507"/>
      <c r="I651" s="382"/>
      <c r="J651" s="417"/>
      <c r="K651" s="383"/>
      <c r="L651" s="507"/>
      <c r="M651" s="382"/>
      <c r="N651" s="417"/>
      <c r="O651" s="383"/>
      <c r="P651" s="507"/>
      <c r="Q651" s="518"/>
      <c r="R651" s="519"/>
      <c r="S651" s="520"/>
      <c r="T651" s="513"/>
      <c r="U651" s="518"/>
      <c r="V651" s="519"/>
      <c r="W651" s="520"/>
      <c r="X651" s="513"/>
      <c r="Y651" s="518"/>
      <c r="Z651" s="519"/>
      <c r="AA651" s="520"/>
      <c r="AB651" s="513"/>
      <c r="AC651" s="518"/>
      <c r="AD651" s="519"/>
      <c r="AE651" s="520"/>
      <c r="AF651" s="513"/>
      <c r="AG651" s="356"/>
      <c r="AH651" s="356"/>
      <c r="AI651" s="356"/>
      <c r="AJ651" s="356"/>
      <c r="AK651" s="382"/>
      <c r="AL651" s="417"/>
      <c r="AM651" s="383"/>
      <c r="AN651" s="507"/>
      <c r="AO651" s="382"/>
      <c r="AP651" s="417"/>
      <c r="AQ651" s="383"/>
      <c r="AR651" s="507"/>
      <c r="AS651" s="514"/>
      <c r="AT651" s="514"/>
    </row>
    <row r="652">
      <c r="A652" s="382"/>
      <c r="B652" s="417"/>
      <c r="C652" s="383"/>
      <c r="D652" s="507"/>
      <c r="E652" s="382"/>
      <c r="F652" s="417"/>
      <c r="G652" s="383"/>
      <c r="H652" s="507"/>
      <c r="I652" s="382"/>
      <c r="J652" s="417"/>
      <c r="K652" s="383"/>
      <c r="L652" s="507"/>
      <c r="M652" s="382"/>
      <c r="N652" s="417"/>
      <c r="O652" s="383"/>
      <c r="P652" s="507"/>
      <c r="Q652" s="518"/>
      <c r="R652" s="519"/>
      <c r="S652" s="520"/>
      <c r="T652" s="513"/>
      <c r="U652" s="518"/>
      <c r="V652" s="519"/>
      <c r="W652" s="520"/>
      <c r="X652" s="513"/>
      <c r="Y652" s="518"/>
      <c r="Z652" s="519"/>
      <c r="AA652" s="520"/>
      <c r="AB652" s="513"/>
      <c r="AC652" s="518"/>
      <c r="AD652" s="519"/>
      <c r="AE652" s="520"/>
      <c r="AF652" s="513"/>
      <c r="AG652" s="356"/>
      <c r="AH652" s="356"/>
      <c r="AI652" s="356"/>
      <c r="AJ652" s="356"/>
      <c r="AK652" s="382"/>
      <c r="AL652" s="417"/>
      <c r="AM652" s="383"/>
      <c r="AN652" s="507"/>
      <c r="AO652" s="382"/>
      <c r="AP652" s="417"/>
      <c r="AQ652" s="383"/>
      <c r="AR652" s="507"/>
      <c r="AS652" s="514"/>
      <c r="AT652" s="514"/>
    </row>
    <row r="653">
      <c r="A653" s="382"/>
      <c r="B653" s="417"/>
      <c r="C653" s="383"/>
      <c r="D653" s="507"/>
      <c r="E653" s="382"/>
      <c r="F653" s="417"/>
      <c r="G653" s="383"/>
      <c r="H653" s="507"/>
      <c r="I653" s="382"/>
      <c r="J653" s="417"/>
      <c r="K653" s="383"/>
      <c r="L653" s="507"/>
      <c r="M653" s="382"/>
      <c r="N653" s="417"/>
      <c r="O653" s="383"/>
      <c r="P653" s="507"/>
      <c r="Q653" s="518"/>
      <c r="R653" s="519"/>
      <c r="S653" s="520"/>
      <c r="T653" s="513"/>
      <c r="U653" s="518"/>
      <c r="V653" s="519"/>
      <c r="W653" s="520"/>
      <c r="X653" s="513"/>
      <c r="Y653" s="518"/>
      <c r="Z653" s="519"/>
      <c r="AA653" s="520"/>
      <c r="AB653" s="513"/>
      <c r="AC653" s="518"/>
      <c r="AD653" s="519"/>
      <c r="AE653" s="520"/>
      <c r="AF653" s="513"/>
      <c r="AG653" s="356"/>
      <c r="AH653" s="356"/>
      <c r="AI653" s="356"/>
      <c r="AJ653" s="356"/>
      <c r="AK653" s="382"/>
      <c r="AL653" s="417"/>
      <c r="AM653" s="383"/>
      <c r="AN653" s="507"/>
      <c r="AO653" s="382"/>
      <c r="AP653" s="417"/>
      <c r="AQ653" s="383"/>
      <c r="AR653" s="507"/>
      <c r="AS653" s="514"/>
      <c r="AT653" s="514"/>
    </row>
    <row r="654">
      <c r="A654" s="382"/>
      <c r="B654" s="417"/>
      <c r="C654" s="383"/>
      <c r="D654" s="507"/>
      <c r="E654" s="382"/>
      <c r="F654" s="417"/>
      <c r="G654" s="383"/>
      <c r="H654" s="507"/>
      <c r="I654" s="382"/>
      <c r="J654" s="417"/>
      <c r="K654" s="383"/>
      <c r="L654" s="507"/>
      <c r="M654" s="382"/>
      <c r="N654" s="417"/>
      <c r="O654" s="383"/>
      <c r="P654" s="507"/>
      <c r="Q654" s="518"/>
      <c r="R654" s="519"/>
      <c r="S654" s="520"/>
      <c r="T654" s="513"/>
      <c r="U654" s="518"/>
      <c r="V654" s="519"/>
      <c r="W654" s="520"/>
      <c r="X654" s="513"/>
      <c r="Y654" s="518"/>
      <c r="Z654" s="519"/>
      <c r="AA654" s="520"/>
      <c r="AB654" s="513"/>
      <c r="AC654" s="518"/>
      <c r="AD654" s="519"/>
      <c r="AE654" s="520"/>
      <c r="AF654" s="513"/>
      <c r="AG654" s="356"/>
      <c r="AH654" s="356"/>
      <c r="AI654" s="356"/>
      <c r="AJ654" s="356"/>
      <c r="AK654" s="382"/>
      <c r="AL654" s="417"/>
      <c r="AM654" s="383"/>
      <c r="AN654" s="507"/>
      <c r="AO654" s="382"/>
      <c r="AP654" s="417"/>
      <c r="AQ654" s="383"/>
      <c r="AR654" s="507"/>
      <c r="AS654" s="514"/>
      <c r="AT654" s="514"/>
    </row>
    <row r="655">
      <c r="A655" s="382"/>
      <c r="B655" s="417"/>
      <c r="C655" s="383"/>
      <c r="D655" s="507"/>
      <c r="E655" s="382"/>
      <c r="F655" s="417"/>
      <c r="G655" s="383"/>
      <c r="H655" s="507"/>
      <c r="I655" s="382"/>
      <c r="J655" s="417"/>
      <c r="K655" s="383"/>
      <c r="L655" s="507"/>
      <c r="M655" s="382"/>
      <c r="N655" s="417"/>
      <c r="O655" s="383"/>
      <c r="P655" s="507"/>
      <c r="Q655" s="518"/>
      <c r="R655" s="519"/>
      <c r="S655" s="520"/>
      <c r="T655" s="513"/>
      <c r="U655" s="518"/>
      <c r="V655" s="519"/>
      <c r="W655" s="520"/>
      <c r="X655" s="513"/>
      <c r="Y655" s="518"/>
      <c r="Z655" s="519"/>
      <c r="AA655" s="520"/>
      <c r="AB655" s="513"/>
      <c r="AC655" s="518"/>
      <c r="AD655" s="519"/>
      <c r="AE655" s="520"/>
      <c r="AF655" s="513"/>
      <c r="AG655" s="356"/>
      <c r="AH655" s="356"/>
      <c r="AI655" s="356"/>
      <c r="AJ655" s="356"/>
      <c r="AK655" s="382"/>
      <c r="AL655" s="417"/>
      <c r="AM655" s="383"/>
      <c r="AN655" s="507"/>
      <c r="AO655" s="382"/>
      <c r="AP655" s="417"/>
      <c r="AQ655" s="383"/>
      <c r="AR655" s="507"/>
      <c r="AS655" s="514"/>
      <c r="AT655" s="514"/>
    </row>
    <row r="656">
      <c r="A656" s="382"/>
      <c r="B656" s="417"/>
      <c r="C656" s="383"/>
      <c r="D656" s="507"/>
      <c r="E656" s="382"/>
      <c r="F656" s="417"/>
      <c r="G656" s="383"/>
      <c r="H656" s="507"/>
      <c r="I656" s="382"/>
      <c r="J656" s="417"/>
      <c r="K656" s="383"/>
      <c r="L656" s="507"/>
      <c r="M656" s="382"/>
      <c r="N656" s="417"/>
      <c r="O656" s="383"/>
      <c r="P656" s="507"/>
      <c r="Q656" s="518"/>
      <c r="R656" s="519"/>
      <c r="S656" s="520"/>
      <c r="T656" s="513"/>
      <c r="U656" s="518"/>
      <c r="V656" s="519"/>
      <c r="W656" s="520"/>
      <c r="X656" s="513"/>
      <c r="Y656" s="518"/>
      <c r="Z656" s="519"/>
      <c r="AA656" s="520"/>
      <c r="AB656" s="513"/>
      <c r="AC656" s="518"/>
      <c r="AD656" s="519"/>
      <c r="AE656" s="520"/>
      <c r="AF656" s="513"/>
      <c r="AG656" s="356"/>
      <c r="AH656" s="356"/>
      <c r="AI656" s="356"/>
      <c r="AJ656" s="356"/>
      <c r="AK656" s="382"/>
      <c r="AL656" s="417"/>
      <c r="AM656" s="383"/>
      <c r="AN656" s="507"/>
      <c r="AO656" s="382"/>
      <c r="AP656" s="417"/>
      <c r="AQ656" s="383"/>
      <c r="AR656" s="507"/>
      <c r="AS656" s="514"/>
      <c r="AT656" s="514"/>
    </row>
    <row r="657">
      <c r="A657" s="382"/>
      <c r="B657" s="417"/>
      <c r="C657" s="383"/>
      <c r="D657" s="507"/>
      <c r="E657" s="382"/>
      <c r="F657" s="417"/>
      <c r="G657" s="383"/>
      <c r="H657" s="507"/>
      <c r="I657" s="382"/>
      <c r="J657" s="417"/>
      <c r="K657" s="383"/>
      <c r="L657" s="507"/>
      <c r="M657" s="382"/>
      <c r="N657" s="417"/>
      <c r="O657" s="383"/>
      <c r="P657" s="507"/>
      <c r="Q657" s="518"/>
      <c r="R657" s="519"/>
      <c r="S657" s="520"/>
      <c r="T657" s="513"/>
      <c r="U657" s="518"/>
      <c r="V657" s="519"/>
      <c r="W657" s="520"/>
      <c r="X657" s="513"/>
      <c r="Y657" s="518"/>
      <c r="Z657" s="519"/>
      <c r="AA657" s="520"/>
      <c r="AB657" s="513"/>
      <c r="AC657" s="518"/>
      <c r="AD657" s="519"/>
      <c r="AE657" s="520"/>
      <c r="AF657" s="513"/>
      <c r="AG657" s="356"/>
      <c r="AH657" s="356"/>
      <c r="AI657" s="356"/>
      <c r="AJ657" s="356"/>
      <c r="AK657" s="382"/>
      <c r="AL657" s="417"/>
      <c r="AM657" s="383"/>
      <c r="AN657" s="507"/>
      <c r="AO657" s="382"/>
      <c r="AP657" s="417"/>
      <c r="AQ657" s="383"/>
      <c r="AR657" s="507"/>
      <c r="AS657" s="514"/>
      <c r="AT657" s="514"/>
    </row>
    <row r="658">
      <c r="A658" s="382"/>
      <c r="B658" s="417"/>
      <c r="C658" s="383"/>
      <c r="D658" s="507"/>
      <c r="E658" s="382"/>
      <c r="F658" s="417"/>
      <c r="G658" s="383"/>
      <c r="H658" s="507"/>
      <c r="I658" s="382"/>
      <c r="J658" s="417"/>
      <c r="K658" s="383"/>
      <c r="L658" s="507"/>
      <c r="M658" s="382"/>
      <c r="N658" s="417"/>
      <c r="O658" s="383"/>
      <c r="P658" s="507"/>
      <c r="Q658" s="518"/>
      <c r="R658" s="519"/>
      <c r="S658" s="520"/>
      <c r="T658" s="513"/>
      <c r="U658" s="518"/>
      <c r="V658" s="519"/>
      <c r="W658" s="520"/>
      <c r="X658" s="513"/>
      <c r="Y658" s="518"/>
      <c r="Z658" s="519"/>
      <c r="AA658" s="520"/>
      <c r="AB658" s="513"/>
      <c r="AC658" s="518"/>
      <c r="AD658" s="519"/>
      <c r="AE658" s="520"/>
      <c r="AF658" s="513"/>
      <c r="AG658" s="356"/>
      <c r="AH658" s="356"/>
      <c r="AI658" s="356"/>
      <c r="AJ658" s="356"/>
      <c r="AK658" s="382"/>
      <c r="AL658" s="417"/>
      <c r="AM658" s="383"/>
      <c r="AN658" s="507"/>
      <c r="AO658" s="382"/>
      <c r="AP658" s="417"/>
      <c r="AQ658" s="383"/>
      <c r="AR658" s="507"/>
      <c r="AS658" s="514"/>
      <c r="AT658" s="514"/>
    </row>
    <row r="659">
      <c r="A659" s="382"/>
      <c r="B659" s="417"/>
      <c r="C659" s="383"/>
      <c r="D659" s="507"/>
      <c r="E659" s="382"/>
      <c r="F659" s="417"/>
      <c r="G659" s="383"/>
      <c r="H659" s="507"/>
      <c r="I659" s="382"/>
      <c r="J659" s="417"/>
      <c r="K659" s="383"/>
      <c r="L659" s="507"/>
      <c r="M659" s="382"/>
      <c r="N659" s="417"/>
      <c r="O659" s="383"/>
      <c r="P659" s="507"/>
      <c r="Q659" s="518"/>
      <c r="R659" s="519"/>
      <c r="S659" s="520"/>
      <c r="T659" s="513"/>
      <c r="U659" s="518"/>
      <c r="V659" s="519"/>
      <c r="W659" s="520"/>
      <c r="X659" s="513"/>
      <c r="Y659" s="518"/>
      <c r="Z659" s="519"/>
      <c r="AA659" s="520"/>
      <c r="AB659" s="513"/>
      <c r="AC659" s="518"/>
      <c r="AD659" s="519"/>
      <c r="AE659" s="520"/>
      <c r="AF659" s="513"/>
      <c r="AG659" s="356"/>
      <c r="AH659" s="356"/>
      <c r="AI659" s="356"/>
      <c r="AJ659" s="356"/>
      <c r="AK659" s="382"/>
      <c r="AL659" s="417"/>
      <c r="AM659" s="383"/>
      <c r="AN659" s="507"/>
      <c r="AO659" s="382"/>
      <c r="AP659" s="417"/>
      <c r="AQ659" s="383"/>
      <c r="AR659" s="507"/>
      <c r="AS659" s="514"/>
      <c r="AT659" s="514"/>
    </row>
    <row r="660">
      <c r="A660" s="382"/>
      <c r="B660" s="417"/>
      <c r="C660" s="383"/>
      <c r="D660" s="507"/>
      <c r="E660" s="382"/>
      <c r="F660" s="417"/>
      <c r="G660" s="383"/>
      <c r="H660" s="507"/>
      <c r="I660" s="382"/>
      <c r="J660" s="417"/>
      <c r="K660" s="383"/>
      <c r="L660" s="507"/>
      <c r="M660" s="382"/>
      <c r="N660" s="417"/>
      <c r="O660" s="383"/>
      <c r="P660" s="507"/>
      <c r="Q660" s="518"/>
      <c r="R660" s="519"/>
      <c r="S660" s="520"/>
      <c r="T660" s="513"/>
      <c r="U660" s="518"/>
      <c r="V660" s="519"/>
      <c r="W660" s="520"/>
      <c r="X660" s="513"/>
      <c r="Y660" s="518"/>
      <c r="Z660" s="519"/>
      <c r="AA660" s="520"/>
      <c r="AB660" s="513"/>
      <c r="AC660" s="518"/>
      <c r="AD660" s="519"/>
      <c r="AE660" s="520"/>
      <c r="AF660" s="513"/>
      <c r="AG660" s="356"/>
      <c r="AH660" s="356"/>
      <c r="AI660" s="356"/>
      <c r="AJ660" s="356"/>
      <c r="AK660" s="382"/>
      <c r="AL660" s="417"/>
      <c r="AM660" s="383"/>
      <c r="AN660" s="507"/>
      <c r="AO660" s="382"/>
      <c r="AP660" s="417"/>
      <c r="AQ660" s="383"/>
      <c r="AR660" s="507"/>
      <c r="AS660" s="514"/>
      <c r="AT660" s="514"/>
    </row>
    <row r="661">
      <c r="A661" s="382"/>
      <c r="B661" s="417"/>
      <c r="C661" s="383"/>
      <c r="D661" s="507"/>
      <c r="E661" s="382"/>
      <c r="F661" s="417"/>
      <c r="G661" s="383"/>
      <c r="H661" s="507"/>
      <c r="I661" s="382"/>
      <c r="J661" s="417"/>
      <c r="K661" s="383"/>
      <c r="L661" s="507"/>
      <c r="M661" s="382"/>
      <c r="N661" s="417"/>
      <c r="O661" s="383"/>
      <c r="P661" s="507"/>
      <c r="Q661" s="518"/>
      <c r="R661" s="519"/>
      <c r="S661" s="520"/>
      <c r="T661" s="513"/>
      <c r="U661" s="518"/>
      <c r="V661" s="519"/>
      <c r="W661" s="520"/>
      <c r="X661" s="513"/>
      <c r="Y661" s="518"/>
      <c r="Z661" s="519"/>
      <c r="AA661" s="520"/>
      <c r="AB661" s="513"/>
      <c r="AC661" s="518"/>
      <c r="AD661" s="519"/>
      <c r="AE661" s="520"/>
      <c r="AF661" s="513"/>
      <c r="AG661" s="356"/>
      <c r="AH661" s="356"/>
      <c r="AI661" s="356"/>
      <c r="AJ661" s="356"/>
      <c r="AK661" s="382"/>
      <c r="AL661" s="417"/>
      <c r="AM661" s="383"/>
      <c r="AN661" s="507"/>
      <c r="AO661" s="382"/>
      <c r="AP661" s="417"/>
      <c r="AQ661" s="383"/>
      <c r="AR661" s="507"/>
      <c r="AS661" s="514"/>
      <c r="AT661" s="514"/>
    </row>
    <row r="662">
      <c r="A662" s="382"/>
      <c r="B662" s="417"/>
      <c r="C662" s="383"/>
      <c r="D662" s="507"/>
      <c r="E662" s="382"/>
      <c r="F662" s="417"/>
      <c r="G662" s="383"/>
      <c r="H662" s="507"/>
      <c r="I662" s="382"/>
      <c r="J662" s="417"/>
      <c r="K662" s="383"/>
      <c r="L662" s="507"/>
      <c r="M662" s="382"/>
      <c r="N662" s="417"/>
      <c r="O662" s="383"/>
      <c r="P662" s="507"/>
      <c r="Q662" s="518"/>
      <c r="R662" s="519"/>
      <c r="S662" s="520"/>
      <c r="T662" s="513"/>
      <c r="U662" s="518"/>
      <c r="V662" s="519"/>
      <c r="W662" s="520"/>
      <c r="X662" s="513"/>
      <c r="Y662" s="518"/>
      <c r="Z662" s="519"/>
      <c r="AA662" s="520"/>
      <c r="AB662" s="513"/>
      <c r="AC662" s="518"/>
      <c r="AD662" s="519"/>
      <c r="AE662" s="520"/>
      <c r="AF662" s="513"/>
      <c r="AG662" s="356"/>
      <c r="AH662" s="356"/>
      <c r="AI662" s="356"/>
      <c r="AJ662" s="356"/>
      <c r="AK662" s="382"/>
      <c r="AL662" s="417"/>
      <c r="AM662" s="383"/>
      <c r="AN662" s="507"/>
      <c r="AO662" s="382"/>
      <c r="AP662" s="417"/>
      <c r="AQ662" s="383"/>
      <c r="AR662" s="507"/>
      <c r="AS662" s="514"/>
      <c r="AT662" s="514"/>
    </row>
    <row r="663">
      <c r="A663" s="382"/>
      <c r="B663" s="417"/>
      <c r="C663" s="383"/>
      <c r="D663" s="507"/>
      <c r="E663" s="382"/>
      <c r="F663" s="417"/>
      <c r="G663" s="383"/>
      <c r="H663" s="507"/>
      <c r="I663" s="382"/>
      <c r="J663" s="417"/>
      <c r="K663" s="383"/>
      <c r="L663" s="507"/>
      <c r="M663" s="382"/>
      <c r="N663" s="417"/>
      <c r="O663" s="383"/>
      <c r="P663" s="507"/>
      <c r="Q663" s="518"/>
      <c r="R663" s="519"/>
      <c r="S663" s="520"/>
      <c r="T663" s="513"/>
      <c r="U663" s="518"/>
      <c r="V663" s="519"/>
      <c r="W663" s="520"/>
      <c r="X663" s="513"/>
      <c r="Y663" s="518"/>
      <c r="Z663" s="519"/>
      <c r="AA663" s="520"/>
      <c r="AB663" s="513"/>
      <c r="AC663" s="518"/>
      <c r="AD663" s="519"/>
      <c r="AE663" s="520"/>
      <c r="AF663" s="513"/>
      <c r="AG663" s="356"/>
      <c r="AH663" s="356"/>
      <c r="AI663" s="356"/>
      <c r="AJ663" s="356"/>
      <c r="AK663" s="382"/>
      <c r="AL663" s="417"/>
      <c r="AM663" s="383"/>
      <c r="AN663" s="507"/>
      <c r="AO663" s="382"/>
      <c r="AP663" s="417"/>
      <c r="AQ663" s="383"/>
      <c r="AR663" s="507"/>
      <c r="AS663" s="514"/>
      <c r="AT663" s="514"/>
    </row>
    <row r="664">
      <c r="A664" s="382"/>
      <c r="B664" s="417"/>
      <c r="C664" s="383"/>
      <c r="D664" s="507"/>
      <c r="E664" s="382"/>
      <c r="F664" s="417"/>
      <c r="G664" s="383"/>
      <c r="H664" s="507"/>
      <c r="I664" s="382"/>
      <c r="J664" s="417"/>
      <c r="K664" s="383"/>
      <c r="L664" s="507"/>
      <c r="M664" s="382"/>
      <c r="N664" s="417"/>
      <c r="O664" s="383"/>
      <c r="P664" s="507"/>
      <c r="Q664" s="518"/>
      <c r="R664" s="519"/>
      <c r="S664" s="520"/>
      <c r="T664" s="513"/>
      <c r="U664" s="518"/>
      <c r="V664" s="519"/>
      <c r="W664" s="520"/>
      <c r="X664" s="513"/>
      <c r="Y664" s="518"/>
      <c r="Z664" s="519"/>
      <c r="AA664" s="520"/>
      <c r="AB664" s="513"/>
      <c r="AC664" s="518"/>
      <c r="AD664" s="519"/>
      <c r="AE664" s="520"/>
      <c r="AF664" s="513"/>
      <c r="AG664" s="356"/>
      <c r="AH664" s="356"/>
      <c r="AI664" s="356"/>
      <c r="AJ664" s="356"/>
      <c r="AK664" s="382"/>
      <c r="AL664" s="417"/>
      <c r="AM664" s="383"/>
      <c r="AN664" s="507"/>
      <c r="AO664" s="382"/>
      <c r="AP664" s="417"/>
      <c r="AQ664" s="383"/>
      <c r="AR664" s="507"/>
      <c r="AS664" s="514"/>
      <c r="AT664" s="514"/>
    </row>
    <row r="665">
      <c r="A665" s="382"/>
      <c r="B665" s="417"/>
      <c r="C665" s="383"/>
      <c r="D665" s="507"/>
      <c r="E665" s="382"/>
      <c r="F665" s="417"/>
      <c r="G665" s="383"/>
      <c r="H665" s="507"/>
      <c r="I665" s="382"/>
      <c r="J665" s="417"/>
      <c r="K665" s="383"/>
      <c r="L665" s="507"/>
      <c r="M665" s="382"/>
      <c r="N665" s="417"/>
      <c r="O665" s="383"/>
      <c r="P665" s="507"/>
      <c r="Q665" s="518"/>
      <c r="R665" s="519"/>
      <c r="S665" s="520"/>
      <c r="T665" s="513"/>
      <c r="U665" s="518"/>
      <c r="V665" s="519"/>
      <c r="W665" s="520"/>
      <c r="X665" s="513"/>
      <c r="Y665" s="518"/>
      <c r="Z665" s="519"/>
      <c r="AA665" s="520"/>
      <c r="AB665" s="513"/>
      <c r="AC665" s="518"/>
      <c r="AD665" s="519"/>
      <c r="AE665" s="520"/>
      <c r="AF665" s="513"/>
      <c r="AG665" s="356"/>
      <c r="AH665" s="356"/>
      <c r="AI665" s="356"/>
      <c r="AJ665" s="356"/>
      <c r="AK665" s="382"/>
      <c r="AL665" s="417"/>
      <c r="AM665" s="383"/>
      <c r="AN665" s="507"/>
      <c r="AO665" s="382"/>
      <c r="AP665" s="417"/>
      <c r="AQ665" s="383"/>
      <c r="AR665" s="507"/>
      <c r="AS665" s="514"/>
      <c r="AT665" s="514"/>
    </row>
    <row r="666">
      <c r="A666" s="382"/>
      <c r="B666" s="417"/>
      <c r="C666" s="383"/>
      <c r="D666" s="507"/>
      <c r="E666" s="382"/>
      <c r="F666" s="417"/>
      <c r="G666" s="383"/>
      <c r="H666" s="507"/>
      <c r="I666" s="382"/>
      <c r="J666" s="417"/>
      <c r="K666" s="383"/>
      <c r="L666" s="507"/>
      <c r="M666" s="382"/>
      <c r="N666" s="417"/>
      <c r="O666" s="383"/>
      <c r="P666" s="507"/>
      <c r="Q666" s="518"/>
      <c r="R666" s="519"/>
      <c r="S666" s="520"/>
      <c r="T666" s="513"/>
      <c r="U666" s="518"/>
      <c r="V666" s="519"/>
      <c r="W666" s="520"/>
      <c r="X666" s="513"/>
      <c r="Y666" s="518"/>
      <c r="Z666" s="519"/>
      <c r="AA666" s="520"/>
      <c r="AB666" s="513"/>
      <c r="AC666" s="518"/>
      <c r="AD666" s="519"/>
      <c r="AE666" s="520"/>
      <c r="AF666" s="513"/>
      <c r="AG666" s="356"/>
      <c r="AH666" s="356"/>
      <c r="AI666" s="356"/>
      <c r="AJ666" s="356"/>
      <c r="AK666" s="382"/>
      <c r="AL666" s="417"/>
      <c r="AM666" s="383"/>
      <c r="AN666" s="507"/>
      <c r="AO666" s="382"/>
      <c r="AP666" s="417"/>
      <c r="AQ666" s="383"/>
      <c r="AR666" s="507"/>
      <c r="AS666" s="514"/>
      <c r="AT666" s="514"/>
    </row>
    <row r="667">
      <c r="A667" s="382"/>
      <c r="B667" s="417"/>
      <c r="C667" s="383"/>
      <c r="D667" s="507"/>
      <c r="E667" s="382"/>
      <c r="F667" s="417"/>
      <c r="G667" s="383"/>
      <c r="H667" s="507"/>
      <c r="I667" s="382"/>
      <c r="J667" s="417"/>
      <c r="K667" s="383"/>
      <c r="L667" s="507"/>
      <c r="M667" s="382"/>
      <c r="N667" s="417"/>
      <c r="O667" s="383"/>
      <c r="P667" s="507"/>
      <c r="Q667" s="518"/>
      <c r="R667" s="519"/>
      <c r="S667" s="520"/>
      <c r="T667" s="513"/>
      <c r="U667" s="518"/>
      <c r="V667" s="519"/>
      <c r="W667" s="520"/>
      <c r="X667" s="513"/>
      <c r="Y667" s="518"/>
      <c r="Z667" s="519"/>
      <c r="AA667" s="520"/>
      <c r="AB667" s="513"/>
      <c r="AC667" s="518"/>
      <c r="AD667" s="519"/>
      <c r="AE667" s="520"/>
      <c r="AF667" s="513"/>
      <c r="AG667" s="356"/>
      <c r="AH667" s="356"/>
      <c r="AI667" s="356"/>
      <c r="AJ667" s="356"/>
      <c r="AK667" s="382"/>
      <c r="AL667" s="417"/>
      <c r="AM667" s="383"/>
      <c r="AN667" s="507"/>
      <c r="AO667" s="382"/>
      <c r="AP667" s="417"/>
      <c r="AQ667" s="383"/>
      <c r="AR667" s="507"/>
      <c r="AS667" s="514"/>
      <c r="AT667" s="514"/>
    </row>
    <row r="668">
      <c r="A668" s="382"/>
      <c r="B668" s="417"/>
      <c r="C668" s="383"/>
      <c r="D668" s="507"/>
      <c r="E668" s="382"/>
      <c r="F668" s="417"/>
      <c r="G668" s="383"/>
      <c r="H668" s="507"/>
      <c r="I668" s="382"/>
      <c r="J668" s="417"/>
      <c r="K668" s="383"/>
      <c r="L668" s="507"/>
      <c r="M668" s="382"/>
      <c r="N668" s="417"/>
      <c r="O668" s="383"/>
      <c r="P668" s="507"/>
      <c r="Q668" s="518"/>
      <c r="R668" s="519"/>
      <c r="S668" s="520"/>
      <c r="T668" s="513"/>
      <c r="U668" s="518"/>
      <c r="V668" s="519"/>
      <c r="W668" s="520"/>
      <c r="X668" s="513"/>
      <c r="Y668" s="518"/>
      <c r="Z668" s="519"/>
      <c r="AA668" s="520"/>
      <c r="AB668" s="513"/>
      <c r="AC668" s="518"/>
      <c r="AD668" s="519"/>
      <c r="AE668" s="520"/>
      <c r="AF668" s="513"/>
      <c r="AG668" s="356"/>
      <c r="AH668" s="356"/>
      <c r="AI668" s="356"/>
      <c r="AJ668" s="356"/>
      <c r="AK668" s="382"/>
      <c r="AL668" s="417"/>
      <c r="AM668" s="383"/>
      <c r="AN668" s="507"/>
      <c r="AO668" s="382"/>
      <c r="AP668" s="417"/>
      <c r="AQ668" s="383"/>
      <c r="AR668" s="507"/>
      <c r="AS668" s="514"/>
      <c r="AT668" s="514"/>
    </row>
    <row r="669">
      <c r="A669" s="382"/>
      <c r="B669" s="417"/>
      <c r="C669" s="383"/>
      <c r="D669" s="507"/>
      <c r="E669" s="382"/>
      <c r="F669" s="417"/>
      <c r="G669" s="383"/>
      <c r="H669" s="507"/>
      <c r="I669" s="382"/>
      <c r="J669" s="417"/>
      <c r="K669" s="383"/>
      <c r="L669" s="507"/>
      <c r="M669" s="382"/>
      <c r="N669" s="417"/>
      <c r="O669" s="383"/>
      <c r="P669" s="507"/>
      <c r="Q669" s="518"/>
      <c r="R669" s="519"/>
      <c r="S669" s="520"/>
      <c r="T669" s="513"/>
      <c r="U669" s="518"/>
      <c r="V669" s="519"/>
      <c r="W669" s="520"/>
      <c r="X669" s="513"/>
      <c r="Y669" s="518"/>
      <c r="Z669" s="519"/>
      <c r="AA669" s="520"/>
      <c r="AB669" s="513"/>
      <c r="AC669" s="518"/>
      <c r="AD669" s="519"/>
      <c r="AE669" s="520"/>
      <c r="AF669" s="513"/>
      <c r="AG669" s="356"/>
      <c r="AH669" s="356"/>
      <c r="AI669" s="356"/>
      <c r="AJ669" s="356"/>
      <c r="AK669" s="382"/>
      <c r="AL669" s="417"/>
      <c r="AM669" s="383"/>
      <c r="AN669" s="507"/>
      <c r="AO669" s="382"/>
      <c r="AP669" s="417"/>
      <c r="AQ669" s="383"/>
      <c r="AR669" s="507"/>
      <c r="AS669" s="514"/>
      <c r="AT669" s="514"/>
    </row>
    <row r="670">
      <c r="A670" s="382"/>
      <c r="B670" s="417"/>
      <c r="C670" s="383"/>
      <c r="D670" s="507"/>
      <c r="E670" s="382"/>
      <c r="F670" s="417"/>
      <c r="G670" s="383"/>
      <c r="H670" s="507"/>
      <c r="I670" s="382"/>
      <c r="J670" s="417"/>
      <c r="K670" s="383"/>
      <c r="L670" s="507"/>
      <c r="M670" s="382"/>
      <c r="N670" s="417"/>
      <c r="O670" s="383"/>
      <c r="P670" s="507"/>
      <c r="Q670" s="518"/>
      <c r="R670" s="519"/>
      <c r="S670" s="520"/>
      <c r="T670" s="513"/>
      <c r="U670" s="518"/>
      <c r="V670" s="519"/>
      <c r="W670" s="520"/>
      <c r="X670" s="513"/>
      <c r="Y670" s="518"/>
      <c r="Z670" s="519"/>
      <c r="AA670" s="520"/>
      <c r="AB670" s="513"/>
      <c r="AC670" s="518"/>
      <c r="AD670" s="519"/>
      <c r="AE670" s="520"/>
      <c r="AF670" s="513"/>
      <c r="AG670" s="356"/>
      <c r="AH670" s="356"/>
      <c r="AI670" s="356"/>
      <c r="AJ670" s="356"/>
      <c r="AK670" s="382"/>
      <c r="AL670" s="417"/>
      <c r="AM670" s="383"/>
      <c r="AN670" s="507"/>
      <c r="AO670" s="382"/>
      <c r="AP670" s="417"/>
      <c r="AQ670" s="383"/>
      <c r="AR670" s="507"/>
      <c r="AS670" s="514"/>
      <c r="AT670" s="514"/>
    </row>
    <row r="671">
      <c r="A671" s="382"/>
      <c r="B671" s="417"/>
      <c r="C671" s="383"/>
      <c r="D671" s="507"/>
      <c r="E671" s="382"/>
      <c r="F671" s="417"/>
      <c r="G671" s="383"/>
      <c r="H671" s="507"/>
      <c r="I671" s="382"/>
      <c r="J671" s="417"/>
      <c r="K671" s="383"/>
      <c r="L671" s="507"/>
      <c r="M671" s="382"/>
      <c r="N671" s="417"/>
      <c r="O671" s="383"/>
      <c r="P671" s="507"/>
      <c r="Q671" s="518"/>
      <c r="R671" s="519"/>
      <c r="S671" s="520"/>
      <c r="T671" s="513"/>
      <c r="U671" s="518"/>
      <c r="V671" s="519"/>
      <c r="W671" s="520"/>
      <c r="X671" s="513"/>
      <c r="Y671" s="518"/>
      <c r="Z671" s="519"/>
      <c r="AA671" s="520"/>
      <c r="AB671" s="513"/>
      <c r="AC671" s="518"/>
      <c r="AD671" s="519"/>
      <c r="AE671" s="520"/>
      <c r="AF671" s="513"/>
      <c r="AG671" s="356"/>
      <c r="AH671" s="356"/>
      <c r="AI671" s="356"/>
      <c r="AJ671" s="356"/>
      <c r="AK671" s="382"/>
      <c r="AL671" s="417"/>
      <c r="AM671" s="383"/>
      <c r="AN671" s="507"/>
      <c r="AO671" s="382"/>
      <c r="AP671" s="417"/>
      <c r="AQ671" s="383"/>
      <c r="AR671" s="507"/>
      <c r="AS671" s="514"/>
      <c r="AT671" s="514"/>
    </row>
    <row r="672">
      <c r="A672" s="382"/>
      <c r="B672" s="417"/>
      <c r="C672" s="383"/>
      <c r="D672" s="507"/>
      <c r="E672" s="382"/>
      <c r="F672" s="417"/>
      <c r="G672" s="383"/>
      <c r="H672" s="507"/>
      <c r="I672" s="382"/>
      <c r="J672" s="417"/>
      <c r="K672" s="383"/>
      <c r="L672" s="507"/>
      <c r="M672" s="382"/>
      <c r="N672" s="417"/>
      <c r="O672" s="383"/>
      <c r="P672" s="507"/>
      <c r="Q672" s="518"/>
      <c r="R672" s="519"/>
      <c r="S672" s="520"/>
      <c r="T672" s="513"/>
      <c r="U672" s="518"/>
      <c r="V672" s="519"/>
      <c r="W672" s="520"/>
      <c r="X672" s="513"/>
      <c r="Y672" s="518"/>
      <c r="Z672" s="519"/>
      <c r="AA672" s="520"/>
      <c r="AB672" s="513"/>
      <c r="AC672" s="518"/>
      <c r="AD672" s="519"/>
      <c r="AE672" s="520"/>
      <c r="AF672" s="513"/>
      <c r="AG672" s="356"/>
      <c r="AH672" s="356"/>
      <c r="AI672" s="356"/>
      <c r="AJ672" s="356"/>
      <c r="AK672" s="382"/>
      <c r="AL672" s="417"/>
      <c r="AM672" s="383"/>
      <c r="AN672" s="507"/>
      <c r="AO672" s="382"/>
      <c r="AP672" s="417"/>
      <c r="AQ672" s="383"/>
      <c r="AR672" s="507"/>
      <c r="AS672" s="514"/>
      <c r="AT672" s="514"/>
    </row>
    <row r="673">
      <c r="A673" s="382"/>
      <c r="B673" s="417"/>
      <c r="C673" s="383"/>
      <c r="D673" s="507"/>
      <c r="E673" s="382"/>
      <c r="F673" s="417"/>
      <c r="G673" s="383"/>
      <c r="H673" s="507"/>
      <c r="I673" s="382"/>
      <c r="J673" s="417"/>
      <c r="K673" s="383"/>
      <c r="L673" s="507"/>
      <c r="M673" s="382"/>
      <c r="N673" s="417"/>
      <c r="O673" s="383"/>
      <c r="P673" s="507"/>
      <c r="Q673" s="518"/>
      <c r="R673" s="519"/>
      <c r="S673" s="520"/>
      <c r="T673" s="513"/>
      <c r="U673" s="518"/>
      <c r="V673" s="519"/>
      <c r="W673" s="520"/>
      <c r="X673" s="513"/>
      <c r="Y673" s="518"/>
      <c r="Z673" s="519"/>
      <c r="AA673" s="520"/>
      <c r="AB673" s="513"/>
      <c r="AC673" s="518"/>
      <c r="AD673" s="519"/>
      <c r="AE673" s="520"/>
      <c r="AF673" s="513"/>
      <c r="AG673" s="356"/>
      <c r="AH673" s="356"/>
      <c r="AI673" s="356"/>
      <c r="AJ673" s="356"/>
      <c r="AK673" s="382"/>
      <c r="AL673" s="417"/>
      <c r="AM673" s="383"/>
      <c r="AN673" s="507"/>
      <c r="AO673" s="382"/>
      <c r="AP673" s="417"/>
      <c r="AQ673" s="383"/>
      <c r="AR673" s="507"/>
      <c r="AS673" s="514"/>
      <c r="AT673" s="514"/>
    </row>
    <row r="674">
      <c r="A674" s="382"/>
      <c r="B674" s="417"/>
      <c r="C674" s="383"/>
      <c r="D674" s="507"/>
      <c r="E674" s="382"/>
      <c r="F674" s="417"/>
      <c r="G674" s="383"/>
      <c r="H674" s="507"/>
      <c r="I674" s="382"/>
      <c r="J674" s="417"/>
      <c r="K674" s="383"/>
      <c r="L674" s="507"/>
      <c r="M674" s="382"/>
      <c r="N674" s="417"/>
      <c r="O674" s="383"/>
      <c r="P674" s="507"/>
      <c r="Q674" s="518"/>
      <c r="R674" s="519"/>
      <c r="S674" s="520"/>
      <c r="T674" s="513"/>
      <c r="U674" s="518"/>
      <c r="V674" s="519"/>
      <c r="W674" s="520"/>
      <c r="X674" s="513"/>
      <c r="Y674" s="518"/>
      <c r="Z674" s="519"/>
      <c r="AA674" s="520"/>
      <c r="AB674" s="513"/>
      <c r="AC674" s="518"/>
      <c r="AD674" s="519"/>
      <c r="AE674" s="520"/>
      <c r="AF674" s="513"/>
      <c r="AG674" s="356"/>
      <c r="AH674" s="356"/>
      <c r="AI674" s="356"/>
      <c r="AJ674" s="356"/>
      <c r="AK674" s="382"/>
      <c r="AL674" s="417"/>
      <c r="AM674" s="383"/>
      <c r="AN674" s="507"/>
      <c r="AO674" s="382"/>
      <c r="AP674" s="417"/>
      <c r="AQ674" s="383"/>
      <c r="AR674" s="507"/>
      <c r="AS674" s="514"/>
      <c r="AT674" s="514"/>
    </row>
    <row r="675">
      <c r="A675" s="382"/>
      <c r="B675" s="417"/>
      <c r="C675" s="383"/>
      <c r="D675" s="507"/>
      <c r="E675" s="382"/>
      <c r="F675" s="417"/>
      <c r="G675" s="383"/>
      <c r="H675" s="507"/>
      <c r="I675" s="382"/>
      <c r="J675" s="417"/>
      <c r="K675" s="383"/>
      <c r="L675" s="507"/>
      <c r="M675" s="382"/>
      <c r="N675" s="417"/>
      <c r="O675" s="383"/>
      <c r="P675" s="507"/>
      <c r="Q675" s="518"/>
      <c r="R675" s="519"/>
      <c r="S675" s="520"/>
      <c r="T675" s="513"/>
      <c r="U675" s="518"/>
      <c r="V675" s="519"/>
      <c r="W675" s="520"/>
      <c r="X675" s="513"/>
      <c r="Y675" s="518"/>
      <c r="Z675" s="519"/>
      <c r="AA675" s="520"/>
      <c r="AB675" s="513"/>
      <c r="AC675" s="518"/>
      <c r="AD675" s="519"/>
      <c r="AE675" s="520"/>
      <c r="AF675" s="513"/>
      <c r="AG675" s="356"/>
      <c r="AH675" s="356"/>
      <c r="AI675" s="356"/>
      <c r="AJ675" s="356"/>
      <c r="AK675" s="382"/>
      <c r="AL675" s="417"/>
      <c r="AM675" s="383"/>
      <c r="AN675" s="507"/>
      <c r="AO675" s="382"/>
      <c r="AP675" s="417"/>
      <c r="AQ675" s="383"/>
      <c r="AR675" s="507"/>
      <c r="AS675" s="514"/>
      <c r="AT675" s="514"/>
    </row>
    <row r="676">
      <c r="A676" s="382"/>
      <c r="B676" s="417"/>
      <c r="C676" s="383"/>
      <c r="D676" s="507"/>
      <c r="E676" s="382"/>
      <c r="F676" s="417"/>
      <c r="G676" s="383"/>
      <c r="H676" s="507"/>
      <c r="I676" s="382"/>
      <c r="J676" s="417"/>
      <c r="K676" s="383"/>
      <c r="L676" s="507"/>
      <c r="M676" s="382"/>
      <c r="N676" s="417"/>
      <c r="O676" s="383"/>
      <c r="P676" s="507"/>
      <c r="Q676" s="518"/>
      <c r="R676" s="519"/>
      <c r="S676" s="520"/>
      <c r="T676" s="513"/>
      <c r="U676" s="518"/>
      <c r="V676" s="519"/>
      <c r="W676" s="520"/>
      <c r="X676" s="513"/>
      <c r="Y676" s="518"/>
      <c r="Z676" s="519"/>
      <c r="AA676" s="520"/>
      <c r="AB676" s="513"/>
      <c r="AC676" s="518"/>
      <c r="AD676" s="519"/>
      <c r="AE676" s="520"/>
      <c r="AF676" s="513"/>
      <c r="AG676" s="356"/>
      <c r="AH676" s="356"/>
      <c r="AI676" s="356"/>
      <c r="AJ676" s="356"/>
      <c r="AK676" s="382"/>
      <c r="AL676" s="417"/>
      <c r="AM676" s="383"/>
      <c r="AN676" s="507"/>
      <c r="AO676" s="382"/>
      <c r="AP676" s="417"/>
      <c r="AQ676" s="383"/>
      <c r="AR676" s="507"/>
      <c r="AS676" s="514"/>
      <c r="AT676" s="514"/>
    </row>
    <row r="677">
      <c r="A677" s="382"/>
      <c r="B677" s="417"/>
      <c r="C677" s="383"/>
      <c r="D677" s="507"/>
      <c r="E677" s="382"/>
      <c r="F677" s="417"/>
      <c r="G677" s="383"/>
      <c r="H677" s="507"/>
      <c r="I677" s="382"/>
      <c r="J677" s="417"/>
      <c r="K677" s="383"/>
      <c r="L677" s="507"/>
      <c r="M677" s="382"/>
      <c r="N677" s="417"/>
      <c r="O677" s="383"/>
      <c r="P677" s="507"/>
      <c r="Q677" s="518"/>
      <c r="R677" s="519"/>
      <c r="S677" s="520"/>
      <c r="T677" s="513"/>
      <c r="U677" s="518"/>
      <c r="V677" s="519"/>
      <c r="W677" s="520"/>
      <c r="X677" s="513"/>
      <c r="Y677" s="518"/>
      <c r="Z677" s="519"/>
      <c r="AA677" s="520"/>
      <c r="AB677" s="513"/>
      <c r="AC677" s="518"/>
      <c r="AD677" s="519"/>
      <c r="AE677" s="520"/>
      <c r="AF677" s="513"/>
      <c r="AG677" s="356"/>
      <c r="AH677" s="356"/>
      <c r="AI677" s="356"/>
      <c r="AJ677" s="356"/>
      <c r="AK677" s="382"/>
      <c r="AL677" s="417"/>
      <c r="AM677" s="383"/>
      <c r="AN677" s="507"/>
      <c r="AO677" s="382"/>
      <c r="AP677" s="417"/>
      <c r="AQ677" s="383"/>
      <c r="AR677" s="507"/>
      <c r="AS677" s="514"/>
      <c r="AT677" s="514"/>
    </row>
    <row r="678">
      <c r="A678" s="382"/>
      <c r="B678" s="417"/>
      <c r="C678" s="383"/>
      <c r="D678" s="507"/>
      <c r="E678" s="382"/>
      <c r="F678" s="417"/>
      <c r="G678" s="383"/>
      <c r="H678" s="507"/>
      <c r="I678" s="382"/>
      <c r="J678" s="417"/>
      <c r="K678" s="383"/>
      <c r="L678" s="507"/>
      <c r="M678" s="382"/>
      <c r="N678" s="417"/>
      <c r="O678" s="383"/>
      <c r="P678" s="507"/>
      <c r="Q678" s="518"/>
      <c r="R678" s="519"/>
      <c r="S678" s="520"/>
      <c r="T678" s="513"/>
      <c r="U678" s="518"/>
      <c r="V678" s="519"/>
      <c r="W678" s="520"/>
      <c r="X678" s="513"/>
      <c r="Y678" s="518"/>
      <c r="Z678" s="519"/>
      <c r="AA678" s="520"/>
      <c r="AB678" s="513"/>
      <c r="AC678" s="518"/>
      <c r="AD678" s="519"/>
      <c r="AE678" s="520"/>
      <c r="AF678" s="513"/>
      <c r="AG678" s="356"/>
      <c r="AH678" s="356"/>
      <c r="AI678" s="356"/>
      <c r="AJ678" s="356"/>
      <c r="AK678" s="382"/>
      <c r="AL678" s="417"/>
      <c r="AM678" s="383"/>
      <c r="AN678" s="507"/>
      <c r="AO678" s="382"/>
      <c r="AP678" s="417"/>
      <c r="AQ678" s="383"/>
      <c r="AR678" s="507"/>
      <c r="AS678" s="514"/>
      <c r="AT678" s="514"/>
    </row>
    <row r="679">
      <c r="A679" s="382"/>
      <c r="B679" s="417"/>
      <c r="C679" s="383"/>
      <c r="D679" s="507"/>
      <c r="E679" s="382"/>
      <c r="F679" s="417"/>
      <c r="G679" s="383"/>
      <c r="H679" s="507"/>
      <c r="I679" s="382"/>
      <c r="J679" s="417"/>
      <c r="K679" s="383"/>
      <c r="L679" s="507"/>
      <c r="M679" s="382"/>
      <c r="N679" s="417"/>
      <c r="O679" s="383"/>
      <c r="P679" s="507"/>
      <c r="Q679" s="518"/>
      <c r="R679" s="519"/>
      <c r="S679" s="520"/>
      <c r="T679" s="513"/>
      <c r="U679" s="518"/>
      <c r="V679" s="519"/>
      <c r="W679" s="520"/>
      <c r="X679" s="513"/>
      <c r="Y679" s="518"/>
      <c r="Z679" s="519"/>
      <c r="AA679" s="520"/>
      <c r="AB679" s="513"/>
      <c r="AC679" s="518"/>
      <c r="AD679" s="519"/>
      <c r="AE679" s="520"/>
      <c r="AF679" s="513"/>
      <c r="AG679" s="356"/>
      <c r="AH679" s="356"/>
      <c r="AI679" s="356"/>
      <c r="AJ679" s="356"/>
      <c r="AK679" s="382"/>
      <c r="AL679" s="417"/>
      <c r="AM679" s="383"/>
      <c r="AN679" s="507"/>
      <c r="AO679" s="382"/>
      <c r="AP679" s="417"/>
      <c r="AQ679" s="383"/>
      <c r="AR679" s="507"/>
      <c r="AS679" s="514"/>
      <c r="AT679" s="514"/>
    </row>
    <row r="680">
      <c r="A680" s="382"/>
      <c r="B680" s="417"/>
      <c r="C680" s="383"/>
      <c r="D680" s="507"/>
      <c r="E680" s="382"/>
      <c r="F680" s="417"/>
      <c r="G680" s="383"/>
      <c r="H680" s="507"/>
      <c r="I680" s="382"/>
      <c r="J680" s="417"/>
      <c r="K680" s="383"/>
      <c r="L680" s="507"/>
      <c r="M680" s="382"/>
      <c r="N680" s="417"/>
      <c r="O680" s="383"/>
      <c r="P680" s="507"/>
      <c r="Q680" s="518"/>
      <c r="R680" s="519"/>
      <c r="S680" s="520"/>
      <c r="T680" s="513"/>
      <c r="U680" s="518"/>
      <c r="V680" s="519"/>
      <c r="W680" s="520"/>
      <c r="X680" s="513"/>
      <c r="Y680" s="518"/>
      <c r="Z680" s="519"/>
      <c r="AA680" s="520"/>
      <c r="AB680" s="513"/>
      <c r="AC680" s="518"/>
      <c r="AD680" s="519"/>
      <c r="AE680" s="520"/>
      <c r="AF680" s="513"/>
      <c r="AG680" s="356"/>
      <c r="AH680" s="356"/>
      <c r="AI680" s="356"/>
      <c r="AJ680" s="356"/>
      <c r="AK680" s="382"/>
      <c r="AL680" s="417"/>
      <c r="AM680" s="383"/>
      <c r="AN680" s="507"/>
      <c r="AO680" s="382"/>
      <c r="AP680" s="417"/>
      <c r="AQ680" s="383"/>
      <c r="AR680" s="507"/>
      <c r="AS680" s="514"/>
      <c r="AT680" s="514"/>
    </row>
    <row r="681">
      <c r="A681" s="382"/>
      <c r="B681" s="417"/>
      <c r="C681" s="383"/>
      <c r="D681" s="507"/>
      <c r="E681" s="382"/>
      <c r="F681" s="417"/>
      <c r="G681" s="383"/>
      <c r="H681" s="507"/>
      <c r="I681" s="382"/>
      <c r="J681" s="417"/>
      <c r="K681" s="383"/>
      <c r="L681" s="507"/>
      <c r="M681" s="382"/>
      <c r="N681" s="417"/>
      <c r="O681" s="383"/>
      <c r="P681" s="507"/>
      <c r="Q681" s="518"/>
      <c r="R681" s="519"/>
      <c r="S681" s="520"/>
      <c r="T681" s="513"/>
      <c r="U681" s="518"/>
      <c r="V681" s="519"/>
      <c r="W681" s="520"/>
      <c r="X681" s="513"/>
      <c r="Y681" s="518"/>
      <c r="Z681" s="519"/>
      <c r="AA681" s="520"/>
      <c r="AB681" s="513"/>
      <c r="AC681" s="518"/>
      <c r="AD681" s="519"/>
      <c r="AE681" s="520"/>
      <c r="AF681" s="513"/>
      <c r="AG681" s="356"/>
      <c r="AH681" s="356"/>
      <c r="AI681" s="356"/>
      <c r="AJ681" s="356"/>
      <c r="AK681" s="382"/>
      <c r="AL681" s="417"/>
      <c r="AM681" s="383"/>
      <c r="AN681" s="507"/>
      <c r="AO681" s="382"/>
      <c r="AP681" s="417"/>
      <c r="AQ681" s="383"/>
      <c r="AR681" s="507"/>
      <c r="AS681" s="514"/>
      <c r="AT681" s="514"/>
    </row>
    <row r="682">
      <c r="A682" s="382"/>
      <c r="B682" s="417"/>
      <c r="C682" s="383"/>
      <c r="D682" s="507"/>
      <c r="E682" s="382"/>
      <c r="F682" s="417"/>
      <c r="G682" s="383"/>
      <c r="H682" s="507"/>
      <c r="I682" s="382"/>
      <c r="J682" s="417"/>
      <c r="K682" s="383"/>
      <c r="L682" s="507"/>
      <c r="M682" s="382"/>
      <c r="N682" s="417"/>
      <c r="O682" s="383"/>
      <c r="P682" s="507"/>
      <c r="Q682" s="518"/>
      <c r="R682" s="519"/>
      <c r="S682" s="520"/>
      <c r="T682" s="513"/>
      <c r="U682" s="518"/>
      <c r="V682" s="519"/>
      <c r="W682" s="520"/>
      <c r="X682" s="513"/>
      <c r="Y682" s="518"/>
      <c r="Z682" s="519"/>
      <c r="AA682" s="520"/>
      <c r="AB682" s="513"/>
      <c r="AC682" s="518"/>
      <c r="AD682" s="519"/>
      <c r="AE682" s="520"/>
      <c r="AF682" s="513"/>
      <c r="AG682" s="356"/>
      <c r="AH682" s="356"/>
      <c r="AI682" s="356"/>
      <c r="AJ682" s="356"/>
      <c r="AK682" s="382"/>
      <c r="AL682" s="417"/>
      <c r="AM682" s="383"/>
      <c r="AN682" s="507"/>
      <c r="AO682" s="382"/>
      <c r="AP682" s="417"/>
      <c r="AQ682" s="383"/>
      <c r="AR682" s="507"/>
      <c r="AS682" s="514"/>
      <c r="AT682" s="514"/>
    </row>
    <row r="683">
      <c r="A683" s="382"/>
      <c r="B683" s="417"/>
      <c r="C683" s="383"/>
      <c r="D683" s="507"/>
      <c r="E683" s="382"/>
      <c r="F683" s="417"/>
      <c r="G683" s="383"/>
      <c r="H683" s="507"/>
      <c r="I683" s="382"/>
      <c r="J683" s="417"/>
      <c r="K683" s="383"/>
      <c r="L683" s="507"/>
      <c r="M683" s="382"/>
      <c r="N683" s="417"/>
      <c r="O683" s="383"/>
      <c r="P683" s="507"/>
      <c r="Q683" s="518"/>
      <c r="R683" s="519"/>
      <c r="S683" s="520"/>
      <c r="T683" s="513"/>
      <c r="U683" s="518"/>
      <c r="V683" s="519"/>
      <c r="W683" s="520"/>
      <c r="X683" s="513"/>
      <c r="Y683" s="518"/>
      <c r="Z683" s="519"/>
      <c r="AA683" s="520"/>
      <c r="AB683" s="513"/>
      <c r="AC683" s="518"/>
      <c r="AD683" s="519"/>
      <c r="AE683" s="520"/>
      <c r="AF683" s="513"/>
      <c r="AG683" s="356"/>
      <c r="AH683" s="356"/>
      <c r="AI683" s="356"/>
      <c r="AJ683" s="356"/>
      <c r="AK683" s="382"/>
      <c r="AL683" s="417"/>
      <c r="AM683" s="383"/>
      <c r="AN683" s="507"/>
      <c r="AO683" s="382"/>
      <c r="AP683" s="417"/>
      <c r="AQ683" s="383"/>
      <c r="AR683" s="507"/>
      <c r="AS683" s="514"/>
      <c r="AT683" s="514"/>
    </row>
    <row r="684">
      <c r="A684" s="382"/>
      <c r="B684" s="417"/>
      <c r="C684" s="383"/>
      <c r="D684" s="507"/>
      <c r="E684" s="382"/>
      <c r="F684" s="417"/>
      <c r="G684" s="383"/>
      <c r="H684" s="507"/>
      <c r="I684" s="382"/>
      <c r="J684" s="417"/>
      <c r="K684" s="383"/>
      <c r="L684" s="507"/>
      <c r="M684" s="382"/>
      <c r="N684" s="417"/>
      <c r="O684" s="383"/>
      <c r="P684" s="507"/>
      <c r="Q684" s="518"/>
      <c r="R684" s="519"/>
      <c r="S684" s="520"/>
      <c r="T684" s="513"/>
      <c r="U684" s="518"/>
      <c r="V684" s="519"/>
      <c r="W684" s="520"/>
      <c r="X684" s="513"/>
      <c r="Y684" s="518"/>
      <c r="Z684" s="519"/>
      <c r="AA684" s="520"/>
      <c r="AB684" s="513"/>
      <c r="AC684" s="518"/>
      <c r="AD684" s="519"/>
      <c r="AE684" s="520"/>
      <c r="AF684" s="513"/>
      <c r="AG684" s="356"/>
      <c r="AH684" s="356"/>
      <c r="AI684" s="356"/>
      <c r="AJ684" s="356"/>
      <c r="AK684" s="382"/>
      <c r="AL684" s="417"/>
      <c r="AM684" s="383"/>
      <c r="AN684" s="507"/>
      <c r="AO684" s="382"/>
      <c r="AP684" s="417"/>
      <c r="AQ684" s="383"/>
      <c r="AR684" s="507"/>
      <c r="AS684" s="514"/>
      <c r="AT684" s="514"/>
    </row>
    <row r="685">
      <c r="A685" s="382"/>
      <c r="B685" s="417"/>
      <c r="C685" s="383"/>
      <c r="D685" s="507"/>
      <c r="E685" s="382"/>
      <c r="F685" s="417"/>
      <c r="G685" s="383"/>
      <c r="H685" s="507"/>
      <c r="I685" s="382"/>
      <c r="J685" s="417"/>
      <c r="K685" s="383"/>
      <c r="L685" s="507"/>
      <c r="M685" s="382"/>
      <c r="N685" s="417"/>
      <c r="O685" s="383"/>
      <c r="P685" s="507"/>
      <c r="Q685" s="518"/>
      <c r="R685" s="519"/>
      <c r="S685" s="520"/>
      <c r="T685" s="513"/>
      <c r="U685" s="518"/>
      <c r="V685" s="519"/>
      <c r="W685" s="520"/>
      <c r="X685" s="513"/>
      <c r="Y685" s="518"/>
      <c r="Z685" s="519"/>
      <c r="AA685" s="520"/>
      <c r="AB685" s="513"/>
      <c r="AC685" s="518"/>
      <c r="AD685" s="519"/>
      <c r="AE685" s="520"/>
      <c r="AF685" s="513"/>
      <c r="AG685" s="356"/>
      <c r="AH685" s="356"/>
      <c r="AI685" s="356"/>
      <c r="AJ685" s="356"/>
      <c r="AK685" s="382"/>
      <c r="AL685" s="417"/>
      <c r="AM685" s="383"/>
      <c r="AN685" s="507"/>
      <c r="AO685" s="382"/>
      <c r="AP685" s="417"/>
      <c r="AQ685" s="383"/>
      <c r="AR685" s="507"/>
      <c r="AS685" s="514"/>
      <c r="AT685" s="514"/>
    </row>
    <row r="686">
      <c r="A686" s="382"/>
      <c r="B686" s="417"/>
      <c r="C686" s="383"/>
      <c r="D686" s="507"/>
      <c r="E686" s="382"/>
      <c r="F686" s="417"/>
      <c r="G686" s="383"/>
      <c r="H686" s="507"/>
      <c r="I686" s="382"/>
      <c r="J686" s="417"/>
      <c r="K686" s="383"/>
      <c r="L686" s="507"/>
      <c r="M686" s="382"/>
      <c r="N686" s="417"/>
      <c r="O686" s="383"/>
      <c r="P686" s="507"/>
      <c r="Q686" s="518"/>
      <c r="R686" s="519"/>
      <c r="S686" s="520"/>
      <c r="T686" s="513"/>
      <c r="U686" s="518"/>
      <c r="V686" s="519"/>
      <c r="W686" s="520"/>
      <c r="X686" s="513"/>
      <c r="Y686" s="518"/>
      <c r="Z686" s="519"/>
      <c r="AA686" s="520"/>
      <c r="AB686" s="513"/>
      <c r="AC686" s="518"/>
      <c r="AD686" s="519"/>
      <c r="AE686" s="520"/>
      <c r="AF686" s="513"/>
      <c r="AG686" s="356"/>
      <c r="AH686" s="356"/>
      <c r="AI686" s="356"/>
      <c r="AJ686" s="356"/>
      <c r="AK686" s="382"/>
      <c r="AL686" s="417"/>
      <c r="AM686" s="383"/>
      <c r="AN686" s="507"/>
      <c r="AO686" s="382"/>
      <c r="AP686" s="417"/>
      <c r="AQ686" s="383"/>
      <c r="AR686" s="507"/>
      <c r="AS686" s="514"/>
      <c r="AT686" s="514"/>
    </row>
    <row r="687">
      <c r="A687" s="382"/>
      <c r="B687" s="417"/>
      <c r="C687" s="383"/>
      <c r="D687" s="507"/>
      <c r="E687" s="382"/>
      <c r="F687" s="417"/>
      <c r="G687" s="383"/>
      <c r="H687" s="507"/>
      <c r="I687" s="382"/>
      <c r="J687" s="417"/>
      <c r="K687" s="383"/>
      <c r="L687" s="507"/>
      <c r="M687" s="382"/>
      <c r="N687" s="417"/>
      <c r="O687" s="383"/>
      <c r="P687" s="507"/>
      <c r="Q687" s="518"/>
      <c r="R687" s="519"/>
      <c r="S687" s="520"/>
      <c r="T687" s="513"/>
      <c r="U687" s="518"/>
      <c r="V687" s="519"/>
      <c r="W687" s="520"/>
      <c r="X687" s="513"/>
      <c r="Y687" s="518"/>
      <c r="Z687" s="519"/>
      <c r="AA687" s="520"/>
      <c r="AB687" s="513"/>
      <c r="AC687" s="518"/>
      <c r="AD687" s="519"/>
      <c r="AE687" s="520"/>
      <c r="AF687" s="513"/>
      <c r="AG687" s="356"/>
      <c r="AH687" s="356"/>
      <c r="AI687" s="356"/>
      <c r="AJ687" s="356"/>
      <c r="AK687" s="382"/>
      <c r="AL687" s="417"/>
      <c r="AM687" s="383"/>
      <c r="AN687" s="507"/>
      <c r="AO687" s="382"/>
      <c r="AP687" s="417"/>
      <c r="AQ687" s="383"/>
      <c r="AR687" s="507"/>
      <c r="AS687" s="514"/>
      <c r="AT687" s="514"/>
    </row>
    <row r="688">
      <c r="A688" s="382"/>
      <c r="B688" s="417"/>
      <c r="C688" s="383"/>
      <c r="D688" s="507"/>
      <c r="E688" s="382"/>
      <c r="F688" s="417"/>
      <c r="G688" s="383"/>
      <c r="H688" s="507"/>
      <c r="I688" s="382"/>
      <c r="J688" s="417"/>
      <c r="K688" s="383"/>
      <c r="L688" s="507"/>
      <c r="M688" s="382"/>
      <c r="N688" s="417"/>
      <c r="O688" s="383"/>
      <c r="P688" s="507"/>
      <c r="Q688" s="518"/>
      <c r="R688" s="519"/>
      <c r="S688" s="520"/>
      <c r="T688" s="513"/>
      <c r="U688" s="518"/>
      <c r="V688" s="519"/>
      <c r="W688" s="520"/>
      <c r="X688" s="513"/>
      <c r="Y688" s="518"/>
      <c r="Z688" s="519"/>
      <c r="AA688" s="520"/>
      <c r="AB688" s="513"/>
      <c r="AC688" s="518"/>
      <c r="AD688" s="519"/>
      <c r="AE688" s="520"/>
      <c r="AF688" s="513"/>
      <c r="AG688" s="356"/>
      <c r="AH688" s="356"/>
      <c r="AI688" s="356"/>
      <c r="AJ688" s="356"/>
      <c r="AK688" s="382"/>
      <c r="AL688" s="417"/>
      <c r="AM688" s="383"/>
      <c r="AN688" s="507"/>
      <c r="AO688" s="382"/>
      <c r="AP688" s="417"/>
      <c r="AQ688" s="383"/>
      <c r="AR688" s="507"/>
      <c r="AS688" s="514"/>
      <c r="AT688" s="514"/>
    </row>
    <row r="689">
      <c r="A689" s="382"/>
      <c r="B689" s="417"/>
      <c r="C689" s="383"/>
      <c r="D689" s="507"/>
      <c r="E689" s="382"/>
      <c r="F689" s="417"/>
      <c r="G689" s="383"/>
      <c r="H689" s="507"/>
      <c r="I689" s="382"/>
      <c r="J689" s="417"/>
      <c r="K689" s="383"/>
      <c r="L689" s="507"/>
      <c r="M689" s="382"/>
      <c r="N689" s="417"/>
      <c r="O689" s="383"/>
      <c r="P689" s="507"/>
      <c r="Q689" s="518"/>
      <c r="R689" s="519"/>
      <c r="S689" s="520"/>
      <c r="T689" s="513"/>
      <c r="U689" s="518"/>
      <c r="V689" s="519"/>
      <c r="W689" s="520"/>
      <c r="X689" s="513"/>
      <c r="Y689" s="518"/>
      <c r="Z689" s="519"/>
      <c r="AA689" s="520"/>
      <c r="AB689" s="513"/>
      <c r="AC689" s="518"/>
      <c r="AD689" s="519"/>
      <c r="AE689" s="520"/>
      <c r="AF689" s="513"/>
      <c r="AG689" s="356"/>
      <c r="AH689" s="356"/>
      <c r="AI689" s="356"/>
      <c r="AJ689" s="356"/>
      <c r="AK689" s="382"/>
      <c r="AL689" s="417"/>
      <c r="AM689" s="383"/>
      <c r="AN689" s="507"/>
      <c r="AO689" s="382"/>
      <c r="AP689" s="417"/>
      <c r="AQ689" s="383"/>
      <c r="AR689" s="507"/>
      <c r="AS689" s="514"/>
      <c r="AT689" s="514"/>
    </row>
    <row r="690">
      <c r="A690" s="382"/>
      <c r="B690" s="417"/>
      <c r="C690" s="383"/>
      <c r="D690" s="507"/>
      <c r="E690" s="382"/>
      <c r="F690" s="417"/>
      <c r="G690" s="383"/>
      <c r="H690" s="507"/>
      <c r="I690" s="382"/>
      <c r="J690" s="417"/>
      <c r="K690" s="383"/>
      <c r="L690" s="507"/>
      <c r="M690" s="382"/>
      <c r="N690" s="417"/>
      <c r="O690" s="383"/>
      <c r="P690" s="507"/>
      <c r="Q690" s="518"/>
      <c r="R690" s="519"/>
      <c r="S690" s="520"/>
      <c r="T690" s="513"/>
      <c r="U690" s="518"/>
      <c r="V690" s="519"/>
      <c r="W690" s="520"/>
      <c r="X690" s="513"/>
      <c r="Y690" s="518"/>
      <c r="Z690" s="519"/>
      <c r="AA690" s="520"/>
      <c r="AB690" s="513"/>
      <c r="AC690" s="518"/>
      <c r="AD690" s="519"/>
      <c r="AE690" s="520"/>
      <c r="AF690" s="513"/>
      <c r="AG690" s="356"/>
      <c r="AH690" s="356"/>
      <c r="AI690" s="356"/>
      <c r="AJ690" s="356"/>
      <c r="AK690" s="382"/>
      <c r="AL690" s="417"/>
      <c r="AM690" s="383"/>
      <c r="AN690" s="507"/>
      <c r="AO690" s="382"/>
      <c r="AP690" s="417"/>
      <c r="AQ690" s="383"/>
      <c r="AR690" s="507"/>
      <c r="AS690" s="514"/>
      <c r="AT690" s="514"/>
    </row>
    <row r="691">
      <c r="A691" s="382"/>
      <c r="B691" s="417"/>
      <c r="C691" s="383"/>
      <c r="D691" s="507"/>
      <c r="E691" s="382"/>
      <c r="F691" s="417"/>
      <c r="G691" s="383"/>
      <c r="H691" s="507"/>
      <c r="I691" s="382"/>
      <c r="J691" s="417"/>
      <c r="K691" s="383"/>
      <c r="L691" s="507"/>
      <c r="M691" s="382"/>
      <c r="N691" s="417"/>
      <c r="O691" s="383"/>
      <c r="P691" s="507"/>
      <c r="Q691" s="518"/>
      <c r="R691" s="519"/>
      <c r="S691" s="520"/>
      <c r="T691" s="513"/>
      <c r="U691" s="518"/>
      <c r="V691" s="519"/>
      <c r="W691" s="520"/>
      <c r="X691" s="513"/>
      <c r="Y691" s="518"/>
      <c r="Z691" s="519"/>
      <c r="AA691" s="520"/>
      <c r="AB691" s="513"/>
      <c r="AC691" s="518"/>
      <c r="AD691" s="519"/>
      <c r="AE691" s="520"/>
      <c r="AF691" s="513"/>
      <c r="AG691" s="356"/>
      <c r="AH691" s="356"/>
      <c r="AI691" s="356"/>
      <c r="AJ691" s="356"/>
      <c r="AK691" s="382"/>
      <c r="AL691" s="417"/>
      <c r="AM691" s="383"/>
      <c r="AN691" s="507"/>
      <c r="AO691" s="382"/>
      <c r="AP691" s="417"/>
      <c r="AQ691" s="383"/>
      <c r="AR691" s="507"/>
      <c r="AS691" s="514"/>
      <c r="AT691" s="514"/>
    </row>
    <row r="692">
      <c r="A692" s="382"/>
      <c r="B692" s="417"/>
      <c r="C692" s="383"/>
      <c r="D692" s="507"/>
      <c r="E692" s="382"/>
      <c r="F692" s="417"/>
      <c r="G692" s="383"/>
      <c r="H692" s="507"/>
      <c r="I692" s="382"/>
      <c r="J692" s="417"/>
      <c r="K692" s="383"/>
      <c r="L692" s="507"/>
      <c r="M692" s="382"/>
      <c r="N692" s="417"/>
      <c r="O692" s="383"/>
      <c r="P692" s="507"/>
      <c r="Q692" s="518"/>
      <c r="R692" s="519"/>
      <c r="S692" s="520"/>
      <c r="T692" s="513"/>
      <c r="U692" s="518"/>
      <c r="V692" s="519"/>
      <c r="W692" s="520"/>
      <c r="X692" s="513"/>
      <c r="Y692" s="518"/>
      <c r="Z692" s="519"/>
      <c r="AA692" s="520"/>
      <c r="AB692" s="513"/>
      <c r="AC692" s="518"/>
      <c r="AD692" s="519"/>
      <c r="AE692" s="520"/>
      <c r="AF692" s="513"/>
      <c r="AG692" s="356"/>
      <c r="AH692" s="356"/>
      <c r="AI692" s="356"/>
      <c r="AJ692" s="356"/>
      <c r="AK692" s="382"/>
      <c r="AL692" s="417"/>
      <c r="AM692" s="383"/>
      <c r="AN692" s="507"/>
      <c r="AO692" s="382"/>
      <c r="AP692" s="417"/>
      <c r="AQ692" s="383"/>
      <c r="AR692" s="507"/>
      <c r="AS692" s="514"/>
      <c r="AT692" s="514"/>
    </row>
    <row r="693">
      <c r="A693" s="382"/>
      <c r="B693" s="417"/>
      <c r="C693" s="383"/>
      <c r="D693" s="507"/>
      <c r="E693" s="382"/>
      <c r="F693" s="417"/>
      <c r="G693" s="383"/>
      <c r="H693" s="507"/>
      <c r="I693" s="382"/>
      <c r="J693" s="417"/>
      <c r="K693" s="383"/>
      <c r="L693" s="507"/>
      <c r="M693" s="382"/>
      <c r="N693" s="417"/>
      <c r="O693" s="383"/>
      <c r="P693" s="507"/>
      <c r="Q693" s="518"/>
      <c r="R693" s="519"/>
      <c r="S693" s="520"/>
      <c r="T693" s="513"/>
      <c r="U693" s="518"/>
      <c r="V693" s="519"/>
      <c r="W693" s="520"/>
      <c r="X693" s="513"/>
      <c r="Y693" s="518"/>
      <c r="Z693" s="519"/>
      <c r="AA693" s="520"/>
      <c r="AB693" s="513"/>
      <c r="AC693" s="518"/>
      <c r="AD693" s="519"/>
      <c r="AE693" s="520"/>
      <c r="AF693" s="513"/>
      <c r="AG693" s="356"/>
      <c r="AH693" s="356"/>
      <c r="AI693" s="356"/>
      <c r="AJ693" s="356"/>
      <c r="AK693" s="382"/>
      <c r="AL693" s="417"/>
      <c r="AM693" s="383"/>
      <c r="AN693" s="507"/>
      <c r="AO693" s="382"/>
      <c r="AP693" s="417"/>
      <c r="AQ693" s="383"/>
      <c r="AR693" s="507"/>
      <c r="AS693" s="514"/>
      <c r="AT693" s="514"/>
    </row>
    <row r="694">
      <c r="A694" s="382"/>
      <c r="B694" s="417"/>
      <c r="C694" s="383"/>
      <c r="D694" s="507"/>
      <c r="E694" s="382"/>
      <c r="F694" s="417"/>
      <c r="G694" s="383"/>
      <c r="H694" s="507"/>
      <c r="I694" s="382"/>
      <c r="J694" s="417"/>
      <c r="K694" s="383"/>
      <c r="L694" s="507"/>
      <c r="M694" s="382"/>
      <c r="N694" s="417"/>
      <c r="O694" s="383"/>
      <c r="P694" s="507"/>
      <c r="Q694" s="518"/>
      <c r="R694" s="519"/>
      <c r="S694" s="520"/>
      <c r="T694" s="513"/>
      <c r="U694" s="518"/>
      <c r="V694" s="519"/>
      <c r="W694" s="520"/>
      <c r="X694" s="513"/>
      <c r="Y694" s="518"/>
      <c r="Z694" s="519"/>
      <c r="AA694" s="520"/>
      <c r="AB694" s="513"/>
      <c r="AC694" s="518"/>
      <c r="AD694" s="519"/>
      <c r="AE694" s="520"/>
      <c r="AF694" s="513"/>
      <c r="AG694" s="356"/>
      <c r="AH694" s="356"/>
      <c r="AI694" s="356"/>
      <c r="AJ694" s="356"/>
      <c r="AK694" s="382"/>
      <c r="AL694" s="417"/>
      <c r="AM694" s="383"/>
      <c r="AN694" s="507"/>
      <c r="AO694" s="382"/>
      <c r="AP694" s="417"/>
      <c r="AQ694" s="383"/>
      <c r="AR694" s="507"/>
      <c r="AS694" s="514"/>
      <c r="AT694" s="514"/>
    </row>
    <row r="695">
      <c r="A695" s="382"/>
      <c r="B695" s="417"/>
      <c r="C695" s="383"/>
      <c r="D695" s="507"/>
      <c r="E695" s="382"/>
      <c r="F695" s="417"/>
      <c r="G695" s="383"/>
      <c r="H695" s="507"/>
      <c r="I695" s="382"/>
      <c r="J695" s="417"/>
      <c r="K695" s="383"/>
      <c r="L695" s="507"/>
      <c r="M695" s="382"/>
      <c r="N695" s="417"/>
      <c r="O695" s="383"/>
      <c r="P695" s="507"/>
      <c r="Q695" s="518"/>
      <c r="R695" s="519"/>
      <c r="S695" s="520"/>
      <c r="T695" s="513"/>
      <c r="U695" s="518"/>
      <c r="V695" s="519"/>
      <c r="W695" s="520"/>
      <c r="X695" s="513"/>
      <c r="Y695" s="518"/>
      <c r="Z695" s="519"/>
      <c r="AA695" s="520"/>
      <c r="AB695" s="513"/>
      <c r="AC695" s="518"/>
      <c r="AD695" s="519"/>
      <c r="AE695" s="520"/>
      <c r="AF695" s="513"/>
      <c r="AG695" s="356"/>
      <c r="AH695" s="356"/>
      <c r="AI695" s="356"/>
      <c r="AJ695" s="356"/>
      <c r="AK695" s="382"/>
      <c r="AL695" s="417"/>
      <c r="AM695" s="383"/>
      <c r="AN695" s="507"/>
      <c r="AO695" s="382"/>
      <c r="AP695" s="417"/>
      <c r="AQ695" s="383"/>
      <c r="AR695" s="507"/>
      <c r="AS695" s="514"/>
      <c r="AT695" s="514"/>
    </row>
    <row r="696">
      <c r="A696" s="382"/>
      <c r="B696" s="417"/>
      <c r="C696" s="383"/>
      <c r="D696" s="507"/>
      <c r="E696" s="382"/>
      <c r="F696" s="417"/>
      <c r="G696" s="383"/>
      <c r="H696" s="507"/>
      <c r="I696" s="382"/>
      <c r="J696" s="417"/>
      <c r="K696" s="383"/>
      <c r="L696" s="507"/>
      <c r="M696" s="382"/>
      <c r="N696" s="417"/>
      <c r="O696" s="383"/>
      <c r="P696" s="507"/>
      <c r="Q696" s="518"/>
      <c r="R696" s="519"/>
      <c r="S696" s="520"/>
      <c r="T696" s="513"/>
      <c r="U696" s="518"/>
      <c r="V696" s="519"/>
      <c r="W696" s="520"/>
      <c r="X696" s="513"/>
      <c r="Y696" s="518"/>
      <c r="Z696" s="519"/>
      <c r="AA696" s="520"/>
      <c r="AB696" s="513"/>
      <c r="AC696" s="518"/>
      <c r="AD696" s="519"/>
      <c r="AE696" s="520"/>
      <c r="AF696" s="513"/>
      <c r="AG696" s="356"/>
      <c r="AH696" s="356"/>
      <c r="AI696" s="356"/>
      <c r="AJ696" s="356"/>
      <c r="AK696" s="382"/>
      <c r="AL696" s="417"/>
      <c r="AM696" s="383"/>
      <c r="AN696" s="507"/>
      <c r="AO696" s="382"/>
      <c r="AP696" s="417"/>
      <c r="AQ696" s="383"/>
      <c r="AR696" s="507"/>
      <c r="AS696" s="514"/>
      <c r="AT696" s="514"/>
    </row>
    <row r="697">
      <c r="A697" s="382"/>
      <c r="B697" s="417"/>
      <c r="C697" s="383"/>
      <c r="D697" s="507"/>
      <c r="E697" s="382"/>
      <c r="F697" s="417"/>
      <c r="G697" s="383"/>
      <c r="H697" s="507"/>
      <c r="I697" s="382"/>
      <c r="J697" s="417"/>
      <c r="K697" s="383"/>
      <c r="L697" s="507"/>
      <c r="M697" s="382"/>
      <c r="N697" s="417"/>
      <c r="O697" s="383"/>
      <c r="P697" s="507"/>
      <c r="Q697" s="518"/>
      <c r="R697" s="519"/>
      <c r="S697" s="520"/>
      <c r="T697" s="513"/>
      <c r="U697" s="518"/>
      <c r="V697" s="519"/>
      <c r="W697" s="520"/>
      <c r="X697" s="513"/>
      <c r="Y697" s="518"/>
      <c r="Z697" s="519"/>
      <c r="AA697" s="520"/>
      <c r="AB697" s="513"/>
      <c r="AC697" s="518"/>
      <c r="AD697" s="519"/>
      <c r="AE697" s="520"/>
      <c r="AF697" s="513"/>
      <c r="AG697" s="356"/>
      <c r="AH697" s="356"/>
      <c r="AI697" s="356"/>
      <c r="AJ697" s="356"/>
      <c r="AK697" s="382"/>
      <c r="AL697" s="417"/>
      <c r="AM697" s="383"/>
      <c r="AN697" s="507"/>
      <c r="AO697" s="382"/>
      <c r="AP697" s="417"/>
      <c r="AQ697" s="383"/>
      <c r="AR697" s="507"/>
      <c r="AS697" s="514"/>
      <c r="AT697" s="514"/>
    </row>
    <row r="698">
      <c r="A698" s="382"/>
      <c r="B698" s="417"/>
      <c r="C698" s="383"/>
      <c r="D698" s="507"/>
      <c r="E698" s="382"/>
      <c r="F698" s="417"/>
      <c r="G698" s="383"/>
      <c r="H698" s="507"/>
      <c r="I698" s="382"/>
      <c r="J698" s="417"/>
      <c r="K698" s="383"/>
      <c r="L698" s="507"/>
      <c r="M698" s="382"/>
      <c r="N698" s="417"/>
      <c r="O698" s="383"/>
      <c r="P698" s="507"/>
      <c r="Q698" s="518"/>
      <c r="R698" s="519"/>
      <c r="S698" s="520"/>
      <c r="T698" s="513"/>
      <c r="U698" s="518"/>
      <c r="V698" s="519"/>
      <c r="W698" s="520"/>
      <c r="X698" s="513"/>
      <c r="Y698" s="518"/>
      <c r="Z698" s="519"/>
      <c r="AA698" s="520"/>
      <c r="AB698" s="513"/>
      <c r="AC698" s="518"/>
      <c r="AD698" s="519"/>
      <c r="AE698" s="520"/>
      <c r="AF698" s="513"/>
      <c r="AG698" s="356"/>
      <c r="AH698" s="356"/>
      <c r="AI698" s="356"/>
      <c r="AJ698" s="356"/>
      <c r="AK698" s="382"/>
      <c r="AL698" s="417"/>
      <c r="AM698" s="383"/>
      <c r="AN698" s="507"/>
      <c r="AO698" s="382"/>
      <c r="AP698" s="417"/>
      <c r="AQ698" s="383"/>
      <c r="AR698" s="507"/>
      <c r="AS698" s="514"/>
      <c r="AT698" s="514"/>
    </row>
    <row r="699">
      <c r="A699" s="382"/>
      <c r="B699" s="417"/>
      <c r="C699" s="383"/>
      <c r="D699" s="507"/>
      <c r="E699" s="382"/>
      <c r="F699" s="417"/>
      <c r="G699" s="383"/>
      <c r="H699" s="507"/>
      <c r="I699" s="382"/>
      <c r="J699" s="417"/>
      <c r="K699" s="383"/>
      <c r="L699" s="507"/>
      <c r="M699" s="382"/>
      <c r="N699" s="417"/>
      <c r="O699" s="383"/>
      <c r="P699" s="507"/>
      <c r="Q699" s="518"/>
      <c r="R699" s="519"/>
      <c r="S699" s="520"/>
      <c r="T699" s="513"/>
      <c r="U699" s="518"/>
      <c r="V699" s="519"/>
      <c r="W699" s="520"/>
      <c r="X699" s="513"/>
      <c r="Y699" s="518"/>
      <c r="Z699" s="519"/>
      <c r="AA699" s="520"/>
      <c r="AB699" s="513"/>
      <c r="AC699" s="518"/>
      <c r="AD699" s="519"/>
      <c r="AE699" s="520"/>
      <c r="AF699" s="513"/>
      <c r="AG699" s="356"/>
      <c r="AH699" s="356"/>
      <c r="AI699" s="356"/>
      <c r="AJ699" s="356"/>
      <c r="AK699" s="382"/>
      <c r="AL699" s="417"/>
      <c r="AM699" s="383"/>
      <c r="AN699" s="507"/>
      <c r="AO699" s="382"/>
      <c r="AP699" s="417"/>
      <c r="AQ699" s="383"/>
      <c r="AR699" s="507"/>
      <c r="AS699" s="514"/>
      <c r="AT699" s="514"/>
    </row>
    <row r="700">
      <c r="A700" s="382"/>
      <c r="B700" s="417"/>
      <c r="C700" s="383"/>
      <c r="D700" s="507"/>
      <c r="E700" s="382"/>
      <c r="F700" s="417"/>
      <c r="G700" s="383"/>
      <c r="H700" s="507"/>
      <c r="I700" s="382"/>
      <c r="J700" s="417"/>
      <c r="K700" s="383"/>
      <c r="L700" s="507"/>
      <c r="M700" s="382"/>
      <c r="N700" s="417"/>
      <c r="O700" s="383"/>
      <c r="P700" s="507"/>
      <c r="Q700" s="518"/>
      <c r="R700" s="519"/>
      <c r="S700" s="520"/>
      <c r="T700" s="513"/>
      <c r="U700" s="518"/>
      <c r="V700" s="519"/>
      <c r="W700" s="520"/>
      <c r="X700" s="513"/>
      <c r="Y700" s="518"/>
      <c r="Z700" s="519"/>
      <c r="AA700" s="520"/>
      <c r="AB700" s="513"/>
      <c r="AC700" s="518"/>
      <c r="AD700" s="519"/>
      <c r="AE700" s="520"/>
      <c r="AF700" s="513"/>
      <c r="AG700" s="356"/>
      <c r="AH700" s="356"/>
      <c r="AI700" s="356"/>
      <c r="AJ700" s="356"/>
      <c r="AK700" s="382"/>
      <c r="AL700" s="417"/>
      <c r="AM700" s="383"/>
      <c r="AN700" s="507"/>
      <c r="AO700" s="382"/>
      <c r="AP700" s="417"/>
      <c r="AQ700" s="383"/>
      <c r="AR700" s="507"/>
      <c r="AS700" s="514"/>
      <c r="AT700" s="514"/>
    </row>
    <row r="701">
      <c r="A701" s="382"/>
      <c r="B701" s="417"/>
      <c r="C701" s="383"/>
      <c r="D701" s="507"/>
      <c r="E701" s="382"/>
      <c r="F701" s="417"/>
      <c r="G701" s="383"/>
      <c r="H701" s="507"/>
      <c r="I701" s="382"/>
      <c r="J701" s="417"/>
      <c r="K701" s="383"/>
      <c r="L701" s="507"/>
      <c r="M701" s="382"/>
      <c r="N701" s="417"/>
      <c r="O701" s="383"/>
      <c r="P701" s="507"/>
      <c r="Q701" s="518"/>
      <c r="R701" s="519"/>
      <c r="S701" s="520"/>
      <c r="T701" s="513"/>
      <c r="U701" s="518"/>
      <c r="V701" s="519"/>
      <c r="W701" s="520"/>
      <c r="X701" s="513"/>
      <c r="Y701" s="518"/>
      <c r="Z701" s="519"/>
      <c r="AA701" s="520"/>
      <c r="AB701" s="513"/>
      <c r="AC701" s="518"/>
      <c r="AD701" s="519"/>
      <c r="AE701" s="520"/>
      <c r="AF701" s="513"/>
      <c r="AG701" s="356"/>
      <c r="AH701" s="356"/>
      <c r="AI701" s="356"/>
      <c r="AJ701" s="356"/>
      <c r="AK701" s="382"/>
      <c r="AL701" s="417"/>
      <c r="AM701" s="383"/>
      <c r="AN701" s="507"/>
      <c r="AO701" s="382"/>
      <c r="AP701" s="417"/>
      <c r="AQ701" s="383"/>
      <c r="AR701" s="507"/>
      <c r="AS701" s="514"/>
      <c r="AT701" s="514"/>
    </row>
    <row r="702">
      <c r="A702" s="382"/>
      <c r="B702" s="417"/>
      <c r="C702" s="383"/>
      <c r="D702" s="507"/>
      <c r="E702" s="382"/>
      <c r="F702" s="417"/>
      <c r="G702" s="383"/>
      <c r="H702" s="507"/>
      <c r="I702" s="382"/>
      <c r="J702" s="417"/>
      <c r="K702" s="383"/>
      <c r="L702" s="507"/>
      <c r="M702" s="382"/>
      <c r="N702" s="417"/>
      <c r="O702" s="383"/>
      <c r="P702" s="507"/>
      <c r="Q702" s="518"/>
      <c r="R702" s="519"/>
      <c r="S702" s="520"/>
      <c r="T702" s="513"/>
      <c r="U702" s="518"/>
      <c r="V702" s="519"/>
      <c r="W702" s="520"/>
      <c r="X702" s="513"/>
      <c r="Y702" s="518"/>
      <c r="Z702" s="519"/>
      <c r="AA702" s="520"/>
      <c r="AB702" s="513"/>
      <c r="AC702" s="518"/>
      <c r="AD702" s="519"/>
      <c r="AE702" s="520"/>
      <c r="AF702" s="513"/>
      <c r="AG702" s="356"/>
      <c r="AH702" s="356"/>
      <c r="AI702" s="356"/>
      <c r="AJ702" s="356"/>
      <c r="AK702" s="382"/>
      <c r="AL702" s="417"/>
      <c r="AM702" s="383"/>
      <c r="AN702" s="507"/>
      <c r="AO702" s="382"/>
      <c r="AP702" s="417"/>
      <c r="AQ702" s="383"/>
      <c r="AR702" s="507"/>
      <c r="AS702" s="514"/>
      <c r="AT702" s="514"/>
    </row>
    <row r="703">
      <c r="A703" s="382"/>
      <c r="B703" s="417"/>
      <c r="C703" s="383"/>
      <c r="D703" s="507"/>
      <c r="E703" s="382"/>
      <c r="F703" s="417"/>
      <c r="G703" s="383"/>
      <c r="H703" s="507"/>
      <c r="I703" s="382"/>
      <c r="J703" s="417"/>
      <c r="K703" s="383"/>
      <c r="L703" s="507"/>
      <c r="M703" s="382"/>
      <c r="N703" s="417"/>
      <c r="O703" s="383"/>
      <c r="P703" s="507"/>
      <c r="Q703" s="518"/>
      <c r="R703" s="519"/>
      <c r="S703" s="520"/>
      <c r="T703" s="513"/>
      <c r="U703" s="518"/>
      <c r="V703" s="519"/>
      <c r="W703" s="520"/>
      <c r="X703" s="513"/>
      <c r="Y703" s="518"/>
      <c r="Z703" s="519"/>
      <c r="AA703" s="520"/>
      <c r="AB703" s="513"/>
      <c r="AC703" s="518"/>
      <c r="AD703" s="519"/>
      <c r="AE703" s="520"/>
      <c r="AF703" s="513"/>
      <c r="AG703" s="356"/>
      <c r="AH703" s="356"/>
      <c r="AI703" s="356"/>
      <c r="AJ703" s="356"/>
      <c r="AK703" s="382"/>
      <c r="AL703" s="417"/>
      <c r="AM703" s="383"/>
      <c r="AN703" s="507"/>
      <c r="AO703" s="382"/>
      <c r="AP703" s="417"/>
      <c r="AQ703" s="383"/>
      <c r="AR703" s="507"/>
      <c r="AS703" s="514"/>
      <c r="AT703" s="514"/>
    </row>
    <row r="704">
      <c r="A704" s="382"/>
      <c r="B704" s="417"/>
      <c r="C704" s="383"/>
      <c r="D704" s="507"/>
      <c r="E704" s="382"/>
      <c r="F704" s="417"/>
      <c r="G704" s="383"/>
      <c r="H704" s="507"/>
      <c r="I704" s="382"/>
      <c r="J704" s="417"/>
      <c r="K704" s="383"/>
      <c r="L704" s="507"/>
      <c r="M704" s="382"/>
      <c r="N704" s="417"/>
      <c r="O704" s="383"/>
      <c r="P704" s="507"/>
      <c r="Q704" s="518"/>
      <c r="R704" s="519"/>
      <c r="S704" s="520"/>
      <c r="T704" s="513"/>
      <c r="U704" s="518"/>
      <c r="V704" s="519"/>
      <c r="W704" s="520"/>
      <c r="X704" s="513"/>
      <c r="Y704" s="518"/>
      <c r="Z704" s="519"/>
      <c r="AA704" s="520"/>
      <c r="AB704" s="513"/>
      <c r="AC704" s="518"/>
      <c r="AD704" s="519"/>
      <c r="AE704" s="520"/>
      <c r="AF704" s="513"/>
      <c r="AG704" s="356"/>
      <c r="AH704" s="356"/>
      <c r="AI704" s="356"/>
      <c r="AJ704" s="356"/>
      <c r="AK704" s="382"/>
      <c r="AL704" s="417"/>
      <c r="AM704" s="383"/>
      <c r="AN704" s="507"/>
      <c r="AO704" s="382"/>
      <c r="AP704" s="417"/>
      <c r="AQ704" s="383"/>
      <c r="AR704" s="507"/>
      <c r="AS704" s="514"/>
      <c r="AT704" s="514"/>
    </row>
    <row r="705">
      <c r="A705" s="382"/>
      <c r="B705" s="417"/>
      <c r="C705" s="383"/>
      <c r="D705" s="507"/>
      <c r="E705" s="382"/>
      <c r="F705" s="417"/>
      <c r="G705" s="383"/>
      <c r="H705" s="507"/>
      <c r="I705" s="382"/>
      <c r="J705" s="417"/>
      <c r="K705" s="383"/>
      <c r="L705" s="507"/>
      <c r="M705" s="382"/>
      <c r="N705" s="417"/>
      <c r="O705" s="383"/>
      <c r="P705" s="507"/>
      <c r="Q705" s="518"/>
      <c r="R705" s="519"/>
      <c r="S705" s="520"/>
      <c r="T705" s="513"/>
      <c r="U705" s="518"/>
      <c r="V705" s="519"/>
      <c r="W705" s="520"/>
      <c r="X705" s="513"/>
      <c r="Y705" s="518"/>
      <c r="Z705" s="519"/>
      <c r="AA705" s="520"/>
      <c r="AB705" s="513"/>
      <c r="AC705" s="518"/>
      <c r="AD705" s="519"/>
      <c r="AE705" s="520"/>
      <c r="AF705" s="513"/>
      <c r="AG705" s="356"/>
      <c r="AH705" s="356"/>
      <c r="AI705" s="356"/>
      <c r="AJ705" s="356"/>
      <c r="AK705" s="382"/>
      <c r="AL705" s="417"/>
      <c r="AM705" s="383"/>
      <c r="AN705" s="507"/>
      <c r="AO705" s="382"/>
      <c r="AP705" s="417"/>
      <c r="AQ705" s="383"/>
      <c r="AR705" s="507"/>
      <c r="AS705" s="514"/>
      <c r="AT705" s="514"/>
    </row>
    <row r="706">
      <c r="A706" s="382"/>
      <c r="B706" s="417"/>
      <c r="C706" s="383"/>
      <c r="D706" s="507"/>
      <c r="E706" s="382"/>
      <c r="F706" s="417"/>
      <c r="G706" s="383"/>
      <c r="H706" s="507"/>
      <c r="I706" s="382"/>
      <c r="J706" s="417"/>
      <c r="K706" s="383"/>
      <c r="L706" s="507"/>
      <c r="M706" s="382"/>
      <c r="N706" s="417"/>
      <c r="O706" s="383"/>
      <c r="P706" s="507"/>
      <c r="Q706" s="518"/>
      <c r="R706" s="519"/>
      <c r="S706" s="520"/>
      <c r="T706" s="513"/>
      <c r="U706" s="518"/>
      <c r="V706" s="519"/>
      <c r="W706" s="520"/>
      <c r="X706" s="513"/>
      <c r="Y706" s="518"/>
      <c r="Z706" s="519"/>
      <c r="AA706" s="520"/>
      <c r="AB706" s="513"/>
      <c r="AC706" s="518"/>
      <c r="AD706" s="519"/>
      <c r="AE706" s="520"/>
      <c r="AF706" s="513"/>
      <c r="AG706" s="356"/>
      <c r="AH706" s="356"/>
      <c r="AI706" s="356"/>
      <c r="AJ706" s="356"/>
      <c r="AK706" s="382"/>
      <c r="AL706" s="417"/>
      <c r="AM706" s="383"/>
      <c r="AN706" s="507"/>
      <c r="AO706" s="382"/>
      <c r="AP706" s="417"/>
      <c r="AQ706" s="383"/>
      <c r="AR706" s="507"/>
      <c r="AS706" s="514"/>
      <c r="AT706" s="514"/>
    </row>
    <row r="707">
      <c r="A707" s="382"/>
      <c r="B707" s="417"/>
      <c r="C707" s="383"/>
      <c r="D707" s="507"/>
      <c r="E707" s="382"/>
      <c r="F707" s="417"/>
      <c r="G707" s="383"/>
      <c r="H707" s="507"/>
      <c r="I707" s="382"/>
      <c r="J707" s="417"/>
      <c r="K707" s="383"/>
      <c r="L707" s="507"/>
      <c r="M707" s="382"/>
      <c r="N707" s="417"/>
      <c r="O707" s="383"/>
      <c r="P707" s="507"/>
      <c r="Q707" s="518"/>
      <c r="R707" s="519"/>
      <c r="S707" s="520"/>
      <c r="T707" s="513"/>
      <c r="U707" s="518"/>
      <c r="V707" s="519"/>
      <c r="W707" s="520"/>
      <c r="X707" s="513"/>
      <c r="Y707" s="518"/>
      <c r="Z707" s="519"/>
      <c r="AA707" s="520"/>
      <c r="AB707" s="513"/>
      <c r="AC707" s="518"/>
      <c r="AD707" s="519"/>
      <c r="AE707" s="520"/>
      <c r="AF707" s="513"/>
      <c r="AG707" s="356"/>
      <c r="AH707" s="356"/>
      <c r="AI707" s="356"/>
      <c r="AJ707" s="356"/>
      <c r="AK707" s="382"/>
      <c r="AL707" s="417"/>
      <c r="AM707" s="383"/>
      <c r="AN707" s="507"/>
      <c r="AO707" s="382"/>
      <c r="AP707" s="417"/>
      <c r="AQ707" s="383"/>
      <c r="AR707" s="507"/>
      <c r="AS707" s="514"/>
      <c r="AT707" s="514"/>
    </row>
    <row r="708">
      <c r="A708" s="382"/>
      <c r="B708" s="417"/>
      <c r="C708" s="383"/>
      <c r="D708" s="507"/>
      <c r="E708" s="382"/>
      <c r="F708" s="417"/>
      <c r="G708" s="383"/>
      <c r="H708" s="507"/>
      <c r="I708" s="382"/>
      <c r="J708" s="417"/>
      <c r="K708" s="383"/>
      <c r="L708" s="507"/>
      <c r="M708" s="382"/>
      <c r="N708" s="417"/>
      <c r="O708" s="383"/>
      <c r="P708" s="507"/>
      <c r="Q708" s="518"/>
      <c r="R708" s="519"/>
      <c r="S708" s="520"/>
      <c r="T708" s="513"/>
      <c r="U708" s="518"/>
      <c r="V708" s="519"/>
      <c r="W708" s="520"/>
      <c r="X708" s="513"/>
      <c r="Y708" s="518"/>
      <c r="Z708" s="519"/>
      <c r="AA708" s="520"/>
      <c r="AB708" s="513"/>
      <c r="AC708" s="518"/>
      <c r="AD708" s="519"/>
      <c r="AE708" s="520"/>
      <c r="AF708" s="513"/>
      <c r="AG708" s="356"/>
      <c r="AH708" s="356"/>
      <c r="AI708" s="356"/>
      <c r="AJ708" s="356"/>
      <c r="AK708" s="382"/>
      <c r="AL708" s="417"/>
      <c r="AM708" s="383"/>
      <c r="AN708" s="507"/>
      <c r="AO708" s="382"/>
      <c r="AP708" s="417"/>
      <c r="AQ708" s="383"/>
      <c r="AR708" s="507"/>
      <c r="AS708" s="514"/>
      <c r="AT708" s="514"/>
    </row>
    <row r="709">
      <c r="A709" s="382"/>
      <c r="B709" s="417"/>
      <c r="C709" s="383"/>
      <c r="D709" s="507"/>
      <c r="E709" s="382"/>
      <c r="F709" s="417"/>
      <c r="G709" s="383"/>
      <c r="H709" s="507"/>
      <c r="I709" s="382"/>
      <c r="J709" s="417"/>
      <c r="K709" s="383"/>
      <c r="L709" s="507"/>
      <c r="M709" s="382"/>
      <c r="N709" s="417"/>
      <c r="O709" s="383"/>
      <c r="P709" s="507"/>
      <c r="Q709" s="518"/>
      <c r="R709" s="519"/>
      <c r="S709" s="520"/>
      <c r="T709" s="513"/>
      <c r="U709" s="518"/>
      <c r="V709" s="519"/>
      <c r="W709" s="520"/>
      <c r="X709" s="513"/>
      <c r="Y709" s="518"/>
      <c r="Z709" s="519"/>
      <c r="AA709" s="520"/>
      <c r="AB709" s="513"/>
      <c r="AC709" s="518"/>
      <c r="AD709" s="519"/>
      <c r="AE709" s="520"/>
      <c r="AF709" s="513"/>
      <c r="AG709" s="356"/>
      <c r="AH709" s="356"/>
      <c r="AI709" s="356"/>
      <c r="AJ709" s="356"/>
      <c r="AK709" s="382"/>
      <c r="AL709" s="417"/>
      <c r="AM709" s="383"/>
      <c r="AN709" s="507"/>
      <c r="AO709" s="382"/>
      <c r="AP709" s="417"/>
      <c r="AQ709" s="383"/>
      <c r="AR709" s="507"/>
      <c r="AS709" s="514"/>
      <c r="AT709" s="514"/>
    </row>
    <row r="710">
      <c r="A710" s="382"/>
      <c r="B710" s="417"/>
      <c r="C710" s="383"/>
      <c r="D710" s="507"/>
      <c r="E710" s="382"/>
      <c r="F710" s="417"/>
      <c r="G710" s="383"/>
      <c r="H710" s="507"/>
      <c r="I710" s="382"/>
      <c r="J710" s="417"/>
      <c r="K710" s="383"/>
      <c r="L710" s="507"/>
      <c r="M710" s="382"/>
      <c r="N710" s="417"/>
      <c r="O710" s="383"/>
      <c r="P710" s="507"/>
      <c r="Q710" s="518"/>
      <c r="R710" s="519"/>
      <c r="S710" s="520"/>
      <c r="T710" s="513"/>
      <c r="U710" s="518"/>
      <c r="V710" s="519"/>
      <c r="W710" s="520"/>
      <c r="X710" s="513"/>
      <c r="Y710" s="518"/>
      <c r="Z710" s="519"/>
      <c r="AA710" s="520"/>
      <c r="AB710" s="513"/>
      <c r="AC710" s="518"/>
      <c r="AD710" s="519"/>
      <c r="AE710" s="520"/>
      <c r="AF710" s="513"/>
      <c r="AG710" s="356"/>
      <c r="AH710" s="356"/>
      <c r="AI710" s="356"/>
      <c r="AJ710" s="356"/>
      <c r="AK710" s="382"/>
      <c r="AL710" s="417"/>
      <c r="AM710" s="383"/>
      <c r="AN710" s="507"/>
      <c r="AO710" s="382"/>
      <c r="AP710" s="417"/>
      <c r="AQ710" s="383"/>
      <c r="AR710" s="507"/>
      <c r="AS710" s="514"/>
      <c r="AT710" s="514"/>
    </row>
    <row r="711">
      <c r="A711" s="382"/>
      <c r="B711" s="417"/>
      <c r="C711" s="383"/>
      <c r="D711" s="507"/>
      <c r="E711" s="382"/>
      <c r="F711" s="417"/>
      <c r="G711" s="383"/>
      <c r="H711" s="507"/>
      <c r="I711" s="382"/>
      <c r="J711" s="417"/>
      <c r="K711" s="383"/>
      <c r="L711" s="507"/>
      <c r="M711" s="382"/>
      <c r="N711" s="417"/>
      <c r="O711" s="383"/>
      <c r="P711" s="507"/>
      <c r="Q711" s="518"/>
      <c r="R711" s="519"/>
      <c r="S711" s="520"/>
      <c r="T711" s="513"/>
      <c r="U711" s="518"/>
      <c r="V711" s="519"/>
      <c r="W711" s="520"/>
      <c r="X711" s="513"/>
      <c r="Y711" s="518"/>
      <c r="Z711" s="519"/>
      <c r="AA711" s="520"/>
      <c r="AB711" s="513"/>
      <c r="AC711" s="518"/>
      <c r="AD711" s="519"/>
      <c r="AE711" s="520"/>
      <c r="AF711" s="513"/>
      <c r="AG711" s="356"/>
      <c r="AH711" s="356"/>
      <c r="AI711" s="356"/>
      <c r="AJ711" s="356"/>
      <c r="AK711" s="382"/>
      <c r="AL711" s="417"/>
      <c r="AM711" s="383"/>
      <c r="AN711" s="507"/>
      <c r="AO711" s="382"/>
      <c r="AP711" s="417"/>
      <c r="AQ711" s="383"/>
      <c r="AR711" s="507"/>
      <c r="AS711" s="514"/>
      <c r="AT711" s="514"/>
    </row>
    <row r="712">
      <c r="A712" s="382"/>
      <c r="B712" s="417"/>
      <c r="C712" s="383"/>
      <c r="D712" s="507"/>
      <c r="E712" s="382"/>
      <c r="F712" s="417"/>
      <c r="G712" s="383"/>
      <c r="H712" s="507"/>
      <c r="I712" s="382"/>
      <c r="J712" s="417"/>
      <c r="K712" s="383"/>
      <c r="L712" s="507"/>
      <c r="M712" s="382"/>
      <c r="N712" s="417"/>
      <c r="O712" s="383"/>
      <c r="P712" s="507"/>
      <c r="Q712" s="518"/>
      <c r="R712" s="519"/>
      <c r="S712" s="520"/>
      <c r="T712" s="513"/>
      <c r="U712" s="518"/>
      <c r="V712" s="519"/>
      <c r="W712" s="520"/>
      <c r="X712" s="513"/>
      <c r="Y712" s="518"/>
      <c r="Z712" s="519"/>
      <c r="AA712" s="520"/>
      <c r="AB712" s="513"/>
      <c r="AC712" s="518"/>
      <c r="AD712" s="519"/>
      <c r="AE712" s="520"/>
      <c r="AF712" s="513"/>
      <c r="AG712" s="356"/>
      <c r="AH712" s="356"/>
      <c r="AI712" s="356"/>
      <c r="AJ712" s="356"/>
      <c r="AK712" s="382"/>
      <c r="AL712" s="417"/>
      <c r="AM712" s="383"/>
      <c r="AN712" s="507"/>
      <c r="AO712" s="382"/>
      <c r="AP712" s="417"/>
      <c r="AQ712" s="383"/>
      <c r="AR712" s="507"/>
      <c r="AS712" s="514"/>
      <c r="AT712" s="514"/>
    </row>
    <row r="713">
      <c r="A713" s="382"/>
      <c r="B713" s="417"/>
      <c r="C713" s="383"/>
      <c r="D713" s="507"/>
      <c r="E713" s="382"/>
      <c r="F713" s="417"/>
      <c r="G713" s="383"/>
      <c r="H713" s="507"/>
      <c r="I713" s="382"/>
      <c r="J713" s="417"/>
      <c r="K713" s="383"/>
      <c r="L713" s="507"/>
      <c r="M713" s="382"/>
      <c r="N713" s="417"/>
      <c r="O713" s="383"/>
      <c r="P713" s="507"/>
      <c r="Q713" s="518"/>
      <c r="R713" s="519"/>
      <c r="S713" s="520"/>
      <c r="T713" s="513"/>
      <c r="U713" s="518"/>
      <c r="V713" s="519"/>
      <c r="W713" s="520"/>
      <c r="X713" s="513"/>
      <c r="Y713" s="518"/>
      <c r="Z713" s="519"/>
      <c r="AA713" s="520"/>
      <c r="AB713" s="513"/>
      <c r="AC713" s="518"/>
      <c r="AD713" s="519"/>
      <c r="AE713" s="520"/>
      <c r="AF713" s="513"/>
      <c r="AG713" s="356"/>
      <c r="AH713" s="356"/>
      <c r="AI713" s="356"/>
      <c r="AJ713" s="356"/>
      <c r="AK713" s="382"/>
      <c r="AL713" s="417"/>
      <c r="AM713" s="383"/>
      <c r="AN713" s="507"/>
      <c r="AO713" s="382"/>
      <c r="AP713" s="417"/>
      <c r="AQ713" s="383"/>
      <c r="AR713" s="507"/>
      <c r="AS713" s="514"/>
      <c r="AT713" s="514"/>
    </row>
    <row r="714">
      <c r="A714" s="382"/>
      <c r="B714" s="417"/>
      <c r="C714" s="383"/>
      <c r="D714" s="507"/>
      <c r="E714" s="382"/>
      <c r="F714" s="417"/>
      <c r="G714" s="383"/>
      <c r="H714" s="507"/>
      <c r="I714" s="382"/>
      <c r="J714" s="417"/>
      <c r="K714" s="383"/>
      <c r="L714" s="507"/>
      <c r="M714" s="382"/>
      <c r="N714" s="417"/>
      <c r="O714" s="383"/>
      <c r="P714" s="507"/>
      <c r="Q714" s="518"/>
      <c r="R714" s="519"/>
      <c r="S714" s="520"/>
      <c r="T714" s="513"/>
      <c r="U714" s="518"/>
      <c r="V714" s="519"/>
      <c r="W714" s="520"/>
      <c r="X714" s="513"/>
      <c r="Y714" s="518"/>
      <c r="Z714" s="519"/>
      <c r="AA714" s="520"/>
      <c r="AB714" s="513"/>
      <c r="AC714" s="518"/>
      <c r="AD714" s="519"/>
      <c r="AE714" s="520"/>
      <c r="AF714" s="513"/>
      <c r="AG714" s="356"/>
      <c r="AH714" s="356"/>
      <c r="AI714" s="356"/>
      <c r="AJ714" s="356"/>
      <c r="AK714" s="382"/>
      <c r="AL714" s="417"/>
      <c r="AM714" s="383"/>
      <c r="AN714" s="507"/>
      <c r="AO714" s="382"/>
      <c r="AP714" s="417"/>
      <c r="AQ714" s="383"/>
      <c r="AR714" s="507"/>
      <c r="AS714" s="514"/>
      <c r="AT714" s="514"/>
    </row>
    <row r="715">
      <c r="A715" s="382"/>
      <c r="B715" s="417"/>
      <c r="C715" s="383"/>
      <c r="D715" s="507"/>
      <c r="E715" s="382"/>
      <c r="F715" s="417"/>
      <c r="G715" s="383"/>
      <c r="H715" s="507"/>
      <c r="I715" s="382"/>
      <c r="J715" s="417"/>
      <c r="K715" s="383"/>
      <c r="L715" s="507"/>
      <c r="M715" s="382"/>
      <c r="N715" s="417"/>
      <c r="O715" s="383"/>
      <c r="P715" s="507"/>
      <c r="Q715" s="518"/>
      <c r="R715" s="519"/>
      <c r="S715" s="520"/>
      <c r="T715" s="513"/>
      <c r="U715" s="518"/>
      <c r="V715" s="519"/>
      <c r="W715" s="520"/>
      <c r="X715" s="513"/>
      <c r="Y715" s="518"/>
      <c r="Z715" s="519"/>
      <c r="AA715" s="520"/>
      <c r="AB715" s="513"/>
      <c r="AC715" s="518"/>
      <c r="AD715" s="519"/>
      <c r="AE715" s="520"/>
      <c r="AF715" s="513"/>
      <c r="AG715" s="356"/>
      <c r="AH715" s="356"/>
      <c r="AI715" s="356"/>
      <c r="AJ715" s="356"/>
      <c r="AK715" s="382"/>
      <c r="AL715" s="417"/>
      <c r="AM715" s="383"/>
      <c r="AN715" s="507"/>
      <c r="AO715" s="382"/>
      <c r="AP715" s="417"/>
      <c r="AQ715" s="383"/>
      <c r="AR715" s="507"/>
      <c r="AS715" s="514"/>
      <c r="AT715" s="514"/>
    </row>
    <row r="716">
      <c r="A716" s="382"/>
      <c r="B716" s="417"/>
      <c r="C716" s="383"/>
      <c r="D716" s="507"/>
      <c r="E716" s="382"/>
      <c r="F716" s="417"/>
      <c r="G716" s="383"/>
      <c r="H716" s="507"/>
      <c r="I716" s="382"/>
      <c r="J716" s="417"/>
      <c r="K716" s="383"/>
      <c r="L716" s="507"/>
      <c r="M716" s="382"/>
      <c r="N716" s="417"/>
      <c r="O716" s="383"/>
      <c r="P716" s="507"/>
      <c r="Q716" s="518"/>
      <c r="R716" s="519"/>
      <c r="S716" s="520"/>
      <c r="T716" s="513"/>
      <c r="U716" s="518"/>
      <c r="V716" s="519"/>
      <c r="W716" s="520"/>
      <c r="X716" s="513"/>
      <c r="Y716" s="518"/>
      <c r="Z716" s="519"/>
      <c r="AA716" s="520"/>
      <c r="AB716" s="513"/>
      <c r="AC716" s="518"/>
      <c r="AD716" s="519"/>
      <c r="AE716" s="520"/>
      <c r="AF716" s="513"/>
      <c r="AG716" s="356"/>
      <c r="AH716" s="356"/>
      <c r="AI716" s="356"/>
      <c r="AJ716" s="356"/>
      <c r="AK716" s="382"/>
      <c r="AL716" s="417"/>
      <c r="AM716" s="383"/>
      <c r="AN716" s="507"/>
      <c r="AO716" s="382"/>
      <c r="AP716" s="417"/>
      <c r="AQ716" s="383"/>
      <c r="AR716" s="507"/>
      <c r="AS716" s="514"/>
      <c r="AT716" s="514"/>
    </row>
    <row r="717">
      <c r="A717" s="382"/>
      <c r="B717" s="417"/>
      <c r="C717" s="383"/>
      <c r="D717" s="507"/>
      <c r="E717" s="382"/>
      <c r="F717" s="417"/>
      <c r="G717" s="383"/>
      <c r="H717" s="507"/>
      <c r="I717" s="382"/>
      <c r="J717" s="417"/>
      <c r="K717" s="383"/>
      <c r="L717" s="507"/>
      <c r="M717" s="382"/>
      <c r="N717" s="417"/>
      <c r="O717" s="383"/>
      <c r="P717" s="507"/>
      <c r="Q717" s="518"/>
      <c r="R717" s="519"/>
      <c r="S717" s="520"/>
      <c r="T717" s="513"/>
      <c r="U717" s="518"/>
      <c r="V717" s="519"/>
      <c r="W717" s="520"/>
      <c r="X717" s="513"/>
      <c r="Y717" s="518"/>
      <c r="Z717" s="519"/>
      <c r="AA717" s="520"/>
      <c r="AB717" s="513"/>
      <c r="AC717" s="518"/>
      <c r="AD717" s="519"/>
      <c r="AE717" s="520"/>
      <c r="AF717" s="513"/>
      <c r="AG717" s="356"/>
      <c r="AH717" s="356"/>
      <c r="AI717" s="356"/>
      <c r="AJ717" s="356"/>
      <c r="AK717" s="382"/>
      <c r="AL717" s="417"/>
      <c r="AM717" s="383"/>
      <c r="AN717" s="507"/>
      <c r="AO717" s="382"/>
      <c r="AP717" s="417"/>
      <c r="AQ717" s="383"/>
      <c r="AR717" s="507"/>
      <c r="AS717" s="514"/>
      <c r="AT717" s="514"/>
    </row>
    <row r="718">
      <c r="A718" s="382"/>
      <c r="B718" s="417"/>
      <c r="C718" s="383"/>
      <c r="D718" s="507"/>
      <c r="E718" s="382"/>
      <c r="F718" s="417"/>
      <c r="G718" s="383"/>
      <c r="H718" s="507"/>
      <c r="I718" s="382"/>
      <c r="J718" s="417"/>
      <c r="K718" s="383"/>
      <c r="L718" s="507"/>
      <c r="M718" s="382"/>
      <c r="N718" s="417"/>
      <c r="O718" s="383"/>
      <c r="P718" s="507"/>
      <c r="Q718" s="518"/>
      <c r="R718" s="519"/>
      <c r="S718" s="520"/>
      <c r="T718" s="513"/>
      <c r="U718" s="518"/>
      <c r="V718" s="519"/>
      <c r="W718" s="520"/>
      <c r="X718" s="513"/>
      <c r="Y718" s="518"/>
      <c r="Z718" s="519"/>
      <c r="AA718" s="520"/>
      <c r="AB718" s="513"/>
      <c r="AC718" s="518"/>
      <c r="AD718" s="519"/>
      <c r="AE718" s="520"/>
      <c r="AF718" s="513"/>
      <c r="AG718" s="356"/>
      <c r="AH718" s="356"/>
      <c r="AI718" s="356"/>
      <c r="AJ718" s="356"/>
      <c r="AK718" s="382"/>
      <c r="AL718" s="417"/>
      <c r="AM718" s="383"/>
      <c r="AN718" s="507"/>
      <c r="AO718" s="382"/>
      <c r="AP718" s="417"/>
      <c r="AQ718" s="383"/>
      <c r="AR718" s="507"/>
      <c r="AS718" s="514"/>
      <c r="AT718" s="514"/>
    </row>
    <row r="719">
      <c r="A719" s="382"/>
      <c r="B719" s="417"/>
      <c r="C719" s="383"/>
      <c r="D719" s="507"/>
      <c r="E719" s="382"/>
      <c r="F719" s="417"/>
      <c r="G719" s="383"/>
      <c r="H719" s="507"/>
      <c r="I719" s="382"/>
      <c r="J719" s="417"/>
      <c r="K719" s="383"/>
      <c r="L719" s="507"/>
      <c r="M719" s="382"/>
      <c r="N719" s="417"/>
      <c r="O719" s="383"/>
      <c r="P719" s="507"/>
      <c r="Q719" s="518"/>
      <c r="R719" s="519"/>
      <c r="S719" s="520"/>
      <c r="T719" s="513"/>
      <c r="U719" s="518"/>
      <c r="V719" s="519"/>
      <c r="W719" s="520"/>
      <c r="X719" s="513"/>
      <c r="Y719" s="518"/>
      <c r="Z719" s="519"/>
      <c r="AA719" s="520"/>
      <c r="AB719" s="513"/>
      <c r="AC719" s="518"/>
      <c r="AD719" s="519"/>
      <c r="AE719" s="520"/>
      <c r="AF719" s="513"/>
      <c r="AG719" s="356"/>
      <c r="AH719" s="356"/>
      <c r="AI719" s="356"/>
      <c r="AJ719" s="356"/>
      <c r="AK719" s="382"/>
      <c r="AL719" s="417"/>
      <c r="AM719" s="383"/>
      <c r="AN719" s="507"/>
      <c r="AO719" s="382"/>
      <c r="AP719" s="417"/>
      <c r="AQ719" s="383"/>
      <c r="AR719" s="507"/>
      <c r="AS719" s="514"/>
      <c r="AT719" s="514"/>
    </row>
    <row r="720">
      <c r="A720" s="382"/>
      <c r="B720" s="417"/>
      <c r="C720" s="383"/>
      <c r="D720" s="507"/>
      <c r="E720" s="382"/>
      <c r="F720" s="417"/>
      <c r="G720" s="383"/>
      <c r="H720" s="507"/>
      <c r="I720" s="382"/>
      <c r="J720" s="417"/>
      <c r="K720" s="383"/>
      <c r="L720" s="507"/>
      <c r="M720" s="382"/>
      <c r="N720" s="417"/>
      <c r="O720" s="383"/>
      <c r="P720" s="507"/>
      <c r="Q720" s="518"/>
      <c r="R720" s="519"/>
      <c r="S720" s="520"/>
      <c r="T720" s="513"/>
      <c r="U720" s="518"/>
      <c r="V720" s="519"/>
      <c r="W720" s="520"/>
      <c r="X720" s="513"/>
      <c r="Y720" s="518"/>
      <c r="Z720" s="519"/>
      <c r="AA720" s="520"/>
      <c r="AB720" s="513"/>
      <c r="AC720" s="518"/>
      <c r="AD720" s="519"/>
      <c r="AE720" s="520"/>
      <c r="AF720" s="513"/>
      <c r="AG720" s="356"/>
      <c r="AH720" s="356"/>
      <c r="AI720" s="356"/>
      <c r="AJ720" s="356"/>
      <c r="AK720" s="382"/>
      <c r="AL720" s="417"/>
      <c r="AM720" s="383"/>
      <c r="AN720" s="507"/>
      <c r="AO720" s="382"/>
      <c r="AP720" s="417"/>
      <c r="AQ720" s="383"/>
      <c r="AR720" s="507"/>
      <c r="AS720" s="514"/>
      <c r="AT720" s="514"/>
    </row>
    <row r="721">
      <c r="A721" s="382"/>
      <c r="B721" s="417"/>
      <c r="C721" s="383"/>
      <c r="D721" s="507"/>
      <c r="E721" s="382"/>
      <c r="F721" s="417"/>
      <c r="G721" s="383"/>
      <c r="H721" s="507"/>
      <c r="I721" s="382"/>
      <c r="J721" s="417"/>
      <c r="K721" s="383"/>
      <c r="L721" s="507"/>
      <c r="M721" s="382"/>
      <c r="N721" s="417"/>
      <c r="O721" s="383"/>
      <c r="P721" s="507"/>
      <c r="Q721" s="518"/>
      <c r="R721" s="519"/>
      <c r="S721" s="520"/>
      <c r="T721" s="513"/>
      <c r="U721" s="518"/>
      <c r="V721" s="519"/>
      <c r="W721" s="520"/>
      <c r="X721" s="513"/>
      <c r="Y721" s="518"/>
      <c r="Z721" s="519"/>
      <c r="AA721" s="520"/>
      <c r="AB721" s="513"/>
      <c r="AC721" s="518"/>
      <c r="AD721" s="519"/>
      <c r="AE721" s="520"/>
      <c r="AF721" s="513"/>
      <c r="AG721" s="356"/>
      <c r="AH721" s="356"/>
      <c r="AI721" s="356"/>
      <c r="AJ721" s="356"/>
      <c r="AK721" s="382"/>
      <c r="AL721" s="417"/>
      <c r="AM721" s="383"/>
      <c r="AN721" s="507"/>
      <c r="AO721" s="382"/>
      <c r="AP721" s="417"/>
      <c r="AQ721" s="383"/>
      <c r="AR721" s="507"/>
      <c r="AS721" s="514"/>
      <c r="AT721" s="514"/>
    </row>
    <row r="722">
      <c r="A722" s="382"/>
      <c r="B722" s="417"/>
      <c r="C722" s="383"/>
      <c r="D722" s="507"/>
      <c r="E722" s="382"/>
      <c r="F722" s="417"/>
      <c r="G722" s="383"/>
      <c r="H722" s="507"/>
      <c r="I722" s="382"/>
      <c r="J722" s="417"/>
      <c r="K722" s="383"/>
      <c r="L722" s="507"/>
      <c r="M722" s="382"/>
      <c r="N722" s="417"/>
      <c r="O722" s="383"/>
      <c r="P722" s="507"/>
      <c r="Q722" s="518"/>
      <c r="R722" s="519"/>
      <c r="S722" s="520"/>
      <c r="T722" s="513"/>
      <c r="U722" s="518"/>
      <c r="V722" s="519"/>
      <c r="W722" s="520"/>
      <c r="X722" s="513"/>
      <c r="Y722" s="518"/>
      <c r="Z722" s="519"/>
      <c r="AA722" s="520"/>
      <c r="AB722" s="513"/>
      <c r="AC722" s="518"/>
      <c r="AD722" s="519"/>
      <c r="AE722" s="520"/>
      <c r="AF722" s="513"/>
      <c r="AG722" s="356"/>
      <c r="AH722" s="356"/>
      <c r="AI722" s="356"/>
      <c r="AJ722" s="356"/>
      <c r="AK722" s="382"/>
      <c r="AL722" s="417"/>
      <c r="AM722" s="383"/>
      <c r="AN722" s="507"/>
      <c r="AO722" s="382"/>
      <c r="AP722" s="417"/>
      <c r="AQ722" s="383"/>
      <c r="AR722" s="507"/>
      <c r="AS722" s="514"/>
      <c r="AT722" s="514"/>
    </row>
    <row r="723">
      <c r="A723" s="382"/>
      <c r="B723" s="417"/>
      <c r="C723" s="383"/>
      <c r="D723" s="507"/>
      <c r="E723" s="382"/>
      <c r="F723" s="417"/>
      <c r="G723" s="383"/>
      <c r="H723" s="507"/>
      <c r="I723" s="382"/>
      <c r="J723" s="417"/>
      <c r="K723" s="383"/>
      <c r="L723" s="507"/>
      <c r="M723" s="382"/>
      <c r="N723" s="417"/>
      <c r="O723" s="383"/>
      <c r="P723" s="507"/>
      <c r="Q723" s="518"/>
      <c r="R723" s="519"/>
      <c r="S723" s="520"/>
      <c r="T723" s="513"/>
      <c r="U723" s="518"/>
      <c r="V723" s="519"/>
      <c r="W723" s="520"/>
      <c r="X723" s="513"/>
      <c r="Y723" s="518"/>
      <c r="Z723" s="519"/>
      <c r="AA723" s="520"/>
      <c r="AB723" s="513"/>
      <c r="AC723" s="518"/>
      <c r="AD723" s="519"/>
      <c r="AE723" s="520"/>
      <c r="AF723" s="513"/>
      <c r="AG723" s="356"/>
      <c r="AH723" s="356"/>
      <c r="AI723" s="356"/>
      <c r="AJ723" s="356"/>
      <c r="AK723" s="382"/>
      <c r="AL723" s="417"/>
      <c r="AM723" s="383"/>
      <c r="AN723" s="507"/>
      <c r="AO723" s="382"/>
      <c r="AP723" s="417"/>
      <c r="AQ723" s="383"/>
      <c r="AR723" s="507"/>
      <c r="AS723" s="514"/>
      <c r="AT723" s="514"/>
    </row>
    <row r="724">
      <c r="A724" s="382"/>
      <c r="B724" s="417"/>
      <c r="C724" s="383"/>
      <c r="D724" s="507"/>
      <c r="E724" s="382"/>
      <c r="F724" s="417"/>
      <c r="G724" s="383"/>
      <c r="H724" s="507"/>
      <c r="I724" s="382"/>
      <c r="J724" s="417"/>
      <c r="K724" s="383"/>
      <c r="L724" s="507"/>
      <c r="M724" s="382"/>
      <c r="N724" s="417"/>
      <c r="O724" s="383"/>
      <c r="P724" s="507"/>
      <c r="Q724" s="518"/>
      <c r="R724" s="519"/>
      <c r="S724" s="520"/>
      <c r="T724" s="513"/>
      <c r="U724" s="518"/>
      <c r="V724" s="519"/>
      <c r="W724" s="520"/>
      <c r="X724" s="513"/>
      <c r="Y724" s="518"/>
      <c r="Z724" s="519"/>
      <c r="AA724" s="520"/>
      <c r="AB724" s="513"/>
      <c r="AC724" s="518"/>
      <c r="AD724" s="519"/>
      <c r="AE724" s="520"/>
      <c r="AF724" s="513"/>
      <c r="AG724" s="356"/>
      <c r="AH724" s="356"/>
      <c r="AI724" s="356"/>
      <c r="AJ724" s="356"/>
      <c r="AK724" s="382"/>
      <c r="AL724" s="417"/>
      <c r="AM724" s="383"/>
      <c r="AN724" s="507"/>
      <c r="AO724" s="382"/>
      <c r="AP724" s="417"/>
      <c r="AQ724" s="383"/>
      <c r="AR724" s="507"/>
      <c r="AS724" s="514"/>
      <c r="AT724" s="514"/>
    </row>
    <row r="725">
      <c r="A725" s="382"/>
      <c r="B725" s="417"/>
      <c r="C725" s="383"/>
      <c r="D725" s="507"/>
      <c r="E725" s="382"/>
      <c r="F725" s="417"/>
      <c r="G725" s="383"/>
      <c r="H725" s="507"/>
      <c r="I725" s="382"/>
      <c r="J725" s="417"/>
      <c r="K725" s="383"/>
      <c r="L725" s="507"/>
      <c r="M725" s="382"/>
      <c r="N725" s="417"/>
      <c r="O725" s="383"/>
      <c r="P725" s="507"/>
      <c r="Q725" s="518"/>
      <c r="R725" s="519"/>
      <c r="S725" s="520"/>
      <c r="T725" s="513"/>
      <c r="U725" s="518"/>
      <c r="V725" s="519"/>
      <c r="W725" s="520"/>
      <c r="X725" s="513"/>
      <c r="Y725" s="518"/>
      <c r="Z725" s="519"/>
      <c r="AA725" s="520"/>
      <c r="AB725" s="513"/>
      <c r="AC725" s="518"/>
      <c r="AD725" s="519"/>
      <c r="AE725" s="520"/>
      <c r="AF725" s="513"/>
      <c r="AG725" s="356"/>
      <c r="AH725" s="356"/>
      <c r="AI725" s="356"/>
      <c r="AJ725" s="356"/>
      <c r="AK725" s="382"/>
      <c r="AL725" s="417"/>
      <c r="AM725" s="383"/>
      <c r="AN725" s="507"/>
      <c r="AO725" s="382"/>
      <c r="AP725" s="417"/>
      <c r="AQ725" s="383"/>
      <c r="AR725" s="507"/>
      <c r="AS725" s="514"/>
      <c r="AT725" s="514"/>
    </row>
    <row r="726">
      <c r="A726" s="382"/>
      <c r="B726" s="417"/>
      <c r="C726" s="383"/>
      <c r="D726" s="507"/>
      <c r="E726" s="382"/>
      <c r="F726" s="417"/>
      <c r="G726" s="383"/>
      <c r="H726" s="507"/>
      <c r="I726" s="382"/>
      <c r="J726" s="417"/>
      <c r="K726" s="383"/>
      <c r="L726" s="507"/>
      <c r="M726" s="382"/>
      <c r="N726" s="417"/>
      <c r="O726" s="383"/>
      <c r="P726" s="507"/>
      <c r="Q726" s="518"/>
      <c r="R726" s="519"/>
      <c r="S726" s="520"/>
      <c r="T726" s="513"/>
      <c r="U726" s="518"/>
      <c r="V726" s="519"/>
      <c r="W726" s="520"/>
      <c r="X726" s="513"/>
      <c r="Y726" s="518"/>
      <c r="Z726" s="519"/>
      <c r="AA726" s="520"/>
      <c r="AB726" s="513"/>
      <c r="AC726" s="518"/>
      <c r="AD726" s="519"/>
      <c r="AE726" s="520"/>
      <c r="AF726" s="513"/>
      <c r="AG726" s="356"/>
      <c r="AH726" s="356"/>
      <c r="AI726" s="356"/>
      <c r="AJ726" s="356"/>
      <c r="AK726" s="382"/>
      <c r="AL726" s="417"/>
      <c r="AM726" s="383"/>
      <c r="AN726" s="507"/>
      <c r="AO726" s="382"/>
      <c r="AP726" s="417"/>
      <c r="AQ726" s="383"/>
      <c r="AR726" s="507"/>
      <c r="AS726" s="514"/>
      <c r="AT726" s="514"/>
    </row>
    <row r="727">
      <c r="A727" s="382"/>
      <c r="B727" s="417"/>
      <c r="C727" s="383"/>
      <c r="D727" s="507"/>
      <c r="E727" s="382"/>
      <c r="F727" s="417"/>
      <c r="G727" s="383"/>
      <c r="H727" s="507"/>
      <c r="I727" s="382"/>
      <c r="J727" s="417"/>
      <c r="K727" s="383"/>
      <c r="L727" s="507"/>
      <c r="M727" s="382"/>
      <c r="N727" s="417"/>
      <c r="O727" s="383"/>
      <c r="P727" s="507"/>
      <c r="Q727" s="518"/>
      <c r="R727" s="519"/>
      <c r="S727" s="520"/>
      <c r="T727" s="513"/>
      <c r="U727" s="518"/>
      <c r="V727" s="519"/>
      <c r="W727" s="520"/>
      <c r="X727" s="513"/>
      <c r="Y727" s="518"/>
      <c r="Z727" s="519"/>
      <c r="AA727" s="520"/>
      <c r="AB727" s="513"/>
      <c r="AC727" s="518"/>
      <c r="AD727" s="519"/>
      <c r="AE727" s="520"/>
      <c r="AF727" s="513"/>
      <c r="AG727" s="356"/>
      <c r="AH727" s="356"/>
      <c r="AI727" s="356"/>
      <c r="AJ727" s="356"/>
      <c r="AK727" s="382"/>
      <c r="AL727" s="417"/>
      <c r="AM727" s="383"/>
      <c r="AN727" s="507"/>
      <c r="AO727" s="382"/>
      <c r="AP727" s="417"/>
      <c r="AQ727" s="383"/>
      <c r="AR727" s="507"/>
      <c r="AS727" s="514"/>
      <c r="AT727" s="514"/>
    </row>
    <row r="728">
      <c r="A728" s="382"/>
      <c r="B728" s="417"/>
      <c r="C728" s="383"/>
      <c r="D728" s="507"/>
      <c r="E728" s="382"/>
      <c r="F728" s="417"/>
      <c r="G728" s="383"/>
      <c r="H728" s="507"/>
      <c r="I728" s="382"/>
      <c r="J728" s="417"/>
      <c r="K728" s="383"/>
      <c r="L728" s="507"/>
      <c r="M728" s="382"/>
      <c r="N728" s="417"/>
      <c r="O728" s="383"/>
      <c r="P728" s="507"/>
      <c r="Q728" s="518"/>
      <c r="R728" s="519"/>
      <c r="S728" s="520"/>
      <c r="T728" s="513"/>
      <c r="U728" s="518"/>
      <c r="V728" s="519"/>
      <c r="W728" s="520"/>
      <c r="X728" s="513"/>
      <c r="Y728" s="518"/>
      <c r="Z728" s="519"/>
      <c r="AA728" s="520"/>
      <c r="AB728" s="513"/>
      <c r="AC728" s="518"/>
      <c r="AD728" s="519"/>
      <c r="AE728" s="520"/>
      <c r="AF728" s="513"/>
      <c r="AG728" s="356"/>
      <c r="AH728" s="356"/>
      <c r="AI728" s="356"/>
      <c r="AJ728" s="356"/>
      <c r="AK728" s="382"/>
      <c r="AL728" s="417"/>
      <c r="AM728" s="383"/>
      <c r="AN728" s="507"/>
      <c r="AO728" s="382"/>
      <c r="AP728" s="417"/>
      <c r="AQ728" s="383"/>
      <c r="AR728" s="507"/>
      <c r="AS728" s="514"/>
      <c r="AT728" s="514"/>
    </row>
    <row r="729">
      <c r="A729" s="382"/>
      <c r="B729" s="417"/>
      <c r="C729" s="383"/>
      <c r="D729" s="507"/>
      <c r="E729" s="382"/>
      <c r="F729" s="417"/>
      <c r="G729" s="383"/>
      <c r="H729" s="507"/>
      <c r="I729" s="382"/>
      <c r="J729" s="417"/>
      <c r="K729" s="383"/>
      <c r="L729" s="507"/>
      <c r="M729" s="382"/>
      <c r="N729" s="417"/>
      <c r="O729" s="383"/>
      <c r="P729" s="507"/>
      <c r="Q729" s="518"/>
      <c r="R729" s="519"/>
      <c r="S729" s="520"/>
      <c r="T729" s="513"/>
      <c r="U729" s="518"/>
      <c r="V729" s="519"/>
      <c r="W729" s="520"/>
      <c r="X729" s="513"/>
      <c r="Y729" s="518"/>
      <c r="Z729" s="519"/>
      <c r="AA729" s="520"/>
      <c r="AB729" s="513"/>
      <c r="AC729" s="518"/>
      <c r="AD729" s="519"/>
      <c r="AE729" s="520"/>
      <c r="AF729" s="513"/>
      <c r="AG729" s="356"/>
      <c r="AH729" s="356"/>
      <c r="AI729" s="356"/>
      <c r="AJ729" s="356"/>
      <c r="AK729" s="382"/>
      <c r="AL729" s="417"/>
      <c r="AM729" s="383"/>
      <c r="AN729" s="507"/>
      <c r="AO729" s="382"/>
      <c r="AP729" s="417"/>
      <c r="AQ729" s="383"/>
      <c r="AR729" s="507"/>
      <c r="AS729" s="514"/>
      <c r="AT729" s="514"/>
    </row>
    <row r="730">
      <c r="A730" s="382"/>
      <c r="B730" s="417"/>
      <c r="C730" s="383"/>
      <c r="D730" s="507"/>
      <c r="E730" s="382"/>
      <c r="F730" s="417"/>
      <c r="G730" s="383"/>
      <c r="H730" s="507"/>
      <c r="I730" s="382"/>
      <c r="J730" s="417"/>
      <c r="K730" s="383"/>
      <c r="L730" s="507"/>
      <c r="M730" s="382"/>
      <c r="N730" s="417"/>
      <c r="O730" s="383"/>
      <c r="P730" s="507"/>
      <c r="Q730" s="518"/>
      <c r="R730" s="519"/>
      <c r="S730" s="520"/>
      <c r="T730" s="513"/>
      <c r="U730" s="518"/>
      <c r="V730" s="519"/>
      <c r="W730" s="520"/>
      <c r="X730" s="513"/>
      <c r="Y730" s="518"/>
      <c r="Z730" s="519"/>
      <c r="AA730" s="520"/>
      <c r="AB730" s="513"/>
      <c r="AC730" s="518"/>
      <c r="AD730" s="519"/>
      <c r="AE730" s="520"/>
      <c r="AF730" s="513"/>
      <c r="AG730" s="356"/>
      <c r="AH730" s="356"/>
      <c r="AI730" s="356"/>
      <c r="AJ730" s="356"/>
      <c r="AK730" s="382"/>
      <c r="AL730" s="417"/>
      <c r="AM730" s="383"/>
      <c r="AN730" s="507"/>
      <c r="AO730" s="382"/>
      <c r="AP730" s="417"/>
      <c r="AQ730" s="383"/>
      <c r="AR730" s="507"/>
      <c r="AS730" s="514"/>
      <c r="AT730" s="514"/>
    </row>
    <row r="731">
      <c r="A731" s="382"/>
      <c r="B731" s="417"/>
      <c r="C731" s="383"/>
      <c r="D731" s="507"/>
      <c r="E731" s="382"/>
      <c r="F731" s="417"/>
      <c r="G731" s="383"/>
      <c r="H731" s="507"/>
      <c r="I731" s="382"/>
      <c r="J731" s="417"/>
      <c r="K731" s="383"/>
      <c r="L731" s="507"/>
      <c r="M731" s="382"/>
      <c r="N731" s="417"/>
      <c r="O731" s="383"/>
      <c r="P731" s="507"/>
      <c r="Q731" s="518"/>
      <c r="R731" s="519"/>
      <c r="S731" s="520"/>
      <c r="T731" s="513"/>
      <c r="U731" s="518"/>
      <c r="V731" s="519"/>
      <c r="W731" s="520"/>
      <c r="X731" s="513"/>
      <c r="Y731" s="518"/>
      <c r="Z731" s="519"/>
      <c r="AA731" s="520"/>
      <c r="AB731" s="513"/>
      <c r="AC731" s="518"/>
      <c r="AD731" s="519"/>
      <c r="AE731" s="520"/>
      <c r="AF731" s="513"/>
      <c r="AG731" s="356"/>
      <c r="AH731" s="356"/>
      <c r="AI731" s="356"/>
      <c r="AJ731" s="356"/>
      <c r="AK731" s="382"/>
      <c r="AL731" s="417"/>
      <c r="AM731" s="383"/>
      <c r="AN731" s="507"/>
      <c r="AO731" s="382"/>
      <c r="AP731" s="417"/>
      <c r="AQ731" s="383"/>
      <c r="AR731" s="507"/>
      <c r="AS731" s="514"/>
      <c r="AT731" s="514"/>
    </row>
    <row r="732">
      <c r="A732" s="382"/>
      <c r="B732" s="417"/>
      <c r="C732" s="383"/>
      <c r="D732" s="507"/>
      <c r="E732" s="382"/>
      <c r="F732" s="417"/>
      <c r="G732" s="383"/>
      <c r="H732" s="507"/>
      <c r="I732" s="382"/>
      <c r="J732" s="417"/>
      <c r="K732" s="383"/>
      <c r="L732" s="507"/>
      <c r="M732" s="382"/>
      <c r="N732" s="417"/>
      <c r="O732" s="383"/>
      <c r="P732" s="507"/>
      <c r="Q732" s="518"/>
      <c r="R732" s="519"/>
      <c r="S732" s="520"/>
      <c r="T732" s="513"/>
      <c r="U732" s="518"/>
      <c r="V732" s="519"/>
      <c r="W732" s="520"/>
      <c r="X732" s="513"/>
      <c r="Y732" s="518"/>
      <c r="Z732" s="519"/>
      <c r="AA732" s="520"/>
      <c r="AB732" s="513"/>
      <c r="AC732" s="518"/>
      <c r="AD732" s="519"/>
      <c r="AE732" s="520"/>
      <c r="AF732" s="513"/>
      <c r="AG732" s="356"/>
      <c r="AH732" s="356"/>
      <c r="AI732" s="356"/>
      <c r="AJ732" s="356"/>
      <c r="AK732" s="382"/>
      <c r="AL732" s="417"/>
      <c r="AM732" s="383"/>
      <c r="AN732" s="507"/>
      <c r="AO732" s="382"/>
      <c r="AP732" s="417"/>
      <c r="AQ732" s="383"/>
      <c r="AR732" s="507"/>
      <c r="AS732" s="514"/>
      <c r="AT732" s="514"/>
    </row>
    <row r="733">
      <c r="A733" s="382"/>
      <c r="B733" s="417"/>
      <c r="C733" s="383"/>
      <c r="D733" s="507"/>
      <c r="E733" s="382"/>
      <c r="F733" s="417"/>
      <c r="G733" s="383"/>
      <c r="H733" s="507"/>
      <c r="I733" s="382"/>
      <c r="J733" s="417"/>
      <c r="K733" s="383"/>
      <c r="L733" s="507"/>
      <c r="M733" s="382"/>
      <c r="N733" s="417"/>
      <c r="O733" s="383"/>
      <c r="P733" s="507"/>
      <c r="Q733" s="518"/>
      <c r="R733" s="519"/>
      <c r="S733" s="520"/>
      <c r="T733" s="513"/>
      <c r="U733" s="518"/>
      <c r="V733" s="519"/>
      <c r="W733" s="520"/>
      <c r="X733" s="513"/>
      <c r="Y733" s="518"/>
      <c r="Z733" s="519"/>
      <c r="AA733" s="520"/>
      <c r="AB733" s="513"/>
      <c r="AC733" s="518"/>
      <c r="AD733" s="519"/>
      <c r="AE733" s="520"/>
      <c r="AF733" s="513"/>
      <c r="AG733" s="356"/>
      <c r="AH733" s="356"/>
      <c r="AI733" s="356"/>
      <c r="AJ733" s="356"/>
      <c r="AK733" s="382"/>
      <c r="AL733" s="417"/>
      <c r="AM733" s="383"/>
      <c r="AN733" s="507"/>
      <c r="AO733" s="382"/>
      <c r="AP733" s="417"/>
      <c r="AQ733" s="383"/>
      <c r="AR733" s="507"/>
      <c r="AS733" s="514"/>
      <c r="AT733" s="514"/>
    </row>
    <row r="734">
      <c r="A734" s="382"/>
      <c r="B734" s="417"/>
      <c r="C734" s="383"/>
      <c r="D734" s="507"/>
      <c r="E734" s="382"/>
      <c r="F734" s="417"/>
      <c r="G734" s="383"/>
      <c r="H734" s="507"/>
      <c r="I734" s="382"/>
      <c r="J734" s="417"/>
      <c r="K734" s="383"/>
      <c r="L734" s="507"/>
      <c r="M734" s="382"/>
      <c r="N734" s="417"/>
      <c r="O734" s="383"/>
      <c r="P734" s="507"/>
      <c r="Q734" s="518"/>
      <c r="R734" s="519"/>
      <c r="S734" s="520"/>
      <c r="T734" s="513"/>
      <c r="U734" s="518"/>
      <c r="V734" s="519"/>
      <c r="W734" s="520"/>
      <c r="X734" s="513"/>
      <c r="Y734" s="518"/>
      <c r="Z734" s="519"/>
      <c r="AA734" s="520"/>
      <c r="AB734" s="513"/>
      <c r="AC734" s="518"/>
      <c r="AD734" s="519"/>
      <c r="AE734" s="520"/>
      <c r="AF734" s="513"/>
      <c r="AG734" s="356"/>
      <c r="AH734" s="356"/>
      <c r="AI734" s="356"/>
      <c r="AJ734" s="356"/>
      <c r="AK734" s="382"/>
      <c r="AL734" s="417"/>
      <c r="AM734" s="383"/>
      <c r="AN734" s="507"/>
      <c r="AO734" s="382"/>
      <c r="AP734" s="417"/>
      <c r="AQ734" s="383"/>
      <c r="AR734" s="507"/>
      <c r="AS734" s="514"/>
      <c r="AT734" s="514"/>
    </row>
    <row r="735">
      <c r="A735" s="382"/>
      <c r="B735" s="417"/>
      <c r="C735" s="383"/>
      <c r="D735" s="507"/>
      <c r="E735" s="382"/>
      <c r="F735" s="417"/>
      <c r="G735" s="383"/>
      <c r="H735" s="507"/>
      <c r="I735" s="382"/>
      <c r="J735" s="417"/>
      <c r="K735" s="383"/>
      <c r="L735" s="507"/>
      <c r="M735" s="382"/>
      <c r="N735" s="417"/>
      <c r="O735" s="383"/>
      <c r="P735" s="507"/>
      <c r="Q735" s="518"/>
      <c r="R735" s="519"/>
      <c r="S735" s="520"/>
      <c r="T735" s="513"/>
      <c r="U735" s="518"/>
      <c r="V735" s="519"/>
      <c r="W735" s="520"/>
      <c r="X735" s="513"/>
      <c r="Y735" s="518"/>
      <c r="Z735" s="519"/>
      <c r="AA735" s="520"/>
      <c r="AB735" s="513"/>
      <c r="AC735" s="518"/>
      <c r="AD735" s="519"/>
      <c r="AE735" s="520"/>
      <c r="AF735" s="513"/>
      <c r="AG735" s="356"/>
      <c r="AH735" s="356"/>
      <c r="AI735" s="356"/>
      <c r="AJ735" s="356"/>
      <c r="AK735" s="382"/>
      <c r="AL735" s="417"/>
      <c r="AM735" s="383"/>
      <c r="AN735" s="507"/>
      <c r="AO735" s="382"/>
      <c r="AP735" s="417"/>
      <c r="AQ735" s="383"/>
      <c r="AR735" s="507"/>
      <c r="AS735" s="514"/>
      <c r="AT735" s="514"/>
    </row>
    <row r="736">
      <c r="A736" s="382"/>
      <c r="B736" s="417"/>
      <c r="C736" s="383"/>
      <c r="D736" s="507"/>
      <c r="E736" s="382"/>
      <c r="F736" s="417"/>
      <c r="G736" s="383"/>
      <c r="H736" s="507"/>
      <c r="I736" s="382"/>
      <c r="J736" s="417"/>
      <c r="K736" s="383"/>
      <c r="L736" s="507"/>
      <c r="M736" s="382"/>
      <c r="N736" s="417"/>
      <c r="O736" s="383"/>
      <c r="P736" s="507"/>
      <c r="Q736" s="518"/>
      <c r="R736" s="519"/>
      <c r="S736" s="520"/>
      <c r="T736" s="513"/>
      <c r="U736" s="518"/>
      <c r="V736" s="519"/>
      <c r="W736" s="520"/>
      <c r="X736" s="513"/>
      <c r="Y736" s="518"/>
      <c r="Z736" s="519"/>
      <c r="AA736" s="520"/>
      <c r="AB736" s="513"/>
      <c r="AC736" s="518"/>
      <c r="AD736" s="519"/>
      <c r="AE736" s="520"/>
      <c r="AF736" s="513"/>
      <c r="AG736" s="356"/>
      <c r="AH736" s="356"/>
      <c r="AI736" s="356"/>
      <c r="AJ736" s="356"/>
      <c r="AK736" s="382"/>
      <c r="AL736" s="417"/>
      <c r="AM736" s="383"/>
      <c r="AN736" s="507"/>
      <c r="AO736" s="382"/>
      <c r="AP736" s="417"/>
      <c r="AQ736" s="383"/>
      <c r="AR736" s="507"/>
      <c r="AS736" s="514"/>
      <c r="AT736" s="514"/>
    </row>
    <row r="737">
      <c r="A737" s="382"/>
      <c r="B737" s="417"/>
      <c r="C737" s="383"/>
      <c r="D737" s="507"/>
      <c r="E737" s="382"/>
      <c r="F737" s="417"/>
      <c r="G737" s="383"/>
      <c r="H737" s="507"/>
      <c r="I737" s="382"/>
      <c r="J737" s="417"/>
      <c r="K737" s="383"/>
      <c r="L737" s="507"/>
      <c r="M737" s="382"/>
      <c r="N737" s="417"/>
      <c r="O737" s="383"/>
      <c r="P737" s="507"/>
      <c r="Q737" s="518"/>
      <c r="R737" s="519"/>
      <c r="S737" s="520"/>
      <c r="T737" s="513"/>
      <c r="U737" s="518"/>
      <c r="V737" s="519"/>
      <c r="W737" s="520"/>
      <c r="X737" s="513"/>
      <c r="Y737" s="518"/>
      <c r="Z737" s="519"/>
      <c r="AA737" s="520"/>
      <c r="AB737" s="513"/>
      <c r="AC737" s="518"/>
      <c r="AD737" s="519"/>
      <c r="AE737" s="520"/>
      <c r="AF737" s="513"/>
      <c r="AG737" s="356"/>
      <c r="AH737" s="356"/>
      <c r="AI737" s="356"/>
      <c r="AJ737" s="356"/>
      <c r="AK737" s="382"/>
      <c r="AL737" s="417"/>
      <c r="AM737" s="383"/>
      <c r="AN737" s="507"/>
      <c r="AO737" s="382"/>
      <c r="AP737" s="417"/>
      <c r="AQ737" s="383"/>
      <c r="AR737" s="507"/>
      <c r="AS737" s="514"/>
      <c r="AT737" s="514"/>
    </row>
    <row r="738">
      <c r="A738" s="382"/>
      <c r="B738" s="417"/>
      <c r="C738" s="383"/>
      <c r="D738" s="507"/>
      <c r="E738" s="382"/>
      <c r="F738" s="417"/>
      <c r="G738" s="383"/>
      <c r="H738" s="507"/>
      <c r="I738" s="382"/>
      <c r="J738" s="417"/>
      <c r="K738" s="383"/>
      <c r="L738" s="507"/>
      <c r="M738" s="382"/>
      <c r="N738" s="417"/>
      <c r="O738" s="383"/>
      <c r="P738" s="507"/>
      <c r="Q738" s="518"/>
      <c r="R738" s="519"/>
      <c r="S738" s="520"/>
      <c r="T738" s="513"/>
      <c r="U738" s="518"/>
      <c r="V738" s="519"/>
      <c r="W738" s="520"/>
      <c r="X738" s="513"/>
      <c r="Y738" s="518"/>
      <c r="Z738" s="519"/>
      <c r="AA738" s="520"/>
      <c r="AB738" s="513"/>
      <c r="AC738" s="518"/>
      <c r="AD738" s="519"/>
      <c r="AE738" s="520"/>
      <c r="AF738" s="513"/>
      <c r="AG738" s="356"/>
      <c r="AH738" s="356"/>
      <c r="AI738" s="356"/>
      <c r="AJ738" s="356"/>
      <c r="AK738" s="382"/>
      <c r="AL738" s="417"/>
      <c r="AM738" s="383"/>
      <c r="AN738" s="507"/>
      <c r="AO738" s="382"/>
      <c r="AP738" s="417"/>
      <c r="AQ738" s="383"/>
      <c r="AR738" s="507"/>
      <c r="AS738" s="514"/>
      <c r="AT738" s="514"/>
    </row>
    <row r="739">
      <c r="A739" s="382"/>
      <c r="B739" s="417"/>
      <c r="C739" s="383"/>
      <c r="D739" s="507"/>
      <c r="E739" s="382"/>
      <c r="F739" s="417"/>
      <c r="G739" s="383"/>
      <c r="H739" s="507"/>
      <c r="I739" s="382"/>
      <c r="J739" s="417"/>
      <c r="K739" s="383"/>
      <c r="L739" s="507"/>
      <c r="M739" s="382"/>
      <c r="N739" s="417"/>
      <c r="O739" s="383"/>
      <c r="P739" s="507"/>
      <c r="Q739" s="518"/>
      <c r="R739" s="519"/>
      <c r="S739" s="520"/>
      <c r="T739" s="513"/>
      <c r="U739" s="518"/>
      <c r="V739" s="519"/>
      <c r="W739" s="520"/>
      <c r="X739" s="513"/>
      <c r="Y739" s="518"/>
      <c r="Z739" s="519"/>
      <c r="AA739" s="520"/>
      <c r="AB739" s="513"/>
      <c r="AC739" s="518"/>
      <c r="AD739" s="519"/>
      <c r="AE739" s="520"/>
      <c r="AF739" s="513"/>
      <c r="AG739" s="356"/>
      <c r="AH739" s="356"/>
      <c r="AI739" s="356"/>
      <c r="AJ739" s="356"/>
      <c r="AK739" s="382"/>
      <c r="AL739" s="417"/>
      <c r="AM739" s="383"/>
      <c r="AN739" s="507"/>
      <c r="AO739" s="382"/>
      <c r="AP739" s="417"/>
      <c r="AQ739" s="383"/>
      <c r="AR739" s="507"/>
      <c r="AS739" s="514"/>
      <c r="AT739" s="514"/>
    </row>
    <row r="740">
      <c r="A740" s="382"/>
      <c r="B740" s="417"/>
      <c r="C740" s="383"/>
      <c r="D740" s="507"/>
      <c r="E740" s="382"/>
      <c r="F740" s="417"/>
      <c r="G740" s="383"/>
      <c r="H740" s="507"/>
      <c r="I740" s="382"/>
      <c r="J740" s="417"/>
      <c r="K740" s="383"/>
      <c r="L740" s="507"/>
      <c r="M740" s="382"/>
      <c r="N740" s="417"/>
      <c r="O740" s="383"/>
      <c r="P740" s="507"/>
      <c r="Q740" s="518"/>
      <c r="R740" s="519"/>
      <c r="S740" s="520"/>
      <c r="T740" s="513"/>
      <c r="U740" s="518"/>
      <c r="V740" s="519"/>
      <c r="W740" s="520"/>
      <c r="X740" s="513"/>
      <c r="Y740" s="518"/>
      <c r="Z740" s="519"/>
      <c r="AA740" s="520"/>
      <c r="AB740" s="513"/>
      <c r="AC740" s="518"/>
      <c r="AD740" s="519"/>
      <c r="AE740" s="520"/>
      <c r="AF740" s="513"/>
      <c r="AG740" s="356"/>
      <c r="AH740" s="356"/>
      <c r="AI740" s="356"/>
      <c r="AJ740" s="356"/>
      <c r="AK740" s="382"/>
      <c r="AL740" s="417"/>
      <c r="AM740" s="383"/>
      <c r="AN740" s="507"/>
      <c r="AO740" s="382"/>
      <c r="AP740" s="417"/>
      <c r="AQ740" s="383"/>
      <c r="AR740" s="507"/>
      <c r="AS740" s="514"/>
      <c r="AT740" s="514"/>
    </row>
    <row r="741">
      <c r="A741" s="382"/>
      <c r="B741" s="417"/>
      <c r="C741" s="383"/>
      <c r="D741" s="507"/>
      <c r="E741" s="382"/>
      <c r="F741" s="417"/>
      <c r="G741" s="383"/>
      <c r="H741" s="507"/>
      <c r="I741" s="382"/>
      <c r="J741" s="417"/>
      <c r="K741" s="383"/>
      <c r="L741" s="507"/>
      <c r="M741" s="382"/>
      <c r="N741" s="417"/>
      <c r="O741" s="383"/>
      <c r="P741" s="507"/>
      <c r="Q741" s="518"/>
      <c r="R741" s="519"/>
      <c r="S741" s="520"/>
      <c r="T741" s="513"/>
      <c r="U741" s="518"/>
      <c r="V741" s="519"/>
      <c r="W741" s="520"/>
      <c r="X741" s="513"/>
      <c r="Y741" s="518"/>
      <c r="Z741" s="519"/>
      <c r="AA741" s="520"/>
      <c r="AB741" s="513"/>
      <c r="AC741" s="518"/>
      <c r="AD741" s="519"/>
      <c r="AE741" s="520"/>
      <c r="AF741" s="513"/>
      <c r="AG741" s="356"/>
      <c r="AH741" s="356"/>
      <c r="AI741" s="356"/>
      <c r="AJ741" s="356"/>
      <c r="AK741" s="382"/>
      <c r="AL741" s="417"/>
      <c r="AM741" s="383"/>
      <c r="AN741" s="507"/>
      <c r="AO741" s="382"/>
      <c r="AP741" s="417"/>
      <c r="AQ741" s="383"/>
      <c r="AR741" s="507"/>
      <c r="AS741" s="514"/>
      <c r="AT741" s="514"/>
    </row>
    <row r="742">
      <c r="A742" s="382"/>
      <c r="B742" s="417"/>
      <c r="C742" s="383"/>
      <c r="D742" s="507"/>
      <c r="E742" s="382"/>
      <c r="F742" s="417"/>
      <c r="G742" s="383"/>
      <c r="H742" s="507"/>
      <c r="I742" s="382"/>
      <c r="J742" s="417"/>
      <c r="K742" s="383"/>
      <c r="L742" s="507"/>
      <c r="M742" s="382"/>
      <c r="N742" s="417"/>
      <c r="O742" s="383"/>
      <c r="P742" s="507"/>
      <c r="Q742" s="518"/>
      <c r="R742" s="519"/>
      <c r="S742" s="520"/>
      <c r="T742" s="513"/>
      <c r="U742" s="518"/>
      <c r="V742" s="519"/>
      <c r="W742" s="520"/>
      <c r="X742" s="513"/>
      <c r="Y742" s="518"/>
      <c r="Z742" s="519"/>
      <c r="AA742" s="520"/>
      <c r="AB742" s="513"/>
      <c r="AC742" s="518"/>
      <c r="AD742" s="519"/>
      <c r="AE742" s="520"/>
      <c r="AF742" s="513"/>
      <c r="AG742" s="356"/>
      <c r="AH742" s="356"/>
      <c r="AI742" s="356"/>
      <c r="AJ742" s="356"/>
      <c r="AK742" s="382"/>
      <c r="AL742" s="417"/>
      <c r="AM742" s="383"/>
      <c r="AN742" s="507"/>
      <c r="AO742" s="382"/>
      <c r="AP742" s="417"/>
      <c r="AQ742" s="383"/>
      <c r="AR742" s="507"/>
      <c r="AS742" s="514"/>
      <c r="AT742" s="514"/>
    </row>
    <row r="743">
      <c r="A743" s="382"/>
      <c r="B743" s="417"/>
      <c r="C743" s="383"/>
      <c r="D743" s="507"/>
      <c r="E743" s="382"/>
      <c r="F743" s="417"/>
      <c r="G743" s="383"/>
      <c r="H743" s="507"/>
      <c r="I743" s="382"/>
      <c r="J743" s="417"/>
      <c r="K743" s="383"/>
      <c r="L743" s="507"/>
      <c r="M743" s="382"/>
      <c r="N743" s="417"/>
      <c r="O743" s="383"/>
      <c r="P743" s="507"/>
      <c r="Q743" s="518"/>
      <c r="R743" s="519"/>
      <c r="S743" s="520"/>
      <c r="T743" s="513"/>
      <c r="U743" s="518"/>
      <c r="V743" s="519"/>
      <c r="W743" s="520"/>
      <c r="X743" s="513"/>
      <c r="Y743" s="518"/>
      <c r="Z743" s="519"/>
      <c r="AA743" s="520"/>
      <c r="AB743" s="513"/>
      <c r="AC743" s="518"/>
      <c r="AD743" s="519"/>
      <c r="AE743" s="520"/>
      <c r="AF743" s="513"/>
      <c r="AG743" s="356"/>
      <c r="AH743" s="356"/>
      <c r="AI743" s="356"/>
      <c r="AJ743" s="356"/>
      <c r="AK743" s="382"/>
      <c r="AL743" s="417"/>
      <c r="AM743" s="383"/>
      <c r="AN743" s="507"/>
      <c r="AO743" s="382"/>
      <c r="AP743" s="417"/>
      <c r="AQ743" s="383"/>
      <c r="AR743" s="507"/>
      <c r="AS743" s="514"/>
      <c r="AT743" s="514"/>
    </row>
    <row r="744">
      <c r="A744" s="382"/>
      <c r="B744" s="417"/>
      <c r="C744" s="383"/>
      <c r="D744" s="507"/>
      <c r="E744" s="382"/>
      <c r="F744" s="417"/>
      <c r="G744" s="383"/>
      <c r="H744" s="507"/>
      <c r="I744" s="382"/>
      <c r="J744" s="417"/>
      <c r="K744" s="383"/>
      <c r="L744" s="507"/>
      <c r="M744" s="382"/>
      <c r="N744" s="417"/>
      <c r="O744" s="383"/>
      <c r="P744" s="507"/>
      <c r="Q744" s="518"/>
      <c r="R744" s="519"/>
      <c r="S744" s="520"/>
      <c r="T744" s="513"/>
      <c r="U744" s="518"/>
      <c r="V744" s="519"/>
      <c r="W744" s="520"/>
      <c r="X744" s="513"/>
      <c r="Y744" s="518"/>
      <c r="Z744" s="519"/>
      <c r="AA744" s="520"/>
      <c r="AB744" s="513"/>
      <c r="AC744" s="518"/>
      <c r="AD744" s="519"/>
      <c r="AE744" s="520"/>
      <c r="AF744" s="513"/>
      <c r="AG744" s="356"/>
      <c r="AH744" s="356"/>
      <c r="AI744" s="356"/>
      <c r="AJ744" s="356"/>
      <c r="AK744" s="382"/>
      <c r="AL744" s="417"/>
      <c r="AM744" s="383"/>
      <c r="AN744" s="507"/>
      <c r="AO744" s="382"/>
      <c r="AP744" s="417"/>
      <c r="AQ744" s="383"/>
      <c r="AR744" s="507"/>
      <c r="AS744" s="514"/>
      <c r="AT744" s="514"/>
    </row>
    <row r="745">
      <c r="A745" s="382"/>
      <c r="B745" s="417"/>
      <c r="C745" s="383"/>
      <c r="D745" s="507"/>
      <c r="E745" s="382"/>
      <c r="F745" s="417"/>
      <c r="G745" s="383"/>
      <c r="H745" s="507"/>
      <c r="I745" s="382"/>
      <c r="J745" s="417"/>
      <c r="K745" s="383"/>
      <c r="L745" s="507"/>
      <c r="M745" s="382"/>
      <c r="N745" s="417"/>
      <c r="O745" s="383"/>
      <c r="P745" s="507"/>
      <c r="Q745" s="518"/>
      <c r="R745" s="519"/>
      <c r="S745" s="520"/>
      <c r="T745" s="513"/>
      <c r="U745" s="518"/>
      <c r="V745" s="519"/>
      <c r="W745" s="520"/>
      <c r="X745" s="513"/>
      <c r="Y745" s="518"/>
      <c r="Z745" s="519"/>
      <c r="AA745" s="520"/>
      <c r="AB745" s="513"/>
      <c r="AC745" s="518"/>
      <c r="AD745" s="519"/>
      <c r="AE745" s="520"/>
      <c r="AF745" s="513"/>
      <c r="AG745" s="356"/>
      <c r="AH745" s="356"/>
      <c r="AI745" s="356"/>
      <c r="AJ745" s="356"/>
      <c r="AK745" s="382"/>
      <c r="AL745" s="417"/>
      <c r="AM745" s="383"/>
      <c r="AN745" s="507"/>
      <c r="AO745" s="382"/>
      <c r="AP745" s="417"/>
      <c r="AQ745" s="383"/>
      <c r="AR745" s="507"/>
      <c r="AS745" s="514"/>
      <c r="AT745" s="514"/>
    </row>
    <row r="746">
      <c r="A746" s="382"/>
      <c r="B746" s="417"/>
      <c r="C746" s="383"/>
      <c r="D746" s="507"/>
      <c r="E746" s="382"/>
      <c r="F746" s="417"/>
      <c r="G746" s="383"/>
      <c r="H746" s="507"/>
      <c r="I746" s="382"/>
      <c r="J746" s="417"/>
      <c r="K746" s="383"/>
      <c r="L746" s="507"/>
      <c r="M746" s="382"/>
      <c r="N746" s="417"/>
      <c r="O746" s="383"/>
      <c r="P746" s="507"/>
      <c r="Q746" s="518"/>
      <c r="R746" s="519"/>
      <c r="S746" s="520"/>
      <c r="T746" s="513"/>
      <c r="U746" s="518"/>
      <c r="V746" s="519"/>
      <c r="W746" s="520"/>
      <c r="X746" s="513"/>
      <c r="Y746" s="518"/>
      <c r="Z746" s="519"/>
      <c r="AA746" s="520"/>
      <c r="AB746" s="513"/>
      <c r="AC746" s="518"/>
      <c r="AD746" s="519"/>
      <c r="AE746" s="520"/>
      <c r="AF746" s="513"/>
      <c r="AG746" s="356"/>
      <c r="AH746" s="356"/>
      <c r="AI746" s="356"/>
      <c r="AJ746" s="356"/>
      <c r="AK746" s="382"/>
      <c r="AL746" s="417"/>
      <c r="AM746" s="383"/>
      <c r="AN746" s="507"/>
      <c r="AO746" s="382"/>
      <c r="AP746" s="417"/>
      <c r="AQ746" s="383"/>
      <c r="AR746" s="507"/>
      <c r="AS746" s="514"/>
      <c r="AT746" s="514"/>
    </row>
    <row r="747">
      <c r="A747" s="382"/>
      <c r="B747" s="417"/>
      <c r="C747" s="383"/>
      <c r="D747" s="507"/>
      <c r="E747" s="382"/>
      <c r="F747" s="417"/>
      <c r="G747" s="383"/>
      <c r="H747" s="507"/>
      <c r="I747" s="382"/>
      <c r="J747" s="417"/>
      <c r="K747" s="383"/>
      <c r="L747" s="507"/>
      <c r="M747" s="382"/>
      <c r="N747" s="417"/>
      <c r="O747" s="383"/>
      <c r="P747" s="507"/>
      <c r="Q747" s="518"/>
      <c r="R747" s="519"/>
      <c r="S747" s="520"/>
      <c r="T747" s="513"/>
      <c r="U747" s="518"/>
      <c r="V747" s="519"/>
      <c r="W747" s="520"/>
      <c r="X747" s="513"/>
      <c r="Y747" s="518"/>
      <c r="Z747" s="519"/>
      <c r="AA747" s="520"/>
      <c r="AB747" s="513"/>
      <c r="AC747" s="518"/>
      <c r="AD747" s="519"/>
      <c r="AE747" s="520"/>
      <c r="AF747" s="513"/>
      <c r="AG747" s="356"/>
      <c r="AH747" s="356"/>
      <c r="AI747" s="356"/>
      <c r="AJ747" s="356"/>
      <c r="AK747" s="382"/>
      <c r="AL747" s="417"/>
      <c r="AM747" s="383"/>
      <c r="AN747" s="507"/>
      <c r="AO747" s="382"/>
      <c r="AP747" s="417"/>
      <c r="AQ747" s="383"/>
      <c r="AR747" s="507"/>
      <c r="AS747" s="514"/>
      <c r="AT747" s="514"/>
    </row>
    <row r="748">
      <c r="A748" s="382"/>
      <c r="B748" s="417"/>
      <c r="C748" s="383"/>
      <c r="D748" s="507"/>
      <c r="E748" s="382"/>
      <c r="F748" s="417"/>
      <c r="G748" s="383"/>
      <c r="H748" s="507"/>
      <c r="I748" s="382"/>
      <c r="J748" s="417"/>
      <c r="K748" s="383"/>
      <c r="L748" s="507"/>
      <c r="M748" s="382"/>
      <c r="N748" s="417"/>
      <c r="O748" s="383"/>
      <c r="P748" s="507"/>
      <c r="Q748" s="518"/>
      <c r="R748" s="519"/>
      <c r="S748" s="520"/>
      <c r="T748" s="513"/>
      <c r="U748" s="518"/>
      <c r="V748" s="519"/>
      <c r="W748" s="520"/>
      <c r="X748" s="513"/>
      <c r="Y748" s="518"/>
      <c r="Z748" s="519"/>
      <c r="AA748" s="520"/>
      <c r="AB748" s="513"/>
      <c r="AC748" s="518"/>
      <c r="AD748" s="519"/>
      <c r="AE748" s="520"/>
      <c r="AF748" s="513"/>
      <c r="AG748" s="356"/>
      <c r="AH748" s="356"/>
      <c r="AI748" s="356"/>
      <c r="AJ748" s="356"/>
      <c r="AK748" s="382"/>
      <c r="AL748" s="417"/>
      <c r="AM748" s="383"/>
      <c r="AN748" s="507"/>
      <c r="AO748" s="382"/>
      <c r="AP748" s="417"/>
      <c r="AQ748" s="383"/>
      <c r="AR748" s="507"/>
      <c r="AS748" s="514"/>
      <c r="AT748" s="514"/>
    </row>
    <row r="749">
      <c r="A749" s="382"/>
      <c r="B749" s="417"/>
      <c r="C749" s="383"/>
      <c r="D749" s="507"/>
      <c r="E749" s="382"/>
      <c r="F749" s="417"/>
      <c r="G749" s="383"/>
      <c r="H749" s="507"/>
      <c r="I749" s="382"/>
      <c r="J749" s="417"/>
      <c r="K749" s="383"/>
      <c r="L749" s="507"/>
      <c r="M749" s="382"/>
      <c r="N749" s="417"/>
      <c r="O749" s="383"/>
      <c r="P749" s="507"/>
      <c r="Q749" s="518"/>
      <c r="R749" s="519"/>
      <c r="S749" s="520"/>
      <c r="T749" s="513"/>
      <c r="U749" s="518"/>
      <c r="V749" s="519"/>
      <c r="W749" s="520"/>
      <c r="X749" s="513"/>
      <c r="Y749" s="518"/>
      <c r="Z749" s="519"/>
      <c r="AA749" s="520"/>
      <c r="AB749" s="513"/>
      <c r="AC749" s="518"/>
      <c r="AD749" s="519"/>
      <c r="AE749" s="520"/>
      <c r="AF749" s="513"/>
      <c r="AG749" s="356"/>
      <c r="AH749" s="356"/>
      <c r="AI749" s="356"/>
      <c r="AJ749" s="356"/>
      <c r="AK749" s="382"/>
      <c r="AL749" s="417"/>
      <c r="AM749" s="383"/>
      <c r="AN749" s="507"/>
      <c r="AO749" s="382"/>
      <c r="AP749" s="417"/>
      <c r="AQ749" s="383"/>
      <c r="AR749" s="507"/>
      <c r="AS749" s="514"/>
      <c r="AT749" s="514"/>
    </row>
    <row r="750">
      <c r="A750" s="382"/>
      <c r="B750" s="417"/>
      <c r="C750" s="383"/>
      <c r="D750" s="507"/>
      <c r="E750" s="382"/>
      <c r="F750" s="417"/>
      <c r="G750" s="383"/>
      <c r="H750" s="507"/>
      <c r="I750" s="382"/>
      <c r="J750" s="417"/>
      <c r="K750" s="383"/>
      <c r="L750" s="507"/>
      <c r="M750" s="382"/>
      <c r="N750" s="417"/>
      <c r="O750" s="383"/>
      <c r="P750" s="507"/>
      <c r="Q750" s="518"/>
      <c r="R750" s="519"/>
      <c r="S750" s="520"/>
      <c r="T750" s="513"/>
      <c r="U750" s="518"/>
      <c r="V750" s="519"/>
      <c r="W750" s="520"/>
      <c r="X750" s="513"/>
      <c r="Y750" s="518"/>
      <c r="Z750" s="519"/>
      <c r="AA750" s="520"/>
      <c r="AB750" s="513"/>
      <c r="AC750" s="518"/>
      <c r="AD750" s="519"/>
      <c r="AE750" s="520"/>
      <c r="AF750" s="513"/>
      <c r="AG750" s="356"/>
      <c r="AH750" s="356"/>
      <c r="AI750" s="356"/>
      <c r="AJ750" s="356"/>
      <c r="AK750" s="382"/>
      <c r="AL750" s="417"/>
      <c r="AM750" s="383"/>
      <c r="AN750" s="507"/>
      <c r="AO750" s="382"/>
      <c r="AP750" s="417"/>
      <c r="AQ750" s="383"/>
      <c r="AR750" s="507"/>
      <c r="AS750" s="514"/>
      <c r="AT750" s="514"/>
    </row>
    <row r="751">
      <c r="A751" s="382"/>
      <c r="B751" s="417"/>
      <c r="C751" s="383"/>
      <c r="D751" s="507"/>
      <c r="E751" s="382"/>
      <c r="F751" s="417"/>
      <c r="G751" s="383"/>
      <c r="H751" s="507"/>
      <c r="I751" s="382"/>
      <c r="J751" s="417"/>
      <c r="K751" s="383"/>
      <c r="L751" s="507"/>
      <c r="M751" s="382"/>
      <c r="N751" s="417"/>
      <c r="O751" s="383"/>
      <c r="P751" s="507"/>
      <c r="Q751" s="518"/>
      <c r="R751" s="519"/>
      <c r="S751" s="520"/>
      <c r="T751" s="513"/>
      <c r="U751" s="518"/>
      <c r="V751" s="519"/>
      <c r="W751" s="520"/>
      <c r="X751" s="513"/>
      <c r="Y751" s="518"/>
      <c r="Z751" s="519"/>
      <c r="AA751" s="520"/>
      <c r="AB751" s="513"/>
      <c r="AC751" s="518"/>
      <c r="AD751" s="519"/>
      <c r="AE751" s="520"/>
      <c r="AF751" s="513"/>
      <c r="AG751" s="356"/>
      <c r="AH751" s="356"/>
      <c r="AI751" s="356"/>
      <c r="AJ751" s="356"/>
      <c r="AK751" s="382"/>
      <c r="AL751" s="417"/>
      <c r="AM751" s="383"/>
      <c r="AN751" s="507"/>
      <c r="AO751" s="382"/>
      <c r="AP751" s="417"/>
      <c r="AQ751" s="383"/>
      <c r="AR751" s="507"/>
      <c r="AS751" s="514"/>
      <c r="AT751" s="514"/>
    </row>
    <row r="752">
      <c r="A752" s="382"/>
      <c r="B752" s="417"/>
      <c r="C752" s="383"/>
      <c r="D752" s="507"/>
      <c r="E752" s="382"/>
      <c r="F752" s="417"/>
      <c r="G752" s="383"/>
      <c r="H752" s="507"/>
      <c r="I752" s="382"/>
      <c r="J752" s="417"/>
      <c r="K752" s="383"/>
      <c r="L752" s="507"/>
      <c r="M752" s="382"/>
      <c r="N752" s="417"/>
      <c r="O752" s="383"/>
      <c r="P752" s="507"/>
      <c r="Q752" s="518"/>
      <c r="R752" s="519"/>
      <c r="S752" s="520"/>
      <c r="T752" s="513"/>
      <c r="U752" s="518"/>
      <c r="V752" s="519"/>
      <c r="W752" s="520"/>
      <c r="X752" s="513"/>
      <c r="Y752" s="518"/>
      <c r="Z752" s="519"/>
      <c r="AA752" s="520"/>
      <c r="AB752" s="513"/>
      <c r="AC752" s="518"/>
      <c r="AD752" s="519"/>
      <c r="AE752" s="520"/>
      <c r="AF752" s="513"/>
      <c r="AG752" s="356"/>
      <c r="AH752" s="356"/>
      <c r="AI752" s="356"/>
      <c r="AJ752" s="356"/>
      <c r="AK752" s="382"/>
      <c r="AL752" s="417"/>
      <c r="AM752" s="383"/>
      <c r="AN752" s="507"/>
      <c r="AO752" s="382"/>
      <c r="AP752" s="417"/>
      <c r="AQ752" s="383"/>
      <c r="AR752" s="507"/>
      <c r="AS752" s="514"/>
      <c r="AT752" s="514"/>
    </row>
    <row r="753">
      <c r="A753" s="382"/>
      <c r="B753" s="417"/>
      <c r="C753" s="383"/>
      <c r="D753" s="507"/>
      <c r="E753" s="382"/>
      <c r="F753" s="417"/>
      <c r="G753" s="383"/>
      <c r="H753" s="507"/>
      <c r="I753" s="382"/>
      <c r="J753" s="417"/>
      <c r="K753" s="383"/>
      <c r="L753" s="507"/>
      <c r="M753" s="382"/>
      <c r="N753" s="417"/>
      <c r="O753" s="383"/>
      <c r="P753" s="507"/>
      <c r="Q753" s="518"/>
      <c r="R753" s="519"/>
      <c r="S753" s="520"/>
      <c r="T753" s="513"/>
      <c r="U753" s="518"/>
      <c r="V753" s="519"/>
      <c r="W753" s="520"/>
      <c r="X753" s="513"/>
      <c r="Y753" s="518"/>
      <c r="Z753" s="519"/>
      <c r="AA753" s="520"/>
      <c r="AB753" s="513"/>
      <c r="AC753" s="518"/>
      <c r="AD753" s="519"/>
      <c r="AE753" s="520"/>
      <c r="AF753" s="513"/>
      <c r="AG753" s="356"/>
      <c r="AH753" s="356"/>
      <c r="AI753" s="356"/>
      <c r="AJ753" s="356"/>
      <c r="AK753" s="382"/>
      <c r="AL753" s="417"/>
      <c r="AM753" s="383"/>
      <c r="AN753" s="507"/>
      <c r="AO753" s="382"/>
      <c r="AP753" s="417"/>
      <c r="AQ753" s="383"/>
      <c r="AR753" s="507"/>
      <c r="AS753" s="514"/>
      <c r="AT753" s="514"/>
    </row>
    <row r="754">
      <c r="A754" s="382"/>
      <c r="B754" s="417"/>
      <c r="C754" s="383"/>
      <c r="D754" s="507"/>
      <c r="E754" s="382"/>
      <c r="F754" s="417"/>
      <c r="G754" s="383"/>
      <c r="H754" s="507"/>
      <c r="I754" s="382"/>
      <c r="J754" s="417"/>
      <c r="K754" s="383"/>
      <c r="L754" s="507"/>
      <c r="M754" s="382"/>
      <c r="N754" s="417"/>
      <c r="O754" s="383"/>
      <c r="P754" s="507"/>
      <c r="Q754" s="518"/>
      <c r="R754" s="519"/>
      <c r="S754" s="520"/>
      <c r="T754" s="513"/>
      <c r="U754" s="518"/>
      <c r="V754" s="519"/>
      <c r="W754" s="520"/>
      <c r="X754" s="513"/>
      <c r="Y754" s="518"/>
      <c r="Z754" s="519"/>
      <c r="AA754" s="520"/>
      <c r="AB754" s="513"/>
      <c r="AC754" s="518"/>
      <c r="AD754" s="519"/>
      <c r="AE754" s="520"/>
      <c r="AF754" s="513"/>
      <c r="AG754" s="356"/>
      <c r="AH754" s="356"/>
      <c r="AI754" s="356"/>
      <c r="AJ754" s="356"/>
      <c r="AK754" s="382"/>
      <c r="AL754" s="417"/>
      <c r="AM754" s="383"/>
      <c r="AN754" s="507"/>
      <c r="AO754" s="382"/>
      <c r="AP754" s="417"/>
      <c r="AQ754" s="383"/>
      <c r="AR754" s="507"/>
      <c r="AS754" s="514"/>
      <c r="AT754" s="514"/>
    </row>
    <row r="755">
      <c r="A755" s="382"/>
      <c r="B755" s="417"/>
      <c r="C755" s="383"/>
      <c r="D755" s="507"/>
      <c r="E755" s="382"/>
      <c r="F755" s="417"/>
      <c r="G755" s="383"/>
      <c r="H755" s="507"/>
      <c r="I755" s="382"/>
      <c r="J755" s="417"/>
      <c r="K755" s="383"/>
      <c r="L755" s="507"/>
      <c r="M755" s="382"/>
      <c r="N755" s="417"/>
      <c r="O755" s="383"/>
      <c r="P755" s="507"/>
      <c r="Q755" s="518"/>
      <c r="R755" s="519"/>
      <c r="S755" s="520"/>
      <c r="T755" s="513"/>
      <c r="U755" s="518"/>
      <c r="V755" s="519"/>
      <c r="W755" s="520"/>
      <c r="X755" s="513"/>
      <c r="Y755" s="518"/>
      <c r="Z755" s="519"/>
      <c r="AA755" s="520"/>
      <c r="AB755" s="513"/>
      <c r="AC755" s="518"/>
      <c r="AD755" s="519"/>
      <c r="AE755" s="520"/>
      <c r="AF755" s="513"/>
      <c r="AG755" s="356"/>
      <c r="AH755" s="356"/>
      <c r="AI755" s="356"/>
      <c r="AJ755" s="356"/>
      <c r="AK755" s="382"/>
      <c r="AL755" s="417"/>
      <c r="AM755" s="383"/>
      <c r="AN755" s="507"/>
      <c r="AO755" s="382"/>
      <c r="AP755" s="417"/>
      <c r="AQ755" s="383"/>
      <c r="AR755" s="507"/>
      <c r="AS755" s="514"/>
      <c r="AT755" s="514"/>
    </row>
    <row r="756">
      <c r="A756" s="382"/>
      <c r="B756" s="417"/>
      <c r="C756" s="383"/>
      <c r="D756" s="507"/>
      <c r="E756" s="382"/>
      <c r="F756" s="417"/>
      <c r="G756" s="383"/>
      <c r="H756" s="507"/>
      <c r="I756" s="382"/>
      <c r="J756" s="417"/>
      <c r="K756" s="383"/>
      <c r="L756" s="507"/>
      <c r="M756" s="382"/>
      <c r="N756" s="417"/>
      <c r="O756" s="383"/>
      <c r="P756" s="507"/>
      <c r="Q756" s="518"/>
      <c r="R756" s="519"/>
      <c r="S756" s="520"/>
      <c r="T756" s="513"/>
      <c r="U756" s="518"/>
      <c r="V756" s="519"/>
      <c r="W756" s="520"/>
      <c r="X756" s="513"/>
      <c r="Y756" s="518"/>
      <c r="Z756" s="519"/>
      <c r="AA756" s="520"/>
      <c r="AB756" s="513"/>
      <c r="AC756" s="518"/>
      <c r="AD756" s="519"/>
      <c r="AE756" s="520"/>
      <c r="AF756" s="513"/>
      <c r="AG756" s="356"/>
      <c r="AH756" s="356"/>
      <c r="AI756" s="356"/>
      <c r="AJ756" s="356"/>
      <c r="AK756" s="382"/>
      <c r="AL756" s="417"/>
      <c r="AM756" s="383"/>
      <c r="AN756" s="507"/>
      <c r="AO756" s="382"/>
      <c r="AP756" s="417"/>
      <c r="AQ756" s="383"/>
      <c r="AR756" s="507"/>
      <c r="AS756" s="514"/>
      <c r="AT756" s="514"/>
    </row>
    <row r="757">
      <c r="A757" s="382"/>
      <c r="B757" s="417"/>
      <c r="C757" s="383"/>
      <c r="D757" s="507"/>
      <c r="E757" s="382"/>
      <c r="F757" s="417"/>
      <c r="G757" s="383"/>
      <c r="H757" s="507"/>
      <c r="I757" s="382"/>
      <c r="J757" s="417"/>
      <c r="K757" s="383"/>
      <c r="L757" s="507"/>
      <c r="M757" s="382"/>
      <c r="N757" s="417"/>
      <c r="O757" s="383"/>
      <c r="P757" s="507"/>
      <c r="Q757" s="518"/>
      <c r="R757" s="519"/>
      <c r="S757" s="520"/>
      <c r="T757" s="513"/>
      <c r="U757" s="518"/>
      <c r="V757" s="519"/>
      <c r="W757" s="520"/>
      <c r="X757" s="513"/>
      <c r="Y757" s="518"/>
      <c r="Z757" s="519"/>
      <c r="AA757" s="520"/>
      <c r="AB757" s="513"/>
      <c r="AC757" s="518"/>
      <c r="AD757" s="519"/>
      <c r="AE757" s="520"/>
      <c r="AF757" s="513"/>
      <c r="AG757" s="356"/>
      <c r="AH757" s="356"/>
      <c r="AI757" s="356"/>
      <c r="AJ757" s="356"/>
      <c r="AK757" s="382"/>
      <c r="AL757" s="417"/>
      <c r="AM757" s="383"/>
      <c r="AN757" s="507"/>
      <c r="AO757" s="382"/>
      <c r="AP757" s="417"/>
      <c r="AQ757" s="383"/>
      <c r="AR757" s="507"/>
      <c r="AS757" s="514"/>
      <c r="AT757" s="514"/>
    </row>
    <row r="758">
      <c r="A758" s="382"/>
      <c r="B758" s="417"/>
      <c r="C758" s="383"/>
      <c r="D758" s="507"/>
      <c r="E758" s="382"/>
      <c r="F758" s="417"/>
      <c r="G758" s="383"/>
      <c r="H758" s="507"/>
      <c r="I758" s="382"/>
      <c r="J758" s="417"/>
      <c r="K758" s="383"/>
      <c r="L758" s="507"/>
      <c r="M758" s="382"/>
      <c r="N758" s="417"/>
      <c r="O758" s="383"/>
      <c r="P758" s="507"/>
      <c r="Q758" s="518"/>
      <c r="R758" s="519"/>
      <c r="S758" s="520"/>
      <c r="T758" s="513"/>
      <c r="U758" s="518"/>
      <c r="V758" s="519"/>
      <c r="W758" s="520"/>
      <c r="X758" s="513"/>
      <c r="Y758" s="518"/>
      <c r="Z758" s="519"/>
      <c r="AA758" s="520"/>
      <c r="AB758" s="513"/>
      <c r="AC758" s="518"/>
      <c r="AD758" s="519"/>
      <c r="AE758" s="520"/>
      <c r="AF758" s="513"/>
      <c r="AG758" s="356"/>
      <c r="AH758" s="356"/>
      <c r="AI758" s="356"/>
      <c r="AJ758" s="356"/>
      <c r="AK758" s="382"/>
      <c r="AL758" s="417"/>
      <c r="AM758" s="383"/>
      <c r="AN758" s="507"/>
      <c r="AO758" s="382"/>
      <c r="AP758" s="417"/>
      <c r="AQ758" s="383"/>
      <c r="AR758" s="507"/>
      <c r="AS758" s="514"/>
      <c r="AT758" s="514"/>
    </row>
    <row r="759">
      <c r="A759" s="382"/>
      <c r="B759" s="417"/>
      <c r="C759" s="383"/>
      <c r="D759" s="507"/>
      <c r="E759" s="382"/>
      <c r="F759" s="417"/>
      <c r="G759" s="383"/>
      <c r="H759" s="507"/>
      <c r="I759" s="382"/>
      <c r="J759" s="417"/>
      <c r="K759" s="383"/>
      <c r="L759" s="507"/>
      <c r="M759" s="382"/>
      <c r="N759" s="417"/>
      <c r="O759" s="383"/>
      <c r="P759" s="507"/>
      <c r="Q759" s="518"/>
      <c r="R759" s="519"/>
      <c r="S759" s="520"/>
      <c r="T759" s="513"/>
      <c r="U759" s="518"/>
      <c r="V759" s="519"/>
      <c r="W759" s="520"/>
      <c r="X759" s="513"/>
      <c r="Y759" s="518"/>
      <c r="Z759" s="519"/>
      <c r="AA759" s="520"/>
      <c r="AB759" s="513"/>
      <c r="AC759" s="518"/>
      <c r="AD759" s="519"/>
      <c r="AE759" s="520"/>
      <c r="AF759" s="513"/>
      <c r="AG759" s="356"/>
      <c r="AH759" s="356"/>
      <c r="AI759" s="356"/>
      <c r="AJ759" s="356"/>
      <c r="AK759" s="382"/>
      <c r="AL759" s="417"/>
      <c r="AM759" s="383"/>
      <c r="AN759" s="507"/>
      <c r="AO759" s="382"/>
      <c r="AP759" s="417"/>
      <c r="AQ759" s="383"/>
      <c r="AR759" s="507"/>
      <c r="AS759" s="514"/>
      <c r="AT759" s="514"/>
    </row>
    <row r="760">
      <c r="A760" s="382"/>
      <c r="B760" s="417"/>
      <c r="C760" s="383"/>
      <c r="D760" s="507"/>
      <c r="E760" s="382"/>
      <c r="F760" s="417"/>
      <c r="G760" s="383"/>
      <c r="H760" s="507"/>
      <c r="I760" s="382"/>
      <c r="J760" s="417"/>
      <c r="K760" s="383"/>
      <c r="L760" s="507"/>
      <c r="M760" s="382"/>
      <c r="N760" s="417"/>
      <c r="O760" s="383"/>
      <c r="P760" s="507"/>
      <c r="Q760" s="518"/>
      <c r="R760" s="519"/>
      <c r="S760" s="520"/>
      <c r="T760" s="513"/>
      <c r="U760" s="518"/>
      <c r="V760" s="519"/>
      <c r="W760" s="520"/>
      <c r="X760" s="513"/>
      <c r="Y760" s="518"/>
      <c r="Z760" s="519"/>
      <c r="AA760" s="520"/>
      <c r="AB760" s="513"/>
      <c r="AC760" s="518"/>
      <c r="AD760" s="519"/>
      <c r="AE760" s="520"/>
      <c r="AF760" s="513"/>
      <c r="AG760" s="356"/>
      <c r="AH760" s="356"/>
      <c r="AI760" s="356"/>
      <c r="AJ760" s="356"/>
      <c r="AK760" s="382"/>
      <c r="AL760" s="417"/>
      <c r="AM760" s="383"/>
      <c r="AN760" s="507"/>
      <c r="AO760" s="382"/>
      <c r="AP760" s="417"/>
      <c r="AQ760" s="383"/>
      <c r="AR760" s="507"/>
      <c r="AS760" s="514"/>
      <c r="AT760" s="514"/>
    </row>
    <row r="761">
      <c r="A761" s="382"/>
      <c r="B761" s="417"/>
      <c r="C761" s="383"/>
      <c r="D761" s="507"/>
      <c r="E761" s="382"/>
      <c r="F761" s="417"/>
      <c r="G761" s="383"/>
      <c r="H761" s="507"/>
      <c r="I761" s="382"/>
      <c r="J761" s="417"/>
      <c r="K761" s="383"/>
      <c r="L761" s="507"/>
      <c r="M761" s="382"/>
      <c r="N761" s="417"/>
      <c r="O761" s="383"/>
      <c r="P761" s="507"/>
      <c r="Q761" s="518"/>
      <c r="R761" s="519"/>
      <c r="S761" s="520"/>
      <c r="T761" s="513"/>
      <c r="U761" s="518"/>
      <c r="V761" s="519"/>
      <c r="W761" s="520"/>
      <c r="X761" s="513"/>
      <c r="Y761" s="518"/>
      <c r="Z761" s="519"/>
      <c r="AA761" s="520"/>
      <c r="AB761" s="513"/>
      <c r="AC761" s="518"/>
      <c r="AD761" s="519"/>
      <c r="AE761" s="520"/>
      <c r="AF761" s="513"/>
      <c r="AG761" s="356"/>
      <c r="AH761" s="356"/>
      <c r="AI761" s="356"/>
      <c r="AJ761" s="356"/>
      <c r="AK761" s="382"/>
      <c r="AL761" s="417"/>
      <c r="AM761" s="383"/>
      <c r="AN761" s="507"/>
      <c r="AO761" s="382"/>
      <c r="AP761" s="417"/>
      <c r="AQ761" s="383"/>
      <c r="AR761" s="507"/>
      <c r="AS761" s="514"/>
      <c r="AT761" s="514"/>
    </row>
    <row r="762">
      <c r="A762" s="382"/>
      <c r="B762" s="417"/>
      <c r="C762" s="383"/>
      <c r="D762" s="507"/>
      <c r="E762" s="382"/>
      <c r="F762" s="417"/>
      <c r="G762" s="383"/>
      <c r="H762" s="507"/>
      <c r="I762" s="382"/>
      <c r="J762" s="417"/>
      <c r="K762" s="383"/>
      <c r="L762" s="507"/>
      <c r="M762" s="382"/>
      <c r="N762" s="417"/>
      <c r="O762" s="383"/>
      <c r="P762" s="507"/>
      <c r="Q762" s="518"/>
      <c r="R762" s="519"/>
      <c r="S762" s="520"/>
      <c r="T762" s="513"/>
      <c r="U762" s="518"/>
      <c r="V762" s="519"/>
      <c r="W762" s="520"/>
      <c r="X762" s="513"/>
      <c r="Y762" s="518"/>
      <c r="Z762" s="519"/>
      <c r="AA762" s="520"/>
      <c r="AB762" s="513"/>
      <c r="AC762" s="518"/>
      <c r="AD762" s="519"/>
      <c r="AE762" s="520"/>
      <c r="AF762" s="513"/>
      <c r="AG762" s="356"/>
      <c r="AH762" s="356"/>
      <c r="AI762" s="356"/>
      <c r="AJ762" s="356"/>
      <c r="AK762" s="382"/>
      <c r="AL762" s="417"/>
      <c r="AM762" s="383"/>
      <c r="AN762" s="507"/>
      <c r="AO762" s="382"/>
      <c r="AP762" s="417"/>
      <c r="AQ762" s="383"/>
      <c r="AR762" s="507"/>
      <c r="AS762" s="514"/>
      <c r="AT762" s="514"/>
    </row>
    <row r="763">
      <c r="A763" s="382"/>
      <c r="B763" s="417"/>
      <c r="C763" s="383"/>
      <c r="D763" s="507"/>
      <c r="E763" s="382"/>
      <c r="F763" s="417"/>
      <c r="G763" s="383"/>
      <c r="H763" s="507"/>
      <c r="I763" s="382"/>
      <c r="J763" s="417"/>
      <c r="K763" s="383"/>
      <c r="L763" s="507"/>
      <c r="M763" s="382"/>
      <c r="N763" s="417"/>
      <c r="O763" s="383"/>
      <c r="P763" s="507"/>
      <c r="Q763" s="518"/>
      <c r="R763" s="519"/>
      <c r="S763" s="520"/>
      <c r="T763" s="513"/>
      <c r="U763" s="518"/>
      <c r="V763" s="519"/>
      <c r="W763" s="520"/>
      <c r="X763" s="513"/>
      <c r="Y763" s="518"/>
      <c r="Z763" s="519"/>
      <c r="AA763" s="520"/>
      <c r="AB763" s="513"/>
      <c r="AC763" s="518"/>
      <c r="AD763" s="519"/>
      <c r="AE763" s="520"/>
      <c r="AF763" s="513"/>
      <c r="AG763" s="356"/>
      <c r="AH763" s="356"/>
      <c r="AI763" s="356"/>
      <c r="AJ763" s="356"/>
      <c r="AK763" s="382"/>
      <c r="AL763" s="417"/>
      <c r="AM763" s="383"/>
      <c r="AN763" s="507"/>
      <c r="AO763" s="382"/>
      <c r="AP763" s="417"/>
      <c r="AQ763" s="383"/>
      <c r="AR763" s="507"/>
      <c r="AS763" s="514"/>
      <c r="AT763" s="514"/>
    </row>
    <row r="764">
      <c r="A764" s="382"/>
      <c r="B764" s="417"/>
      <c r="C764" s="383"/>
      <c r="D764" s="507"/>
      <c r="E764" s="382"/>
      <c r="F764" s="417"/>
      <c r="G764" s="383"/>
      <c r="H764" s="507"/>
      <c r="I764" s="382"/>
      <c r="J764" s="417"/>
      <c r="K764" s="383"/>
      <c r="L764" s="507"/>
      <c r="M764" s="382"/>
      <c r="N764" s="417"/>
      <c r="O764" s="383"/>
      <c r="P764" s="507"/>
      <c r="Q764" s="518"/>
      <c r="R764" s="519"/>
      <c r="S764" s="520"/>
      <c r="T764" s="513"/>
      <c r="U764" s="518"/>
      <c r="V764" s="519"/>
      <c r="W764" s="520"/>
      <c r="X764" s="513"/>
      <c r="Y764" s="518"/>
      <c r="Z764" s="519"/>
      <c r="AA764" s="520"/>
      <c r="AB764" s="513"/>
      <c r="AC764" s="518"/>
      <c r="AD764" s="519"/>
      <c r="AE764" s="520"/>
      <c r="AF764" s="513"/>
      <c r="AG764" s="356"/>
      <c r="AH764" s="356"/>
      <c r="AI764" s="356"/>
      <c r="AJ764" s="356"/>
      <c r="AK764" s="382"/>
      <c r="AL764" s="417"/>
      <c r="AM764" s="383"/>
      <c r="AN764" s="507"/>
      <c r="AO764" s="382"/>
      <c r="AP764" s="417"/>
      <c r="AQ764" s="383"/>
      <c r="AR764" s="507"/>
      <c r="AS764" s="514"/>
      <c r="AT764" s="514"/>
    </row>
    <row r="765">
      <c r="A765" s="382"/>
      <c r="B765" s="417"/>
      <c r="C765" s="383"/>
      <c r="D765" s="507"/>
      <c r="E765" s="382"/>
      <c r="F765" s="417"/>
      <c r="G765" s="383"/>
      <c r="H765" s="507"/>
      <c r="I765" s="382"/>
      <c r="J765" s="417"/>
      <c r="K765" s="383"/>
      <c r="L765" s="507"/>
      <c r="M765" s="382"/>
      <c r="N765" s="417"/>
      <c r="O765" s="383"/>
      <c r="P765" s="507"/>
      <c r="Q765" s="518"/>
      <c r="R765" s="519"/>
      <c r="S765" s="520"/>
      <c r="T765" s="513"/>
      <c r="U765" s="518"/>
      <c r="V765" s="519"/>
      <c r="W765" s="520"/>
      <c r="X765" s="513"/>
      <c r="Y765" s="518"/>
      <c r="Z765" s="519"/>
      <c r="AA765" s="520"/>
      <c r="AB765" s="513"/>
      <c r="AC765" s="518"/>
      <c r="AD765" s="519"/>
      <c r="AE765" s="520"/>
      <c r="AF765" s="513"/>
      <c r="AG765" s="356"/>
      <c r="AH765" s="356"/>
      <c r="AI765" s="356"/>
      <c r="AJ765" s="356"/>
      <c r="AK765" s="382"/>
      <c r="AL765" s="417"/>
      <c r="AM765" s="383"/>
      <c r="AN765" s="507"/>
      <c r="AO765" s="382"/>
      <c r="AP765" s="417"/>
      <c r="AQ765" s="383"/>
      <c r="AR765" s="507"/>
      <c r="AS765" s="514"/>
      <c r="AT765" s="514"/>
    </row>
    <row r="766">
      <c r="A766" s="382"/>
      <c r="B766" s="417"/>
      <c r="C766" s="383"/>
      <c r="D766" s="507"/>
      <c r="E766" s="382"/>
      <c r="F766" s="417"/>
      <c r="G766" s="383"/>
      <c r="H766" s="507"/>
      <c r="I766" s="382"/>
      <c r="J766" s="417"/>
      <c r="K766" s="383"/>
      <c r="L766" s="507"/>
      <c r="M766" s="382"/>
      <c r="N766" s="417"/>
      <c r="O766" s="383"/>
      <c r="P766" s="507"/>
      <c r="Q766" s="518"/>
      <c r="R766" s="519"/>
      <c r="S766" s="520"/>
      <c r="T766" s="513"/>
      <c r="U766" s="518"/>
      <c r="V766" s="519"/>
      <c r="W766" s="520"/>
      <c r="X766" s="513"/>
      <c r="Y766" s="518"/>
      <c r="Z766" s="519"/>
      <c r="AA766" s="520"/>
      <c r="AB766" s="513"/>
      <c r="AC766" s="518"/>
      <c r="AD766" s="519"/>
      <c r="AE766" s="520"/>
      <c r="AF766" s="513"/>
      <c r="AG766" s="356"/>
      <c r="AH766" s="356"/>
      <c r="AI766" s="356"/>
      <c r="AJ766" s="356"/>
      <c r="AK766" s="382"/>
      <c r="AL766" s="417"/>
      <c r="AM766" s="383"/>
      <c r="AN766" s="507"/>
      <c r="AO766" s="382"/>
      <c r="AP766" s="417"/>
      <c r="AQ766" s="383"/>
      <c r="AR766" s="507"/>
      <c r="AS766" s="514"/>
      <c r="AT766" s="514"/>
    </row>
    <row r="767">
      <c r="A767" s="382"/>
      <c r="B767" s="417"/>
      <c r="C767" s="383"/>
      <c r="D767" s="507"/>
      <c r="E767" s="382"/>
      <c r="F767" s="417"/>
      <c r="G767" s="383"/>
      <c r="H767" s="507"/>
      <c r="I767" s="382"/>
      <c r="J767" s="417"/>
      <c r="K767" s="383"/>
      <c r="L767" s="507"/>
      <c r="M767" s="382"/>
      <c r="N767" s="417"/>
      <c r="O767" s="383"/>
      <c r="P767" s="507"/>
      <c r="Q767" s="518"/>
      <c r="R767" s="519"/>
      <c r="S767" s="520"/>
      <c r="T767" s="513"/>
      <c r="U767" s="518"/>
      <c r="V767" s="519"/>
      <c r="W767" s="520"/>
      <c r="X767" s="513"/>
      <c r="Y767" s="518"/>
      <c r="Z767" s="519"/>
      <c r="AA767" s="520"/>
      <c r="AB767" s="513"/>
      <c r="AC767" s="518"/>
      <c r="AD767" s="519"/>
      <c r="AE767" s="520"/>
      <c r="AF767" s="513"/>
      <c r="AG767" s="356"/>
      <c r="AH767" s="356"/>
      <c r="AI767" s="356"/>
      <c r="AJ767" s="356"/>
      <c r="AK767" s="382"/>
      <c r="AL767" s="417"/>
      <c r="AM767" s="383"/>
      <c r="AN767" s="507"/>
      <c r="AO767" s="382"/>
      <c r="AP767" s="417"/>
      <c r="AQ767" s="383"/>
      <c r="AR767" s="507"/>
      <c r="AS767" s="514"/>
      <c r="AT767" s="514"/>
    </row>
    <row r="768">
      <c r="A768" s="382"/>
      <c r="B768" s="417"/>
      <c r="C768" s="383"/>
      <c r="D768" s="507"/>
      <c r="E768" s="382"/>
      <c r="F768" s="417"/>
      <c r="G768" s="383"/>
      <c r="H768" s="507"/>
      <c r="I768" s="382"/>
      <c r="J768" s="417"/>
      <c r="K768" s="383"/>
      <c r="L768" s="507"/>
      <c r="M768" s="382"/>
      <c r="N768" s="417"/>
      <c r="O768" s="383"/>
      <c r="P768" s="507"/>
      <c r="Q768" s="518"/>
      <c r="R768" s="519"/>
      <c r="S768" s="520"/>
      <c r="T768" s="513"/>
      <c r="U768" s="518"/>
      <c r="V768" s="519"/>
      <c r="W768" s="520"/>
      <c r="X768" s="513"/>
      <c r="Y768" s="518"/>
      <c r="Z768" s="519"/>
      <c r="AA768" s="520"/>
      <c r="AB768" s="513"/>
      <c r="AC768" s="518"/>
      <c r="AD768" s="519"/>
      <c r="AE768" s="520"/>
      <c r="AF768" s="513"/>
      <c r="AG768" s="356"/>
      <c r="AH768" s="356"/>
      <c r="AI768" s="356"/>
      <c r="AJ768" s="356"/>
      <c r="AK768" s="382"/>
      <c r="AL768" s="417"/>
      <c r="AM768" s="383"/>
      <c r="AN768" s="507"/>
      <c r="AO768" s="382"/>
      <c r="AP768" s="417"/>
      <c r="AQ768" s="383"/>
      <c r="AR768" s="507"/>
      <c r="AS768" s="514"/>
      <c r="AT768" s="514"/>
    </row>
    <row r="769">
      <c r="A769" s="382"/>
      <c r="B769" s="417"/>
      <c r="C769" s="383"/>
      <c r="D769" s="507"/>
      <c r="E769" s="382"/>
      <c r="F769" s="417"/>
      <c r="G769" s="383"/>
      <c r="H769" s="507"/>
      <c r="I769" s="382"/>
      <c r="J769" s="417"/>
      <c r="K769" s="383"/>
      <c r="L769" s="507"/>
      <c r="M769" s="382"/>
      <c r="N769" s="417"/>
      <c r="O769" s="383"/>
      <c r="P769" s="507"/>
      <c r="Q769" s="518"/>
      <c r="R769" s="519"/>
      <c r="S769" s="520"/>
      <c r="T769" s="513"/>
      <c r="U769" s="518"/>
      <c r="V769" s="519"/>
      <c r="W769" s="520"/>
      <c r="X769" s="513"/>
      <c r="Y769" s="518"/>
      <c r="Z769" s="519"/>
      <c r="AA769" s="520"/>
      <c r="AB769" s="513"/>
      <c r="AC769" s="518"/>
      <c r="AD769" s="519"/>
      <c r="AE769" s="520"/>
      <c r="AF769" s="513"/>
      <c r="AG769" s="356"/>
      <c r="AH769" s="356"/>
      <c r="AI769" s="356"/>
      <c r="AJ769" s="356"/>
      <c r="AK769" s="382"/>
      <c r="AL769" s="417"/>
      <c r="AM769" s="383"/>
      <c r="AN769" s="507"/>
      <c r="AO769" s="382"/>
      <c r="AP769" s="417"/>
      <c r="AQ769" s="383"/>
      <c r="AR769" s="507"/>
      <c r="AS769" s="514"/>
      <c r="AT769" s="514"/>
    </row>
    <row r="770">
      <c r="A770" s="382"/>
      <c r="B770" s="417"/>
      <c r="C770" s="383"/>
      <c r="D770" s="507"/>
      <c r="E770" s="382"/>
      <c r="F770" s="417"/>
      <c r="G770" s="383"/>
      <c r="H770" s="507"/>
      <c r="I770" s="382"/>
      <c r="J770" s="417"/>
      <c r="K770" s="383"/>
      <c r="L770" s="507"/>
      <c r="M770" s="382"/>
      <c r="N770" s="417"/>
      <c r="O770" s="383"/>
      <c r="P770" s="507"/>
      <c r="Q770" s="518"/>
      <c r="R770" s="519"/>
      <c r="S770" s="520"/>
      <c r="T770" s="513"/>
      <c r="U770" s="518"/>
      <c r="V770" s="519"/>
      <c r="W770" s="520"/>
      <c r="X770" s="513"/>
      <c r="Y770" s="518"/>
      <c r="Z770" s="519"/>
      <c r="AA770" s="520"/>
      <c r="AB770" s="513"/>
      <c r="AC770" s="518"/>
      <c r="AD770" s="519"/>
      <c r="AE770" s="520"/>
      <c r="AF770" s="513"/>
      <c r="AG770" s="356"/>
      <c r="AH770" s="356"/>
      <c r="AI770" s="356"/>
      <c r="AJ770" s="356"/>
      <c r="AK770" s="382"/>
      <c r="AL770" s="417"/>
      <c r="AM770" s="383"/>
      <c r="AN770" s="507"/>
      <c r="AO770" s="382"/>
      <c r="AP770" s="417"/>
      <c r="AQ770" s="383"/>
      <c r="AR770" s="507"/>
      <c r="AS770" s="514"/>
      <c r="AT770" s="514"/>
    </row>
    <row r="771">
      <c r="A771" s="382"/>
      <c r="B771" s="417"/>
      <c r="C771" s="383"/>
      <c r="D771" s="507"/>
      <c r="E771" s="382"/>
      <c r="F771" s="417"/>
      <c r="G771" s="383"/>
      <c r="H771" s="507"/>
      <c r="I771" s="382"/>
      <c r="J771" s="417"/>
      <c r="K771" s="383"/>
      <c r="L771" s="507"/>
      <c r="M771" s="382"/>
      <c r="N771" s="417"/>
      <c r="O771" s="383"/>
      <c r="P771" s="507"/>
      <c r="Q771" s="518"/>
      <c r="R771" s="519"/>
      <c r="S771" s="520"/>
      <c r="T771" s="513"/>
      <c r="U771" s="518"/>
      <c r="V771" s="519"/>
      <c r="W771" s="520"/>
      <c r="X771" s="513"/>
      <c r="Y771" s="518"/>
      <c r="Z771" s="519"/>
      <c r="AA771" s="520"/>
      <c r="AB771" s="513"/>
      <c r="AC771" s="518"/>
      <c r="AD771" s="519"/>
      <c r="AE771" s="520"/>
      <c r="AF771" s="513"/>
      <c r="AG771" s="356"/>
      <c r="AH771" s="356"/>
      <c r="AI771" s="356"/>
      <c r="AJ771" s="356"/>
      <c r="AK771" s="382"/>
      <c r="AL771" s="417"/>
      <c r="AM771" s="383"/>
      <c r="AN771" s="507"/>
      <c r="AO771" s="382"/>
      <c r="AP771" s="417"/>
      <c r="AQ771" s="383"/>
      <c r="AR771" s="507"/>
      <c r="AS771" s="514"/>
      <c r="AT771" s="514"/>
    </row>
    <row r="772">
      <c r="A772" s="382"/>
      <c r="B772" s="417"/>
      <c r="C772" s="383"/>
      <c r="D772" s="507"/>
      <c r="E772" s="382"/>
      <c r="F772" s="417"/>
      <c r="G772" s="383"/>
      <c r="H772" s="507"/>
      <c r="I772" s="382"/>
      <c r="J772" s="417"/>
      <c r="K772" s="383"/>
      <c r="L772" s="507"/>
      <c r="M772" s="382"/>
      <c r="N772" s="417"/>
      <c r="O772" s="383"/>
      <c r="P772" s="507"/>
      <c r="Q772" s="518"/>
      <c r="R772" s="519"/>
      <c r="S772" s="520"/>
      <c r="T772" s="513"/>
      <c r="U772" s="518"/>
      <c r="V772" s="519"/>
      <c r="W772" s="520"/>
      <c r="X772" s="513"/>
      <c r="Y772" s="518"/>
      <c r="Z772" s="519"/>
      <c r="AA772" s="520"/>
      <c r="AB772" s="513"/>
      <c r="AC772" s="518"/>
      <c r="AD772" s="519"/>
      <c r="AE772" s="520"/>
      <c r="AF772" s="513"/>
      <c r="AG772" s="356"/>
      <c r="AH772" s="356"/>
      <c r="AI772" s="356"/>
      <c r="AJ772" s="356"/>
      <c r="AK772" s="382"/>
      <c r="AL772" s="417"/>
      <c r="AM772" s="383"/>
      <c r="AN772" s="507"/>
      <c r="AO772" s="382"/>
      <c r="AP772" s="417"/>
      <c r="AQ772" s="383"/>
      <c r="AR772" s="507"/>
      <c r="AS772" s="514"/>
      <c r="AT772" s="514"/>
    </row>
    <row r="773">
      <c r="A773" s="382"/>
      <c r="B773" s="417"/>
      <c r="C773" s="383"/>
      <c r="D773" s="507"/>
      <c r="E773" s="382"/>
      <c r="F773" s="417"/>
      <c r="G773" s="383"/>
      <c r="H773" s="507"/>
      <c r="I773" s="382"/>
      <c r="J773" s="417"/>
      <c r="K773" s="383"/>
      <c r="L773" s="507"/>
      <c r="M773" s="382"/>
      <c r="N773" s="417"/>
      <c r="O773" s="383"/>
      <c r="P773" s="507"/>
      <c r="Q773" s="518"/>
      <c r="R773" s="519"/>
      <c r="S773" s="520"/>
      <c r="T773" s="513"/>
      <c r="U773" s="518"/>
      <c r="V773" s="519"/>
      <c r="W773" s="520"/>
      <c r="X773" s="513"/>
      <c r="Y773" s="518"/>
      <c r="Z773" s="519"/>
      <c r="AA773" s="520"/>
      <c r="AB773" s="513"/>
      <c r="AC773" s="518"/>
      <c r="AD773" s="519"/>
      <c r="AE773" s="520"/>
      <c r="AF773" s="513"/>
      <c r="AG773" s="356"/>
      <c r="AH773" s="356"/>
      <c r="AI773" s="356"/>
      <c r="AJ773" s="356"/>
      <c r="AK773" s="382"/>
      <c r="AL773" s="417"/>
      <c r="AM773" s="383"/>
      <c r="AN773" s="507"/>
      <c r="AO773" s="382"/>
      <c r="AP773" s="417"/>
      <c r="AQ773" s="383"/>
      <c r="AR773" s="507"/>
      <c r="AS773" s="514"/>
      <c r="AT773" s="514"/>
    </row>
    <row r="774">
      <c r="A774" s="382"/>
      <c r="B774" s="417"/>
      <c r="C774" s="383"/>
      <c r="D774" s="507"/>
      <c r="E774" s="382"/>
      <c r="F774" s="417"/>
      <c r="G774" s="383"/>
      <c r="H774" s="507"/>
      <c r="I774" s="382"/>
      <c r="J774" s="417"/>
      <c r="K774" s="383"/>
      <c r="L774" s="507"/>
      <c r="M774" s="382"/>
      <c r="N774" s="417"/>
      <c r="O774" s="383"/>
      <c r="P774" s="507"/>
      <c r="Q774" s="518"/>
      <c r="R774" s="519"/>
      <c r="S774" s="520"/>
      <c r="T774" s="513"/>
      <c r="U774" s="518"/>
      <c r="V774" s="519"/>
      <c r="W774" s="520"/>
      <c r="X774" s="513"/>
      <c r="Y774" s="518"/>
      <c r="Z774" s="519"/>
      <c r="AA774" s="520"/>
      <c r="AB774" s="513"/>
      <c r="AC774" s="518"/>
      <c r="AD774" s="519"/>
      <c r="AE774" s="520"/>
      <c r="AF774" s="513"/>
      <c r="AG774" s="356"/>
      <c r="AH774" s="356"/>
      <c r="AI774" s="356"/>
      <c r="AJ774" s="356"/>
      <c r="AK774" s="382"/>
      <c r="AL774" s="417"/>
      <c r="AM774" s="383"/>
      <c r="AN774" s="507"/>
      <c r="AO774" s="382"/>
      <c r="AP774" s="417"/>
      <c r="AQ774" s="383"/>
      <c r="AR774" s="507"/>
      <c r="AS774" s="514"/>
      <c r="AT774" s="514"/>
    </row>
    <row r="775">
      <c r="A775" s="382"/>
      <c r="B775" s="417"/>
      <c r="C775" s="383"/>
      <c r="D775" s="507"/>
      <c r="E775" s="382"/>
      <c r="F775" s="417"/>
      <c r="G775" s="383"/>
      <c r="H775" s="507"/>
      <c r="I775" s="382"/>
      <c r="J775" s="417"/>
      <c r="K775" s="383"/>
      <c r="L775" s="507"/>
      <c r="M775" s="382"/>
      <c r="N775" s="417"/>
      <c r="O775" s="383"/>
      <c r="P775" s="507"/>
      <c r="Q775" s="518"/>
      <c r="R775" s="519"/>
      <c r="S775" s="520"/>
      <c r="T775" s="513"/>
      <c r="U775" s="518"/>
      <c r="V775" s="519"/>
      <c r="W775" s="520"/>
      <c r="X775" s="513"/>
      <c r="Y775" s="518"/>
      <c r="Z775" s="519"/>
      <c r="AA775" s="520"/>
      <c r="AB775" s="513"/>
      <c r="AC775" s="518"/>
      <c r="AD775" s="519"/>
      <c r="AE775" s="520"/>
      <c r="AF775" s="513"/>
      <c r="AG775" s="356"/>
      <c r="AH775" s="356"/>
      <c r="AI775" s="356"/>
      <c r="AJ775" s="356"/>
      <c r="AK775" s="382"/>
      <c r="AL775" s="417"/>
      <c r="AM775" s="383"/>
      <c r="AN775" s="507"/>
      <c r="AO775" s="382"/>
      <c r="AP775" s="417"/>
      <c r="AQ775" s="383"/>
      <c r="AR775" s="507"/>
      <c r="AS775" s="514"/>
      <c r="AT775" s="514"/>
    </row>
    <row r="776">
      <c r="A776" s="382"/>
      <c r="B776" s="417"/>
      <c r="C776" s="383"/>
      <c r="D776" s="507"/>
      <c r="E776" s="382"/>
      <c r="F776" s="417"/>
      <c r="G776" s="383"/>
      <c r="H776" s="507"/>
      <c r="I776" s="382"/>
      <c r="J776" s="417"/>
      <c r="K776" s="383"/>
      <c r="L776" s="507"/>
      <c r="M776" s="382"/>
      <c r="N776" s="417"/>
      <c r="O776" s="383"/>
      <c r="P776" s="507"/>
      <c r="Q776" s="518"/>
      <c r="R776" s="519"/>
      <c r="S776" s="520"/>
      <c r="T776" s="513"/>
      <c r="U776" s="518"/>
      <c r="V776" s="519"/>
      <c r="W776" s="520"/>
      <c r="X776" s="513"/>
      <c r="Y776" s="518"/>
      <c r="Z776" s="519"/>
      <c r="AA776" s="520"/>
      <c r="AB776" s="513"/>
      <c r="AC776" s="518"/>
      <c r="AD776" s="519"/>
      <c r="AE776" s="520"/>
      <c r="AF776" s="513"/>
      <c r="AG776" s="356"/>
      <c r="AH776" s="356"/>
      <c r="AI776" s="356"/>
      <c r="AJ776" s="356"/>
      <c r="AK776" s="382"/>
      <c r="AL776" s="417"/>
      <c r="AM776" s="383"/>
      <c r="AN776" s="507"/>
      <c r="AO776" s="382"/>
      <c r="AP776" s="417"/>
      <c r="AQ776" s="383"/>
      <c r="AR776" s="507"/>
      <c r="AS776" s="514"/>
      <c r="AT776" s="514"/>
    </row>
    <row r="777">
      <c r="A777" s="382"/>
      <c r="B777" s="417"/>
      <c r="C777" s="383"/>
      <c r="D777" s="507"/>
      <c r="E777" s="382"/>
      <c r="F777" s="417"/>
      <c r="G777" s="383"/>
      <c r="H777" s="507"/>
      <c r="I777" s="382"/>
      <c r="J777" s="417"/>
      <c r="K777" s="383"/>
      <c r="L777" s="507"/>
      <c r="M777" s="382"/>
      <c r="N777" s="417"/>
      <c r="O777" s="383"/>
      <c r="P777" s="507"/>
      <c r="Q777" s="518"/>
      <c r="R777" s="519"/>
      <c r="S777" s="520"/>
      <c r="T777" s="513"/>
      <c r="U777" s="518"/>
      <c r="V777" s="519"/>
      <c r="W777" s="520"/>
      <c r="X777" s="513"/>
      <c r="Y777" s="518"/>
      <c r="Z777" s="519"/>
      <c r="AA777" s="520"/>
      <c r="AB777" s="513"/>
      <c r="AC777" s="518"/>
      <c r="AD777" s="519"/>
      <c r="AE777" s="520"/>
      <c r="AF777" s="513"/>
      <c r="AG777" s="356"/>
      <c r="AH777" s="356"/>
      <c r="AI777" s="356"/>
      <c r="AJ777" s="356"/>
      <c r="AK777" s="382"/>
      <c r="AL777" s="417"/>
      <c r="AM777" s="383"/>
      <c r="AN777" s="507"/>
      <c r="AO777" s="382"/>
      <c r="AP777" s="417"/>
      <c r="AQ777" s="383"/>
      <c r="AR777" s="507"/>
      <c r="AS777" s="514"/>
      <c r="AT777" s="514"/>
    </row>
    <row r="778">
      <c r="A778" s="382"/>
      <c r="B778" s="417"/>
      <c r="C778" s="383"/>
      <c r="D778" s="507"/>
      <c r="E778" s="382"/>
      <c r="F778" s="417"/>
      <c r="G778" s="383"/>
      <c r="H778" s="507"/>
      <c r="I778" s="382"/>
      <c r="J778" s="417"/>
      <c r="K778" s="383"/>
      <c r="L778" s="507"/>
      <c r="M778" s="382"/>
      <c r="N778" s="417"/>
      <c r="O778" s="383"/>
      <c r="P778" s="507"/>
      <c r="Q778" s="518"/>
      <c r="R778" s="519"/>
      <c r="S778" s="520"/>
      <c r="T778" s="513"/>
      <c r="U778" s="518"/>
      <c r="V778" s="519"/>
      <c r="W778" s="520"/>
      <c r="X778" s="513"/>
      <c r="Y778" s="518"/>
      <c r="Z778" s="519"/>
      <c r="AA778" s="520"/>
      <c r="AB778" s="513"/>
      <c r="AC778" s="518"/>
      <c r="AD778" s="519"/>
      <c r="AE778" s="520"/>
      <c r="AF778" s="513"/>
      <c r="AG778" s="356"/>
      <c r="AH778" s="356"/>
      <c r="AI778" s="356"/>
      <c r="AJ778" s="356"/>
      <c r="AK778" s="382"/>
      <c r="AL778" s="417"/>
      <c r="AM778" s="383"/>
      <c r="AN778" s="507"/>
      <c r="AO778" s="382"/>
      <c r="AP778" s="417"/>
      <c r="AQ778" s="383"/>
      <c r="AR778" s="507"/>
      <c r="AS778" s="514"/>
      <c r="AT778" s="514"/>
    </row>
    <row r="779">
      <c r="A779" s="382"/>
      <c r="B779" s="417"/>
      <c r="C779" s="383"/>
      <c r="D779" s="507"/>
      <c r="E779" s="382"/>
      <c r="F779" s="417"/>
      <c r="G779" s="383"/>
      <c r="H779" s="507"/>
      <c r="I779" s="382"/>
      <c r="J779" s="417"/>
      <c r="K779" s="383"/>
      <c r="L779" s="507"/>
      <c r="M779" s="382"/>
      <c r="N779" s="417"/>
      <c r="O779" s="383"/>
      <c r="P779" s="507"/>
      <c r="Q779" s="518"/>
      <c r="R779" s="519"/>
      <c r="S779" s="520"/>
      <c r="T779" s="513"/>
      <c r="U779" s="518"/>
      <c r="V779" s="519"/>
      <c r="W779" s="520"/>
      <c r="X779" s="513"/>
      <c r="Y779" s="518"/>
      <c r="Z779" s="519"/>
      <c r="AA779" s="520"/>
      <c r="AB779" s="513"/>
      <c r="AC779" s="518"/>
      <c r="AD779" s="519"/>
      <c r="AE779" s="520"/>
      <c r="AF779" s="513"/>
      <c r="AG779" s="356"/>
      <c r="AH779" s="356"/>
      <c r="AI779" s="356"/>
      <c r="AJ779" s="356"/>
      <c r="AK779" s="382"/>
      <c r="AL779" s="417"/>
      <c r="AM779" s="383"/>
      <c r="AN779" s="507"/>
      <c r="AO779" s="382"/>
      <c r="AP779" s="417"/>
      <c r="AQ779" s="383"/>
      <c r="AR779" s="507"/>
      <c r="AS779" s="514"/>
      <c r="AT779" s="514"/>
    </row>
    <row r="780">
      <c r="A780" s="382"/>
      <c r="B780" s="417"/>
      <c r="C780" s="383"/>
      <c r="D780" s="507"/>
      <c r="E780" s="382"/>
      <c r="F780" s="417"/>
      <c r="G780" s="383"/>
      <c r="H780" s="507"/>
      <c r="I780" s="382"/>
      <c r="J780" s="417"/>
      <c r="K780" s="383"/>
      <c r="L780" s="507"/>
      <c r="M780" s="382"/>
      <c r="N780" s="417"/>
      <c r="O780" s="383"/>
      <c r="P780" s="507"/>
      <c r="Q780" s="518"/>
      <c r="R780" s="519"/>
      <c r="S780" s="520"/>
      <c r="T780" s="513"/>
      <c r="U780" s="518"/>
      <c r="V780" s="519"/>
      <c r="W780" s="520"/>
      <c r="X780" s="513"/>
      <c r="Y780" s="518"/>
      <c r="Z780" s="519"/>
      <c r="AA780" s="520"/>
      <c r="AB780" s="513"/>
      <c r="AC780" s="518"/>
      <c r="AD780" s="519"/>
      <c r="AE780" s="520"/>
      <c r="AF780" s="513"/>
      <c r="AG780" s="356"/>
      <c r="AH780" s="356"/>
      <c r="AI780" s="356"/>
      <c r="AJ780" s="356"/>
      <c r="AK780" s="382"/>
      <c r="AL780" s="417"/>
      <c r="AM780" s="383"/>
      <c r="AN780" s="507"/>
      <c r="AO780" s="382"/>
      <c r="AP780" s="417"/>
      <c r="AQ780" s="383"/>
      <c r="AR780" s="507"/>
      <c r="AS780" s="514"/>
      <c r="AT780" s="514"/>
    </row>
    <row r="781">
      <c r="A781" s="382"/>
      <c r="B781" s="417"/>
      <c r="C781" s="383"/>
      <c r="D781" s="507"/>
      <c r="E781" s="382"/>
      <c r="F781" s="417"/>
      <c r="G781" s="383"/>
      <c r="H781" s="507"/>
      <c r="I781" s="382"/>
      <c r="J781" s="417"/>
      <c r="K781" s="383"/>
      <c r="L781" s="507"/>
      <c r="M781" s="382"/>
      <c r="N781" s="417"/>
      <c r="O781" s="383"/>
      <c r="P781" s="507"/>
      <c r="Q781" s="518"/>
      <c r="R781" s="519"/>
      <c r="S781" s="520"/>
      <c r="T781" s="513"/>
      <c r="U781" s="518"/>
      <c r="V781" s="519"/>
      <c r="W781" s="520"/>
      <c r="X781" s="513"/>
      <c r="Y781" s="518"/>
      <c r="Z781" s="519"/>
      <c r="AA781" s="520"/>
      <c r="AB781" s="513"/>
      <c r="AC781" s="518"/>
      <c r="AD781" s="519"/>
      <c r="AE781" s="520"/>
      <c r="AF781" s="513"/>
      <c r="AG781" s="356"/>
      <c r="AH781" s="356"/>
      <c r="AI781" s="356"/>
      <c r="AJ781" s="356"/>
      <c r="AK781" s="382"/>
      <c r="AL781" s="417"/>
      <c r="AM781" s="383"/>
      <c r="AN781" s="507"/>
      <c r="AO781" s="382"/>
      <c r="AP781" s="417"/>
      <c r="AQ781" s="383"/>
      <c r="AR781" s="507"/>
      <c r="AS781" s="514"/>
      <c r="AT781" s="514"/>
    </row>
    <row r="782">
      <c r="A782" s="382"/>
      <c r="B782" s="417"/>
      <c r="C782" s="383"/>
      <c r="D782" s="507"/>
      <c r="E782" s="382"/>
      <c r="F782" s="417"/>
      <c r="G782" s="383"/>
      <c r="H782" s="507"/>
      <c r="I782" s="382"/>
      <c r="J782" s="417"/>
      <c r="K782" s="383"/>
      <c r="L782" s="507"/>
      <c r="M782" s="382"/>
      <c r="N782" s="417"/>
      <c r="O782" s="383"/>
      <c r="P782" s="507"/>
      <c r="Q782" s="518"/>
      <c r="R782" s="519"/>
      <c r="S782" s="520"/>
      <c r="T782" s="513"/>
      <c r="U782" s="518"/>
      <c r="V782" s="519"/>
      <c r="W782" s="520"/>
      <c r="X782" s="513"/>
      <c r="Y782" s="518"/>
      <c r="Z782" s="519"/>
      <c r="AA782" s="520"/>
      <c r="AB782" s="513"/>
      <c r="AC782" s="518"/>
      <c r="AD782" s="519"/>
      <c r="AE782" s="520"/>
      <c r="AF782" s="513"/>
      <c r="AG782" s="356"/>
      <c r="AH782" s="356"/>
      <c r="AI782" s="356"/>
      <c r="AJ782" s="356"/>
      <c r="AK782" s="382"/>
      <c r="AL782" s="417"/>
      <c r="AM782" s="383"/>
      <c r="AN782" s="507"/>
      <c r="AO782" s="382"/>
      <c r="AP782" s="417"/>
      <c r="AQ782" s="383"/>
      <c r="AR782" s="507"/>
      <c r="AS782" s="514"/>
      <c r="AT782" s="514"/>
    </row>
    <row r="783">
      <c r="A783" s="382"/>
      <c r="B783" s="417"/>
      <c r="C783" s="383"/>
      <c r="D783" s="507"/>
      <c r="E783" s="382"/>
      <c r="F783" s="417"/>
      <c r="G783" s="383"/>
      <c r="H783" s="507"/>
      <c r="I783" s="382"/>
      <c r="J783" s="417"/>
      <c r="K783" s="383"/>
      <c r="L783" s="507"/>
      <c r="M783" s="382"/>
      <c r="N783" s="417"/>
      <c r="O783" s="383"/>
      <c r="P783" s="507"/>
      <c r="Q783" s="518"/>
      <c r="R783" s="519"/>
      <c r="S783" s="520"/>
      <c r="T783" s="513"/>
      <c r="U783" s="518"/>
      <c r="V783" s="519"/>
      <c r="W783" s="520"/>
      <c r="X783" s="513"/>
      <c r="Y783" s="518"/>
      <c r="Z783" s="519"/>
      <c r="AA783" s="520"/>
      <c r="AB783" s="513"/>
      <c r="AC783" s="518"/>
      <c r="AD783" s="519"/>
      <c r="AE783" s="520"/>
      <c r="AF783" s="513"/>
      <c r="AG783" s="356"/>
      <c r="AH783" s="356"/>
      <c r="AI783" s="356"/>
      <c r="AJ783" s="356"/>
      <c r="AK783" s="382"/>
      <c r="AL783" s="417"/>
      <c r="AM783" s="383"/>
      <c r="AN783" s="507"/>
      <c r="AO783" s="382"/>
      <c r="AP783" s="417"/>
      <c r="AQ783" s="383"/>
      <c r="AR783" s="507"/>
      <c r="AS783" s="514"/>
      <c r="AT783" s="514"/>
    </row>
    <row r="784">
      <c r="A784" s="382"/>
      <c r="B784" s="417"/>
      <c r="C784" s="383"/>
      <c r="D784" s="507"/>
      <c r="E784" s="382"/>
      <c r="F784" s="417"/>
      <c r="G784" s="383"/>
      <c r="H784" s="507"/>
      <c r="I784" s="382"/>
      <c r="J784" s="417"/>
      <c r="K784" s="383"/>
      <c r="L784" s="507"/>
      <c r="M784" s="382"/>
      <c r="N784" s="417"/>
      <c r="O784" s="383"/>
      <c r="P784" s="507"/>
      <c r="Q784" s="518"/>
      <c r="R784" s="519"/>
      <c r="S784" s="520"/>
      <c r="T784" s="513"/>
      <c r="U784" s="518"/>
      <c r="V784" s="519"/>
      <c r="W784" s="520"/>
      <c r="X784" s="513"/>
      <c r="Y784" s="518"/>
      <c r="Z784" s="519"/>
      <c r="AA784" s="520"/>
      <c r="AB784" s="513"/>
      <c r="AC784" s="518"/>
      <c r="AD784" s="519"/>
      <c r="AE784" s="520"/>
      <c r="AF784" s="513"/>
      <c r="AG784" s="356"/>
      <c r="AH784" s="356"/>
      <c r="AI784" s="356"/>
      <c r="AJ784" s="356"/>
      <c r="AK784" s="382"/>
      <c r="AL784" s="417"/>
      <c r="AM784" s="383"/>
      <c r="AN784" s="507"/>
      <c r="AO784" s="382"/>
      <c r="AP784" s="417"/>
      <c r="AQ784" s="383"/>
      <c r="AR784" s="507"/>
      <c r="AS784" s="514"/>
      <c r="AT784" s="514"/>
    </row>
    <row r="785">
      <c r="A785" s="382"/>
      <c r="B785" s="417"/>
      <c r="C785" s="383"/>
      <c r="D785" s="507"/>
      <c r="E785" s="382"/>
      <c r="F785" s="417"/>
      <c r="G785" s="383"/>
      <c r="H785" s="507"/>
      <c r="I785" s="382"/>
      <c r="J785" s="417"/>
      <c r="K785" s="383"/>
      <c r="L785" s="507"/>
      <c r="M785" s="382"/>
      <c r="N785" s="417"/>
      <c r="O785" s="383"/>
      <c r="P785" s="507"/>
      <c r="Q785" s="518"/>
      <c r="R785" s="519"/>
      <c r="S785" s="520"/>
      <c r="T785" s="513"/>
      <c r="U785" s="518"/>
      <c r="V785" s="519"/>
      <c r="W785" s="520"/>
      <c r="X785" s="513"/>
      <c r="Y785" s="518"/>
      <c r="Z785" s="519"/>
      <c r="AA785" s="520"/>
      <c r="AB785" s="513"/>
      <c r="AC785" s="518"/>
      <c r="AD785" s="519"/>
      <c r="AE785" s="520"/>
      <c r="AF785" s="513"/>
      <c r="AG785" s="356"/>
      <c r="AH785" s="356"/>
      <c r="AI785" s="356"/>
      <c r="AJ785" s="356"/>
      <c r="AK785" s="382"/>
      <c r="AL785" s="417"/>
      <c r="AM785" s="383"/>
      <c r="AN785" s="507"/>
      <c r="AO785" s="382"/>
      <c r="AP785" s="417"/>
      <c r="AQ785" s="383"/>
      <c r="AR785" s="507"/>
      <c r="AS785" s="514"/>
      <c r="AT785" s="514"/>
    </row>
    <row r="786">
      <c r="A786" s="382"/>
      <c r="B786" s="417"/>
      <c r="C786" s="383"/>
      <c r="D786" s="507"/>
      <c r="E786" s="382"/>
      <c r="F786" s="417"/>
      <c r="G786" s="383"/>
      <c r="H786" s="507"/>
      <c r="I786" s="382"/>
      <c r="J786" s="417"/>
      <c r="K786" s="383"/>
      <c r="L786" s="507"/>
      <c r="M786" s="382"/>
      <c r="N786" s="417"/>
      <c r="O786" s="383"/>
      <c r="P786" s="507"/>
      <c r="Q786" s="518"/>
      <c r="R786" s="519"/>
      <c r="S786" s="520"/>
      <c r="T786" s="513"/>
      <c r="U786" s="518"/>
      <c r="V786" s="519"/>
      <c r="W786" s="520"/>
      <c r="X786" s="513"/>
      <c r="Y786" s="518"/>
      <c r="Z786" s="519"/>
      <c r="AA786" s="520"/>
      <c r="AB786" s="513"/>
      <c r="AC786" s="518"/>
      <c r="AD786" s="519"/>
      <c r="AE786" s="520"/>
      <c r="AF786" s="513"/>
      <c r="AG786" s="356"/>
      <c r="AH786" s="356"/>
      <c r="AI786" s="356"/>
      <c r="AJ786" s="356"/>
      <c r="AK786" s="382"/>
      <c r="AL786" s="417"/>
      <c r="AM786" s="383"/>
      <c r="AN786" s="507"/>
      <c r="AO786" s="382"/>
      <c r="AP786" s="417"/>
      <c r="AQ786" s="383"/>
      <c r="AR786" s="507"/>
      <c r="AS786" s="514"/>
      <c r="AT786" s="514"/>
    </row>
    <row r="787">
      <c r="A787" s="382"/>
      <c r="B787" s="417"/>
      <c r="C787" s="383"/>
      <c r="D787" s="507"/>
      <c r="E787" s="382"/>
      <c r="F787" s="417"/>
      <c r="G787" s="383"/>
      <c r="H787" s="507"/>
      <c r="I787" s="382"/>
      <c r="J787" s="417"/>
      <c r="K787" s="383"/>
      <c r="L787" s="507"/>
      <c r="M787" s="382"/>
      <c r="N787" s="417"/>
      <c r="O787" s="383"/>
      <c r="P787" s="507"/>
      <c r="Q787" s="518"/>
      <c r="R787" s="519"/>
      <c r="S787" s="520"/>
      <c r="T787" s="513"/>
      <c r="U787" s="518"/>
      <c r="V787" s="519"/>
      <c r="W787" s="520"/>
      <c r="X787" s="513"/>
      <c r="Y787" s="518"/>
      <c r="Z787" s="519"/>
      <c r="AA787" s="520"/>
      <c r="AB787" s="513"/>
      <c r="AC787" s="518"/>
      <c r="AD787" s="519"/>
      <c r="AE787" s="520"/>
      <c r="AF787" s="513"/>
      <c r="AG787" s="356"/>
      <c r="AH787" s="356"/>
      <c r="AI787" s="356"/>
      <c r="AJ787" s="356"/>
      <c r="AK787" s="382"/>
      <c r="AL787" s="417"/>
      <c r="AM787" s="383"/>
      <c r="AN787" s="507"/>
      <c r="AO787" s="382"/>
      <c r="AP787" s="417"/>
      <c r="AQ787" s="383"/>
      <c r="AR787" s="507"/>
      <c r="AS787" s="514"/>
      <c r="AT787" s="514"/>
    </row>
    <row r="788">
      <c r="A788" s="382"/>
      <c r="B788" s="417"/>
      <c r="C788" s="383"/>
      <c r="D788" s="507"/>
      <c r="E788" s="382"/>
      <c r="F788" s="417"/>
      <c r="G788" s="383"/>
      <c r="H788" s="507"/>
      <c r="I788" s="382"/>
      <c r="J788" s="417"/>
      <c r="K788" s="383"/>
      <c r="L788" s="507"/>
      <c r="M788" s="382"/>
      <c r="N788" s="417"/>
      <c r="O788" s="383"/>
      <c r="P788" s="507"/>
      <c r="Q788" s="518"/>
      <c r="R788" s="519"/>
      <c r="S788" s="520"/>
      <c r="T788" s="513"/>
      <c r="U788" s="518"/>
      <c r="V788" s="519"/>
      <c r="W788" s="520"/>
      <c r="X788" s="513"/>
      <c r="Y788" s="518"/>
      <c r="Z788" s="519"/>
      <c r="AA788" s="520"/>
      <c r="AB788" s="513"/>
      <c r="AC788" s="518"/>
      <c r="AD788" s="519"/>
      <c r="AE788" s="520"/>
      <c r="AF788" s="513"/>
      <c r="AG788" s="356"/>
      <c r="AH788" s="356"/>
      <c r="AI788" s="356"/>
      <c r="AJ788" s="356"/>
      <c r="AK788" s="382"/>
      <c r="AL788" s="417"/>
      <c r="AM788" s="383"/>
      <c r="AN788" s="507"/>
      <c r="AO788" s="382"/>
      <c r="AP788" s="417"/>
      <c r="AQ788" s="383"/>
      <c r="AR788" s="507"/>
      <c r="AS788" s="514"/>
      <c r="AT788" s="514"/>
    </row>
    <row r="789">
      <c r="A789" s="382"/>
      <c r="B789" s="417"/>
      <c r="C789" s="383"/>
      <c r="D789" s="507"/>
      <c r="E789" s="382"/>
      <c r="F789" s="417"/>
      <c r="G789" s="383"/>
      <c r="H789" s="507"/>
      <c r="I789" s="382"/>
      <c r="J789" s="417"/>
      <c r="K789" s="383"/>
      <c r="L789" s="507"/>
      <c r="M789" s="382"/>
      <c r="N789" s="417"/>
      <c r="O789" s="383"/>
      <c r="P789" s="507"/>
      <c r="Q789" s="518"/>
      <c r="R789" s="519"/>
      <c r="S789" s="520"/>
      <c r="T789" s="513"/>
      <c r="U789" s="518"/>
      <c r="V789" s="519"/>
      <c r="W789" s="520"/>
      <c r="X789" s="513"/>
      <c r="Y789" s="518"/>
      <c r="Z789" s="519"/>
      <c r="AA789" s="520"/>
      <c r="AB789" s="513"/>
      <c r="AC789" s="518"/>
      <c r="AD789" s="519"/>
      <c r="AE789" s="520"/>
      <c r="AF789" s="513"/>
      <c r="AG789" s="356"/>
      <c r="AH789" s="356"/>
      <c r="AI789" s="356"/>
      <c r="AJ789" s="356"/>
      <c r="AK789" s="382"/>
      <c r="AL789" s="417"/>
      <c r="AM789" s="383"/>
      <c r="AN789" s="507"/>
      <c r="AO789" s="382"/>
      <c r="AP789" s="417"/>
      <c r="AQ789" s="383"/>
      <c r="AR789" s="507"/>
      <c r="AS789" s="514"/>
      <c r="AT789" s="514"/>
    </row>
    <row r="790">
      <c r="A790" s="382"/>
      <c r="B790" s="417"/>
      <c r="C790" s="383"/>
      <c r="D790" s="507"/>
      <c r="E790" s="382"/>
      <c r="F790" s="417"/>
      <c r="G790" s="383"/>
      <c r="H790" s="507"/>
      <c r="I790" s="382"/>
      <c r="J790" s="417"/>
      <c r="K790" s="383"/>
      <c r="L790" s="507"/>
      <c r="M790" s="382"/>
      <c r="N790" s="417"/>
      <c r="O790" s="383"/>
      <c r="P790" s="507"/>
      <c r="Q790" s="518"/>
      <c r="R790" s="519"/>
      <c r="S790" s="520"/>
      <c r="T790" s="513"/>
      <c r="U790" s="518"/>
      <c r="V790" s="519"/>
      <c r="W790" s="520"/>
      <c r="X790" s="513"/>
      <c r="Y790" s="518"/>
      <c r="Z790" s="519"/>
      <c r="AA790" s="520"/>
      <c r="AB790" s="513"/>
      <c r="AC790" s="518"/>
      <c r="AD790" s="519"/>
      <c r="AE790" s="520"/>
      <c r="AF790" s="513"/>
      <c r="AG790" s="356"/>
      <c r="AH790" s="356"/>
      <c r="AI790" s="356"/>
      <c r="AJ790" s="356"/>
      <c r="AK790" s="382"/>
      <c r="AL790" s="417"/>
      <c r="AM790" s="383"/>
      <c r="AN790" s="507"/>
      <c r="AO790" s="382"/>
      <c r="AP790" s="417"/>
      <c r="AQ790" s="383"/>
      <c r="AR790" s="507"/>
      <c r="AS790" s="514"/>
      <c r="AT790" s="514"/>
    </row>
    <row r="791">
      <c r="A791" s="382"/>
      <c r="B791" s="417"/>
      <c r="C791" s="383"/>
      <c r="D791" s="507"/>
      <c r="E791" s="382"/>
      <c r="F791" s="417"/>
      <c r="G791" s="383"/>
      <c r="H791" s="507"/>
      <c r="I791" s="382"/>
      <c r="J791" s="417"/>
      <c r="K791" s="383"/>
      <c r="L791" s="507"/>
      <c r="M791" s="382"/>
      <c r="N791" s="417"/>
      <c r="O791" s="383"/>
      <c r="P791" s="507"/>
      <c r="Q791" s="518"/>
      <c r="R791" s="519"/>
      <c r="S791" s="520"/>
      <c r="T791" s="513"/>
      <c r="U791" s="518"/>
      <c r="V791" s="519"/>
      <c r="W791" s="520"/>
      <c r="X791" s="513"/>
      <c r="Y791" s="518"/>
      <c r="Z791" s="519"/>
      <c r="AA791" s="520"/>
      <c r="AB791" s="513"/>
      <c r="AC791" s="518"/>
      <c r="AD791" s="519"/>
      <c r="AE791" s="520"/>
      <c r="AF791" s="513"/>
      <c r="AG791" s="356"/>
      <c r="AH791" s="356"/>
      <c r="AI791" s="356"/>
      <c r="AJ791" s="356"/>
      <c r="AK791" s="382"/>
      <c r="AL791" s="417"/>
      <c r="AM791" s="383"/>
      <c r="AN791" s="507"/>
      <c r="AO791" s="382"/>
      <c r="AP791" s="417"/>
      <c r="AQ791" s="383"/>
      <c r="AR791" s="507"/>
      <c r="AS791" s="514"/>
      <c r="AT791" s="514"/>
    </row>
    <row r="792">
      <c r="A792" s="382"/>
      <c r="B792" s="417"/>
      <c r="C792" s="383"/>
      <c r="D792" s="507"/>
      <c r="E792" s="382"/>
      <c r="F792" s="417"/>
      <c r="G792" s="383"/>
      <c r="H792" s="507"/>
      <c r="I792" s="382"/>
      <c r="J792" s="417"/>
      <c r="K792" s="383"/>
      <c r="L792" s="507"/>
      <c r="M792" s="382"/>
      <c r="N792" s="417"/>
      <c r="O792" s="383"/>
      <c r="P792" s="507"/>
      <c r="Q792" s="518"/>
      <c r="R792" s="519"/>
      <c r="S792" s="520"/>
      <c r="T792" s="513"/>
      <c r="U792" s="518"/>
      <c r="V792" s="519"/>
      <c r="W792" s="520"/>
      <c r="X792" s="513"/>
      <c r="Y792" s="518"/>
      <c r="Z792" s="519"/>
      <c r="AA792" s="520"/>
      <c r="AB792" s="513"/>
      <c r="AC792" s="518"/>
      <c r="AD792" s="519"/>
      <c r="AE792" s="520"/>
      <c r="AF792" s="513"/>
      <c r="AG792" s="356"/>
      <c r="AH792" s="356"/>
      <c r="AI792" s="356"/>
      <c r="AJ792" s="356"/>
      <c r="AK792" s="382"/>
      <c r="AL792" s="417"/>
      <c r="AM792" s="383"/>
      <c r="AN792" s="507"/>
      <c r="AO792" s="382"/>
      <c r="AP792" s="417"/>
      <c r="AQ792" s="383"/>
      <c r="AR792" s="507"/>
      <c r="AS792" s="514"/>
      <c r="AT792" s="514"/>
    </row>
    <row r="793">
      <c r="A793" s="382"/>
      <c r="B793" s="417"/>
      <c r="C793" s="383"/>
      <c r="D793" s="507"/>
      <c r="E793" s="382"/>
      <c r="F793" s="417"/>
      <c r="G793" s="383"/>
      <c r="H793" s="507"/>
      <c r="I793" s="382"/>
      <c r="J793" s="417"/>
      <c r="K793" s="383"/>
      <c r="L793" s="507"/>
      <c r="M793" s="382"/>
      <c r="N793" s="417"/>
      <c r="O793" s="383"/>
      <c r="P793" s="507"/>
      <c r="Q793" s="518"/>
      <c r="R793" s="519"/>
      <c r="S793" s="520"/>
      <c r="T793" s="513"/>
      <c r="U793" s="518"/>
      <c r="V793" s="519"/>
      <c r="W793" s="520"/>
      <c r="X793" s="513"/>
      <c r="Y793" s="518"/>
      <c r="Z793" s="519"/>
      <c r="AA793" s="520"/>
      <c r="AB793" s="513"/>
      <c r="AC793" s="518"/>
      <c r="AD793" s="519"/>
      <c r="AE793" s="520"/>
      <c r="AF793" s="513"/>
      <c r="AG793" s="356"/>
      <c r="AH793" s="356"/>
      <c r="AI793" s="356"/>
      <c r="AJ793" s="356"/>
      <c r="AK793" s="382"/>
      <c r="AL793" s="417"/>
      <c r="AM793" s="383"/>
      <c r="AN793" s="507"/>
      <c r="AO793" s="382"/>
      <c r="AP793" s="417"/>
      <c r="AQ793" s="383"/>
      <c r="AR793" s="507"/>
      <c r="AS793" s="514"/>
      <c r="AT793" s="514"/>
    </row>
    <row r="794">
      <c r="A794" s="382"/>
      <c r="B794" s="417"/>
      <c r="C794" s="383"/>
      <c r="D794" s="507"/>
      <c r="E794" s="382"/>
      <c r="F794" s="417"/>
      <c r="G794" s="383"/>
      <c r="H794" s="507"/>
      <c r="I794" s="382"/>
      <c r="J794" s="417"/>
      <c r="K794" s="383"/>
      <c r="L794" s="507"/>
      <c r="M794" s="382"/>
      <c r="N794" s="417"/>
      <c r="O794" s="383"/>
      <c r="P794" s="507"/>
      <c r="Q794" s="518"/>
      <c r="R794" s="519"/>
      <c r="S794" s="520"/>
      <c r="T794" s="513"/>
      <c r="U794" s="518"/>
      <c r="V794" s="519"/>
      <c r="W794" s="520"/>
      <c r="X794" s="513"/>
      <c r="Y794" s="518"/>
      <c r="Z794" s="519"/>
      <c r="AA794" s="520"/>
      <c r="AB794" s="513"/>
      <c r="AC794" s="518"/>
      <c r="AD794" s="519"/>
      <c r="AE794" s="520"/>
      <c r="AF794" s="513"/>
      <c r="AG794" s="356"/>
      <c r="AH794" s="356"/>
      <c r="AI794" s="356"/>
      <c r="AJ794" s="356"/>
      <c r="AK794" s="382"/>
      <c r="AL794" s="417"/>
      <c r="AM794" s="383"/>
      <c r="AN794" s="507"/>
      <c r="AO794" s="382"/>
      <c r="AP794" s="417"/>
      <c r="AQ794" s="383"/>
      <c r="AR794" s="507"/>
      <c r="AS794" s="514"/>
      <c r="AT794" s="514"/>
    </row>
    <row r="795">
      <c r="A795" s="382"/>
      <c r="B795" s="417"/>
      <c r="C795" s="383"/>
      <c r="D795" s="507"/>
      <c r="E795" s="382"/>
      <c r="F795" s="417"/>
      <c r="G795" s="383"/>
      <c r="H795" s="507"/>
      <c r="I795" s="382"/>
      <c r="J795" s="417"/>
      <c r="K795" s="383"/>
      <c r="L795" s="507"/>
      <c r="M795" s="382"/>
      <c r="N795" s="417"/>
      <c r="O795" s="383"/>
      <c r="P795" s="507"/>
      <c r="Q795" s="518"/>
      <c r="R795" s="519"/>
      <c r="S795" s="520"/>
      <c r="T795" s="513"/>
      <c r="U795" s="518"/>
      <c r="V795" s="519"/>
      <c r="W795" s="520"/>
      <c r="X795" s="513"/>
      <c r="Y795" s="518"/>
      <c r="Z795" s="519"/>
      <c r="AA795" s="520"/>
      <c r="AB795" s="513"/>
      <c r="AC795" s="518"/>
      <c r="AD795" s="519"/>
      <c r="AE795" s="520"/>
      <c r="AF795" s="513"/>
      <c r="AG795" s="356"/>
      <c r="AH795" s="356"/>
      <c r="AI795" s="356"/>
      <c r="AJ795" s="356"/>
      <c r="AK795" s="382"/>
      <c r="AL795" s="417"/>
      <c r="AM795" s="383"/>
      <c r="AN795" s="507"/>
      <c r="AO795" s="382"/>
      <c r="AP795" s="417"/>
      <c r="AQ795" s="383"/>
      <c r="AR795" s="507"/>
      <c r="AS795" s="514"/>
      <c r="AT795" s="514"/>
    </row>
    <row r="796">
      <c r="A796" s="382"/>
      <c r="B796" s="417"/>
      <c r="C796" s="383"/>
      <c r="D796" s="507"/>
      <c r="E796" s="382"/>
      <c r="F796" s="417"/>
      <c r="G796" s="383"/>
      <c r="H796" s="507"/>
      <c r="I796" s="382"/>
      <c r="J796" s="417"/>
      <c r="K796" s="383"/>
      <c r="L796" s="507"/>
      <c r="M796" s="382"/>
      <c r="N796" s="417"/>
      <c r="O796" s="383"/>
      <c r="P796" s="507"/>
      <c r="Q796" s="518"/>
      <c r="R796" s="519"/>
      <c r="S796" s="520"/>
      <c r="T796" s="513"/>
      <c r="U796" s="518"/>
      <c r="V796" s="519"/>
      <c r="W796" s="520"/>
      <c r="X796" s="513"/>
      <c r="Y796" s="518"/>
      <c r="Z796" s="519"/>
      <c r="AA796" s="520"/>
      <c r="AB796" s="513"/>
      <c r="AC796" s="518"/>
      <c r="AD796" s="519"/>
      <c r="AE796" s="520"/>
      <c r="AF796" s="513"/>
      <c r="AG796" s="356"/>
      <c r="AH796" s="356"/>
      <c r="AI796" s="356"/>
      <c r="AJ796" s="356"/>
      <c r="AK796" s="382"/>
      <c r="AL796" s="417"/>
      <c r="AM796" s="383"/>
      <c r="AN796" s="507"/>
      <c r="AO796" s="382"/>
      <c r="AP796" s="417"/>
      <c r="AQ796" s="383"/>
      <c r="AR796" s="507"/>
      <c r="AS796" s="514"/>
      <c r="AT796" s="514"/>
    </row>
    <row r="797">
      <c r="A797" s="382"/>
      <c r="B797" s="417"/>
      <c r="C797" s="383"/>
      <c r="D797" s="507"/>
      <c r="E797" s="382"/>
      <c r="F797" s="417"/>
      <c r="G797" s="383"/>
      <c r="H797" s="507"/>
      <c r="I797" s="382"/>
      <c r="J797" s="417"/>
      <c r="K797" s="383"/>
      <c r="L797" s="507"/>
      <c r="M797" s="382"/>
      <c r="N797" s="417"/>
      <c r="O797" s="383"/>
      <c r="P797" s="507"/>
      <c r="Q797" s="518"/>
      <c r="R797" s="519"/>
      <c r="S797" s="520"/>
      <c r="T797" s="513"/>
      <c r="U797" s="518"/>
      <c r="V797" s="519"/>
      <c r="W797" s="520"/>
      <c r="X797" s="513"/>
      <c r="Y797" s="518"/>
      <c r="Z797" s="519"/>
      <c r="AA797" s="520"/>
      <c r="AB797" s="513"/>
      <c r="AC797" s="518"/>
      <c r="AD797" s="519"/>
      <c r="AE797" s="520"/>
      <c r="AF797" s="513"/>
      <c r="AG797" s="356"/>
      <c r="AH797" s="356"/>
      <c r="AI797" s="356"/>
      <c r="AJ797" s="356"/>
      <c r="AK797" s="382"/>
      <c r="AL797" s="417"/>
      <c r="AM797" s="383"/>
      <c r="AN797" s="507"/>
      <c r="AO797" s="382"/>
      <c r="AP797" s="417"/>
      <c r="AQ797" s="383"/>
      <c r="AR797" s="507"/>
      <c r="AS797" s="514"/>
      <c r="AT797" s="514"/>
    </row>
    <row r="798">
      <c r="A798" s="382"/>
      <c r="B798" s="417"/>
      <c r="C798" s="383"/>
      <c r="D798" s="507"/>
      <c r="E798" s="382"/>
      <c r="F798" s="417"/>
      <c r="G798" s="383"/>
      <c r="H798" s="507"/>
      <c r="I798" s="382"/>
      <c r="J798" s="417"/>
      <c r="K798" s="383"/>
      <c r="L798" s="507"/>
      <c r="M798" s="382"/>
      <c r="N798" s="417"/>
      <c r="O798" s="383"/>
      <c r="P798" s="507"/>
      <c r="Q798" s="518"/>
      <c r="R798" s="519"/>
      <c r="S798" s="520"/>
      <c r="T798" s="513"/>
      <c r="U798" s="518"/>
      <c r="V798" s="519"/>
      <c r="W798" s="520"/>
      <c r="X798" s="513"/>
      <c r="Y798" s="518"/>
      <c r="Z798" s="519"/>
      <c r="AA798" s="520"/>
      <c r="AB798" s="513"/>
      <c r="AC798" s="518"/>
      <c r="AD798" s="519"/>
      <c r="AE798" s="520"/>
      <c r="AF798" s="513"/>
      <c r="AG798" s="356"/>
      <c r="AH798" s="356"/>
      <c r="AI798" s="356"/>
      <c r="AJ798" s="356"/>
      <c r="AK798" s="382"/>
      <c r="AL798" s="417"/>
      <c r="AM798" s="383"/>
      <c r="AN798" s="507"/>
      <c r="AO798" s="382"/>
      <c r="AP798" s="417"/>
      <c r="AQ798" s="383"/>
      <c r="AR798" s="507"/>
      <c r="AS798" s="514"/>
      <c r="AT798" s="514"/>
    </row>
    <row r="799">
      <c r="A799" s="382"/>
      <c r="B799" s="417"/>
      <c r="C799" s="383"/>
      <c r="D799" s="507"/>
      <c r="E799" s="382"/>
      <c r="F799" s="417"/>
      <c r="G799" s="383"/>
      <c r="H799" s="507"/>
      <c r="I799" s="382"/>
      <c r="J799" s="417"/>
      <c r="K799" s="383"/>
      <c r="L799" s="507"/>
      <c r="M799" s="382"/>
      <c r="N799" s="417"/>
      <c r="O799" s="383"/>
      <c r="P799" s="507"/>
      <c r="Q799" s="518"/>
      <c r="R799" s="519"/>
      <c r="S799" s="520"/>
      <c r="T799" s="513"/>
      <c r="U799" s="518"/>
      <c r="V799" s="519"/>
      <c r="W799" s="520"/>
      <c r="X799" s="513"/>
      <c r="Y799" s="518"/>
      <c r="Z799" s="519"/>
      <c r="AA799" s="520"/>
      <c r="AB799" s="513"/>
      <c r="AC799" s="518"/>
      <c r="AD799" s="519"/>
      <c r="AE799" s="520"/>
      <c r="AF799" s="513"/>
      <c r="AG799" s="356"/>
      <c r="AH799" s="356"/>
      <c r="AI799" s="356"/>
      <c r="AJ799" s="356"/>
      <c r="AK799" s="382"/>
      <c r="AL799" s="417"/>
      <c r="AM799" s="383"/>
      <c r="AN799" s="507"/>
      <c r="AO799" s="382"/>
      <c r="AP799" s="417"/>
      <c r="AQ799" s="383"/>
      <c r="AR799" s="507"/>
      <c r="AS799" s="514"/>
      <c r="AT799" s="514"/>
    </row>
    <row r="800">
      <c r="A800" s="382"/>
      <c r="B800" s="417"/>
      <c r="C800" s="383"/>
      <c r="D800" s="507"/>
      <c r="E800" s="382"/>
      <c r="F800" s="417"/>
      <c r="G800" s="383"/>
      <c r="H800" s="507"/>
      <c r="I800" s="382"/>
      <c r="J800" s="417"/>
      <c r="K800" s="383"/>
      <c r="L800" s="507"/>
      <c r="M800" s="382"/>
      <c r="N800" s="417"/>
      <c r="O800" s="383"/>
      <c r="P800" s="507"/>
      <c r="Q800" s="518"/>
      <c r="R800" s="519"/>
      <c r="S800" s="520"/>
      <c r="T800" s="513"/>
      <c r="U800" s="518"/>
      <c r="V800" s="519"/>
      <c r="W800" s="520"/>
      <c r="X800" s="513"/>
      <c r="Y800" s="518"/>
      <c r="Z800" s="519"/>
      <c r="AA800" s="520"/>
      <c r="AB800" s="513"/>
      <c r="AC800" s="518"/>
      <c r="AD800" s="519"/>
      <c r="AE800" s="520"/>
      <c r="AF800" s="513"/>
      <c r="AG800" s="356"/>
      <c r="AH800" s="356"/>
      <c r="AI800" s="356"/>
      <c r="AJ800" s="356"/>
      <c r="AK800" s="382"/>
      <c r="AL800" s="417"/>
      <c r="AM800" s="383"/>
      <c r="AN800" s="507"/>
      <c r="AO800" s="382"/>
      <c r="AP800" s="417"/>
      <c r="AQ800" s="383"/>
      <c r="AR800" s="507"/>
      <c r="AS800" s="514"/>
      <c r="AT800" s="514"/>
    </row>
    <row r="801">
      <c r="A801" s="382"/>
      <c r="B801" s="417"/>
      <c r="C801" s="383"/>
      <c r="D801" s="507"/>
      <c r="E801" s="382"/>
      <c r="F801" s="417"/>
      <c r="G801" s="383"/>
      <c r="H801" s="507"/>
      <c r="I801" s="382"/>
      <c r="J801" s="417"/>
      <c r="K801" s="383"/>
      <c r="L801" s="507"/>
      <c r="M801" s="382"/>
      <c r="N801" s="417"/>
      <c r="O801" s="383"/>
      <c r="P801" s="507"/>
      <c r="Q801" s="518"/>
      <c r="R801" s="519"/>
      <c r="S801" s="520"/>
      <c r="T801" s="513"/>
      <c r="U801" s="518"/>
      <c r="V801" s="519"/>
      <c r="W801" s="520"/>
      <c r="X801" s="513"/>
      <c r="Y801" s="518"/>
      <c r="Z801" s="519"/>
      <c r="AA801" s="520"/>
      <c r="AB801" s="513"/>
      <c r="AC801" s="518"/>
      <c r="AD801" s="519"/>
      <c r="AE801" s="520"/>
      <c r="AF801" s="513"/>
      <c r="AG801" s="356"/>
      <c r="AH801" s="356"/>
      <c r="AI801" s="356"/>
      <c r="AJ801" s="356"/>
      <c r="AK801" s="382"/>
      <c r="AL801" s="417"/>
      <c r="AM801" s="383"/>
      <c r="AN801" s="507"/>
      <c r="AO801" s="382"/>
      <c r="AP801" s="417"/>
      <c r="AQ801" s="383"/>
      <c r="AR801" s="507"/>
      <c r="AS801" s="514"/>
      <c r="AT801" s="514"/>
    </row>
    <row r="802">
      <c r="A802" s="382"/>
      <c r="B802" s="417"/>
      <c r="C802" s="383"/>
      <c r="D802" s="507"/>
      <c r="E802" s="382"/>
      <c r="F802" s="417"/>
      <c r="G802" s="383"/>
      <c r="H802" s="507"/>
      <c r="I802" s="382"/>
      <c r="J802" s="417"/>
      <c r="K802" s="383"/>
      <c r="L802" s="507"/>
      <c r="M802" s="382"/>
      <c r="N802" s="417"/>
      <c r="O802" s="383"/>
      <c r="P802" s="507"/>
      <c r="Q802" s="518"/>
      <c r="R802" s="519"/>
      <c r="S802" s="520"/>
      <c r="T802" s="513"/>
      <c r="U802" s="518"/>
      <c r="V802" s="519"/>
      <c r="W802" s="520"/>
      <c r="X802" s="513"/>
      <c r="Y802" s="518"/>
      <c r="Z802" s="519"/>
      <c r="AA802" s="520"/>
      <c r="AB802" s="513"/>
      <c r="AC802" s="518"/>
      <c r="AD802" s="519"/>
      <c r="AE802" s="520"/>
      <c r="AF802" s="513"/>
      <c r="AG802" s="356"/>
      <c r="AH802" s="356"/>
      <c r="AI802" s="356"/>
      <c r="AJ802" s="356"/>
      <c r="AK802" s="382"/>
      <c r="AL802" s="417"/>
      <c r="AM802" s="383"/>
      <c r="AN802" s="507"/>
      <c r="AO802" s="382"/>
      <c r="AP802" s="417"/>
      <c r="AQ802" s="383"/>
      <c r="AR802" s="507"/>
      <c r="AS802" s="514"/>
      <c r="AT802" s="514"/>
    </row>
    <row r="803">
      <c r="A803" s="382"/>
      <c r="B803" s="417"/>
      <c r="C803" s="383"/>
      <c r="D803" s="507"/>
      <c r="E803" s="382"/>
      <c r="F803" s="417"/>
      <c r="G803" s="383"/>
      <c r="H803" s="507"/>
      <c r="I803" s="382"/>
      <c r="J803" s="417"/>
      <c r="K803" s="383"/>
      <c r="L803" s="507"/>
      <c r="M803" s="382"/>
      <c r="N803" s="417"/>
      <c r="O803" s="383"/>
      <c r="P803" s="507"/>
      <c r="Q803" s="518"/>
      <c r="R803" s="519"/>
      <c r="S803" s="520"/>
      <c r="T803" s="513"/>
      <c r="U803" s="518"/>
      <c r="V803" s="519"/>
      <c r="W803" s="520"/>
      <c r="X803" s="513"/>
      <c r="Y803" s="518"/>
      <c r="Z803" s="519"/>
      <c r="AA803" s="520"/>
      <c r="AB803" s="513"/>
      <c r="AC803" s="518"/>
      <c r="AD803" s="519"/>
      <c r="AE803" s="520"/>
      <c r="AF803" s="513"/>
      <c r="AG803" s="356"/>
      <c r="AH803" s="356"/>
      <c r="AI803" s="356"/>
      <c r="AJ803" s="356"/>
      <c r="AK803" s="382"/>
      <c r="AL803" s="417"/>
      <c r="AM803" s="383"/>
      <c r="AN803" s="507"/>
      <c r="AO803" s="382"/>
      <c r="AP803" s="417"/>
      <c r="AQ803" s="383"/>
      <c r="AR803" s="507"/>
      <c r="AS803" s="514"/>
      <c r="AT803" s="514"/>
    </row>
    <row r="804">
      <c r="A804" s="382"/>
      <c r="B804" s="417"/>
      <c r="C804" s="383"/>
      <c r="D804" s="507"/>
      <c r="E804" s="382"/>
      <c r="F804" s="417"/>
      <c r="G804" s="383"/>
      <c r="H804" s="507"/>
      <c r="I804" s="382"/>
      <c r="J804" s="417"/>
      <c r="K804" s="383"/>
      <c r="L804" s="507"/>
      <c r="M804" s="382"/>
      <c r="N804" s="417"/>
      <c r="O804" s="383"/>
      <c r="P804" s="507"/>
      <c r="Q804" s="518"/>
      <c r="R804" s="519"/>
      <c r="S804" s="520"/>
      <c r="T804" s="513"/>
      <c r="U804" s="518"/>
      <c r="V804" s="519"/>
      <c r="W804" s="520"/>
      <c r="X804" s="513"/>
      <c r="Y804" s="518"/>
      <c r="Z804" s="519"/>
      <c r="AA804" s="520"/>
      <c r="AB804" s="513"/>
      <c r="AC804" s="518"/>
      <c r="AD804" s="519"/>
      <c r="AE804" s="520"/>
      <c r="AF804" s="513"/>
      <c r="AG804" s="356"/>
      <c r="AH804" s="356"/>
      <c r="AI804" s="356"/>
      <c r="AJ804" s="356"/>
      <c r="AK804" s="382"/>
      <c r="AL804" s="417"/>
      <c r="AM804" s="383"/>
      <c r="AN804" s="507"/>
      <c r="AO804" s="382"/>
      <c r="AP804" s="417"/>
      <c r="AQ804" s="383"/>
      <c r="AR804" s="507"/>
      <c r="AS804" s="514"/>
      <c r="AT804" s="514"/>
    </row>
    <row r="805">
      <c r="A805" s="382"/>
      <c r="B805" s="417"/>
      <c r="C805" s="383"/>
      <c r="D805" s="507"/>
      <c r="E805" s="382"/>
      <c r="F805" s="417"/>
      <c r="G805" s="383"/>
      <c r="H805" s="507"/>
      <c r="I805" s="382"/>
      <c r="J805" s="417"/>
      <c r="K805" s="383"/>
      <c r="L805" s="507"/>
      <c r="M805" s="382"/>
      <c r="N805" s="417"/>
      <c r="O805" s="383"/>
      <c r="P805" s="507"/>
      <c r="Q805" s="518"/>
      <c r="R805" s="519"/>
      <c r="S805" s="520"/>
      <c r="T805" s="513"/>
      <c r="U805" s="518"/>
      <c r="V805" s="519"/>
      <c r="W805" s="520"/>
      <c r="X805" s="513"/>
      <c r="Y805" s="518"/>
      <c r="Z805" s="519"/>
      <c r="AA805" s="520"/>
      <c r="AB805" s="513"/>
      <c r="AC805" s="518"/>
      <c r="AD805" s="519"/>
      <c r="AE805" s="520"/>
      <c r="AF805" s="513"/>
      <c r="AG805" s="356"/>
      <c r="AH805" s="356"/>
      <c r="AI805" s="356"/>
      <c r="AJ805" s="356"/>
      <c r="AK805" s="382"/>
      <c r="AL805" s="417"/>
      <c r="AM805" s="383"/>
      <c r="AN805" s="507"/>
      <c r="AO805" s="382"/>
      <c r="AP805" s="417"/>
      <c r="AQ805" s="383"/>
      <c r="AR805" s="507"/>
      <c r="AS805" s="514"/>
      <c r="AT805" s="514"/>
    </row>
    <row r="806">
      <c r="A806" s="382"/>
      <c r="B806" s="417"/>
      <c r="C806" s="383"/>
      <c r="D806" s="507"/>
      <c r="E806" s="382"/>
      <c r="F806" s="417"/>
      <c r="G806" s="383"/>
      <c r="H806" s="507"/>
      <c r="I806" s="382"/>
      <c r="J806" s="417"/>
      <c r="K806" s="383"/>
      <c r="L806" s="507"/>
      <c r="M806" s="382"/>
      <c r="N806" s="417"/>
      <c r="O806" s="383"/>
      <c r="P806" s="507"/>
      <c r="Q806" s="518"/>
      <c r="R806" s="519"/>
      <c r="S806" s="520"/>
      <c r="T806" s="513"/>
      <c r="U806" s="518"/>
      <c r="V806" s="519"/>
      <c r="W806" s="520"/>
      <c r="X806" s="513"/>
      <c r="Y806" s="518"/>
      <c r="Z806" s="519"/>
      <c r="AA806" s="520"/>
      <c r="AB806" s="513"/>
      <c r="AC806" s="518"/>
      <c r="AD806" s="519"/>
      <c r="AE806" s="520"/>
      <c r="AF806" s="513"/>
      <c r="AG806" s="356"/>
      <c r="AH806" s="356"/>
      <c r="AI806" s="356"/>
      <c r="AJ806" s="356"/>
      <c r="AK806" s="382"/>
      <c r="AL806" s="417"/>
      <c r="AM806" s="383"/>
      <c r="AN806" s="507"/>
      <c r="AO806" s="382"/>
      <c r="AP806" s="417"/>
      <c r="AQ806" s="383"/>
      <c r="AR806" s="507"/>
      <c r="AS806" s="514"/>
      <c r="AT806" s="514"/>
    </row>
    <row r="807">
      <c r="A807" s="382"/>
      <c r="B807" s="417"/>
      <c r="C807" s="383"/>
      <c r="D807" s="507"/>
      <c r="E807" s="382"/>
      <c r="F807" s="417"/>
      <c r="G807" s="383"/>
      <c r="H807" s="507"/>
      <c r="I807" s="382"/>
      <c r="J807" s="417"/>
      <c r="K807" s="383"/>
      <c r="L807" s="507"/>
      <c r="M807" s="382"/>
      <c r="N807" s="417"/>
      <c r="O807" s="383"/>
      <c r="P807" s="507"/>
      <c r="Q807" s="518"/>
      <c r="R807" s="519"/>
      <c r="S807" s="520"/>
      <c r="T807" s="513"/>
      <c r="U807" s="518"/>
      <c r="V807" s="519"/>
      <c r="W807" s="520"/>
      <c r="X807" s="513"/>
      <c r="Y807" s="518"/>
      <c r="Z807" s="519"/>
      <c r="AA807" s="520"/>
      <c r="AB807" s="513"/>
      <c r="AC807" s="518"/>
      <c r="AD807" s="519"/>
      <c r="AE807" s="520"/>
      <c r="AF807" s="513"/>
      <c r="AG807" s="356"/>
      <c r="AH807" s="356"/>
      <c r="AI807" s="356"/>
      <c r="AJ807" s="356"/>
      <c r="AK807" s="382"/>
      <c r="AL807" s="417"/>
      <c r="AM807" s="383"/>
      <c r="AN807" s="507"/>
      <c r="AO807" s="382"/>
      <c r="AP807" s="417"/>
      <c r="AQ807" s="383"/>
      <c r="AR807" s="507"/>
      <c r="AS807" s="514"/>
      <c r="AT807" s="514"/>
    </row>
    <row r="808">
      <c r="A808" s="382"/>
      <c r="B808" s="417"/>
      <c r="C808" s="383"/>
      <c r="D808" s="507"/>
      <c r="E808" s="382"/>
      <c r="F808" s="417"/>
      <c r="G808" s="383"/>
      <c r="H808" s="507"/>
      <c r="I808" s="382"/>
      <c r="J808" s="417"/>
      <c r="K808" s="383"/>
      <c r="L808" s="507"/>
      <c r="M808" s="382"/>
      <c r="N808" s="417"/>
      <c r="O808" s="383"/>
      <c r="P808" s="507"/>
      <c r="Q808" s="518"/>
      <c r="R808" s="519"/>
      <c r="S808" s="520"/>
      <c r="T808" s="513"/>
      <c r="U808" s="518"/>
      <c r="V808" s="519"/>
      <c r="W808" s="520"/>
      <c r="X808" s="513"/>
      <c r="Y808" s="518"/>
      <c r="Z808" s="519"/>
      <c r="AA808" s="520"/>
      <c r="AB808" s="513"/>
      <c r="AC808" s="518"/>
      <c r="AD808" s="519"/>
      <c r="AE808" s="520"/>
      <c r="AF808" s="513"/>
      <c r="AG808" s="356"/>
      <c r="AH808" s="356"/>
      <c r="AI808" s="356"/>
      <c r="AJ808" s="356"/>
      <c r="AK808" s="382"/>
      <c r="AL808" s="417"/>
      <c r="AM808" s="383"/>
      <c r="AN808" s="507"/>
      <c r="AO808" s="382"/>
      <c r="AP808" s="417"/>
      <c r="AQ808" s="383"/>
      <c r="AR808" s="507"/>
      <c r="AS808" s="514"/>
      <c r="AT808" s="514"/>
    </row>
    <row r="809">
      <c r="A809" s="382"/>
      <c r="B809" s="417"/>
      <c r="C809" s="383"/>
      <c r="D809" s="507"/>
      <c r="E809" s="382"/>
      <c r="F809" s="417"/>
      <c r="G809" s="383"/>
      <c r="H809" s="507"/>
      <c r="I809" s="382"/>
      <c r="J809" s="417"/>
      <c r="K809" s="383"/>
      <c r="L809" s="507"/>
      <c r="M809" s="382"/>
      <c r="N809" s="417"/>
      <c r="O809" s="383"/>
      <c r="P809" s="507"/>
      <c r="Q809" s="518"/>
      <c r="R809" s="519"/>
      <c r="S809" s="520"/>
      <c r="T809" s="513"/>
      <c r="U809" s="518"/>
      <c r="V809" s="519"/>
      <c r="W809" s="520"/>
      <c r="X809" s="513"/>
      <c r="Y809" s="518"/>
      <c r="Z809" s="519"/>
      <c r="AA809" s="520"/>
      <c r="AB809" s="513"/>
      <c r="AC809" s="518"/>
      <c r="AD809" s="519"/>
      <c r="AE809" s="520"/>
      <c r="AF809" s="513"/>
      <c r="AG809" s="356"/>
      <c r="AH809" s="356"/>
      <c r="AI809" s="356"/>
      <c r="AJ809" s="356"/>
      <c r="AK809" s="382"/>
      <c r="AL809" s="417"/>
      <c r="AM809" s="383"/>
      <c r="AN809" s="507"/>
      <c r="AO809" s="382"/>
      <c r="AP809" s="417"/>
      <c r="AQ809" s="383"/>
      <c r="AR809" s="507"/>
      <c r="AS809" s="514"/>
      <c r="AT809" s="514"/>
    </row>
    <row r="810">
      <c r="A810" s="382"/>
      <c r="B810" s="417"/>
      <c r="C810" s="383"/>
      <c r="D810" s="507"/>
      <c r="E810" s="382"/>
      <c r="F810" s="417"/>
      <c r="G810" s="383"/>
      <c r="H810" s="507"/>
      <c r="I810" s="382"/>
      <c r="J810" s="417"/>
      <c r="K810" s="383"/>
      <c r="L810" s="507"/>
      <c r="M810" s="382"/>
      <c r="N810" s="417"/>
      <c r="O810" s="383"/>
      <c r="P810" s="507"/>
      <c r="Q810" s="518"/>
      <c r="R810" s="519"/>
      <c r="S810" s="520"/>
      <c r="T810" s="513"/>
      <c r="U810" s="518"/>
      <c r="V810" s="519"/>
      <c r="W810" s="520"/>
      <c r="X810" s="513"/>
      <c r="Y810" s="518"/>
      <c r="Z810" s="519"/>
      <c r="AA810" s="520"/>
      <c r="AB810" s="513"/>
      <c r="AC810" s="518"/>
      <c r="AD810" s="519"/>
      <c r="AE810" s="520"/>
      <c r="AF810" s="513"/>
      <c r="AG810" s="356"/>
      <c r="AH810" s="356"/>
      <c r="AI810" s="356"/>
      <c r="AJ810" s="356"/>
      <c r="AK810" s="382"/>
      <c r="AL810" s="417"/>
      <c r="AM810" s="383"/>
      <c r="AN810" s="507"/>
      <c r="AO810" s="382"/>
      <c r="AP810" s="417"/>
      <c r="AQ810" s="383"/>
      <c r="AR810" s="507"/>
      <c r="AS810" s="514"/>
      <c r="AT810" s="514"/>
    </row>
    <row r="811">
      <c r="A811" s="382"/>
      <c r="B811" s="417"/>
      <c r="C811" s="383"/>
      <c r="D811" s="507"/>
      <c r="E811" s="382"/>
      <c r="F811" s="417"/>
      <c r="G811" s="383"/>
      <c r="H811" s="507"/>
      <c r="I811" s="382"/>
      <c r="J811" s="417"/>
      <c r="K811" s="383"/>
      <c r="L811" s="507"/>
      <c r="M811" s="382"/>
      <c r="N811" s="417"/>
      <c r="O811" s="383"/>
      <c r="P811" s="507"/>
      <c r="Q811" s="518"/>
      <c r="R811" s="519"/>
      <c r="S811" s="520"/>
      <c r="T811" s="513"/>
      <c r="U811" s="518"/>
      <c r="V811" s="519"/>
      <c r="W811" s="520"/>
      <c r="X811" s="513"/>
      <c r="Y811" s="518"/>
      <c r="Z811" s="519"/>
      <c r="AA811" s="520"/>
      <c r="AB811" s="513"/>
      <c r="AC811" s="518"/>
      <c r="AD811" s="519"/>
      <c r="AE811" s="520"/>
      <c r="AF811" s="513"/>
      <c r="AG811" s="356"/>
      <c r="AH811" s="356"/>
      <c r="AI811" s="356"/>
      <c r="AJ811" s="356"/>
      <c r="AK811" s="382"/>
      <c r="AL811" s="417"/>
      <c r="AM811" s="383"/>
      <c r="AN811" s="507"/>
      <c r="AO811" s="382"/>
      <c r="AP811" s="417"/>
      <c r="AQ811" s="383"/>
      <c r="AR811" s="507"/>
      <c r="AS811" s="514"/>
      <c r="AT811" s="514"/>
    </row>
    <row r="812">
      <c r="A812" s="382"/>
      <c r="B812" s="417"/>
      <c r="C812" s="383"/>
      <c r="D812" s="507"/>
      <c r="E812" s="382"/>
      <c r="F812" s="417"/>
      <c r="G812" s="383"/>
      <c r="H812" s="507"/>
      <c r="I812" s="382"/>
      <c r="J812" s="417"/>
      <c r="K812" s="383"/>
      <c r="L812" s="507"/>
      <c r="M812" s="382"/>
      <c r="N812" s="417"/>
      <c r="O812" s="383"/>
      <c r="P812" s="507"/>
      <c r="Q812" s="518"/>
      <c r="R812" s="519"/>
      <c r="S812" s="520"/>
      <c r="T812" s="513"/>
      <c r="U812" s="518"/>
      <c r="V812" s="519"/>
      <c r="W812" s="520"/>
      <c r="X812" s="513"/>
      <c r="Y812" s="518"/>
      <c r="Z812" s="519"/>
      <c r="AA812" s="520"/>
      <c r="AB812" s="513"/>
      <c r="AC812" s="518"/>
      <c r="AD812" s="519"/>
      <c r="AE812" s="520"/>
      <c r="AF812" s="513"/>
      <c r="AG812" s="356"/>
      <c r="AH812" s="356"/>
      <c r="AI812" s="356"/>
      <c r="AJ812" s="356"/>
      <c r="AK812" s="382"/>
      <c r="AL812" s="417"/>
      <c r="AM812" s="383"/>
      <c r="AN812" s="507"/>
      <c r="AO812" s="382"/>
      <c r="AP812" s="417"/>
      <c r="AQ812" s="383"/>
      <c r="AR812" s="507"/>
      <c r="AS812" s="514"/>
      <c r="AT812" s="514"/>
    </row>
    <row r="813">
      <c r="A813" s="382"/>
      <c r="B813" s="417"/>
      <c r="C813" s="383"/>
      <c r="D813" s="507"/>
      <c r="E813" s="382"/>
      <c r="F813" s="417"/>
      <c r="G813" s="383"/>
      <c r="H813" s="507"/>
      <c r="I813" s="382"/>
      <c r="J813" s="417"/>
      <c r="K813" s="383"/>
      <c r="L813" s="507"/>
      <c r="M813" s="382"/>
      <c r="N813" s="417"/>
      <c r="O813" s="383"/>
      <c r="P813" s="507"/>
      <c r="Q813" s="518"/>
      <c r="R813" s="519"/>
      <c r="S813" s="520"/>
      <c r="T813" s="513"/>
      <c r="U813" s="518"/>
      <c r="V813" s="519"/>
      <c r="W813" s="520"/>
      <c r="X813" s="513"/>
      <c r="Y813" s="518"/>
      <c r="Z813" s="519"/>
      <c r="AA813" s="520"/>
      <c r="AB813" s="513"/>
      <c r="AC813" s="518"/>
      <c r="AD813" s="519"/>
      <c r="AE813" s="520"/>
      <c r="AF813" s="513"/>
      <c r="AG813" s="356"/>
      <c r="AH813" s="356"/>
      <c r="AI813" s="356"/>
      <c r="AJ813" s="356"/>
      <c r="AK813" s="382"/>
      <c r="AL813" s="417"/>
      <c r="AM813" s="383"/>
      <c r="AN813" s="507"/>
      <c r="AO813" s="382"/>
      <c r="AP813" s="417"/>
      <c r="AQ813" s="383"/>
      <c r="AR813" s="507"/>
      <c r="AS813" s="514"/>
      <c r="AT813" s="514"/>
    </row>
    <row r="814">
      <c r="A814" s="382"/>
      <c r="B814" s="417"/>
      <c r="C814" s="383"/>
      <c r="D814" s="507"/>
      <c r="E814" s="382"/>
      <c r="F814" s="417"/>
      <c r="G814" s="383"/>
      <c r="H814" s="507"/>
      <c r="I814" s="382"/>
      <c r="J814" s="417"/>
      <c r="K814" s="383"/>
      <c r="L814" s="507"/>
      <c r="M814" s="382"/>
      <c r="N814" s="417"/>
      <c r="O814" s="383"/>
      <c r="P814" s="507"/>
      <c r="Q814" s="518"/>
      <c r="R814" s="519"/>
      <c r="S814" s="520"/>
      <c r="T814" s="513"/>
      <c r="U814" s="518"/>
      <c r="V814" s="519"/>
      <c r="W814" s="520"/>
      <c r="X814" s="513"/>
      <c r="Y814" s="518"/>
      <c r="Z814" s="519"/>
      <c r="AA814" s="520"/>
      <c r="AB814" s="513"/>
      <c r="AC814" s="518"/>
      <c r="AD814" s="519"/>
      <c r="AE814" s="520"/>
      <c r="AF814" s="513"/>
      <c r="AG814" s="356"/>
      <c r="AH814" s="356"/>
      <c r="AI814" s="356"/>
      <c r="AJ814" s="356"/>
      <c r="AK814" s="382"/>
      <c r="AL814" s="417"/>
      <c r="AM814" s="383"/>
      <c r="AN814" s="507"/>
      <c r="AO814" s="382"/>
      <c r="AP814" s="417"/>
      <c r="AQ814" s="383"/>
      <c r="AR814" s="507"/>
      <c r="AS814" s="514"/>
      <c r="AT814" s="514"/>
    </row>
    <row r="815">
      <c r="A815" s="382"/>
      <c r="B815" s="417"/>
      <c r="C815" s="383"/>
      <c r="D815" s="507"/>
      <c r="E815" s="382"/>
      <c r="F815" s="417"/>
      <c r="G815" s="383"/>
      <c r="H815" s="507"/>
      <c r="I815" s="382"/>
      <c r="J815" s="417"/>
      <c r="K815" s="383"/>
      <c r="L815" s="507"/>
      <c r="M815" s="382"/>
      <c r="N815" s="417"/>
      <c r="O815" s="383"/>
      <c r="P815" s="507"/>
      <c r="Q815" s="518"/>
      <c r="R815" s="519"/>
      <c r="S815" s="520"/>
      <c r="T815" s="513"/>
      <c r="U815" s="518"/>
      <c r="V815" s="519"/>
      <c r="W815" s="520"/>
      <c r="X815" s="513"/>
      <c r="Y815" s="518"/>
      <c r="Z815" s="519"/>
      <c r="AA815" s="520"/>
      <c r="AB815" s="513"/>
      <c r="AC815" s="518"/>
      <c r="AD815" s="519"/>
      <c r="AE815" s="520"/>
      <c r="AF815" s="513"/>
      <c r="AG815" s="356"/>
      <c r="AH815" s="356"/>
      <c r="AI815" s="356"/>
      <c r="AJ815" s="356"/>
      <c r="AK815" s="382"/>
      <c r="AL815" s="417"/>
      <c r="AM815" s="383"/>
      <c r="AN815" s="507"/>
      <c r="AO815" s="382"/>
      <c r="AP815" s="417"/>
      <c r="AQ815" s="383"/>
      <c r="AR815" s="507"/>
      <c r="AS815" s="514"/>
      <c r="AT815" s="514"/>
    </row>
    <row r="816">
      <c r="A816" s="382"/>
      <c r="B816" s="417"/>
      <c r="C816" s="383"/>
      <c r="D816" s="507"/>
      <c r="E816" s="382"/>
      <c r="F816" s="417"/>
      <c r="G816" s="383"/>
      <c r="H816" s="507"/>
      <c r="I816" s="382"/>
      <c r="J816" s="417"/>
      <c r="K816" s="383"/>
      <c r="L816" s="507"/>
      <c r="M816" s="382"/>
      <c r="N816" s="417"/>
      <c r="O816" s="383"/>
      <c r="P816" s="507"/>
      <c r="Q816" s="518"/>
      <c r="R816" s="519"/>
      <c r="S816" s="520"/>
      <c r="T816" s="513"/>
      <c r="U816" s="518"/>
      <c r="V816" s="519"/>
      <c r="W816" s="520"/>
      <c r="X816" s="513"/>
      <c r="Y816" s="518"/>
      <c r="Z816" s="519"/>
      <c r="AA816" s="520"/>
      <c r="AB816" s="513"/>
      <c r="AC816" s="518"/>
      <c r="AD816" s="519"/>
      <c r="AE816" s="520"/>
      <c r="AF816" s="513"/>
      <c r="AG816" s="356"/>
      <c r="AH816" s="356"/>
      <c r="AI816" s="356"/>
      <c r="AJ816" s="356"/>
      <c r="AK816" s="382"/>
      <c r="AL816" s="417"/>
      <c r="AM816" s="383"/>
      <c r="AN816" s="507"/>
      <c r="AO816" s="382"/>
      <c r="AP816" s="417"/>
      <c r="AQ816" s="383"/>
      <c r="AR816" s="507"/>
      <c r="AS816" s="514"/>
      <c r="AT816" s="514"/>
    </row>
    <row r="817">
      <c r="A817" s="382"/>
      <c r="B817" s="417"/>
      <c r="C817" s="383"/>
      <c r="D817" s="507"/>
      <c r="E817" s="382"/>
      <c r="F817" s="417"/>
      <c r="G817" s="383"/>
      <c r="H817" s="507"/>
      <c r="I817" s="382"/>
      <c r="J817" s="417"/>
      <c r="K817" s="383"/>
      <c r="L817" s="507"/>
      <c r="M817" s="382"/>
      <c r="N817" s="417"/>
      <c r="O817" s="383"/>
      <c r="P817" s="507"/>
      <c r="Q817" s="518"/>
      <c r="R817" s="519"/>
      <c r="S817" s="520"/>
      <c r="T817" s="513"/>
      <c r="U817" s="518"/>
      <c r="V817" s="519"/>
      <c r="W817" s="520"/>
      <c r="X817" s="513"/>
      <c r="Y817" s="518"/>
      <c r="Z817" s="519"/>
      <c r="AA817" s="520"/>
      <c r="AB817" s="513"/>
      <c r="AC817" s="518"/>
      <c r="AD817" s="519"/>
      <c r="AE817" s="520"/>
      <c r="AF817" s="513"/>
      <c r="AG817" s="356"/>
      <c r="AH817" s="356"/>
      <c r="AI817" s="356"/>
      <c r="AJ817" s="356"/>
      <c r="AK817" s="382"/>
      <c r="AL817" s="417"/>
      <c r="AM817" s="383"/>
      <c r="AN817" s="507"/>
      <c r="AO817" s="382"/>
      <c r="AP817" s="417"/>
      <c r="AQ817" s="383"/>
      <c r="AR817" s="507"/>
      <c r="AS817" s="514"/>
      <c r="AT817" s="514"/>
    </row>
    <row r="818">
      <c r="A818" s="382"/>
      <c r="B818" s="417"/>
      <c r="C818" s="383"/>
      <c r="D818" s="507"/>
      <c r="E818" s="382"/>
      <c r="F818" s="417"/>
      <c r="G818" s="383"/>
      <c r="H818" s="507"/>
      <c r="I818" s="382"/>
      <c r="J818" s="417"/>
      <c r="K818" s="383"/>
      <c r="L818" s="507"/>
      <c r="M818" s="382"/>
      <c r="N818" s="417"/>
      <c r="O818" s="383"/>
      <c r="P818" s="507"/>
      <c r="Q818" s="518"/>
      <c r="R818" s="519"/>
      <c r="S818" s="520"/>
      <c r="T818" s="513"/>
      <c r="U818" s="518"/>
      <c r="V818" s="519"/>
      <c r="W818" s="520"/>
      <c r="X818" s="513"/>
      <c r="Y818" s="518"/>
      <c r="Z818" s="519"/>
      <c r="AA818" s="520"/>
      <c r="AB818" s="513"/>
      <c r="AC818" s="518"/>
      <c r="AD818" s="519"/>
      <c r="AE818" s="520"/>
      <c r="AF818" s="513"/>
      <c r="AG818" s="356"/>
      <c r="AH818" s="356"/>
      <c r="AI818" s="356"/>
      <c r="AJ818" s="356"/>
      <c r="AK818" s="382"/>
      <c r="AL818" s="417"/>
      <c r="AM818" s="383"/>
      <c r="AN818" s="507"/>
      <c r="AO818" s="382"/>
      <c r="AP818" s="417"/>
      <c r="AQ818" s="383"/>
      <c r="AR818" s="507"/>
      <c r="AS818" s="514"/>
      <c r="AT818" s="514"/>
    </row>
    <row r="819">
      <c r="A819" s="382"/>
      <c r="B819" s="417"/>
      <c r="C819" s="383"/>
      <c r="D819" s="507"/>
      <c r="E819" s="382"/>
      <c r="F819" s="417"/>
      <c r="G819" s="383"/>
      <c r="H819" s="507"/>
      <c r="I819" s="382"/>
      <c r="J819" s="417"/>
      <c r="K819" s="383"/>
      <c r="L819" s="507"/>
      <c r="M819" s="382"/>
      <c r="N819" s="417"/>
      <c r="O819" s="383"/>
      <c r="P819" s="507"/>
      <c r="Q819" s="518"/>
      <c r="R819" s="519"/>
      <c r="S819" s="520"/>
      <c r="T819" s="513"/>
      <c r="U819" s="518"/>
      <c r="V819" s="519"/>
      <c r="W819" s="520"/>
      <c r="X819" s="513"/>
      <c r="Y819" s="518"/>
      <c r="Z819" s="519"/>
      <c r="AA819" s="520"/>
      <c r="AB819" s="513"/>
      <c r="AC819" s="518"/>
      <c r="AD819" s="519"/>
      <c r="AE819" s="520"/>
      <c r="AF819" s="513"/>
      <c r="AG819" s="356"/>
      <c r="AH819" s="356"/>
      <c r="AI819" s="356"/>
      <c r="AJ819" s="356"/>
      <c r="AK819" s="382"/>
      <c r="AL819" s="417"/>
      <c r="AM819" s="383"/>
      <c r="AN819" s="507"/>
      <c r="AO819" s="382"/>
      <c r="AP819" s="417"/>
      <c r="AQ819" s="383"/>
      <c r="AR819" s="507"/>
      <c r="AS819" s="514"/>
      <c r="AT819" s="514"/>
    </row>
    <row r="820">
      <c r="A820" s="382"/>
      <c r="B820" s="417"/>
      <c r="C820" s="383"/>
      <c r="D820" s="507"/>
      <c r="E820" s="382"/>
      <c r="F820" s="417"/>
      <c r="G820" s="383"/>
      <c r="H820" s="507"/>
      <c r="I820" s="382"/>
      <c r="J820" s="417"/>
      <c r="K820" s="383"/>
      <c r="L820" s="507"/>
      <c r="M820" s="382"/>
      <c r="N820" s="417"/>
      <c r="O820" s="383"/>
      <c r="P820" s="507"/>
      <c r="Q820" s="518"/>
      <c r="R820" s="519"/>
      <c r="S820" s="520"/>
      <c r="T820" s="513"/>
      <c r="U820" s="518"/>
      <c r="V820" s="519"/>
      <c r="W820" s="520"/>
      <c r="X820" s="513"/>
      <c r="Y820" s="518"/>
      <c r="Z820" s="519"/>
      <c r="AA820" s="520"/>
      <c r="AB820" s="513"/>
      <c r="AC820" s="518"/>
      <c r="AD820" s="519"/>
      <c r="AE820" s="520"/>
      <c r="AF820" s="513"/>
      <c r="AG820" s="356"/>
      <c r="AH820" s="356"/>
      <c r="AI820" s="356"/>
      <c r="AJ820" s="356"/>
      <c r="AK820" s="382"/>
      <c r="AL820" s="417"/>
      <c r="AM820" s="383"/>
      <c r="AN820" s="507"/>
      <c r="AO820" s="382"/>
      <c r="AP820" s="417"/>
      <c r="AQ820" s="383"/>
      <c r="AR820" s="507"/>
      <c r="AS820" s="514"/>
      <c r="AT820" s="514"/>
    </row>
    <row r="821">
      <c r="A821" s="382"/>
      <c r="B821" s="417"/>
      <c r="C821" s="383"/>
      <c r="D821" s="507"/>
      <c r="E821" s="382"/>
      <c r="F821" s="417"/>
      <c r="G821" s="383"/>
      <c r="H821" s="507"/>
      <c r="I821" s="382"/>
      <c r="J821" s="417"/>
      <c r="K821" s="383"/>
      <c r="L821" s="507"/>
      <c r="M821" s="382"/>
      <c r="N821" s="417"/>
      <c r="O821" s="383"/>
      <c r="P821" s="507"/>
      <c r="Q821" s="518"/>
      <c r="R821" s="519"/>
      <c r="S821" s="520"/>
      <c r="T821" s="513"/>
      <c r="U821" s="518"/>
      <c r="V821" s="519"/>
      <c r="W821" s="520"/>
      <c r="X821" s="513"/>
      <c r="Y821" s="518"/>
      <c r="Z821" s="519"/>
      <c r="AA821" s="520"/>
      <c r="AB821" s="513"/>
      <c r="AC821" s="518"/>
      <c r="AD821" s="519"/>
      <c r="AE821" s="520"/>
      <c r="AF821" s="513"/>
      <c r="AG821" s="356"/>
      <c r="AH821" s="356"/>
      <c r="AI821" s="356"/>
      <c r="AJ821" s="356"/>
      <c r="AK821" s="382"/>
      <c r="AL821" s="417"/>
      <c r="AM821" s="383"/>
      <c r="AN821" s="507"/>
      <c r="AO821" s="382"/>
      <c r="AP821" s="417"/>
      <c r="AQ821" s="383"/>
      <c r="AR821" s="507"/>
      <c r="AS821" s="514"/>
      <c r="AT821" s="514"/>
    </row>
    <row r="822">
      <c r="A822" s="382"/>
      <c r="B822" s="417"/>
      <c r="C822" s="383"/>
      <c r="D822" s="507"/>
      <c r="E822" s="382"/>
      <c r="F822" s="417"/>
      <c r="G822" s="383"/>
      <c r="H822" s="507"/>
      <c r="I822" s="382"/>
      <c r="J822" s="417"/>
      <c r="K822" s="383"/>
      <c r="L822" s="507"/>
      <c r="M822" s="382"/>
      <c r="N822" s="417"/>
      <c r="O822" s="383"/>
      <c r="P822" s="507"/>
      <c r="Q822" s="518"/>
      <c r="R822" s="519"/>
      <c r="S822" s="520"/>
      <c r="T822" s="513"/>
      <c r="U822" s="518"/>
      <c r="V822" s="519"/>
      <c r="W822" s="520"/>
      <c r="X822" s="513"/>
      <c r="Y822" s="518"/>
      <c r="Z822" s="519"/>
      <c r="AA822" s="520"/>
      <c r="AB822" s="513"/>
      <c r="AC822" s="518"/>
      <c r="AD822" s="519"/>
      <c r="AE822" s="520"/>
      <c r="AF822" s="513"/>
      <c r="AG822" s="356"/>
      <c r="AH822" s="356"/>
      <c r="AI822" s="356"/>
      <c r="AJ822" s="356"/>
      <c r="AK822" s="382"/>
      <c r="AL822" s="417"/>
      <c r="AM822" s="383"/>
      <c r="AN822" s="507"/>
      <c r="AO822" s="382"/>
      <c r="AP822" s="417"/>
      <c r="AQ822" s="383"/>
      <c r="AR822" s="507"/>
      <c r="AS822" s="514"/>
      <c r="AT822" s="514"/>
    </row>
    <row r="823">
      <c r="A823" s="382"/>
      <c r="B823" s="417"/>
      <c r="C823" s="383"/>
      <c r="D823" s="507"/>
      <c r="E823" s="382"/>
      <c r="F823" s="417"/>
      <c r="G823" s="383"/>
      <c r="H823" s="507"/>
      <c r="I823" s="382"/>
      <c r="J823" s="417"/>
      <c r="K823" s="383"/>
      <c r="L823" s="507"/>
      <c r="M823" s="382"/>
      <c r="N823" s="417"/>
      <c r="O823" s="383"/>
      <c r="P823" s="507"/>
      <c r="Q823" s="518"/>
      <c r="R823" s="519"/>
      <c r="S823" s="520"/>
      <c r="T823" s="513"/>
      <c r="U823" s="518"/>
      <c r="V823" s="519"/>
      <c r="W823" s="520"/>
      <c r="X823" s="513"/>
      <c r="Y823" s="518"/>
      <c r="Z823" s="519"/>
      <c r="AA823" s="520"/>
      <c r="AB823" s="513"/>
      <c r="AC823" s="518"/>
      <c r="AD823" s="519"/>
      <c r="AE823" s="520"/>
      <c r="AF823" s="513"/>
      <c r="AG823" s="356"/>
      <c r="AH823" s="356"/>
      <c r="AI823" s="356"/>
      <c r="AJ823" s="356"/>
      <c r="AK823" s="382"/>
      <c r="AL823" s="417"/>
      <c r="AM823" s="383"/>
      <c r="AN823" s="507"/>
      <c r="AO823" s="382"/>
      <c r="AP823" s="417"/>
      <c r="AQ823" s="383"/>
      <c r="AR823" s="507"/>
      <c r="AS823" s="514"/>
      <c r="AT823" s="514"/>
    </row>
    <row r="824">
      <c r="A824" s="382"/>
      <c r="B824" s="417"/>
      <c r="C824" s="383"/>
      <c r="D824" s="507"/>
      <c r="E824" s="382"/>
      <c r="F824" s="417"/>
      <c r="G824" s="383"/>
      <c r="H824" s="507"/>
      <c r="I824" s="382"/>
      <c r="J824" s="417"/>
      <c r="K824" s="383"/>
      <c r="L824" s="507"/>
      <c r="M824" s="382"/>
      <c r="N824" s="417"/>
      <c r="O824" s="383"/>
      <c r="P824" s="507"/>
      <c r="Q824" s="518"/>
      <c r="R824" s="519"/>
      <c r="S824" s="520"/>
      <c r="T824" s="513"/>
      <c r="U824" s="518"/>
      <c r="V824" s="519"/>
      <c r="W824" s="520"/>
      <c r="X824" s="513"/>
      <c r="Y824" s="518"/>
      <c r="Z824" s="519"/>
      <c r="AA824" s="520"/>
      <c r="AB824" s="513"/>
      <c r="AC824" s="518"/>
      <c r="AD824" s="519"/>
      <c r="AE824" s="520"/>
      <c r="AF824" s="513"/>
      <c r="AG824" s="356"/>
      <c r="AH824" s="356"/>
      <c r="AI824" s="356"/>
      <c r="AJ824" s="356"/>
      <c r="AK824" s="382"/>
      <c r="AL824" s="417"/>
      <c r="AM824" s="383"/>
      <c r="AN824" s="507"/>
      <c r="AO824" s="382"/>
      <c r="AP824" s="417"/>
      <c r="AQ824" s="383"/>
      <c r="AR824" s="507"/>
      <c r="AS824" s="514"/>
      <c r="AT824" s="514"/>
    </row>
    <row r="825">
      <c r="A825" s="382"/>
      <c r="B825" s="417"/>
      <c r="C825" s="383"/>
      <c r="D825" s="507"/>
      <c r="E825" s="382"/>
      <c r="F825" s="417"/>
      <c r="G825" s="383"/>
      <c r="H825" s="507"/>
      <c r="I825" s="382"/>
      <c r="J825" s="417"/>
      <c r="K825" s="383"/>
      <c r="L825" s="507"/>
      <c r="M825" s="382"/>
      <c r="N825" s="417"/>
      <c r="O825" s="383"/>
      <c r="P825" s="507"/>
      <c r="Q825" s="518"/>
      <c r="R825" s="519"/>
      <c r="S825" s="520"/>
      <c r="T825" s="513"/>
      <c r="U825" s="518"/>
      <c r="V825" s="519"/>
      <c r="W825" s="520"/>
      <c r="X825" s="513"/>
      <c r="Y825" s="518"/>
      <c r="Z825" s="519"/>
      <c r="AA825" s="520"/>
      <c r="AB825" s="513"/>
      <c r="AC825" s="518"/>
      <c r="AD825" s="519"/>
      <c r="AE825" s="520"/>
      <c r="AF825" s="513"/>
      <c r="AG825" s="356"/>
      <c r="AH825" s="356"/>
      <c r="AI825" s="356"/>
      <c r="AJ825" s="356"/>
      <c r="AK825" s="382"/>
      <c r="AL825" s="417"/>
      <c r="AM825" s="383"/>
      <c r="AN825" s="507"/>
      <c r="AO825" s="382"/>
      <c r="AP825" s="417"/>
      <c r="AQ825" s="383"/>
      <c r="AR825" s="507"/>
      <c r="AS825" s="514"/>
      <c r="AT825" s="514"/>
    </row>
    <row r="826">
      <c r="A826" s="382"/>
      <c r="B826" s="417"/>
      <c r="C826" s="383"/>
      <c r="D826" s="507"/>
      <c r="E826" s="382"/>
      <c r="F826" s="417"/>
      <c r="G826" s="383"/>
      <c r="H826" s="507"/>
      <c r="I826" s="382"/>
      <c r="J826" s="417"/>
      <c r="K826" s="383"/>
      <c r="L826" s="507"/>
      <c r="M826" s="382"/>
      <c r="N826" s="417"/>
      <c r="O826" s="383"/>
      <c r="P826" s="507"/>
      <c r="Q826" s="518"/>
      <c r="R826" s="519"/>
      <c r="S826" s="520"/>
      <c r="T826" s="513"/>
      <c r="U826" s="518"/>
      <c r="V826" s="519"/>
      <c r="W826" s="520"/>
      <c r="X826" s="513"/>
      <c r="Y826" s="518"/>
      <c r="Z826" s="519"/>
      <c r="AA826" s="520"/>
      <c r="AB826" s="513"/>
      <c r="AC826" s="518"/>
      <c r="AD826" s="519"/>
      <c r="AE826" s="520"/>
      <c r="AF826" s="513"/>
      <c r="AG826" s="356"/>
      <c r="AH826" s="356"/>
      <c r="AI826" s="356"/>
      <c r="AJ826" s="356"/>
      <c r="AK826" s="382"/>
      <c r="AL826" s="417"/>
      <c r="AM826" s="383"/>
      <c r="AN826" s="507"/>
      <c r="AO826" s="382"/>
      <c r="AP826" s="417"/>
      <c r="AQ826" s="383"/>
      <c r="AR826" s="507"/>
      <c r="AS826" s="514"/>
      <c r="AT826" s="514"/>
    </row>
    <row r="827">
      <c r="A827" s="382"/>
      <c r="B827" s="417"/>
      <c r="C827" s="383"/>
      <c r="D827" s="507"/>
      <c r="E827" s="382"/>
      <c r="F827" s="417"/>
      <c r="G827" s="383"/>
      <c r="H827" s="507"/>
      <c r="I827" s="382"/>
      <c r="J827" s="417"/>
      <c r="K827" s="383"/>
      <c r="L827" s="507"/>
      <c r="M827" s="382"/>
      <c r="N827" s="417"/>
      <c r="O827" s="383"/>
      <c r="P827" s="507"/>
      <c r="Q827" s="518"/>
      <c r="R827" s="519"/>
      <c r="S827" s="520"/>
      <c r="T827" s="513"/>
      <c r="U827" s="518"/>
      <c r="V827" s="519"/>
      <c r="W827" s="520"/>
      <c r="X827" s="513"/>
      <c r="Y827" s="518"/>
      <c r="Z827" s="519"/>
      <c r="AA827" s="520"/>
      <c r="AB827" s="513"/>
      <c r="AC827" s="518"/>
      <c r="AD827" s="519"/>
      <c r="AE827" s="520"/>
      <c r="AF827" s="513"/>
      <c r="AG827" s="356"/>
      <c r="AH827" s="356"/>
      <c r="AI827" s="356"/>
      <c r="AJ827" s="356"/>
      <c r="AK827" s="382"/>
      <c r="AL827" s="417"/>
      <c r="AM827" s="383"/>
      <c r="AN827" s="507"/>
      <c r="AO827" s="382"/>
      <c r="AP827" s="417"/>
      <c r="AQ827" s="383"/>
      <c r="AR827" s="507"/>
      <c r="AS827" s="514"/>
      <c r="AT827" s="514"/>
    </row>
    <row r="828">
      <c r="A828" s="382"/>
      <c r="B828" s="417"/>
      <c r="C828" s="383"/>
      <c r="D828" s="507"/>
      <c r="E828" s="382"/>
      <c r="F828" s="417"/>
      <c r="G828" s="383"/>
      <c r="H828" s="507"/>
      <c r="I828" s="382"/>
      <c r="J828" s="417"/>
      <c r="K828" s="383"/>
      <c r="L828" s="507"/>
      <c r="M828" s="382"/>
      <c r="N828" s="417"/>
      <c r="O828" s="383"/>
      <c r="P828" s="507"/>
      <c r="Q828" s="518"/>
      <c r="R828" s="519"/>
      <c r="S828" s="520"/>
      <c r="T828" s="513"/>
      <c r="U828" s="518"/>
      <c r="V828" s="519"/>
      <c r="W828" s="520"/>
      <c r="X828" s="513"/>
      <c r="Y828" s="518"/>
      <c r="Z828" s="519"/>
      <c r="AA828" s="520"/>
      <c r="AB828" s="513"/>
      <c r="AC828" s="518"/>
      <c r="AD828" s="519"/>
      <c r="AE828" s="520"/>
      <c r="AF828" s="513"/>
      <c r="AG828" s="356"/>
      <c r="AH828" s="356"/>
      <c r="AI828" s="356"/>
      <c r="AJ828" s="356"/>
      <c r="AK828" s="382"/>
      <c r="AL828" s="417"/>
      <c r="AM828" s="383"/>
      <c r="AN828" s="507"/>
      <c r="AO828" s="382"/>
      <c r="AP828" s="417"/>
      <c r="AQ828" s="383"/>
      <c r="AR828" s="507"/>
      <c r="AS828" s="514"/>
      <c r="AT828" s="514"/>
    </row>
    <row r="829">
      <c r="A829" s="382"/>
      <c r="B829" s="417"/>
      <c r="C829" s="383"/>
      <c r="D829" s="507"/>
      <c r="E829" s="382"/>
      <c r="F829" s="417"/>
      <c r="G829" s="383"/>
      <c r="H829" s="507"/>
      <c r="I829" s="382"/>
      <c r="J829" s="417"/>
      <c r="K829" s="383"/>
      <c r="L829" s="507"/>
      <c r="M829" s="382"/>
      <c r="N829" s="417"/>
      <c r="O829" s="383"/>
      <c r="P829" s="507"/>
      <c r="Q829" s="518"/>
      <c r="R829" s="519"/>
      <c r="S829" s="520"/>
      <c r="T829" s="513"/>
      <c r="U829" s="518"/>
      <c r="V829" s="519"/>
      <c r="W829" s="520"/>
      <c r="X829" s="513"/>
      <c r="Y829" s="518"/>
      <c r="Z829" s="519"/>
      <c r="AA829" s="520"/>
      <c r="AB829" s="513"/>
      <c r="AC829" s="518"/>
      <c r="AD829" s="519"/>
      <c r="AE829" s="520"/>
      <c r="AF829" s="513"/>
      <c r="AG829" s="356"/>
      <c r="AH829" s="356"/>
      <c r="AI829" s="356"/>
      <c r="AJ829" s="356"/>
      <c r="AK829" s="382"/>
      <c r="AL829" s="417"/>
      <c r="AM829" s="383"/>
      <c r="AN829" s="507"/>
      <c r="AO829" s="382"/>
      <c r="AP829" s="417"/>
      <c r="AQ829" s="383"/>
      <c r="AR829" s="507"/>
      <c r="AS829" s="514"/>
      <c r="AT829" s="514"/>
    </row>
    <row r="830">
      <c r="A830" s="382"/>
      <c r="B830" s="417"/>
      <c r="C830" s="383"/>
      <c r="D830" s="507"/>
      <c r="E830" s="382"/>
      <c r="F830" s="417"/>
      <c r="G830" s="383"/>
      <c r="H830" s="507"/>
      <c r="I830" s="382"/>
      <c r="J830" s="417"/>
      <c r="K830" s="383"/>
      <c r="L830" s="507"/>
      <c r="M830" s="382"/>
      <c r="N830" s="417"/>
      <c r="O830" s="383"/>
      <c r="P830" s="507"/>
      <c r="Q830" s="518"/>
      <c r="R830" s="519"/>
      <c r="S830" s="520"/>
      <c r="T830" s="513"/>
      <c r="U830" s="518"/>
      <c r="V830" s="519"/>
      <c r="W830" s="520"/>
      <c r="X830" s="513"/>
      <c r="Y830" s="518"/>
      <c r="Z830" s="519"/>
      <c r="AA830" s="520"/>
      <c r="AB830" s="513"/>
      <c r="AC830" s="518"/>
      <c r="AD830" s="519"/>
      <c r="AE830" s="520"/>
      <c r="AF830" s="513"/>
      <c r="AG830" s="356"/>
      <c r="AH830" s="356"/>
      <c r="AI830" s="356"/>
      <c r="AJ830" s="356"/>
      <c r="AK830" s="382"/>
      <c r="AL830" s="417"/>
      <c r="AM830" s="383"/>
      <c r="AN830" s="507"/>
      <c r="AO830" s="382"/>
      <c r="AP830" s="417"/>
      <c r="AQ830" s="383"/>
      <c r="AR830" s="507"/>
      <c r="AS830" s="514"/>
      <c r="AT830" s="514"/>
    </row>
    <row r="831">
      <c r="A831" s="382"/>
      <c r="B831" s="417"/>
      <c r="C831" s="383"/>
      <c r="D831" s="507"/>
      <c r="E831" s="382"/>
      <c r="F831" s="417"/>
      <c r="G831" s="383"/>
      <c r="H831" s="507"/>
      <c r="I831" s="382"/>
      <c r="J831" s="417"/>
      <c r="K831" s="383"/>
      <c r="L831" s="507"/>
      <c r="M831" s="382"/>
      <c r="N831" s="417"/>
      <c r="O831" s="383"/>
      <c r="P831" s="507"/>
      <c r="Q831" s="518"/>
      <c r="R831" s="519"/>
      <c r="S831" s="520"/>
      <c r="T831" s="513"/>
      <c r="U831" s="518"/>
      <c r="V831" s="519"/>
      <c r="W831" s="520"/>
      <c r="X831" s="513"/>
      <c r="Y831" s="518"/>
      <c r="Z831" s="519"/>
      <c r="AA831" s="520"/>
      <c r="AB831" s="513"/>
      <c r="AC831" s="518"/>
      <c r="AD831" s="519"/>
      <c r="AE831" s="520"/>
      <c r="AF831" s="513"/>
      <c r="AG831" s="356"/>
      <c r="AH831" s="356"/>
      <c r="AI831" s="356"/>
      <c r="AJ831" s="356"/>
      <c r="AK831" s="382"/>
      <c r="AL831" s="417"/>
      <c r="AM831" s="383"/>
      <c r="AN831" s="507"/>
      <c r="AO831" s="382"/>
      <c r="AP831" s="417"/>
      <c r="AQ831" s="383"/>
      <c r="AR831" s="507"/>
      <c r="AS831" s="514"/>
      <c r="AT831" s="514"/>
    </row>
    <row r="832">
      <c r="A832" s="382"/>
      <c r="B832" s="417"/>
      <c r="C832" s="383"/>
      <c r="D832" s="507"/>
      <c r="E832" s="382"/>
      <c r="F832" s="417"/>
      <c r="G832" s="383"/>
      <c r="H832" s="507"/>
      <c r="I832" s="382"/>
      <c r="J832" s="417"/>
      <c r="K832" s="383"/>
      <c r="L832" s="507"/>
      <c r="M832" s="382"/>
      <c r="N832" s="417"/>
      <c r="O832" s="383"/>
      <c r="P832" s="507"/>
      <c r="Q832" s="518"/>
      <c r="R832" s="519"/>
      <c r="S832" s="520"/>
      <c r="T832" s="513"/>
      <c r="U832" s="518"/>
      <c r="V832" s="519"/>
      <c r="W832" s="520"/>
      <c r="X832" s="513"/>
      <c r="Y832" s="518"/>
      <c r="Z832" s="519"/>
      <c r="AA832" s="520"/>
      <c r="AB832" s="513"/>
      <c r="AC832" s="518"/>
      <c r="AD832" s="519"/>
      <c r="AE832" s="520"/>
      <c r="AF832" s="513"/>
      <c r="AG832" s="356"/>
      <c r="AH832" s="356"/>
      <c r="AI832" s="356"/>
      <c r="AJ832" s="356"/>
      <c r="AK832" s="382"/>
      <c r="AL832" s="417"/>
      <c r="AM832" s="383"/>
      <c r="AN832" s="507"/>
      <c r="AO832" s="382"/>
      <c r="AP832" s="417"/>
      <c r="AQ832" s="383"/>
      <c r="AR832" s="507"/>
      <c r="AS832" s="514"/>
      <c r="AT832" s="514"/>
    </row>
    <row r="833">
      <c r="A833" s="382"/>
      <c r="B833" s="417"/>
      <c r="C833" s="383"/>
      <c r="D833" s="507"/>
      <c r="E833" s="382"/>
      <c r="F833" s="417"/>
      <c r="G833" s="383"/>
      <c r="H833" s="507"/>
      <c r="I833" s="382"/>
      <c r="J833" s="417"/>
      <c r="K833" s="383"/>
      <c r="L833" s="507"/>
      <c r="M833" s="382"/>
      <c r="N833" s="417"/>
      <c r="O833" s="383"/>
      <c r="P833" s="507"/>
      <c r="Q833" s="518"/>
      <c r="R833" s="519"/>
      <c r="S833" s="520"/>
      <c r="T833" s="513"/>
      <c r="U833" s="518"/>
      <c r="V833" s="519"/>
      <c r="W833" s="520"/>
      <c r="X833" s="513"/>
      <c r="Y833" s="518"/>
      <c r="Z833" s="519"/>
      <c r="AA833" s="520"/>
      <c r="AB833" s="513"/>
      <c r="AC833" s="518"/>
      <c r="AD833" s="519"/>
      <c r="AE833" s="520"/>
      <c r="AF833" s="513"/>
      <c r="AG833" s="356"/>
      <c r="AH833" s="356"/>
      <c r="AI833" s="356"/>
      <c r="AJ833" s="356"/>
      <c r="AK833" s="382"/>
      <c r="AL833" s="417"/>
      <c r="AM833" s="383"/>
      <c r="AN833" s="507"/>
      <c r="AO833" s="382"/>
      <c r="AP833" s="417"/>
      <c r="AQ833" s="383"/>
      <c r="AR833" s="507"/>
      <c r="AS833" s="514"/>
      <c r="AT833" s="514"/>
    </row>
    <row r="834">
      <c r="A834" s="382"/>
      <c r="B834" s="417"/>
      <c r="C834" s="383"/>
      <c r="D834" s="507"/>
      <c r="E834" s="382"/>
      <c r="F834" s="417"/>
      <c r="G834" s="383"/>
      <c r="H834" s="507"/>
      <c r="I834" s="382"/>
      <c r="J834" s="417"/>
      <c r="K834" s="383"/>
      <c r="L834" s="507"/>
      <c r="M834" s="382"/>
      <c r="N834" s="417"/>
      <c r="O834" s="383"/>
      <c r="P834" s="507"/>
      <c r="Q834" s="518"/>
      <c r="R834" s="519"/>
      <c r="S834" s="520"/>
      <c r="T834" s="513"/>
      <c r="U834" s="518"/>
      <c r="V834" s="519"/>
      <c r="W834" s="520"/>
      <c r="X834" s="513"/>
      <c r="Y834" s="518"/>
      <c r="Z834" s="519"/>
      <c r="AA834" s="520"/>
      <c r="AB834" s="513"/>
      <c r="AC834" s="518"/>
      <c r="AD834" s="519"/>
      <c r="AE834" s="520"/>
      <c r="AF834" s="513"/>
      <c r="AG834" s="356"/>
      <c r="AH834" s="356"/>
      <c r="AI834" s="356"/>
      <c r="AJ834" s="356"/>
      <c r="AK834" s="382"/>
      <c r="AL834" s="417"/>
      <c r="AM834" s="383"/>
      <c r="AN834" s="507"/>
      <c r="AO834" s="382"/>
      <c r="AP834" s="417"/>
      <c r="AQ834" s="383"/>
      <c r="AR834" s="507"/>
      <c r="AS834" s="514"/>
      <c r="AT834" s="514"/>
    </row>
    <row r="835">
      <c r="A835" s="382"/>
      <c r="B835" s="417"/>
      <c r="C835" s="383"/>
      <c r="D835" s="507"/>
      <c r="E835" s="382"/>
      <c r="F835" s="417"/>
      <c r="G835" s="383"/>
      <c r="H835" s="507"/>
      <c r="I835" s="382"/>
      <c r="J835" s="417"/>
      <c r="K835" s="383"/>
      <c r="L835" s="507"/>
      <c r="M835" s="382"/>
      <c r="N835" s="417"/>
      <c r="O835" s="383"/>
      <c r="P835" s="507"/>
      <c r="Q835" s="518"/>
      <c r="R835" s="519"/>
      <c r="S835" s="520"/>
      <c r="T835" s="513"/>
      <c r="U835" s="518"/>
      <c r="V835" s="519"/>
      <c r="W835" s="520"/>
      <c r="X835" s="513"/>
      <c r="Y835" s="518"/>
      <c r="Z835" s="519"/>
      <c r="AA835" s="520"/>
      <c r="AB835" s="513"/>
      <c r="AC835" s="518"/>
      <c r="AD835" s="519"/>
      <c r="AE835" s="520"/>
      <c r="AF835" s="513"/>
      <c r="AG835" s="356"/>
      <c r="AH835" s="356"/>
      <c r="AI835" s="356"/>
      <c r="AJ835" s="356"/>
      <c r="AK835" s="382"/>
      <c r="AL835" s="417"/>
      <c r="AM835" s="383"/>
      <c r="AN835" s="507"/>
      <c r="AO835" s="382"/>
      <c r="AP835" s="417"/>
      <c r="AQ835" s="383"/>
      <c r="AR835" s="507"/>
      <c r="AS835" s="514"/>
      <c r="AT835" s="514"/>
    </row>
    <row r="836">
      <c r="A836" s="382"/>
      <c r="B836" s="417"/>
      <c r="C836" s="383"/>
      <c r="D836" s="507"/>
      <c r="E836" s="382"/>
      <c r="F836" s="417"/>
      <c r="G836" s="383"/>
      <c r="H836" s="507"/>
      <c r="I836" s="382"/>
      <c r="J836" s="417"/>
      <c r="K836" s="383"/>
      <c r="L836" s="507"/>
      <c r="M836" s="382"/>
      <c r="N836" s="417"/>
      <c r="O836" s="383"/>
      <c r="P836" s="507"/>
      <c r="Q836" s="518"/>
      <c r="R836" s="519"/>
      <c r="S836" s="520"/>
      <c r="T836" s="513"/>
      <c r="U836" s="518"/>
      <c r="V836" s="519"/>
      <c r="W836" s="520"/>
      <c r="X836" s="513"/>
      <c r="Y836" s="518"/>
      <c r="Z836" s="519"/>
      <c r="AA836" s="520"/>
      <c r="AB836" s="513"/>
      <c r="AC836" s="518"/>
      <c r="AD836" s="519"/>
      <c r="AE836" s="520"/>
      <c r="AF836" s="513"/>
      <c r="AG836" s="356"/>
      <c r="AH836" s="356"/>
      <c r="AI836" s="356"/>
      <c r="AJ836" s="356"/>
      <c r="AK836" s="382"/>
      <c r="AL836" s="417"/>
      <c r="AM836" s="383"/>
      <c r="AN836" s="507"/>
      <c r="AO836" s="382"/>
      <c r="AP836" s="417"/>
      <c r="AQ836" s="383"/>
      <c r="AR836" s="507"/>
      <c r="AS836" s="514"/>
      <c r="AT836" s="514"/>
    </row>
    <row r="837">
      <c r="A837" s="382"/>
      <c r="B837" s="417"/>
      <c r="C837" s="383"/>
      <c r="D837" s="507"/>
      <c r="E837" s="382"/>
      <c r="F837" s="417"/>
      <c r="G837" s="383"/>
      <c r="H837" s="507"/>
      <c r="I837" s="382"/>
      <c r="J837" s="417"/>
      <c r="K837" s="383"/>
      <c r="L837" s="507"/>
      <c r="M837" s="382"/>
      <c r="N837" s="417"/>
      <c r="O837" s="383"/>
      <c r="P837" s="507"/>
      <c r="Q837" s="518"/>
      <c r="R837" s="519"/>
      <c r="S837" s="520"/>
      <c r="T837" s="513"/>
      <c r="U837" s="518"/>
      <c r="V837" s="519"/>
      <c r="W837" s="520"/>
      <c r="X837" s="513"/>
      <c r="Y837" s="518"/>
      <c r="Z837" s="519"/>
      <c r="AA837" s="520"/>
      <c r="AB837" s="513"/>
      <c r="AC837" s="518"/>
      <c r="AD837" s="519"/>
      <c r="AE837" s="520"/>
      <c r="AF837" s="513"/>
      <c r="AG837" s="356"/>
      <c r="AH837" s="356"/>
      <c r="AI837" s="356"/>
      <c r="AJ837" s="356"/>
      <c r="AK837" s="382"/>
      <c r="AL837" s="417"/>
      <c r="AM837" s="383"/>
      <c r="AN837" s="507"/>
      <c r="AO837" s="382"/>
      <c r="AP837" s="417"/>
      <c r="AQ837" s="383"/>
      <c r="AR837" s="507"/>
      <c r="AS837" s="514"/>
      <c r="AT837" s="514"/>
    </row>
    <row r="838">
      <c r="A838" s="382"/>
      <c r="B838" s="417"/>
      <c r="C838" s="383"/>
      <c r="D838" s="507"/>
      <c r="E838" s="382"/>
      <c r="F838" s="417"/>
      <c r="G838" s="383"/>
      <c r="H838" s="507"/>
      <c r="I838" s="382"/>
      <c r="J838" s="417"/>
      <c r="K838" s="383"/>
      <c r="L838" s="507"/>
      <c r="M838" s="382"/>
      <c r="N838" s="417"/>
      <c r="O838" s="383"/>
      <c r="P838" s="507"/>
      <c r="Q838" s="518"/>
      <c r="R838" s="519"/>
      <c r="S838" s="520"/>
      <c r="T838" s="513"/>
      <c r="U838" s="518"/>
      <c r="V838" s="519"/>
      <c r="W838" s="520"/>
      <c r="X838" s="513"/>
      <c r="Y838" s="518"/>
      <c r="Z838" s="519"/>
      <c r="AA838" s="520"/>
      <c r="AB838" s="513"/>
      <c r="AC838" s="518"/>
      <c r="AD838" s="519"/>
      <c r="AE838" s="520"/>
      <c r="AF838" s="513"/>
      <c r="AG838" s="356"/>
      <c r="AH838" s="356"/>
      <c r="AI838" s="356"/>
      <c r="AJ838" s="356"/>
      <c r="AK838" s="382"/>
      <c r="AL838" s="417"/>
      <c r="AM838" s="383"/>
      <c r="AN838" s="507"/>
      <c r="AO838" s="382"/>
      <c r="AP838" s="417"/>
      <c r="AQ838" s="383"/>
      <c r="AR838" s="507"/>
      <c r="AS838" s="514"/>
      <c r="AT838" s="514"/>
    </row>
    <row r="839">
      <c r="A839" s="382"/>
      <c r="B839" s="417"/>
      <c r="C839" s="383"/>
      <c r="D839" s="507"/>
      <c r="E839" s="382"/>
      <c r="F839" s="417"/>
      <c r="G839" s="383"/>
      <c r="H839" s="507"/>
      <c r="I839" s="382"/>
      <c r="J839" s="417"/>
      <c r="K839" s="383"/>
      <c r="L839" s="507"/>
      <c r="M839" s="382"/>
      <c r="N839" s="417"/>
      <c r="O839" s="383"/>
      <c r="P839" s="507"/>
      <c r="Q839" s="518"/>
      <c r="R839" s="519"/>
      <c r="S839" s="520"/>
      <c r="T839" s="513"/>
      <c r="U839" s="518"/>
      <c r="V839" s="519"/>
      <c r="W839" s="520"/>
      <c r="X839" s="513"/>
      <c r="Y839" s="518"/>
      <c r="Z839" s="519"/>
      <c r="AA839" s="520"/>
      <c r="AB839" s="513"/>
      <c r="AC839" s="518"/>
      <c r="AD839" s="519"/>
      <c r="AE839" s="520"/>
      <c r="AF839" s="513"/>
      <c r="AG839" s="356"/>
      <c r="AH839" s="356"/>
      <c r="AI839" s="356"/>
      <c r="AJ839" s="356"/>
      <c r="AK839" s="382"/>
      <c r="AL839" s="417"/>
      <c r="AM839" s="383"/>
      <c r="AN839" s="507"/>
      <c r="AO839" s="382"/>
      <c r="AP839" s="417"/>
      <c r="AQ839" s="383"/>
      <c r="AR839" s="507"/>
      <c r="AS839" s="514"/>
      <c r="AT839" s="514"/>
    </row>
    <row r="840">
      <c r="A840" s="382"/>
      <c r="B840" s="417"/>
      <c r="C840" s="383"/>
      <c r="D840" s="507"/>
      <c r="E840" s="382"/>
      <c r="F840" s="417"/>
      <c r="G840" s="383"/>
      <c r="H840" s="507"/>
      <c r="I840" s="382"/>
      <c r="J840" s="417"/>
      <c r="K840" s="383"/>
      <c r="L840" s="507"/>
      <c r="M840" s="382"/>
      <c r="N840" s="417"/>
      <c r="O840" s="383"/>
      <c r="P840" s="507"/>
      <c r="Q840" s="518"/>
      <c r="R840" s="519"/>
      <c r="S840" s="520"/>
      <c r="T840" s="513"/>
      <c r="U840" s="518"/>
      <c r="V840" s="519"/>
      <c r="W840" s="520"/>
      <c r="X840" s="513"/>
      <c r="Y840" s="518"/>
      <c r="Z840" s="519"/>
      <c r="AA840" s="520"/>
      <c r="AB840" s="513"/>
      <c r="AC840" s="518"/>
      <c r="AD840" s="519"/>
      <c r="AE840" s="520"/>
      <c r="AF840" s="513"/>
      <c r="AG840" s="356"/>
      <c r="AH840" s="356"/>
      <c r="AI840" s="356"/>
      <c r="AJ840" s="356"/>
      <c r="AK840" s="382"/>
      <c r="AL840" s="417"/>
      <c r="AM840" s="383"/>
      <c r="AN840" s="507"/>
      <c r="AO840" s="382"/>
      <c r="AP840" s="417"/>
      <c r="AQ840" s="383"/>
      <c r="AR840" s="507"/>
      <c r="AS840" s="514"/>
      <c r="AT840" s="514"/>
    </row>
    <row r="841">
      <c r="A841" s="382"/>
      <c r="B841" s="417"/>
      <c r="C841" s="383"/>
      <c r="D841" s="507"/>
      <c r="E841" s="382"/>
      <c r="F841" s="417"/>
      <c r="G841" s="383"/>
      <c r="H841" s="507"/>
      <c r="I841" s="382"/>
      <c r="J841" s="417"/>
      <c r="K841" s="383"/>
      <c r="L841" s="507"/>
      <c r="M841" s="382"/>
      <c r="N841" s="417"/>
      <c r="O841" s="383"/>
      <c r="P841" s="507"/>
      <c r="Q841" s="518"/>
      <c r="R841" s="519"/>
      <c r="S841" s="520"/>
      <c r="T841" s="513"/>
      <c r="U841" s="518"/>
      <c r="V841" s="519"/>
      <c r="W841" s="520"/>
      <c r="X841" s="513"/>
      <c r="Y841" s="518"/>
      <c r="Z841" s="519"/>
      <c r="AA841" s="520"/>
      <c r="AB841" s="513"/>
      <c r="AC841" s="518"/>
      <c r="AD841" s="519"/>
      <c r="AE841" s="520"/>
      <c r="AF841" s="513"/>
      <c r="AG841" s="356"/>
      <c r="AH841" s="356"/>
      <c r="AI841" s="356"/>
      <c r="AJ841" s="356"/>
      <c r="AK841" s="382"/>
      <c r="AL841" s="417"/>
      <c r="AM841" s="383"/>
      <c r="AN841" s="507"/>
      <c r="AO841" s="382"/>
      <c r="AP841" s="417"/>
      <c r="AQ841" s="383"/>
      <c r="AR841" s="507"/>
      <c r="AS841" s="514"/>
      <c r="AT841" s="514"/>
    </row>
    <row r="842">
      <c r="A842" s="382"/>
      <c r="B842" s="417"/>
      <c r="C842" s="383"/>
      <c r="D842" s="507"/>
      <c r="E842" s="382"/>
      <c r="F842" s="417"/>
      <c r="G842" s="383"/>
      <c r="H842" s="507"/>
      <c r="I842" s="382"/>
      <c r="J842" s="417"/>
      <c r="K842" s="383"/>
      <c r="L842" s="507"/>
      <c r="M842" s="382"/>
      <c r="N842" s="417"/>
      <c r="O842" s="383"/>
      <c r="P842" s="507"/>
      <c r="Q842" s="518"/>
      <c r="R842" s="519"/>
      <c r="S842" s="520"/>
      <c r="T842" s="513"/>
      <c r="U842" s="518"/>
      <c r="V842" s="519"/>
      <c r="W842" s="520"/>
      <c r="X842" s="513"/>
      <c r="Y842" s="518"/>
      <c r="Z842" s="519"/>
      <c r="AA842" s="520"/>
      <c r="AB842" s="513"/>
      <c r="AC842" s="518"/>
      <c r="AD842" s="519"/>
      <c r="AE842" s="520"/>
      <c r="AF842" s="513"/>
      <c r="AG842" s="356"/>
      <c r="AH842" s="356"/>
      <c r="AI842" s="356"/>
      <c r="AJ842" s="356"/>
      <c r="AK842" s="382"/>
      <c r="AL842" s="417"/>
      <c r="AM842" s="383"/>
      <c r="AN842" s="507"/>
      <c r="AO842" s="382"/>
      <c r="AP842" s="417"/>
      <c r="AQ842" s="383"/>
      <c r="AR842" s="507"/>
      <c r="AS842" s="514"/>
      <c r="AT842" s="514"/>
    </row>
    <row r="843">
      <c r="A843" s="382"/>
      <c r="B843" s="417"/>
      <c r="C843" s="383"/>
      <c r="D843" s="507"/>
      <c r="E843" s="382"/>
      <c r="F843" s="417"/>
      <c r="G843" s="383"/>
      <c r="H843" s="507"/>
      <c r="I843" s="382"/>
      <c r="J843" s="417"/>
      <c r="K843" s="383"/>
      <c r="L843" s="507"/>
      <c r="M843" s="382"/>
      <c r="N843" s="417"/>
      <c r="O843" s="383"/>
      <c r="P843" s="507"/>
      <c r="Q843" s="518"/>
      <c r="R843" s="519"/>
      <c r="S843" s="520"/>
      <c r="T843" s="513"/>
      <c r="U843" s="518"/>
      <c r="V843" s="519"/>
      <c r="W843" s="520"/>
      <c r="X843" s="513"/>
      <c r="Y843" s="518"/>
      <c r="Z843" s="519"/>
      <c r="AA843" s="520"/>
      <c r="AB843" s="513"/>
      <c r="AC843" s="518"/>
      <c r="AD843" s="519"/>
      <c r="AE843" s="520"/>
      <c r="AF843" s="513"/>
      <c r="AG843" s="356"/>
      <c r="AH843" s="356"/>
      <c r="AI843" s="356"/>
      <c r="AJ843" s="356"/>
      <c r="AK843" s="382"/>
      <c r="AL843" s="417"/>
      <c r="AM843" s="383"/>
      <c r="AN843" s="507"/>
      <c r="AO843" s="382"/>
      <c r="AP843" s="417"/>
      <c r="AQ843" s="383"/>
      <c r="AR843" s="507"/>
      <c r="AS843" s="514"/>
      <c r="AT843" s="514"/>
    </row>
    <row r="844">
      <c r="A844" s="382"/>
      <c r="B844" s="417"/>
      <c r="C844" s="383"/>
      <c r="D844" s="507"/>
      <c r="E844" s="382"/>
      <c r="F844" s="417"/>
      <c r="G844" s="383"/>
      <c r="H844" s="507"/>
      <c r="I844" s="382"/>
      <c r="J844" s="417"/>
      <c r="K844" s="383"/>
      <c r="L844" s="507"/>
      <c r="M844" s="382"/>
      <c r="N844" s="417"/>
      <c r="O844" s="383"/>
      <c r="P844" s="507"/>
      <c r="Q844" s="518"/>
      <c r="R844" s="519"/>
      <c r="S844" s="520"/>
      <c r="T844" s="513"/>
      <c r="U844" s="518"/>
      <c r="V844" s="519"/>
      <c r="W844" s="520"/>
      <c r="X844" s="513"/>
      <c r="Y844" s="518"/>
      <c r="Z844" s="519"/>
      <c r="AA844" s="520"/>
      <c r="AB844" s="513"/>
      <c r="AC844" s="518"/>
      <c r="AD844" s="519"/>
      <c r="AE844" s="520"/>
      <c r="AF844" s="513"/>
      <c r="AG844" s="356"/>
      <c r="AH844" s="356"/>
      <c r="AI844" s="356"/>
      <c r="AJ844" s="356"/>
      <c r="AK844" s="382"/>
      <c r="AL844" s="417"/>
      <c r="AM844" s="383"/>
      <c r="AN844" s="507"/>
      <c r="AO844" s="382"/>
      <c r="AP844" s="417"/>
      <c r="AQ844" s="383"/>
      <c r="AR844" s="507"/>
      <c r="AS844" s="514"/>
      <c r="AT844" s="514"/>
    </row>
    <row r="845">
      <c r="A845" s="382"/>
      <c r="B845" s="417"/>
      <c r="C845" s="383"/>
      <c r="D845" s="507"/>
      <c r="E845" s="382"/>
      <c r="F845" s="417"/>
      <c r="G845" s="383"/>
      <c r="H845" s="507"/>
      <c r="I845" s="382"/>
      <c r="J845" s="417"/>
      <c r="K845" s="383"/>
      <c r="L845" s="507"/>
      <c r="M845" s="382"/>
      <c r="N845" s="417"/>
      <c r="O845" s="383"/>
      <c r="P845" s="507"/>
      <c r="Q845" s="518"/>
      <c r="R845" s="519"/>
      <c r="S845" s="520"/>
      <c r="T845" s="513"/>
      <c r="U845" s="518"/>
      <c r="V845" s="519"/>
      <c r="W845" s="520"/>
      <c r="X845" s="513"/>
      <c r="Y845" s="518"/>
      <c r="Z845" s="519"/>
      <c r="AA845" s="520"/>
      <c r="AB845" s="513"/>
      <c r="AC845" s="518"/>
      <c r="AD845" s="519"/>
      <c r="AE845" s="520"/>
      <c r="AF845" s="513"/>
      <c r="AG845" s="356"/>
      <c r="AH845" s="356"/>
      <c r="AI845" s="356"/>
      <c r="AJ845" s="356"/>
      <c r="AK845" s="382"/>
      <c r="AL845" s="417"/>
      <c r="AM845" s="383"/>
      <c r="AN845" s="507"/>
      <c r="AO845" s="382"/>
      <c r="AP845" s="417"/>
      <c r="AQ845" s="383"/>
      <c r="AR845" s="507"/>
      <c r="AS845" s="514"/>
      <c r="AT845" s="514"/>
    </row>
    <row r="846">
      <c r="A846" s="382"/>
      <c r="B846" s="417"/>
      <c r="C846" s="383"/>
      <c r="D846" s="507"/>
      <c r="E846" s="382"/>
      <c r="F846" s="417"/>
      <c r="G846" s="383"/>
      <c r="H846" s="507"/>
      <c r="I846" s="382"/>
      <c r="J846" s="417"/>
      <c r="K846" s="383"/>
      <c r="L846" s="507"/>
      <c r="M846" s="382"/>
      <c r="N846" s="417"/>
      <c r="O846" s="383"/>
      <c r="P846" s="507"/>
      <c r="Q846" s="518"/>
      <c r="R846" s="519"/>
      <c r="S846" s="520"/>
      <c r="T846" s="513"/>
      <c r="U846" s="518"/>
      <c r="V846" s="519"/>
      <c r="W846" s="520"/>
      <c r="X846" s="513"/>
      <c r="Y846" s="518"/>
      <c r="Z846" s="519"/>
      <c r="AA846" s="520"/>
      <c r="AB846" s="513"/>
      <c r="AC846" s="518"/>
      <c r="AD846" s="519"/>
      <c r="AE846" s="520"/>
      <c r="AF846" s="513"/>
      <c r="AG846" s="356"/>
      <c r="AH846" s="356"/>
      <c r="AI846" s="356"/>
      <c r="AJ846" s="356"/>
      <c r="AK846" s="382"/>
      <c r="AL846" s="417"/>
      <c r="AM846" s="383"/>
      <c r="AN846" s="507"/>
      <c r="AO846" s="382"/>
      <c r="AP846" s="417"/>
      <c r="AQ846" s="383"/>
      <c r="AR846" s="507"/>
      <c r="AS846" s="514"/>
      <c r="AT846" s="514"/>
    </row>
    <row r="847">
      <c r="A847" s="382"/>
      <c r="B847" s="417"/>
      <c r="C847" s="383"/>
      <c r="D847" s="507"/>
      <c r="E847" s="382"/>
      <c r="F847" s="417"/>
      <c r="G847" s="383"/>
      <c r="H847" s="507"/>
      <c r="I847" s="382"/>
      <c r="J847" s="417"/>
      <c r="K847" s="383"/>
      <c r="L847" s="507"/>
      <c r="M847" s="382"/>
      <c r="N847" s="417"/>
      <c r="O847" s="383"/>
      <c r="P847" s="507"/>
      <c r="Q847" s="518"/>
      <c r="R847" s="519"/>
      <c r="S847" s="520"/>
      <c r="T847" s="513"/>
      <c r="U847" s="518"/>
      <c r="V847" s="519"/>
      <c r="W847" s="520"/>
      <c r="X847" s="513"/>
      <c r="Y847" s="518"/>
      <c r="Z847" s="519"/>
      <c r="AA847" s="520"/>
      <c r="AB847" s="513"/>
      <c r="AC847" s="518"/>
      <c r="AD847" s="519"/>
      <c r="AE847" s="520"/>
      <c r="AF847" s="513"/>
      <c r="AG847" s="356"/>
      <c r="AH847" s="356"/>
      <c r="AI847" s="356"/>
      <c r="AJ847" s="356"/>
      <c r="AK847" s="382"/>
      <c r="AL847" s="417"/>
      <c r="AM847" s="383"/>
      <c r="AN847" s="507"/>
      <c r="AO847" s="382"/>
      <c r="AP847" s="417"/>
      <c r="AQ847" s="383"/>
      <c r="AR847" s="507"/>
      <c r="AS847" s="514"/>
      <c r="AT847" s="514"/>
    </row>
    <row r="848">
      <c r="A848" s="382"/>
      <c r="B848" s="417"/>
      <c r="C848" s="383"/>
      <c r="D848" s="507"/>
      <c r="E848" s="382"/>
      <c r="F848" s="417"/>
      <c r="G848" s="383"/>
      <c r="H848" s="507"/>
      <c r="I848" s="382"/>
      <c r="J848" s="417"/>
      <c r="K848" s="383"/>
      <c r="L848" s="507"/>
      <c r="M848" s="382"/>
      <c r="N848" s="417"/>
      <c r="O848" s="383"/>
      <c r="P848" s="507"/>
      <c r="Q848" s="518"/>
      <c r="R848" s="519"/>
      <c r="S848" s="520"/>
      <c r="T848" s="513"/>
      <c r="U848" s="518"/>
      <c r="V848" s="519"/>
      <c r="W848" s="520"/>
      <c r="X848" s="513"/>
      <c r="Y848" s="518"/>
      <c r="Z848" s="519"/>
      <c r="AA848" s="520"/>
      <c r="AB848" s="513"/>
      <c r="AC848" s="518"/>
      <c r="AD848" s="519"/>
      <c r="AE848" s="520"/>
      <c r="AF848" s="513"/>
      <c r="AG848" s="356"/>
      <c r="AH848" s="356"/>
      <c r="AI848" s="356"/>
      <c r="AJ848" s="356"/>
      <c r="AK848" s="382"/>
      <c r="AL848" s="417"/>
      <c r="AM848" s="383"/>
      <c r="AN848" s="507"/>
      <c r="AO848" s="382"/>
      <c r="AP848" s="417"/>
      <c r="AQ848" s="383"/>
      <c r="AR848" s="507"/>
      <c r="AS848" s="514"/>
      <c r="AT848" s="514"/>
    </row>
    <row r="849">
      <c r="A849" s="382"/>
      <c r="B849" s="417"/>
      <c r="C849" s="383"/>
      <c r="D849" s="507"/>
      <c r="E849" s="382"/>
      <c r="F849" s="417"/>
      <c r="G849" s="383"/>
      <c r="H849" s="507"/>
      <c r="I849" s="382"/>
      <c r="J849" s="417"/>
      <c r="K849" s="383"/>
      <c r="L849" s="507"/>
      <c r="M849" s="382"/>
      <c r="N849" s="417"/>
      <c r="O849" s="383"/>
      <c r="P849" s="507"/>
      <c r="Q849" s="518"/>
      <c r="R849" s="519"/>
      <c r="S849" s="520"/>
      <c r="T849" s="513"/>
      <c r="U849" s="518"/>
      <c r="V849" s="519"/>
      <c r="W849" s="520"/>
      <c r="X849" s="513"/>
      <c r="Y849" s="518"/>
      <c r="Z849" s="519"/>
      <c r="AA849" s="520"/>
      <c r="AB849" s="513"/>
      <c r="AC849" s="518"/>
      <c r="AD849" s="519"/>
      <c r="AE849" s="520"/>
      <c r="AF849" s="513"/>
      <c r="AG849" s="356"/>
      <c r="AH849" s="356"/>
      <c r="AI849" s="356"/>
      <c r="AJ849" s="356"/>
      <c r="AK849" s="382"/>
      <c r="AL849" s="417"/>
      <c r="AM849" s="383"/>
      <c r="AN849" s="507"/>
      <c r="AO849" s="382"/>
      <c r="AP849" s="417"/>
      <c r="AQ849" s="383"/>
      <c r="AR849" s="507"/>
      <c r="AS849" s="514"/>
      <c r="AT849" s="514"/>
    </row>
    <row r="850">
      <c r="A850" s="382"/>
      <c r="B850" s="417"/>
      <c r="C850" s="383"/>
      <c r="D850" s="507"/>
      <c r="E850" s="382"/>
      <c r="F850" s="417"/>
      <c r="G850" s="383"/>
      <c r="H850" s="507"/>
      <c r="I850" s="382"/>
      <c r="J850" s="417"/>
      <c r="K850" s="383"/>
      <c r="L850" s="507"/>
      <c r="M850" s="382"/>
      <c r="N850" s="417"/>
      <c r="O850" s="383"/>
      <c r="P850" s="507"/>
      <c r="Q850" s="518"/>
      <c r="R850" s="519"/>
      <c r="S850" s="520"/>
      <c r="T850" s="513"/>
      <c r="U850" s="518"/>
      <c r="V850" s="519"/>
      <c r="W850" s="520"/>
      <c r="X850" s="513"/>
      <c r="Y850" s="518"/>
      <c r="Z850" s="519"/>
      <c r="AA850" s="520"/>
      <c r="AB850" s="513"/>
      <c r="AC850" s="518"/>
      <c r="AD850" s="519"/>
      <c r="AE850" s="520"/>
      <c r="AF850" s="513"/>
      <c r="AG850" s="356"/>
      <c r="AH850" s="356"/>
      <c r="AI850" s="356"/>
      <c r="AJ850" s="356"/>
      <c r="AK850" s="382"/>
      <c r="AL850" s="417"/>
      <c r="AM850" s="383"/>
      <c r="AN850" s="507"/>
      <c r="AO850" s="382"/>
      <c r="AP850" s="417"/>
      <c r="AQ850" s="383"/>
      <c r="AR850" s="507"/>
      <c r="AS850" s="514"/>
      <c r="AT850" s="514"/>
    </row>
    <row r="851">
      <c r="A851" s="382"/>
      <c r="B851" s="417"/>
      <c r="C851" s="383"/>
      <c r="D851" s="507"/>
      <c r="E851" s="382"/>
      <c r="F851" s="417"/>
      <c r="G851" s="383"/>
      <c r="H851" s="507"/>
      <c r="I851" s="382"/>
      <c r="J851" s="417"/>
      <c r="K851" s="383"/>
      <c r="L851" s="507"/>
      <c r="M851" s="382"/>
      <c r="N851" s="417"/>
      <c r="O851" s="383"/>
      <c r="P851" s="507"/>
      <c r="Q851" s="518"/>
      <c r="R851" s="519"/>
      <c r="S851" s="520"/>
      <c r="T851" s="513"/>
      <c r="U851" s="518"/>
      <c r="V851" s="519"/>
      <c r="W851" s="520"/>
      <c r="X851" s="513"/>
      <c r="Y851" s="518"/>
      <c r="Z851" s="519"/>
      <c r="AA851" s="520"/>
      <c r="AB851" s="513"/>
      <c r="AC851" s="518"/>
      <c r="AD851" s="519"/>
      <c r="AE851" s="520"/>
      <c r="AF851" s="513"/>
      <c r="AG851" s="356"/>
      <c r="AH851" s="356"/>
      <c r="AI851" s="356"/>
      <c r="AJ851" s="356"/>
      <c r="AK851" s="382"/>
      <c r="AL851" s="417"/>
      <c r="AM851" s="383"/>
      <c r="AN851" s="507"/>
      <c r="AO851" s="382"/>
      <c r="AP851" s="417"/>
      <c r="AQ851" s="383"/>
      <c r="AR851" s="507"/>
      <c r="AS851" s="514"/>
      <c r="AT851" s="514"/>
    </row>
    <row r="852">
      <c r="A852" s="382"/>
      <c r="B852" s="417"/>
      <c r="C852" s="383"/>
      <c r="D852" s="507"/>
      <c r="E852" s="382"/>
      <c r="F852" s="417"/>
      <c r="G852" s="383"/>
      <c r="H852" s="507"/>
      <c r="I852" s="382"/>
      <c r="J852" s="417"/>
      <c r="K852" s="383"/>
      <c r="L852" s="507"/>
      <c r="M852" s="382"/>
      <c r="N852" s="417"/>
      <c r="O852" s="383"/>
      <c r="P852" s="507"/>
      <c r="Q852" s="518"/>
      <c r="R852" s="519"/>
      <c r="S852" s="520"/>
      <c r="T852" s="513"/>
      <c r="U852" s="518"/>
      <c r="V852" s="519"/>
      <c r="W852" s="520"/>
      <c r="X852" s="513"/>
      <c r="Y852" s="518"/>
      <c r="Z852" s="519"/>
      <c r="AA852" s="520"/>
      <c r="AB852" s="513"/>
      <c r="AC852" s="518"/>
      <c r="AD852" s="519"/>
      <c r="AE852" s="520"/>
      <c r="AF852" s="513"/>
      <c r="AG852" s="356"/>
      <c r="AH852" s="356"/>
      <c r="AI852" s="356"/>
      <c r="AJ852" s="356"/>
      <c r="AK852" s="382"/>
      <c r="AL852" s="417"/>
      <c r="AM852" s="383"/>
      <c r="AN852" s="507"/>
      <c r="AO852" s="382"/>
      <c r="AP852" s="417"/>
      <c r="AQ852" s="383"/>
      <c r="AR852" s="507"/>
      <c r="AS852" s="514"/>
      <c r="AT852" s="514"/>
    </row>
    <row r="853">
      <c r="A853" s="382"/>
      <c r="B853" s="417"/>
      <c r="C853" s="383"/>
      <c r="D853" s="507"/>
      <c r="E853" s="382"/>
      <c r="F853" s="417"/>
      <c r="G853" s="383"/>
      <c r="H853" s="507"/>
      <c r="I853" s="382"/>
      <c r="J853" s="417"/>
      <c r="K853" s="383"/>
      <c r="L853" s="507"/>
      <c r="M853" s="382"/>
      <c r="N853" s="417"/>
      <c r="O853" s="383"/>
      <c r="P853" s="507"/>
      <c r="Q853" s="518"/>
      <c r="R853" s="519"/>
      <c r="S853" s="520"/>
      <c r="T853" s="513"/>
      <c r="U853" s="518"/>
      <c r="V853" s="519"/>
      <c r="W853" s="520"/>
      <c r="X853" s="513"/>
      <c r="Y853" s="518"/>
      <c r="Z853" s="519"/>
      <c r="AA853" s="520"/>
      <c r="AB853" s="513"/>
      <c r="AC853" s="518"/>
      <c r="AD853" s="519"/>
      <c r="AE853" s="520"/>
      <c r="AF853" s="513"/>
      <c r="AG853" s="356"/>
      <c r="AH853" s="356"/>
      <c r="AI853" s="356"/>
      <c r="AJ853" s="356"/>
      <c r="AK853" s="382"/>
      <c r="AL853" s="417"/>
      <c r="AM853" s="383"/>
      <c r="AN853" s="507"/>
      <c r="AO853" s="382"/>
      <c r="AP853" s="417"/>
      <c r="AQ853" s="383"/>
      <c r="AR853" s="507"/>
      <c r="AS853" s="514"/>
      <c r="AT853" s="514"/>
    </row>
    <row r="854">
      <c r="A854" s="382"/>
      <c r="B854" s="417"/>
      <c r="C854" s="383"/>
      <c r="D854" s="507"/>
      <c r="E854" s="382"/>
      <c r="F854" s="417"/>
      <c r="G854" s="383"/>
      <c r="H854" s="507"/>
      <c r="I854" s="382"/>
      <c r="J854" s="417"/>
      <c r="K854" s="383"/>
      <c r="L854" s="507"/>
      <c r="M854" s="382"/>
      <c r="N854" s="417"/>
      <c r="O854" s="383"/>
      <c r="P854" s="507"/>
      <c r="Q854" s="518"/>
      <c r="R854" s="519"/>
      <c r="S854" s="520"/>
      <c r="T854" s="513"/>
      <c r="U854" s="518"/>
      <c r="V854" s="519"/>
      <c r="W854" s="520"/>
      <c r="X854" s="513"/>
      <c r="Y854" s="518"/>
      <c r="Z854" s="519"/>
      <c r="AA854" s="520"/>
      <c r="AB854" s="513"/>
      <c r="AC854" s="518"/>
      <c r="AD854" s="519"/>
      <c r="AE854" s="520"/>
      <c r="AF854" s="513"/>
      <c r="AG854" s="356"/>
      <c r="AH854" s="356"/>
      <c r="AI854" s="356"/>
      <c r="AJ854" s="356"/>
      <c r="AK854" s="382"/>
      <c r="AL854" s="417"/>
      <c r="AM854" s="383"/>
      <c r="AN854" s="507"/>
      <c r="AO854" s="382"/>
      <c r="AP854" s="417"/>
      <c r="AQ854" s="383"/>
      <c r="AR854" s="507"/>
      <c r="AS854" s="514"/>
      <c r="AT854" s="514"/>
    </row>
    <row r="855">
      <c r="A855" s="382"/>
      <c r="B855" s="417"/>
      <c r="C855" s="383"/>
      <c r="D855" s="507"/>
      <c r="E855" s="382"/>
      <c r="F855" s="417"/>
      <c r="G855" s="383"/>
      <c r="H855" s="507"/>
      <c r="I855" s="382"/>
      <c r="J855" s="417"/>
      <c r="K855" s="383"/>
      <c r="L855" s="507"/>
      <c r="M855" s="382"/>
      <c r="N855" s="417"/>
      <c r="O855" s="383"/>
      <c r="P855" s="507"/>
      <c r="Q855" s="518"/>
      <c r="R855" s="519"/>
      <c r="S855" s="520"/>
      <c r="T855" s="513"/>
      <c r="U855" s="518"/>
      <c r="V855" s="519"/>
      <c r="W855" s="520"/>
      <c r="X855" s="513"/>
      <c r="Y855" s="518"/>
      <c r="Z855" s="519"/>
      <c r="AA855" s="520"/>
      <c r="AB855" s="513"/>
      <c r="AC855" s="518"/>
      <c r="AD855" s="519"/>
      <c r="AE855" s="520"/>
      <c r="AF855" s="513"/>
      <c r="AG855" s="356"/>
      <c r="AH855" s="356"/>
      <c r="AI855" s="356"/>
      <c r="AJ855" s="356"/>
      <c r="AK855" s="382"/>
      <c r="AL855" s="417"/>
      <c r="AM855" s="383"/>
      <c r="AN855" s="507"/>
      <c r="AO855" s="382"/>
      <c r="AP855" s="417"/>
      <c r="AQ855" s="383"/>
      <c r="AR855" s="507"/>
      <c r="AS855" s="514"/>
      <c r="AT855" s="514"/>
    </row>
    <row r="856">
      <c r="A856" s="382"/>
      <c r="B856" s="417"/>
      <c r="C856" s="383"/>
      <c r="D856" s="507"/>
      <c r="E856" s="382"/>
      <c r="F856" s="417"/>
      <c r="G856" s="383"/>
      <c r="H856" s="507"/>
      <c r="I856" s="382"/>
      <c r="J856" s="417"/>
      <c r="K856" s="383"/>
      <c r="L856" s="507"/>
      <c r="M856" s="382"/>
      <c r="N856" s="417"/>
      <c r="O856" s="383"/>
      <c r="P856" s="507"/>
      <c r="Q856" s="518"/>
      <c r="R856" s="519"/>
      <c r="S856" s="520"/>
      <c r="T856" s="513"/>
      <c r="U856" s="518"/>
      <c r="V856" s="519"/>
      <c r="W856" s="520"/>
      <c r="X856" s="513"/>
      <c r="Y856" s="518"/>
      <c r="Z856" s="519"/>
      <c r="AA856" s="520"/>
      <c r="AB856" s="513"/>
      <c r="AC856" s="518"/>
      <c r="AD856" s="519"/>
      <c r="AE856" s="520"/>
      <c r="AF856" s="513"/>
      <c r="AG856" s="356"/>
      <c r="AH856" s="356"/>
      <c r="AI856" s="356"/>
      <c r="AJ856" s="356"/>
      <c r="AK856" s="382"/>
      <c r="AL856" s="417"/>
      <c r="AM856" s="383"/>
      <c r="AN856" s="507"/>
      <c r="AO856" s="382"/>
      <c r="AP856" s="417"/>
      <c r="AQ856" s="383"/>
      <c r="AR856" s="507"/>
      <c r="AS856" s="514"/>
      <c r="AT856" s="514"/>
    </row>
    <row r="857">
      <c r="A857" s="382"/>
      <c r="B857" s="417"/>
      <c r="C857" s="383"/>
      <c r="D857" s="507"/>
      <c r="E857" s="382"/>
      <c r="F857" s="417"/>
      <c r="G857" s="383"/>
      <c r="H857" s="507"/>
      <c r="I857" s="382"/>
      <c r="J857" s="417"/>
      <c r="K857" s="383"/>
      <c r="L857" s="507"/>
      <c r="M857" s="382"/>
      <c r="N857" s="417"/>
      <c r="O857" s="383"/>
      <c r="P857" s="507"/>
      <c r="Q857" s="518"/>
      <c r="R857" s="519"/>
      <c r="S857" s="520"/>
      <c r="T857" s="513"/>
      <c r="U857" s="518"/>
      <c r="V857" s="519"/>
      <c r="W857" s="520"/>
      <c r="X857" s="513"/>
      <c r="Y857" s="518"/>
      <c r="Z857" s="519"/>
      <c r="AA857" s="520"/>
      <c r="AB857" s="513"/>
      <c r="AC857" s="518"/>
      <c r="AD857" s="519"/>
      <c r="AE857" s="520"/>
      <c r="AF857" s="513"/>
      <c r="AG857" s="356"/>
      <c r="AH857" s="356"/>
      <c r="AI857" s="356"/>
      <c r="AJ857" s="356"/>
      <c r="AK857" s="382"/>
      <c r="AL857" s="417"/>
      <c r="AM857" s="383"/>
      <c r="AN857" s="507"/>
      <c r="AO857" s="382"/>
      <c r="AP857" s="417"/>
      <c r="AQ857" s="383"/>
      <c r="AR857" s="507"/>
      <c r="AS857" s="514"/>
      <c r="AT857" s="514"/>
    </row>
    <row r="858">
      <c r="A858" s="382"/>
      <c r="B858" s="417"/>
      <c r="C858" s="383"/>
      <c r="D858" s="507"/>
      <c r="E858" s="382"/>
      <c r="F858" s="417"/>
      <c r="G858" s="383"/>
      <c r="H858" s="507"/>
      <c r="I858" s="382"/>
      <c r="J858" s="417"/>
      <c r="K858" s="383"/>
      <c r="L858" s="507"/>
      <c r="M858" s="382"/>
      <c r="N858" s="417"/>
      <c r="O858" s="383"/>
      <c r="P858" s="507"/>
      <c r="Q858" s="518"/>
      <c r="R858" s="519"/>
      <c r="S858" s="520"/>
      <c r="T858" s="513"/>
      <c r="U858" s="518"/>
      <c r="V858" s="519"/>
      <c r="W858" s="520"/>
      <c r="X858" s="513"/>
      <c r="Y858" s="518"/>
      <c r="Z858" s="519"/>
      <c r="AA858" s="520"/>
      <c r="AB858" s="513"/>
      <c r="AC858" s="518"/>
      <c r="AD858" s="519"/>
      <c r="AE858" s="520"/>
      <c r="AF858" s="513"/>
      <c r="AG858" s="356"/>
      <c r="AH858" s="356"/>
      <c r="AI858" s="356"/>
      <c r="AJ858" s="356"/>
      <c r="AK858" s="382"/>
      <c r="AL858" s="417"/>
      <c r="AM858" s="383"/>
      <c r="AN858" s="507"/>
      <c r="AO858" s="382"/>
      <c r="AP858" s="417"/>
      <c r="AQ858" s="383"/>
      <c r="AR858" s="507"/>
      <c r="AS858" s="514"/>
      <c r="AT858" s="514"/>
    </row>
    <row r="859">
      <c r="A859" s="382"/>
      <c r="B859" s="417"/>
      <c r="C859" s="383"/>
      <c r="D859" s="507"/>
      <c r="E859" s="382"/>
      <c r="F859" s="417"/>
      <c r="G859" s="383"/>
      <c r="H859" s="507"/>
      <c r="I859" s="382"/>
      <c r="J859" s="417"/>
      <c r="K859" s="383"/>
      <c r="L859" s="507"/>
      <c r="M859" s="382"/>
      <c r="N859" s="417"/>
      <c r="O859" s="383"/>
      <c r="P859" s="507"/>
      <c r="Q859" s="518"/>
      <c r="R859" s="519"/>
      <c r="S859" s="520"/>
      <c r="T859" s="513"/>
      <c r="U859" s="518"/>
      <c r="V859" s="519"/>
      <c r="W859" s="520"/>
      <c r="X859" s="513"/>
      <c r="Y859" s="518"/>
      <c r="Z859" s="519"/>
      <c r="AA859" s="520"/>
      <c r="AB859" s="513"/>
      <c r="AC859" s="518"/>
      <c r="AD859" s="519"/>
      <c r="AE859" s="520"/>
      <c r="AF859" s="513"/>
      <c r="AG859" s="356"/>
      <c r="AH859" s="356"/>
      <c r="AI859" s="356"/>
      <c r="AJ859" s="356"/>
      <c r="AK859" s="382"/>
      <c r="AL859" s="417"/>
      <c r="AM859" s="383"/>
      <c r="AN859" s="507"/>
      <c r="AO859" s="382"/>
      <c r="AP859" s="417"/>
      <c r="AQ859" s="383"/>
      <c r="AR859" s="507"/>
      <c r="AS859" s="514"/>
      <c r="AT859" s="514"/>
    </row>
    <row r="860">
      <c r="A860" s="382"/>
      <c r="B860" s="417"/>
      <c r="C860" s="383"/>
      <c r="D860" s="507"/>
      <c r="E860" s="382"/>
      <c r="F860" s="417"/>
      <c r="G860" s="383"/>
      <c r="H860" s="507"/>
      <c r="I860" s="382"/>
      <c r="J860" s="417"/>
      <c r="K860" s="383"/>
      <c r="L860" s="507"/>
      <c r="M860" s="382"/>
      <c r="N860" s="417"/>
      <c r="O860" s="383"/>
      <c r="P860" s="507"/>
      <c r="Q860" s="518"/>
      <c r="R860" s="519"/>
      <c r="S860" s="520"/>
      <c r="T860" s="513"/>
      <c r="U860" s="518"/>
      <c r="V860" s="519"/>
      <c r="W860" s="520"/>
      <c r="X860" s="513"/>
      <c r="Y860" s="518"/>
      <c r="Z860" s="519"/>
      <c r="AA860" s="520"/>
      <c r="AB860" s="513"/>
      <c r="AC860" s="518"/>
      <c r="AD860" s="519"/>
      <c r="AE860" s="520"/>
      <c r="AF860" s="513"/>
      <c r="AG860" s="356"/>
      <c r="AH860" s="356"/>
      <c r="AI860" s="356"/>
      <c r="AJ860" s="356"/>
      <c r="AK860" s="382"/>
      <c r="AL860" s="417"/>
      <c r="AM860" s="383"/>
      <c r="AN860" s="507"/>
      <c r="AO860" s="382"/>
      <c r="AP860" s="417"/>
      <c r="AQ860" s="383"/>
      <c r="AR860" s="507"/>
      <c r="AS860" s="514"/>
      <c r="AT860" s="514"/>
    </row>
    <row r="861">
      <c r="A861" s="382"/>
      <c r="B861" s="417"/>
      <c r="C861" s="383"/>
      <c r="D861" s="507"/>
      <c r="E861" s="382"/>
      <c r="F861" s="417"/>
      <c r="G861" s="383"/>
      <c r="H861" s="507"/>
      <c r="I861" s="382"/>
      <c r="J861" s="417"/>
      <c r="K861" s="383"/>
      <c r="L861" s="507"/>
      <c r="M861" s="382"/>
      <c r="N861" s="417"/>
      <c r="O861" s="383"/>
      <c r="P861" s="507"/>
      <c r="Q861" s="518"/>
      <c r="R861" s="519"/>
      <c r="S861" s="520"/>
      <c r="T861" s="513"/>
      <c r="U861" s="518"/>
      <c r="V861" s="519"/>
      <c r="W861" s="520"/>
      <c r="X861" s="513"/>
      <c r="Y861" s="518"/>
      <c r="Z861" s="519"/>
      <c r="AA861" s="520"/>
      <c r="AB861" s="513"/>
      <c r="AC861" s="518"/>
      <c r="AD861" s="519"/>
      <c r="AE861" s="520"/>
      <c r="AF861" s="513"/>
      <c r="AG861" s="356"/>
      <c r="AH861" s="356"/>
      <c r="AI861" s="356"/>
      <c r="AJ861" s="356"/>
      <c r="AK861" s="382"/>
      <c r="AL861" s="417"/>
      <c r="AM861" s="383"/>
      <c r="AN861" s="507"/>
      <c r="AO861" s="382"/>
      <c r="AP861" s="417"/>
      <c r="AQ861" s="383"/>
      <c r="AR861" s="507"/>
      <c r="AS861" s="514"/>
      <c r="AT861" s="514"/>
    </row>
    <row r="862">
      <c r="A862" s="382"/>
      <c r="B862" s="417"/>
      <c r="C862" s="383"/>
      <c r="D862" s="507"/>
      <c r="E862" s="382"/>
      <c r="F862" s="417"/>
      <c r="G862" s="383"/>
      <c r="H862" s="507"/>
      <c r="I862" s="382"/>
      <c r="J862" s="417"/>
      <c r="K862" s="383"/>
      <c r="L862" s="507"/>
      <c r="M862" s="382"/>
      <c r="N862" s="417"/>
      <c r="O862" s="383"/>
      <c r="P862" s="507"/>
      <c r="Q862" s="518"/>
      <c r="R862" s="519"/>
      <c r="S862" s="520"/>
      <c r="T862" s="513"/>
      <c r="U862" s="518"/>
      <c r="V862" s="519"/>
      <c r="W862" s="520"/>
      <c r="X862" s="513"/>
      <c r="Y862" s="518"/>
      <c r="Z862" s="519"/>
      <c r="AA862" s="520"/>
      <c r="AB862" s="513"/>
      <c r="AC862" s="518"/>
      <c r="AD862" s="519"/>
      <c r="AE862" s="520"/>
      <c r="AF862" s="513"/>
      <c r="AG862" s="356"/>
      <c r="AH862" s="356"/>
      <c r="AI862" s="356"/>
      <c r="AJ862" s="356"/>
      <c r="AK862" s="382"/>
      <c r="AL862" s="417"/>
      <c r="AM862" s="383"/>
      <c r="AN862" s="507"/>
      <c r="AO862" s="382"/>
      <c r="AP862" s="417"/>
      <c r="AQ862" s="383"/>
      <c r="AR862" s="507"/>
      <c r="AS862" s="514"/>
      <c r="AT862" s="514"/>
    </row>
    <row r="863">
      <c r="A863" s="382"/>
      <c r="B863" s="417"/>
      <c r="C863" s="383"/>
      <c r="D863" s="507"/>
      <c r="E863" s="382"/>
      <c r="F863" s="417"/>
      <c r="G863" s="383"/>
      <c r="H863" s="507"/>
      <c r="I863" s="382"/>
      <c r="J863" s="417"/>
      <c r="K863" s="383"/>
      <c r="L863" s="507"/>
      <c r="M863" s="382"/>
      <c r="N863" s="417"/>
      <c r="O863" s="383"/>
      <c r="P863" s="507"/>
      <c r="Q863" s="518"/>
      <c r="R863" s="519"/>
      <c r="S863" s="520"/>
      <c r="T863" s="513"/>
      <c r="U863" s="518"/>
      <c r="V863" s="519"/>
      <c r="W863" s="520"/>
      <c r="X863" s="513"/>
      <c r="Y863" s="518"/>
      <c r="Z863" s="519"/>
      <c r="AA863" s="520"/>
      <c r="AB863" s="513"/>
      <c r="AC863" s="518"/>
      <c r="AD863" s="519"/>
      <c r="AE863" s="520"/>
      <c r="AF863" s="513"/>
      <c r="AG863" s="356"/>
      <c r="AH863" s="356"/>
      <c r="AI863" s="356"/>
      <c r="AJ863" s="356"/>
      <c r="AK863" s="382"/>
      <c r="AL863" s="417"/>
      <c r="AM863" s="383"/>
      <c r="AN863" s="507"/>
      <c r="AO863" s="382"/>
      <c r="AP863" s="417"/>
      <c r="AQ863" s="383"/>
      <c r="AR863" s="507"/>
      <c r="AS863" s="514"/>
      <c r="AT863" s="514"/>
    </row>
    <row r="864">
      <c r="A864" s="382"/>
      <c r="B864" s="417"/>
      <c r="C864" s="383"/>
      <c r="D864" s="507"/>
      <c r="E864" s="382"/>
      <c r="F864" s="417"/>
      <c r="G864" s="383"/>
      <c r="H864" s="507"/>
      <c r="I864" s="382"/>
      <c r="J864" s="417"/>
      <c r="K864" s="383"/>
      <c r="L864" s="507"/>
      <c r="M864" s="382"/>
      <c r="N864" s="417"/>
      <c r="O864" s="383"/>
      <c r="P864" s="507"/>
      <c r="Q864" s="518"/>
      <c r="R864" s="519"/>
      <c r="S864" s="520"/>
      <c r="T864" s="513"/>
      <c r="U864" s="518"/>
      <c r="V864" s="519"/>
      <c r="W864" s="520"/>
      <c r="X864" s="513"/>
      <c r="Y864" s="518"/>
      <c r="Z864" s="519"/>
      <c r="AA864" s="520"/>
      <c r="AB864" s="513"/>
      <c r="AC864" s="518"/>
      <c r="AD864" s="519"/>
      <c r="AE864" s="520"/>
      <c r="AF864" s="513"/>
      <c r="AG864" s="356"/>
      <c r="AH864" s="356"/>
      <c r="AI864" s="356"/>
      <c r="AJ864" s="356"/>
      <c r="AK864" s="382"/>
      <c r="AL864" s="417"/>
      <c r="AM864" s="383"/>
      <c r="AN864" s="507"/>
      <c r="AO864" s="382"/>
      <c r="AP864" s="417"/>
      <c r="AQ864" s="383"/>
      <c r="AR864" s="507"/>
      <c r="AS864" s="514"/>
      <c r="AT864" s="514"/>
    </row>
    <row r="865">
      <c r="A865" s="382"/>
      <c r="B865" s="417"/>
      <c r="C865" s="383"/>
      <c r="D865" s="507"/>
      <c r="E865" s="382"/>
      <c r="F865" s="417"/>
      <c r="G865" s="383"/>
      <c r="H865" s="507"/>
      <c r="I865" s="382"/>
      <c r="J865" s="417"/>
      <c r="K865" s="383"/>
      <c r="L865" s="507"/>
      <c r="M865" s="382"/>
      <c r="N865" s="417"/>
      <c r="O865" s="383"/>
      <c r="P865" s="507"/>
      <c r="Q865" s="518"/>
      <c r="R865" s="519"/>
      <c r="S865" s="520"/>
      <c r="T865" s="513"/>
      <c r="U865" s="518"/>
      <c r="V865" s="519"/>
      <c r="W865" s="520"/>
      <c r="X865" s="513"/>
      <c r="Y865" s="518"/>
      <c r="Z865" s="519"/>
      <c r="AA865" s="520"/>
      <c r="AB865" s="513"/>
      <c r="AC865" s="518"/>
      <c r="AD865" s="519"/>
      <c r="AE865" s="520"/>
      <c r="AF865" s="513"/>
      <c r="AG865" s="356"/>
      <c r="AH865" s="356"/>
      <c r="AI865" s="356"/>
      <c r="AJ865" s="356"/>
      <c r="AK865" s="382"/>
      <c r="AL865" s="417"/>
      <c r="AM865" s="383"/>
      <c r="AN865" s="507"/>
      <c r="AO865" s="382"/>
      <c r="AP865" s="417"/>
      <c r="AQ865" s="383"/>
      <c r="AR865" s="507"/>
      <c r="AS865" s="514"/>
      <c r="AT865" s="514"/>
    </row>
    <row r="866">
      <c r="A866" s="382"/>
      <c r="B866" s="417"/>
      <c r="C866" s="383"/>
      <c r="D866" s="507"/>
      <c r="E866" s="382"/>
      <c r="F866" s="417"/>
      <c r="G866" s="383"/>
      <c r="H866" s="507"/>
      <c r="I866" s="382"/>
      <c r="J866" s="417"/>
      <c r="K866" s="383"/>
      <c r="L866" s="507"/>
      <c r="M866" s="382"/>
      <c r="N866" s="417"/>
      <c r="O866" s="383"/>
      <c r="P866" s="507"/>
      <c r="Q866" s="518"/>
      <c r="R866" s="519"/>
      <c r="S866" s="520"/>
      <c r="T866" s="513"/>
      <c r="U866" s="518"/>
      <c r="V866" s="519"/>
      <c r="W866" s="520"/>
      <c r="X866" s="513"/>
      <c r="Y866" s="518"/>
      <c r="Z866" s="519"/>
      <c r="AA866" s="520"/>
      <c r="AB866" s="513"/>
      <c r="AC866" s="518"/>
      <c r="AD866" s="519"/>
      <c r="AE866" s="520"/>
      <c r="AF866" s="513"/>
      <c r="AG866" s="356"/>
      <c r="AH866" s="356"/>
      <c r="AI866" s="356"/>
      <c r="AJ866" s="356"/>
      <c r="AK866" s="382"/>
      <c r="AL866" s="417"/>
      <c r="AM866" s="383"/>
      <c r="AN866" s="507"/>
      <c r="AO866" s="382"/>
      <c r="AP866" s="417"/>
      <c r="AQ866" s="383"/>
      <c r="AR866" s="507"/>
      <c r="AS866" s="514"/>
      <c r="AT866" s="514"/>
    </row>
    <row r="867">
      <c r="A867" s="382"/>
      <c r="B867" s="417"/>
      <c r="C867" s="383"/>
      <c r="D867" s="507"/>
      <c r="E867" s="382"/>
      <c r="F867" s="417"/>
      <c r="G867" s="383"/>
      <c r="H867" s="507"/>
      <c r="I867" s="382"/>
      <c r="J867" s="417"/>
      <c r="K867" s="383"/>
      <c r="L867" s="507"/>
      <c r="M867" s="382"/>
      <c r="N867" s="417"/>
      <c r="O867" s="383"/>
      <c r="P867" s="507"/>
      <c r="Q867" s="518"/>
      <c r="R867" s="519"/>
      <c r="S867" s="520"/>
      <c r="T867" s="513"/>
      <c r="U867" s="518"/>
      <c r="V867" s="519"/>
      <c r="W867" s="520"/>
      <c r="X867" s="513"/>
      <c r="Y867" s="518"/>
      <c r="Z867" s="519"/>
      <c r="AA867" s="520"/>
      <c r="AB867" s="513"/>
      <c r="AC867" s="518"/>
      <c r="AD867" s="519"/>
      <c r="AE867" s="520"/>
      <c r="AF867" s="513"/>
      <c r="AG867" s="356"/>
      <c r="AH867" s="356"/>
      <c r="AI867" s="356"/>
      <c r="AJ867" s="356"/>
      <c r="AK867" s="382"/>
      <c r="AL867" s="417"/>
      <c r="AM867" s="383"/>
      <c r="AN867" s="507"/>
      <c r="AO867" s="382"/>
      <c r="AP867" s="417"/>
      <c r="AQ867" s="383"/>
      <c r="AR867" s="507"/>
      <c r="AS867" s="514"/>
      <c r="AT867" s="514"/>
    </row>
    <row r="868">
      <c r="A868" s="382"/>
      <c r="B868" s="417"/>
      <c r="C868" s="383"/>
      <c r="D868" s="507"/>
      <c r="E868" s="382"/>
      <c r="F868" s="417"/>
      <c r="G868" s="383"/>
      <c r="H868" s="507"/>
      <c r="I868" s="382"/>
      <c r="J868" s="417"/>
      <c r="K868" s="383"/>
      <c r="L868" s="507"/>
      <c r="M868" s="382"/>
      <c r="N868" s="417"/>
      <c r="O868" s="383"/>
      <c r="P868" s="507"/>
      <c r="Q868" s="518"/>
      <c r="R868" s="519"/>
      <c r="S868" s="520"/>
      <c r="T868" s="513"/>
      <c r="U868" s="518"/>
      <c r="V868" s="519"/>
      <c r="W868" s="520"/>
      <c r="X868" s="513"/>
      <c r="Y868" s="518"/>
      <c r="Z868" s="519"/>
      <c r="AA868" s="520"/>
      <c r="AB868" s="513"/>
      <c r="AC868" s="518"/>
      <c r="AD868" s="519"/>
      <c r="AE868" s="520"/>
      <c r="AF868" s="513"/>
      <c r="AG868" s="356"/>
      <c r="AH868" s="356"/>
      <c r="AI868" s="356"/>
      <c r="AJ868" s="356"/>
      <c r="AK868" s="382"/>
      <c r="AL868" s="417"/>
      <c r="AM868" s="383"/>
      <c r="AN868" s="507"/>
      <c r="AO868" s="382"/>
      <c r="AP868" s="417"/>
      <c r="AQ868" s="383"/>
      <c r="AR868" s="507"/>
      <c r="AS868" s="514"/>
      <c r="AT868" s="514"/>
    </row>
    <row r="869">
      <c r="A869" s="382"/>
      <c r="B869" s="417"/>
      <c r="C869" s="383"/>
      <c r="D869" s="507"/>
      <c r="E869" s="382"/>
      <c r="F869" s="417"/>
      <c r="G869" s="383"/>
      <c r="H869" s="507"/>
      <c r="I869" s="382"/>
      <c r="J869" s="417"/>
      <c r="K869" s="383"/>
      <c r="L869" s="507"/>
      <c r="M869" s="382"/>
      <c r="N869" s="417"/>
      <c r="O869" s="383"/>
      <c r="P869" s="507"/>
      <c r="Q869" s="518"/>
      <c r="R869" s="519"/>
      <c r="S869" s="520"/>
      <c r="T869" s="513"/>
      <c r="U869" s="518"/>
      <c r="V869" s="519"/>
      <c r="W869" s="520"/>
      <c r="X869" s="513"/>
      <c r="Y869" s="518"/>
      <c r="Z869" s="519"/>
      <c r="AA869" s="520"/>
      <c r="AB869" s="513"/>
      <c r="AC869" s="518"/>
      <c r="AD869" s="519"/>
      <c r="AE869" s="520"/>
      <c r="AF869" s="513"/>
      <c r="AG869" s="356"/>
      <c r="AH869" s="356"/>
      <c r="AI869" s="356"/>
      <c r="AJ869" s="356"/>
      <c r="AK869" s="382"/>
      <c r="AL869" s="417"/>
      <c r="AM869" s="383"/>
      <c r="AN869" s="507"/>
      <c r="AO869" s="382"/>
      <c r="AP869" s="417"/>
      <c r="AQ869" s="383"/>
      <c r="AR869" s="507"/>
      <c r="AS869" s="514"/>
      <c r="AT869" s="514"/>
    </row>
    <row r="870">
      <c r="A870" s="382"/>
      <c r="B870" s="417"/>
      <c r="C870" s="383"/>
      <c r="D870" s="507"/>
      <c r="E870" s="382"/>
      <c r="F870" s="417"/>
      <c r="G870" s="383"/>
      <c r="H870" s="507"/>
      <c r="I870" s="382"/>
      <c r="J870" s="417"/>
      <c r="K870" s="383"/>
      <c r="L870" s="507"/>
      <c r="M870" s="382"/>
      <c r="N870" s="417"/>
      <c r="O870" s="383"/>
      <c r="P870" s="507"/>
      <c r="Q870" s="518"/>
      <c r="R870" s="519"/>
      <c r="S870" s="520"/>
      <c r="T870" s="513"/>
      <c r="U870" s="518"/>
      <c r="V870" s="519"/>
      <c r="W870" s="520"/>
      <c r="X870" s="513"/>
      <c r="Y870" s="518"/>
      <c r="Z870" s="519"/>
      <c r="AA870" s="520"/>
      <c r="AB870" s="513"/>
      <c r="AC870" s="518"/>
      <c r="AD870" s="519"/>
      <c r="AE870" s="520"/>
      <c r="AF870" s="513"/>
      <c r="AG870" s="356"/>
      <c r="AH870" s="356"/>
      <c r="AI870" s="356"/>
      <c r="AJ870" s="356"/>
      <c r="AK870" s="382"/>
      <c r="AL870" s="417"/>
      <c r="AM870" s="383"/>
      <c r="AN870" s="507"/>
      <c r="AO870" s="382"/>
      <c r="AP870" s="417"/>
      <c r="AQ870" s="383"/>
      <c r="AR870" s="507"/>
      <c r="AS870" s="514"/>
      <c r="AT870" s="514"/>
    </row>
    <row r="871">
      <c r="A871" s="382"/>
      <c r="B871" s="417"/>
      <c r="C871" s="383"/>
      <c r="D871" s="507"/>
      <c r="E871" s="382"/>
      <c r="F871" s="417"/>
      <c r="G871" s="383"/>
      <c r="H871" s="507"/>
      <c r="I871" s="382"/>
      <c r="J871" s="417"/>
      <c r="K871" s="383"/>
      <c r="L871" s="507"/>
      <c r="M871" s="382"/>
      <c r="N871" s="417"/>
      <c r="O871" s="383"/>
      <c r="P871" s="507"/>
      <c r="Q871" s="518"/>
      <c r="R871" s="519"/>
      <c r="S871" s="520"/>
      <c r="T871" s="513"/>
      <c r="U871" s="518"/>
      <c r="V871" s="519"/>
      <c r="W871" s="520"/>
      <c r="X871" s="513"/>
      <c r="Y871" s="518"/>
      <c r="Z871" s="519"/>
      <c r="AA871" s="520"/>
      <c r="AB871" s="513"/>
      <c r="AC871" s="518"/>
      <c r="AD871" s="519"/>
      <c r="AE871" s="520"/>
      <c r="AF871" s="513"/>
      <c r="AG871" s="356"/>
      <c r="AH871" s="356"/>
      <c r="AI871" s="356"/>
      <c r="AJ871" s="356"/>
      <c r="AK871" s="382"/>
      <c r="AL871" s="417"/>
      <c r="AM871" s="383"/>
      <c r="AN871" s="507"/>
      <c r="AO871" s="382"/>
      <c r="AP871" s="417"/>
      <c r="AQ871" s="383"/>
      <c r="AR871" s="507"/>
      <c r="AS871" s="514"/>
      <c r="AT871" s="514"/>
    </row>
    <row r="872">
      <c r="A872" s="382"/>
      <c r="B872" s="417"/>
      <c r="C872" s="383"/>
      <c r="D872" s="507"/>
      <c r="E872" s="382"/>
      <c r="F872" s="417"/>
      <c r="G872" s="383"/>
      <c r="H872" s="507"/>
      <c r="I872" s="382"/>
      <c r="J872" s="417"/>
      <c r="K872" s="383"/>
      <c r="L872" s="507"/>
      <c r="M872" s="382"/>
      <c r="N872" s="417"/>
      <c r="O872" s="383"/>
      <c r="P872" s="507"/>
      <c r="Q872" s="518"/>
      <c r="R872" s="519"/>
      <c r="S872" s="520"/>
      <c r="T872" s="513"/>
      <c r="U872" s="518"/>
      <c r="V872" s="519"/>
      <c r="W872" s="520"/>
      <c r="X872" s="513"/>
      <c r="Y872" s="518"/>
      <c r="Z872" s="519"/>
      <c r="AA872" s="520"/>
      <c r="AB872" s="513"/>
      <c r="AC872" s="518"/>
      <c r="AD872" s="519"/>
      <c r="AE872" s="520"/>
      <c r="AF872" s="513"/>
      <c r="AG872" s="356"/>
      <c r="AH872" s="356"/>
      <c r="AI872" s="356"/>
      <c r="AJ872" s="356"/>
      <c r="AK872" s="382"/>
      <c r="AL872" s="417"/>
      <c r="AM872" s="383"/>
      <c r="AN872" s="507"/>
      <c r="AO872" s="382"/>
      <c r="AP872" s="417"/>
      <c r="AQ872" s="383"/>
      <c r="AR872" s="507"/>
      <c r="AS872" s="514"/>
      <c r="AT872" s="514"/>
    </row>
    <row r="873">
      <c r="A873" s="382"/>
      <c r="B873" s="417"/>
      <c r="C873" s="383"/>
      <c r="D873" s="507"/>
      <c r="E873" s="382"/>
      <c r="F873" s="417"/>
      <c r="G873" s="383"/>
      <c r="H873" s="507"/>
      <c r="I873" s="382"/>
      <c r="J873" s="417"/>
      <c r="K873" s="383"/>
      <c r="L873" s="507"/>
      <c r="M873" s="382"/>
      <c r="N873" s="417"/>
      <c r="O873" s="383"/>
      <c r="P873" s="507"/>
      <c r="Q873" s="518"/>
      <c r="R873" s="519"/>
      <c r="S873" s="520"/>
      <c r="T873" s="513"/>
      <c r="U873" s="518"/>
      <c r="V873" s="519"/>
      <c r="W873" s="520"/>
      <c r="X873" s="513"/>
      <c r="Y873" s="518"/>
      <c r="Z873" s="519"/>
      <c r="AA873" s="520"/>
      <c r="AB873" s="513"/>
      <c r="AC873" s="518"/>
      <c r="AD873" s="519"/>
      <c r="AE873" s="520"/>
      <c r="AF873" s="513"/>
      <c r="AG873" s="356"/>
      <c r="AH873" s="356"/>
      <c r="AI873" s="356"/>
      <c r="AJ873" s="356"/>
      <c r="AK873" s="382"/>
      <c r="AL873" s="417"/>
      <c r="AM873" s="383"/>
      <c r="AN873" s="507"/>
      <c r="AO873" s="382"/>
      <c r="AP873" s="417"/>
      <c r="AQ873" s="383"/>
      <c r="AR873" s="507"/>
      <c r="AS873" s="514"/>
      <c r="AT873" s="514"/>
    </row>
    <row r="874">
      <c r="A874" s="382"/>
      <c r="B874" s="417"/>
      <c r="C874" s="383"/>
      <c r="D874" s="507"/>
      <c r="E874" s="382"/>
      <c r="F874" s="417"/>
      <c r="G874" s="383"/>
      <c r="H874" s="507"/>
      <c r="I874" s="382"/>
      <c r="J874" s="417"/>
      <c r="K874" s="383"/>
      <c r="L874" s="507"/>
      <c r="M874" s="382"/>
      <c r="N874" s="417"/>
      <c r="O874" s="383"/>
      <c r="P874" s="507"/>
      <c r="Q874" s="518"/>
      <c r="R874" s="519"/>
      <c r="S874" s="520"/>
      <c r="T874" s="513"/>
      <c r="U874" s="518"/>
      <c r="V874" s="519"/>
      <c r="W874" s="520"/>
      <c r="X874" s="513"/>
      <c r="Y874" s="518"/>
      <c r="Z874" s="519"/>
      <c r="AA874" s="520"/>
      <c r="AB874" s="513"/>
      <c r="AC874" s="518"/>
      <c r="AD874" s="519"/>
      <c r="AE874" s="520"/>
      <c r="AF874" s="513"/>
      <c r="AG874" s="356"/>
      <c r="AH874" s="356"/>
      <c r="AI874" s="356"/>
      <c r="AJ874" s="356"/>
      <c r="AK874" s="382"/>
      <c r="AL874" s="417"/>
      <c r="AM874" s="383"/>
      <c r="AN874" s="507"/>
      <c r="AO874" s="382"/>
      <c r="AP874" s="417"/>
      <c r="AQ874" s="383"/>
      <c r="AR874" s="507"/>
      <c r="AS874" s="514"/>
      <c r="AT874" s="514"/>
    </row>
    <row r="875">
      <c r="A875" s="382"/>
      <c r="B875" s="417"/>
      <c r="C875" s="383"/>
      <c r="D875" s="507"/>
      <c r="E875" s="382"/>
      <c r="F875" s="417"/>
      <c r="G875" s="383"/>
      <c r="H875" s="507"/>
      <c r="I875" s="382"/>
      <c r="J875" s="417"/>
      <c r="K875" s="383"/>
      <c r="L875" s="507"/>
      <c r="M875" s="382"/>
      <c r="N875" s="417"/>
      <c r="O875" s="383"/>
      <c r="P875" s="507"/>
      <c r="Q875" s="518"/>
      <c r="R875" s="519"/>
      <c r="S875" s="520"/>
      <c r="T875" s="513"/>
      <c r="U875" s="518"/>
      <c r="V875" s="519"/>
      <c r="W875" s="520"/>
      <c r="X875" s="513"/>
      <c r="Y875" s="518"/>
      <c r="Z875" s="519"/>
      <c r="AA875" s="520"/>
      <c r="AB875" s="513"/>
      <c r="AC875" s="518"/>
      <c r="AD875" s="519"/>
      <c r="AE875" s="520"/>
      <c r="AF875" s="513"/>
      <c r="AG875" s="356"/>
      <c r="AH875" s="356"/>
      <c r="AI875" s="356"/>
      <c r="AJ875" s="356"/>
      <c r="AK875" s="382"/>
      <c r="AL875" s="417"/>
      <c r="AM875" s="383"/>
      <c r="AN875" s="507"/>
      <c r="AO875" s="382"/>
      <c r="AP875" s="417"/>
      <c r="AQ875" s="383"/>
      <c r="AR875" s="507"/>
      <c r="AS875" s="514"/>
      <c r="AT875" s="514"/>
    </row>
    <row r="876">
      <c r="A876" s="382"/>
      <c r="B876" s="417"/>
      <c r="C876" s="383"/>
      <c r="D876" s="507"/>
      <c r="E876" s="382"/>
      <c r="F876" s="417"/>
      <c r="G876" s="383"/>
      <c r="H876" s="507"/>
      <c r="I876" s="382"/>
      <c r="J876" s="417"/>
      <c r="K876" s="383"/>
      <c r="L876" s="507"/>
      <c r="M876" s="382"/>
      <c r="N876" s="417"/>
      <c r="O876" s="383"/>
      <c r="P876" s="507"/>
      <c r="Q876" s="518"/>
      <c r="R876" s="519"/>
      <c r="S876" s="520"/>
      <c r="T876" s="513"/>
      <c r="U876" s="518"/>
      <c r="V876" s="519"/>
      <c r="W876" s="520"/>
      <c r="X876" s="513"/>
      <c r="Y876" s="518"/>
      <c r="Z876" s="519"/>
      <c r="AA876" s="520"/>
      <c r="AB876" s="513"/>
      <c r="AC876" s="518"/>
      <c r="AD876" s="519"/>
      <c r="AE876" s="520"/>
      <c r="AF876" s="513"/>
      <c r="AG876" s="356"/>
      <c r="AH876" s="356"/>
      <c r="AI876" s="356"/>
      <c r="AJ876" s="356"/>
      <c r="AK876" s="382"/>
      <c r="AL876" s="417"/>
      <c r="AM876" s="383"/>
      <c r="AN876" s="507"/>
      <c r="AO876" s="382"/>
      <c r="AP876" s="417"/>
      <c r="AQ876" s="383"/>
      <c r="AR876" s="507"/>
      <c r="AS876" s="514"/>
      <c r="AT876" s="514"/>
    </row>
    <row r="877">
      <c r="A877" s="382"/>
      <c r="B877" s="417"/>
      <c r="C877" s="383"/>
      <c r="D877" s="507"/>
      <c r="E877" s="382"/>
      <c r="F877" s="417"/>
      <c r="G877" s="383"/>
      <c r="H877" s="507"/>
      <c r="I877" s="382"/>
      <c r="J877" s="417"/>
      <c r="K877" s="383"/>
      <c r="L877" s="507"/>
      <c r="M877" s="382"/>
      <c r="N877" s="417"/>
      <c r="O877" s="383"/>
      <c r="P877" s="507"/>
      <c r="Q877" s="518"/>
      <c r="R877" s="519"/>
      <c r="S877" s="520"/>
      <c r="T877" s="513"/>
      <c r="U877" s="518"/>
      <c r="V877" s="519"/>
      <c r="W877" s="520"/>
      <c r="X877" s="513"/>
      <c r="Y877" s="518"/>
      <c r="Z877" s="519"/>
      <c r="AA877" s="520"/>
      <c r="AB877" s="513"/>
      <c r="AC877" s="518"/>
      <c r="AD877" s="519"/>
      <c r="AE877" s="520"/>
      <c r="AF877" s="513"/>
      <c r="AG877" s="356"/>
      <c r="AH877" s="356"/>
      <c r="AI877" s="356"/>
      <c r="AJ877" s="356"/>
      <c r="AK877" s="382"/>
      <c r="AL877" s="417"/>
      <c r="AM877" s="383"/>
      <c r="AN877" s="507"/>
      <c r="AO877" s="382"/>
      <c r="AP877" s="417"/>
      <c r="AQ877" s="383"/>
      <c r="AR877" s="507"/>
      <c r="AS877" s="514"/>
      <c r="AT877" s="514"/>
    </row>
    <row r="878">
      <c r="A878" s="382"/>
      <c r="B878" s="417"/>
      <c r="C878" s="383"/>
      <c r="D878" s="507"/>
      <c r="E878" s="382"/>
      <c r="F878" s="417"/>
      <c r="G878" s="383"/>
      <c r="H878" s="507"/>
      <c r="I878" s="382"/>
      <c r="J878" s="417"/>
      <c r="K878" s="383"/>
      <c r="L878" s="507"/>
      <c r="M878" s="382"/>
      <c r="N878" s="417"/>
      <c r="O878" s="383"/>
      <c r="P878" s="507"/>
      <c r="Q878" s="518"/>
      <c r="R878" s="519"/>
      <c r="S878" s="520"/>
      <c r="T878" s="513"/>
      <c r="U878" s="518"/>
      <c r="V878" s="519"/>
      <c r="W878" s="520"/>
      <c r="X878" s="513"/>
      <c r="Y878" s="518"/>
      <c r="Z878" s="519"/>
      <c r="AA878" s="520"/>
      <c r="AB878" s="513"/>
      <c r="AC878" s="518"/>
      <c r="AD878" s="519"/>
      <c r="AE878" s="520"/>
      <c r="AF878" s="513"/>
      <c r="AG878" s="356"/>
      <c r="AH878" s="356"/>
      <c r="AI878" s="356"/>
      <c r="AJ878" s="356"/>
      <c r="AK878" s="382"/>
      <c r="AL878" s="417"/>
      <c r="AM878" s="383"/>
      <c r="AN878" s="507"/>
      <c r="AO878" s="382"/>
      <c r="AP878" s="417"/>
      <c r="AQ878" s="383"/>
      <c r="AR878" s="507"/>
      <c r="AS878" s="514"/>
      <c r="AT878" s="514"/>
    </row>
    <row r="879">
      <c r="A879" s="382"/>
      <c r="B879" s="417"/>
      <c r="C879" s="383"/>
      <c r="D879" s="507"/>
      <c r="E879" s="382"/>
      <c r="F879" s="417"/>
      <c r="G879" s="383"/>
      <c r="H879" s="507"/>
      <c r="I879" s="382"/>
      <c r="J879" s="417"/>
      <c r="K879" s="383"/>
      <c r="L879" s="507"/>
      <c r="M879" s="382"/>
      <c r="N879" s="417"/>
      <c r="O879" s="383"/>
      <c r="P879" s="507"/>
      <c r="Q879" s="518"/>
      <c r="R879" s="519"/>
      <c r="S879" s="520"/>
      <c r="T879" s="513"/>
      <c r="U879" s="518"/>
      <c r="V879" s="519"/>
      <c r="W879" s="520"/>
      <c r="X879" s="513"/>
      <c r="Y879" s="518"/>
      <c r="Z879" s="519"/>
      <c r="AA879" s="520"/>
      <c r="AB879" s="513"/>
      <c r="AC879" s="518"/>
      <c r="AD879" s="519"/>
      <c r="AE879" s="520"/>
      <c r="AF879" s="513"/>
      <c r="AG879" s="356"/>
      <c r="AH879" s="356"/>
      <c r="AI879" s="356"/>
      <c r="AJ879" s="356"/>
      <c r="AK879" s="382"/>
      <c r="AL879" s="417"/>
      <c r="AM879" s="383"/>
      <c r="AN879" s="507"/>
      <c r="AO879" s="382"/>
      <c r="AP879" s="417"/>
      <c r="AQ879" s="383"/>
      <c r="AR879" s="507"/>
      <c r="AS879" s="514"/>
      <c r="AT879" s="514"/>
    </row>
    <row r="880">
      <c r="A880" s="382"/>
      <c r="B880" s="417"/>
      <c r="C880" s="383"/>
      <c r="D880" s="507"/>
      <c r="E880" s="382"/>
      <c r="F880" s="417"/>
      <c r="G880" s="383"/>
      <c r="H880" s="507"/>
      <c r="I880" s="382"/>
      <c r="J880" s="417"/>
      <c r="K880" s="383"/>
      <c r="L880" s="507"/>
      <c r="M880" s="382"/>
      <c r="N880" s="417"/>
      <c r="O880" s="383"/>
      <c r="P880" s="507"/>
      <c r="Q880" s="518"/>
      <c r="R880" s="519"/>
      <c r="S880" s="520"/>
      <c r="T880" s="513"/>
      <c r="U880" s="518"/>
      <c r="V880" s="519"/>
      <c r="W880" s="520"/>
      <c r="X880" s="513"/>
      <c r="Y880" s="518"/>
      <c r="Z880" s="519"/>
      <c r="AA880" s="520"/>
      <c r="AB880" s="513"/>
      <c r="AC880" s="518"/>
      <c r="AD880" s="519"/>
      <c r="AE880" s="520"/>
      <c r="AF880" s="513"/>
      <c r="AG880" s="356"/>
      <c r="AH880" s="356"/>
      <c r="AI880" s="356"/>
      <c r="AJ880" s="356"/>
      <c r="AK880" s="382"/>
      <c r="AL880" s="417"/>
      <c r="AM880" s="383"/>
      <c r="AN880" s="507"/>
      <c r="AO880" s="382"/>
      <c r="AP880" s="417"/>
      <c r="AQ880" s="383"/>
      <c r="AR880" s="507"/>
      <c r="AS880" s="514"/>
      <c r="AT880" s="514"/>
    </row>
    <row r="881">
      <c r="A881" s="382"/>
      <c r="B881" s="417"/>
      <c r="C881" s="383"/>
      <c r="D881" s="507"/>
      <c r="E881" s="382"/>
      <c r="F881" s="417"/>
      <c r="G881" s="383"/>
      <c r="H881" s="507"/>
      <c r="I881" s="382"/>
      <c r="J881" s="417"/>
      <c r="K881" s="383"/>
      <c r="L881" s="507"/>
      <c r="M881" s="382"/>
      <c r="N881" s="417"/>
      <c r="O881" s="383"/>
      <c r="P881" s="507"/>
      <c r="Q881" s="518"/>
      <c r="R881" s="519"/>
      <c r="S881" s="520"/>
      <c r="T881" s="513"/>
      <c r="U881" s="518"/>
      <c r="V881" s="519"/>
      <c r="W881" s="520"/>
      <c r="X881" s="513"/>
      <c r="Y881" s="518"/>
      <c r="Z881" s="519"/>
      <c r="AA881" s="520"/>
      <c r="AB881" s="513"/>
      <c r="AC881" s="518"/>
      <c r="AD881" s="519"/>
      <c r="AE881" s="520"/>
      <c r="AF881" s="513"/>
      <c r="AG881" s="356"/>
      <c r="AH881" s="356"/>
      <c r="AI881" s="356"/>
      <c r="AJ881" s="356"/>
      <c r="AK881" s="382"/>
      <c r="AL881" s="417"/>
      <c r="AM881" s="383"/>
      <c r="AN881" s="507"/>
      <c r="AO881" s="382"/>
      <c r="AP881" s="417"/>
      <c r="AQ881" s="383"/>
      <c r="AR881" s="507"/>
      <c r="AS881" s="514"/>
      <c r="AT881" s="514"/>
    </row>
    <row r="882">
      <c r="A882" s="382"/>
      <c r="B882" s="417"/>
      <c r="C882" s="383"/>
      <c r="D882" s="507"/>
      <c r="E882" s="382"/>
      <c r="F882" s="417"/>
      <c r="G882" s="383"/>
      <c r="H882" s="507"/>
      <c r="I882" s="382"/>
      <c r="J882" s="417"/>
      <c r="K882" s="383"/>
      <c r="L882" s="507"/>
      <c r="M882" s="382"/>
      <c r="N882" s="417"/>
      <c r="O882" s="383"/>
      <c r="P882" s="507"/>
      <c r="Q882" s="518"/>
      <c r="R882" s="519"/>
      <c r="S882" s="520"/>
      <c r="T882" s="513"/>
      <c r="U882" s="518"/>
      <c r="V882" s="519"/>
      <c r="W882" s="520"/>
      <c r="X882" s="513"/>
      <c r="Y882" s="518"/>
      <c r="Z882" s="519"/>
      <c r="AA882" s="520"/>
      <c r="AB882" s="513"/>
      <c r="AC882" s="518"/>
      <c r="AD882" s="519"/>
      <c r="AE882" s="520"/>
      <c r="AF882" s="513"/>
      <c r="AG882" s="356"/>
      <c r="AH882" s="356"/>
      <c r="AI882" s="356"/>
      <c r="AJ882" s="356"/>
      <c r="AK882" s="382"/>
      <c r="AL882" s="417"/>
      <c r="AM882" s="383"/>
      <c r="AN882" s="507"/>
      <c r="AO882" s="382"/>
      <c r="AP882" s="417"/>
      <c r="AQ882" s="383"/>
      <c r="AR882" s="507"/>
      <c r="AS882" s="514"/>
      <c r="AT882" s="514"/>
    </row>
    <row r="883">
      <c r="A883" s="382"/>
      <c r="B883" s="417"/>
      <c r="C883" s="383"/>
      <c r="D883" s="507"/>
      <c r="E883" s="382"/>
      <c r="F883" s="417"/>
      <c r="G883" s="383"/>
      <c r="H883" s="507"/>
      <c r="I883" s="382"/>
      <c r="J883" s="417"/>
      <c r="K883" s="383"/>
      <c r="L883" s="507"/>
      <c r="M883" s="382"/>
      <c r="N883" s="417"/>
      <c r="O883" s="383"/>
      <c r="P883" s="507"/>
      <c r="Q883" s="518"/>
      <c r="R883" s="519"/>
      <c r="S883" s="520"/>
      <c r="T883" s="513"/>
      <c r="U883" s="518"/>
      <c r="V883" s="519"/>
      <c r="W883" s="520"/>
      <c r="X883" s="513"/>
      <c r="Y883" s="518"/>
      <c r="Z883" s="519"/>
      <c r="AA883" s="520"/>
      <c r="AB883" s="513"/>
      <c r="AC883" s="518"/>
      <c r="AD883" s="519"/>
      <c r="AE883" s="520"/>
      <c r="AF883" s="513"/>
      <c r="AG883" s="356"/>
      <c r="AH883" s="356"/>
      <c r="AI883" s="356"/>
      <c r="AJ883" s="356"/>
      <c r="AK883" s="382"/>
      <c r="AL883" s="417"/>
      <c r="AM883" s="383"/>
      <c r="AN883" s="507"/>
      <c r="AO883" s="382"/>
      <c r="AP883" s="417"/>
      <c r="AQ883" s="383"/>
      <c r="AR883" s="507"/>
      <c r="AS883" s="514"/>
      <c r="AT883" s="514"/>
    </row>
    <row r="884">
      <c r="A884" s="382"/>
      <c r="B884" s="417"/>
      <c r="C884" s="383"/>
      <c r="D884" s="507"/>
      <c r="E884" s="382"/>
      <c r="F884" s="417"/>
      <c r="G884" s="383"/>
      <c r="H884" s="507"/>
      <c r="I884" s="382"/>
      <c r="J884" s="417"/>
      <c r="K884" s="383"/>
      <c r="L884" s="507"/>
      <c r="M884" s="382"/>
      <c r="N884" s="417"/>
      <c r="O884" s="383"/>
      <c r="P884" s="507"/>
      <c r="Q884" s="518"/>
      <c r="R884" s="519"/>
      <c r="S884" s="520"/>
      <c r="T884" s="513"/>
      <c r="U884" s="518"/>
      <c r="V884" s="519"/>
      <c r="W884" s="520"/>
      <c r="X884" s="513"/>
      <c r="Y884" s="518"/>
      <c r="Z884" s="519"/>
      <c r="AA884" s="520"/>
      <c r="AB884" s="513"/>
      <c r="AC884" s="518"/>
      <c r="AD884" s="519"/>
      <c r="AE884" s="520"/>
      <c r="AF884" s="513"/>
      <c r="AG884" s="356"/>
      <c r="AH884" s="356"/>
      <c r="AI884" s="356"/>
      <c r="AJ884" s="356"/>
      <c r="AK884" s="382"/>
      <c r="AL884" s="417"/>
      <c r="AM884" s="383"/>
      <c r="AN884" s="507"/>
      <c r="AO884" s="382"/>
      <c r="AP884" s="417"/>
      <c r="AQ884" s="383"/>
      <c r="AR884" s="507"/>
      <c r="AS884" s="514"/>
      <c r="AT884" s="514"/>
    </row>
    <row r="885">
      <c r="A885" s="382"/>
      <c r="B885" s="417"/>
      <c r="C885" s="383"/>
      <c r="D885" s="507"/>
      <c r="E885" s="382"/>
      <c r="F885" s="417"/>
      <c r="G885" s="383"/>
      <c r="H885" s="507"/>
      <c r="I885" s="382"/>
      <c r="J885" s="417"/>
      <c r="K885" s="383"/>
      <c r="L885" s="507"/>
      <c r="M885" s="382"/>
      <c r="N885" s="417"/>
      <c r="O885" s="383"/>
      <c r="P885" s="507"/>
      <c r="Q885" s="518"/>
      <c r="R885" s="519"/>
      <c r="S885" s="520"/>
      <c r="T885" s="513"/>
      <c r="U885" s="518"/>
      <c r="V885" s="519"/>
      <c r="W885" s="520"/>
      <c r="X885" s="513"/>
      <c r="Y885" s="518"/>
      <c r="Z885" s="519"/>
      <c r="AA885" s="520"/>
      <c r="AB885" s="513"/>
      <c r="AC885" s="518"/>
      <c r="AD885" s="519"/>
      <c r="AE885" s="520"/>
      <c r="AF885" s="513"/>
      <c r="AG885" s="356"/>
      <c r="AH885" s="356"/>
      <c r="AI885" s="356"/>
      <c r="AJ885" s="356"/>
      <c r="AK885" s="382"/>
      <c r="AL885" s="417"/>
      <c r="AM885" s="383"/>
      <c r="AN885" s="507"/>
      <c r="AO885" s="382"/>
      <c r="AP885" s="417"/>
      <c r="AQ885" s="383"/>
      <c r="AR885" s="507"/>
      <c r="AS885" s="514"/>
      <c r="AT885" s="514"/>
    </row>
    <row r="886">
      <c r="A886" s="382"/>
      <c r="B886" s="417"/>
      <c r="C886" s="383"/>
      <c r="D886" s="507"/>
      <c r="E886" s="382"/>
      <c r="F886" s="417"/>
      <c r="G886" s="383"/>
      <c r="H886" s="507"/>
      <c r="I886" s="382"/>
      <c r="J886" s="417"/>
      <c r="K886" s="383"/>
      <c r="L886" s="507"/>
      <c r="M886" s="382"/>
      <c r="N886" s="417"/>
      <c r="O886" s="383"/>
      <c r="P886" s="507"/>
      <c r="Q886" s="518"/>
      <c r="R886" s="519"/>
      <c r="S886" s="520"/>
      <c r="T886" s="513"/>
      <c r="U886" s="518"/>
      <c r="V886" s="519"/>
      <c r="W886" s="520"/>
      <c r="X886" s="513"/>
      <c r="Y886" s="518"/>
      <c r="Z886" s="519"/>
      <c r="AA886" s="520"/>
      <c r="AB886" s="513"/>
      <c r="AC886" s="518"/>
      <c r="AD886" s="519"/>
      <c r="AE886" s="520"/>
      <c r="AF886" s="513"/>
      <c r="AG886" s="356"/>
      <c r="AH886" s="356"/>
      <c r="AI886" s="356"/>
      <c r="AJ886" s="356"/>
      <c r="AK886" s="382"/>
      <c r="AL886" s="417"/>
      <c r="AM886" s="383"/>
      <c r="AN886" s="507"/>
      <c r="AO886" s="382"/>
      <c r="AP886" s="417"/>
      <c r="AQ886" s="383"/>
      <c r="AR886" s="507"/>
      <c r="AS886" s="514"/>
      <c r="AT886" s="514"/>
    </row>
    <row r="887">
      <c r="A887" s="382"/>
      <c r="B887" s="417"/>
      <c r="C887" s="383"/>
      <c r="D887" s="507"/>
      <c r="E887" s="382"/>
      <c r="F887" s="417"/>
      <c r="G887" s="383"/>
      <c r="H887" s="507"/>
      <c r="I887" s="382"/>
      <c r="J887" s="417"/>
      <c r="K887" s="383"/>
      <c r="L887" s="507"/>
      <c r="M887" s="382"/>
      <c r="N887" s="417"/>
      <c r="O887" s="383"/>
      <c r="P887" s="507"/>
      <c r="Q887" s="518"/>
      <c r="R887" s="519"/>
      <c r="S887" s="520"/>
      <c r="T887" s="513"/>
      <c r="U887" s="518"/>
      <c r="V887" s="519"/>
      <c r="W887" s="520"/>
      <c r="X887" s="513"/>
      <c r="Y887" s="518"/>
      <c r="Z887" s="519"/>
      <c r="AA887" s="520"/>
      <c r="AB887" s="513"/>
      <c r="AC887" s="518"/>
      <c r="AD887" s="519"/>
      <c r="AE887" s="520"/>
      <c r="AF887" s="513"/>
      <c r="AG887" s="356"/>
      <c r="AH887" s="356"/>
      <c r="AI887" s="356"/>
      <c r="AJ887" s="356"/>
      <c r="AK887" s="382"/>
      <c r="AL887" s="417"/>
      <c r="AM887" s="383"/>
      <c r="AN887" s="507"/>
      <c r="AO887" s="382"/>
      <c r="AP887" s="417"/>
      <c r="AQ887" s="383"/>
      <c r="AR887" s="507"/>
      <c r="AS887" s="514"/>
      <c r="AT887" s="514"/>
    </row>
    <row r="888">
      <c r="A888" s="382"/>
      <c r="B888" s="417"/>
      <c r="C888" s="383"/>
      <c r="D888" s="507"/>
      <c r="E888" s="382"/>
      <c r="F888" s="417"/>
      <c r="G888" s="383"/>
      <c r="H888" s="507"/>
      <c r="I888" s="382"/>
      <c r="J888" s="417"/>
      <c r="K888" s="383"/>
      <c r="L888" s="507"/>
      <c r="M888" s="382"/>
      <c r="N888" s="417"/>
      <c r="O888" s="383"/>
      <c r="P888" s="507"/>
      <c r="Q888" s="518"/>
      <c r="R888" s="519"/>
      <c r="S888" s="520"/>
      <c r="T888" s="513"/>
      <c r="U888" s="518"/>
      <c r="V888" s="519"/>
      <c r="W888" s="520"/>
      <c r="X888" s="513"/>
      <c r="Y888" s="518"/>
      <c r="Z888" s="519"/>
      <c r="AA888" s="520"/>
      <c r="AB888" s="513"/>
      <c r="AC888" s="518"/>
      <c r="AD888" s="519"/>
      <c r="AE888" s="520"/>
      <c r="AF888" s="513"/>
      <c r="AG888" s="356"/>
      <c r="AH888" s="356"/>
      <c r="AI888" s="356"/>
      <c r="AJ888" s="356"/>
      <c r="AK888" s="382"/>
      <c r="AL888" s="417"/>
      <c r="AM888" s="383"/>
      <c r="AN888" s="507"/>
      <c r="AO888" s="382"/>
      <c r="AP888" s="417"/>
      <c r="AQ888" s="383"/>
      <c r="AR888" s="507"/>
      <c r="AS888" s="514"/>
      <c r="AT888" s="514"/>
    </row>
    <row r="889">
      <c r="A889" s="382"/>
      <c r="B889" s="417"/>
      <c r="C889" s="383"/>
      <c r="D889" s="507"/>
      <c r="E889" s="382"/>
      <c r="F889" s="417"/>
      <c r="G889" s="383"/>
      <c r="H889" s="507"/>
      <c r="I889" s="382"/>
      <c r="J889" s="417"/>
      <c r="K889" s="383"/>
      <c r="L889" s="507"/>
      <c r="M889" s="382"/>
      <c r="N889" s="417"/>
      <c r="O889" s="383"/>
      <c r="P889" s="507"/>
      <c r="Q889" s="518"/>
      <c r="R889" s="519"/>
      <c r="S889" s="520"/>
      <c r="T889" s="513"/>
      <c r="U889" s="518"/>
      <c r="V889" s="519"/>
      <c r="W889" s="520"/>
      <c r="X889" s="513"/>
      <c r="Y889" s="518"/>
      <c r="Z889" s="519"/>
      <c r="AA889" s="520"/>
      <c r="AB889" s="513"/>
      <c r="AC889" s="518"/>
      <c r="AD889" s="519"/>
      <c r="AE889" s="520"/>
      <c r="AF889" s="513"/>
      <c r="AG889" s="356"/>
      <c r="AH889" s="356"/>
      <c r="AI889" s="356"/>
      <c r="AJ889" s="356"/>
      <c r="AK889" s="382"/>
      <c r="AL889" s="417"/>
      <c r="AM889" s="383"/>
      <c r="AN889" s="507"/>
      <c r="AO889" s="382"/>
      <c r="AP889" s="417"/>
      <c r="AQ889" s="383"/>
      <c r="AR889" s="507"/>
      <c r="AS889" s="514"/>
      <c r="AT889" s="514"/>
    </row>
    <row r="890">
      <c r="A890" s="382"/>
      <c r="B890" s="417"/>
      <c r="C890" s="383"/>
      <c r="D890" s="507"/>
      <c r="E890" s="382"/>
      <c r="F890" s="417"/>
      <c r="G890" s="383"/>
      <c r="H890" s="507"/>
      <c r="I890" s="382"/>
      <c r="J890" s="417"/>
      <c r="K890" s="383"/>
      <c r="L890" s="507"/>
      <c r="M890" s="382"/>
      <c r="N890" s="417"/>
      <c r="O890" s="383"/>
      <c r="P890" s="507"/>
      <c r="Q890" s="518"/>
      <c r="R890" s="519"/>
      <c r="S890" s="520"/>
      <c r="T890" s="513"/>
      <c r="U890" s="518"/>
      <c r="V890" s="519"/>
      <c r="W890" s="520"/>
      <c r="X890" s="513"/>
      <c r="Y890" s="518"/>
      <c r="Z890" s="519"/>
      <c r="AA890" s="520"/>
      <c r="AB890" s="513"/>
      <c r="AC890" s="518"/>
      <c r="AD890" s="519"/>
      <c r="AE890" s="520"/>
      <c r="AF890" s="513"/>
      <c r="AG890" s="356"/>
      <c r="AH890" s="356"/>
      <c r="AI890" s="356"/>
      <c r="AJ890" s="356"/>
      <c r="AK890" s="382"/>
      <c r="AL890" s="417"/>
      <c r="AM890" s="383"/>
      <c r="AN890" s="507"/>
      <c r="AO890" s="382"/>
      <c r="AP890" s="417"/>
      <c r="AQ890" s="383"/>
      <c r="AR890" s="507"/>
      <c r="AS890" s="514"/>
      <c r="AT890" s="514"/>
    </row>
    <row r="891">
      <c r="A891" s="382"/>
      <c r="B891" s="417"/>
      <c r="C891" s="383"/>
      <c r="D891" s="507"/>
      <c r="E891" s="382"/>
      <c r="F891" s="417"/>
      <c r="G891" s="383"/>
      <c r="H891" s="507"/>
      <c r="I891" s="382"/>
      <c r="J891" s="417"/>
      <c r="K891" s="383"/>
      <c r="L891" s="507"/>
      <c r="M891" s="382"/>
      <c r="N891" s="417"/>
      <c r="O891" s="383"/>
      <c r="P891" s="507"/>
      <c r="Q891" s="518"/>
      <c r="R891" s="519"/>
      <c r="S891" s="520"/>
      <c r="T891" s="513"/>
      <c r="U891" s="518"/>
      <c r="V891" s="519"/>
      <c r="W891" s="520"/>
      <c r="X891" s="513"/>
      <c r="Y891" s="518"/>
      <c r="Z891" s="519"/>
      <c r="AA891" s="520"/>
      <c r="AB891" s="513"/>
      <c r="AC891" s="518"/>
      <c r="AD891" s="519"/>
      <c r="AE891" s="520"/>
      <c r="AF891" s="513"/>
      <c r="AG891" s="356"/>
      <c r="AH891" s="356"/>
      <c r="AI891" s="356"/>
      <c r="AJ891" s="356"/>
      <c r="AK891" s="382"/>
      <c r="AL891" s="417"/>
      <c r="AM891" s="383"/>
      <c r="AN891" s="507"/>
      <c r="AO891" s="382"/>
      <c r="AP891" s="417"/>
      <c r="AQ891" s="383"/>
      <c r="AR891" s="507"/>
      <c r="AS891" s="514"/>
      <c r="AT891" s="514"/>
    </row>
    <row r="892">
      <c r="A892" s="382"/>
      <c r="B892" s="417"/>
      <c r="C892" s="383"/>
      <c r="D892" s="507"/>
      <c r="E892" s="382"/>
      <c r="F892" s="417"/>
      <c r="G892" s="383"/>
      <c r="H892" s="507"/>
      <c r="I892" s="382"/>
      <c r="J892" s="417"/>
      <c r="K892" s="383"/>
      <c r="L892" s="507"/>
      <c r="M892" s="382"/>
      <c r="N892" s="417"/>
      <c r="O892" s="383"/>
      <c r="P892" s="507"/>
      <c r="Q892" s="518"/>
      <c r="R892" s="519"/>
      <c r="S892" s="520"/>
      <c r="T892" s="513"/>
      <c r="U892" s="518"/>
      <c r="V892" s="519"/>
      <c r="W892" s="520"/>
      <c r="X892" s="513"/>
      <c r="Y892" s="518"/>
      <c r="Z892" s="519"/>
      <c r="AA892" s="520"/>
      <c r="AB892" s="513"/>
      <c r="AC892" s="518"/>
      <c r="AD892" s="519"/>
      <c r="AE892" s="520"/>
      <c r="AF892" s="513"/>
      <c r="AG892" s="356"/>
      <c r="AH892" s="356"/>
      <c r="AI892" s="356"/>
      <c r="AJ892" s="356"/>
      <c r="AK892" s="382"/>
      <c r="AL892" s="417"/>
      <c r="AM892" s="383"/>
      <c r="AN892" s="507"/>
      <c r="AO892" s="382"/>
      <c r="AP892" s="417"/>
      <c r="AQ892" s="383"/>
      <c r="AR892" s="507"/>
      <c r="AS892" s="514"/>
      <c r="AT892" s="514"/>
    </row>
    <row r="893">
      <c r="A893" s="382"/>
      <c r="B893" s="417"/>
      <c r="C893" s="383"/>
      <c r="D893" s="507"/>
      <c r="E893" s="382"/>
      <c r="F893" s="417"/>
      <c r="G893" s="383"/>
      <c r="H893" s="507"/>
      <c r="I893" s="382"/>
      <c r="J893" s="417"/>
      <c r="K893" s="383"/>
      <c r="L893" s="507"/>
      <c r="M893" s="382"/>
      <c r="N893" s="417"/>
      <c r="O893" s="383"/>
      <c r="P893" s="507"/>
      <c r="Q893" s="518"/>
      <c r="R893" s="519"/>
      <c r="S893" s="520"/>
      <c r="T893" s="513"/>
      <c r="U893" s="518"/>
      <c r="V893" s="519"/>
      <c r="W893" s="520"/>
      <c r="X893" s="513"/>
      <c r="Y893" s="518"/>
      <c r="Z893" s="519"/>
      <c r="AA893" s="520"/>
      <c r="AB893" s="513"/>
      <c r="AC893" s="518"/>
      <c r="AD893" s="519"/>
      <c r="AE893" s="520"/>
      <c r="AF893" s="513"/>
      <c r="AG893" s="356"/>
      <c r="AH893" s="356"/>
      <c r="AI893" s="356"/>
      <c r="AJ893" s="356"/>
      <c r="AK893" s="382"/>
      <c r="AL893" s="417"/>
      <c r="AM893" s="383"/>
      <c r="AN893" s="507"/>
      <c r="AO893" s="382"/>
      <c r="AP893" s="417"/>
      <c r="AQ893" s="383"/>
      <c r="AR893" s="507"/>
      <c r="AS893" s="514"/>
      <c r="AT893" s="514"/>
    </row>
    <row r="894">
      <c r="A894" s="382"/>
      <c r="B894" s="417"/>
      <c r="C894" s="383"/>
      <c r="D894" s="507"/>
      <c r="E894" s="382"/>
      <c r="F894" s="417"/>
      <c r="G894" s="383"/>
      <c r="H894" s="507"/>
      <c r="I894" s="382"/>
      <c r="J894" s="417"/>
      <c r="K894" s="383"/>
      <c r="L894" s="507"/>
      <c r="M894" s="382"/>
      <c r="N894" s="417"/>
      <c r="O894" s="383"/>
      <c r="P894" s="507"/>
      <c r="Q894" s="518"/>
      <c r="R894" s="519"/>
      <c r="S894" s="520"/>
      <c r="T894" s="513"/>
      <c r="U894" s="518"/>
      <c r="V894" s="519"/>
      <c r="W894" s="520"/>
      <c r="X894" s="513"/>
      <c r="Y894" s="518"/>
      <c r="Z894" s="519"/>
      <c r="AA894" s="520"/>
      <c r="AB894" s="513"/>
      <c r="AC894" s="518"/>
      <c r="AD894" s="519"/>
      <c r="AE894" s="520"/>
      <c r="AF894" s="513"/>
      <c r="AG894" s="356"/>
      <c r="AH894" s="356"/>
      <c r="AI894" s="356"/>
      <c r="AJ894" s="356"/>
      <c r="AK894" s="382"/>
      <c r="AL894" s="417"/>
      <c r="AM894" s="383"/>
      <c r="AN894" s="507"/>
      <c r="AO894" s="382"/>
      <c r="AP894" s="417"/>
      <c r="AQ894" s="383"/>
      <c r="AR894" s="507"/>
      <c r="AS894" s="514"/>
      <c r="AT894" s="514"/>
    </row>
    <row r="895">
      <c r="A895" s="382"/>
      <c r="B895" s="417"/>
      <c r="C895" s="383"/>
      <c r="D895" s="507"/>
      <c r="E895" s="382"/>
      <c r="F895" s="417"/>
      <c r="G895" s="383"/>
      <c r="H895" s="507"/>
      <c r="I895" s="382"/>
      <c r="J895" s="417"/>
      <c r="K895" s="383"/>
      <c r="L895" s="507"/>
      <c r="M895" s="382"/>
      <c r="N895" s="417"/>
      <c r="O895" s="383"/>
      <c r="P895" s="507"/>
      <c r="Q895" s="518"/>
      <c r="R895" s="519"/>
      <c r="S895" s="520"/>
      <c r="T895" s="513"/>
      <c r="U895" s="518"/>
      <c r="V895" s="519"/>
      <c r="W895" s="520"/>
      <c r="X895" s="513"/>
      <c r="Y895" s="518"/>
      <c r="Z895" s="519"/>
      <c r="AA895" s="520"/>
      <c r="AB895" s="513"/>
      <c r="AC895" s="518"/>
      <c r="AD895" s="519"/>
      <c r="AE895" s="520"/>
      <c r="AF895" s="513"/>
      <c r="AG895" s="356"/>
      <c r="AH895" s="356"/>
      <c r="AI895" s="356"/>
      <c r="AJ895" s="356"/>
      <c r="AK895" s="382"/>
      <c r="AL895" s="417"/>
      <c r="AM895" s="383"/>
      <c r="AN895" s="507"/>
      <c r="AO895" s="382"/>
      <c r="AP895" s="417"/>
      <c r="AQ895" s="383"/>
      <c r="AR895" s="507"/>
      <c r="AS895" s="514"/>
      <c r="AT895" s="514"/>
    </row>
    <row r="896">
      <c r="A896" s="382"/>
      <c r="B896" s="417"/>
      <c r="C896" s="383"/>
      <c r="D896" s="507"/>
      <c r="E896" s="382"/>
      <c r="F896" s="417"/>
      <c r="G896" s="383"/>
      <c r="H896" s="507"/>
      <c r="I896" s="382"/>
      <c r="J896" s="417"/>
      <c r="K896" s="383"/>
      <c r="L896" s="507"/>
      <c r="M896" s="382"/>
      <c r="N896" s="417"/>
      <c r="O896" s="383"/>
      <c r="P896" s="507"/>
      <c r="Q896" s="518"/>
      <c r="R896" s="519"/>
      <c r="S896" s="520"/>
      <c r="T896" s="513"/>
      <c r="U896" s="518"/>
      <c r="V896" s="519"/>
      <c r="W896" s="520"/>
      <c r="X896" s="513"/>
      <c r="Y896" s="518"/>
      <c r="Z896" s="519"/>
      <c r="AA896" s="520"/>
      <c r="AB896" s="513"/>
      <c r="AC896" s="518"/>
      <c r="AD896" s="519"/>
      <c r="AE896" s="520"/>
      <c r="AF896" s="513"/>
      <c r="AG896" s="356"/>
      <c r="AH896" s="356"/>
      <c r="AI896" s="356"/>
      <c r="AJ896" s="356"/>
      <c r="AK896" s="382"/>
      <c r="AL896" s="417"/>
      <c r="AM896" s="383"/>
      <c r="AN896" s="507"/>
      <c r="AO896" s="382"/>
      <c r="AP896" s="417"/>
      <c r="AQ896" s="383"/>
      <c r="AR896" s="507"/>
      <c r="AS896" s="514"/>
      <c r="AT896" s="514"/>
    </row>
    <row r="897">
      <c r="A897" s="382"/>
      <c r="B897" s="417"/>
      <c r="C897" s="383"/>
      <c r="D897" s="507"/>
      <c r="E897" s="382"/>
      <c r="F897" s="417"/>
      <c r="G897" s="383"/>
      <c r="H897" s="507"/>
      <c r="I897" s="382"/>
      <c r="J897" s="417"/>
      <c r="K897" s="383"/>
      <c r="L897" s="507"/>
      <c r="M897" s="382"/>
      <c r="N897" s="417"/>
      <c r="O897" s="383"/>
      <c r="P897" s="507"/>
      <c r="Q897" s="518"/>
      <c r="R897" s="519"/>
      <c r="S897" s="520"/>
      <c r="T897" s="513"/>
      <c r="U897" s="518"/>
      <c r="V897" s="519"/>
      <c r="W897" s="520"/>
      <c r="X897" s="513"/>
      <c r="Y897" s="518"/>
      <c r="Z897" s="519"/>
      <c r="AA897" s="520"/>
      <c r="AB897" s="513"/>
      <c r="AC897" s="518"/>
      <c r="AD897" s="519"/>
      <c r="AE897" s="520"/>
      <c r="AF897" s="513"/>
      <c r="AG897" s="356"/>
      <c r="AH897" s="356"/>
      <c r="AI897" s="356"/>
      <c r="AJ897" s="356"/>
      <c r="AK897" s="382"/>
      <c r="AL897" s="417"/>
      <c r="AM897" s="383"/>
      <c r="AN897" s="507"/>
      <c r="AO897" s="382"/>
      <c r="AP897" s="417"/>
      <c r="AQ897" s="383"/>
      <c r="AR897" s="507"/>
      <c r="AS897" s="514"/>
      <c r="AT897" s="514"/>
    </row>
    <row r="898">
      <c r="A898" s="382"/>
      <c r="B898" s="417"/>
      <c r="C898" s="383"/>
      <c r="D898" s="507"/>
      <c r="E898" s="382"/>
      <c r="F898" s="417"/>
      <c r="G898" s="383"/>
      <c r="H898" s="507"/>
      <c r="I898" s="382"/>
      <c r="J898" s="417"/>
      <c r="K898" s="383"/>
      <c r="L898" s="507"/>
      <c r="M898" s="382"/>
      <c r="N898" s="417"/>
      <c r="O898" s="383"/>
      <c r="P898" s="507"/>
      <c r="Q898" s="518"/>
      <c r="R898" s="519"/>
      <c r="S898" s="520"/>
      <c r="T898" s="513"/>
      <c r="U898" s="518"/>
      <c r="V898" s="519"/>
      <c r="W898" s="520"/>
      <c r="X898" s="513"/>
      <c r="Y898" s="518"/>
      <c r="Z898" s="519"/>
      <c r="AA898" s="520"/>
      <c r="AB898" s="513"/>
      <c r="AC898" s="518"/>
      <c r="AD898" s="519"/>
      <c r="AE898" s="520"/>
      <c r="AF898" s="513"/>
      <c r="AG898" s="356"/>
      <c r="AH898" s="356"/>
      <c r="AI898" s="356"/>
      <c r="AJ898" s="356"/>
      <c r="AK898" s="382"/>
      <c r="AL898" s="417"/>
      <c r="AM898" s="383"/>
      <c r="AN898" s="507"/>
      <c r="AO898" s="382"/>
      <c r="AP898" s="417"/>
      <c r="AQ898" s="383"/>
      <c r="AR898" s="507"/>
      <c r="AS898" s="514"/>
      <c r="AT898" s="514"/>
    </row>
    <row r="899">
      <c r="A899" s="382"/>
      <c r="B899" s="417"/>
      <c r="C899" s="383"/>
      <c r="D899" s="507"/>
      <c r="E899" s="382"/>
      <c r="F899" s="417"/>
      <c r="G899" s="383"/>
      <c r="H899" s="507"/>
      <c r="I899" s="382"/>
      <c r="J899" s="417"/>
      <c r="K899" s="383"/>
      <c r="L899" s="507"/>
      <c r="M899" s="382"/>
      <c r="N899" s="417"/>
      <c r="O899" s="383"/>
      <c r="P899" s="507"/>
      <c r="Q899" s="518"/>
      <c r="R899" s="519"/>
      <c r="S899" s="520"/>
      <c r="T899" s="513"/>
      <c r="U899" s="518"/>
      <c r="V899" s="519"/>
      <c r="W899" s="520"/>
      <c r="X899" s="513"/>
      <c r="Y899" s="518"/>
      <c r="Z899" s="519"/>
      <c r="AA899" s="520"/>
      <c r="AB899" s="513"/>
      <c r="AC899" s="518"/>
      <c r="AD899" s="519"/>
      <c r="AE899" s="520"/>
      <c r="AF899" s="513"/>
      <c r="AG899" s="356"/>
      <c r="AH899" s="356"/>
      <c r="AI899" s="356"/>
      <c r="AJ899" s="356"/>
      <c r="AK899" s="382"/>
      <c r="AL899" s="417"/>
      <c r="AM899" s="383"/>
      <c r="AN899" s="507"/>
      <c r="AO899" s="382"/>
      <c r="AP899" s="417"/>
      <c r="AQ899" s="383"/>
      <c r="AR899" s="507"/>
      <c r="AS899" s="514"/>
      <c r="AT899" s="514"/>
    </row>
    <row r="900">
      <c r="A900" s="382"/>
      <c r="B900" s="417"/>
      <c r="C900" s="383"/>
      <c r="D900" s="507"/>
      <c r="E900" s="382"/>
      <c r="F900" s="417"/>
      <c r="G900" s="383"/>
      <c r="H900" s="507"/>
      <c r="I900" s="382"/>
      <c r="J900" s="417"/>
      <c r="K900" s="383"/>
      <c r="L900" s="507"/>
      <c r="M900" s="382"/>
      <c r="N900" s="417"/>
      <c r="O900" s="383"/>
      <c r="P900" s="507"/>
      <c r="Q900" s="518"/>
      <c r="R900" s="519"/>
      <c r="S900" s="520"/>
      <c r="T900" s="513"/>
      <c r="U900" s="518"/>
      <c r="V900" s="519"/>
      <c r="W900" s="520"/>
      <c r="X900" s="513"/>
      <c r="Y900" s="518"/>
      <c r="Z900" s="519"/>
      <c r="AA900" s="520"/>
      <c r="AB900" s="513"/>
      <c r="AC900" s="518"/>
      <c r="AD900" s="519"/>
      <c r="AE900" s="520"/>
      <c r="AF900" s="513"/>
      <c r="AG900" s="356"/>
      <c r="AH900" s="356"/>
      <c r="AI900" s="356"/>
      <c r="AJ900" s="356"/>
      <c r="AK900" s="382"/>
      <c r="AL900" s="417"/>
      <c r="AM900" s="383"/>
      <c r="AN900" s="507"/>
      <c r="AO900" s="382"/>
      <c r="AP900" s="417"/>
      <c r="AQ900" s="383"/>
      <c r="AR900" s="507"/>
      <c r="AS900" s="514"/>
      <c r="AT900" s="514"/>
    </row>
    <row r="901">
      <c r="A901" s="382"/>
      <c r="B901" s="417"/>
      <c r="C901" s="383"/>
      <c r="D901" s="507"/>
      <c r="E901" s="382"/>
      <c r="F901" s="417"/>
      <c r="G901" s="383"/>
      <c r="H901" s="507"/>
      <c r="I901" s="382"/>
      <c r="J901" s="417"/>
      <c r="K901" s="383"/>
      <c r="L901" s="507"/>
      <c r="M901" s="382"/>
      <c r="N901" s="417"/>
      <c r="O901" s="383"/>
      <c r="P901" s="507"/>
      <c r="Q901" s="518"/>
      <c r="R901" s="519"/>
      <c r="S901" s="520"/>
      <c r="T901" s="513"/>
      <c r="U901" s="518"/>
      <c r="V901" s="519"/>
      <c r="W901" s="520"/>
      <c r="X901" s="513"/>
      <c r="Y901" s="518"/>
      <c r="Z901" s="519"/>
      <c r="AA901" s="520"/>
      <c r="AB901" s="513"/>
      <c r="AC901" s="518"/>
      <c r="AD901" s="519"/>
      <c r="AE901" s="520"/>
      <c r="AF901" s="513"/>
      <c r="AG901" s="356"/>
      <c r="AH901" s="356"/>
      <c r="AI901" s="356"/>
      <c r="AJ901" s="356"/>
      <c r="AK901" s="382"/>
      <c r="AL901" s="417"/>
      <c r="AM901" s="383"/>
      <c r="AN901" s="507"/>
      <c r="AO901" s="382"/>
      <c r="AP901" s="417"/>
      <c r="AQ901" s="383"/>
      <c r="AR901" s="507"/>
      <c r="AS901" s="514"/>
      <c r="AT901" s="514"/>
    </row>
    <row r="902">
      <c r="A902" s="382"/>
      <c r="B902" s="417"/>
      <c r="C902" s="383"/>
      <c r="D902" s="507"/>
      <c r="E902" s="382"/>
      <c r="F902" s="417"/>
      <c r="G902" s="383"/>
      <c r="H902" s="507"/>
      <c r="I902" s="382"/>
      <c r="J902" s="417"/>
      <c r="K902" s="383"/>
      <c r="L902" s="507"/>
      <c r="M902" s="382"/>
      <c r="N902" s="417"/>
      <c r="O902" s="383"/>
      <c r="P902" s="507"/>
      <c r="Q902" s="518"/>
      <c r="R902" s="519"/>
      <c r="S902" s="520"/>
      <c r="T902" s="513"/>
      <c r="U902" s="518"/>
      <c r="V902" s="519"/>
      <c r="W902" s="520"/>
      <c r="X902" s="513"/>
      <c r="Y902" s="518"/>
      <c r="Z902" s="519"/>
      <c r="AA902" s="520"/>
      <c r="AB902" s="513"/>
      <c r="AC902" s="518"/>
      <c r="AD902" s="519"/>
      <c r="AE902" s="520"/>
      <c r="AF902" s="513"/>
      <c r="AG902" s="356"/>
      <c r="AH902" s="356"/>
      <c r="AI902" s="356"/>
      <c r="AJ902" s="356"/>
      <c r="AK902" s="382"/>
      <c r="AL902" s="417"/>
      <c r="AM902" s="383"/>
      <c r="AN902" s="507"/>
      <c r="AO902" s="382"/>
      <c r="AP902" s="417"/>
      <c r="AQ902" s="383"/>
      <c r="AR902" s="507"/>
      <c r="AS902" s="514"/>
      <c r="AT902" s="514"/>
    </row>
    <row r="903">
      <c r="A903" s="382"/>
      <c r="B903" s="417"/>
      <c r="C903" s="383"/>
      <c r="D903" s="507"/>
      <c r="E903" s="382"/>
      <c r="F903" s="417"/>
      <c r="G903" s="383"/>
      <c r="H903" s="507"/>
      <c r="I903" s="382"/>
      <c r="J903" s="417"/>
      <c r="K903" s="383"/>
      <c r="L903" s="507"/>
      <c r="M903" s="382"/>
      <c r="N903" s="417"/>
      <c r="O903" s="383"/>
      <c r="P903" s="507"/>
      <c r="Q903" s="518"/>
      <c r="R903" s="519"/>
      <c r="S903" s="520"/>
      <c r="T903" s="513"/>
      <c r="U903" s="518"/>
      <c r="V903" s="519"/>
      <c r="W903" s="520"/>
      <c r="X903" s="513"/>
      <c r="Y903" s="518"/>
      <c r="Z903" s="519"/>
      <c r="AA903" s="520"/>
      <c r="AB903" s="513"/>
      <c r="AC903" s="518"/>
      <c r="AD903" s="519"/>
      <c r="AE903" s="520"/>
      <c r="AF903" s="513"/>
      <c r="AG903" s="356"/>
      <c r="AH903" s="356"/>
      <c r="AI903" s="356"/>
      <c r="AJ903" s="356"/>
      <c r="AK903" s="382"/>
      <c r="AL903" s="417"/>
      <c r="AM903" s="383"/>
      <c r="AN903" s="507"/>
      <c r="AO903" s="382"/>
      <c r="AP903" s="417"/>
      <c r="AQ903" s="383"/>
      <c r="AR903" s="507"/>
      <c r="AS903" s="514"/>
      <c r="AT903" s="514"/>
    </row>
    <row r="904">
      <c r="A904" s="382"/>
      <c r="B904" s="417"/>
      <c r="C904" s="383"/>
      <c r="D904" s="507"/>
      <c r="E904" s="382"/>
      <c r="F904" s="417"/>
      <c r="G904" s="383"/>
      <c r="H904" s="507"/>
      <c r="I904" s="382"/>
      <c r="J904" s="417"/>
      <c r="K904" s="383"/>
      <c r="L904" s="507"/>
      <c r="M904" s="382"/>
      <c r="N904" s="417"/>
      <c r="O904" s="383"/>
      <c r="P904" s="507"/>
      <c r="Q904" s="518"/>
      <c r="R904" s="519"/>
      <c r="S904" s="520"/>
      <c r="T904" s="513"/>
      <c r="U904" s="518"/>
      <c r="V904" s="519"/>
      <c r="W904" s="520"/>
      <c r="X904" s="513"/>
      <c r="Y904" s="518"/>
      <c r="Z904" s="519"/>
      <c r="AA904" s="520"/>
      <c r="AB904" s="513"/>
      <c r="AC904" s="518"/>
      <c r="AD904" s="519"/>
      <c r="AE904" s="520"/>
      <c r="AF904" s="513"/>
      <c r="AG904" s="356"/>
      <c r="AH904" s="356"/>
      <c r="AI904" s="356"/>
      <c r="AJ904" s="356"/>
      <c r="AK904" s="382"/>
      <c r="AL904" s="417"/>
      <c r="AM904" s="383"/>
      <c r="AN904" s="507"/>
      <c r="AO904" s="382"/>
      <c r="AP904" s="417"/>
      <c r="AQ904" s="383"/>
      <c r="AR904" s="507"/>
      <c r="AS904" s="514"/>
      <c r="AT904" s="514"/>
    </row>
    <row r="905">
      <c r="A905" s="382"/>
      <c r="B905" s="417"/>
      <c r="C905" s="383"/>
      <c r="D905" s="507"/>
      <c r="E905" s="382"/>
      <c r="F905" s="417"/>
      <c r="G905" s="383"/>
      <c r="H905" s="507"/>
      <c r="I905" s="382"/>
      <c r="J905" s="417"/>
      <c r="K905" s="383"/>
      <c r="L905" s="507"/>
      <c r="M905" s="382"/>
      <c r="N905" s="417"/>
      <c r="O905" s="383"/>
      <c r="P905" s="507"/>
      <c r="Q905" s="518"/>
      <c r="R905" s="519"/>
      <c r="S905" s="520"/>
      <c r="T905" s="513"/>
      <c r="U905" s="518"/>
      <c r="V905" s="519"/>
      <c r="W905" s="520"/>
      <c r="X905" s="513"/>
      <c r="Y905" s="518"/>
      <c r="Z905" s="519"/>
      <c r="AA905" s="520"/>
      <c r="AB905" s="513"/>
      <c r="AC905" s="518"/>
      <c r="AD905" s="519"/>
      <c r="AE905" s="520"/>
      <c r="AF905" s="513"/>
      <c r="AG905" s="356"/>
      <c r="AH905" s="356"/>
      <c r="AI905" s="356"/>
      <c r="AJ905" s="356"/>
      <c r="AK905" s="382"/>
      <c r="AL905" s="417"/>
      <c r="AM905" s="383"/>
      <c r="AN905" s="507"/>
      <c r="AO905" s="382"/>
      <c r="AP905" s="417"/>
      <c r="AQ905" s="383"/>
      <c r="AR905" s="507"/>
      <c r="AS905" s="514"/>
      <c r="AT905" s="514"/>
    </row>
    <row r="906">
      <c r="A906" s="382"/>
      <c r="B906" s="417"/>
      <c r="C906" s="383"/>
      <c r="D906" s="507"/>
      <c r="E906" s="382"/>
      <c r="F906" s="417"/>
      <c r="G906" s="383"/>
      <c r="H906" s="507"/>
      <c r="I906" s="382"/>
      <c r="J906" s="417"/>
      <c r="K906" s="383"/>
      <c r="L906" s="507"/>
      <c r="M906" s="382"/>
      <c r="N906" s="417"/>
      <c r="O906" s="383"/>
      <c r="P906" s="507"/>
      <c r="Q906" s="518"/>
      <c r="R906" s="519"/>
      <c r="S906" s="520"/>
      <c r="T906" s="513"/>
      <c r="U906" s="518"/>
      <c r="V906" s="519"/>
      <c r="W906" s="520"/>
      <c r="X906" s="513"/>
      <c r="Y906" s="518"/>
      <c r="Z906" s="519"/>
      <c r="AA906" s="520"/>
      <c r="AB906" s="513"/>
      <c r="AC906" s="518"/>
      <c r="AD906" s="519"/>
      <c r="AE906" s="520"/>
      <c r="AF906" s="513"/>
      <c r="AG906" s="356"/>
      <c r="AH906" s="356"/>
      <c r="AI906" s="356"/>
      <c r="AJ906" s="356"/>
      <c r="AK906" s="382"/>
      <c r="AL906" s="417"/>
      <c r="AM906" s="383"/>
      <c r="AN906" s="507"/>
      <c r="AO906" s="382"/>
      <c r="AP906" s="417"/>
      <c r="AQ906" s="383"/>
      <c r="AR906" s="507"/>
      <c r="AS906" s="514"/>
      <c r="AT906" s="514"/>
    </row>
    <row r="907">
      <c r="A907" s="382"/>
      <c r="B907" s="417"/>
      <c r="C907" s="383"/>
      <c r="D907" s="507"/>
      <c r="E907" s="382"/>
      <c r="F907" s="417"/>
      <c r="G907" s="383"/>
      <c r="H907" s="507"/>
      <c r="I907" s="382"/>
      <c r="J907" s="417"/>
      <c r="K907" s="383"/>
      <c r="L907" s="507"/>
      <c r="M907" s="382"/>
      <c r="N907" s="417"/>
      <c r="O907" s="383"/>
      <c r="P907" s="507"/>
      <c r="Q907" s="518"/>
      <c r="R907" s="519"/>
      <c r="S907" s="520"/>
      <c r="T907" s="513"/>
      <c r="U907" s="518"/>
      <c r="V907" s="519"/>
      <c r="W907" s="520"/>
      <c r="X907" s="513"/>
      <c r="Y907" s="518"/>
      <c r="Z907" s="519"/>
      <c r="AA907" s="520"/>
      <c r="AB907" s="513"/>
      <c r="AC907" s="518"/>
      <c r="AD907" s="519"/>
      <c r="AE907" s="520"/>
      <c r="AF907" s="513"/>
      <c r="AG907" s="356"/>
      <c r="AH907" s="356"/>
      <c r="AI907" s="356"/>
      <c r="AJ907" s="356"/>
      <c r="AK907" s="382"/>
      <c r="AL907" s="417"/>
      <c r="AM907" s="383"/>
      <c r="AN907" s="507"/>
      <c r="AO907" s="382"/>
      <c r="AP907" s="417"/>
      <c r="AQ907" s="383"/>
      <c r="AR907" s="507"/>
      <c r="AS907" s="514"/>
      <c r="AT907" s="514"/>
    </row>
    <row r="908">
      <c r="A908" s="382"/>
      <c r="B908" s="417"/>
      <c r="C908" s="383"/>
      <c r="D908" s="507"/>
      <c r="E908" s="382"/>
      <c r="F908" s="417"/>
      <c r="G908" s="383"/>
      <c r="H908" s="507"/>
      <c r="I908" s="382"/>
      <c r="J908" s="417"/>
      <c r="K908" s="383"/>
      <c r="L908" s="507"/>
      <c r="M908" s="382"/>
      <c r="N908" s="417"/>
      <c r="O908" s="383"/>
      <c r="P908" s="507"/>
      <c r="Q908" s="518"/>
      <c r="R908" s="519"/>
      <c r="S908" s="520"/>
      <c r="T908" s="513"/>
      <c r="U908" s="518"/>
      <c r="V908" s="519"/>
      <c r="W908" s="520"/>
      <c r="X908" s="513"/>
      <c r="Y908" s="518"/>
      <c r="Z908" s="519"/>
      <c r="AA908" s="520"/>
      <c r="AB908" s="513"/>
      <c r="AC908" s="518"/>
      <c r="AD908" s="519"/>
      <c r="AE908" s="520"/>
      <c r="AF908" s="513"/>
      <c r="AG908" s="356"/>
      <c r="AH908" s="356"/>
      <c r="AI908" s="356"/>
      <c r="AJ908" s="356"/>
      <c r="AK908" s="382"/>
      <c r="AL908" s="417"/>
      <c r="AM908" s="383"/>
      <c r="AN908" s="507"/>
      <c r="AO908" s="382"/>
      <c r="AP908" s="417"/>
      <c r="AQ908" s="383"/>
      <c r="AR908" s="507"/>
      <c r="AS908" s="514"/>
      <c r="AT908" s="514"/>
    </row>
    <row r="909">
      <c r="A909" s="382"/>
      <c r="B909" s="417"/>
      <c r="C909" s="383"/>
      <c r="D909" s="507"/>
      <c r="E909" s="382"/>
      <c r="F909" s="417"/>
      <c r="G909" s="383"/>
      <c r="H909" s="507"/>
      <c r="I909" s="382"/>
      <c r="J909" s="417"/>
      <c r="K909" s="383"/>
      <c r="L909" s="507"/>
      <c r="M909" s="382"/>
      <c r="N909" s="417"/>
      <c r="O909" s="383"/>
      <c r="P909" s="507"/>
      <c r="Q909" s="518"/>
      <c r="R909" s="519"/>
      <c r="S909" s="520"/>
      <c r="T909" s="513"/>
      <c r="U909" s="518"/>
      <c r="V909" s="519"/>
      <c r="W909" s="520"/>
      <c r="X909" s="513"/>
      <c r="Y909" s="518"/>
      <c r="Z909" s="519"/>
      <c r="AA909" s="520"/>
      <c r="AB909" s="513"/>
      <c r="AC909" s="518"/>
      <c r="AD909" s="519"/>
      <c r="AE909" s="520"/>
      <c r="AF909" s="513"/>
      <c r="AG909" s="356"/>
      <c r="AH909" s="356"/>
      <c r="AI909" s="356"/>
      <c r="AJ909" s="356"/>
      <c r="AK909" s="382"/>
      <c r="AL909" s="417"/>
      <c r="AM909" s="383"/>
      <c r="AN909" s="507"/>
      <c r="AO909" s="382"/>
      <c r="AP909" s="417"/>
      <c r="AQ909" s="383"/>
      <c r="AR909" s="507"/>
      <c r="AS909" s="514"/>
      <c r="AT909" s="514"/>
    </row>
    <row r="910">
      <c r="A910" s="382"/>
      <c r="B910" s="417"/>
      <c r="C910" s="383"/>
      <c r="D910" s="507"/>
      <c r="E910" s="382"/>
      <c r="F910" s="417"/>
      <c r="G910" s="383"/>
      <c r="H910" s="507"/>
      <c r="I910" s="382"/>
      <c r="J910" s="417"/>
      <c r="K910" s="383"/>
      <c r="L910" s="507"/>
      <c r="M910" s="382"/>
      <c r="N910" s="417"/>
      <c r="O910" s="383"/>
      <c r="P910" s="507"/>
      <c r="Q910" s="518"/>
      <c r="R910" s="519"/>
      <c r="S910" s="520"/>
      <c r="T910" s="513"/>
      <c r="U910" s="518"/>
      <c r="V910" s="519"/>
      <c r="W910" s="520"/>
      <c r="X910" s="513"/>
      <c r="Y910" s="518"/>
      <c r="Z910" s="519"/>
      <c r="AA910" s="520"/>
      <c r="AB910" s="513"/>
      <c r="AC910" s="518"/>
      <c r="AD910" s="519"/>
      <c r="AE910" s="520"/>
      <c r="AF910" s="513"/>
      <c r="AG910" s="356"/>
      <c r="AH910" s="356"/>
      <c r="AI910" s="356"/>
      <c r="AJ910" s="356"/>
      <c r="AK910" s="382"/>
      <c r="AL910" s="417"/>
      <c r="AM910" s="383"/>
      <c r="AN910" s="507"/>
      <c r="AO910" s="382"/>
      <c r="AP910" s="417"/>
      <c r="AQ910" s="383"/>
      <c r="AR910" s="507"/>
      <c r="AS910" s="514"/>
      <c r="AT910" s="514"/>
    </row>
    <row r="911">
      <c r="A911" s="382"/>
      <c r="B911" s="417"/>
      <c r="C911" s="383"/>
      <c r="D911" s="507"/>
      <c r="E911" s="382"/>
      <c r="F911" s="417"/>
      <c r="G911" s="383"/>
      <c r="H911" s="507"/>
      <c r="I911" s="382"/>
      <c r="J911" s="417"/>
      <c r="K911" s="383"/>
      <c r="L911" s="507"/>
      <c r="M911" s="382"/>
      <c r="N911" s="417"/>
      <c r="O911" s="383"/>
      <c r="P911" s="507"/>
      <c r="Q911" s="518"/>
      <c r="R911" s="519"/>
      <c r="S911" s="520"/>
      <c r="T911" s="513"/>
      <c r="U911" s="518"/>
      <c r="V911" s="519"/>
      <c r="W911" s="520"/>
      <c r="X911" s="513"/>
      <c r="Y911" s="518"/>
      <c r="Z911" s="519"/>
      <c r="AA911" s="520"/>
      <c r="AB911" s="513"/>
      <c r="AC911" s="518"/>
      <c r="AD911" s="519"/>
      <c r="AE911" s="520"/>
      <c r="AF911" s="513"/>
      <c r="AG911" s="356"/>
      <c r="AH911" s="356"/>
      <c r="AI911" s="356"/>
      <c r="AJ911" s="356"/>
      <c r="AK911" s="382"/>
      <c r="AL911" s="417"/>
      <c r="AM911" s="383"/>
      <c r="AN911" s="507"/>
      <c r="AO911" s="382"/>
      <c r="AP911" s="417"/>
      <c r="AQ911" s="383"/>
      <c r="AR911" s="507"/>
      <c r="AS911" s="514"/>
      <c r="AT911" s="514"/>
    </row>
    <row r="912">
      <c r="A912" s="382"/>
      <c r="B912" s="417"/>
      <c r="C912" s="383"/>
      <c r="D912" s="507"/>
      <c r="E912" s="382"/>
      <c r="F912" s="417"/>
      <c r="G912" s="383"/>
      <c r="H912" s="507"/>
      <c r="I912" s="382"/>
      <c r="J912" s="417"/>
      <c r="K912" s="383"/>
      <c r="L912" s="507"/>
      <c r="M912" s="382"/>
      <c r="N912" s="417"/>
      <c r="O912" s="383"/>
      <c r="P912" s="507"/>
      <c r="Q912" s="518"/>
      <c r="R912" s="519"/>
      <c r="S912" s="520"/>
      <c r="T912" s="513"/>
      <c r="U912" s="518"/>
      <c r="V912" s="519"/>
      <c r="W912" s="520"/>
      <c r="X912" s="513"/>
      <c r="Y912" s="518"/>
      <c r="Z912" s="519"/>
      <c r="AA912" s="520"/>
      <c r="AB912" s="513"/>
      <c r="AC912" s="518"/>
      <c r="AD912" s="519"/>
      <c r="AE912" s="520"/>
      <c r="AF912" s="513"/>
      <c r="AG912" s="356"/>
      <c r="AH912" s="356"/>
      <c r="AI912" s="356"/>
      <c r="AJ912" s="356"/>
      <c r="AK912" s="382"/>
      <c r="AL912" s="417"/>
      <c r="AM912" s="383"/>
      <c r="AN912" s="507"/>
      <c r="AO912" s="382"/>
      <c r="AP912" s="417"/>
      <c r="AQ912" s="383"/>
      <c r="AR912" s="507"/>
      <c r="AS912" s="514"/>
      <c r="AT912" s="514"/>
    </row>
    <row r="913">
      <c r="A913" s="382"/>
      <c r="B913" s="417"/>
      <c r="C913" s="383"/>
      <c r="D913" s="507"/>
      <c r="E913" s="382"/>
      <c r="F913" s="417"/>
      <c r="G913" s="383"/>
      <c r="H913" s="507"/>
      <c r="I913" s="382"/>
      <c r="J913" s="417"/>
      <c r="K913" s="383"/>
      <c r="L913" s="507"/>
      <c r="M913" s="382"/>
      <c r="N913" s="417"/>
      <c r="O913" s="383"/>
      <c r="P913" s="507"/>
      <c r="Q913" s="518"/>
      <c r="R913" s="519"/>
      <c r="S913" s="520"/>
      <c r="T913" s="513"/>
      <c r="U913" s="518"/>
      <c r="V913" s="519"/>
      <c r="W913" s="520"/>
      <c r="X913" s="513"/>
      <c r="Y913" s="518"/>
      <c r="Z913" s="519"/>
      <c r="AA913" s="520"/>
      <c r="AB913" s="513"/>
      <c r="AC913" s="518"/>
      <c r="AD913" s="519"/>
      <c r="AE913" s="520"/>
      <c r="AF913" s="513"/>
      <c r="AG913" s="356"/>
      <c r="AH913" s="356"/>
      <c r="AI913" s="356"/>
      <c r="AJ913" s="356"/>
      <c r="AK913" s="382"/>
      <c r="AL913" s="417"/>
      <c r="AM913" s="383"/>
      <c r="AN913" s="507"/>
      <c r="AO913" s="382"/>
      <c r="AP913" s="417"/>
      <c r="AQ913" s="383"/>
      <c r="AR913" s="507"/>
      <c r="AS913" s="514"/>
      <c r="AT913" s="514"/>
    </row>
    <row r="914">
      <c r="A914" s="382"/>
      <c r="B914" s="417"/>
      <c r="C914" s="383"/>
      <c r="D914" s="507"/>
      <c r="E914" s="382"/>
      <c r="F914" s="417"/>
      <c r="G914" s="383"/>
      <c r="H914" s="507"/>
      <c r="I914" s="382"/>
      <c r="J914" s="417"/>
      <c r="K914" s="383"/>
      <c r="L914" s="507"/>
      <c r="M914" s="382"/>
      <c r="N914" s="417"/>
      <c r="O914" s="383"/>
      <c r="P914" s="507"/>
      <c r="Q914" s="518"/>
      <c r="R914" s="519"/>
      <c r="S914" s="520"/>
      <c r="T914" s="513"/>
      <c r="U914" s="518"/>
      <c r="V914" s="519"/>
      <c r="W914" s="520"/>
      <c r="X914" s="513"/>
      <c r="Y914" s="518"/>
      <c r="Z914" s="519"/>
      <c r="AA914" s="520"/>
      <c r="AB914" s="513"/>
      <c r="AC914" s="518"/>
      <c r="AD914" s="519"/>
      <c r="AE914" s="520"/>
      <c r="AF914" s="513"/>
      <c r="AG914" s="356"/>
      <c r="AH914" s="356"/>
      <c r="AI914" s="356"/>
      <c r="AJ914" s="356"/>
      <c r="AK914" s="382"/>
      <c r="AL914" s="417"/>
      <c r="AM914" s="383"/>
      <c r="AN914" s="507"/>
      <c r="AO914" s="382"/>
      <c r="AP914" s="417"/>
      <c r="AQ914" s="383"/>
      <c r="AR914" s="507"/>
      <c r="AS914" s="514"/>
      <c r="AT914" s="514"/>
    </row>
    <row r="915">
      <c r="A915" s="382"/>
      <c r="B915" s="417"/>
      <c r="C915" s="383"/>
      <c r="D915" s="507"/>
      <c r="E915" s="382"/>
      <c r="F915" s="417"/>
      <c r="G915" s="383"/>
      <c r="H915" s="507"/>
      <c r="I915" s="382"/>
      <c r="J915" s="417"/>
      <c r="K915" s="383"/>
      <c r="L915" s="507"/>
      <c r="M915" s="382"/>
      <c r="N915" s="417"/>
      <c r="O915" s="383"/>
      <c r="P915" s="507"/>
      <c r="Q915" s="518"/>
      <c r="R915" s="519"/>
      <c r="S915" s="520"/>
      <c r="T915" s="513"/>
      <c r="U915" s="518"/>
      <c r="V915" s="519"/>
      <c r="W915" s="520"/>
      <c r="X915" s="513"/>
      <c r="Y915" s="518"/>
      <c r="Z915" s="519"/>
      <c r="AA915" s="520"/>
      <c r="AB915" s="513"/>
      <c r="AC915" s="518"/>
      <c r="AD915" s="519"/>
      <c r="AE915" s="520"/>
      <c r="AF915" s="513"/>
      <c r="AG915" s="356"/>
      <c r="AH915" s="356"/>
      <c r="AI915" s="356"/>
      <c r="AJ915" s="356"/>
      <c r="AK915" s="382"/>
      <c r="AL915" s="417"/>
      <c r="AM915" s="383"/>
      <c r="AN915" s="507"/>
      <c r="AO915" s="382"/>
      <c r="AP915" s="417"/>
      <c r="AQ915" s="383"/>
      <c r="AR915" s="507"/>
      <c r="AS915" s="514"/>
      <c r="AT915" s="514"/>
    </row>
    <row r="916">
      <c r="A916" s="382"/>
      <c r="B916" s="417"/>
      <c r="C916" s="383"/>
      <c r="D916" s="507"/>
      <c r="E916" s="382"/>
      <c r="F916" s="417"/>
      <c r="G916" s="383"/>
      <c r="H916" s="507"/>
      <c r="I916" s="382"/>
      <c r="J916" s="417"/>
      <c r="K916" s="383"/>
      <c r="L916" s="507"/>
      <c r="M916" s="382"/>
      <c r="N916" s="417"/>
      <c r="O916" s="383"/>
      <c r="P916" s="507"/>
      <c r="Q916" s="518"/>
      <c r="R916" s="519"/>
      <c r="S916" s="520"/>
      <c r="T916" s="513"/>
      <c r="U916" s="518"/>
      <c r="V916" s="519"/>
      <c r="W916" s="520"/>
      <c r="X916" s="513"/>
      <c r="Y916" s="518"/>
      <c r="Z916" s="519"/>
      <c r="AA916" s="520"/>
      <c r="AB916" s="513"/>
      <c r="AC916" s="518"/>
      <c r="AD916" s="519"/>
      <c r="AE916" s="520"/>
      <c r="AF916" s="513"/>
      <c r="AG916" s="356"/>
      <c r="AH916" s="356"/>
      <c r="AI916" s="356"/>
      <c r="AJ916" s="356"/>
      <c r="AK916" s="382"/>
      <c r="AL916" s="417"/>
      <c r="AM916" s="383"/>
      <c r="AN916" s="507"/>
      <c r="AO916" s="382"/>
      <c r="AP916" s="417"/>
      <c r="AQ916" s="383"/>
      <c r="AR916" s="507"/>
      <c r="AS916" s="514"/>
      <c r="AT916" s="514"/>
    </row>
    <row r="917">
      <c r="A917" s="382"/>
      <c r="B917" s="417"/>
      <c r="C917" s="383"/>
      <c r="D917" s="507"/>
      <c r="E917" s="382"/>
      <c r="F917" s="417"/>
      <c r="G917" s="383"/>
      <c r="H917" s="507"/>
      <c r="I917" s="382"/>
      <c r="J917" s="417"/>
      <c r="K917" s="383"/>
      <c r="L917" s="507"/>
      <c r="M917" s="382"/>
      <c r="N917" s="417"/>
      <c r="O917" s="383"/>
      <c r="P917" s="507"/>
      <c r="Q917" s="518"/>
      <c r="R917" s="519"/>
      <c r="S917" s="520"/>
      <c r="T917" s="513"/>
      <c r="U917" s="518"/>
      <c r="V917" s="519"/>
      <c r="W917" s="520"/>
      <c r="X917" s="513"/>
      <c r="Y917" s="518"/>
      <c r="Z917" s="519"/>
      <c r="AA917" s="520"/>
      <c r="AB917" s="513"/>
      <c r="AC917" s="518"/>
      <c r="AD917" s="519"/>
      <c r="AE917" s="520"/>
      <c r="AF917" s="513"/>
      <c r="AG917" s="356"/>
      <c r="AH917" s="356"/>
      <c r="AI917" s="356"/>
      <c r="AJ917" s="356"/>
      <c r="AK917" s="382"/>
      <c r="AL917" s="417"/>
      <c r="AM917" s="383"/>
      <c r="AN917" s="507"/>
      <c r="AO917" s="382"/>
      <c r="AP917" s="417"/>
      <c r="AQ917" s="383"/>
      <c r="AR917" s="507"/>
      <c r="AS917" s="514"/>
      <c r="AT917" s="514"/>
    </row>
    <row r="918">
      <c r="A918" s="382"/>
      <c r="B918" s="417"/>
      <c r="C918" s="383"/>
      <c r="D918" s="507"/>
      <c r="E918" s="382"/>
      <c r="F918" s="417"/>
      <c r="G918" s="383"/>
      <c r="H918" s="507"/>
      <c r="I918" s="382"/>
      <c r="J918" s="417"/>
      <c r="K918" s="383"/>
      <c r="L918" s="507"/>
      <c r="M918" s="382"/>
      <c r="N918" s="417"/>
      <c r="O918" s="383"/>
      <c r="P918" s="507"/>
      <c r="Q918" s="518"/>
      <c r="R918" s="519"/>
      <c r="S918" s="520"/>
      <c r="T918" s="513"/>
      <c r="U918" s="518"/>
      <c r="V918" s="519"/>
      <c r="W918" s="520"/>
      <c r="X918" s="513"/>
      <c r="Y918" s="518"/>
      <c r="Z918" s="519"/>
      <c r="AA918" s="520"/>
      <c r="AB918" s="513"/>
      <c r="AC918" s="518"/>
      <c r="AD918" s="519"/>
      <c r="AE918" s="520"/>
      <c r="AF918" s="513"/>
      <c r="AG918" s="356"/>
      <c r="AH918" s="356"/>
      <c r="AI918" s="356"/>
      <c r="AJ918" s="356"/>
      <c r="AK918" s="382"/>
      <c r="AL918" s="417"/>
      <c r="AM918" s="383"/>
      <c r="AN918" s="507"/>
      <c r="AO918" s="382"/>
      <c r="AP918" s="417"/>
      <c r="AQ918" s="383"/>
      <c r="AR918" s="507"/>
      <c r="AS918" s="514"/>
      <c r="AT918" s="514"/>
    </row>
    <row r="919">
      <c r="A919" s="382"/>
      <c r="B919" s="417"/>
      <c r="C919" s="383"/>
      <c r="D919" s="507"/>
      <c r="E919" s="382"/>
      <c r="F919" s="417"/>
      <c r="G919" s="383"/>
      <c r="H919" s="507"/>
      <c r="I919" s="382"/>
      <c r="J919" s="417"/>
      <c r="K919" s="383"/>
      <c r="L919" s="507"/>
      <c r="M919" s="382"/>
      <c r="N919" s="417"/>
      <c r="O919" s="383"/>
      <c r="P919" s="507"/>
      <c r="Q919" s="518"/>
      <c r="R919" s="519"/>
      <c r="S919" s="520"/>
      <c r="T919" s="513"/>
      <c r="U919" s="518"/>
      <c r="V919" s="519"/>
      <c r="W919" s="520"/>
      <c r="X919" s="513"/>
      <c r="Y919" s="518"/>
      <c r="Z919" s="519"/>
      <c r="AA919" s="520"/>
      <c r="AB919" s="513"/>
      <c r="AC919" s="518"/>
      <c r="AD919" s="519"/>
      <c r="AE919" s="520"/>
      <c r="AF919" s="513"/>
      <c r="AG919" s="356"/>
      <c r="AH919" s="356"/>
      <c r="AI919" s="356"/>
      <c r="AJ919" s="356"/>
      <c r="AK919" s="382"/>
      <c r="AL919" s="417"/>
      <c r="AM919" s="383"/>
      <c r="AN919" s="507"/>
      <c r="AO919" s="382"/>
      <c r="AP919" s="417"/>
      <c r="AQ919" s="383"/>
      <c r="AR919" s="507"/>
      <c r="AS919" s="514"/>
      <c r="AT919" s="514"/>
    </row>
    <row r="920">
      <c r="A920" s="382"/>
      <c r="B920" s="417"/>
      <c r="C920" s="383"/>
      <c r="D920" s="507"/>
      <c r="E920" s="382"/>
      <c r="F920" s="417"/>
      <c r="G920" s="383"/>
      <c r="H920" s="507"/>
      <c r="I920" s="382"/>
      <c r="J920" s="417"/>
      <c r="K920" s="383"/>
      <c r="L920" s="507"/>
      <c r="M920" s="382"/>
      <c r="N920" s="417"/>
      <c r="O920" s="383"/>
      <c r="P920" s="507"/>
      <c r="Q920" s="518"/>
      <c r="R920" s="519"/>
      <c r="S920" s="520"/>
      <c r="T920" s="513"/>
      <c r="U920" s="518"/>
      <c r="V920" s="519"/>
      <c r="W920" s="520"/>
      <c r="X920" s="513"/>
      <c r="Y920" s="518"/>
      <c r="Z920" s="519"/>
      <c r="AA920" s="520"/>
      <c r="AB920" s="513"/>
      <c r="AC920" s="518"/>
      <c r="AD920" s="519"/>
      <c r="AE920" s="520"/>
      <c r="AF920" s="513"/>
      <c r="AG920" s="356"/>
      <c r="AH920" s="356"/>
      <c r="AI920" s="356"/>
      <c r="AJ920" s="356"/>
      <c r="AK920" s="382"/>
      <c r="AL920" s="417"/>
      <c r="AM920" s="383"/>
      <c r="AN920" s="507"/>
      <c r="AO920" s="382"/>
      <c r="AP920" s="417"/>
      <c r="AQ920" s="383"/>
      <c r="AR920" s="507"/>
      <c r="AS920" s="514"/>
      <c r="AT920" s="514"/>
    </row>
    <row r="921">
      <c r="A921" s="382"/>
      <c r="B921" s="417"/>
      <c r="C921" s="383"/>
      <c r="D921" s="507"/>
      <c r="E921" s="382"/>
      <c r="F921" s="417"/>
      <c r="G921" s="383"/>
      <c r="H921" s="507"/>
      <c r="I921" s="382"/>
      <c r="J921" s="417"/>
      <c r="K921" s="383"/>
      <c r="L921" s="507"/>
      <c r="M921" s="382"/>
      <c r="N921" s="417"/>
      <c r="O921" s="383"/>
      <c r="P921" s="507"/>
      <c r="Q921" s="518"/>
      <c r="R921" s="519"/>
      <c r="S921" s="520"/>
      <c r="T921" s="513"/>
      <c r="U921" s="518"/>
      <c r="V921" s="519"/>
      <c r="W921" s="520"/>
      <c r="X921" s="513"/>
      <c r="Y921" s="518"/>
      <c r="Z921" s="519"/>
      <c r="AA921" s="520"/>
      <c r="AB921" s="513"/>
      <c r="AC921" s="518"/>
      <c r="AD921" s="519"/>
      <c r="AE921" s="520"/>
      <c r="AF921" s="513"/>
      <c r="AG921" s="356"/>
      <c r="AH921" s="356"/>
      <c r="AI921" s="356"/>
      <c r="AJ921" s="356"/>
      <c r="AK921" s="382"/>
      <c r="AL921" s="417"/>
      <c r="AM921" s="383"/>
      <c r="AN921" s="507"/>
      <c r="AO921" s="382"/>
      <c r="AP921" s="417"/>
      <c r="AQ921" s="383"/>
      <c r="AR921" s="507"/>
      <c r="AS921" s="514"/>
      <c r="AT921" s="514"/>
    </row>
    <row r="922">
      <c r="A922" s="382"/>
      <c r="B922" s="417"/>
      <c r="C922" s="383"/>
      <c r="D922" s="507"/>
      <c r="E922" s="382"/>
      <c r="F922" s="417"/>
      <c r="G922" s="383"/>
      <c r="H922" s="507"/>
      <c r="I922" s="382"/>
      <c r="J922" s="417"/>
      <c r="K922" s="383"/>
      <c r="L922" s="507"/>
      <c r="M922" s="382"/>
      <c r="N922" s="417"/>
      <c r="O922" s="383"/>
      <c r="P922" s="507"/>
      <c r="Q922" s="518"/>
      <c r="R922" s="519"/>
      <c r="S922" s="520"/>
      <c r="T922" s="513"/>
      <c r="U922" s="518"/>
      <c r="V922" s="519"/>
      <c r="W922" s="520"/>
      <c r="X922" s="513"/>
      <c r="Y922" s="518"/>
      <c r="Z922" s="519"/>
      <c r="AA922" s="520"/>
      <c r="AB922" s="513"/>
      <c r="AC922" s="518"/>
      <c r="AD922" s="519"/>
      <c r="AE922" s="520"/>
      <c r="AF922" s="513"/>
      <c r="AG922" s="356"/>
      <c r="AH922" s="356"/>
      <c r="AI922" s="356"/>
      <c r="AJ922" s="356"/>
      <c r="AK922" s="382"/>
      <c r="AL922" s="417"/>
      <c r="AM922" s="383"/>
      <c r="AN922" s="507"/>
      <c r="AO922" s="382"/>
      <c r="AP922" s="417"/>
      <c r="AQ922" s="383"/>
      <c r="AR922" s="507"/>
      <c r="AS922" s="514"/>
      <c r="AT922" s="514"/>
    </row>
    <row r="923">
      <c r="A923" s="382"/>
      <c r="B923" s="417"/>
      <c r="C923" s="383"/>
      <c r="D923" s="507"/>
      <c r="E923" s="382"/>
      <c r="F923" s="417"/>
      <c r="G923" s="383"/>
      <c r="H923" s="507"/>
      <c r="I923" s="382"/>
      <c r="J923" s="417"/>
      <c r="K923" s="383"/>
      <c r="L923" s="507"/>
      <c r="M923" s="382"/>
      <c r="N923" s="417"/>
      <c r="O923" s="383"/>
      <c r="P923" s="507"/>
      <c r="Q923" s="518"/>
      <c r="R923" s="519"/>
      <c r="S923" s="520"/>
      <c r="T923" s="513"/>
      <c r="U923" s="518"/>
      <c r="V923" s="519"/>
      <c r="W923" s="520"/>
      <c r="X923" s="513"/>
      <c r="Y923" s="518"/>
      <c r="Z923" s="519"/>
      <c r="AA923" s="520"/>
      <c r="AB923" s="513"/>
      <c r="AC923" s="518"/>
      <c r="AD923" s="519"/>
      <c r="AE923" s="520"/>
      <c r="AF923" s="513"/>
      <c r="AG923" s="356"/>
      <c r="AH923" s="356"/>
      <c r="AI923" s="356"/>
      <c r="AJ923" s="356"/>
      <c r="AK923" s="382"/>
      <c r="AL923" s="417"/>
      <c r="AM923" s="383"/>
      <c r="AN923" s="507"/>
      <c r="AO923" s="382"/>
      <c r="AP923" s="417"/>
      <c r="AQ923" s="383"/>
      <c r="AR923" s="507"/>
      <c r="AS923" s="514"/>
      <c r="AT923" s="514"/>
    </row>
    <row r="924">
      <c r="A924" s="382"/>
      <c r="B924" s="417"/>
      <c r="C924" s="383"/>
      <c r="D924" s="507"/>
      <c r="E924" s="382"/>
      <c r="F924" s="417"/>
      <c r="G924" s="383"/>
      <c r="H924" s="507"/>
      <c r="I924" s="382"/>
      <c r="J924" s="417"/>
      <c r="K924" s="383"/>
      <c r="L924" s="507"/>
      <c r="M924" s="382"/>
      <c r="N924" s="417"/>
      <c r="O924" s="383"/>
      <c r="P924" s="507"/>
      <c r="Q924" s="518"/>
      <c r="R924" s="519"/>
      <c r="S924" s="520"/>
      <c r="T924" s="513"/>
      <c r="U924" s="518"/>
      <c r="V924" s="519"/>
      <c r="W924" s="520"/>
      <c r="X924" s="513"/>
      <c r="Y924" s="518"/>
      <c r="Z924" s="519"/>
      <c r="AA924" s="520"/>
      <c r="AB924" s="513"/>
      <c r="AC924" s="518"/>
      <c r="AD924" s="519"/>
      <c r="AE924" s="520"/>
      <c r="AF924" s="513"/>
      <c r="AG924" s="356"/>
      <c r="AH924" s="356"/>
      <c r="AI924" s="356"/>
      <c r="AJ924" s="356"/>
      <c r="AK924" s="382"/>
      <c r="AL924" s="417"/>
      <c r="AM924" s="383"/>
      <c r="AN924" s="507"/>
      <c r="AO924" s="382"/>
      <c r="AP924" s="417"/>
      <c r="AQ924" s="383"/>
      <c r="AR924" s="507"/>
      <c r="AS924" s="514"/>
      <c r="AT924" s="514"/>
    </row>
    <row r="925">
      <c r="A925" s="382"/>
      <c r="B925" s="417"/>
      <c r="C925" s="383"/>
      <c r="D925" s="507"/>
      <c r="E925" s="382"/>
      <c r="F925" s="417"/>
      <c r="G925" s="383"/>
      <c r="H925" s="507"/>
      <c r="I925" s="382"/>
      <c r="J925" s="417"/>
      <c r="K925" s="383"/>
      <c r="L925" s="507"/>
      <c r="M925" s="382"/>
      <c r="N925" s="417"/>
      <c r="O925" s="383"/>
      <c r="P925" s="507"/>
      <c r="Q925" s="518"/>
      <c r="R925" s="519"/>
      <c r="S925" s="520"/>
      <c r="T925" s="513"/>
      <c r="U925" s="518"/>
      <c r="V925" s="519"/>
      <c r="W925" s="520"/>
      <c r="X925" s="513"/>
      <c r="Y925" s="518"/>
      <c r="Z925" s="519"/>
      <c r="AA925" s="520"/>
      <c r="AB925" s="513"/>
      <c r="AC925" s="518"/>
      <c r="AD925" s="519"/>
      <c r="AE925" s="520"/>
      <c r="AF925" s="513"/>
      <c r="AG925" s="356"/>
      <c r="AH925" s="356"/>
      <c r="AI925" s="356"/>
      <c r="AJ925" s="356"/>
      <c r="AK925" s="382"/>
      <c r="AL925" s="417"/>
      <c r="AM925" s="383"/>
      <c r="AN925" s="507"/>
      <c r="AO925" s="382"/>
      <c r="AP925" s="417"/>
      <c r="AQ925" s="383"/>
      <c r="AR925" s="507"/>
      <c r="AS925" s="514"/>
      <c r="AT925" s="514"/>
    </row>
    <row r="926">
      <c r="A926" s="382"/>
      <c r="B926" s="417"/>
      <c r="C926" s="383"/>
      <c r="D926" s="507"/>
      <c r="E926" s="382"/>
      <c r="F926" s="417"/>
      <c r="G926" s="383"/>
      <c r="H926" s="507"/>
      <c r="I926" s="382"/>
      <c r="J926" s="417"/>
      <c r="K926" s="383"/>
      <c r="L926" s="507"/>
      <c r="M926" s="382"/>
      <c r="N926" s="417"/>
      <c r="O926" s="383"/>
      <c r="P926" s="507"/>
      <c r="Q926" s="518"/>
      <c r="R926" s="519"/>
      <c r="S926" s="520"/>
      <c r="T926" s="513"/>
      <c r="U926" s="518"/>
      <c r="V926" s="519"/>
      <c r="W926" s="520"/>
      <c r="X926" s="513"/>
      <c r="Y926" s="518"/>
      <c r="Z926" s="519"/>
      <c r="AA926" s="520"/>
      <c r="AB926" s="513"/>
      <c r="AC926" s="518"/>
      <c r="AD926" s="519"/>
      <c r="AE926" s="520"/>
      <c r="AF926" s="513"/>
      <c r="AG926" s="356"/>
      <c r="AH926" s="356"/>
      <c r="AI926" s="356"/>
      <c r="AJ926" s="356"/>
      <c r="AK926" s="382"/>
      <c r="AL926" s="417"/>
      <c r="AM926" s="383"/>
      <c r="AN926" s="507"/>
      <c r="AO926" s="382"/>
      <c r="AP926" s="417"/>
      <c r="AQ926" s="383"/>
      <c r="AR926" s="507"/>
      <c r="AS926" s="514"/>
      <c r="AT926" s="514"/>
    </row>
    <row r="927">
      <c r="A927" s="382"/>
      <c r="B927" s="417"/>
      <c r="C927" s="383"/>
      <c r="D927" s="507"/>
      <c r="E927" s="382"/>
      <c r="F927" s="417"/>
      <c r="G927" s="383"/>
      <c r="H927" s="507"/>
      <c r="I927" s="382"/>
      <c r="J927" s="417"/>
      <c r="K927" s="383"/>
      <c r="L927" s="507"/>
      <c r="M927" s="382"/>
      <c r="N927" s="417"/>
      <c r="O927" s="383"/>
      <c r="P927" s="507"/>
      <c r="Q927" s="518"/>
      <c r="R927" s="519"/>
      <c r="S927" s="520"/>
      <c r="T927" s="513"/>
      <c r="U927" s="518"/>
      <c r="V927" s="519"/>
      <c r="W927" s="520"/>
      <c r="X927" s="513"/>
      <c r="Y927" s="518"/>
      <c r="Z927" s="519"/>
      <c r="AA927" s="520"/>
      <c r="AB927" s="513"/>
      <c r="AC927" s="518"/>
      <c r="AD927" s="519"/>
      <c r="AE927" s="520"/>
      <c r="AF927" s="513"/>
      <c r="AG927" s="356"/>
      <c r="AH927" s="356"/>
      <c r="AI927" s="356"/>
      <c r="AJ927" s="356"/>
      <c r="AK927" s="382"/>
      <c r="AL927" s="417"/>
      <c r="AM927" s="383"/>
      <c r="AN927" s="507"/>
      <c r="AO927" s="382"/>
      <c r="AP927" s="417"/>
      <c r="AQ927" s="383"/>
      <c r="AR927" s="507"/>
      <c r="AS927" s="514"/>
      <c r="AT927" s="514"/>
    </row>
    <row r="928">
      <c r="A928" s="382"/>
      <c r="B928" s="417"/>
      <c r="C928" s="383"/>
      <c r="D928" s="507"/>
      <c r="E928" s="382"/>
      <c r="F928" s="417"/>
      <c r="G928" s="383"/>
      <c r="H928" s="507"/>
      <c r="I928" s="382"/>
      <c r="J928" s="417"/>
      <c r="K928" s="383"/>
      <c r="L928" s="507"/>
      <c r="M928" s="382"/>
      <c r="N928" s="417"/>
      <c r="O928" s="383"/>
      <c r="P928" s="507"/>
      <c r="Q928" s="518"/>
      <c r="R928" s="519"/>
      <c r="S928" s="520"/>
      <c r="T928" s="513"/>
      <c r="U928" s="518"/>
      <c r="V928" s="519"/>
      <c r="W928" s="520"/>
      <c r="X928" s="513"/>
      <c r="Y928" s="518"/>
      <c r="Z928" s="519"/>
      <c r="AA928" s="520"/>
      <c r="AB928" s="513"/>
      <c r="AC928" s="518"/>
      <c r="AD928" s="519"/>
      <c r="AE928" s="520"/>
      <c r="AF928" s="513"/>
      <c r="AG928" s="356"/>
      <c r="AH928" s="356"/>
      <c r="AI928" s="356"/>
      <c r="AJ928" s="356"/>
      <c r="AK928" s="382"/>
      <c r="AL928" s="417"/>
      <c r="AM928" s="383"/>
      <c r="AN928" s="507"/>
      <c r="AO928" s="382"/>
      <c r="AP928" s="417"/>
      <c r="AQ928" s="383"/>
      <c r="AR928" s="507"/>
      <c r="AS928" s="514"/>
      <c r="AT928" s="514"/>
    </row>
    <row r="929">
      <c r="A929" s="382"/>
      <c r="B929" s="417"/>
      <c r="C929" s="383"/>
      <c r="D929" s="507"/>
      <c r="E929" s="382"/>
      <c r="F929" s="417"/>
      <c r="G929" s="383"/>
      <c r="H929" s="507"/>
      <c r="I929" s="382"/>
      <c r="J929" s="417"/>
      <c r="K929" s="383"/>
      <c r="L929" s="507"/>
      <c r="M929" s="382"/>
      <c r="N929" s="417"/>
      <c r="O929" s="383"/>
      <c r="P929" s="507"/>
      <c r="Q929" s="518"/>
      <c r="R929" s="519"/>
      <c r="S929" s="520"/>
      <c r="T929" s="513"/>
      <c r="U929" s="518"/>
      <c r="V929" s="519"/>
      <c r="W929" s="520"/>
      <c r="X929" s="513"/>
      <c r="Y929" s="518"/>
      <c r="Z929" s="519"/>
      <c r="AA929" s="520"/>
      <c r="AB929" s="513"/>
      <c r="AC929" s="518"/>
      <c r="AD929" s="519"/>
      <c r="AE929" s="520"/>
      <c r="AF929" s="513"/>
      <c r="AG929" s="356"/>
      <c r="AH929" s="356"/>
      <c r="AI929" s="356"/>
      <c r="AJ929" s="356"/>
      <c r="AK929" s="382"/>
      <c r="AL929" s="417"/>
      <c r="AM929" s="383"/>
      <c r="AN929" s="507"/>
      <c r="AO929" s="382"/>
      <c r="AP929" s="417"/>
      <c r="AQ929" s="383"/>
      <c r="AR929" s="507"/>
      <c r="AS929" s="514"/>
      <c r="AT929" s="514"/>
    </row>
    <row r="930">
      <c r="A930" s="382"/>
      <c r="B930" s="417"/>
      <c r="C930" s="383"/>
      <c r="D930" s="507"/>
      <c r="E930" s="382"/>
      <c r="F930" s="417"/>
      <c r="G930" s="383"/>
      <c r="H930" s="507"/>
      <c r="I930" s="382"/>
      <c r="J930" s="417"/>
      <c r="K930" s="383"/>
      <c r="L930" s="507"/>
      <c r="M930" s="382"/>
      <c r="N930" s="417"/>
      <c r="O930" s="383"/>
      <c r="P930" s="507"/>
      <c r="Q930" s="518"/>
      <c r="R930" s="519"/>
      <c r="S930" s="520"/>
      <c r="T930" s="513"/>
      <c r="U930" s="518"/>
      <c r="V930" s="519"/>
      <c r="W930" s="520"/>
      <c r="X930" s="513"/>
      <c r="Y930" s="518"/>
      <c r="Z930" s="519"/>
      <c r="AA930" s="520"/>
      <c r="AB930" s="513"/>
      <c r="AC930" s="518"/>
      <c r="AD930" s="519"/>
      <c r="AE930" s="520"/>
      <c r="AF930" s="513"/>
      <c r="AG930" s="356"/>
      <c r="AH930" s="356"/>
      <c r="AI930" s="356"/>
      <c r="AJ930" s="356"/>
      <c r="AK930" s="382"/>
      <c r="AL930" s="417"/>
      <c r="AM930" s="383"/>
      <c r="AN930" s="507"/>
      <c r="AO930" s="382"/>
      <c r="AP930" s="417"/>
      <c r="AQ930" s="383"/>
      <c r="AR930" s="507"/>
      <c r="AS930" s="514"/>
      <c r="AT930" s="514"/>
    </row>
    <row r="931">
      <c r="A931" s="382"/>
      <c r="B931" s="417"/>
      <c r="C931" s="383"/>
      <c r="D931" s="507"/>
      <c r="E931" s="382"/>
      <c r="F931" s="417"/>
      <c r="G931" s="383"/>
      <c r="H931" s="507"/>
      <c r="I931" s="382"/>
      <c r="J931" s="417"/>
      <c r="K931" s="383"/>
      <c r="L931" s="507"/>
      <c r="M931" s="382"/>
      <c r="N931" s="417"/>
      <c r="O931" s="383"/>
      <c r="P931" s="507"/>
      <c r="Q931" s="518"/>
      <c r="R931" s="519"/>
      <c r="S931" s="520"/>
      <c r="T931" s="513"/>
      <c r="U931" s="518"/>
      <c r="V931" s="519"/>
      <c r="W931" s="520"/>
      <c r="X931" s="513"/>
      <c r="Y931" s="518"/>
      <c r="Z931" s="519"/>
      <c r="AA931" s="520"/>
      <c r="AB931" s="513"/>
      <c r="AC931" s="518"/>
      <c r="AD931" s="519"/>
      <c r="AE931" s="520"/>
      <c r="AF931" s="513"/>
      <c r="AG931" s="356"/>
      <c r="AH931" s="356"/>
      <c r="AI931" s="356"/>
      <c r="AJ931" s="356"/>
      <c r="AK931" s="382"/>
      <c r="AL931" s="417"/>
      <c r="AM931" s="383"/>
      <c r="AN931" s="507"/>
      <c r="AO931" s="382"/>
      <c r="AP931" s="417"/>
      <c r="AQ931" s="383"/>
      <c r="AR931" s="507"/>
      <c r="AS931" s="514"/>
      <c r="AT931" s="514"/>
    </row>
    <row r="932">
      <c r="A932" s="382"/>
      <c r="B932" s="417"/>
      <c r="C932" s="383"/>
      <c r="D932" s="507"/>
      <c r="E932" s="382"/>
      <c r="F932" s="417"/>
      <c r="G932" s="383"/>
      <c r="H932" s="507"/>
      <c r="I932" s="382"/>
      <c r="J932" s="417"/>
      <c r="K932" s="383"/>
      <c r="L932" s="507"/>
      <c r="M932" s="382"/>
      <c r="N932" s="417"/>
      <c r="O932" s="383"/>
      <c r="P932" s="507"/>
      <c r="Q932" s="518"/>
      <c r="R932" s="519"/>
      <c r="S932" s="520"/>
      <c r="T932" s="513"/>
      <c r="U932" s="518"/>
      <c r="V932" s="519"/>
      <c r="W932" s="520"/>
      <c r="X932" s="513"/>
      <c r="Y932" s="518"/>
      <c r="Z932" s="519"/>
      <c r="AA932" s="520"/>
      <c r="AB932" s="513"/>
      <c r="AC932" s="518"/>
      <c r="AD932" s="519"/>
      <c r="AE932" s="520"/>
      <c r="AF932" s="513"/>
      <c r="AG932" s="356"/>
      <c r="AH932" s="356"/>
      <c r="AI932" s="356"/>
      <c r="AJ932" s="356"/>
      <c r="AK932" s="382"/>
      <c r="AL932" s="417"/>
      <c r="AM932" s="383"/>
      <c r="AN932" s="507"/>
      <c r="AO932" s="382"/>
      <c r="AP932" s="417"/>
      <c r="AQ932" s="383"/>
      <c r="AR932" s="507"/>
      <c r="AS932" s="514"/>
      <c r="AT932" s="514"/>
    </row>
    <row r="933">
      <c r="A933" s="382"/>
      <c r="B933" s="417"/>
      <c r="C933" s="383"/>
      <c r="D933" s="507"/>
      <c r="E933" s="382"/>
      <c r="F933" s="417"/>
      <c r="G933" s="383"/>
      <c r="H933" s="507"/>
      <c r="I933" s="382"/>
      <c r="J933" s="417"/>
      <c r="K933" s="383"/>
      <c r="L933" s="507"/>
      <c r="M933" s="382"/>
      <c r="N933" s="417"/>
      <c r="O933" s="383"/>
      <c r="P933" s="507"/>
      <c r="Q933" s="518"/>
      <c r="R933" s="519"/>
      <c r="S933" s="520"/>
      <c r="T933" s="513"/>
      <c r="U933" s="518"/>
      <c r="V933" s="519"/>
      <c r="W933" s="520"/>
      <c r="X933" s="513"/>
      <c r="Y933" s="518"/>
      <c r="Z933" s="519"/>
      <c r="AA933" s="520"/>
      <c r="AB933" s="513"/>
      <c r="AC933" s="518"/>
      <c r="AD933" s="519"/>
      <c r="AE933" s="520"/>
      <c r="AF933" s="513"/>
      <c r="AG933" s="356"/>
      <c r="AH933" s="356"/>
      <c r="AI933" s="356"/>
      <c r="AJ933" s="356"/>
      <c r="AK933" s="382"/>
      <c r="AL933" s="417"/>
      <c r="AM933" s="383"/>
      <c r="AN933" s="507"/>
      <c r="AO933" s="382"/>
      <c r="AP933" s="417"/>
      <c r="AQ933" s="383"/>
      <c r="AR933" s="507"/>
      <c r="AS933" s="514"/>
      <c r="AT933" s="514"/>
    </row>
    <row r="934">
      <c r="A934" s="382"/>
      <c r="B934" s="417"/>
      <c r="C934" s="383"/>
      <c r="D934" s="507"/>
      <c r="E934" s="382"/>
      <c r="F934" s="417"/>
      <c r="G934" s="383"/>
      <c r="H934" s="507"/>
      <c r="I934" s="382"/>
      <c r="J934" s="417"/>
      <c r="K934" s="383"/>
      <c r="L934" s="507"/>
      <c r="M934" s="382"/>
      <c r="N934" s="417"/>
      <c r="O934" s="383"/>
      <c r="P934" s="507"/>
      <c r="Q934" s="518"/>
      <c r="R934" s="519"/>
      <c r="S934" s="520"/>
      <c r="T934" s="513"/>
      <c r="U934" s="518"/>
      <c r="V934" s="519"/>
      <c r="W934" s="520"/>
      <c r="X934" s="513"/>
      <c r="Y934" s="518"/>
      <c r="Z934" s="519"/>
      <c r="AA934" s="520"/>
      <c r="AB934" s="513"/>
      <c r="AC934" s="518"/>
      <c r="AD934" s="519"/>
      <c r="AE934" s="520"/>
      <c r="AF934" s="513"/>
      <c r="AG934" s="356"/>
      <c r="AH934" s="356"/>
      <c r="AI934" s="356"/>
      <c r="AJ934" s="356"/>
      <c r="AK934" s="382"/>
      <c r="AL934" s="417"/>
      <c r="AM934" s="383"/>
      <c r="AN934" s="507"/>
      <c r="AO934" s="382"/>
      <c r="AP934" s="417"/>
      <c r="AQ934" s="383"/>
      <c r="AR934" s="507"/>
      <c r="AS934" s="514"/>
      <c r="AT934" s="514"/>
    </row>
    <row r="935">
      <c r="A935" s="382"/>
      <c r="B935" s="417"/>
      <c r="C935" s="383"/>
      <c r="D935" s="507"/>
      <c r="E935" s="382"/>
      <c r="F935" s="417"/>
      <c r="G935" s="383"/>
      <c r="H935" s="507"/>
      <c r="I935" s="382"/>
      <c r="J935" s="417"/>
      <c r="K935" s="383"/>
      <c r="L935" s="507"/>
      <c r="M935" s="382"/>
      <c r="N935" s="417"/>
      <c r="O935" s="383"/>
      <c r="P935" s="507"/>
      <c r="Q935" s="518"/>
      <c r="R935" s="519"/>
      <c r="S935" s="520"/>
      <c r="T935" s="513"/>
      <c r="U935" s="518"/>
      <c r="V935" s="519"/>
      <c r="W935" s="520"/>
      <c r="X935" s="513"/>
      <c r="Y935" s="518"/>
      <c r="Z935" s="519"/>
      <c r="AA935" s="520"/>
      <c r="AB935" s="513"/>
      <c r="AC935" s="518"/>
      <c r="AD935" s="519"/>
      <c r="AE935" s="520"/>
      <c r="AF935" s="513"/>
      <c r="AG935" s="356"/>
      <c r="AH935" s="356"/>
      <c r="AI935" s="356"/>
      <c r="AJ935" s="356"/>
      <c r="AK935" s="382"/>
      <c r="AL935" s="417"/>
      <c r="AM935" s="383"/>
      <c r="AN935" s="507"/>
      <c r="AO935" s="382"/>
      <c r="AP935" s="417"/>
      <c r="AQ935" s="383"/>
      <c r="AR935" s="507"/>
      <c r="AS935" s="514"/>
      <c r="AT935" s="514"/>
    </row>
    <row r="936">
      <c r="A936" s="382"/>
      <c r="B936" s="417"/>
      <c r="C936" s="383"/>
      <c r="D936" s="507"/>
      <c r="E936" s="382"/>
      <c r="F936" s="417"/>
      <c r="G936" s="383"/>
      <c r="H936" s="507"/>
      <c r="I936" s="382"/>
      <c r="J936" s="417"/>
      <c r="K936" s="383"/>
      <c r="L936" s="507"/>
      <c r="M936" s="382"/>
      <c r="N936" s="417"/>
      <c r="O936" s="383"/>
      <c r="P936" s="507"/>
      <c r="Q936" s="518"/>
      <c r="R936" s="519"/>
      <c r="S936" s="520"/>
      <c r="T936" s="513"/>
      <c r="U936" s="518"/>
      <c r="V936" s="519"/>
      <c r="W936" s="520"/>
      <c r="X936" s="513"/>
      <c r="Y936" s="518"/>
      <c r="Z936" s="519"/>
      <c r="AA936" s="520"/>
      <c r="AB936" s="513"/>
      <c r="AC936" s="518"/>
      <c r="AD936" s="519"/>
      <c r="AE936" s="520"/>
      <c r="AF936" s="513"/>
      <c r="AG936" s="356"/>
      <c r="AH936" s="356"/>
      <c r="AI936" s="356"/>
      <c r="AJ936" s="356"/>
      <c r="AK936" s="382"/>
      <c r="AL936" s="417"/>
      <c r="AM936" s="383"/>
      <c r="AN936" s="507"/>
      <c r="AO936" s="382"/>
      <c r="AP936" s="417"/>
      <c r="AQ936" s="383"/>
      <c r="AR936" s="507"/>
      <c r="AS936" s="514"/>
      <c r="AT936" s="514"/>
    </row>
    <row r="937">
      <c r="A937" s="382"/>
      <c r="B937" s="417"/>
      <c r="C937" s="383"/>
      <c r="D937" s="507"/>
      <c r="E937" s="382"/>
      <c r="F937" s="417"/>
      <c r="G937" s="383"/>
      <c r="H937" s="507"/>
      <c r="I937" s="382"/>
      <c r="J937" s="417"/>
      <c r="K937" s="383"/>
      <c r="L937" s="507"/>
      <c r="M937" s="382"/>
      <c r="N937" s="417"/>
      <c r="O937" s="383"/>
      <c r="P937" s="507"/>
      <c r="Q937" s="518"/>
      <c r="R937" s="519"/>
      <c r="S937" s="520"/>
      <c r="T937" s="513"/>
      <c r="U937" s="518"/>
      <c r="V937" s="519"/>
      <c r="W937" s="520"/>
      <c r="X937" s="513"/>
      <c r="Y937" s="518"/>
      <c r="Z937" s="519"/>
      <c r="AA937" s="520"/>
      <c r="AB937" s="513"/>
      <c r="AC937" s="518"/>
      <c r="AD937" s="519"/>
      <c r="AE937" s="520"/>
      <c r="AF937" s="513"/>
      <c r="AG937" s="356"/>
      <c r="AH937" s="356"/>
      <c r="AI937" s="356"/>
      <c r="AJ937" s="356"/>
      <c r="AK937" s="382"/>
      <c r="AL937" s="417"/>
      <c r="AM937" s="383"/>
      <c r="AN937" s="507"/>
      <c r="AO937" s="382"/>
      <c r="AP937" s="417"/>
      <c r="AQ937" s="383"/>
      <c r="AR937" s="507"/>
      <c r="AS937" s="514"/>
      <c r="AT937" s="514"/>
    </row>
    <row r="938">
      <c r="A938" s="382"/>
      <c r="B938" s="417"/>
      <c r="C938" s="383"/>
      <c r="D938" s="507"/>
      <c r="E938" s="382"/>
      <c r="F938" s="417"/>
      <c r="G938" s="383"/>
      <c r="H938" s="507"/>
      <c r="I938" s="382"/>
      <c r="J938" s="417"/>
      <c r="K938" s="383"/>
      <c r="L938" s="507"/>
      <c r="M938" s="382"/>
      <c r="N938" s="417"/>
      <c r="O938" s="383"/>
      <c r="P938" s="507"/>
      <c r="Q938" s="518"/>
      <c r="R938" s="519"/>
      <c r="S938" s="520"/>
      <c r="T938" s="513"/>
      <c r="U938" s="518"/>
      <c r="V938" s="519"/>
      <c r="W938" s="520"/>
      <c r="X938" s="513"/>
      <c r="Y938" s="518"/>
      <c r="Z938" s="519"/>
      <c r="AA938" s="520"/>
      <c r="AB938" s="513"/>
      <c r="AC938" s="518"/>
      <c r="AD938" s="519"/>
      <c r="AE938" s="520"/>
      <c r="AF938" s="513"/>
      <c r="AG938" s="356"/>
      <c r="AH938" s="356"/>
      <c r="AI938" s="356"/>
      <c r="AJ938" s="356"/>
      <c r="AK938" s="382"/>
      <c r="AL938" s="417"/>
      <c r="AM938" s="383"/>
      <c r="AN938" s="507"/>
      <c r="AO938" s="382"/>
      <c r="AP938" s="417"/>
      <c r="AQ938" s="383"/>
      <c r="AR938" s="507"/>
      <c r="AS938" s="514"/>
      <c r="AT938" s="514"/>
    </row>
    <row r="939">
      <c r="A939" s="382"/>
      <c r="B939" s="417"/>
      <c r="C939" s="383"/>
      <c r="D939" s="507"/>
      <c r="E939" s="382"/>
      <c r="F939" s="417"/>
      <c r="G939" s="383"/>
      <c r="H939" s="507"/>
      <c r="I939" s="382"/>
      <c r="J939" s="417"/>
      <c r="K939" s="383"/>
      <c r="L939" s="507"/>
      <c r="M939" s="382"/>
      <c r="N939" s="417"/>
      <c r="O939" s="383"/>
      <c r="P939" s="507"/>
      <c r="Q939" s="518"/>
      <c r="R939" s="519"/>
      <c r="S939" s="520"/>
      <c r="T939" s="513"/>
      <c r="U939" s="518"/>
      <c r="V939" s="519"/>
      <c r="W939" s="520"/>
      <c r="X939" s="513"/>
      <c r="Y939" s="518"/>
      <c r="Z939" s="519"/>
      <c r="AA939" s="520"/>
      <c r="AB939" s="513"/>
      <c r="AC939" s="518"/>
      <c r="AD939" s="519"/>
      <c r="AE939" s="520"/>
      <c r="AF939" s="513"/>
      <c r="AG939" s="356"/>
      <c r="AH939" s="356"/>
      <c r="AI939" s="356"/>
      <c r="AJ939" s="356"/>
      <c r="AK939" s="382"/>
      <c r="AL939" s="417"/>
      <c r="AM939" s="383"/>
      <c r="AN939" s="507"/>
      <c r="AO939" s="382"/>
      <c r="AP939" s="417"/>
      <c r="AQ939" s="383"/>
      <c r="AR939" s="507"/>
      <c r="AS939" s="514"/>
      <c r="AT939" s="514"/>
    </row>
    <row r="940">
      <c r="A940" s="382"/>
      <c r="B940" s="417"/>
      <c r="C940" s="383"/>
      <c r="D940" s="507"/>
      <c r="E940" s="382"/>
      <c r="F940" s="417"/>
      <c r="G940" s="383"/>
      <c r="H940" s="507"/>
      <c r="I940" s="382"/>
      <c r="J940" s="417"/>
      <c r="K940" s="383"/>
      <c r="L940" s="507"/>
      <c r="M940" s="382"/>
      <c r="N940" s="417"/>
      <c r="O940" s="383"/>
      <c r="P940" s="507"/>
      <c r="Q940" s="518"/>
      <c r="R940" s="519"/>
      <c r="S940" s="520"/>
      <c r="T940" s="513"/>
      <c r="U940" s="518"/>
      <c r="V940" s="519"/>
      <c r="W940" s="520"/>
      <c r="X940" s="513"/>
      <c r="Y940" s="518"/>
      <c r="Z940" s="519"/>
      <c r="AA940" s="520"/>
      <c r="AB940" s="513"/>
      <c r="AC940" s="518"/>
      <c r="AD940" s="519"/>
      <c r="AE940" s="520"/>
      <c r="AF940" s="513"/>
      <c r="AG940" s="356"/>
      <c r="AH940" s="356"/>
      <c r="AI940" s="356"/>
      <c r="AJ940" s="356"/>
      <c r="AK940" s="382"/>
      <c r="AL940" s="417"/>
      <c r="AM940" s="383"/>
      <c r="AN940" s="507"/>
      <c r="AO940" s="382"/>
      <c r="AP940" s="417"/>
      <c r="AQ940" s="383"/>
      <c r="AR940" s="507"/>
      <c r="AS940" s="514"/>
      <c r="AT940" s="514"/>
    </row>
    <row r="941">
      <c r="A941" s="382"/>
      <c r="B941" s="417"/>
      <c r="C941" s="383"/>
      <c r="D941" s="507"/>
      <c r="E941" s="382"/>
      <c r="F941" s="417"/>
      <c r="G941" s="383"/>
      <c r="H941" s="507"/>
      <c r="I941" s="382"/>
      <c r="J941" s="417"/>
      <c r="K941" s="383"/>
      <c r="L941" s="507"/>
      <c r="M941" s="382"/>
      <c r="N941" s="417"/>
      <c r="O941" s="383"/>
      <c r="P941" s="507"/>
      <c r="Q941" s="518"/>
      <c r="R941" s="519"/>
      <c r="S941" s="520"/>
      <c r="T941" s="513"/>
      <c r="U941" s="518"/>
      <c r="V941" s="519"/>
      <c r="W941" s="520"/>
      <c r="X941" s="513"/>
      <c r="Y941" s="518"/>
      <c r="Z941" s="519"/>
      <c r="AA941" s="520"/>
      <c r="AB941" s="513"/>
      <c r="AC941" s="518"/>
      <c r="AD941" s="519"/>
      <c r="AE941" s="520"/>
      <c r="AF941" s="513"/>
      <c r="AG941" s="356"/>
      <c r="AH941" s="356"/>
      <c r="AI941" s="356"/>
      <c r="AJ941" s="356"/>
      <c r="AK941" s="382"/>
      <c r="AL941" s="417"/>
      <c r="AM941" s="383"/>
      <c r="AN941" s="507"/>
      <c r="AO941" s="382"/>
      <c r="AP941" s="417"/>
      <c r="AQ941" s="383"/>
      <c r="AR941" s="507"/>
      <c r="AS941" s="514"/>
      <c r="AT941" s="514"/>
    </row>
    <row r="942">
      <c r="A942" s="382"/>
      <c r="B942" s="417"/>
      <c r="C942" s="383"/>
      <c r="D942" s="507"/>
      <c r="E942" s="382"/>
      <c r="F942" s="417"/>
      <c r="G942" s="383"/>
      <c r="H942" s="507"/>
      <c r="I942" s="382"/>
      <c r="J942" s="417"/>
      <c r="K942" s="383"/>
      <c r="L942" s="507"/>
      <c r="M942" s="382"/>
      <c r="N942" s="417"/>
      <c r="O942" s="383"/>
      <c r="P942" s="507"/>
      <c r="Q942" s="518"/>
      <c r="R942" s="519"/>
      <c r="S942" s="520"/>
      <c r="T942" s="513"/>
      <c r="U942" s="518"/>
      <c r="V942" s="519"/>
      <c r="W942" s="520"/>
      <c r="X942" s="513"/>
      <c r="Y942" s="518"/>
      <c r="Z942" s="519"/>
      <c r="AA942" s="520"/>
      <c r="AB942" s="513"/>
      <c r="AC942" s="518"/>
      <c r="AD942" s="519"/>
      <c r="AE942" s="520"/>
      <c r="AF942" s="513"/>
      <c r="AG942" s="356"/>
      <c r="AH942" s="356"/>
      <c r="AI942" s="356"/>
      <c r="AJ942" s="356"/>
      <c r="AK942" s="382"/>
      <c r="AL942" s="417"/>
      <c r="AM942" s="383"/>
      <c r="AN942" s="507"/>
      <c r="AO942" s="382"/>
      <c r="AP942" s="417"/>
      <c r="AQ942" s="383"/>
      <c r="AR942" s="507"/>
      <c r="AS942" s="514"/>
      <c r="AT942" s="514"/>
    </row>
    <row r="943">
      <c r="A943" s="382"/>
      <c r="B943" s="417"/>
      <c r="C943" s="383"/>
      <c r="D943" s="507"/>
      <c r="E943" s="382"/>
      <c r="F943" s="417"/>
      <c r="G943" s="383"/>
      <c r="H943" s="507"/>
      <c r="I943" s="382"/>
      <c r="J943" s="417"/>
      <c r="K943" s="383"/>
      <c r="L943" s="507"/>
      <c r="M943" s="382"/>
      <c r="N943" s="417"/>
      <c r="O943" s="383"/>
      <c r="P943" s="507"/>
      <c r="Q943" s="518"/>
      <c r="R943" s="519"/>
      <c r="S943" s="520"/>
      <c r="T943" s="513"/>
      <c r="U943" s="518"/>
      <c r="V943" s="519"/>
      <c r="W943" s="520"/>
      <c r="X943" s="513"/>
      <c r="Y943" s="518"/>
      <c r="Z943" s="519"/>
      <c r="AA943" s="520"/>
      <c r="AB943" s="513"/>
      <c r="AC943" s="518"/>
      <c r="AD943" s="519"/>
      <c r="AE943" s="520"/>
      <c r="AF943" s="513"/>
      <c r="AG943" s="356"/>
      <c r="AH943" s="356"/>
      <c r="AI943" s="356"/>
      <c r="AJ943" s="356"/>
      <c r="AK943" s="382"/>
      <c r="AL943" s="417"/>
      <c r="AM943" s="383"/>
      <c r="AN943" s="507"/>
      <c r="AO943" s="382"/>
      <c r="AP943" s="417"/>
      <c r="AQ943" s="383"/>
      <c r="AR943" s="507"/>
      <c r="AS943" s="514"/>
      <c r="AT943" s="514"/>
    </row>
    <row r="944">
      <c r="A944" s="382"/>
      <c r="B944" s="417"/>
      <c r="C944" s="383"/>
      <c r="D944" s="507"/>
      <c r="E944" s="382"/>
      <c r="F944" s="417"/>
      <c r="G944" s="383"/>
      <c r="H944" s="507"/>
      <c r="I944" s="382"/>
      <c r="J944" s="417"/>
      <c r="K944" s="383"/>
      <c r="L944" s="507"/>
      <c r="M944" s="382"/>
      <c r="N944" s="417"/>
      <c r="O944" s="383"/>
      <c r="P944" s="507"/>
      <c r="Q944" s="518"/>
      <c r="R944" s="519"/>
      <c r="S944" s="520"/>
      <c r="T944" s="513"/>
      <c r="U944" s="518"/>
      <c r="V944" s="519"/>
      <c r="W944" s="520"/>
      <c r="X944" s="513"/>
      <c r="Y944" s="518"/>
      <c r="Z944" s="519"/>
      <c r="AA944" s="520"/>
      <c r="AB944" s="513"/>
      <c r="AC944" s="518"/>
      <c r="AD944" s="519"/>
      <c r="AE944" s="520"/>
      <c r="AF944" s="513"/>
      <c r="AG944" s="356"/>
      <c r="AH944" s="356"/>
      <c r="AI944" s="356"/>
      <c r="AJ944" s="356"/>
      <c r="AK944" s="382"/>
      <c r="AL944" s="417"/>
      <c r="AM944" s="383"/>
      <c r="AN944" s="507"/>
      <c r="AO944" s="382"/>
      <c r="AP944" s="417"/>
      <c r="AQ944" s="383"/>
      <c r="AR944" s="507"/>
      <c r="AS944" s="514"/>
      <c r="AT944" s="514"/>
    </row>
    <row r="945">
      <c r="A945" s="382"/>
      <c r="B945" s="417"/>
      <c r="C945" s="383"/>
      <c r="D945" s="507"/>
      <c r="E945" s="382"/>
      <c r="F945" s="417"/>
      <c r="G945" s="383"/>
      <c r="H945" s="507"/>
      <c r="I945" s="382"/>
      <c r="J945" s="417"/>
      <c r="K945" s="383"/>
      <c r="L945" s="507"/>
      <c r="M945" s="382"/>
      <c r="N945" s="417"/>
      <c r="O945" s="383"/>
      <c r="P945" s="507"/>
      <c r="Q945" s="518"/>
      <c r="R945" s="519"/>
      <c r="S945" s="520"/>
      <c r="T945" s="513"/>
      <c r="U945" s="518"/>
      <c r="V945" s="519"/>
      <c r="W945" s="520"/>
      <c r="X945" s="513"/>
      <c r="Y945" s="518"/>
      <c r="Z945" s="519"/>
      <c r="AA945" s="520"/>
      <c r="AB945" s="513"/>
      <c r="AC945" s="518"/>
      <c r="AD945" s="519"/>
      <c r="AE945" s="520"/>
      <c r="AF945" s="513"/>
      <c r="AG945" s="356"/>
      <c r="AH945" s="356"/>
      <c r="AI945" s="356"/>
      <c r="AJ945" s="356"/>
      <c r="AK945" s="382"/>
      <c r="AL945" s="417"/>
      <c r="AM945" s="383"/>
      <c r="AN945" s="507"/>
      <c r="AO945" s="382"/>
      <c r="AP945" s="417"/>
      <c r="AQ945" s="383"/>
      <c r="AR945" s="507"/>
      <c r="AS945" s="514"/>
      <c r="AT945" s="514"/>
    </row>
    <row r="946">
      <c r="A946" s="382"/>
      <c r="B946" s="417"/>
      <c r="C946" s="383"/>
      <c r="D946" s="507"/>
      <c r="E946" s="382"/>
      <c r="F946" s="417"/>
      <c r="G946" s="383"/>
      <c r="H946" s="507"/>
      <c r="I946" s="382"/>
      <c r="J946" s="417"/>
      <c r="K946" s="383"/>
      <c r="L946" s="507"/>
      <c r="M946" s="382"/>
      <c r="N946" s="417"/>
      <c r="O946" s="383"/>
      <c r="P946" s="507"/>
      <c r="Q946" s="518"/>
      <c r="R946" s="519"/>
      <c r="S946" s="520"/>
      <c r="T946" s="513"/>
      <c r="U946" s="518"/>
      <c r="V946" s="519"/>
      <c r="W946" s="520"/>
      <c r="X946" s="513"/>
      <c r="Y946" s="518"/>
      <c r="Z946" s="519"/>
      <c r="AA946" s="520"/>
      <c r="AB946" s="513"/>
      <c r="AC946" s="518"/>
      <c r="AD946" s="519"/>
      <c r="AE946" s="520"/>
      <c r="AF946" s="513"/>
      <c r="AG946" s="356"/>
      <c r="AH946" s="356"/>
      <c r="AI946" s="356"/>
      <c r="AJ946" s="356"/>
      <c r="AK946" s="382"/>
      <c r="AL946" s="417"/>
      <c r="AM946" s="383"/>
      <c r="AN946" s="507"/>
      <c r="AO946" s="382"/>
      <c r="AP946" s="417"/>
      <c r="AQ946" s="383"/>
      <c r="AR946" s="507"/>
      <c r="AS946" s="514"/>
      <c r="AT946" s="514"/>
    </row>
    <row r="947">
      <c r="A947" s="382"/>
      <c r="B947" s="417"/>
      <c r="C947" s="383"/>
      <c r="D947" s="507"/>
      <c r="E947" s="382"/>
      <c r="F947" s="417"/>
      <c r="G947" s="383"/>
      <c r="H947" s="507"/>
      <c r="I947" s="382"/>
      <c r="J947" s="417"/>
      <c r="K947" s="383"/>
      <c r="L947" s="507"/>
      <c r="M947" s="382"/>
      <c r="N947" s="417"/>
      <c r="O947" s="383"/>
      <c r="P947" s="507"/>
      <c r="Q947" s="518"/>
      <c r="R947" s="519"/>
      <c r="S947" s="520"/>
      <c r="T947" s="513"/>
      <c r="U947" s="518"/>
      <c r="V947" s="519"/>
      <c r="W947" s="520"/>
      <c r="X947" s="513"/>
      <c r="Y947" s="518"/>
      <c r="Z947" s="519"/>
      <c r="AA947" s="520"/>
      <c r="AB947" s="513"/>
      <c r="AC947" s="518"/>
      <c r="AD947" s="519"/>
      <c r="AE947" s="520"/>
      <c r="AF947" s="513"/>
      <c r="AG947" s="356"/>
      <c r="AH947" s="356"/>
      <c r="AI947" s="356"/>
      <c r="AJ947" s="356"/>
      <c r="AK947" s="382"/>
      <c r="AL947" s="417"/>
      <c r="AM947" s="383"/>
      <c r="AN947" s="507"/>
      <c r="AO947" s="382"/>
      <c r="AP947" s="417"/>
      <c r="AQ947" s="383"/>
      <c r="AR947" s="507"/>
      <c r="AS947" s="514"/>
      <c r="AT947" s="514"/>
    </row>
    <row r="948">
      <c r="A948" s="382"/>
      <c r="B948" s="417"/>
      <c r="C948" s="383"/>
      <c r="D948" s="507"/>
      <c r="E948" s="382"/>
      <c r="F948" s="417"/>
      <c r="G948" s="383"/>
      <c r="H948" s="507"/>
      <c r="I948" s="382"/>
      <c r="J948" s="417"/>
      <c r="K948" s="383"/>
      <c r="L948" s="507"/>
      <c r="M948" s="382"/>
      <c r="N948" s="417"/>
      <c r="O948" s="383"/>
      <c r="P948" s="507"/>
      <c r="Q948" s="518"/>
      <c r="R948" s="519"/>
      <c r="S948" s="520"/>
      <c r="T948" s="513"/>
      <c r="U948" s="518"/>
      <c r="V948" s="519"/>
      <c r="W948" s="520"/>
      <c r="X948" s="513"/>
      <c r="Y948" s="518"/>
      <c r="Z948" s="519"/>
      <c r="AA948" s="520"/>
      <c r="AB948" s="513"/>
      <c r="AC948" s="518"/>
      <c r="AD948" s="519"/>
      <c r="AE948" s="520"/>
      <c r="AF948" s="513"/>
      <c r="AG948" s="356"/>
      <c r="AH948" s="356"/>
      <c r="AI948" s="356"/>
      <c r="AJ948" s="356"/>
      <c r="AK948" s="382"/>
      <c r="AL948" s="417"/>
      <c r="AM948" s="383"/>
      <c r="AN948" s="507"/>
      <c r="AO948" s="382"/>
      <c r="AP948" s="417"/>
      <c r="AQ948" s="383"/>
      <c r="AR948" s="507"/>
      <c r="AS948" s="514"/>
      <c r="AT948" s="514"/>
    </row>
    <row r="949">
      <c r="A949" s="382"/>
      <c r="B949" s="417"/>
      <c r="C949" s="383"/>
      <c r="D949" s="507"/>
      <c r="E949" s="382"/>
      <c r="F949" s="417"/>
      <c r="G949" s="383"/>
      <c r="H949" s="507"/>
      <c r="I949" s="382"/>
      <c r="J949" s="417"/>
      <c r="K949" s="383"/>
      <c r="L949" s="507"/>
      <c r="M949" s="382"/>
      <c r="N949" s="417"/>
      <c r="O949" s="383"/>
      <c r="P949" s="507"/>
      <c r="Q949" s="518"/>
      <c r="R949" s="519"/>
      <c r="S949" s="520"/>
      <c r="T949" s="513"/>
      <c r="U949" s="518"/>
      <c r="V949" s="519"/>
      <c r="W949" s="520"/>
      <c r="X949" s="513"/>
      <c r="Y949" s="518"/>
      <c r="Z949" s="519"/>
      <c r="AA949" s="520"/>
      <c r="AB949" s="513"/>
      <c r="AC949" s="518"/>
      <c r="AD949" s="519"/>
      <c r="AE949" s="520"/>
      <c r="AF949" s="513"/>
      <c r="AG949" s="356"/>
      <c r="AH949" s="356"/>
      <c r="AI949" s="356"/>
      <c r="AJ949" s="356"/>
      <c r="AK949" s="382"/>
      <c r="AL949" s="417"/>
      <c r="AM949" s="383"/>
      <c r="AN949" s="507"/>
      <c r="AO949" s="382"/>
      <c r="AP949" s="417"/>
      <c r="AQ949" s="383"/>
      <c r="AR949" s="507"/>
      <c r="AS949" s="514"/>
      <c r="AT949" s="514"/>
    </row>
    <row r="950">
      <c r="A950" s="382"/>
      <c r="B950" s="417"/>
      <c r="C950" s="383"/>
      <c r="D950" s="507"/>
      <c r="E950" s="382"/>
      <c r="F950" s="417"/>
      <c r="G950" s="383"/>
      <c r="H950" s="507"/>
      <c r="I950" s="382"/>
      <c r="J950" s="417"/>
      <c r="K950" s="383"/>
      <c r="L950" s="507"/>
      <c r="M950" s="382"/>
      <c r="N950" s="417"/>
      <c r="O950" s="383"/>
      <c r="P950" s="507"/>
      <c r="Q950" s="518"/>
      <c r="R950" s="519"/>
      <c r="S950" s="520"/>
      <c r="T950" s="513"/>
      <c r="U950" s="518"/>
      <c r="V950" s="519"/>
      <c r="W950" s="520"/>
      <c r="X950" s="513"/>
      <c r="Y950" s="518"/>
      <c r="Z950" s="519"/>
      <c r="AA950" s="520"/>
      <c r="AB950" s="513"/>
      <c r="AC950" s="518"/>
      <c r="AD950" s="519"/>
      <c r="AE950" s="520"/>
      <c r="AF950" s="513"/>
      <c r="AG950" s="356"/>
      <c r="AH950" s="356"/>
      <c r="AI950" s="356"/>
      <c r="AJ950" s="356"/>
      <c r="AK950" s="382"/>
      <c r="AL950" s="417"/>
      <c r="AM950" s="383"/>
      <c r="AN950" s="507"/>
      <c r="AO950" s="382"/>
      <c r="AP950" s="417"/>
      <c r="AQ950" s="383"/>
      <c r="AR950" s="507"/>
      <c r="AS950" s="514"/>
      <c r="AT950" s="514"/>
    </row>
    <row r="951">
      <c r="A951" s="382"/>
      <c r="B951" s="417"/>
      <c r="C951" s="383"/>
      <c r="D951" s="507"/>
      <c r="E951" s="382"/>
      <c r="F951" s="417"/>
      <c r="G951" s="383"/>
      <c r="H951" s="507"/>
      <c r="I951" s="382"/>
      <c r="J951" s="417"/>
      <c r="K951" s="383"/>
      <c r="L951" s="507"/>
      <c r="M951" s="382"/>
      <c r="N951" s="417"/>
      <c r="O951" s="383"/>
      <c r="P951" s="507"/>
      <c r="Q951" s="518"/>
      <c r="R951" s="519"/>
      <c r="S951" s="520"/>
      <c r="T951" s="513"/>
      <c r="U951" s="518"/>
      <c r="V951" s="519"/>
      <c r="W951" s="520"/>
      <c r="X951" s="513"/>
      <c r="Y951" s="518"/>
      <c r="Z951" s="519"/>
      <c r="AA951" s="520"/>
      <c r="AB951" s="513"/>
      <c r="AC951" s="518"/>
      <c r="AD951" s="519"/>
      <c r="AE951" s="520"/>
      <c r="AF951" s="513"/>
      <c r="AG951" s="356"/>
      <c r="AH951" s="356"/>
      <c r="AI951" s="356"/>
      <c r="AJ951" s="356"/>
      <c r="AK951" s="382"/>
      <c r="AL951" s="417"/>
      <c r="AM951" s="383"/>
      <c r="AN951" s="507"/>
      <c r="AO951" s="382"/>
      <c r="AP951" s="417"/>
      <c r="AQ951" s="383"/>
      <c r="AR951" s="507"/>
      <c r="AS951" s="514"/>
      <c r="AT951" s="514"/>
    </row>
    <row r="952">
      <c r="A952" s="382"/>
      <c r="B952" s="417"/>
      <c r="C952" s="383"/>
      <c r="D952" s="507"/>
      <c r="E952" s="382"/>
      <c r="F952" s="417"/>
      <c r="G952" s="383"/>
      <c r="H952" s="507"/>
      <c r="I952" s="382"/>
      <c r="J952" s="417"/>
      <c r="K952" s="383"/>
      <c r="L952" s="507"/>
      <c r="M952" s="382"/>
      <c r="N952" s="417"/>
      <c r="O952" s="383"/>
      <c r="P952" s="507"/>
      <c r="Q952" s="518"/>
      <c r="R952" s="519"/>
      <c r="S952" s="520"/>
      <c r="T952" s="513"/>
      <c r="U952" s="518"/>
      <c r="V952" s="519"/>
      <c r="W952" s="520"/>
      <c r="X952" s="513"/>
      <c r="Y952" s="518"/>
      <c r="Z952" s="519"/>
      <c r="AA952" s="520"/>
      <c r="AB952" s="513"/>
      <c r="AC952" s="518"/>
      <c r="AD952" s="519"/>
      <c r="AE952" s="520"/>
      <c r="AF952" s="513"/>
      <c r="AG952" s="356"/>
      <c r="AH952" s="356"/>
      <c r="AI952" s="356"/>
      <c r="AJ952" s="356"/>
      <c r="AK952" s="382"/>
      <c r="AL952" s="417"/>
      <c r="AM952" s="383"/>
      <c r="AN952" s="507"/>
      <c r="AO952" s="382"/>
      <c r="AP952" s="417"/>
      <c r="AQ952" s="383"/>
      <c r="AR952" s="507"/>
      <c r="AS952" s="514"/>
      <c r="AT952" s="514"/>
    </row>
    <row r="953">
      <c r="A953" s="382"/>
      <c r="B953" s="417"/>
      <c r="C953" s="383"/>
      <c r="D953" s="507"/>
      <c r="E953" s="382"/>
      <c r="F953" s="417"/>
      <c r="G953" s="383"/>
      <c r="H953" s="507"/>
      <c r="I953" s="382"/>
      <c r="J953" s="417"/>
      <c r="K953" s="383"/>
      <c r="L953" s="507"/>
      <c r="M953" s="382"/>
      <c r="N953" s="417"/>
      <c r="O953" s="383"/>
      <c r="P953" s="507"/>
      <c r="Q953" s="518"/>
      <c r="R953" s="519"/>
      <c r="S953" s="520"/>
      <c r="T953" s="513"/>
      <c r="U953" s="518"/>
      <c r="V953" s="519"/>
      <c r="W953" s="520"/>
      <c r="X953" s="513"/>
      <c r="Y953" s="518"/>
      <c r="Z953" s="519"/>
      <c r="AA953" s="520"/>
      <c r="AB953" s="513"/>
      <c r="AC953" s="518"/>
      <c r="AD953" s="519"/>
      <c r="AE953" s="520"/>
      <c r="AF953" s="513"/>
      <c r="AG953" s="356"/>
      <c r="AH953" s="356"/>
      <c r="AI953" s="356"/>
      <c r="AJ953" s="356"/>
      <c r="AK953" s="382"/>
      <c r="AL953" s="417"/>
      <c r="AM953" s="383"/>
      <c r="AN953" s="507"/>
      <c r="AO953" s="382"/>
      <c r="AP953" s="417"/>
      <c r="AQ953" s="383"/>
      <c r="AR953" s="507"/>
      <c r="AS953" s="514"/>
      <c r="AT953" s="514"/>
    </row>
    <row r="954">
      <c r="A954" s="382"/>
      <c r="B954" s="417"/>
      <c r="C954" s="383"/>
      <c r="D954" s="507"/>
      <c r="E954" s="382"/>
      <c r="F954" s="417"/>
      <c r="G954" s="383"/>
      <c r="H954" s="507"/>
      <c r="I954" s="382"/>
      <c r="J954" s="417"/>
      <c r="K954" s="383"/>
      <c r="L954" s="507"/>
      <c r="M954" s="382"/>
      <c r="N954" s="417"/>
      <c r="O954" s="383"/>
      <c r="P954" s="507"/>
      <c r="Q954" s="518"/>
      <c r="R954" s="519"/>
      <c r="S954" s="520"/>
      <c r="T954" s="513"/>
      <c r="U954" s="518"/>
      <c r="V954" s="519"/>
      <c r="W954" s="520"/>
      <c r="X954" s="513"/>
      <c r="Y954" s="518"/>
      <c r="Z954" s="519"/>
      <c r="AA954" s="520"/>
      <c r="AB954" s="513"/>
      <c r="AC954" s="518"/>
      <c r="AD954" s="519"/>
      <c r="AE954" s="520"/>
      <c r="AF954" s="513"/>
      <c r="AG954" s="356"/>
      <c r="AH954" s="356"/>
      <c r="AI954" s="356"/>
      <c r="AJ954" s="356"/>
      <c r="AK954" s="382"/>
      <c r="AL954" s="417"/>
      <c r="AM954" s="383"/>
      <c r="AN954" s="507"/>
      <c r="AO954" s="382"/>
      <c r="AP954" s="417"/>
      <c r="AQ954" s="383"/>
      <c r="AR954" s="507"/>
      <c r="AS954" s="514"/>
      <c r="AT954" s="514"/>
    </row>
    <row r="955">
      <c r="A955" s="382"/>
      <c r="B955" s="417"/>
      <c r="C955" s="383"/>
      <c r="D955" s="507"/>
      <c r="E955" s="382"/>
      <c r="F955" s="417"/>
      <c r="G955" s="383"/>
      <c r="H955" s="507"/>
      <c r="I955" s="382"/>
      <c r="J955" s="417"/>
      <c r="K955" s="383"/>
      <c r="L955" s="507"/>
      <c r="M955" s="382"/>
      <c r="N955" s="417"/>
      <c r="O955" s="383"/>
      <c r="P955" s="507"/>
      <c r="Q955" s="518"/>
      <c r="R955" s="519"/>
      <c r="S955" s="520"/>
      <c r="T955" s="513"/>
      <c r="U955" s="518"/>
      <c r="V955" s="519"/>
      <c r="W955" s="520"/>
      <c r="X955" s="513"/>
      <c r="Y955" s="518"/>
      <c r="Z955" s="519"/>
      <c r="AA955" s="520"/>
      <c r="AB955" s="513"/>
      <c r="AC955" s="518"/>
      <c r="AD955" s="519"/>
      <c r="AE955" s="520"/>
      <c r="AF955" s="513"/>
      <c r="AG955" s="356"/>
      <c r="AH955" s="356"/>
      <c r="AI955" s="356"/>
      <c r="AJ955" s="356"/>
      <c r="AK955" s="382"/>
      <c r="AL955" s="417"/>
      <c r="AM955" s="383"/>
      <c r="AN955" s="507"/>
      <c r="AO955" s="382"/>
      <c r="AP955" s="417"/>
      <c r="AQ955" s="383"/>
      <c r="AR955" s="507"/>
      <c r="AS955" s="514"/>
      <c r="AT955" s="514"/>
    </row>
    <row r="956">
      <c r="A956" s="382"/>
      <c r="B956" s="417"/>
      <c r="C956" s="383"/>
      <c r="D956" s="507"/>
      <c r="E956" s="382"/>
      <c r="F956" s="417"/>
      <c r="G956" s="383"/>
      <c r="H956" s="507"/>
      <c r="I956" s="382"/>
      <c r="J956" s="417"/>
      <c r="K956" s="383"/>
      <c r="L956" s="507"/>
      <c r="M956" s="382"/>
      <c r="N956" s="417"/>
      <c r="O956" s="383"/>
      <c r="P956" s="507"/>
      <c r="Q956" s="518"/>
      <c r="R956" s="519"/>
      <c r="S956" s="520"/>
      <c r="T956" s="513"/>
      <c r="U956" s="518"/>
      <c r="V956" s="519"/>
      <c r="W956" s="520"/>
      <c r="X956" s="513"/>
      <c r="Y956" s="518"/>
      <c r="Z956" s="519"/>
      <c r="AA956" s="520"/>
      <c r="AB956" s="513"/>
      <c r="AC956" s="518"/>
      <c r="AD956" s="519"/>
      <c r="AE956" s="520"/>
      <c r="AF956" s="513"/>
      <c r="AG956" s="356"/>
      <c r="AH956" s="356"/>
      <c r="AI956" s="356"/>
      <c r="AJ956" s="356"/>
      <c r="AK956" s="382"/>
      <c r="AL956" s="417"/>
      <c r="AM956" s="383"/>
      <c r="AN956" s="507"/>
      <c r="AO956" s="382"/>
      <c r="AP956" s="417"/>
      <c r="AQ956" s="383"/>
      <c r="AR956" s="507"/>
      <c r="AS956" s="514"/>
      <c r="AT956" s="514"/>
    </row>
    <row r="957">
      <c r="A957" s="382"/>
      <c r="B957" s="417"/>
      <c r="C957" s="383"/>
      <c r="D957" s="507"/>
      <c r="E957" s="382"/>
      <c r="F957" s="417"/>
      <c r="G957" s="383"/>
      <c r="H957" s="507"/>
      <c r="I957" s="382"/>
      <c r="J957" s="417"/>
      <c r="K957" s="383"/>
      <c r="L957" s="507"/>
      <c r="M957" s="382"/>
      <c r="N957" s="417"/>
      <c r="O957" s="383"/>
      <c r="P957" s="507"/>
      <c r="Q957" s="518"/>
      <c r="R957" s="519"/>
      <c r="S957" s="520"/>
      <c r="T957" s="513"/>
      <c r="U957" s="518"/>
      <c r="V957" s="519"/>
      <c r="W957" s="520"/>
      <c r="X957" s="513"/>
      <c r="Y957" s="518"/>
      <c r="Z957" s="519"/>
      <c r="AA957" s="520"/>
      <c r="AB957" s="513"/>
      <c r="AC957" s="518"/>
      <c r="AD957" s="519"/>
      <c r="AE957" s="520"/>
      <c r="AF957" s="513"/>
      <c r="AG957" s="356"/>
      <c r="AH957" s="356"/>
      <c r="AI957" s="356"/>
      <c r="AJ957" s="356"/>
      <c r="AK957" s="382"/>
      <c r="AL957" s="417"/>
      <c r="AM957" s="383"/>
      <c r="AN957" s="507"/>
      <c r="AO957" s="382"/>
      <c r="AP957" s="417"/>
      <c r="AQ957" s="383"/>
      <c r="AR957" s="507"/>
      <c r="AS957" s="514"/>
      <c r="AT957" s="514"/>
    </row>
    <row r="958">
      <c r="A958" s="382"/>
      <c r="B958" s="417"/>
      <c r="C958" s="383"/>
      <c r="D958" s="507"/>
      <c r="E958" s="382"/>
      <c r="F958" s="417"/>
      <c r="G958" s="383"/>
      <c r="H958" s="507"/>
      <c r="I958" s="382"/>
      <c r="J958" s="417"/>
      <c r="K958" s="383"/>
      <c r="L958" s="507"/>
      <c r="M958" s="382"/>
      <c r="N958" s="417"/>
      <c r="O958" s="383"/>
      <c r="P958" s="507"/>
      <c r="Q958" s="518"/>
      <c r="R958" s="519"/>
      <c r="S958" s="520"/>
      <c r="T958" s="513"/>
      <c r="U958" s="518"/>
      <c r="V958" s="519"/>
      <c r="W958" s="520"/>
      <c r="X958" s="513"/>
      <c r="Y958" s="518"/>
      <c r="Z958" s="519"/>
      <c r="AA958" s="520"/>
      <c r="AB958" s="513"/>
      <c r="AC958" s="518"/>
      <c r="AD958" s="519"/>
      <c r="AE958" s="520"/>
      <c r="AF958" s="513"/>
      <c r="AG958" s="356"/>
      <c r="AH958" s="356"/>
      <c r="AI958" s="356"/>
      <c r="AJ958" s="356"/>
      <c r="AK958" s="382"/>
      <c r="AL958" s="417"/>
      <c r="AM958" s="383"/>
      <c r="AN958" s="507"/>
      <c r="AO958" s="382"/>
      <c r="AP958" s="417"/>
      <c r="AQ958" s="383"/>
      <c r="AR958" s="507"/>
      <c r="AS958" s="514"/>
      <c r="AT958" s="514"/>
    </row>
    <row r="959">
      <c r="A959" s="382"/>
      <c r="B959" s="417"/>
      <c r="C959" s="383"/>
      <c r="D959" s="507"/>
      <c r="E959" s="382"/>
      <c r="F959" s="417"/>
      <c r="G959" s="383"/>
      <c r="H959" s="507"/>
      <c r="I959" s="382"/>
      <c r="J959" s="417"/>
      <c r="K959" s="383"/>
      <c r="L959" s="507"/>
      <c r="M959" s="382"/>
      <c r="N959" s="417"/>
      <c r="O959" s="383"/>
      <c r="P959" s="507"/>
      <c r="Q959" s="518"/>
      <c r="R959" s="519"/>
      <c r="S959" s="520"/>
      <c r="T959" s="513"/>
      <c r="U959" s="518"/>
      <c r="V959" s="519"/>
      <c r="W959" s="520"/>
      <c r="X959" s="513"/>
      <c r="Y959" s="518"/>
      <c r="Z959" s="519"/>
      <c r="AA959" s="520"/>
      <c r="AB959" s="513"/>
      <c r="AC959" s="518"/>
      <c r="AD959" s="519"/>
      <c r="AE959" s="520"/>
      <c r="AF959" s="513"/>
      <c r="AG959" s="356"/>
      <c r="AH959" s="356"/>
      <c r="AI959" s="356"/>
      <c r="AJ959" s="356"/>
      <c r="AK959" s="382"/>
      <c r="AL959" s="417"/>
      <c r="AM959" s="383"/>
      <c r="AN959" s="507"/>
      <c r="AO959" s="382"/>
      <c r="AP959" s="417"/>
      <c r="AQ959" s="383"/>
      <c r="AR959" s="507"/>
      <c r="AS959" s="514"/>
      <c r="AT959" s="514"/>
    </row>
    <row r="960">
      <c r="A960" s="382"/>
      <c r="B960" s="417"/>
      <c r="C960" s="383"/>
      <c r="D960" s="507"/>
      <c r="E960" s="382"/>
      <c r="F960" s="417"/>
      <c r="G960" s="383"/>
      <c r="H960" s="507"/>
      <c r="I960" s="382"/>
      <c r="J960" s="417"/>
      <c r="K960" s="383"/>
      <c r="L960" s="507"/>
      <c r="M960" s="382"/>
      <c r="N960" s="417"/>
      <c r="O960" s="383"/>
      <c r="P960" s="507"/>
      <c r="Q960" s="518"/>
      <c r="R960" s="519"/>
      <c r="S960" s="520"/>
      <c r="T960" s="513"/>
      <c r="U960" s="518"/>
      <c r="V960" s="519"/>
      <c r="W960" s="520"/>
      <c r="X960" s="513"/>
      <c r="Y960" s="518"/>
      <c r="Z960" s="519"/>
      <c r="AA960" s="520"/>
      <c r="AB960" s="513"/>
      <c r="AC960" s="518"/>
      <c r="AD960" s="519"/>
      <c r="AE960" s="520"/>
      <c r="AF960" s="513"/>
      <c r="AG960" s="356"/>
      <c r="AH960" s="356"/>
      <c r="AI960" s="356"/>
      <c r="AJ960" s="356"/>
      <c r="AK960" s="382"/>
      <c r="AL960" s="417"/>
      <c r="AM960" s="383"/>
      <c r="AN960" s="507"/>
      <c r="AO960" s="382"/>
      <c r="AP960" s="417"/>
      <c r="AQ960" s="383"/>
      <c r="AR960" s="507"/>
      <c r="AS960" s="514"/>
      <c r="AT960" s="514"/>
    </row>
    <row r="961">
      <c r="A961" s="382"/>
      <c r="B961" s="417"/>
      <c r="C961" s="383"/>
      <c r="D961" s="507"/>
      <c r="E961" s="382"/>
      <c r="F961" s="417"/>
      <c r="G961" s="383"/>
      <c r="H961" s="507"/>
      <c r="I961" s="382"/>
      <c r="J961" s="417"/>
      <c r="K961" s="383"/>
      <c r="L961" s="507"/>
      <c r="M961" s="382"/>
      <c r="N961" s="417"/>
      <c r="O961" s="383"/>
      <c r="P961" s="507"/>
      <c r="Q961" s="518"/>
      <c r="R961" s="519"/>
      <c r="S961" s="520"/>
      <c r="T961" s="513"/>
      <c r="U961" s="518"/>
      <c r="V961" s="519"/>
      <c r="W961" s="520"/>
      <c r="X961" s="513"/>
      <c r="Y961" s="518"/>
      <c r="Z961" s="519"/>
      <c r="AA961" s="520"/>
      <c r="AB961" s="513"/>
      <c r="AC961" s="518"/>
      <c r="AD961" s="519"/>
      <c r="AE961" s="520"/>
      <c r="AF961" s="513"/>
      <c r="AG961" s="356"/>
      <c r="AH961" s="356"/>
      <c r="AI961" s="356"/>
      <c r="AJ961" s="356"/>
      <c r="AK961" s="382"/>
      <c r="AL961" s="417"/>
      <c r="AM961" s="383"/>
      <c r="AN961" s="507"/>
      <c r="AO961" s="382"/>
      <c r="AP961" s="417"/>
      <c r="AQ961" s="383"/>
      <c r="AR961" s="507"/>
      <c r="AS961" s="514"/>
      <c r="AT961" s="514"/>
    </row>
    <row r="962">
      <c r="A962" s="382"/>
      <c r="B962" s="417"/>
      <c r="C962" s="383"/>
      <c r="D962" s="507"/>
      <c r="E962" s="382"/>
      <c r="F962" s="417"/>
      <c r="G962" s="383"/>
      <c r="H962" s="507"/>
      <c r="I962" s="382"/>
      <c r="J962" s="417"/>
      <c r="K962" s="383"/>
      <c r="L962" s="507"/>
      <c r="M962" s="382"/>
      <c r="N962" s="417"/>
      <c r="O962" s="383"/>
      <c r="P962" s="507"/>
      <c r="Q962" s="518"/>
      <c r="R962" s="519"/>
      <c r="S962" s="520"/>
      <c r="T962" s="513"/>
      <c r="U962" s="518"/>
      <c r="V962" s="519"/>
      <c r="W962" s="520"/>
      <c r="X962" s="513"/>
      <c r="Y962" s="518"/>
      <c r="Z962" s="519"/>
      <c r="AA962" s="520"/>
      <c r="AB962" s="513"/>
      <c r="AC962" s="518"/>
      <c r="AD962" s="519"/>
      <c r="AE962" s="520"/>
      <c r="AF962" s="513"/>
      <c r="AG962" s="356"/>
      <c r="AH962" s="356"/>
      <c r="AI962" s="356"/>
      <c r="AJ962" s="356"/>
      <c r="AK962" s="382"/>
      <c r="AL962" s="417"/>
      <c r="AM962" s="383"/>
      <c r="AN962" s="507"/>
      <c r="AO962" s="382"/>
      <c r="AP962" s="417"/>
      <c r="AQ962" s="383"/>
      <c r="AR962" s="507"/>
      <c r="AS962" s="514"/>
      <c r="AT962" s="514"/>
    </row>
    <row r="963">
      <c r="A963" s="382"/>
      <c r="B963" s="417"/>
      <c r="C963" s="383"/>
      <c r="D963" s="507"/>
      <c r="E963" s="382"/>
      <c r="F963" s="417"/>
      <c r="G963" s="383"/>
      <c r="H963" s="507"/>
      <c r="I963" s="382"/>
      <c r="J963" s="417"/>
      <c r="K963" s="383"/>
      <c r="L963" s="507"/>
      <c r="M963" s="382"/>
      <c r="N963" s="417"/>
      <c r="O963" s="383"/>
      <c r="P963" s="507"/>
      <c r="Q963" s="518"/>
      <c r="R963" s="519"/>
      <c r="S963" s="520"/>
      <c r="T963" s="513"/>
      <c r="U963" s="518"/>
      <c r="V963" s="519"/>
      <c r="W963" s="520"/>
      <c r="X963" s="513"/>
      <c r="Y963" s="518"/>
      <c r="Z963" s="519"/>
      <c r="AA963" s="520"/>
      <c r="AB963" s="513"/>
      <c r="AC963" s="518"/>
      <c r="AD963" s="519"/>
      <c r="AE963" s="520"/>
      <c r="AF963" s="513"/>
      <c r="AG963" s="356"/>
      <c r="AH963" s="356"/>
      <c r="AI963" s="356"/>
      <c r="AJ963" s="356"/>
      <c r="AK963" s="382"/>
      <c r="AL963" s="417"/>
      <c r="AM963" s="383"/>
      <c r="AN963" s="507"/>
      <c r="AO963" s="382"/>
      <c r="AP963" s="417"/>
      <c r="AQ963" s="383"/>
      <c r="AR963" s="507"/>
      <c r="AS963" s="514"/>
      <c r="AT963" s="514"/>
    </row>
    <row r="964">
      <c r="A964" s="382"/>
      <c r="B964" s="417"/>
      <c r="C964" s="383"/>
      <c r="D964" s="507"/>
      <c r="E964" s="382"/>
      <c r="F964" s="417"/>
      <c r="G964" s="383"/>
      <c r="H964" s="507"/>
      <c r="I964" s="382"/>
      <c r="J964" s="417"/>
      <c r="K964" s="383"/>
      <c r="L964" s="507"/>
      <c r="M964" s="382"/>
      <c r="N964" s="417"/>
      <c r="O964" s="383"/>
      <c r="P964" s="507"/>
      <c r="Q964" s="518"/>
      <c r="R964" s="519"/>
      <c r="S964" s="520"/>
      <c r="T964" s="513"/>
      <c r="U964" s="518"/>
      <c r="V964" s="519"/>
      <c r="W964" s="520"/>
      <c r="X964" s="513"/>
      <c r="Y964" s="518"/>
      <c r="Z964" s="519"/>
      <c r="AA964" s="520"/>
      <c r="AB964" s="513"/>
      <c r="AC964" s="518"/>
      <c r="AD964" s="519"/>
      <c r="AE964" s="520"/>
      <c r="AF964" s="513"/>
      <c r="AG964" s="356"/>
      <c r="AH964" s="356"/>
      <c r="AI964" s="356"/>
      <c r="AJ964" s="356"/>
      <c r="AK964" s="382"/>
      <c r="AL964" s="417"/>
      <c r="AM964" s="383"/>
      <c r="AN964" s="507"/>
      <c r="AO964" s="382"/>
      <c r="AP964" s="417"/>
      <c r="AQ964" s="383"/>
      <c r="AR964" s="507"/>
      <c r="AS964" s="514"/>
      <c r="AT964" s="514"/>
    </row>
    <row r="965">
      <c r="A965" s="382"/>
      <c r="B965" s="417"/>
      <c r="C965" s="383"/>
      <c r="D965" s="507"/>
      <c r="E965" s="382"/>
      <c r="F965" s="417"/>
      <c r="G965" s="383"/>
      <c r="H965" s="507"/>
      <c r="I965" s="382"/>
      <c r="J965" s="417"/>
      <c r="K965" s="383"/>
      <c r="L965" s="507"/>
      <c r="M965" s="382"/>
      <c r="N965" s="417"/>
      <c r="O965" s="383"/>
      <c r="P965" s="507"/>
      <c r="Q965" s="518"/>
      <c r="R965" s="519"/>
      <c r="S965" s="520"/>
      <c r="T965" s="513"/>
      <c r="U965" s="518"/>
      <c r="V965" s="519"/>
      <c r="W965" s="520"/>
      <c r="X965" s="513"/>
      <c r="Y965" s="518"/>
      <c r="Z965" s="519"/>
      <c r="AA965" s="520"/>
      <c r="AB965" s="513"/>
      <c r="AC965" s="518"/>
      <c r="AD965" s="519"/>
      <c r="AE965" s="520"/>
      <c r="AF965" s="513"/>
      <c r="AG965" s="356"/>
      <c r="AH965" s="356"/>
      <c r="AI965" s="356"/>
      <c r="AJ965" s="356"/>
      <c r="AK965" s="382"/>
      <c r="AL965" s="417"/>
      <c r="AM965" s="383"/>
      <c r="AN965" s="507"/>
      <c r="AO965" s="382"/>
      <c r="AP965" s="417"/>
      <c r="AQ965" s="383"/>
      <c r="AR965" s="507"/>
      <c r="AS965" s="514"/>
      <c r="AT965" s="514"/>
    </row>
    <row r="966">
      <c r="A966" s="382"/>
      <c r="B966" s="417"/>
      <c r="C966" s="383"/>
      <c r="D966" s="507"/>
      <c r="E966" s="382"/>
      <c r="F966" s="417"/>
      <c r="G966" s="383"/>
      <c r="H966" s="507"/>
      <c r="I966" s="382"/>
      <c r="J966" s="417"/>
      <c r="K966" s="383"/>
      <c r="L966" s="507"/>
      <c r="M966" s="382"/>
      <c r="N966" s="417"/>
      <c r="O966" s="383"/>
      <c r="P966" s="507"/>
      <c r="Q966" s="518"/>
      <c r="R966" s="519"/>
      <c r="S966" s="520"/>
      <c r="T966" s="513"/>
      <c r="U966" s="518"/>
      <c r="V966" s="519"/>
      <c r="W966" s="520"/>
      <c r="X966" s="513"/>
      <c r="Y966" s="518"/>
      <c r="Z966" s="519"/>
      <c r="AA966" s="520"/>
      <c r="AB966" s="513"/>
      <c r="AC966" s="518"/>
      <c r="AD966" s="519"/>
      <c r="AE966" s="520"/>
      <c r="AF966" s="513"/>
      <c r="AG966" s="356"/>
      <c r="AH966" s="356"/>
      <c r="AI966" s="356"/>
      <c r="AJ966" s="356"/>
      <c r="AK966" s="382"/>
      <c r="AL966" s="417"/>
      <c r="AM966" s="383"/>
      <c r="AN966" s="507"/>
      <c r="AO966" s="382"/>
      <c r="AP966" s="417"/>
      <c r="AQ966" s="383"/>
      <c r="AR966" s="507"/>
      <c r="AS966" s="514"/>
      <c r="AT966" s="514"/>
    </row>
    <row r="967">
      <c r="A967" s="382"/>
      <c r="B967" s="417"/>
      <c r="C967" s="383"/>
      <c r="D967" s="507"/>
      <c r="E967" s="382"/>
      <c r="F967" s="417"/>
      <c r="G967" s="383"/>
      <c r="H967" s="507"/>
      <c r="I967" s="382"/>
      <c r="J967" s="417"/>
      <c r="K967" s="383"/>
      <c r="L967" s="507"/>
      <c r="M967" s="382"/>
      <c r="N967" s="417"/>
      <c r="O967" s="383"/>
      <c r="P967" s="507"/>
      <c r="Q967" s="518"/>
      <c r="R967" s="519"/>
      <c r="S967" s="520"/>
      <c r="T967" s="513"/>
      <c r="U967" s="518"/>
      <c r="V967" s="519"/>
      <c r="W967" s="520"/>
      <c r="X967" s="513"/>
      <c r="Y967" s="518"/>
      <c r="Z967" s="519"/>
      <c r="AA967" s="520"/>
      <c r="AB967" s="513"/>
      <c r="AC967" s="518"/>
      <c r="AD967" s="519"/>
      <c r="AE967" s="520"/>
      <c r="AF967" s="513"/>
      <c r="AG967" s="356"/>
      <c r="AH967" s="356"/>
      <c r="AI967" s="356"/>
      <c r="AJ967" s="356"/>
      <c r="AK967" s="382"/>
      <c r="AL967" s="417"/>
      <c r="AM967" s="383"/>
      <c r="AN967" s="507"/>
      <c r="AO967" s="382"/>
      <c r="AP967" s="417"/>
      <c r="AQ967" s="383"/>
      <c r="AR967" s="507"/>
      <c r="AS967" s="514"/>
      <c r="AT967" s="514"/>
    </row>
    <row r="968">
      <c r="A968" s="382"/>
      <c r="B968" s="417"/>
      <c r="C968" s="383"/>
      <c r="D968" s="507"/>
      <c r="E968" s="382"/>
      <c r="F968" s="417"/>
      <c r="G968" s="383"/>
      <c r="H968" s="507"/>
      <c r="I968" s="382"/>
      <c r="J968" s="417"/>
      <c r="K968" s="383"/>
      <c r="L968" s="507"/>
      <c r="M968" s="382"/>
      <c r="N968" s="417"/>
      <c r="O968" s="383"/>
      <c r="P968" s="507"/>
      <c r="Q968" s="518"/>
      <c r="R968" s="519"/>
      <c r="S968" s="520"/>
      <c r="T968" s="513"/>
      <c r="U968" s="518"/>
      <c r="V968" s="519"/>
      <c r="W968" s="520"/>
      <c r="X968" s="513"/>
      <c r="Y968" s="518"/>
      <c r="Z968" s="519"/>
      <c r="AA968" s="520"/>
      <c r="AB968" s="513"/>
      <c r="AC968" s="518"/>
      <c r="AD968" s="519"/>
      <c r="AE968" s="520"/>
      <c r="AF968" s="513"/>
      <c r="AG968" s="356"/>
      <c r="AH968" s="356"/>
      <c r="AI968" s="356"/>
      <c r="AJ968" s="356"/>
      <c r="AK968" s="382"/>
      <c r="AL968" s="417"/>
      <c r="AM968" s="383"/>
      <c r="AN968" s="507"/>
      <c r="AO968" s="382"/>
      <c r="AP968" s="417"/>
      <c r="AQ968" s="383"/>
      <c r="AR968" s="507"/>
      <c r="AS968" s="514"/>
      <c r="AT968" s="514"/>
    </row>
    <row r="969">
      <c r="A969" s="382"/>
      <c r="B969" s="417"/>
      <c r="C969" s="383"/>
      <c r="D969" s="507"/>
      <c r="E969" s="382"/>
      <c r="F969" s="417"/>
      <c r="G969" s="383"/>
      <c r="H969" s="507"/>
      <c r="I969" s="382"/>
      <c r="J969" s="417"/>
      <c r="K969" s="383"/>
      <c r="L969" s="507"/>
      <c r="M969" s="382"/>
      <c r="N969" s="417"/>
      <c r="O969" s="383"/>
      <c r="P969" s="507"/>
      <c r="Q969" s="518"/>
      <c r="R969" s="519"/>
      <c r="S969" s="520"/>
      <c r="T969" s="513"/>
      <c r="U969" s="518"/>
      <c r="V969" s="519"/>
      <c r="W969" s="520"/>
      <c r="X969" s="513"/>
      <c r="Y969" s="518"/>
      <c r="Z969" s="519"/>
      <c r="AA969" s="520"/>
      <c r="AB969" s="513"/>
      <c r="AC969" s="518"/>
      <c r="AD969" s="519"/>
      <c r="AE969" s="520"/>
      <c r="AF969" s="513"/>
      <c r="AG969" s="356"/>
      <c r="AH969" s="356"/>
      <c r="AI969" s="356"/>
      <c r="AJ969" s="356"/>
      <c r="AK969" s="382"/>
      <c r="AL969" s="417"/>
      <c r="AM969" s="383"/>
      <c r="AN969" s="507"/>
      <c r="AO969" s="382"/>
      <c r="AP969" s="417"/>
      <c r="AQ969" s="383"/>
      <c r="AR969" s="507"/>
      <c r="AS969" s="514"/>
      <c r="AT969" s="514"/>
    </row>
    <row r="970">
      <c r="A970" s="382"/>
      <c r="B970" s="417"/>
      <c r="C970" s="383"/>
      <c r="D970" s="507"/>
      <c r="E970" s="382"/>
      <c r="F970" s="417"/>
      <c r="G970" s="383"/>
      <c r="H970" s="507"/>
      <c r="I970" s="382"/>
      <c r="J970" s="417"/>
      <c r="K970" s="383"/>
      <c r="L970" s="507"/>
      <c r="M970" s="382"/>
      <c r="N970" s="417"/>
      <c r="O970" s="383"/>
      <c r="P970" s="507"/>
      <c r="Q970" s="518"/>
      <c r="R970" s="519"/>
      <c r="S970" s="520"/>
      <c r="T970" s="513"/>
      <c r="U970" s="518"/>
      <c r="V970" s="519"/>
      <c r="W970" s="520"/>
      <c r="X970" s="513"/>
      <c r="Y970" s="518"/>
      <c r="Z970" s="519"/>
      <c r="AA970" s="520"/>
      <c r="AB970" s="513"/>
      <c r="AC970" s="518"/>
      <c r="AD970" s="519"/>
      <c r="AE970" s="520"/>
      <c r="AF970" s="513"/>
      <c r="AG970" s="356"/>
      <c r="AH970" s="356"/>
      <c r="AI970" s="356"/>
      <c r="AJ970" s="356"/>
      <c r="AK970" s="382"/>
      <c r="AL970" s="417"/>
      <c r="AM970" s="383"/>
      <c r="AN970" s="507"/>
      <c r="AO970" s="382"/>
      <c r="AP970" s="417"/>
      <c r="AQ970" s="383"/>
      <c r="AR970" s="507"/>
      <c r="AS970" s="514"/>
      <c r="AT970" s="514"/>
    </row>
    <row r="971">
      <c r="A971" s="382"/>
      <c r="B971" s="417"/>
      <c r="C971" s="383"/>
      <c r="D971" s="507"/>
      <c r="E971" s="382"/>
      <c r="F971" s="417"/>
      <c r="G971" s="383"/>
      <c r="H971" s="507"/>
      <c r="I971" s="382"/>
      <c r="J971" s="417"/>
      <c r="K971" s="383"/>
      <c r="L971" s="507"/>
      <c r="M971" s="382"/>
      <c r="N971" s="417"/>
      <c r="O971" s="383"/>
      <c r="P971" s="507"/>
      <c r="Q971" s="518"/>
      <c r="R971" s="519"/>
      <c r="S971" s="520"/>
      <c r="T971" s="513"/>
      <c r="U971" s="518"/>
      <c r="V971" s="519"/>
      <c r="W971" s="520"/>
      <c r="X971" s="513"/>
      <c r="Y971" s="518"/>
      <c r="Z971" s="519"/>
      <c r="AA971" s="520"/>
      <c r="AB971" s="513"/>
      <c r="AC971" s="518"/>
      <c r="AD971" s="519"/>
      <c r="AE971" s="520"/>
      <c r="AF971" s="513"/>
      <c r="AG971" s="356"/>
      <c r="AH971" s="356"/>
      <c r="AI971" s="356"/>
      <c r="AJ971" s="356"/>
      <c r="AK971" s="382"/>
      <c r="AL971" s="417"/>
      <c r="AM971" s="383"/>
      <c r="AN971" s="507"/>
      <c r="AO971" s="382"/>
      <c r="AP971" s="417"/>
      <c r="AQ971" s="383"/>
      <c r="AR971" s="507"/>
      <c r="AS971" s="514"/>
      <c r="AT971" s="514"/>
    </row>
    <row r="972">
      <c r="A972" s="382"/>
      <c r="B972" s="417"/>
      <c r="C972" s="383"/>
      <c r="D972" s="507"/>
      <c r="E972" s="382"/>
      <c r="F972" s="417"/>
      <c r="G972" s="383"/>
      <c r="H972" s="507"/>
      <c r="I972" s="382"/>
      <c r="J972" s="417"/>
      <c r="K972" s="383"/>
      <c r="L972" s="507"/>
      <c r="M972" s="382"/>
      <c r="N972" s="417"/>
      <c r="O972" s="383"/>
      <c r="P972" s="507"/>
      <c r="Q972" s="518"/>
      <c r="R972" s="519"/>
      <c r="S972" s="520"/>
      <c r="T972" s="513"/>
      <c r="U972" s="518"/>
      <c r="V972" s="519"/>
      <c r="W972" s="520"/>
      <c r="X972" s="513"/>
      <c r="Y972" s="518"/>
      <c r="Z972" s="519"/>
      <c r="AA972" s="520"/>
      <c r="AB972" s="513"/>
      <c r="AC972" s="518"/>
      <c r="AD972" s="519"/>
      <c r="AE972" s="520"/>
      <c r="AF972" s="513"/>
      <c r="AG972" s="356"/>
      <c r="AH972" s="356"/>
      <c r="AI972" s="356"/>
      <c r="AJ972" s="356"/>
      <c r="AK972" s="382"/>
      <c r="AL972" s="417"/>
      <c r="AM972" s="383"/>
      <c r="AN972" s="507"/>
      <c r="AO972" s="382"/>
      <c r="AP972" s="417"/>
      <c r="AQ972" s="383"/>
      <c r="AR972" s="507"/>
      <c r="AS972" s="514"/>
      <c r="AT972" s="514"/>
    </row>
    <row r="973">
      <c r="A973" s="382"/>
      <c r="B973" s="417"/>
      <c r="C973" s="383"/>
      <c r="D973" s="507"/>
      <c r="E973" s="382"/>
      <c r="F973" s="417"/>
      <c r="G973" s="383"/>
      <c r="H973" s="507"/>
      <c r="I973" s="382"/>
      <c r="J973" s="417"/>
      <c r="K973" s="383"/>
      <c r="L973" s="507"/>
      <c r="M973" s="382"/>
      <c r="N973" s="417"/>
      <c r="O973" s="383"/>
      <c r="P973" s="507"/>
      <c r="Q973" s="518"/>
      <c r="R973" s="519"/>
      <c r="S973" s="520"/>
      <c r="T973" s="513"/>
      <c r="U973" s="518"/>
      <c r="V973" s="519"/>
      <c r="W973" s="520"/>
      <c r="X973" s="513"/>
      <c r="Y973" s="518"/>
      <c r="Z973" s="519"/>
      <c r="AA973" s="520"/>
      <c r="AB973" s="513"/>
      <c r="AC973" s="518"/>
      <c r="AD973" s="519"/>
      <c r="AE973" s="520"/>
      <c r="AF973" s="513"/>
      <c r="AG973" s="356"/>
      <c r="AH973" s="356"/>
      <c r="AI973" s="356"/>
      <c r="AJ973" s="356"/>
      <c r="AK973" s="382"/>
      <c r="AL973" s="417"/>
      <c r="AM973" s="383"/>
      <c r="AN973" s="507"/>
      <c r="AO973" s="382"/>
      <c r="AP973" s="417"/>
      <c r="AQ973" s="383"/>
      <c r="AR973" s="507"/>
      <c r="AS973" s="514"/>
      <c r="AT973" s="514"/>
    </row>
    <row r="974">
      <c r="A974" s="382"/>
      <c r="B974" s="417"/>
      <c r="C974" s="383"/>
      <c r="D974" s="507"/>
      <c r="E974" s="382"/>
      <c r="F974" s="417"/>
      <c r="G974" s="383"/>
      <c r="H974" s="507"/>
      <c r="I974" s="382"/>
      <c r="J974" s="417"/>
      <c r="K974" s="383"/>
      <c r="L974" s="507"/>
      <c r="M974" s="382"/>
      <c r="N974" s="417"/>
      <c r="O974" s="383"/>
      <c r="P974" s="507"/>
      <c r="Q974" s="518"/>
      <c r="R974" s="519"/>
      <c r="S974" s="520"/>
      <c r="T974" s="513"/>
      <c r="U974" s="518"/>
      <c r="V974" s="519"/>
      <c r="W974" s="520"/>
      <c r="X974" s="513"/>
      <c r="Y974" s="518"/>
      <c r="Z974" s="519"/>
      <c r="AA974" s="520"/>
      <c r="AB974" s="513"/>
      <c r="AC974" s="518"/>
      <c r="AD974" s="519"/>
      <c r="AE974" s="520"/>
      <c r="AF974" s="513"/>
      <c r="AG974" s="356"/>
      <c r="AH974" s="356"/>
      <c r="AI974" s="356"/>
      <c r="AJ974" s="356"/>
      <c r="AK974" s="382"/>
      <c r="AL974" s="417"/>
      <c r="AM974" s="383"/>
      <c r="AN974" s="507"/>
      <c r="AO974" s="382"/>
      <c r="AP974" s="417"/>
      <c r="AQ974" s="383"/>
      <c r="AR974" s="507"/>
      <c r="AS974" s="514"/>
      <c r="AT974" s="514"/>
    </row>
    <row r="975">
      <c r="A975" s="382"/>
      <c r="B975" s="417"/>
      <c r="C975" s="383"/>
      <c r="D975" s="507"/>
      <c r="E975" s="382"/>
      <c r="F975" s="417"/>
      <c r="G975" s="383"/>
      <c r="H975" s="507"/>
      <c r="I975" s="382"/>
      <c r="J975" s="417"/>
      <c r="K975" s="383"/>
      <c r="L975" s="507"/>
      <c r="M975" s="382"/>
      <c r="N975" s="417"/>
      <c r="O975" s="383"/>
      <c r="P975" s="507"/>
      <c r="Q975" s="518"/>
      <c r="R975" s="519"/>
      <c r="S975" s="520"/>
      <c r="T975" s="513"/>
      <c r="U975" s="518"/>
      <c r="V975" s="519"/>
      <c r="W975" s="520"/>
      <c r="X975" s="513"/>
      <c r="Y975" s="518"/>
      <c r="Z975" s="519"/>
      <c r="AA975" s="520"/>
      <c r="AB975" s="513"/>
      <c r="AC975" s="518"/>
      <c r="AD975" s="519"/>
      <c r="AE975" s="520"/>
      <c r="AF975" s="513"/>
      <c r="AG975" s="356"/>
      <c r="AH975" s="356"/>
      <c r="AI975" s="356"/>
      <c r="AJ975" s="356"/>
      <c r="AK975" s="382"/>
      <c r="AL975" s="417"/>
      <c r="AM975" s="383"/>
      <c r="AN975" s="507"/>
      <c r="AO975" s="382"/>
      <c r="AP975" s="417"/>
      <c r="AQ975" s="383"/>
      <c r="AR975" s="507"/>
      <c r="AS975" s="514"/>
      <c r="AT975" s="514"/>
    </row>
    <row r="976">
      <c r="A976" s="382"/>
      <c r="B976" s="417"/>
      <c r="C976" s="383"/>
      <c r="D976" s="507"/>
      <c r="E976" s="382"/>
      <c r="F976" s="417"/>
      <c r="G976" s="383"/>
      <c r="H976" s="507"/>
      <c r="I976" s="382"/>
      <c r="J976" s="417"/>
      <c r="K976" s="383"/>
      <c r="L976" s="507"/>
      <c r="M976" s="382"/>
      <c r="N976" s="417"/>
      <c r="O976" s="383"/>
      <c r="P976" s="507"/>
      <c r="Q976" s="518"/>
      <c r="R976" s="519"/>
      <c r="S976" s="520"/>
      <c r="T976" s="513"/>
      <c r="U976" s="518"/>
      <c r="V976" s="519"/>
      <c r="W976" s="520"/>
      <c r="X976" s="513"/>
      <c r="Y976" s="518"/>
      <c r="Z976" s="519"/>
      <c r="AA976" s="520"/>
      <c r="AB976" s="513"/>
      <c r="AC976" s="518"/>
      <c r="AD976" s="519"/>
      <c r="AE976" s="520"/>
      <c r="AF976" s="513"/>
      <c r="AG976" s="356"/>
      <c r="AH976" s="356"/>
      <c r="AI976" s="356"/>
      <c r="AJ976" s="356"/>
      <c r="AK976" s="382"/>
      <c r="AL976" s="417"/>
      <c r="AM976" s="383"/>
      <c r="AN976" s="507"/>
      <c r="AO976" s="382"/>
      <c r="AP976" s="417"/>
      <c r="AQ976" s="383"/>
      <c r="AR976" s="507"/>
      <c r="AS976" s="514"/>
      <c r="AT976" s="514"/>
    </row>
    <row r="977">
      <c r="A977" s="382"/>
      <c r="B977" s="417"/>
      <c r="C977" s="383"/>
      <c r="D977" s="507"/>
      <c r="E977" s="382"/>
      <c r="F977" s="417"/>
      <c r="G977" s="383"/>
      <c r="H977" s="507"/>
      <c r="I977" s="382"/>
      <c r="J977" s="417"/>
      <c r="K977" s="383"/>
      <c r="L977" s="507"/>
      <c r="M977" s="382"/>
      <c r="N977" s="417"/>
      <c r="O977" s="383"/>
      <c r="P977" s="507"/>
      <c r="Q977" s="518"/>
      <c r="R977" s="519"/>
      <c r="S977" s="520"/>
      <c r="T977" s="513"/>
      <c r="U977" s="518"/>
      <c r="V977" s="519"/>
      <c r="W977" s="520"/>
      <c r="X977" s="513"/>
      <c r="Y977" s="518"/>
      <c r="Z977" s="519"/>
      <c r="AA977" s="520"/>
      <c r="AB977" s="513"/>
      <c r="AC977" s="518"/>
      <c r="AD977" s="519"/>
      <c r="AE977" s="520"/>
      <c r="AF977" s="513"/>
      <c r="AG977" s="356"/>
      <c r="AH977" s="356"/>
      <c r="AI977" s="356"/>
      <c r="AJ977" s="356"/>
      <c r="AK977" s="382"/>
      <c r="AL977" s="417"/>
      <c r="AM977" s="383"/>
      <c r="AN977" s="507"/>
      <c r="AO977" s="382"/>
      <c r="AP977" s="417"/>
      <c r="AQ977" s="383"/>
      <c r="AR977" s="507"/>
      <c r="AS977" s="514"/>
      <c r="AT977" s="514"/>
    </row>
    <row r="978">
      <c r="A978" s="382"/>
      <c r="B978" s="417"/>
      <c r="C978" s="383"/>
      <c r="D978" s="507"/>
      <c r="E978" s="382"/>
      <c r="F978" s="417"/>
      <c r="G978" s="383"/>
      <c r="H978" s="507"/>
      <c r="I978" s="382"/>
      <c r="J978" s="417"/>
      <c r="K978" s="383"/>
      <c r="L978" s="507"/>
      <c r="M978" s="382"/>
      <c r="N978" s="417"/>
      <c r="O978" s="383"/>
      <c r="P978" s="507"/>
      <c r="Q978" s="518"/>
      <c r="R978" s="519"/>
      <c r="S978" s="520"/>
      <c r="T978" s="513"/>
      <c r="U978" s="518"/>
      <c r="V978" s="519"/>
      <c r="W978" s="520"/>
      <c r="X978" s="513"/>
      <c r="Y978" s="518"/>
      <c r="Z978" s="519"/>
      <c r="AA978" s="520"/>
      <c r="AB978" s="513"/>
      <c r="AC978" s="518"/>
      <c r="AD978" s="519"/>
      <c r="AE978" s="520"/>
      <c r="AF978" s="513"/>
      <c r="AG978" s="356"/>
      <c r="AH978" s="356"/>
      <c r="AI978" s="356"/>
      <c r="AJ978" s="356"/>
      <c r="AK978" s="382"/>
      <c r="AL978" s="417"/>
      <c r="AM978" s="383"/>
      <c r="AN978" s="507"/>
      <c r="AO978" s="382"/>
      <c r="AP978" s="417"/>
      <c r="AQ978" s="383"/>
      <c r="AR978" s="507"/>
      <c r="AS978" s="514"/>
      <c r="AT978" s="514"/>
    </row>
    <row r="979">
      <c r="A979" s="382"/>
      <c r="B979" s="417"/>
      <c r="C979" s="383"/>
      <c r="D979" s="507"/>
      <c r="E979" s="382"/>
      <c r="F979" s="417"/>
      <c r="G979" s="383"/>
      <c r="H979" s="507"/>
      <c r="I979" s="382"/>
      <c r="J979" s="417"/>
      <c r="K979" s="383"/>
      <c r="L979" s="507"/>
      <c r="M979" s="382"/>
      <c r="N979" s="417"/>
      <c r="O979" s="383"/>
      <c r="P979" s="507"/>
      <c r="Q979" s="518"/>
      <c r="R979" s="519"/>
      <c r="S979" s="520"/>
      <c r="T979" s="513"/>
      <c r="U979" s="518"/>
      <c r="V979" s="519"/>
      <c r="W979" s="520"/>
      <c r="X979" s="513"/>
      <c r="Y979" s="518"/>
      <c r="Z979" s="519"/>
      <c r="AA979" s="520"/>
      <c r="AB979" s="513"/>
      <c r="AC979" s="518"/>
      <c r="AD979" s="519"/>
      <c r="AE979" s="520"/>
      <c r="AF979" s="513"/>
      <c r="AG979" s="356"/>
      <c r="AH979" s="356"/>
      <c r="AI979" s="356"/>
      <c r="AJ979" s="356"/>
      <c r="AK979" s="382"/>
      <c r="AL979" s="417"/>
      <c r="AM979" s="383"/>
      <c r="AN979" s="507"/>
      <c r="AO979" s="382"/>
      <c r="AP979" s="417"/>
      <c r="AQ979" s="383"/>
      <c r="AR979" s="507"/>
      <c r="AS979" s="514"/>
      <c r="AT979" s="514"/>
    </row>
    <row r="980">
      <c r="A980" s="382"/>
      <c r="B980" s="417"/>
      <c r="C980" s="383"/>
      <c r="D980" s="507"/>
      <c r="E980" s="382"/>
      <c r="F980" s="417"/>
      <c r="G980" s="383"/>
      <c r="H980" s="507"/>
      <c r="I980" s="382"/>
      <c r="J980" s="417"/>
      <c r="K980" s="383"/>
      <c r="L980" s="507"/>
      <c r="M980" s="382"/>
      <c r="N980" s="417"/>
      <c r="O980" s="383"/>
      <c r="P980" s="507"/>
      <c r="Q980" s="518"/>
      <c r="R980" s="519"/>
      <c r="S980" s="520"/>
      <c r="T980" s="513"/>
      <c r="U980" s="518"/>
      <c r="V980" s="519"/>
      <c r="W980" s="520"/>
      <c r="X980" s="513"/>
      <c r="Y980" s="518"/>
      <c r="Z980" s="519"/>
      <c r="AA980" s="520"/>
      <c r="AB980" s="513"/>
      <c r="AC980" s="518"/>
      <c r="AD980" s="519"/>
      <c r="AE980" s="520"/>
      <c r="AF980" s="513"/>
      <c r="AG980" s="356"/>
      <c r="AH980" s="356"/>
      <c r="AI980" s="356"/>
      <c r="AJ980" s="356"/>
      <c r="AK980" s="382"/>
      <c r="AL980" s="417"/>
      <c r="AM980" s="383"/>
      <c r="AN980" s="507"/>
      <c r="AO980" s="382"/>
      <c r="AP980" s="417"/>
      <c r="AQ980" s="383"/>
      <c r="AR980" s="507"/>
      <c r="AS980" s="514"/>
      <c r="AT980" s="514"/>
    </row>
    <row r="981">
      <c r="A981" s="382"/>
      <c r="B981" s="417"/>
      <c r="C981" s="383"/>
      <c r="D981" s="507"/>
      <c r="E981" s="382"/>
      <c r="F981" s="417"/>
      <c r="G981" s="383"/>
      <c r="H981" s="507"/>
      <c r="I981" s="382"/>
      <c r="J981" s="417"/>
      <c r="K981" s="383"/>
      <c r="L981" s="507"/>
      <c r="M981" s="382"/>
      <c r="N981" s="417"/>
      <c r="O981" s="383"/>
      <c r="P981" s="507"/>
      <c r="Q981" s="518"/>
      <c r="R981" s="519"/>
      <c r="S981" s="520"/>
      <c r="T981" s="513"/>
      <c r="U981" s="518"/>
      <c r="V981" s="519"/>
      <c r="W981" s="520"/>
      <c r="X981" s="513"/>
      <c r="Y981" s="518"/>
      <c r="Z981" s="519"/>
      <c r="AA981" s="520"/>
      <c r="AB981" s="513"/>
      <c r="AC981" s="518"/>
      <c r="AD981" s="519"/>
      <c r="AE981" s="520"/>
      <c r="AF981" s="513"/>
      <c r="AG981" s="356"/>
      <c r="AH981" s="356"/>
      <c r="AI981" s="356"/>
      <c r="AJ981" s="356"/>
      <c r="AK981" s="382"/>
      <c r="AL981" s="417"/>
      <c r="AM981" s="383"/>
      <c r="AN981" s="507"/>
      <c r="AO981" s="382"/>
      <c r="AP981" s="417"/>
      <c r="AQ981" s="383"/>
      <c r="AR981" s="507"/>
      <c r="AS981" s="514"/>
      <c r="AT981" s="514"/>
    </row>
    <row r="982">
      <c r="A982" s="382"/>
      <c r="B982" s="417"/>
      <c r="C982" s="383"/>
      <c r="D982" s="507"/>
      <c r="E982" s="382"/>
      <c r="F982" s="417"/>
      <c r="G982" s="383"/>
      <c r="H982" s="507"/>
      <c r="I982" s="382"/>
      <c r="J982" s="417"/>
      <c r="K982" s="383"/>
      <c r="L982" s="507"/>
      <c r="M982" s="382"/>
      <c r="N982" s="417"/>
      <c r="O982" s="383"/>
      <c r="P982" s="507"/>
      <c r="Q982" s="518"/>
      <c r="R982" s="519"/>
      <c r="S982" s="520"/>
      <c r="T982" s="513"/>
      <c r="U982" s="518"/>
      <c r="V982" s="519"/>
      <c r="W982" s="520"/>
      <c r="X982" s="513"/>
      <c r="Y982" s="518"/>
      <c r="Z982" s="519"/>
      <c r="AA982" s="520"/>
      <c r="AB982" s="513"/>
      <c r="AC982" s="518"/>
      <c r="AD982" s="519"/>
      <c r="AE982" s="520"/>
      <c r="AF982" s="513"/>
      <c r="AG982" s="356"/>
      <c r="AH982" s="356"/>
      <c r="AI982" s="356"/>
      <c r="AJ982" s="356"/>
      <c r="AK982" s="382"/>
      <c r="AL982" s="417"/>
      <c r="AM982" s="383"/>
      <c r="AN982" s="507"/>
      <c r="AO982" s="382"/>
      <c r="AP982" s="417"/>
      <c r="AQ982" s="383"/>
      <c r="AR982" s="507"/>
      <c r="AS982" s="514"/>
      <c r="AT982" s="514"/>
    </row>
    <row r="983">
      <c r="A983" s="382"/>
      <c r="B983" s="417"/>
      <c r="C983" s="383"/>
      <c r="D983" s="507"/>
      <c r="E983" s="382"/>
      <c r="F983" s="417"/>
      <c r="G983" s="383"/>
      <c r="H983" s="507"/>
      <c r="I983" s="382"/>
      <c r="J983" s="417"/>
      <c r="K983" s="383"/>
      <c r="L983" s="507"/>
      <c r="M983" s="382"/>
      <c r="N983" s="417"/>
      <c r="O983" s="383"/>
      <c r="P983" s="507"/>
      <c r="Q983" s="518"/>
      <c r="R983" s="519"/>
      <c r="S983" s="520"/>
      <c r="T983" s="513"/>
      <c r="U983" s="518"/>
      <c r="V983" s="519"/>
      <c r="W983" s="520"/>
      <c r="X983" s="513"/>
      <c r="Y983" s="518"/>
      <c r="Z983" s="519"/>
      <c r="AA983" s="520"/>
      <c r="AB983" s="513"/>
      <c r="AC983" s="518"/>
      <c r="AD983" s="519"/>
      <c r="AE983" s="520"/>
      <c r="AF983" s="513"/>
      <c r="AG983" s="356"/>
      <c r="AH983" s="356"/>
      <c r="AI983" s="356"/>
      <c r="AJ983" s="356"/>
      <c r="AK983" s="382"/>
      <c r="AL983" s="417"/>
      <c r="AM983" s="383"/>
      <c r="AN983" s="507"/>
      <c r="AO983" s="382"/>
      <c r="AP983" s="417"/>
      <c r="AQ983" s="383"/>
      <c r="AR983" s="507"/>
      <c r="AS983" s="514"/>
      <c r="AT983" s="514"/>
    </row>
    <row r="984">
      <c r="A984" s="382"/>
      <c r="B984" s="417"/>
      <c r="C984" s="383"/>
      <c r="D984" s="507"/>
      <c r="E984" s="382"/>
      <c r="F984" s="417"/>
      <c r="G984" s="383"/>
      <c r="H984" s="507"/>
      <c r="I984" s="382"/>
      <c r="J984" s="417"/>
      <c r="K984" s="383"/>
      <c r="L984" s="507"/>
      <c r="M984" s="382"/>
      <c r="N984" s="417"/>
      <c r="O984" s="383"/>
      <c r="P984" s="507"/>
      <c r="Q984" s="518"/>
      <c r="R984" s="519"/>
      <c r="S984" s="520"/>
      <c r="T984" s="513"/>
      <c r="U984" s="518"/>
      <c r="V984" s="519"/>
      <c r="W984" s="520"/>
      <c r="X984" s="513"/>
      <c r="Y984" s="518"/>
      <c r="Z984" s="519"/>
      <c r="AA984" s="520"/>
      <c r="AB984" s="513"/>
      <c r="AC984" s="518"/>
      <c r="AD984" s="519"/>
      <c r="AE984" s="520"/>
      <c r="AF984" s="513"/>
      <c r="AG984" s="356"/>
      <c r="AH984" s="356"/>
      <c r="AI984" s="356"/>
      <c r="AJ984" s="356"/>
      <c r="AK984" s="382"/>
      <c r="AL984" s="417"/>
      <c r="AM984" s="383"/>
      <c r="AN984" s="507"/>
      <c r="AO984" s="382"/>
      <c r="AP984" s="417"/>
      <c r="AQ984" s="383"/>
      <c r="AR984" s="507"/>
      <c r="AS984" s="514"/>
      <c r="AT984" s="514"/>
    </row>
    <row r="985">
      <c r="A985" s="382"/>
      <c r="B985" s="417"/>
      <c r="C985" s="383"/>
      <c r="D985" s="507"/>
      <c r="E985" s="382"/>
      <c r="F985" s="417"/>
      <c r="G985" s="383"/>
      <c r="H985" s="507"/>
      <c r="I985" s="382"/>
      <c r="J985" s="417"/>
      <c r="K985" s="383"/>
      <c r="L985" s="507"/>
      <c r="M985" s="382"/>
      <c r="N985" s="417"/>
      <c r="O985" s="383"/>
      <c r="P985" s="507"/>
      <c r="Q985" s="518"/>
      <c r="R985" s="519"/>
      <c r="S985" s="520"/>
      <c r="T985" s="513"/>
      <c r="U985" s="518"/>
      <c r="V985" s="519"/>
      <c r="W985" s="520"/>
      <c r="X985" s="513"/>
      <c r="Y985" s="518"/>
      <c r="Z985" s="519"/>
      <c r="AA985" s="520"/>
      <c r="AB985" s="513"/>
      <c r="AC985" s="518"/>
      <c r="AD985" s="519"/>
      <c r="AE985" s="520"/>
      <c r="AF985" s="513"/>
      <c r="AG985" s="356"/>
      <c r="AH985" s="356"/>
      <c r="AI985" s="356"/>
      <c r="AJ985" s="356"/>
      <c r="AK985" s="382"/>
      <c r="AL985" s="417"/>
      <c r="AM985" s="383"/>
      <c r="AN985" s="507"/>
      <c r="AO985" s="382"/>
      <c r="AP985" s="417"/>
      <c r="AQ985" s="383"/>
      <c r="AR985" s="507"/>
      <c r="AS985" s="514"/>
      <c r="AT985" s="514"/>
    </row>
    <row r="986">
      <c r="A986" s="382"/>
      <c r="B986" s="417"/>
      <c r="C986" s="383"/>
      <c r="D986" s="507"/>
      <c r="E986" s="382"/>
      <c r="F986" s="417"/>
      <c r="G986" s="383"/>
      <c r="H986" s="507"/>
      <c r="I986" s="382"/>
      <c r="J986" s="417"/>
      <c r="K986" s="383"/>
      <c r="L986" s="507"/>
      <c r="M986" s="382"/>
      <c r="N986" s="417"/>
      <c r="O986" s="383"/>
      <c r="P986" s="507"/>
      <c r="Q986" s="518"/>
      <c r="R986" s="519"/>
      <c r="S986" s="520"/>
      <c r="T986" s="513"/>
      <c r="U986" s="518"/>
      <c r="V986" s="519"/>
      <c r="W986" s="520"/>
      <c r="X986" s="513"/>
      <c r="Y986" s="518"/>
      <c r="Z986" s="519"/>
      <c r="AA986" s="520"/>
      <c r="AB986" s="513"/>
      <c r="AC986" s="518"/>
      <c r="AD986" s="519"/>
      <c r="AE986" s="520"/>
      <c r="AF986" s="513"/>
      <c r="AG986" s="356"/>
      <c r="AH986" s="356"/>
      <c r="AI986" s="356"/>
      <c r="AJ986" s="356"/>
      <c r="AK986" s="382"/>
      <c r="AL986" s="417"/>
      <c r="AM986" s="383"/>
      <c r="AN986" s="507"/>
      <c r="AO986" s="382"/>
      <c r="AP986" s="417"/>
      <c r="AQ986" s="383"/>
      <c r="AR986" s="507"/>
      <c r="AS986" s="514"/>
      <c r="AT986" s="514"/>
    </row>
    <row r="987">
      <c r="A987" s="382"/>
      <c r="B987" s="417"/>
      <c r="C987" s="383"/>
      <c r="D987" s="507"/>
      <c r="E987" s="382"/>
      <c r="F987" s="417"/>
      <c r="G987" s="383"/>
      <c r="H987" s="507"/>
      <c r="I987" s="382"/>
      <c r="J987" s="417"/>
      <c r="K987" s="383"/>
      <c r="L987" s="507"/>
      <c r="M987" s="382"/>
      <c r="N987" s="417"/>
      <c r="O987" s="383"/>
      <c r="P987" s="507"/>
      <c r="Q987" s="518"/>
      <c r="R987" s="519"/>
      <c r="S987" s="520"/>
      <c r="T987" s="513"/>
      <c r="U987" s="518"/>
      <c r="V987" s="519"/>
      <c r="W987" s="520"/>
      <c r="X987" s="513"/>
      <c r="Y987" s="518"/>
      <c r="Z987" s="519"/>
      <c r="AA987" s="520"/>
      <c r="AB987" s="513"/>
      <c r="AC987" s="518"/>
      <c r="AD987" s="519"/>
      <c r="AE987" s="520"/>
      <c r="AF987" s="513"/>
      <c r="AG987" s="356"/>
      <c r="AH987" s="356"/>
      <c r="AI987" s="356"/>
      <c r="AJ987" s="356"/>
      <c r="AK987" s="382"/>
      <c r="AL987" s="417"/>
      <c r="AM987" s="383"/>
      <c r="AN987" s="507"/>
      <c r="AO987" s="382"/>
      <c r="AP987" s="417"/>
      <c r="AQ987" s="383"/>
      <c r="AR987" s="507"/>
      <c r="AS987" s="514"/>
      <c r="AT987" s="514"/>
    </row>
    <row r="988">
      <c r="A988" s="382"/>
      <c r="B988" s="417"/>
      <c r="C988" s="383"/>
      <c r="D988" s="507"/>
      <c r="E988" s="382"/>
      <c r="F988" s="417"/>
      <c r="G988" s="383"/>
      <c r="H988" s="507"/>
      <c r="I988" s="382"/>
      <c r="J988" s="417"/>
      <c r="K988" s="383"/>
      <c r="L988" s="507"/>
      <c r="M988" s="382"/>
      <c r="N988" s="417"/>
      <c r="O988" s="383"/>
      <c r="P988" s="507"/>
      <c r="Q988" s="518"/>
      <c r="R988" s="519"/>
      <c r="S988" s="520"/>
      <c r="T988" s="513"/>
      <c r="U988" s="518"/>
      <c r="V988" s="519"/>
      <c r="W988" s="520"/>
      <c r="X988" s="513"/>
      <c r="Y988" s="518"/>
      <c r="Z988" s="519"/>
      <c r="AA988" s="520"/>
      <c r="AB988" s="513"/>
      <c r="AC988" s="518"/>
      <c r="AD988" s="519"/>
      <c r="AE988" s="520"/>
      <c r="AF988" s="513"/>
      <c r="AG988" s="356"/>
      <c r="AH988" s="356"/>
      <c r="AI988" s="356"/>
      <c r="AJ988" s="356"/>
      <c r="AK988" s="382"/>
      <c r="AL988" s="417"/>
      <c r="AM988" s="383"/>
      <c r="AN988" s="507"/>
      <c r="AO988" s="382"/>
      <c r="AP988" s="417"/>
      <c r="AQ988" s="383"/>
      <c r="AR988" s="507"/>
      <c r="AS988" s="514"/>
      <c r="AT988" s="514"/>
    </row>
    <row r="989">
      <c r="A989" s="382"/>
      <c r="B989" s="417"/>
      <c r="C989" s="383"/>
      <c r="D989" s="507"/>
      <c r="E989" s="382"/>
      <c r="F989" s="417"/>
      <c r="G989" s="383"/>
      <c r="H989" s="507"/>
      <c r="I989" s="382"/>
      <c r="J989" s="417"/>
      <c r="K989" s="383"/>
      <c r="L989" s="507"/>
      <c r="M989" s="382"/>
      <c r="N989" s="417"/>
      <c r="O989" s="383"/>
      <c r="P989" s="507"/>
      <c r="Q989" s="518"/>
      <c r="R989" s="519"/>
      <c r="S989" s="520"/>
      <c r="T989" s="513"/>
      <c r="U989" s="518"/>
      <c r="V989" s="519"/>
      <c r="W989" s="520"/>
      <c r="X989" s="513"/>
      <c r="Y989" s="518"/>
      <c r="Z989" s="519"/>
      <c r="AA989" s="520"/>
      <c r="AB989" s="513"/>
      <c r="AC989" s="518"/>
      <c r="AD989" s="519"/>
      <c r="AE989" s="520"/>
      <c r="AF989" s="513"/>
      <c r="AG989" s="356"/>
      <c r="AH989" s="356"/>
      <c r="AI989" s="356"/>
      <c r="AJ989" s="356"/>
      <c r="AK989" s="382"/>
      <c r="AL989" s="417"/>
      <c r="AM989" s="383"/>
      <c r="AN989" s="507"/>
      <c r="AO989" s="382"/>
      <c r="AP989" s="417"/>
      <c r="AQ989" s="383"/>
      <c r="AR989" s="507"/>
      <c r="AS989" s="514"/>
      <c r="AT989" s="514"/>
    </row>
    <row r="990">
      <c r="A990" s="382"/>
      <c r="B990" s="417"/>
      <c r="C990" s="383"/>
      <c r="D990" s="507"/>
      <c r="E990" s="382"/>
      <c r="F990" s="417"/>
      <c r="G990" s="383"/>
      <c r="H990" s="507"/>
      <c r="I990" s="382"/>
      <c r="J990" s="417"/>
      <c r="K990" s="383"/>
      <c r="L990" s="507"/>
      <c r="M990" s="382"/>
      <c r="N990" s="417"/>
      <c r="O990" s="383"/>
      <c r="P990" s="507"/>
      <c r="Q990" s="518"/>
      <c r="R990" s="519"/>
      <c r="S990" s="520"/>
      <c r="T990" s="513"/>
      <c r="U990" s="518"/>
      <c r="V990" s="519"/>
      <c r="W990" s="520"/>
      <c r="X990" s="513"/>
      <c r="Y990" s="518"/>
      <c r="Z990" s="519"/>
      <c r="AA990" s="520"/>
      <c r="AB990" s="513"/>
      <c r="AC990" s="518"/>
      <c r="AD990" s="519"/>
      <c r="AE990" s="520"/>
      <c r="AF990" s="513"/>
      <c r="AG990" s="356"/>
      <c r="AH990" s="356"/>
      <c r="AI990" s="356"/>
      <c r="AJ990" s="356"/>
      <c r="AK990" s="382"/>
      <c r="AL990" s="417"/>
      <c r="AM990" s="383"/>
      <c r="AN990" s="507"/>
      <c r="AO990" s="382"/>
      <c r="AP990" s="417"/>
      <c r="AQ990" s="383"/>
      <c r="AR990" s="507"/>
      <c r="AS990" s="514"/>
      <c r="AT990" s="514"/>
    </row>
    <row r="991">
      <c r="A991" s="382"/>
      <c r="B991" s="417"/>
      <c r="C991" s="383"/>
      <c r="D991" s="507"/>
      <c r="E991" s="382"/>
      <c r="F991" s="417"/>
      <c r="G991" s="383"/>
      <c r="H991" s="507"/>
      <c r="I991" s="382"/>
      <c r="J991" s="417"/>
      <c r="K991" s="383"/>
      <c r="L991" s="507"/>
      <c r="M991" s="382"/>
      <c r="N991" s="417"/>
      <c r="O991" s="383"/>
      <c r="P991" s="507"/>
      <c r="Q991" s="518"/>
      <c r="R991" s="519"/>
      <c r="S991" s="520"/>
      <c r="T991" s="513"/>
      <c r="U991" s="518"/>
      <c r="V991" s="519"/>
      <c r="W991" s="520"/>
      <c r="X991" s="513"/>
      <c r="Y991" s="518"/>
      <c r="Z991" s="519"/>
      <c r="AA991" s="520"/>
      <c r="AB991" s="513"/>
      <c r="AC991" s="518"/>
      <c r="AD991" s="519"/>
      <c r="AE991" s="520"/>
      <c r="AF991" s="513"/>
      <c r="AG991" s="356"/>
      <c r="AH991" s="356"/>
      <c r="AI991" s="356"/>
      <c r="AJ991" s="356"/>
      <c r="AK991" s="382"/>
      <c r="AL991" s="417"/>
      <c r="AM991" s="383"/>
      <c r="AN991" s="507"/>
      <c r="AO991" s="382"/>
      <c r="AP991" s="417"/>
      <c r="AQ991" s="383"/>
      <c r="AR991" s="507"/>
      <c r="AS991" s="514"/>
      <c r="AT991" s="514"/>
    </row>
    <row r="992">
      <c r="A992" s="382"/>
      <c r="B992" s="417"/>
      <c r="C992" s="383"/>
      <c r="D992" s="507"/>
      <c r="E992" s="382"/>
      <c r="F992" s="417"/>
      <c r="G992" s="383"/>
      <c r="H992" s="507"/>
      <c r="I992" s="382"/>
      <c r="J992" s="417"/>
      <c r="K992" s="383"/>
      <c r="L992" s="507"/>
      <c r="M992" s="382"/>
      <c r="N992" s="417"/>
      <c r="O992" s="383"/>
      <c r="P992" s="507"/>
      <c r="Q992" s="518"/>
      <c r="R992" s="519"/>
      <c r="S992" s="520"/>
      <c r="T992" s="513"/>
      <c r="U992" s="518"/>
      <c r="V992" s="519"/>
      <c r="W992" s="520"/>
      <c r="X992" s="513"/>
      <c r="Y992" s="518"/>
      <c r="Z992" s="519"/>
      <c r="AA992" s="520"/>
      <c r="AB992" s="513"/>
      <c r="AC992" s="518"/>
      <c r="AD992" s="519"/>
      <c r="AE992" s="520"/>
      <c r="AF992" s="513"/>
      <c r="AG992" s="356"/>
      <c r="AH992" s="356"/>
      <c r="AI992" s="356"/>
      <c r="AJ992" s="356"/>
      <c r="AK992" s="382"/>
      <c r="AL992" s="417"/>
      <c r="AM992" s="383"/>
      <c r="AN992" s="507"/>
      <c r="AO992" s="382"/>
      <c r="AP992" s="417"/>
      <c r="AQ992" s="383"/>
      <c r="AR992" s="507"/>
      <c r="AS992" s="514"/>
      <c r="AT992" s="514"/>
    </row>
    <row r="993">
      <c r="A993" s="382"/>
      <c r="B993" s="417"/>
      <c r="C993" s="383"/>
      <c r="D993" s="507"/>
      <c r="E993" s="382"/>
      <c r="F993" s="417"/>
      <c r="G993" s="383"/>
      <c r="H993" s="507"/>
      <c r="I993" s="382"/>
      <c r="J993" s="417"/>
      <c r="K993" s="383"/>
      <c r="L993" s="507"/>
      <c r="M993" s="382"/>
      <c r="N993" s="417"/>
      <c r="O993" s="383"/>
      <c r="P993" s="507"/>
      <c r="Q993" s="518"/>
      <c r="R993" s="519"/>
      <c r="S993" s="520"/>
      <c r="T993" s="513"/>
      <c r="U993" s="518"/>
      <c r="V993" s="519"/>
      <c r="W993" s="520"/>
      <c r="X993" s="513"/>
      <c r="Y993" s="518"/>
      <c r="Z993" s="519"/>
      <c r="AA993" s="520"/>
      <c r="AB993" s="513"/>
      <c r="AC993" s="518"/>
      <c r="AD993" s="519"/>
      <c r="AE993" s="520"/>
      <c r="AF993" s="513"/>
      <c r="AG993" s="356"/>
      <c r="AH993" s="356"/>
      <c r="AI993" s="356"/>
      <c r="AJ993" s="356"/>
      <c r="AK993" s="382"/>
      <c r="AL993" s="417"/>
      <c r="AM993" s="383"/>
      <c r="AN993" s="507"/>
      <c r="AO993" s="382"/>
      <c r="AP993" s="417"/>
      <c r="AQ993" s="383"/>
      <c r="AR993" s="507"/>
      <c r="AS993" s="514"/>
      <c r="AT993" s="514"/>
    </row>
    <row r="994">
      <c r="A994" s="382"/>
      <c r="B994" s="417"/>
      <c r="C994" s="383"/>
      <c r="D994" s="507"/>
      <c r="E994" s="382"/>
      <c r="F994" s="417"/>
      <c r="G994" s="383"/>
      <c r="H994" s="507"/>
      <c r="I994" s="382"/>
      <c r="J994" s="417"/>
      <c r="K994" s="383"/>
      <c r="L994" s="507"/>
      <c r="M994" s="382"/>
      <c r="N994" s="417"/>
      <c r="O994" s="383"/>
      <c r="P994" s="507"/>
      <c r="Q994" s="518"/>
      <c r="R994" s="519"/>
      <c r="S994" s="520"/>
      <c r="T994" s="513"/>
      <c r="U994" s="518"/>
      <c r="V994" s="519"/>
      <c r="W994" s="520"/>
      <c r="X994" s="513"/>
      <c r="Y994" s="518"/>
      <c r="Z994" s="519"/>
      <c r="AA994" s="520"/>
      <c r="AB994" s="513"/>
      <c r="AC994" s="518"/>
      <c r="AD994" s="519"/>
      <c r="AE994" s="520"/>
      <c r="AF994" s="513"/>
      <c r="AG994" s="356"/>
      <c r="AH994" s="356"/>
      <c r="AI994" s="356"/>
      <c r="AJ994" s="356"/>
      <c r="AK994" s="382"/>
      <c r="AL994" s="417"/>
      <c r="AM994" s="383"/>
      <c r="AN994" s="507"/>
      <c r="AO994" s="382"/>
      <c r="AP994" s="417"/>
      <c r="AQ994" s="383"/>
      <c r="AR994" s="507"/>
      <c r="AS994" s="514"/>
      <c r="AT994" s="514"/>
    </row>
    <row r="995">
      <c r="A995" s="382"/>
      <c r="B995" s="417"/>
      <c r="C995" s="383"/>
      <c r="D995" s="507"/>
      <c r="E995" s="382"/>
      <c r="F995" s="417"/>
      <c r="G995" s="383"/>
      <c r="H995" s="507"/>
      <c r="I995" s="382"/>
      <c r="J995" s="417"/>
      <c r="K995" s="383"/>
      <c r="L995" s="507"/>
      <c r="M995" s="382"/>
      <c r="N995" s="417"/>
      <c r="O995" s="383"/>
      <c r="P995" s="507"/>
      <c r="Q995" s="518"/>
      <c r="R995" s="519"/>
      <c r="S995" s="520"/>
      <c r="T995" s="513"/>
      <c r="U995" s="518"/>
      <c r="V995" s="519"/>
      <c r="W995" s="520"/>
      <c r="X995" s="513"/>
      <c r="Y995" s="518"/>
      <c r="Z995" s="519"/>
      <c r="AA995" s="520"/>
      <c r="AB995" s="513"/>
      <c r="AC995" s="518"/>
      <c r="AD995" s="519"/>
      <c r="AE995" s="520"/>
      <c r="AF995" s="513"/>
      <c r="AG995" s="356"/>
      <c r="AH995" s="356"/>
      <c r="AI995" s="356"/>
      <c r="AJ995" s="356"/>
      <c r="AK995" s="382"/>
      <c r="AL995" s="417"/>
      <c r="AM995" s="383"/>
      <c r="AN995" s="507"/>
      <c r="AO995" s="382"/>
      <c r="AP995" s="417"/>
      <c r="AQ995" s="383"/>
      <c r="AR995" s="507"/>
      <c r="AS995" s="514"/>
      <c r="AT995" s="514"/>
    </row>
    <row r="996">
      <c r="A996" s="382"/>
      <c r="B996" s="417"/>
      <c r="C996" s="383"/>
      <c r="D996" s="507"/>
      <c r="E996" s="382"/>
      <c r="F996" s="417"/>
      <c r="G996" s="383"/>
      <c r="H996" s="507"/>
      <c r="I996" s="382"/>
      <c r="J996" s="417"/>
      <c r="K996" s="383"/>
      <c r="L996" s="507"/>
      <c r="M996" s="382"/>
      <c r="N996" s="417"/>
      <c r="O996" s="383"/>
      <c r="P996" s="507"/>
      <c r="Q996" s="518"/>
      <c r="R996" s="519"/>
      <c r="S996" s="520"/>
      <c r="T996" s="513"/>
      <c r="U996" s="518"/>
      <c r="V996" s="519"/>
      <c r="W996" s="520"/>
      <c r="X996" s="513"/>
      <c r="Y996" s="518"/>
      <c r="Z996" s="519"/>
      <c r="AA996" s="520"/>
      <c r="AB996" s="513"/>
      <c r="AC996" s="518"/>
      <c r="AD996" s="519"/>
      <c r="AE996" s="520"/>
      <c r="AF996" s="513"/>
      <c r="AG996" s="356"/>
      <c r="AH996" s="356"/>
      <c r="AI996" s="356"/>
      <c r="AJ996" s="356"/>
      <c r="AK996" s="382"/>
      <c r="AL996" s="417"/>
      <c r="AM996" s="383"/>
      <c r="AN996" s="507"/>
      <c r="AO996" s="382"/>
      <c r="AP996" s="417"/>
      <c r="AQ996" s="383"/>
      <c r="AR996" s="507"/>
      <c r="AS996" s="514"/>
      <c r="AT996" s="514"/>
    </row>
    <row r="997">
      <c r="A997" s="382"/>
      <c r="B997" s="417"/>
      <c r="C997" s="383"/>
      <c r="D997" s="507"/>
      <c r="E997" s="382"/>
      <c r="F997" s="417"/>
      <c r="G997" s="383"/>
      <c r="H997" s="507"/>
      <c r="I997" s="382"/>
      <c r="J997" s="417"/>
      <c r="K997" s="383"/>
      <c r="L997" s="507"/>
      <c r="M997" s="382"/>
      <c r="N997" s="417"/>
      <c r="O997" s="383"/>
      <c r="P997" s="507"/>
      <c r="Q997" s="518"/>
      <c r="R997" s="519"/>
      <c r="S997" s="520"/>
      <c r="T997" s="513"/>
      <c r="U997" s="518"/>
      <c r="V997" s="519"/>
      <c r="W997" s="520"/>
      <c r="X997" s="513"/>
      <c r="Y997" s="518"/>
      <c r="Z997" s="519"/>
      <c r="AA997" s="520"/>
      <c r="AB997" s="513"/>
      <c r="AC997" s="518"/>
      <c r="AD997" s="519"/>
      <c r="AE997" s="520"/>
      <c r="AF997" s="513"/>
      <c r="AG997" s="356"/>
      <c r="AH997" s="356"/>
      <c r="AI997" s="356"/>
      <c r="AJ997" s="356"/>
      <c r="AK997" s="382"/>
      <c r="AL997" s="417"/>
      <c r="AM997" s="383"/>
      <c r="AN997" s="507"/>
      <c r="AO997" s="382"/>
      <c r="AP997" s="417"/>
      <c r="AQ997" s="383"/>
      <c r="AR997" s="507"/>
      <c r="AS997" s="514"/>
      <c r="AT997" s="514"/>
    </row>
    <row r="998">
      <c r="A998" s="382"/>
      <c r="B998" s="417"/>
      <c r="C998" s="383"/>
      <c r="D998" s="507"/>
      <c r="E998" s="382"/>
      <c r="F998" s="417"/>
      <c r="G998" s="383"/>
      <c r="H998" s="507"/>
      <c r="I998" s="382"/>
      <c r="J998" s="417"/>
      <c r="K998" s="383"/>
      <c r="L998" s="507"/>
      <c r="M998" s="382"/>
      <c r="N998" s="417"/>
      <c r="O998" s="383"/>
      <c r="P998" s="507"/>
      <c r="Q998" s="518"/>
      <c r="R998" s="519"/>
      <c r="S998" s="520"/>
      <c r="T998" s="513"/>
      <c r="U998" s="518"/>
      <c r="V998" s="519"/>
      <c r="W998" s="520"/>
      <c r="X998" s="513"/>
      <c r="Y998" s="518"/>
      <c r="Z998" s="519"/>
      <c r="AA998" s="520"/>
      <c r="AB998" s="513"/>
      <c r="AC998" s="518"/>
      <c r="AD998" s="519"/>
      <c r="AE998" s="520"/>
      <c r="AF998" s="513"/>
      <c r="AG998" s="356"/>
      <c r="AH998" s="356"/>
      <c r="AI998" s="356"/>
      <c r="AJ998" s="356"/>
      <c r="AK998" s="382"/>
      <c r="AL998" s="417"/>
      <c r="AM998" s="383"/>
      <c r="AN998" s="507"/>
      <c r="AO998" s="382"/>
      <c r="AP998" s="417"/>
      <c r="AQ998" s="383"/>
      <c r="AR998" s="507"/>
      <c r="AS998" s="514"/>
      <c r="AT998" s="514"/>
    </row>
    <row r="999">
      <c r="A999" s="382"/>
      <c r="B999" s="417"/>
      <c r="C999" s="383"/>
      <c r="D999" s="507"/>
      <c r="E999" s="382"/>
      <c r="F999" s="417"/>
      <c r="G999" s="383"/>
      <c r="H999" s="507"/>
      <c r="I999" s="382"/>
      <c r="J999" s="417"/>
      <c r="K999" s="383"/>
      <c r="L999" s="507"/>
      <c r="M999" s="382"/>
      <c r="N999" s="417"/>
      <c r="O999" s="383"/>
      <c r="P999" s="507"/>
      <c r="Q999" s="518"/>
      <c r="R999" s="519"/>
      <c r="S999" s="520"/>
      <c r="T999" s="513"/>
      <c r="U999" s="518"/>
      <c r="V999" s="519"/>
      <c r="W999" s="520"/>
      <c r="X999" s="513"/>
      <c r="Y999" s="518"/>
      <c r="Z999" s="519"/>
      <c r="AA999" s="520"/>
      <c r="AB999" s="513"/>
      <c r="AC999" s="518"/>
      <c r="AD999" s="519"/>
      <c r="AE999" s="520"/>
      <c r="AF999" s="513"/>
      <c r="AG999" s="356"/>
      <c r="AH999" s="356"/>
      <c r="AI999" s="356"/>
      <c r="AJ999" s="356"/>
      <c r="AK999" s="382"/>
      <c r="AL999" s="417"/>
      <c r="AM999" s="383"/>
      <c r="AN999" s="507"/>
      <c r="AO999" s="382"/>
      <c r="AP999" s="417"/>
      <c r="AQ999" s="383"/>
      <c r="AR999" s="507"/>
      <c r="AS999" s="514"/>
      <c r="AT999" s="514"/>
    </row>
    <row r="1000">
      <c r="A1000" s="382"/>
      <c r="B1000" s="417"/>
      <c r="C1000" s="383"/>
      <c r="D1000" s="507"/>
      <c r="E1000" s="382"/>
      <c r="F1000" s="417"/>
      <c r="G1000" s="383"/>
      <c r="H1000" s="507"/>
      <c r="I1000" s="382"/>
      <c r="J1000" s="417"/>
      <c r="K1000" s="383"/>
      <c r="L1000" s="507"/>
      <c r="M1000" s="382"/>
      <c r="N1000" s="417"/>
      <c r="O1000" s="383"/>
      <c r="P1000" s="507"/>
      <c r="Q1000" s="518"/>
      <c r="R1000" s="519"/>
      <c r="S1000" s="520"/>
      <c r="T1000" s="513"/>
      <c r="U1000" s="518"/>
      <c r="V1000" s="519"/>
      <c r="W1000" s="520"/>
      <c r="X1000" s="513"/>
      <c r="Y1000" s="518"/>
      <c r="Z1000" s="519"/>
      <c r="AA1000" s="520"/>
      <c r="AB1000" s="513"/>
      <c r="AC1000" s="518"/>
      <c r="AD1000" s="519"/>
      <c r="AE1000" s="520"/>
      <c r="AF1000" s="513"/>
      <c r="AG1000" s="356"/>
      <c r="AH1000" s="356"/>
      <c r="AI1000" s="356"/>
      <c r="AJ1000" s="356"/>
      <c r="AK1000" s="382"/>
      <c r="AL1000" s="417"/>
      <c r="AM1000" s="383"/>
      <c r="AN1000" s="507"/>
      <c r="AO1000" s="382"/>
      <c r="AP1000" s="417"/>
      <c r="AQ1000" s="383"/>
      <c r="AR1000" s="507"/>
      <c r="AS1000" s="514"/>
      <c r="AT1000" s="514"/>
    </row>
    <row r="1001">
      <c r="A1001" s="382"/>
      <c r="B1001" s="417"/>
      <c r="C1001" s="383"/>
      <c r="D1001" s="507"/>
      <c r="E1001" s="382"/>
      <c r="F1001" s="417"/>
      <c r="G1001" s="383"/>
      <c r="H1001" s="507"/>
      <c r="I1001" s="382"/>
      <c r="J1001" s="417"/>
      <c r="K1001" s="383"/>
      <c r="L1001" s="507"/>
      <c r="M1001" s="382"/>
      <c r="N1001" s="417"/>
      <c r="O1001" s="383"/>
      <c r="P1001" s="507"/>
      <c r="Q1001" s="518"/>
      <c r="R1001" s="519"/>
      <c r="S1001" s="520"/>
      <c r="T1001" s="513"/>
      <c r="U1001" s="518"/>
      <c r="V1001" s="519"/>
      <c r="W1001" s="520"/>
      <c r="X1001" s="513"/>
      <c r="Y1001" s="518"/>
      <c r="Z1001" s="519"/>
      <c r="AA1001" s="520"/>
      <c r="AB1001" s="513"/>
      <c r="AC1001" s="518"/>
      <c r="AD1001" s="519"/>
      <c r="AE1001" s="520"/>
      <c r="AF1001" s="513"/>
      <c r="AG1001" s="382"/>
      <c r="AH1001" s="417"/>
      <c r="AI1001" s="383"/>
      <c r="AJ1001" s="507"/>
      <c r="AK1001" s="382"/>
      <c r="AL1001" s="417"/>
      <c r="AM1001" s="383"/>
      <c r="AN1001" s="507"/>
      <c r="AO1001" s="382"/>
      <c r="AP1001" s="417"/>
      <c r="AQ1001" s="383"/>
      <c r="AR1001" s="507"/>
      <c r="AS1001" s="514"/>
      <c r="AT1001" s="514"/>
    </row>
    <row r="1002">
      <c r="A1002" s="382"/>
      <c r="B1002" s="417"/>
      <c r="C1002" s="383"/>
      <c r="D1002" s="507"/>
      <c r="E1002" s="382"/>
      <c r="F1002" s="417"/>
      <c r="G1002" s="383"/>
      <c r="H1002" s="507"/>
      <c r="I1002" s="382"/>
      <c r="J1002" s="417"/>
      <c r="K1002" s="383"/>
      <c r="L1002" s="507"/>
      <c r="M1002" s="382"/>
      <c r="N1002" s="417"/>
      <c r="O1002" s="383"/>
      <c r="P1002" s="507"/>
      <c r="Q1002" s="518"/>
      <c r="R1002" s="519"/>
      <c r="S1002" s="520"/>
      <c r="T1002" s="513"/>
      <c r="U1002" s="518"/>
      <c r="V1002" s="519"/>
      <c r="W1002" s="520"/>
      <c r="X1002" s="513"/>
      <c r="Y1002" s="518"/>
      <c r="Z1002" s="519"/>
      <c r="AA1002" s="520"/>
      <c r="AB1002" s="513"/>
      <c r="AC1002" s="518"/>
      <c r="AD1002" s="519"/>
      <c r="AE1002" s="520"/>
      <c r="AF1002" s="513"/>
      <c r="AG1002" s="382"/>
      <c r="AH1002" s="417"/>
      <c r="AI1002" s="383"/>
      <c r="AJ1002" s="507"/>
      <c r="AK1002" s="382"/>
      <c r="AL1002" s="417"/>
      <c r="AM1002" s="383"/>
      <c r="AN1002" s="507"/>
      <c r="AO1002" s="382"/>
      <c r="AP1002" s="417"/>
      <c r="AQ1002" s="383"/>
      <c r="AR1002" s="507"/>
      <c r="AS1002" s="514"/>
      <c r="AT1002" s="514"/>
    </row>
    <row r="1003">
      <c r="A1003" s="382"/>
      <c r="B1003" s="417"/>
      <c r="C1003" s="383"/>
      <c r="D1003" s="507"/>
      <c r="E1003" s="382"/>
      <c r="F1003" s="417"/>
      <c r="G1003" s="383"/>
      <c r="H1003" s="507"/>
      <c r="I1003" s="382"/>
      <c r="J1003" s="417"/>
      <c r="K1003" s="383"/>
      <c r="L1003" s="507"/>
      <c r="M1003" s="382"/>
      <c r="N1003" s="417"/>
      <c r="O1003" s="383"/>
      <c r="P1003" s="507"/>
      <c r="Q1003" s="518"/>
      <c r="R1003" s="519"/>
      <c r="S1003" s="520"/>
      <c r="T1003" s="513"/>
      <c r="U1003" s="518"/>
      <c r="V1003" s="519"/>
      <c r="W1003" s="520"/>
      <c r="X1003" s="513"/>
      <c r="Y1003" s="518"/>
      <c r="Z1003" s="519"/>
      <c r="AA1003" s="520"/>
      <c r="AB1003" s="513"/>
      <c r="AC1003" s="518"/>
      <c r="AD1003" s="519"/>
      <c r="AE1003" s="520"/>
      <c r="AF1003" s="513"/>
      <c r="AG1003" s="382"/>
      <c r="AH1003" s="417"/>
      <c r="AI1003" s="383"/>
      <c r="AJ1003" s="507"/>
      <c r="AK1003" s="382"/>
      <c r="AL1003" s="417"/>
      <c r="AM1003" s="383"/>
      <c r="AN1003" s="507"/>
      <c r="AO1003" s="382"/>
      <c r="AP1003" s="417"/>
      <c r="AQ1003" s="383"/>
      <c r="AR1003" s="507"/>
      <c r="AS1003" s="514"/>
      <c r="AT1003" s="514"/>
    </row>
    <row r="1004">
      <c r="A1004" s="382"/>
      <c r="B1004" s="417"/>
      <c r="C1004" s="383"/>
      <c r="D1004" s="507"/>
      <c r="E1004" s="382"/>
      <c r="F1004" s="417"/>
      <c r="G1004" s="383"/>
      <c r="H1004" s="507"/>
      <c r="I1004" s="382"/>
      <c r="J1004" s="417"/>
      <c r="K1004" s="383"/>
      <c r="L1004" s="507"/>
      <c r="M1004" s="382"/>
      <c r="N1004" s="417"/>
      <c r="O1004" s="383"/>
      <c r="P1004" s="507"/>
      <c r="Q1004" s="518"/>
      <c r="R1004" s="519"/>
      <c r="S1004" s="520"/>
      <c r="T1004" s="513"/>
      <c r="U1004" s="518"/>
      <c r="V1004" s="519"/>
      <c r="W1004" s="520"/>
      <c r="X1004" s="513"/>
      <c r="Y1004" s="518"/>
      <c r="Z1004" s="519"/>
      <c r="AA1004" s="520"/>
      <c r="AB1004" s="513"/>
      <c r="AC1004" s="518"/>
      <c r="AD1004" s="519"/>
      <c r="AE1004" s="520"/>
      <c r="AF1004" s="513"/>
      <c r="AG1004" s="382"/>
      <c r="AH1004" s="417"/>
      <c r="AI1004" s="383"/>
      <c r="AJ1004" s="507"/>
      <c r="AK1004" s="382"/>
      <c r="AL1004" s="417"/>
      <c r="AM1004" s="383"/>
      <c r="AN1004" s="507"/>
      <c r="AO1004" s="382"/>
      <c r="AP1004" s="417"/>
      <c r="AQ1004" s="383"/>
      <c r="AR1004" s="507"/>
      <c r="AS1004" s="514"/>
      <c r="AT1004" s="514"/>
    </row>
    <row r="1005">
      <c r="A1005" s="382"/>
      <c r="B1005" s="417"/>
      <c r="C1005" s="383"/>
      <c r="D1005" s="507"/>
      <c r="E1005" s="382"/>
      <c r="F1005" s="417"/>
      <c r="G1005" s="383"/>
      <c r="H1005" s="507"/>
      <c r="I1005" s="382"/>
      <c r="J1005" s="417"/>
      <c r="K1005" s="383"/>
      <c r="L1005" s="507"/>
      <c r="M1005" s="382"/>
      <c r="N1005" s="417"/>
      <c r="O1005" s="383"/>
      <c r="P1005" s="507"/>
      <c r="Q1005" s="518"/>
      <c r="R1005" s="519"/>
      <c r="S1005" s="520"/>
      <c r="T1005" s="513"/>
      <c r="U1005" s="518"/>
      <c r="V1005" s="519"/>
      <c r="W1005" s="520"/>
      <c r="X1005" s="513"/>
      <c r="Y1005" s="518"/>
      <c r="Z1005" s="519"/>
      <c r="AA1005" s="520"/>
      <c r="AB1005" s="513"/>
      <c r="AC1005" s="518"/>
      <c r="AD1005" s="519"/>
      <c r="AE1005" s="520"/>
      <c r="AF1005" s="513"/>
      <c r="AG1005" s="382"/>
      <c r="AH1005" s="417"/>
      <c r="AI1005" s="383"/>
      <c r="AJ1005" s="507"/>
      <c r="AK1005" s="382"/>
      <c r="AL1005" s="417"/>
      <c r="AM1005" s="383"/>
      <c r="AN1005" s="507"/>
      <c r="AO1005" s="382"/>
      <c r="AP1005" s="417"/>
      <c r="AQ1005" s="383"/>
      <c r="AR1005" s="507"/>
      <c r="AS1005" s="514"/>
      <c r="AT1005" s="514"/>
    </row>
    <row r="1006">
      <c r="A1006" s="382"/>
      <c r="B1006" s="417"/>
      <c r="C1006" s="383"/>
      <c r="D1006" s="507"/>
      <c r="E1006" s="382"/>
      <c r="F1006" s="417"/>
      <c r="G1006" s="383"/>
      <c r="H1006" s="507"/>
      <c r="I1006" s="382"/>
      <c r="J1006" s="417"/>
      <c r="K1006" s="383"/>
      <c r="L1006" s="507"/>
      <c r="M1006" s="382"/>
      <c r="N1006" s="417"/>
      <c r="O1006" s="383"/>
      <c r="P1006" s="507"/>
      <c r="Q1006" s="518"/>
      <c r="R1006" s="519"/>
      <c r="S1006" s="520"/>
      <c r="T1006" s="513"/>
      <c r="U1006" s="518"/>
      <c r="V1006" s="519"/>
      <c r="W1006" s="520"/>
      <c r="X1006" s="513"/>
      <c r="Y1006" s="518"/>
      <c r="Z1006" s="519"/>
      <c r="AA1006" s="520"/>
      <c r="AB1006" s="513"/>
      <c r="AC1006" s="518"/>
      <c r="AD1006" s="519"/>
      <c r="AE1006" s="520"/>
      <c r="AF1006" s="513"/>
      <c r="AG1006" s="382"/>
      <c r="AH1006" s="417"/>
      <c r="AI1006" s="383"/>
      <c r="AJ1006" s="507"/>
      <c r="AK1006" s="382"/>
      <c r="AL1006" s="417"/>
      <c r="AM1006" s="383"/>
      <c r="AN1006" s="507"/>
      <c r="AO1006" s="382"/>
      <c r="AP1006" s="417"/>
      <c r="AQ1006" s="383"/>
      <c r="AR1006" s="507"/>
      <c r="AS1006" s="514"/>
      <c r="AT1006" s="514"/>
    </row>
    <row r="1007">
      <c r="A1007" s="382"/>
      <c r="B1007" s="417"/>
      <c r="C1007" s="383"/>
      <c r="D1007" s="507"/>
      <c r="E1007" s="382"/>
      <c r="F1007" s="417"/>
      <c r="G1007" s="383"/>
      <c r="H1007" s="507"/>
      <c r="I1007" s="382"/>
      <c r="J1007" s="417"/>
      <c r="K1007" s="383"/>
      <c r="L1007" s="507"/>
      <c r="M1007" s="382"/>
      <c r="N1007" s="417"/>
      <c r="O1007" s="383"/>
      <c r="P1007" s="507"/>
      <c r="Q1007" s="518"/>
      <c r="R1007" s="519"/>
      <c r="S1007" s="520"/>
      <c r="T1007" s="513"/>
      <c r="U1007" s="518"/>
      <c r="V1007" s="519"/>
      <c r="W1007" s="520"/>
      <c r="X1007" s="513"/>
      <c r="Y1007" s="518"/>
      <c r="Z1007" s="519"/>
      <c r="AA1007" s="520"/>
      <c r="AB1007" s="513"/>
      <c r="AC1007" s="518"/>
      <c r="AD1007" s="519"/>
      <c r="AE1007" s="520"/>
      <c r="AF1007" s="513"/>
      <c r="AG1007" s="382"/>
      <c r="AH1007" s="417"/>
      <c r="AI1007" s="383"/>
      <c r="AJ1007" s="507"/>
      <c r="AK1007" s="382"/>
      <c r="AL1007" s="417"/>
      <c r="AM1007" s="383"/>
      <c r="AN1007" s="507"/>
      <c r="AO1007" s="382"/>
      <c r="AP1007" s="417"/>
      <c r="AQ1007" s="383"/>
      <c r="AR1007" s="507"/>
      <c r="AS1007" s="514"/>
      <c r="AT1007" s="514"/>
    </row>
    <row r="1008">
      <c r="A1008" s="382"/>
      <c r="B1008" s="417"/>
      <c r="C1008" s="383"/>
      <c r="D1008" s="507"/>
      <c r="E1008" s="382"/>
      <c r="F1008" s="417"/>
      <c r="G1008" s="383"/>
      <c r="H1008" s="507"/>
      <c r="I1008" s="382"/>
      <c r="J1008" s="417"/>
      <c r="K1008" s="383"/>
      <c r="L1008" s="507"/>
      <c r="M1008" s="382"/>
      <c r="N1008" s="417"/>
      <c r="O1008" s="383"/>
      <c r="P1008" s="507"/>
      <c r="Q1008" s="518"/>
      <c r="R1008" s="519"/>
      <c r="S1008" s="520"/>
      <c r="T1008" s="513"/>
      <c r="U1008" s="518"/>
      <c r="V1008" s="519"/>
      <c r="W1008" s="520"/>
      <c r="X1008" s="513"/>
      <c r="Y1008" s="518"/>
      <c r="Z1008" s="519"/>
      <c r="AA1008" s="520"/>
      <c r="AB1008" s="513"/>
      <c r="AC1008" s="518"/>
      <c r="AD1008" s="519"/>
      <c r="AE1008" s="520"/>
      <c r="AF1008" s="513"/>
      <c r="AG1008" s="382"/>
      <c r="AH1008" s="417"/>
      <c r="AI1008" s="383"/>
      <c r="AJ1008" s="507"/>
      <c r="AK1008" s="382"/>
      <c r="AL1008" s="417"/>
      <c r="AM1008" s="383"/>
      <c r="AN1008" s="507"/>
      <c r="AO1008" s="382"/>
      <c r="AP1008" s="417"/>
      <c r="AQ1008" s="383"/>
      <c r="AR1008" s="507"/>
      <c r="AS1008" s="514"/>
      <c r="AT1008" s="514"/>
    </row>
    <row r="1009">
      <c r="A1009" s="382"/>
      <c r="B1009" s="417"/>
      <c r="C1009" s="383"/>
      <c r="D1009" s="507"/>
      <c r="E1009" s="382"/>
      <c r="F1009" s="417"/>
      <c r="G1009" s="383"/>
      <c r="H1009" s="507"/>
      <c r="I1009" s="382"/>
      <c r="J1009" s="417"/>
      <c r="K1009" s="383"/>
      <c r="L1009" s="507"/>
      <c r="M1009" s="382"/>
      <c r="N1009" s="417"/>
      <c r="O1009" s="383"/>
      <c r="P1009" s="507"/>
      <c r="Q1009" s="518"/>
      <c r="R1009" s="519"/>
      <c r="S1009" s="520"/>
      <c r="T1009" s="513"/>
      <c r="U1009" s="518"/>
      <c r="V1009" s="519"/>
      <c r="W1009" s="520"/>
      <c r="X1009" s="513"/>
      <c r="Y1009" s="518"/>
      <c r="Z1009" s="519"/>
      <c r="AA1009" s="520"/>
      <c r="AB1009" s="513"/>
      <c r="AC1009" s="518"/>
      <c r="AD1009" s="519"/>
      <c r="AE1009" s="520"/>
      <c r="AF1009" s="513"/>
      <c r="AG1009" s="382"/>
      <c r="AH1009" s="417"/>
      <c r="AI1009" s="383"/>
      <c r="AJ1009" s="507"/>
      <c r="AK1009" s="382"/>
      <c r="AL1009" s="417"/>
      <c r="AM1009" s="383"/>
      <c r="AN1009" s="507"/>
      <c r="AO1009" s="382"/>
      <c r="AP1009" s="417"/>
      <c r="AQ1009" s="383"/>
      <c r="AR1009" s="507"/>
      <c r="AS1009" s="514"/>
      <c r="AT1009" s="514"/>
    </row>
    <row r="1010">
      <c r="A1010" s="382"/>
      <c r="B1010" s="417"/>
      <c r="C1010" s="383"/>
      <c r="D1010" s="507"/>
      <c r="E1010" s="382"/>
      <c r="F1010" s="417"/>
      <c r="G1010" s="383"/>
      <c r="H1010" s="507"/>
      <c r="I1010" s="382"/>
      <c r="J1010" s="417"/>
      <c r="K1010" s="383"/>
      <c r="L1010" s="507"/>
      <c r="M1010" s="382"/>
      <c r="N1010" s="417"/>
      <c r="O1010" s="383"/>
      <c r="P1010" s="507"/>
      <c r="Q1010" s="518"/>
      <c r="R1010" s="519"/>
      <c r="S1010" s="520"/>
      <c r="T1010" s="513"/>
      <c r="U1010" s="518"/>
      <c r="V1010" s="519"/>
      <c r="W1010" s="520"/>
      <c r="X1010" s="513"/>
      <c r="Y1010" s="518"/>
      <c r="Z1010" s="519"/>
      <c r="AA1010" s="520"/>
      <c r="AB1010" s="513"/>
      <c r="AC1010" s="518"/>
      <c r="AD1010" s="519"/>
      <c r="AE1010" s="520"/>
      <c r="AF1010" s="513"/>
      <c r="AG1010" s="382"/>
      <c r="AH1010" s="417"/>
      <c r="AI1010" s="383"/>
      <c r="AJ1010" s="507"/>
      <c r="AK1010" s="382"/>
      <c r="AL1010" s="417"/>
      <c r="AM1010" s="383"/>
      <c r="AN1010" s="507"/>
      <c r="AO1010" s="382"/>
      <c r="AP1010" s="417"/>
      <c r="AQ1010" s="383"/>
      <c r="AR1010" s="507"/>
      <c r="AS1010" s="514"/>
      <c r="AT1010" s="514"/>
    </row>
    <row r="1011">
      <c r="A1011" s="382"/>
      <c r="B1011" s="417"/>
      <c r="C1011" s="383"/>
      <c r="D1011" s="507"/>
      <c r="E1011" s="382"/>
      <c r="F1011" s="417"/>
      <c r="G1011" s="383"/>
      <c r="H1011" s="507"/>
      <c r="I1011" s="382"/>
      <c r="J1011" s="417"/>
      <c r="K1011" s="383"/>
      <c r="L1011" s="507"/>
      <c r="M1011" s="382"/>
      <c r="N1011" s="417"/>
      <c r="O1011" s="383"/>
      <c r="P1011" s="507"/>
      <c r="Q1011" s="518"/>
      <c r="R1011" s="519"/>
      <c r="S1011" s="520"/>
      <c r="T1011" s="513"/>
      <c r="U1011" s="518"/>
      <c r="V1011" s="519"/>
      <c r="W1011" s="520"/>
      <c r="X1011" s="513"/>
      <c r="Y1011" s="518"/>
      <c r="Z1011" s="519"/>
      <c r="AA1011" s="520"/>
      <c r="AB1011" s="513"/>
      <c r="AC1011" s="518"/>
      <c r="AD1011" s="519"/>
      <c r="AE1011" s="520"/>
      <c r="AF1011" s="513"/>
      <c r="AG1011" s="382"/>
      <c r="AH1011" s="417"/>
      <c r="AI1011" s="383"/>
      <c r="AJ1011" s="507"/>
      <c r="AK1011" s="382"/>
      <c r="AL1011" s="417"/>
      <c r="AM1011" s="383"/>
      <c r="AN1011" s="507"/>
      <c r="AO1011" s="382"/>
      <c r="AP1011" s="417"/>
      <c r="AQ1011" s="383"/>
      <c r="AR1011" s="507"/>
      <c r="AS1011" s="514"/>
      <c r="AT1011" s="514"/>
    </row>
    <row r="1012">
      <c r="A1012" s="382"/>
      <c r="B1012" s="417"/>
      <c r="C1012" s="383"/>
      <c r="D1012" s="507"/>
      <c r="E1012" s="382"/>
      <c r="F1012" s="417"/>
      <c r="G1012" s="383"/>
      <c r="H1012" s="507"/>
      <c r="I1012" s="382"/>
      <c r="J1012" s="417"/>
      <c r="K1012" s="383"/>
      <c r="L1012" s="507"/>
      <c r="M1012" s="382"/>
      <c r="N1012" s="417"/>
      <c r="O1012" s="383"/>
      <c r="P1012" s="507"/>
      <c r="Q1012" s="518"/>
      <c r="R1012" s="519"/>
      <c r="S1012" s="520"/>
      <c r="T1012" s="513"/>
      <c r="U1012" s="518"/>
      <c r="V1012" s="519"/>
      <c r="W1012" s="520"/>
      <c r="X1012" s="513"/>
      <c r="Y1012" s="518"/>
      <c r="Z1012" s="519"/>
      <c r="AA1012" s="520"/>
      <c r="AB1012" s="513"/>
      <c r="AC1012" s="518"/>
      <c r="AD1012" s="519"/>
      <c r="AE1012" s="520"/>
      <c r="AF1012" s="513"/>
      <c r="AG1012" s="382"/>
      <c r="AH1012" s="417"/>
      <c r="AI1012" s="383"/>
      <c r="AJ1012" s="507"/>
      <c r="AK1012" s="382"/>
      <c r="AL1012" s="417"/>
      <c r="AM1012" s="383"/>
      <c r="AN1012" s="507"/>
      <c r="AO1012" s="382"/>
      <c r="AP1012" s="417"/>
      <c r="AQ1012" s="383"/>
      <c r="AR1012" s="507"/>
      <c r="AS1012" s="514"/>
      <c r="AT1012" s="514"/>
    </row>
    <row r="1013">
      <c r="A1013" s="382"/>
      <c r="B1013" s="417"/>
      <c r="C1013" s="383"/>
      <c r="D1013" s="507"/>
      <c r="E1013" s="382"/>
      <c r="F1013" s="417"/>
      <c r="G1013" s="383"/>
      <c r="H1013" s="507"/>
      <c r="I1013" s="382"/>
      <c r="J1013" s="417"/>
      <c r="K1013" s="383"/>
      <c r="L1013" s="507"/>
      <c r="M1013" s="382"/>
      <c r="N1013" s="417"/>
      <c r="O1013" s="383"/>
      <c r="P1013" s="507"/>
      <c r="Q1013" s="518"/>
      <c r="R1013" s="519"/>
      <c r="S1013" s="520"/>
      <c r="T1013" s="513"/>
      <c r="U1013" s="518"/>
      <c r="V1013" s="519"/>
      <c r="W1013" s="520"/>
      <c r="X1013" s="513"/>
      <c r="Y1013" s="518"/>
      <c r="Z1013" s="519"/>
      <c r="AA1013" s="520"/>
      <c r="AB1013" s="513"/>
      <c r="AC1013" s="518"/>
      <c r="AD1013" s="519"/>
      <c r="AE1013" s="520"/>
      <c r="AF1013" s="513"/>
      <c r="AG1013" s="382"/>
      <c r="AH1013" s="417"/>
      <c r="AI1013" s="383"/>
      <c r="AJ1013" s="507"/>
      <c r="AK1013" s="382"/>
      <c r="AL1013" s="417"/>
      <c r="AM1013" s="383"/>
      <c r="AN1013" s="507"/>
      <c r="AO1013" s="382"/>
      <c r="AP1013" s="417"/>
      <c r="AQ1013" s="383"/>
      <c r="AR1013" s="507"/>
      <c r="AS1013" s="514"/>
      <c r="AT1013" s="514"/>
    </row>
    <row r="1014">
      <c r="A1014" s="382"/>
      <c r="B1014" s="417"/>
      <c r="C1014" s="383"/>
      <c r="D1014" s="507"/>
      <c r="E1014" s="382"/>
      <c r="F1014" s="417"/>
      <c r="G1014" s="383"/>
      <c r="H1014" s="507"/>
      <c r="I1014" s="382"/>
      <c r="J1014" s="417"/>
      <c r="K1014" s="383"/>
      <c r="L1014" s="507"/>
      <c r="M1014" s="382"/>
      <c r="N1014" s="417"/>
      <c r="O1014" s="383"/>
      <c r="P1014" s="507"/>
      <c r="Q1014" s="518"/>
      <c r="R1014" s="519"/>
      <c r="S1014" s="520"/>
      <c r="T1014" s="513"/>
      <c r="U1014" s="518"/>
      <c r="V1014" s="519"/>
      <c r="W1014" s="520"/>
      <c r="X1014" s="513"/>
      <c r="Y1014" s="518"/>
      <c r="Z1014" s="519"/>
      <c r="AA1014" s="520"/>
      <c r="AB1014" s="513"/>
      <c r="AC1014" s="518"/>
      <c r="AD1014" s="519"/>
      <c r="AE1014" s="520"/>
      <c r="AF1014" s="513"/>
      <c r="AG1014" s="382"/>
      <c r="AH1014" s="417"/>
      <c r="AI1014" s="383"/>
      <c r="AJ1014" s="507"/>
      <c r="AK1014" s="382"/>
      <c r="AL1014" s="417"/>
      <c r="AM1014" s="383"/>
      <c r="AN1014" s="507"/>
      <c r="AO1014" s="382"/>
      <c r="AP1014" s="417"/>
      <c r="AQ1014" s="383"/>
      <c r="AR1014" s="507"/>
      <c r="AS1014" s="514"/>
      <c r="AT1014" s="514"/>
    </row>
    <row r="1015">
      <c r="A1015" s="382"/>
      <c r="B1015" s="417"/>
      <c r="C1015" s="383"/>
      <c r="D1015" s="507"/>
      <c r="E1015" s="382"/>
      <c r="F1015" s="417"/>
      <c r="G1015" s="383"/>
      <c r="H1015" s="507"/>
      <c r="I1015" s="382"/>
      <c r="J1015" s="417"/>
      <c r="K1015" s="383"/>
      <c r="L1015" s="507"/>
      <c r="M1015" s="382"/>
      <c r="N1015" s="417"/>
      <c r="O1015" s="383"/>
      <c r="P1015" s="507"/>
      <c r="Q1015" s="518"/>
      <c r="R1015" s="519"/>
      <c r="S1015" s="520"/>
      <c r="T1015" s="513"/>
      <c r="U1015" s="518"/>
      <c r="V1015" s="519"/>
      <c r="W1015" s="520"/>
      <c r="X1015" s="513"/>
      <c r="Y1015" s="518"/>
      <c r="Z1015" s="519"/>
      <c r="AA1015" s="520"/>
      <c r="AB1015" s="513"/>
      <c r="AC1015" s="518"/>
      <c r="AD1015" s="519"/>
      <c r="AE1015" s="520"/>
      <c r="AF1015" s="513"/>
      <c r="AG1015" s="382"/>
      <c r="AH1015" s="417"/>
      <c r="AI1015" s="383"/>
      <c r="AJ1015" s="507"/>
      <c r="AK1015" s="382"/>
      <c r="AL1015" s="417"/>
      <c r="AM1015" s="383"/>
      <c r="AN1015" s="507"/>
      <c r="AO1015" s="382"/>
      <c r="AP1015" s="417"/>
      <c r="AQ1015" s="383"/>
      <c r="AR1015" s="507"/>
      <c r="AS1015" s="514"/>
      <c r="AT1015" s="514"/>
    </row>
    <row r="1016">
      <c r="A1016" s="382"/>
      <c r="B1016" s="417"/>
      <c r="C1016" s="383"/>
      <c r="D1016" s="507"/>
      <c r="E1016" s="382"/>
      <c r="F1016" s="417"/>
      <c r="G1016" s="383"/>
      <c r="H1016" s="507"/>
      <c r="I1016" s="382"/>
      <c r="J1016" s="417"/>
      <c r="K1016" s="383"/>
      <c r="L1016" s="507"/>
      <c r="M1016" s="382"/>
      <c r="N1016" s="417"/>
      <c r="O1016" s="383"/>
      <c r="P1016" s="507"/>
      <c r="Q1016" s="518"/>
      <c r="R1016" s="519"/>
      <c r="S1016" s="520"/>
      <c r="T1016" s="513"/>
      <c r="U1016" s="518"/>
      <c r="V1016" s="519"/>
      <c r="W1016" s="520"/>
      <c r="X1016" s="513"/>
      <c r="Y1016" s="518"/>
      <c r="Z1016" s="519"/>
      <c r="AA1016" s="520"/>
      <c r="AB1016" s="513"/>
      <c r="AC1016" s="518"/>
      <c r="AD1016" s="519"/>
      <c r="AE1016" s="520"/>
      <c r="AF1016" s="513"/>
      <c r="AG1016" s="382"/>
      <c r="AH1016" s="417"/>
      <c r="AI1016" s="383"/>
      <c r="AJ1016" s="507"/>
      <c r="AK1016" s="382"/>
      <c r="AL1016" s="417"/>
      <c r="AM1016" s="383"/>
      <c r="AN1016" s="507"/>
      <c r="AO1016" s="382"/>
      <c r="AP1016" s="417"/>
      <c r="AQ1016" s="383"/>
      <c r="AR1016" s="507"/>
      <c r="AS1016" s="514"/>
      <c r="AT1016" s="51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525" t="s">
        <v>12411</v>
      </c>
      <c r="B1" s="526" t="str">
        <f>IFERROR(__xludf.DUMMYFUNCTION("GOOGLETRANSLATE(A1,""zh-tw"",""ja"")"),"このチュートリアルは、公式モバイルクラウドセーブシステムが完成する前に、モバイル版のセーブデータを移行したい方向けです。
※英語チュートリアル動画提供：Gabriel B※")</f>
        <v>このチュートリアルは、公式モバイルクラウドセーブシステムが完成する前に、モバイル版のセーブデータを移行したい方向けです。
※英語チュートリアル動画提供：Gabriel B※</v>
      </c>
      <c r="C1" s="527" t="s">
        <v>12412</v>
      </c>
      <c r="D1" s="528"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29"/>
      <c r="F1" s="139" t="s">
        <v>12413</v>
      </c>
      <c r="G1" s="530" t="s">
        <v>12414</v>
      </c>
      <c r="H1" s="531" t="s">
        <v>12415</v>
      </c>
      <c r="I1" s="532"/>
      <c r="J1" s="532"/>
      <c r="K1" s="532"/>
      <c r="L1" s="532"/>
      <c r="M1" s="532"/>
      <c r="N1" s="532"/>
      <c r="O1" s="532"/>
      <c r="P1" s="532"/>
      <c r="Q1" s="532"/>
      <c r="R1" s="532"/>
    </row>
    <row r="2">
      <c r="A2" s="533" t="s">
        <v>12416</v>
      </c>
      <c r="B2" s="135" t="str">
        <f>IFERROR(__xludf.DUMMYFUNCTION("GOOGLETRANSLATE(A2,""zh-tw"",""ja"")"),"1 - Google Playで「ファイルマネージャー」を検索してインストールします。")</f>
        <v>1 - Google Playで「ファイルマネージャー」を検索してインストールします。</v>
      </c>
      <c r="C2" s="486" t="s">
        <v>12417</v>
      </c>
      <c r="D2" s="534" t="str">
        <f>IFERROR(__xludf.DUMMYFUNCTION("GOOGLETRANSLATE(A2,""zh-tw"",""zh"")"),"1 - 在google play上搜寻 档案管理员 安装。")</f>
        <v>1 - 在google play上搜寻 档案管理员 安装。</v>
      </c>
      <c r="E2" s="535" t="s">
        <v>12418</v>
      </c>
      <c r="F2" s="456" t="s">
        <v>12419</v>
      </c>
      <c r="G2" s="536" t="s">
        <v>12420</v>
      </c>
      <c r="H2" s="537" t="s">
        <v>12421</v>
      </c>
      <c r="I2" s="223"/>
      <c r="J2" s="223"/>
      <c r="K2" s="223"/>
      <c r="L2" s="223"/>
      <c r="M2" s="223"/>
      <c r="N2" s="223"/>
      <c r="O2" s="223"/>
      <c r="P2" s="223"/>
      <c r="Q2" s="223"/>
      <c r="R2" s="223"/>
    </row>
    <row r="3">
      <c r="A3" s="533" t="s">
        <v>12422</v>
      </c>
      <c r="B3" s="135"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486" t="s">
        <v>12423</v>
      </c>
      <c r="D3" s="534"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35" t="s">
        <v>12424</v>
      </c>
      <c r="F3" s="456" t="s">
        <v>12425</v>
      </c>
      <c r="G3" s="538" t="s">
        <v>12426</v>
      </c>
      <c r="H3" s="537" t="s">
        <v>12427</v>
      </c>
      <c r="I3" s="223"/>
      <c r="J3" s="223"/>
      <c r="K3" s="223"/>
      <c r="L3" s="223"/>
      <c r="M3" s="223"/>
      <c r="N3" s="223"/>
      <c r="O3" s="223"/>
      <c r="P3" s="223"/>
      <c r="Q3" s="223"/>
      <c r="R3" s="223"/>
    </row>
    <row r="4">
      <c r="A4" s="533" t="s">
        <v>12428</v>
      </c>
      <c r="B4" s="135"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486" t="s">
        <v>12429</v>
      </c>
      <c r="D4" s="534"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35" t="s">
        <v>12430</v>
      </c>
      <c r="F4" s="456" t="s">
        <v>12431</v>
      </c>
      <c r="G4" s="536" t="s">
        <v>12432</v>
      </c>
      <c r="H4" s="537" t="s">
        <v>12433</v>
      </c>
      <c r="I4" s="223"/>
      <c r="J4" s="223"/>
      <c r="K4" s="223"/>
      <c r="L4" s="223"/>
      <c r="M4" s="223"/>
      <c r="N4" s="223"/>
      <c r="O4" s="223"/>
      <c r="P4" s="223"/>
      <c r="Q4" s="223"/>
      <c r="R4" s="223"/>
    </row>
    <row r="5">
      <c r="A5" s="533" t="s">
        <v>12434</v>
      </c>
      <c r="B5" s="135"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486" t="s">
        <v>12435</v>
      </c>
      <c r="D5" s="534"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35" t="s">
        <v>12436</v>
      </c>
      <c r="F5" s="456" t="s">
        <v>12437</v>
      </c>
      <c r="G5" s="538" t="s">
        <v>12438</v>
      </c>
      <c r="H5" s="537" t="s">
        <v>12439</v>
      </c>
      <c r="I5" s="223"/>
      <c r="J5" s="223"/>
      <c r="K5" s="223"/>
      <c r="L5" s="223"/>
      <c r="M5" s="223"/>
      <c r="N5" s="223"/>
      <c r="O5" s="223"/>
      <c r="P5" s="223"/>
      <c r="Q5" s="223"/>
      <c r="R5" s="223"/>
    </row>
    <row r="6">
      <c r="A6" s="539" t="s">
        <v>12440</v>
      </c>
      <c r="B6" s="540" t="s">
        <v>12441</v>
      </c>
      <c r="C6" s="541" t="s">
        <v>12442</v>
      </c>
      <c r="D6" s="542" t="s">
        <v>12443</v>
      </c>
      <c r="E6" s="543" t="s">
        <v>12444</v>
      </c>
      <c r="F6" s="544" t="s">
        <v>12445</v>
      </c>
      <c r="G6" s="545" t="s">
        <v>12446</v>
      </c>
      <c r="H6" s="546" t="s">
        <v>12447</v>
      </c>
      <c r="I6" s="223"/>
      <c r="J6" s="223"/>
      <c r="K6" s="223"/>
      <c r="L6" s="223"/>
      <c r="M6" s="223"/>
      <c r="N6" s="223"/>
      <c r="O6" s="223"/>
      <c r="P6" s="223"/>
      <c r="Q6" s="223"/>
      <c r="R6" s="223"/>
    </row>
    <row r="7">
      <c r="A7" s="547"/>
      <c r="B7" s="223"/>
      <c r="C7" s="547"/>
      <c r="D7" s="223"/>
      <c r="E7" s="438"/>
      <c r="F7" s="357"/>
      <c r="G7" s="223"/>
      <c r="H7" s="223"/>
      <c r="I7" s="223"/>
      <c r="J7" s="223"/>
      <c r="K7" s="223"/>
      <c r="L7" s="223"/>
      <c r="M7" s="223"/>
      <c r="N7" s="223"/>
      <c r="O7" s="223"/>
      <c r="P7" s="223"/>
      <c r="Q7" s="223"/>
      <c r="R7" s="223"/>
    </row>
    <row r="8">
      <c r="A8" s="547"/>
      <c r="B8" s="223"/>
      <c r="C8" s="223"/>
      <c r="D8" s="223"/>
      <c r="E8" s="223"/>
      <c r="F8" s="357"/>
      <c r="G8" s="223"/>
      <c r="H8" s="223"/>
      <c r="I8" s="223"/>
      <c r="J8" s="223"/>
      <c r="K8" s="223"/>
      <c r="L8" s="223"/>
      <c r="M8" s="223"/>
      <c r="N8" s="223"/>
      <c r="O8" s="223"/>
      <c r="P8" s="223"/>
      <c r="Q8" s="223"/>
      <c r="R8" s="223"/>
    </row>
    <row r="9">
      <c r="A9" s="547"/>
      <c r="B9" s="223"/>
      <c r="C9" s="223"/>
      <c r="D9" s="223"/>
      <c r="E9" s="223"/>
      <c r="F9" s="357"/>
      <c r="G9" s="223"/>
      <c r="H9" s="223"/>
      <c r="I9" s="223"/>
      <c r="J9" s="223"/>
      <c r="K9" s="223"/>
      <c r="L9" s="223"/>
      <c r="M9" s="223"/>
      <c r="N9" s="223"/>
      <c r="O9" s="223"/>
      <c r="P9" s="223"/>
      <c r="Q9" s="223"/>
      <c r="R9" s="223"/>
    </row>
    <row r="10">
      <c r="A10" s="547"/>
      <c r="B10" s="223"/>
      <c r="C10" s="223"/>
      <c r="D10" s="223"/>
      <c r="E10" s="223"/>
      <c r="F10" s="357"/>
      <c r="G10" s="223"/>
      <c r="H10" s="223"/>
      <c r="I10" s="223"/>
      <c r="J10" s="223"/>
      <c r="K10" s="223"/>
      <c r="L10" s="223"/>
      <c r="M10" s="223"/>
      <c r="N10" s="223"/>
      <c r="O10" s="223"/>
      <c r="P10" s="223"/>
      <c r="Q10" s="223"/>
      <c r="R10" s="223"/>
    </row>
    <row r="11">
      <c r="A11" s="547"/>
      <c r="B11" s="223"/>
      <c r="C11" s="223"/>
      <c r="D11" s="223"/>
      <c r="E11" s="223"/>
      <c r="F11" s="357"/>
      <c r="G11" s="223"/>
      <c r="H11" s="223"/>
      <c r="I11" s="223"/>
      <c r="J11" s="223"/>
      <c r="K11" s="223"/>
      <c r="L11" s="223"/>
      <c r="M11" s="223"/>
      <c r="N11" s="223"/>
      <c r="O11" s="223"/>
      <c r="P11" s="223"/>
      <c r="Q11" s="223"/>
      <c r="R11" s="223"/>
    </row>
    <row r="12">
      <c r="A12" s="547"/>
      <c r="B12" s="223"/>
      <c r="C12" s="223"/>
      <c r="D12" s="223"/>
      <c r="E12" s="223"/>
      <c r="F12" s="357"/>
      <c r="G12" s="223"/>
      <c r="H12" s="223"/>
      <c r="I12" s="223"/>
      <c r="J12" s="223"/>
      <c r="K12" s="223"/>
      <c r="L12" s="223"/>
      <c r="M12" s="223"/>
      <c r="N12" s="223"/>
      <c r="O12" s="223"/>
      <c r="P12" s="223"/>
      <c r="Q12" s="223"/>
      <c r="R12" s="223"/>
    </row>
    <row r="13">
      <c r="A13" s="547"/>
      <c r="B13" s="223"/>
      <c r="C13" s="223"/>
      <c r="D13" s="223"/>
      <c r="E13" s="223"/>
      <c r="F13" s="357"/>
      <c r="G13" s="223"/>
      <c r="H13" s="223"/>
      <c r="I13" s="223"/>
      <c r="J13" s="223"/>
      <c r="K13" s="223"/>
      <c r="L13" s="223"/>
      <c r="M13" s="223"/>
      <c r="N13" s="223"/>
      <c r="O13" s="223"/>
      <c r="P13" s="223"/>
      <c r="Q13" s="223"/>
      <c r="R13" s="223"/>
    </row>
    <row r="14">
      <c r="A14" s="547"/>
      <c r="B14" s="223"/>
      <c r="C14" s="223"/>
      <c r="D14" s="223"/>
      <c r="E14" s="223"/>
      <c r="F14" s="357"/>
      <c r="G14" s="223"/>
      <c r="H14" s="223"/>
      <c r="I14" s="223"/>
      <c r="J14" s="223"/>
      <c r="K14" s="223"/>
      <c r="L14" s="223"/>
      <c r="M14" s="223"/>
      <c r="N14" s="223"/>
      <c r="O14" s="223"/>
      <c r="P14" s="223"/>
      <c r="Q14" s="223"/>
      <c r="R14" s="223"/>
    </row>
    <row r="15">
      <c r="A15" s="547"/>
      <c r="B15" s="223"/>
      <c r="C15" s="223"/>
      <c r="D15" s="223"/>
      <c r="E15" s="223"/>
      <c r="F15" s="357"/>
      <c r="G15" s="223"/>
      <c r="H15" s="223"/>
      <c r="I15" s="223"/>
      <c r="J15" s="223"/>
      <c r="K15" s="223"/>
      <c r="L15" s="223"/>
      <c r="M15" s="223"/>
      <c r="N15" s="223"/>
      <c r="O15" s="223"/>
      <c r="P15" s="223"/>
      <c r="Q15" s="223"/>
      <c r="R15" s="223"/>
    </row>
    <row r="16">
      <c r="A16" s="547"/>
      <c r="B16" s="223"/>
      <c r="C16" s="223"/>
      <c r="D16" s="223"/>
      <c r="E16" s="223"/>
      <c r="F16" s="357"/>
      <c r="G16" s="223"/>
      <c r="H16" s="223"/>
      <c r="I16" s="223"/>
      <c r="J16" s="223"/>
      <c r="K16" s="223"/>
      <c r="L16" s="223"/>
      <c r="M16" s="223"/>
      <c r="N16" s="223"/>
      <c r="O16" s="223"/>
      <c r="P16" s="223"/>
      <c r="Q16" s="223"/>
      <c r="R16" s="223"/>
    </row>
    <row r="17">
      <c r="A17" s="547"/>
      <c r="B17" s="223"/>
      <c r="C17" s="223"/>
      <c r="D17" s="223"/>
      <c r="E17" s="223"/>
      <c r="F17" s="357"/>
      <c r="G17" s="223"/>
      <c r="H17" s="223"/>
      <c r="I17" s="223"/>
      <c r="J17" s="223"/>
      <c r="K17" s="223"/>
      <c r="L17" s="223"/>
      <c r="M17" s="223"/>
      <c r="N17" s="223"/>
      <c r="O17" s="223"/>
      <c r="P17" s="223"/>
      <c r="Q17" s="223"/>
      <c r="R17" s="223"/>
    </row>
    <row r="18">
      <c r="A18" s="547"/>
      <c r="B18" s="223"/>
      <c r="C18" s="223"/>
      <c r="D18" s="223"/>
      <c r="E18" s="223"/>
      <c r="F18" s="357"/>
      <c r="G18" s="223"/>
      <c r="H18" s="223"/>
      <c r="I18" s="223"/>
      <c r="J18" s="223"/>
      <c r="K18" s="223"/>
      <c r="L18" s="223"/>
      <c r="M18" s="223"/>
      <c r="N18" s="223"/>
      <c r="O18" s="223"/>
      <c r="P18" s="223"/>
      <c r="Q18" s="223"/>
      <c r="R18" s="223"/>
    </row>
    <row r="19">
      <c r="A19" s="547"/>
      <c r="B19" s="223"/>
      <c r="C19" s="223"/>
      <c r="D19" s="223"/>
      <c r="E19" s="223"/>
      <c r="F19" s="357"/>
      <c r="G19" s="223"/>
      <c r="H19" s="223"/>
      <c r="I19" s="223"/>
      <c r="J19" s="223"/>
      <c r="K19" s="223"/>
      <c r="L19" s="223"/>
      <c r="M19" s="223"/>
      <c r="N19" s="223"/>
      <c r="O19" s="223"/>
      <c r="P19" s="223"/>
      <c r="Q19" s="223"/>
      <c r="R19" s="223"/>
    </row>
    <row r="20">
      <c r="A20" s="547"/>
      <c r="B20" s="223"/>
      <c r="C20" s="223"/>
      <c r="D20" s="223"/>
      <c r="E20" s="223"/>
      <c r="F20" s="357"/>
      <c r="G20" s="223"/>
      <c r="H20" s="223"/>
      <c r="I20" s="223"/>
      <c r="J20" s="223"/>
      <c r="K20" s="223"/>
      <c r="L20" s="223"/>
      <c r="M20" s="223"/>
      <c r="N20" s="223"/>
      <c r="O20" s="223"/>
      <c r="P20" s="223"/>
      <c r="Q20" s="223"/>
      <c r="R20" s="223"/>
    </row>
    <row r="21">
      <c r="A21" s="547"/>
      <c r="B21" s="223"/>
      <c r="C21" s="223"/>
      <c r="D21" s="223"/>
      <c r="E21" s="223"/>
      <c r="F21" s="357"/>
      <c r="G21" s="223"/>
      <c r="H21" s="223"/>
      <c r="I21" s="223"/>
      <c r="J21" s="223"/>
      <c r="K21" s="223"/>
      <c r="L21" s="223"/>
      <c r="M21" s="223"/>
      <c r="N21" s="223"/>
      <c r="O21" s="223"/>
      <c r="P21" s="223"/>
      <c r="Q21" s="223"/>
      <c r="R21" s="223"/>
    </row>
    <row r="22">
      <c r="A22" s="547"/>
      <c r="B22" s="223"/>
      <c r="C22" s="223"/>
      <c r="D22" s="223"/>
      <c r="E22" s="223"/>
      <c r="F22" s="357"/>
      <c r="G22" s="223"/>
      <c r="H22" s="223"/>
      <c r="I22" s="223"/>
      <c r="J22" s="223"/>
      <c r="K22" s="223"/>
      <c r="L22" s="223"/>
      <c r="M22" s="223"/>
      <c r="N22" s="223"/>
      <c r="O22" s="223"/>
      <c r="P22" s="223"/>
      <c r="Q22" s="223"/>
      <c r="R22" s="223"/>
    </row>
    <row r="23">
      <c r="A23" s="547"/>
      <c r="B23" s="223"/>
      <c r="C23" s="223"/>
      <c r="D23" s="223"/>
      <c r="E23" s="223"/>
      <c r="F23" s="357"/>
      <c r="G23" s="223"/>
      <c r="H23" s="223"/>
      <c r="I23" s="223"/>
      <c r="J23" s="223"/>
      <c r="K23" s="223"/>
      <c r="L23" s="223"/>
      <c r="M23" s="223"/>
      <c r="N23" s="223"/>
      <c r="O23" s="223"/>
      <c r="P23" s="223"/>
      <c r="Q23" s="223"/>
      <c r="R23" s="223"/>
    </row>
    <row r="24">
      <c r="A24" s="547"/>
      <c r="B24" s="223"/>
      <c r="C24" s="223"/>
      <c r="D24" s="223"/>
      <c r="E24" s="223"/>
      <c r="F24" s="357"/>
      <c r="G24" s="223"/>
      <c r="H24" s="223"/>
      <c r="I24" s="223"/>
      <c r="J24" s="223"/>
      <c r="K24" s="223"/>
      <c r="L24" s="223"/>
      <c r="M24" s="223"/>
      <c r="N24" s="223"/>
      <c r="O24" s="223"/>
      <c r="P24" s="223"/>
      <c r="Q24" s="223"/>
      <c r="R24" s="223"/>
    </row>
    <row r="25">
      <c r="A25" s="547"/>
      <c r="B25" s="223"/>
      <c r="C25" s="223"/>
      <c r="D25" s="223"/>
      <c r="E25" s="223"/>
      <c r="F25" s="357"/>
      <c r="G25" s="223"/>
      <c r="H25" s="223"/>
      <c r="I25" s="223"/>
      <c r="J25" s="223"/>
      <c r="K25" s="223"/>
      <c r="L25" s="223"/>
      <c r="M25" s="223"/>
      <c r="N25" s="223"/>
      <c r="O25" s="223"/>
      <c r="P25" s="223"/>
      <c r="Q25" s="223"/>
      <c r="R25" s="223"/>
    </row>
    <row r="26">
      <c r="A26" s="547"/>
      <c r="B26" s="223"/>
      <c r="C26" s="223"/>
      <c r="D26" s="223"/>
      <c r="E26" s="223"/>
      <c r="F26" s="357"/>
      <c r="G26" s="223"/>
      <c r="H26" s="223"/>
      <c r="I26" s="223"/>
      <c r="J26" s="223"/>
      <c r="K26" s="223"/>
      <c r="L26" s="223"/>
      <c r="M26" s="223"/>
      <c r="N26" s="223"/>
      <c r="O26" s="223"/>
      <c r="P26" s="223"/>
      <c r="Q26" s="223"/>
      <c r="R26" s="223"/>
    </row>
    <row r="27">
      <c r="A27" s="547"/>
      <c r="B27" s="223"/>
      <c r="C27" s="223"/>
      <c r="D27" s="223"/>
      <c r="E27" s="223"/>
      <c r="F27" s="357"/>
      <c r="G27" s="223"/>
      <c r="H27" s="223"/>
      <c r="I27" s="223"/>
      <c r="J27" s="223"/>
      <c r="K27" s="223"/>
      <c r="L27" s="223"/>
      <c r="M27" s="223"/>
      <c r="N27" s="223"/>
      <c r="O27" s="223"/>
      <c r="P27" s="223"/>
      <c r="Q27" s="223"/>
      <c r="R27" s="223"/>
    </row>
    <row r="28">
      <c r="A28" s="547"/>
      <c r="B28" s="223"/>
      <c r="C28" s="223"/>
      <c r="D28" s="223"/>
      <c r="E28" s="223"/>
      <c r="F28" s="357"/>
      <c r="G28" s="223"/>
      <c r="H28" s="223"/>
      <c r="I28" s="223"/>
      <c r="J28" s="223"/>
      <c r="K28" s="223"/>
      <c r="L28" s="223"/>
      <c r="M28" s="223"/>
      <c r="N28" s="223"/>
      <c r="O28" s="223"/>
      <c r="P28" s="223"/>
      <c r="Q28" s="223"/>
      <c r="R28" s="223"/>
    </row>
    <row r="29">
      <c r="A29" s="547"/>
      <c r="B29" s="223"/>
      <c r="C29" s="223"/>
      <c r="D29" s="223"/>
      <c r="E29" s="223"/>
      <c r="F29" s="357"/>
      <c r="G29" s="223"/>
      <c r="H29" s="223"/>
      <c r="I29" s="223"/>
      <c r="J29" s="223"/>
      <c r="K29" s="223"/>
      <c r="L29" s="223"/>
      <c r="M29" s="223"/>
      <c r="N29" s="223"/>
      <c r="O29" s="223"/>
      <c r="P29" s="223"/>
      <c r="Q29" s="223"/>
      <c r="R29" s="223"/>
    </row>
    <row r="30">
      <c r="A30" s="547"/>
      <c r="B30" s="223"/>
      <c r="C30" s="223"/>
      <c r="D30" s="223"/>
      <c r="E30" s="223"/>
      <c r="F30" s="357"/>
      <c r="G30" s="223"/>
      <c r="H30" s="223"/>
      <c r="I30" s="223"/>
      <c r="J30" s="223"/>
      <c r="K30" s="223"/>
      <c r="L30" s="223"/>
      <c r="M30" s="223"/>
      <c r="N30" s="223"/>
      <c r="O30" s="223"/>
      <c r="P30" s="223"/>
      <c r="Q30" s="223"/>
      <c r="R30" s="223"/>
    </row>
    <row r="31">
      <c r="A31" s="547"/>
      <c r="B31" s="223"/>
      <c r="C31" s="223"/>
      <c r="D31" s="223"/>
      <c r="E31" s="223"/>
      <c r="F31" s="357"/>
      <c r="G31" s="223"/>
      <c r="H31" s="223"/>
      <c r="I31" s="223"/>
      <c r="J31" s="223"/>
      <c r="K31" s="223"/>
      <c r="L31" s="223"/>
      <c r="M31" s="223"/>
      <c r="N31" s="223"/>
      <c r="O31" s="223"/>
      <c r="P31" s="223"/>
      <c r="Q31" s="223"/>
      <c r="R31" s="223"/>
    </row>
    <row r="32">
      <c r="A32" s="223"/>
      <c r="B32" s="223"/>
      <c r="C32" s="223"/>
      <c r="D32" s="223"/>
      <c r="E32" s="223"/>
      <c r="F32" s="357"/>
      <c r="G32" s="223"/>
      <c r="H32" s="223"/>
      <c r="I32" s="223"/>
      <c r="J32" s="223"/>
      <c r="K32" s="223"/>
      <c r="L32" s="223"/>
      <c r="M32" s="223"/>
      <c r="N32" s="223"/>
      <c r="O32" s="223"/>
      <c r="P32" s="223"/>
      <c r="Q32" s="223"/>
      <c r="R32" s="223"/>
    </row>
    <row r="33">
      <c r="A33" s="223"/>
      <c r="B33" s="223"/>
      <c r="C33" s="223"/>
      <c r="D33" s="223"/>
      <c r="E33" s="223"/>
      <c r="F33" s="357"/>
      <c r="G33" s="223"/>
      <c r="H33" s="223"/>
      <c r="I33" s="223"/>
      <c r="J33" s="223"/>
      <c r="K33" s="223"/>
      <c r="L33" s="223"/>
      <c r="M33" s="223"/>
      <c r="N33" s="223"/>
      <c r="O33" s="223"/>
      <c r="P33" s="223"/>
      <c r="Q33" s="223"/>
      <c r="R33" s="223"/>
    </row>
    <row r="34">
      <c r="A34" s="223"/>
      <c r="B34" s="223"/>
      <c r="C34" s="223"/>
      <c r="D34" s="223"/>
      <c r="E34" s="223"/>
      <c r="F34" s="357"/>
      <c r="G34" s="223"/>
      <c r="H34" s="223"/>
      <c r="I34" s="223"/>
      <c r="J34" s="223"/>
      <c r="K34" s="223"/>
      <c r="L34" s="223"/>
      <c r="M34" s="223"/>
      <c r="N34" s="223"/>
      <c r="O34" s="223"/>
      <c r="P34" s="223"/>
      <c r="Q34" s="223"/>
      <c r="R34" s="223"/>
    </row>
    <row r="35">
      <c r="A35" s="223"/>
      <c r="B35" s="223"/>
      <c r="C35" s="223"/>
      <c r="D35" s="223"/>
      <c r="E35" s="223"/>
      <c r="F35" s="357"/>
      <c r="G35" s="223"/>
      <c r="H35" s="223"/>
      <c r="I35" s="223"/>
      <c r="J35" s="223"/>
      <c r="K35" s="223"/>
      <c r="L35" s="223"/>
      <c r="M35" s="223"/>
      <c r="N35" s="223"/>
      <c r="O35" s="223"/>
      <c r="P35" s="223"/>
      <c r="Q35" s="223"/>
      <c r="R35" s="223"/>
    </row>
    <row r="36">
      <c r="A36" s="223"/>
      <c r="B36" s="223"/>
      <c r="C36" s="223"/>
      <c r="D36" s="223"/>
      <c r="E36" s="223"/>
      <c r="F36" s="357"/>
      <c r="G36" s="223"/>
      <c r="H36" s="223"/>
      <c r="I36" s="223"/>
      <c r="J36" s="223"/>
      <c r="K36" s="223"/>
      <c r="L36" s="223"/>
      <c r="M36" s="223"/>
      <c r="N36" s="223"/>
      <c r="O36" s="223"/>
      <c r="P36" s="223"/>
      <c r="Q36" s="223"/>
      <c r="R36" s="223"/>
    </row>
    <row r="37">
      <c r="A37" s="223"/>
      <c r="B37" s="223"/>
      <c r="C37" s="223"/>
      <c r="D37" s="223"/>
      <c r="E37" s="223"/>
      <c r="F37" s="357"/>
      <c r="G37" s="223"/>
      <c r="H37" s="223"/>
      <c r="I37" s="223"/>
      <c r="J37" s="223"/>
      <c r="K37" s="223"/>
      <c r="L37" s="223"/>
      <c r="M37" s="223"/>
      <c r="N37" s="223"/>
      <c r="O37" s="223"/>
      <c r="P37" s="223"/>
      <c r="Q37" s="223"/>
      <c r="R37" s="223"/>
    </row>
    <row r="38">
      <c r="A38" s="223"/>
      <c r="B38" s="223"/>
      <c r="C38" s="223"/>
      <c r="D38" s="223"/>
      <c r="E38" s="223"/>
      <c r="F38" s="357"/>
      <c r="G38" s="223"/>
      <c r="H38" s="223"/>
      <c r="I38" s="223"/>
      <c r="J38" s="223"/>
      <c r="K38" s="223"/>
      <c r="L38" s="223"/>
      <c r="M38" s="223"/>
      <c r="N38" s="223"/>
      <c r="O38" s="223"/>
      <c r="P38" s="223"/>
      <c r="Q38" s="223"/>
      <c r="R38" s="223"/>
    </row>
    <row r="39">
      <c r="A39" s="223"/>
      <c r="B39" s="223"/>
      <c r="C39" s="223"/>
      <c r="D39" s="223"/>
      <c r="E39" s="223"/>
      <c r="F39" s="357"/>
      <c r="G39" s="223"/>
      <c r="H39" s="223"/>
      <c r="I39" s="223"/>
      <c r="J39" s="223"/>
      <c r="K39" s="223"/>
      <c r="L39" s="223"/>
      <c r="M39" s="223"/>
      <c r="N39" s="223"/>
      <c r="O39" s="223"/>
      <c r="P39" s="223"/>
      <c r="Q39" s="223"/>
      <c r="R39" s="223"/>
    </row>
    <row r="40">
      <c r="A40" s="223"/>
      <c r="B40" s="223"/>
      <c r="C40" s="223"/>
      <c r="D40" s="223"/>
      <c r="E40" s="223"/>
      <c r="F40" s="357"/>
      <c r="G40" s="223"/>
      <c r="H40" s="223"/>
      <c r="I40" s="223"/>
      <c r="J40" s="223"/>
      <c r="K40" s="223"/>
      <c r="L40" s="223"/>
      <c r="M40" s="223"/>
      <c r="N40" s="223"/>
      <c r="O40" s="223"/>
      <c r="P40" s="223"/>
      <c r="Q40" s="223"/>
      <c r="R40" s="223"/>
    </row>
    <row r="41">
      <c r="A41" s="223"/>
      <c r="B41" s="223"/>
      <c r="C41" s="223"/>
      <c r="D41" s="223"/>
      <c r="E41" s="223"/>
      <c r="F41" s="357"/>
      <c r="G41" s="223"/>
      <c r="H41" s="223"/>
      <c r="I41" s="223"/>
      <c r="J41" s="223"/>
      <c r="K41" s="223"/>
      <c r="L41" s="223"/>
      <c r="M41" s="223"/>
      <c r="N41" s="223"/>
      <c r="O41" s="223"/>
      <c r="P41" s="223"/>
      <c r="Q41" s="223"/>
      <c r="R41" s="223"/>
    </row>
    <row r="42">
      <c r="A42" s="223"/>
      <c r="B42" s="223"/>
      <c r="C42" s="223"/>
      <c r="D42" s="223"/>
      <c r="E42" s="223"/>
      <c r="F42" s="357"/>
      <c r="G42" s="223"/>
      <c r="H42" s="223"/>
      <c r="I42" s="223"/>
      <c r="J42" s="223"/>
      <c r="K42" s="223"/>
      <c r="L42" s="223"/>
      <c r="M42" s="223"/>
      <c r="N42" s="223"/>
      <c r="O42" s="223"/>
      <c r="P42" s="223"/>
      <c r="Q42" s="223"/>
      <c r="R42" s="223"/>
    </row>
    <row r="43">
      <c r="A43" s="223"/>
      <c r="B43" s="223"/>
      <c r="C43" s="223"/>
      <c r="D43" s="223"/>
      <c r="E43" s="223"/>
      <c r="F43" s="357"/>
      <c r="G43" s="223"/>
      <c r="H43" s="223"/>
      <c r="I43" s="223"/>
      <c r="J43" s="223"/>
      <c r="K43" s="223"/>
      <c r="L43" s="223"/>
      <c r="M43" s="223"/>
      <c r="N43" s="223"/>
      <c r="O43" s="223"/>
      <c r="P43" s="223"/>
      <c r="Q43" s="223"/>
      <c r="R43" s="223"/>
    </row>
    <row r="44">
      <c r="A44" s="223"/>
      <c r="B44" s="223"/>
      <c r="C44" s="223"/>
      <c r="D44" s="223"/>
      <c r="E44" s="223"/>
      <c r="F44" s="357"/>
      <c r="G44" s="223"/>
      <c r="H44" s="223"/>
      <c r="I44" s="223"/>
      <c r="J44" s="223"/>
      <c r="K44" s="223"/>
      <c r="L44" s="223"/>
      <c r="M44" s="223"/>
      <c r="N44" s="223"/>
      <c r="O44" s="223"/>
      <c r="P44" s="223"/>
      <c r="Q44" s="223"/>
      <c r="R44" s="223"/>
    </row>
    <row r="45">
      <c r="A45" s="223"/>
      <c r="B45" s="223"/>
      <c r="C45" s="223"/>
      <c r="D45" s="223"/>
      <c r="E45" s="223"/>
      <c r="F45" s="357"/>
      <c r="G45" s="223"/>
      <c r="H45" s="223"/>
      <c r="I45" s="223"/>
      <c r="J45" s="223"/>
      <c r="K45" s="223"/>
      <c r="L45" s="223"/>
      <c r="M45" s="223"/>
      <c r="N45" s="223"/>
      <c r="O45" s="223"/>
      <c r="P45" s="223"/>
      <c r="Q45" s="223"/>
      <c r="R45" s="223"/>
    </row>
    <row r="46">
      <c r="A46" s="223"/>
      <c r="B46" s="223"/>
      <c r="C46" s="223"/>
      <c r="D46" s="223"/>
      <c r="E46" s="223"/>
      <c r="F46" s="357"/>
      <c r="G46" s="223"/>
      <c r="H46" s="223"/>
      <c r="I46" s="223"/>
      <c r="J46" s="223"/>
      <c r="K46" s="223"/>
      <c r="L46" s="223"/>
      <c r="M46" s="223"/>
      <c r="N46" s="223"/>
      <c r="O46" s="223"/>
      <c r="P46" s="223"/>
      <c r="Q46" s="223"/>
      <c r="R46" s="223"/>
    </row>
    <row r="47">
      <c r="A47" s="223"/>
      <c r="B47" s="223"/>
      <c r="C47" s="223"/>
      <c r="D47" s="223"/>
      <c r="E47" s="223"/>
      <c r="F47" s="357"/>
      <c r="G47" s="223"/>
      <c r="H47" s="223"/>
      <c r="I47" s="223"/>
      <c r="J47" s="223"/>
      <c r="K47" s="223"/>
      <c r="L47" s="223"/>
      <c r="M47" s="223"/>
      <c r="N47" s="223"/>
      <c r="O47" s="223"/>
      <c r="P47" s="223"/>
      <c r="Q47" s="223"/>
      <c r="R47" s="223"/>
    </row>
    <row r="48">
      <c r="A48" s="223"/>
      <c r="B48" s="223"/>
      <c r="C48" s="223"/>
      <c r="D48" s="223"/>
      <c r="E48" s="223"/>
      <c r="F48" s="357"/>
      <c r="G48" s="223"/>
      <c r="H48" s="223"/>
      <c r="I48" s="223"/>
      <c r="J48" s="223"/>
      <c r="K48" s="223"/>
      <c r="L48" s="223"/>
      <c r="M48" s="223"/>
      <c r="N48" s="223"/>
      <c r="O48" s="223"/>
      <c r="P48" s="223"/>
      <c r="Q48" s="223"/>
      <c r="R48" s="223"/>
    </row>
    <row r="49">
      <c r="A49" s="223"/>
      <c r="B49" s="223"/>
      <c r="C49" s="223"/>
      <c r="D49" s="223"/>
      <c r="E49" s="223"/>
      <c r="F49" s="357"/>
      <c r="G49" s="223"/>
      <c r="H49" s="223"/>
      <c r="I49" s="223"/>
      <c r="J49" s="223"/>
      <c r="K49" s="223"/>
      <c r="L49" s="223"/>
      <c r="M49" s="223"/>
      <c r="N49" s="223"/>
      <c r="O49" s="223"/>
      <c r="P49" s="223"/>
      <c r="Q49" s="223"/>
      <c r="R49" s="223"/>
    </row>
    <row r="50">
      <c r="A50" s="223"/>
      <c r="B50" s="223"/>
      <c r="C50" s="223"/>
      <c r="D50" s="223"/>
      <c r="E50" s="223"/>
      <c r="F50" s="357"/>
      <c r="G50" s="223"/>
      <c r="H50" s="223"/>
      <c r="I50" s="223"/>
      <c r="J50" s="223"/>
      <c r="K50" s="223"/>
      <c r="L50" s="223"/>
      <c r="M50" s="223"/>
      <c r="N50" s="223"/>
      <c r="O50" s="223"/>
      <c r="P50" s="223"/>
      <c r="Q50" s="223"/>
      <c r="R50" s="223"/>
    </row>
    <row r="51">
      <c r="A51" s="223"/>
      <c r="B51" s="223"/>
      <c r="C51" s="223"/>
      <c r="D51" s="223"/>
      <c r="E51" s="223"/>
      <c r="F51" s="357"/>
      <c r="G51" s="223"/>
      <c r="H51" s="223"/>
      <c r="I51" s="223"/>
      <c r="J51" s="223"/>
      <c r="K51" s="223"/>
      <c r="L51" s="223"/>
      <c r="M51" s="223"/>
      <c r="N51" s="223"/>
      <c r="O51" s="223"/>
      <c r="P51" s="223"/>
      <c r="Q51" s="223"/>
      <c r="R51" s="223"/>
    </row>
    <row r="52">
      <c r="A52" s="223"/>
      <c r="B52" s="223"/>
      <c r="C52" s="223"/>
      <c r="D52" s="223"/>
      <c r="E52" s="223"/>
      <c r="F52" s="357"/>
      <c r="G52" s="223"/>
      <c r="H52" s="223"/>
      <c r="I52" s="223"/>
      <c r="J52" s="223"/>
      <c r="K52" s="223"/>
      <c r="L52" s="223"/>
      <c r="M52" s="223"/>
      <c r="N52" s="223"/>
      <c r="O52" s="223"/>
      <c r="P52" s="223"/>
      <c r="Q52" s="223"/>
      <c r="R52" s="223"/>
    </row>
    <row r="53">
      <c r="A53" s="223"/>
      <c r="B53" s="223"/>
      <c r="C53" s="223"/>
      <c r="D53" s="223"/>
      <c r="E53" s="223"/>
      <c r="F53" s="357"/>
      <c r="G53" s="223"/>
      <c r="H53" s="223"/>
      <c r="I53" s="223"/>
      <c r="J53" s="223"/>
      <c r="K53" s="223"/>
      <c r="L53" s="223"/>
      <c r="M53" s="223"/>
      <c r="N53" s="223"/>
      <c r="O53" s="223"/>
      <c r="P53" s="223"/>
      <c r="Q53" s="223"/>
      <c r="R53" s="223"/>
    </row>
    <row r="54">
      <c r="A54" s="223"/>
      <c r="B54" s="223"/>
      <c r="C54" s="223"/>
      <c r="D54" s="223"/>
      <c r="E54" s="223"/>
      <c r="F54" s="357"/>
      <c r="G54" s="223"/>
      <c r="H54" s="223"/>
      <c r="I54" s="223"/>
      <c r="J54" s="223"/>
      <c r="K54" s="223"/>
      <c r="L54" s="223"/>
      <c r="M54" s="223"/>
      <c r="N54" s="223"/>
      <c r="O54" s="223"/>
      <c r="P54" s="223"/>
      <c r="Q54" s="223"/>
      <c r="R54" s="223"/>
    </row>
    <row r="55">
      <c r="A55" s="223"/>
      <c r="B55" s="223"/>
      <c r="C55" s="223"/>
      <c r="D55" s="223"/>
      <c r="E55" s="223"/>
      <c r="F55" s="357"/>
      <c r="G55" s="223"/>
      <c r="H55" s="223"/>
      <c r="I55" s="223"/>
      <c r="J55" s="223"/>
      <c r="K55" s="223"/>
      <c r="L55" s="223"/>
      <c r="M55" s="223"/>
      <c r="N55" s="223"/>
      <c r="O55" s="223"/>
      <c r="P55" s="223"/>
      <c r="Q55" s="223"/>
      <c r="R55" s="223"/>
    </row>
    <row r="56">
      <c r="A56" s="223"/>
      <c r="B56" s="223"/>
      <c r="C56" s="223"/>
      <c r="D56" s="223"/>
      <c r="E56" s="223"/>
      <c r="F56" s="357"/>
      <c r="G56" s="223"/>
      <c r="H56" s="223"/>
      <c r="I56" s="223"/>
      <c r="J56" s="223"/>
      <c r="K56" s="223"/>
      <c r="L56" s="223"/>
      <c r="M56" s="223"/>
      <c r="N56" s="223"/>
      <c r="O56" s="223"/>
      <c r="P56" s="223"/>
      <c r="Q56" s="223"/>
      <c r="R56" s="223"/>
    </row>
    <row r="57">
      <c r="A57" s="223"/>
      <c r="B57" s="223"/>
      <c r="C57" s="223"/>
      <c r="D57" s="223"/>
      <c r="E57" s="223"/>
      <c r="F57" s="357"/>
      <c r="G57" s="223"/>
      <c r="H57" s="223"/>
      <c r="I57" s="223"/>
      <c r="J57" s="223"/>
      <c r="K57" s="223"/>
      <c r="L57" s="223"/>
      <c r="M57" s="223"/>
      <c r="N57" s="223"/>
      <c r="O57" s="223"/>
      <c r="P57" s="223"/>
      <c r="Q57" s="223"/>
      <c r="R57" s="223"/>
    </row>
    <row r="58">
      <c r="A58" s="223"/>
      <c r="B58" s="223"/>
      <c r="C58" s="223"/>
      <c r="D58" s="223"/>
      <c r="E58" s="223"/>
      <c r="F58" s="357"/>
      <c r="G58" s="223"/>
      <c r="H58" s="223"/>
      <c r="I58" s="223"/>
      <c r="J58" s="223"/>
      <c r="K58" s="223"/>
      <c r="L58" s="223"/>
      <c r="M58" s="223"/>
      <c r="N58" s="223"/>
      <c r="O58" s="223"/>
      <c r="P58" s="223"/>
      <c r="Q58" s="223"/>
      <c r="R58" s="223"/>
    </row>
    <row r="59">
      <c r="A59" s="223"/>
      <c r="B59" s="223"/>
      <c r="C59" s="223"/>
      <c r="D59" s="223"/>
      <c r="E59" s="223"/>
      <c r="F59" s="357"/>
      <c r="G59" s="223"/>
      <c r="H59" s="223"/>
      <c r="I59" s="223"/>
      <c r="J59" s="223"/>
      <c r="K59" s="223"/>
      <c r="L59" s="223"/>
      <c r="M59" s="223"/>
      <c r="N59" s="223"/>
      <c r="O59" s="223"/>
      <c r="P59" s="223"/>
      <c r="Q59" s="223"/>
      <c r="R59" s="223"/>
    </row>
    <row r="60">
      <c r="A60" s="223"/>
      <c r="B60" s="223"/>
      <c r="C60" s="223"/>
      <c r="D60" s="223"/>
      <c r="E60" s="223"/>
      <c r="F60" s="357"/>
      <c r="G60" s="223"/>
      <c r="H60" s="223"/>
      <c r="I60" s="223"/>
      <c r="J60" s="223"/>
      <c r="K60" s="223"/>
      <c r="L60" s="223"/>
      <c r="M60" s="223"/>
      <c r="N60" s="223"/>
      <c r="O60" s="223"/>
      <c r="P60" s="223"/>
      <c r="Q60" s="223"/>
      <c r="R60" s="223"/>
    </row>
    <row r="61">
      <c r="A61" s="223"/>
      <c r="B61" s="223"/>
      <c r="C61" s="223"/>
      <c r="D61" s="223"/>
      <c r="E61" s="223"/>
      <c r="F61" s="357"/>
      <c r="G61" s="223"/>
      <c r="H61" s="223"/>
      <c r="I61" s="223"/>
      <c r="J61" s="223"/>
      <c r="K61" s="223"/>
      <c r="L61" s="223"/>
      <c r="M61" s="223"/>
      <c r="N61" s="223"/>
      <c r="O61" s="223"/>
      <c r="P61" s="223"/>
      <c r="Q61" s="223"/>
      <c r="R61" s="223"/>
    </row>
    <row r="62">
      <c r="A62" s="223"/>
      <c r="B62" s="223"/>
      <c r="C62" s="223"/>
      <c r="D62" s="223"/>
      <c r="E62" s="223"/>
      <c r="F62" s="357"/>
      <c r="G62" s="223"/>
      <c r="H62" s="223"/>
      <c r="I62" s="223"/>
      <c r="J62" s="223"/>
      <c r="K62" s="223"/>
      <c r="L62" s="223"/>
      <c r="M62" s="223"/>
      <c r="N62" s="223"/>
      <c r="O62" s="223"/>
      <c r="P62" s="223"/>
      <c r="Q62" s="223"/>
      <c r="R62" s="223"/>
    </row>
    <row r="63">
      <c r="A63" s="223"/>
      <c r="B63" s="223"/>
      <c r="C63" s="223"/>
      <c r="D63" s="223"/>
      <c r="E63" s="223"/>
      <c r="F63" s="357"/>
      <c r="G63" s="223"/>
      <c r="H63" s="223"/>
      <c r="I63" s="223"/>
      <c r="J63" s="223"/>
      <c r="K63" s="223"/>
      <c r="L63" s="223"/>
      <c r="M63" s="223"/>
      <c r="N63" s="223"/>
      <c r="O63" s="223"/>
      <c r="P63" s="223"/>
      <c r="Q63" s="223"/>
      <c r="R63" s="223"/>
    </row>
    <row r="64">
      <c r="A64" s="223"/>
      <c r="B64" s="223"/>
      <c r="C64" s="223"/>
      <c r="D64" s="223"/>
      <c r="E64" s="223"/>
      <c r="F64" s="357"/>
      <c r="G64" s="223"/>
      <c r="H64" s="223"/>
      <c r="I64" s="223"/>
      <c r="J64" s="223"/>
      <c r="K64" s="223"/>
      <c r="L64" s="223"/>
      <c r="M64" s="223"/>
      <c r="N64" s="223"/>
      <c r="O64" s="223"/>
      <c r="P64" s="223"/>
      <c r="Q64" s="223"/>
      <c r="R64" s="223"/>
    </row>
    <row r="65">
      <c r="A65" s="223"/>
      <c r="B65" s="223"/>
      <c r="C65" s="223"/>
      <c r="D65" s="223"/>
      <c r="E65" s="223"/>
      <c r="F65" s="357"/>
      <c r="G65" s="223"/>
      <c r="H65" s="223"/>
      <c r="I65" s="223"/>
      <c r="J65" s="223"/>
      <c r="K65" s="223"/>
      <c r="L65" s="223"/>
      <c r="M65" s="223"/>
      <c r="N65" s="223"/>
      <c r="O65" s="223"/>
      <c r="P65" s="223"/>
      <c r="Q65" s="223"/>
      <c r="R65" s="223"/>
    </row>
    <row r="66">
      <c r="A66" s="223"/>
      <c r="B66" s="223"/>
      <c r="C66" s="223"/>
      <c r="D66" s="223"/>
      <c r="E66" s="223"/>
      <c r="F66" s="357"/>
      <c r="G66" s="223"/>
      <c r="H66" s="223"/>
      <c r="I66" s="223"/>
      <c r="J66" s="223"/>
      <c r="K66" s="223"/>
      <c r="L66" s="223"/>
      <c r="M66" s="223"/>
      <c r="N66" s="223"/>
      <c r="O66" s="223"/>
      <c r="P66" s="223"/>
      <c r="Q66" s="223"/>
      <c r="R66" s="223"/>
    </row>
    <row r="67">
      <c r="A67" s="223"/>
      <c r="B67" s="223"/>
      <c r="C67" s="223"/>
      <c r="D67" s="223"/>
      <c r="E67" s="223"/>
      <c r="F67" s="357"/>
      <c r="G67" s="223"/>
      <c r="H67" s="223"/>
      <c r="I67" s="223"/>
      <c r="J67" s="223"/>
      <c r="K67" s="223"/>
      <c r="L67" s="223"/>
      <c r="M67" s="223"/>
      <c r="N67" s="223"/>
      <c r="O67" s="223"/>
      <c r="P67" s="223"/>
      <c r="Q67" s="223"/>
      <c r="R67" s="223"/>
    </row>
    <row r="68">
      <c r="A68" s="223"/>
      <c r="B68" s="223"/>
      <c r="C68" s="223"/>
      <c r="D68" s="223"/>
      <c r="E68" s="223"/>
      <c r="F68" s="357"/>
      <c r="G68" s="223"/>
      <c r="H68" s="223"/>
      <c r="I68" s="223"/>
      <c r="J68" s="223"/>
      <c r="K68" s="223"/>
      <c r="L68" s="223"/>
      <c r="M68" s="223"/>
      <c r="N68" s="223"/>
      <c r="O68" s="223"/>
      <c r="P68" s="223"/>
      <c r="Q68" s="223"/>
      <c r="R68" s="223"/>
    </row>
    <row r="69">
      <c r="A69" s="223"/>
      <c r="B69" s="223"/>
      <c r="C69" s="223"/>
      <c r="D69" s="223"/>
      <c r="E69" s="223"/>
      <c r="F69" s="357"/>
      <c r="G69" s="223"/>
      <c r="H69" s="223"/>
      <c r="I69" s="223"/>
      <c r="J69" s="223"/>
      <c r="K69" s="223"/>
      <c r="L69" s="223"/>
      <c r="M69" s="223"/>
      <c r="N69" s="223"/>
      <c r="O69" s="223"/>
      <c r="P69" s="223"/>
      <c r="Q69" s="223"/>
      <c r="R69" s="223"/>
    </row>
    <row r="70">
      <c r="A70" s="223"/>
      <c r="B70" s="223"/>
      <c r="C70" s="223"/>
      <c r="D70" s="223"/>
      <c r="E70" s="223"/>
      <c r="F70" s="357"/>
      <c r="G70" s="223"/>
      <c r="H70" s="223"/>
      <c r="I70" s="223"/>
      <c r="J70" s="223"/>
      <c r="K70" s="223"/>
      <c r="L70" s="223"/>
      <c r="M70" s="223"/>
      <c r="N70" s="223"/>
      <c r="O70" s="223"/>
      <c r="P70" s="223"/>
      <c r="Q70" s="223"/>
      <c r="R70" s="223"/>
    </row>
    <row r="71">
      <c r="A71" s="223"/>
      <c r="B71" s="223"/>
      <c r="C71" s="223"/>
      <c r="D71" s="223"/>
      <c r="E71" s="223"/>
      <c r="F71" s="357"/>
      <c r="G71" s="223"/>
      <c r="H71" s="223"/>
      <c r="I71" s="223"/>
      <c r="J71" s="223"/>
      <c r="K71" s="223"/>
      <c r="L71" s="223"/>
      <c r="M71" s="223"/>
      <c r="N71" s="223"/>
      <c r="O71" s="223"/>
      <c r="P71" s="223"/>
      <c r="Q71" s="223"/>
      <c r="R71" s="223"/>
    </row>
    <row r="72">
      <c r="A72" s="223"/>
      <c r="B72" s="223"/>
      <c r="C72" s="223"/>
      <c r="D72" s="223"/>
      <c r="E72" s="223"/>
      <c r="F72" s="357"/>
      <c r="G72" s="223"/>
      <c r="H72" s="223"/>
      <c r="I72" s="223"/>
      <c r="J72" s="223"/>
      <c r="K72" s="223"/>
      <c r="L72" s="223"/>
      <c r="M72" s="223"/>
      <c r="N72" s="223"/>
      <c r="O72" s="223"/>
      <c r="P72" s="223"/>
      <c r="Q72" s="223"/>
      <c r="R72" s="223"/>
    </row>
    <row r="73">
      <c r="A73" s="223"/>
      <c r="B73" s="223"/>
      <c r="C73" s="223"/>
      <c r="D73" s="223"/>
      <c r="E73" s="223"/>
      <c r="F73" s="357"/>
      <c r="G73" s="223"/>
      <c r="H73" s="223"/>
      <c r="I73" s="223"/>
      <c r="J73" s="223"/>
      <c r="K73" s="223"/>
      <c r="L73" s="223"/>
      <c r="M73" s="223"/>
      <c r="N73" s="223"/>
      <c r="O73" s="223"/>
      <c r="P73" s="223"/>
      <c r="Q73" s="223"/>
      <c r="R73" s="223"/>
    </row>
    <row r="74">
      <c r="A74" s="223"/>
      <c r="B74" s="223"/>
      <c r="C74" s="223"/>
      <c r="D74" s="223"/>
      <c r="E74" s="223"/>
      <c r="F74" s="357"/>
      <c r="G74" s="223"/>
      <c r="H74" s="223"/>
      <c r="I74" s="223"/>
      <c r="J74" s="223"/>
      <c r="K74" s="223"/>
      <c r="L74" s="223"/>
      <c r="M74" s="223"/>
      <c r="N74" s="223"/>
      <c r="O74" s="223"/>
      <c r="P74" s="223"/>
      <c r="Q74" s="223"/>
      <c r="R74" s="223"/>
    </row>
    <row r="75">
      <c r="A75" s="223"/>
      <c r="B75" s="223"/>
      <c r="C75" s="223"/>
      <c r="D75" s="223"/>
      <c r="E75" s="223"/>
      <c r="F75" s="357"/>
      <c r="G75" s="223"/>
      <c r="H75" s="223"/>
      <c r="I75" s="223"/>
      <c r="J75" s="223"/>
      <c r="K75" s="223"/>
      <c r="L75" s="223"/>
      <c r="M75" s="223"/>
      <c r="N75" s="223"/>
      <c r="O75" s="223"/>
      <c r="P75" s="223"/>
      <c r="Q75" s="223"/>
      <c r="R75" s="223"/>
    </row>
    <row r="76">
      <c r="A76" s="223"/>
      <c r="B76" s="223"/>
      <c r="C76" s="223"/>
      <c r="D76" s="223"/>
      <c r="E76" s="223"/>
      <c r="F76" s="357"/>
      <c r="G76" s="223"/>
      <c r="H76" s="223"/>
      <c r="I76" s="223"/>
      <c r="J76" s="223"/>
      <c r="K76" s="223"/>
      <c r="L76" s="223"/>
      <c r="M76" s="223"/>
      <c r="N76" s="223"/>
      <c r="O76" s="223"/>
      <c r="P76" s="223"/>
      <c r="Q76" s="223"/>
      <c r="R76" s="223"/>
    </row>
    <row r="77">
      <c r="A77" s="223"/>
      <c r="B77" s="223"/>
      <c r="C77" s="223"/>
      <c r="D77" s="223"/>
      <c r="E77" s="223"/>
      <c r="F77" s="357"/>
      <c r="G77" s="223"/>
      <c r="H77" s="223"/>
      <c r="I77" s="223"/>
      <c r="J77" s="223"/>
      <c r="K77" s="223"/>
      <c r="L77" s="223"/>
      <c r="M77" s="223"/>
      <c r="N77" s="223"/>
      <c r="O77" s="223"/>
      <c r="P77" s="223"/>
      <c r="Q77" s="223"/>
      <c r="R77" s="223"/>
    </row>
    <row r="78">
      <c r="A78" s="223"/>
      <c r="B78" s="223"/>
      <c r="C78" s="223"/>
      <c r="D78" s="223"/>
      <c r="E78" s="223"/>
      <c r="F78" s="357"/>
      <c r="G78" s="223"/>
      <c r="H78" s="223"/>
      <c r="I78" s="223"/>
      <c r="J78" s="223"/>
      <c r="K78" s="223"/>
      <c r="L78" s="223"/>
      <c r="M78" s="223"/>
      <c r="N78" s="223"/>
      <c r="O78" s="223"/>
      <c r="P78" s="223"/>
      <c r="Q78" s="223"/>
      <c r="R78" s="223"/>
    </row>
    <row r="79">
      <c r="A79" s="223"/>
      <c r="B79" s="223"/>
      <c r="C79" s="223"/>
      <c r="D79" s="223"/>
      <c r="E79" s="223"/>
      <c r="F79" s="357"/>
      <c r="G79" s="223"/>
      <c r="H79" s="223"/>
      <c r="I79" s="223"/>
      <c r="J79" s="223"/>
      <c r="K79" s="223"/>
      <c r="L79" s="223"/>
      <c r="M79" s="223"/>
      <c r="N79" s="223"/>
      <c r="O79" s="223"/>
      <c r="P79" s="223"/>
      <c r="Q79" s="223"/>
      <c r="R79" s="223"/>
    </row>
    <row r="80">
      <c r="A80" s="223"/>
      <c r="B80" s="223"/>
      <c r="C80" s="223"/>
      <c r="D80" s="223"/>
      <c r="E80" s="223"/>
      <c r="F80" s="357"/>
      <c r="G80" s="223"/>
      <c r="H80" s="223"/>
      <c r="I80" s="223"/>
      <c r="J80" s="223"/>
      <c r="K80" s="223"/>
      <c r="L80" s="223"/>
      <c r="M80" s="223"/>
      <c r="N80" s="223"/>
      <c r="O80" s="223"/>
      <c r="P80" s="223"/>
      <c r="Q80" s="223"/>
      <c r="R80" s="223"/>
    </row>
    <row r="81">
      <c r="A81" s="223"/>
      <c r="B81" s="223"/>
      <c r="C81" s="223"/>
      <c r="D81" s="223"/>
      <c r="E81" s="223"/>
      <c r="F81" s="357"/>
      <c r="G81" s="223"/>
      <c r="H81" s="223"/>
      <c r="I81" s="223"/>
      <c r="J81" s="223"/>
      <c r="K81" s="223"/>
      <c r="L81" s="223"/>
      <c r="M81" s="223"/>
      <c r="N81" s="223"/>
      <c r="O81" s="223"/>
      <c r="P81" s="223"/>
      <c r="Q81" s="223"/>
      <c r="R81" s="223"/>
    </row>
    <row r="82">
      <c r="A82" s="223"/>
      <c r="B82" s="223"/>
      <c r="C82" s="223"/>
      <c r="D82" s="223"/>
      <c r="E82" s="223"/>
      <c r="F82" s="357"/>
      <c r="G82" s="223"/>
      <c r="H82" s="223"/>
      <c r="I82" s="223"/>
      <c r="J82" s="223"/>
      <c r="K82" s="223"/>
      <c r="L82" s="223"/>
      <c r="M82" s="223"/>
      <c r="N82" s="223"/>
      <c r="O82" s="223"/>
      <c r="P82" s="223"/>
      <c r="Q82" s="223"/>
      <c r="R82" s="223"/>
    </row>
    <row r="83">
      <c r="A83" s="223"/>
      <c r="B83" s="223"/>
      <c r="C83" s="223"/>
      <c r="D83" s="223"/>
      <c r="E83" s="223"/>
      <c r="F83" s="357"/>
      <c r="G83" s="223"/>
      <c r="H83" s="223"/>
      <c r="I83" s="223"/>
      <c r="J83" s="223"/>
      <c r="K83" s="223"/>
      <c r="L83" s="223"/>
      <c r="M83" s="223"/>
      <c r="N83" s="223"/>
      <c r="O83" s="223"/>
      <c r="P83" s="223"/>
      <c r="Q83" s="223"/>
      <c r="R83" s="223"/>
    </row>
    <row r="84">
      <c r="A84" s="223"/>
      <c r="B84" s="223"/>
      <c r="C84" s="223"/>
      <c r="D84" s="223"/>
      <c r="E84" s="223"/>
      <c r="F84" s="357"/>
      <c r="G84" s="223"/>
      <c r="H84" s="223"/>
      <c r="I84" s="223"/>
      <c r="J84" s="223"/>
      <c r="K84" s="223"/>
      <c r="L84" s="223"/>
      <c r="M84" s="223"/>
      <c r="N84" s="223"/>
      <c r="O84" s="223"/>
      <c r="P84" s="223"/>
      <c r="Q84" s="223"/>
      <c r="R84" s="223"/>
    </row>
    <row r="85">
      <c r="A85" s="223"/>
      <c r="B85" s="223"/>
      <c r="C85" s="223"/>
      <c r="D85" s="223"/>
      <c r="E85" s="223"/>
      <c r="F85" s="357"/>
      <c r="G85" s="223"/>
      <c r="H85" s="223"/>
      <c r="I85" s="223"/>
      <c r="J85" s="223"/>
      <c r="K85" s="223"/>
      <c r="L85" s="223"/>
      <c r="M85" s="223"/>
      <c r="N85" s="223"/>
      <c r="O85" s="223"/>
      <c r="P85" s="223"/>
      <c r="Q85" s="223"/>
      <c r="R85" s="223"/>
    </row>
    <row r="86">
      <c r="A86" s="223"/>
      <c r="B86" s="223"/>
      <c r="C86" s="223"/>
      <c r="D86" s="223"/>
      <c r="E86" s="223"/>
      <c r="F86" s="357"/>
      <c r="G86" s="223"/>
      <c r="H86" s="223"/>
      <c r="I86" s="223"/>
      <c r="J86" s="223"/>
      <c r="K86" s="223"/>
      <c r="L86" s="223"/>
      <c r="M86" s="223"/>
      <c r="N86" s="223"/>
      <c r="O86" s="223"/>
      <c r="P86" s="223"/>
      <c r="Q86" s="223"/>
      <c r="R86" s="223"/>
    </row>
    <row r="87">
      <c r="A87" s="223"/>
      <c r="B87" s="223"/>
      <c r="C87" s="223"/>
      <c r="D87" s="223"/>
      <c r="E87" s="223"/>
      <c r="F87" s="357"/>
      <c r="G87" s="223"/>
      <c r="H87" s="223"/>
      <c r="I87" s="223"/>
      <c r="J87" s="223"/>
      <c r="K87" s="223"/>
      <c r="L87" s="223"/>
      <c r="M87" s="223"/>
      <c r="N87" s="223"/>
      <c r="O87" s="223"/>
      <c r="P87" s="223"/>
      <c r="Q87" s="223"/>
      <c r="R87" s="223"/>
    </row>
    <row r="88">
      <c r="A88" s="223"/>
      <c r="B88" s="223"/>
      <c r="C88" s="223"/>
      <c r="D88" s="223"/>
      <c r="E88" s="223"/>
      <c r="F88" s="357"/>
      <c r="G88" s="223"/>
      <c r="H88" s="223"/>
      <c r="I88" s="223"/>
      <c r="J88" s="223"/>
      <c r="K88" s="223"/>
      <c r="L88" s="223"/>
      <c r="M88" s="223"/>
      <c r="N88" s="223"/>
      <c r="O88" s="223"/>
      <c r="P88" s="223"/>
      <c r="Q88" s="223"/>
      <c r="R88" s="223"/>
    </row>
    <row r="89">
      <c r="A89" s="223"/>
      <c r="B89" s="223"/>
      <c r="C89" s="223"/>
      <c r="D89" s="223"/>
      <c r="E89" s="223"/>
      <c r="F89" s="357"/>
      <c r="G89" s="223"/>
      <c r="H89" s="223"/>
      <c r="I89" s="223"/>
      <c r="J89" s="223"/>
      <c r="K89" s="223"/>
      <c r="L89" s="223"/>
      <c r="M89" s="223"/>
      <c r="N89" s="223"/>
      <c r="O89" s="223"/>
      <c r="P89" s="223"/>
      <c r="Q89" s="223"/>
      <c r="R89" s="223"/>
    </row>
    <row r="90">
      <c r="A90" s="223"/>
      <c r="B90" s="223"/>
      <c r="C90" s="223"/>
      <c r="D90" s="223"/>
      <c r="E90" s="223"/>
      <c r="F90" s="357"/>
      <c r="G90" s="223"/>
      <c r="H90" s="223"/>
      <c r="I90" s="223"/>
      <c r="J90" s="223"/>
      <c r="K90" s="223"/>
      <c r="L90" s="223"/>
      <c r="M90" s="223"/>
      <c r="N90" s="223"/>
      <c r="O90" s="223"/>
      <c r="P90" s="223"/>
      <c r="Q90" s="223"/>
      <c r="R90" s="223"/>
    </row>
    <row r="91">
      <c r="A91" s="223"/>
      <c r="B91" s="223"/>
      <c r="C91" s="223"/>
      <c r="D91" s="223"/>
      <c r="E91" s="223"/>
      <c r="F91" s="357"/>
      <c r="G91" s="223"/>
      <c r="H91" s="223"/>
      <c r="I91" s="223"/>
      <c r="J91" s="223"/>
      <c r="K91" s="223"/>
      <c r="L91" s="223"/>
      <c r="M91" s="223"/>
      <c r="N91" s="223"/>
      <c r="O91" s="223"/>
      <c r="P91" s="223"/>
      <c r="Q91" s="223"/>
      <c r="R91" s="223"/>
    </row>
    <row r="92">
      <c r="A92" s="223"/>
      <c r="B92" s="223"/>
      <c r="C92" s="223"/>
      <c r="D92" s="223"/>
      <c r="E92" s="223"/>
      <c r="F92" s="357"/>
      <c r="G92" s="223"/>
      <c r="H92" s="223"/>
      <c r="I92" s="223"/>
      <c r="J92" s="223"/>
      <c r="K92" s="223"/>
      <c r="L92" s="223"/>
      <c r="M92" s="223"/>
      <c r="N92" s="223"/>
      <c r="O92" s="223"/>
      <c r="P92" s="223"/>
      <c r="Q92" s="223"/>
      <c r="R92" s="223"/>
    </row>
    <row r="93">
      <c r="A93" s="223"/>
      <c r="B93" s="223"/>
      <c r="C93" s="223"/>
      <c r="D93" s="223"/>
      <c r="E93" s="223"/>
      <c r="F93" s="357"/>
      <c r="G93" s="223"/>
      <c r="H93" s="223"/>
      <c r="I93" s="223"/>
      <c r="J93" s="223"/>
      <c r="K93" s="223"/>
      <c r="L93" s="223"/>
      <c r="M93" s="223"/>
      <c r="N93" s="223"/>
      <c r="O93" s="223"/>
      <c r="P93" s="223"/>
      <c r="Q93" s="223"/>
      <c r="R93" s="223"/>
    </row>
    <row r="94">
      <c r="A94" s="223"/>
      <c r="B94" s="223"/>
      <c r="C94" s="223"/>
      <c r="D94" s="223"/>
      <c r="E94" s="223"/>
      <c r="F94" s="357"/>
      <c r="G94" s="223"/>
      <c r="H94" s="223"/>
      <c r="I94" s="223"/>
      <c r="J94" s="223"/>
      <c r="K94" s="223"/>
      <c r="L94" s="223"/>
      <c r="M94" s="223"/>
      <c r="N94" s="223"/>
      <c r="O94" s="223"/>
      <c r="P94" s="223"/>
      <c r="Q94" s="223"/>
      <c r="R94" s="223"/>
    </row>
    <row r="95">
      <c r="A95" s="223"/>
      <c r="B95" s="223"/>
      <c r="C95" s="223"/>
      <c r="D95" s="223"/>
      <c r="E95" s="223"/>
      <c r="F95" s="357"/>
      <c r="G95" s="223"/>
      <c r="H95" s="223"/>
      <c r="I95" s="223"/>
      <c r="J95" s="223"/>
      <c r="K95" s="223"/>
      <c r="L95" s="223"/>
      <c r="M95" s="223"/>
      <c r="N95" s="223"/>
      <c r="O95" s="223"/>
      <c r="P95" s="223"/>
      <c r="Q95" s="223"/>
      <c r="R95" s="223"/>
    </row>
    <row r="96">
      <c r="A96" s="223"/>
      <c r="B96" s="223"/>
      <c r="C96" s="223"/>
      <c r="D96" s="223"/>
      <c r="E96" s="223"/>
      <c r="F96" s="357"/>
      <c r="G96" s="223"/>
      <c r="H96" s="223"/>
      <c r="I96" s="223"/>
      <c r="J96" s="223"/>
      <c r="K96" s="223"/>
      <c r="L96" s="223"/>
      <c r="M96" s="223"/>
      <c r="N96" s="223"/>
      <c r="O96" s="223"/>
      <c r="P96" s="223"/>
      <c r="Q96" s="223"/>
      <c r="R96" s="223"/>
    </row>
    <row r="97">
      <c r="A97" s="223"/>
      <c r="B97" s="223"/>
      <c r="C97" s="223"/>
      <c r="D97" s="223"/>
      <c r="E97" s="223"/>
      <c r="F97" s="357"/>
      <c r="G97" s="223"/>
      <c r="H97" s="223"/>
      <c r="I97" s="223"/>
      <c r="J97" s="223"/>
      <c r="K97" s="223"/>
      <c r="L97" s="223"/>
      <c r="M97" s="223"/>
      <c r="N97" s="223"/>
      <c r="O97" s="223"/>
      <c r="P97" s="223"/>
      <c r="Q97" s="223"/>
      <c r="R97" s="223"/>
    </row>
    <row r="98">
      <c r="A98" s="223"/>
      <c r="B98" s="223"/>
      <c r="C98" s="223"/>
      <c r="D98" s="223"/>
      <c r="E98" s="223"/>
      <c r="F98" s="357"/>
      <c r="G98" s="223"/>
      <c r="H98" s="223"/>
      <c r="I98" s="223"/>
      <c r="J98" s="223"/>
      <c r="K98" s="223"/>
      <c r="L98" s="223"/>
      <c r="M98" s="223"/>
      <c r="N98" s="223"/>
      <c r="O98" s="223"/>
      <c r="P98" s="223"/>
      <c r="Q98" s="223"/>
      <c r="R98" s="223"/>
    </row>
    <row r="99">
      <c r="A99" s="223"/>
      <c r="B99" s="223"/>
      <c r="C99" s="223"/>
      <c r="D99" s="223"/>
      <c r="E99" s="223"/>
      <c r="F99" s="357"/>
      <c r="G99" s="223"/>
      <c r="H99" s="223"/>
      <c r="I99" s="223"/>
      <c r="J99" s="223"/>
      <c r="K99" s="223"/>
      <c r="L99" s="223"/>
      <c r="M99" s="223"/>
      <c r="N99" s="223"/>
      <c r="O99" s="223"/>
      <c r="P99" s="223"/>
      <c r="Q99" s="223"/>
      <c r="R99" s="223"/>
    </row>
    <row r="100">
      <c r="A100" s="223"/>
      <c r="B100" s="223"/>
      <c r="C100" s="223"/>
      <c r="D100" s="223"/>
      <c r="E100" s="223"/>
      <c r="F100" s="357"/>
      <c r="G100" s="223"/>
      <c r="H100" s="223"/>
      <c r="I100" s="223"/>
      <c r="J100" s="223"/>
      <c r="K100" s="223"/>
      <c r="L100" s="223"/>
      <c r="M100" s="223"/>
      <c r="N100" s="223"/>
      <c r="O100" s="223"/>
      <c r="P100" s="223"/>
      <c r="Q100" s="223"/>
      <c r="R100" s="223"/>
    </row>
    <row r="101">
      <c r="A101" s="223"/>
      <c r="B101" s="223"/>
      <c r="C101" s="223"/>
      <c r="D101" s="223"/>
      <c r="E101" s="223"/>
      <c r="F101" s="357"/>
      <c r="G101" s="223"/>
      <c r="H101" s="223"/>
      <c r="I101" s="223"/>
      <c r="J101" s="223"/>
      <c r="K101" s="223"/>
      <c r="L101" s="223"/>
      <c r="M101" s="223"/>
      <c r="N101" s="223"/>
      <c r="O101" s="223"/>
      <c r="P101" s="223"/>
      <c r="Q101" s="223"/>
      <c r="R101" s="223"/>
    </row>
    <row r="102">
      <c r="A102" s="223"/>
      <c r="B102" s="223"/>
      <c r="C102" s="223"/>
      <c r="D102" s="223"/>
      <c r="E102" s="223"/>
      <c r="F102" s="357"/>
      <c r="G102" s="223"/>
      <c r="H102" s="223"/>
      <c r="I102" s="223"/>
      <c r="J102" s="223"/>
      <c r="K102" s="223"/>
      <c r="L102" s="223"/>
      <c r="M102" s="223"/>
      <c r="N102" s="223"/>
      <c r="O102" s="223"/>
      <c r="P102" s="223"/>
      <c r="Q102" s="223"/>
      <c r="R102" s="223"/>
    </row>
    <row r="103">
      <c r="A103" s="223"/>
      <c r="B103" s="223"/>
      <c r="C103" s="223"/>
      <c r="D103" s="223"/>
      <c r="E103" s="223"/>
      <c r="F103" s="357"/>
      <c r="G103" s="223"/>
      <c r="H103" s="223"/>
      <c r="I103" s="223"/>
      <c r="J103" s="223"/>
      <c r="K103" s="223"/>
      <c r="L103" s="223"/>
      <c r="M103" s="223"/>
      <c r="N103" s="223"/>
      <c r="O103" s="223"/>
      <c r="P103" s="223"/>
      <c r="Q103" s="223"/>
      <c r="R103" s="223"/>
    </row>
    <row r="104">
      <c r="A104" s="223"/>
      <c r="B104" s="223"/>
      <c r="C104" s="223"/>
      <c r="D104" s="223"/>
      <c r="E104" s="223"/>
      <c r="F104" s="357"/>
      <c r="G104" s="223"/>
      <c r="H104" s="223"/>
      <c r="I104" s="223"/>
      <c r="J104" s="223"/>
      <c r="K104" s="223"/>
      <c r="L104" s="223"/>
      <c r="M104" s="223"/>
      <c r="N104" s="223"/>
      <c r="O104" s="223"/>
      <c r="P104" s="223"/>
      <c r="Q104" s="223"/>
      <c r="R104" s="223"/>
    </row>
    <row r="105">
      <c r="A105" s="223"/>
      <c r="B105" s="223"/>
      <c r="C105" s="223"/>
      <c r="D105" s="223"/>
      <c r="E105" s="223"/>
      <c r="F105" s="357"/>
      <c r="G105" s="223"/>
      <c r="H105" s="223"/>
      <c r="I105" s="223"/>
      <c r="J105" s="223"/>
      <c r="K105" s="223"/>
      <c r="L105" s="223"/>
      <c r="M105" s="223"/>
      <c r="N105" s="223"/>
      <c r="O105" s="223"/>
      <c r="P105" s="223"/>
      <c r="Q105" s="223"/>
      <c r="R105" s="223"/>
    </row>
    <row r="106">
      <c r="A106" s="223"/>
      <c r="B106" s="223"/>
      <c r="C106" s="223"/>
      <c r="D106" s="223"/>
      <c r="E106" s="223"/>
      <c r="F106" s="357"/>
      <c r="G106" s="223"/>
      <c r="H106" s="223"/>
      <c r="I106" s="223"/>
      <c r="J106" s="223"/>
      <c r="K106" s="223"/>
      <c r="L106" s="223"/>
      <c r="M106" s="223"/>
      <c r="N106" s="223"/>
      <c r="O106" s="223"/>
      <c r="P106" s="223"/>
      <c r="Q106" s="223"/>
      <c r="R106" s="223"/>
    </row>
    <row r="107">
      <c r="A107" s="223"/>
      <c r="B107" s="223"/>
      <c r="C107" s="223"/>
      <c r="D107" s="223"/>
      <c r="E107" s="223"/>
      <c r="F107" s="357"/>
      <c r="G107" s="223"/>
      <c r="H107" s="223"/>
      <c r="I107" s="223"/>
      <c r="J107" s="223"/>
      <c r="K107" s="223"/>
      <c r="L107" s="223"/>
      <c r="M107" s="223"/>
      <c r="N107" s="223"/>
      <c r="O107" s="223"/>
      <c r="P107" s="223"/>
      <c r="Q107" s="223"/>
      <c r="R107" s="223"/>
    </row>
    <row r="108">
      <c r="A108" s="223"/>
      <c r="B108" s="223"/>
      <c r="C108" s="223"/>
      <c r="D108" s="223"/>
      <c r="E108" s="223"/>
      <c r="F108" s="357"/>
      <c r="G108" s="223"/>
      <c r="H108" s="223"/>
      <c r="I108" s="223"/>
      <c r="J108" s="223"/>
      <c r="K108" s="223"/>
      <c r="L108" s="223"/>
      <c r="M108" s="223"/>
      <c r="N108" s="223"/>
      <c r="O108" s="223"/>
      <c r="P108" s="223"/>
      <c r="Q108" s="223"/>
      <c r="R108" s="223"/>
    </row>
    <row r="109">
      <c r="A109" s="223"/>
      <c r="B109" s="223"/>
      <c r="C109" s="223"/>
      <c r="D109" s="223"/>
      <c r="E109" s="223"/>
      <c r="F109" s="357"/>
      <c r="G109" s="223"/>
      <c r="H109" s="223"/>
      <c r="I109" s="223"/>
      <c r="J109" s="223"/>
      <c r="K109" s="223"/>
      <c r="L109" s="223"/>
      <c r="M109" s="223"/>
      <c r="N109" s="223"/>
      <c r="O109" s="223"/>
      <c r="P109" s="223"/>
      <c r="Q109" s="223"/>
      <c r="R109" s="223"/>
    </row>
    <row r="110">
      <c r="A110" s="223"/>
      <c r="B110" s="223"/>
      <c r="C110" s="223"/>
      <c r="D110" s="223"/>
      <c r="E110" s="223"/>
      <c r="F110" s="357"/>
      <c r="G110" s="223"/>
      <c r="H110" s="223"/>
      <c r="I110" s="223"/>
      <c r="J110" s="223"/>
      <c r="K110" s="223"/>
      <c r="L110" s="223"/>
      <c r="M110" s="223"/>
      <c r="N110" s="223"/>
      <c r="O110" s="223"/>
      <c r="P110" s="223"/>
      <c r="Q110" s="223"/>
      <c r="R110" s="223"/>
    </row>
    <row r="111">
      <c r="A111" s="223"/>
      <c r="B111" s="223"/>
      <c r="C111" s="223"/>
      <c r="D111" s="223"/>
      <c r="E111" s="223"/>
      <c r="F111" s="357"/>
      <c r="G111" s="223"/>
      <c r="H111" s="223"/>
      <c r="I111" s="223"/>
      <c r="J111" s="223"/>
      <c r="K111" s="223"/>
      <c r="L111" s="223"/>
      <c r="M111" s="223"/>
      <c r="N111" s="223"/>
      <c r="O111" s="223"/>
      <c r="P111" s="223"/>
      <c r="Q111" s="223"/>
      <c r="R111" s="223"/>
    </row>
    <row r="112">
      <c r="A112" s="223"/>
      <c r="B112" s="223"/>
      <c r="C112" s="223"/>
      <c r="D112" s="223"/>
      <c r="E112" s="223"/>
      <c r="F112" s="357"/>
      <c r="G112" s="223"/>
      <c r="H112" s="223"/>
      <c r="I112" s="223"/>
      <c r="J112" s="223"/>
      <c r="K112" s="223"/>
      <c r="L112" s="223"/>
      <c r="M112" s="223"/>
      <c r="N112" s="223"/>
      <c r="O112" s="223"/>
      <c r="P112" s="223"/>
      <c r="Q112" s="223"/>
      <c r="R112" s="223"/>
    </row>
    <row r="113">
      <c r="A113" s="223"/>
      <c r="B113" s="223"/>
      <c r="C113" s="223"/>
      <c r="D113" s="223"/>
      <c r="E113" s="223"/>
      <c r="F113" s="357"/>
      <c r="G113" s="223"/>
      <c r="H113" s="223"/>
      <c r="I113" s="223"/>
      <c r="J113" s="223"/>
      <c r="K113" s="223"/>
      <c r="L113" s="223"/>
      <c r="M113" s="223"/>
      <c r="N113" s="223"/>
      <c r="O113" s="223"/>
      <c r="P113" s="223"/>
      <c r="Q113" s="223"/>
      <c r="R113" s="223"/>
    </row>
    <row r="114">
      <c r="A114" s="223"/>
      <c r="B114" s="223"/>
      <c r="C114" s="223"/>
      <c r="D114" s="223"/>
      <c r="E114" s="223"/>
      <c r="F114" s="357"/>
      <c r="G114" s="223"/>
      <c r="H114" s="223"/>
      <c r="I114" s="223"/>
      <c r="J114" s="223"/>
      <c r="K114" s="223"/>
      <c r="L114" s="223"/>
      <c r="M114" s="223"/>
      <c r="N114" s="223"/>
      <c r="O114" s="223"/>
      <c r="P114" s="223"/>
      <c r="Q114" s="223"/>
      <c r="R114" s="223"/>
    </row>
    <row r="115">
      <c r="A115" s="223"/>
      <c r="B115" s="223"/>
      <c r="C115" s="223"/>
      <c r="D115" s="223"/>
      <c r="E115" s="223"/>
      <c r="F115" s="357"/>
      <c r="G115" s="223"/>
      <c r="H115" s="223"/>
      <c r="I115" s="223"/>
      <c r="J115" s="223"/>
      <c r="K115" s="223"/>
      <c r="L115" s="223"/>
      <c r="M115" s="223"/>
      <c r="N115" s="223"/>
      <c r="O115" s="223"/>
      <c r="P115" s="223"/>
      <c r="Q115" s="223"/>
      <c r="R115" s="223"/>
    </row>
    <row r="116">
      <c r="A116" s="223"/>
      <c r="B116" s="223"/>
      <c r="C116" s="223"/>
      <c r="D116" s="223"/>
      <c r="E116" s="223"/>
      <c r="F116" s="357"/>
      <c r="G116" s="223"/>
      <c r="H116" s="223"/>
      <c r="I116" s="223"/>
      <c r="J116" s="223"/>
      <c r="K116" s="223"/>
      <c r="L116" s="223"/>
      <c r="M116" s="223"/>
      <c r="N116" s="223"/>
      <c r="O116" s="223"/>
      <c r="P116" s="223"/>
      <c r="Q116" s="223"/>
      <c r="R116" s="223"/>
    </row>
    <row r="117">
      <c r="A117" s="223"/>
      <c r="B117" s="223"/>
      <c r="C117" s="223"/>
      <c r="D117" s="223"/>
      <c r="E117" s="223"/>
      <c r="F117" s="357"/>
      <c r="G117" s="223"/>
      <c r="H117" s="223"/>
      <c r="I117" s="223"/>
      <c r="J117" s="223"/>
      <c r="K117" s="223"/>
      <c r="L117" s="223"/>
      <c r="M117" s="223"/>
      <c r="N117" s="223"/>
      <c r="O117" s="223"/>
      <c r="P117" s="223"/>
      <c r="Q117" s="223"/>
      <c r="R117" s="223"/>
    </row>
    <row r="118">
      <c r="A118" s="223"/>
      <c r="B118" s="223"/>
      <c r="C118" s="223"/>
      <c r="D118" s="223"/>
      <c r="E118" s="223"/>
      <c r="F118" s="357"/>
      <c r="G118" s="223"/>
      <c r="H118" s="223"/>
      <c r="I118" s="223"/>
      <c r="J118" s="223"/>
      <c r="K118" s="223"/>
      <c r="L118" s="223"/>
      <c r="M118" s="223"/>
      <c r="N118" s="223"/>
      <c r="O118" s="223"/>
      <c r="P118" s="223"/>
      <c r="Q118" s="223"/>
      <c r="R118" s="223"/>
    </row>
    <row r="119">
      <c r="A119" s="223"/>
      <c r="B119" s="223"/>
      <c r="C119" s="223"/>
      <c r="D119" s="223"/>
      <c r="E119" s="223"/>
      <c r="F119" s="357"/>
      <c r="G119" s="223"/>
      <c r="H119" s="223"/>
      <c r="I119" s="223"/>
      <c r="J119" s="223"/>
      <c r="K119" s="223"/>
      <c r="L119" s="223"/>
      <c r="M119" s="223"/>
      <c r="N119" s="223"/>
      <c r="O119" s="223"/>
      <c r="P119" s="223"/>
      <c r="Q119" s="223"/>
      <c r="R119" s="223"/>
    </row>
    <row r="120">
      <c r="A120" s="223"/>
      <c r="B120" s="223"/>
      <c r="C120" s="223"/>
      <c r="D120" s="223"/>
      <c r="E120" s="223"/>
      <c r="F120" s="357"/>
      <c r="G120" s="223"/>
      <c r="H120" s="223"/>
      <c r="I120" s="223"/>
      <c r="J120" s="223"/>
      <c r="K120" s="223"/>
      <c r="L120" s="223"/>
      <c r="M120" s="223"/>
      <c r="N120" s="223"/>
      <c r="O120" s="223"/>
      <c r="P120" s="223"/>
      <c r="Q120" s="223"/>
      <c r="R120" s="223"/>
    </row>
    <row r="121">
      <c r="A121" s="223"/>
      <c r="B121" s="223"/>
      <c r="C121" s="223"/>
      <c r="D121" s="223"/>
      <c r="E121" s="223"/>
      <c r="F121" s="357"/>
      <c r="G121" s="223"/>
      <c r="H121" s="223"/>
      <c r="I121" s="223"/>
      <c r="J121" s="223"/>
      <c r="K121" s="223"/>
      <c r="L121" s="223"/>
      <c r="M121" s="223"/>
      <c r="N121" s="223"/>
      <c r="O121" s="223"/>
      <c r="P121" s="223"/>
      <c r="Q121" s="223"/>
      <c r="R121" s="223"/>
    </row>
    <row r="122">
      <c r="A122" s="223"/>
      <c r="B122" s="223"/>
      <c r="C122" s="223"/>
      <c r="D122" s="223"/>
      <c r="E122" s="223"/>
      <c r="F122" s="357"/>
      <c r="G122" s="223"/>
      <c r="H122" s="223"/>
      <c r="I122" s="223"/>
      <c r="J122" s="223"/>
      <c r="K122" s="223"/>
      <c r="L122" s="223"/>
      <c r="M122" s="223"/>
      <c r="N122" s="223"/>
      <c r="O122" s="223"/>
      <c r="P122" s="223"/>
      <c r="Q122" s="223"/>
      <c r="R122" s="223"/>
    </row>
    <row r="123">
      <c r="A123" s="223"/>
      <c r="B123" s="223"/>
      <c r="C123" s="223"/>
      <c r="D123" s="223"/>
      <c r="E123" s="223"/>
      <c r="F123" s="357"/>
      <c r="G123" s="223"/>
      <c r="H123" s="223"/>
      <c r="I123" s="223"/>
      <c r="J123" s="223"/>
      <c r="K123" s="223"/>
      <c r="L123" s="223"/>
      <c r="M123" s="223"/>
      <c r="N123" s="223"/>
      <c r="O123" s="223"/>
      <c r="P123" s="223"/>
      <c r="Q123" s="223"/>
      <c r="R123" s="223"/>
    </row>
    <row r="124">
      <c r="A124" s="223"/>
      <c r="B124" s="223"/>
      <c r="C124" s="223"/>
      <c r="D124" s="223"/>
      <c r="E124" s="223"/>
      <c r="F124" s="357"/>
      <c r="G124" s="223"/>
      <c r="H124" s="223"/>
      <c r="I124" s="223"/>
      <c r="J124" s="223"/>
      <c r="K124" s="223"/>
      <c r="L124" s="223"/>
      <c r="M124" s="223"/>
      <c r="N124" s="223"/>
      <c r="O124" s="223"/>
      <c r="P124" s="223"/>
      <c r="Q124" s="223"/>
      <c r="R124" s="223"/>
    </row>
    <row r="125">
      <c r="A125" s="223"/>
      <c r="B125" s="223"/>
      <c r="C125" s="223"/>
      <c r="D125" s="223"/>
      <c r="E125" s="223"/>
      <c r="F125" s="357"/>
      <c r="G125" s="223"/>
      <c r="H125" s="223"/>
      <c r="I125" s="223"/>
      <c r="J125" s="223"/>
      <c r="K125" s="223"/>
      <c r="L125" s="223"/>
      <c r="M125" s="223"/>
      <c r="N125" s="223"/>
      <c r="O125" s="223"/>
      <c r="P125" s="223"/>
      <c r="Q125" s="223"/>
      <c r="R125" s="223"/>
    </row>
    <row r="126">
      <c r="A126" s="223"/>
      <c r="B126" s="223"/>
      <c r="C126" s="223"/>
      <c r="D126" s="223"/>
      <c r="E126" s="223"/>
      <c r="F126" s="357"/>
      <c r="G126" s="223"/>
      <c r="H126" s="223"/>
      <c r="I126" s="223"/>
      <c r="J126" s="223"/>
      <c r="K126" s="223"/>
      <c r="L126" s="223"/>
      <c r="M126" s="223"/>
      <c r="N126" s="223"/>
      <c r="O126" s="223"/>
      <c r="P126" s="223"/>
      <c r="Q126" s="223"/>
      <c r="R126" s="223"/>
    </row>
    <row r="127">
      <c r="A127" s="223"/>
      <c r="B127" s="223"/>
      <c r="C127" s="223"/>
      <c r="D127" s="223"/>
      <c r="E127" s="223"/>
      <c r="F127" s="357"/>
      <c r="G127" s="223"/>
      <c r="H127" s="223"/>
      <c r="I127" s="223"/>
      <c r="J127" s="223"/>
      <c r="K127" s="223"/>
      <c r="L127" s="223"/>
      <c r="M127" s="223"/>
      <c r="N127" s="223"/>
      <c r="O127" s="223"/>
      <c r="P127" s="223"/>
      <c r="Q127" s="223"/>
      <c r="R127" s="223"/>
    </row>
    <row r="128">
      <c r="A128" s="223"/>
      <c r="B128" s="223"/>
      <c r="C128" s="223"/>
      <c r="D128" s="223"/>
      <c r="E128" s="223"/>
      <c r="F128" s="357"/>
      <c r="G128" s="223"/>
      <c r="H128" s="223"/>
      <c r="I128" s="223"/>
      <c r="J128" s="223"/>
      <c r="K128" s="223"/>
      <c r="L128" s="223"/>
      <c r="M128" s="223"/>
      <c r="N128" s="223"/>
      <c r="O128" s="223"/>
      <c r="P128" s="223"/>
      <c r="Q128" s="223"/>
      <c r="R128" s="223"/>
    </row>
    <row r="129">
      <c r="A129" s="223"/>
      <c r="B129" s="223"/>
      <c r="C129" s="223"/>
      <c r="D129" s="223"/>
      <c r="E129" s="223"/>
      <c r="F129" s="357"/>
      <c r="G129" s="223"/>
      <c r="H129" s="223"/>
      <c r="I129" s="223"/>
      <c r="J129" s="223"/>
      <c r="K129" s="223"/>
      <c r="L129" s="223"/>
      <c r="M129" s="223"/>
      <c r="N129" s="223"/>
      <c r="O129" s="223"/>
      <c r="P129" s="223"/>
      <c r="Q129" s="223"/>
      <c r="R129" s="223"/>
    </row>
    <row r="130">
      <c r="A130" s="223"/>
      <c r="B130" s="223"/>
      <c r="C130" s="223"/>
      <c r="D130" s="223"/>
      <c r="E130" s="223"/>
      <c r="F130" s="357"/>
      <c r="G130" s="223"/>
      <c r="H130" s="223"/>
      <c r="I130" s="223"/>
      <c r="J130" s="223"/>
      <c r="K130" s="223"/>
      <c r="L130" s="223"/>
      <c r="M130" s="223"/>
      <c r="N130" s="223"/>
      <c r="O130" s="223"/>
      <c r="P130" s="223"/>
      <c r="Q130" s="223"/>
      <c r="R130" s="223"/>
    </row>
    <row r="131">
      <c r="A131" s="223"/>
      <c r="B131" s="223"/>
      <c r="C131" s="223"/>
      <c r="D131" s="223"/>
      <c r="E131" s="223"/>
      <c r="F131" s="357"/>
      <c r="G131" s="223"/>
      <c r="H131" s="223"/>
      <c r="I131" s="223"/>
      <c r="J131" s="223"/>
      <c r="K131" s="223"/>
      <c r="L131" s="223"/>
      <c r="M131" s="223"/>
      <c r="N131" s="223"/>
      <c r="O131" s="223"/>
      <c r="P131" s="223"/>
      <c r="Q131" s="223"/>
      <c r="R131" s="223"/>
    </row>
    <row r="132">
      <c r="A132" s="223"/>
      <c r="B132" s="223"/>
      <c r="C132" s="223"/>
      <c r="D132" s="223"/>
      <c r="E132" s="223"/>
      <c r="F132" s="357"/>
      <c r="G132" s="223"/>
      <c r="H132" s="223"/>
      <c r="I132" s="223"/>
      <c r="J132" s="223"/>
      <c r="K132" s="223"/>
      <c r="L132" s="223"/>
      <c r="M132" s="223"/>
      <c r="N132" s="223"/>
      <c r="O132" s="223"/>
      <c r="P132" s="223"/>
      <c r="Q132" s="223"/>
      <c r="R132" s="223"/>
    </row>
    <row r="133">
      <c r="A133" s="223"/>
      <c r="B133" s="223"/>
      <c r="C133" s="223"/>
      <c r="D133" s="223"/>
      <c r="E133" s="223"/>
      <c r="F133" s="357"/>
      <c r="G133" s="223"/>
      <c r="H133" s="223"/>
      <c r="I133" s="223"/>
      <c r="J133" s="223"/>
      <c r="K133" s="223"/>
      <c r="L133" s="223"/>
      <c r="M133" s="223"/>
      <c r="N133" s="223"/>
      <c r="O133" s="223"/>
      <c r="P133" s="223"/>
      <c r="Q133" s="223"/>
      <c r="R133" s="223"/>
    </row>
    <row r="134">
      <c r="A134" s="223"/>
      <c r="B134" s="223"/>
      <c r="C134" s="223"/>
      <c r="D134" s="223"/>
      <c r="E134" s="223"/>
      <c r="F134" s="357"/>
      <c r="G134" s="223"/>
      <c r="H134" s="223"/>
      <c r="I134" s="223"/>
      <c r="J134" s="223"/>
      <c r="K134" s="223"/>
      <c r="L134" s="223"/>
      <c r="M134" s="223"/>
      <c r="N134" s="223"/>
      <c r="O134" s="223"/>
      <c r="P134" s="223"/>
      <c r="Q134" s="223"/>
      <c r="R134" s="223"/>
    </row>
    <row r="135">
      <c r="A135" s="223"/>
      <c r="B135" s="223"/>
      <c r="C135" s="223"/>
      <c r="D135" s="223"/>
      <c r="E135" s="223"/>
      <c r="F135" s="357"/>
      <c r="G135" s="223"/>
      <c r="H135" s="223"/>
      <c r="I135" s="223"/>
      <c r="J135" s="223"/>
      <c r="K135" s="223"/>
      <c r="L135" s="223"/>
      <c r="M135" s="223"/>
      <c r="N135" s="223"/>
      <c r="O135" s="223"/>
      <c r="P135" s="223"/>
      <c r="Q135" s="223"/>
      <c r="R135" s="223"/>
    </row>
    <row r="136">
      <c r="A136" s="223"/>
      <c r="B136" s="223"/>
      <c r="C136" s="223"/>
      <c r="D136" s="223"/>
      <c r="E136" s="223"/>
      <c r="F136" s="357"/>
      <c r="G136" s="223"/>
      <c r="H136" s="223"/>
      <c r="I136" s="223"/>
      <c r="J136" s="223"/>
      <c r="K136" s="223"/>
      <c r="L136" s="223"/>
      <c r="M136" s="223"/>
      <c r="N136" s="223"/>
      <c r="O136" s="223"/>
      <c r="P136" s="223"/>
      <c r="Q136" s="223"/>
      <c r="R136" s="223"/>
    </row>
    <row r="137">
      <c r="A137" s="223"/>
      <c r="B137" s="223"/>
      <c r="C137" s="223"/>
      <c r="D137" s="223"/>
      <c r="E137" s="223"/>
      <c r="F137" s="357"/>
      <c r="G137" s="223"/>
      <c r="H137" s="223"/>
      <c r="I137" s="223"/>
      <c r="J137" s="223"/>
      <c r="K137" s="223"/>
      <c r="L137" s="223"/>
      <c r="M137" s="223"/>
      <c r="N137" s="223"/>
      <c r="O137" s="223"/>
      <c r="P137" s="223"/>
      <c r="Q137" s="223"/>
      <c r="R137" s="223"/>
    </row>
    <row r="138">
      <c r="A138" s="223"/>
      <c r="B138" s="223"/>
      <c r="C138" s="223"/>
      <c r="D138" s="223"/>
      <c r="E138" s="223"/>
      <c r="F138" s="357"/>
      <c r="G138" s="223"/>
      <c r="H138" s="223"/>
      <c r="I138" s="223"/>
      <c r="J138" s="223"/>
      <c r="K138" s="223"/>
      <c r="L138" s="223"/>
      <c r="M138" s="223"/>
      <c r="N138" s="223"/>
      <c r="O138" s="223"/>
      <c r="P138" s="223"/>
      <c r="Q138" s="223"/>
      <c r="R138" s="223"/>
    </row>
    <row r="139">
      <c r="A139" s="223"/>
      <c r="B139" s="223"/>
      <c r="C139" s="223"/>
      <c r="D139" s="223"/>
      <c r="E139" s="223"/>
      <c r="F139" s="357"/>
      <c r="G139" s="223"/>
      <c r="H139" s="223"/>
      <c r="I139" s="223"/>
      <c r="J139" s="223"/>
      <c r="K139" s="223"/>
      <c r="L139" s="223"/>
      <c r="M139" s="223"/>
      <c r="N139" s="223"/>
      <c r="O139" s="223"/>
      <c r="P139" s="223"/>
      <c r="Q139" s="223"/>
      <c r="R139" s="223"/>
    </row>
    <row r="140">
      <c r="A140" s="223"/>
      <c r="B140" s="223"/>
      <c r="C140" s="223"/>
      <c r="D140" s="223"/>
      <c r="E140" s="223"/>
      <c r="F140" s="357"/>
      <c r="G140" s="223"/>
      <c r="H140" s="223"/>
      <c r="I140" s="223"/>
      <c r="J140" s="223"/>
      <c r="K140" s="223"/>
      <c r="L140" s="223"/>
      <c r="M140" s="223"/>
      <c r="N140" s="223"/>
      <c r="O140" s="223"/>
      <c r="P140" s="223"/>
      <c r="Q140" s="223"/>
      <c r="R140" s="223"/>
    </row>
    <row r="141">
      <c r="A141" s="223"/>
      <c r="B141" s="223"/>
      <c r="C141" s="223"/>
      <c r="D141" s="223"/>
      <c r="E141" s="223"/>
      <c r="F141" s="357"/>
      <c r="G141" s="223"/>
      <c r="H141" s="223"/>
      <c r="I141" s="223"/>
      <c r="J141" s="223"/>
      <c r="K141" s="223"/>
      <c r="L141" s="223"/>
      <c r="M141" s="223"/>
      <c r="N141" s="223"/>
      <c r="O141" s="223"/>
      <c r="P141" s="223"/>
      <c r="Q141" s="223"/>
      <c r="R141" s="223"/>
    </row>
    <row r="142">
      <c r="A142" s="223"/>
      <c r="B142" s="223"/>
      <c r="C142" s="223"/>
      <c r="D142" s="223"/>
      <c r="E142" s="223"/>
      <c r="F142" s="357"/>
      <c r="G142" s="223"/>
      <c r="H142" s="223"/>
      <c r="I142" s="223"/>
      <c r="J142" s="223"/>
      <c r="K142" s="223"/>
      <c r="L142" s="223"/>
      <c r="M142" s="223"/>
      <c r="N142" s="223"/>
      <c r="O142" s="223"/>
      <c r="P142" s="223"/>
      <c r="Q142" s="223"/>
      <c r="R142" s="223"/>
    </row>
    <row r="143">
      <c r="A143" s="223"/>
      <c r="B143" s="223"/>
      <c r="C143" s="223"/>
      <c r="D143" s="223"/>
      <c r="E143" s="223"/>
      <c r="F143" s="357"/>
      <c r="G143" s="223"/>
      <c r="H143" s="223"/>
      <c r="I143" s="223"/>
      <c r="J143" s="223"/>
      <c r="K143" s="223"/>
      <c r="L143" s="223"/>
      <c r="M143" s="223"/>
      <c r="N143" s="223"/>
      <c r="O143" s="223"/>
      <c r="P143" s="223"/>
      <c r="Q143" s="223"/>
      <c r="R143" s="223"/>
    </row>
    <row r="144">
      <c r="A144" s="223"/>
      <c r="B144" s="223"/>
      <c r="C144" s="223"/>
      <c r="D144" s="223"/>
      <c r="E144" s="223"/>
      <c r="F144" s="357"/>
      <c r="G144" s="223"/>
      <c r="H144" s="223"/>
      <c r="I144" s="223"/>
      <c r="J144" s="223"/>
      <c r="K144" s="223"/>
      <c r="L144" s="223"/>
      <c r="M144" s="223"/>
      <c r="N144" s="223"/>
      <c r="O144" s="223"/>
      <c r="P144" s="223"/>
      <c r="Q144" s="223"/>
      <c r="R144" s="223"/>
    </row>
    <row r="145">
      <c r="A145" s="223"/>
      <c r="B145" s="223"/>
      <c r="C145" s="223"/>
      <c r="D145" s="223"/>
      <c r="E145" s="223"/>
      <c r="F145" s="357"/>
      <c r="G145" s="223"/>
      <c r="H145" s="223"/>
      <c r="I145" s="223"/>
      <c r="J145" s="223"/>
      <c r="K145" s="223"/>
      <c r="L145" s="223"/>
      <c r="M145" s="223"/>
      <c r="N145" s="223"/>
      <c r="O145" s="223"/>
      <c r="P145" s="223"/>
      <c r="Q145" s="223"/>
      <c r="R145" s="223"/>
    </row>
    <row r="146">
      <c r="A146" s="223"/>
      <c r="B146" s="223"/>
      <c r="C146" s="223"/>
      <c r="D146" s="223"/>
      <c r="E146" s="223"/>
      <c r="F146" s="357"/>
      <c r="G146" s="223"/>
      <c r="H146" s="223"/>
      <c r="I146" s="223"/>
      <c r="J146" s="223"/>
      <c r="K146" s="223"/>
      <c r="L146" s="223"/>
      <c r="M146" s="223"/>
      <c r="N146" s="223"/>
      <c r="O146" s="223"/>
      <c r="P146" s="223"/>
      <c r="Q146" s="223"/>
      <c r="R146" s="223"/>
    </row>
    <row r="147">
      <c r="A147" s="223"/>
      <c r="B147" s="223"/>
      <c r="C147" s="223"/>
      <c r="D147" s="223"/>
      <c r="E147" s="223"/>
      <c r="F147" s="357"/>
      <c r="G147" s="223"/>
      <c r="H147" s="223"/>
      <c r="I147" s="223"/>
      <c r="J147" s="223"/>
      <c r="K147" s="223"/>
      <c r="L147" s="223"/>
      <c r="M147" s="223"/>
      <c r="N147" s="223"/>
      <c r="O147" s="223"/>
      <c r="P147" s="223"/>
      <c r="Q147" s="223"/>
      <c r="R147" s="223"/>
    </row>
    <row r="148">
      <c r="A148" s="223"/>
      <c r="B148" s="223"/>
      <c r="C148" s="223"/>
      <c r="D148" s="223"/>
      <c r="E148" s="223"/>
      <c r="F148" s="357"/>
      <c r="G148" s="223"/>
      <c r="H148" s="223"/>
      <c r="I148" s="223"/>
      <c r="J148" s="223"/>
      <c r="K148" s="223"/>
      <c r="L148" s="223"/>
      <c r="M148" s="223"/>
      <c r="N148" s="223"/>
      <c r="O148" s="223"/>
      <c r="P148" s="223"/>
      <c r="Q148" s="223"/>
      <c r="R148" s="223"/>
    </row>
    <row r="149">
      <c r="A149" s="223"/>
      <c r="B149" s="223"/>
      <c r="C149" s="223"/>
      <c r="D149" s="223"/>
      <c r="E149" s="223"/>
      <c r="F149" s="357"/>
      <c r="G149" s="223"/>
      <c r="H149" s="223"/>
      <c r="I149" s="223"/>
      <c r="J149" s="223"/>
      <c r="K149" s="223"/>
      <c r="L149" s="223"/>
      <c r="M149" s="223"/>
      <c r="N149" s="223"/>
      <c r="O149" s="223"/>
      <c r="P149" s="223"/>
      <c r="Q149" s="223"/>
      <c r="R149" s="223"/>
    </row>
    <row r="150">
      <c r="A150" s="223"/>
      <c r="B150" s="223"/>
      <c r="C150" s="223"/>
      <c r="D150" s="223"/>
      <c r="E150" s="223"/>
      <c r="F150" s="357"/>
      <c r="G150" s="223"/>
      <c r="H150" s="223"/>
      <c r="I150" s="223"/>
      <c r="J150" s="223"/>
      <c r="K150" s="223"/>
      <c r="L150" s="223"/>
      <c r="M150" s="223"/>
      <c r="N150" s="223"/>
      <c r="O150" s="223"/>
      <c r="P150" s="223"/>
      <c r="Q150" s="223"/>
      <c r="R150" s="223"/>
    </row>
    <row r="151">
      <c r="A151" s="223"/>
      <c r="B151" s="223"/>
      <c r="C151" s="223"/>
      <c r="D151" s="223"/>
      <c r="E151" s="223"/>
      <c r="F151" s="357"/>
      <c r="G151" s="223"/>
      <c r="H151" s="223"/>
      <c r="I151" s="223"/>
      <c r="J151" s="223"/>
      <c r="K151" s="223"/>
      <c r="L151" s="223"/>
      <c r="M151" s="223"/>
      <c r="N151" s="223"/>
      <c r="O151" s="223"/>
      <c r="P151" s="223"/>
      <c r="Q151" s="223"/>
      <c r="R151" s="223"/>
    </row>
    <row r="152">
      <c r="A152" s="223"/>
      <c r="B152" s="223"/>
      <c r="C152" s="223"/>
      <c r="D152" s="223"/>
      <c r="E152" s="223"/>
      <c r="F152" s="357"/>
      <c r="G152" s="223"/>
      <c r="H152" s="223"/>
      <c r="I152" s="223"/>
      <c r="J152" s="223"/>
      <c r="K152" s="223"/>
      <c r="L152" s="223"/>
      <c r="M152" s="223"/>
      <c r="N152" s="223"/>
      <c r="O152" s="223"/>
      <c r="P152" s="223"/>
      <c r="Q152" s="223"/>
      <c r="R152" s="223"/>
    </row>
    <row r="153">
      <c r="A153" s="223"/>
      <c r="B153" s="223"/>
      <c r="C153" s="223"/>
      <c r="D153" s="223"/>
      <c r="E153" s="223"/>
      <c r="F153" s="357"/>
      <c r="G153" s="223"/>
      <c r="H153" s="223"/>
      <c r="I153" s="223"/>
      <c r="J153" s="223"/>
      <c r="K153" s="223"/>
      <c r="L153" s="223"/>
      <c r="M153" s="223"/>
      <c r="N153" s="223"/>
      <c r="O153" s="223"/>
      <c r="P153" s="223"/>
      <c r="Q153" s="223"/>
      <c r="R153" s="223"/>
    </row>
    <row r="154">
      <c r="A154" s="223"/>
      <c r="B154" s="223"/>
      <c r="C154" s="223"/>
      <c r="D154" s="223"/>
      <c r="E154" s="223"/>
      <c r="F154" s="357"/>
      <c r="G154" s="223"/>
      <c r="H154" s="223"/>
      <c r="I154" s="223"/>
      <c r="J154" s="223"/>
      <c r="K154" s="223"/>
      <c r="L154" s="223"/>
      <c r="M154" s="223"/>
      <c r="N154" s="223"/>
      <c r="O154" s="223"/>
      <c r="P154" s="223"/>
      <c r="Q154" s="223"/>
      <c r="R154" s="223"/>
    </row>
    <row r="155">
      <c r="A155" s="223"/>
      <c r="B155" s="223"/>
      <c r="C155" s="223"/>
      <c r="D155" s="223"/>
      <c r="E155" s="223"/>
      <c r="F155" s="357"/>
      <c r="G155" s="223"/>
      <c r="H155" s="223"/>
      <c r="I155" s="223"/>
      <c r="J155" s="223"/>
      <c r="K155" s="223"/>
      <c r="L155" s="223"/>
      <c r="M155" s="223"/>
      <c r="N155" s="223"/>
      <c r="O155" s="223"/>
      <c r="P155" s="223"/>
      <c r="Q155" s="223"/>
      <c r="R155" s="223"/>
    </row>
    <row r="156">
      <c r="A156" s="223"/>
      <c r="B156" s="223"/>
      <c r="C156" s="223"/>
      <c r="D156" s="223"/>
      <c r="E156" s="223"/>
      <c r="F156" s="357"/>
      <c r="G156" s="223"/>
      <c r="H156" s="223"/>
      <c r="I156" s="223"/>
      <c r="J156" s="223"/>
      <c r="K156" s="223"/>
      <c r="L156" s="223"/>
      <c r="M156" s="223"/>
      <c r="N156" s="223"/>
      <c r="O156" s="223"/>
      <c r="P156" s="223"/>
      <c r="Q156" s="223"/>
      <c r="R156" s="223"/>
    </row>
    <row r="157">
      <c r="A157" s="223"/>
      <c r="B157" s="223"/>
      <c r="C157" s="223"/>
      <c r="D157" s="223"/>
      <c r="E157" s="223"/>
      <c r="F157" s="357"/>
      <c r="G157" s="223"/>
      <c r="H157" s="223"/>
      <c r="I157" s="223"/>
      <c r="J157" s="223"/>
      <c r="K157" s="223"/>
      <c r="L157" s="223"/>
      <c r="M157" s="223"/>
      <c r="N157" s="223"/>
      <c r="O157" s="223"/>
      <c r="P157" s="223"/>
      <c r="Q157" s="223"/>
      <c r="R157" s="223"/>
    </row>
    <row r="158">
      <c r="A158" s="223"/>
      <c r="B158" s="223"/>
      <c r="C158" s="223"/>
      <c r="D158" s="223"/>
      <c r="E158" s="223"/>
      <c r="F158" s="357"/>
      <c r="G158" s="223"/>
      <c r="H158" s="223"/>
      <c r="I158" s="223"/>
      <c r="J158" s="223"/>
      <c r="K158" s="223"/>
      <c r="L158" s="223"/>
      <c r="M158" s="223"/>
      <c r="N158" s="223"/>
      <c r="O158" s="223"/>
      <c r="P158" s="223"/>
      <c r="Q158" s="223"/>
      <c r="R158" s="223"/>
    </row>
    <row r="159">
      <c r="A159" s="223"/>
      <c r="B159" s="223"/>
      <c r="C159" s="223"/>
      <c r="D159" s="223"/>
      <c r="E159" s="223"/>
      <c r="F159" s="357"/>
      <c r="G159" s="223"/>
      <c r="H159" s="223"/>
      <c r="I159" s="223"/>
      <c r="J159" s="223"/>
      <c r="K159" s="223"/>
      <c r="L159" s="223"/>
      <c r="M159" s="223"/>
      <c r="N159" s="223"/>
      <c r="O159" s="223"/>
      <c r="P159" s="223"/>
      <c r="Q159" s="223"/>
      <c r="R159" s="223"/>
    </row>
    <row r="160">
      <c r="A160" s="223"/>
      <c r="B160" s="223"/>
      <c r="C160" s="223"/>
      <c r="D160" s="223"/>
      <c r="E160" s="223"/>
      <c r="F160" s="357"/>
      <c r="G160" s="223"/>
      <c r="H160" s="223"/>
      <c r="I160" s="223"/>
      <c r="J160" s="223"/>
      <c r="K160" s="223"/>
      <c r="L160" s="223"/>
      <c r="M160" s="223"/>
      <c r="N160" s="223"/>
      <c r="O160" s="223"/>
      <c r="P160" s="223"/>
      <c r="Q160" s="223"/>
      <c r="R160" s="223"/>
    </row>
    <row r="161">
      <c r="A161" s="223"/>
      <c r="B161" s="223"/>
      <c r="C161" s="223"/>
      <c r="D161" s="223"/>
      <c r="E161" s="223"/>
      <c r="F161" s="357"/>
      <c r="G161" s="223"/>
      <c r="H161" s="223"/>
      <c r="I161" s="223"/>
      <c r="J161" s="223"/>
      <c r="K161" s="223"/>
      <c r="L161" s="223"/>
      <c r="M161" s="223"/>
      <c r="N161" s="223"/>
      <c r="O161" s="223"/>
      <c r="P161" s="223"/>
      <c r="Q161" s="223"/>
      <c r="R161" s="223"/>
    </row>
    <row r="162">
      <c r="A162" s="223"/>
      <c r="B162" s="223"/>
      <c r="C162" s="223"/>
      <c r="D162" s="223"/>
      <c r="E162" s="223"/>
      <c r="F162" s="357"/>
      <c r="G162" s="223"/>
      <c r="H162" s="223"/>
      <c r="I162" s="223"/>
      <c r="J162" s="223"/>
      <c r="K162" s="223"/>
      <c r="L162" s="223"/>
      <c r="M162" s="223"/>
      <c r="N162" s="223"/>
      <c r="O162" s="223"/>
      <c r="P162" s="223"/>
      <c r="Q162" s="223"/>
      <c r="R162" s="223"/>
    </row>
    <row r="163">
      <c r="A163" s="223"/>
      <c r="B163" s="223"/>
      <c r="C163" s="223"/>
      <c r="D163" s="223"/>
      <c r="E163" s="223"/>
      <c r="F163" s="357"/>
      <c r="G163" s="223"/>
      <c r="H163" s="223"/>
      <c r="I163" s="223"/>
      <c r="J163" s="223"/>
      <c r="K163" s="223"/>
      <c r="L163" s="223"/>
      <c r="M163" s="223"/>
      <c r="N163" s="223"/>
      <c r="O163" s="223"/>
      <c r="P163" s="223"/>
      <c r="Q163" s="223"/>
      <c r="R163" s="223"/>
    </row>
    <row r="164">
      <c r="A164" s="223"/>
      <c r="B164" s="223"/>
      <c r="C164" s="223"/>
      <c r="D164" s="223"/>
      <c r="E164" s="223"/>
      <c r="F164" s="357"/>
      <c r="G164" s="223"/>
      <c r="H164" s="223"/>
      <c r="I164" s="223"/>
      <c r="J164" s="223"/>
      <c r="K164" s="223"/>
      <c r="L164" s="223"/>
      <c r="M164" s="223"/>
      <c r="N164" s="223"/>
      <c r="O164" s="223"/>
      <c r="P164" s="223"/>
      <c r="Q164" s="223"/>
      <c r="R164" s="223"/>
    </row>
    <row r="165">
      <c r="A165" s="223"/>
      <c r="B165" s="223"/>
      <c r="C165" s="223"/>
      <c r="D165" s="223"/>
      <c r="E165" s="223"/>
      <c r="F165" s="357"/>
      <c r="G165" s="223"/>
      <c r="H165" s="223"/>
      <c r="I165" s="223"/>
      <c r="J165" s="223"/>
      <c r="K165" s="223"/>
      <c r="L165" s="223"/>
      <c r="M165" s="223"/>
      <c r="N165" s="223"/>
      <c r="O165" s="223"/>
      <c r="P165" s="223"/>
      <c r="Q165" s="223"/>
      <c r="R165" s="223"/>
    </row>
    <row r="166">
      <c r="A166" s="223"/>
      <c r="B166" s="223"/>
      <c r="C166" s="223"/>
      <c r="D166" s="223"/>
      <c r="E166" s="223"/>
      <c r="F166" s="357"/>
      <c r="G166" s="223"/>
      <c r="H166" s="223"/>
      <c r="I166" s="223"/>
      <c r="J166" s="223"/>
      <c r="K166" s="223"/>
      <c r="L166" s="223"/>
      <c r="M166" s="223"/>
      <c r="N166" s="223"/>
      <c r="O166" s="223"/>
      <c r="P166" s="223"/>
      <c r="Q166" s="223"/>
      <c r="R166" s="223"/>
    </row>
    <row r="167">
      <c r="A167" s="223"/>
      <c r="B167" s="223"/>
      <c r="C167" s="223"/>
      <c r="D167" s="223"/>
      <c r="E167" s="223"/>
      <c r="F167" s="357"/>
      <c r="G167" s="223"/>
      <c r="H167" s="223"/>
      <c r="I167" s="223"/>
      <c r="J167" s="223"/>
      <c r="K167" s="223"/>
      <c r="L167" s="223"/>
      <c r="M167" s="223"/>
      <c r="N167" s="223"/>
      <c r="O167" s="223"/>
      <c r="P167" s="223"/>
      <c r="Q167" s="223"/>
      <c r="R167" s="223"/>
    </row>
    <row r="168">
      <c r="A168" s="223"/>
      <c r="B168" s="223"/>
      <c r="C168" s="223"/>
      <c r="D168" s="223"/>
      <c r="E168" s="223"/>
      <c r="F168" s="357"/>
      <c r="G168" s="223"/>
      <c r="H168" s="223"/>
      <c r="I168" s="223"/>
      <c r="J168" s="223"/>
      <c r="K168" s="223"/>
      <c r="L168" s="223"/>
      <c r="M168" s="223"/>
      <c r="N168" s="223"/>
      <c r="O168" s="223"/>
      <c r="P168" s="223"/>
      <c r="Q168" s="223"/>
      <c r="R168" s="223"/>
    </row>
    <row r="169">
      <c r="A169" s="223"/>
      <c r="B169" s="223"/>
      <c r="C169" s="223"/>
      <c r="D169" s="223"/>
      <c r="E169" s="223"/>
      <c r="F169" s="357"/>
      <c r="G169" s="223"/>
      <c r="H169" s="223"/>
      <c r="I169" s="223"/>
      <c r="J169" s="223"/>
      <c r="K169" s="223"/>
      <c r="L169" s="223"/>
      <c r="M169" s="223"/>
      <c r="N169" s="223"/>
      <c r="O169" s="223"/>
      <c r="P169" s="223"/>
      <c r="Q169" s="223"/>
      <c r="R169" s="223"/>
    </row>
    <row r="170">
      <c r="A170" s="223"/>
      <c r="B170" s="223"/>
      <c r="C170" s="223"/>
      <c r="D170" s="223"/>
      <c r="E170" s="223"/>
      <c r="F170" s="357"/>
      <c r="G170" s="223"/>
      <c r="H170" s="223"/>
      <c r="I170" s="223"/>
      <c r="J170" s="223"/>
      <c r="K170" s="223"/>
      <c r="L170" s="223"/>
      <c r="M170" s="223"/>
      <c r="N170" s="223"/>
      <c r="O170" s="223"/>
      <c r="P170" s="223"/>
      <c r="Q170" s="223"/>
      <c r="R170" s="223"/>
    </row>
    <row r="171">
      <c r="A171" s="223"/>
      <c r="B171" s="223"/>
      <c r="C171" s="223"/>
      <c r="D171" s="223"/>
      <c r="E171" s="223"/>
      <c r="F171" s="357"/>
      <c r="G171" s="223"/>
      <c r="H171" s="223"/>
      <c r="I171" s="223"/>
      <c r="J171" s="223"/>
      <c r="K171" s="223"/>
      <c r="L171" s="223"/>
      <c r="M171" s="223"/>
      <c r="N171" s="223"/>
      <c r="O171" s="223"/>
      <c r="P171" s="223"/>
      <c r="Q171" s="223"/>
      <c r="R171" s="223"/>
    </row>
    <row r="172">
      <c r="A172" s="223"/>
      <c r="B172" s="223"/>
      <c r="C172" s="223"/>
      <c r="D172" s="223"/>
      <c r="E172" s="223"/>
      <c r="F172" s="357"/>
      <c r="G172" s="223"/>
      <c r="H172" s="223"/>
      <c r="I172" s="223"/>
      <c r="J172" s="223"/>
      <c r="K172" s="223"/>
      <c r="L172" s="223"/>
      <c r="M172" s="223"/>
      <c r="N172" s="223"/>
      <c r="O172" s="223"/>
      <c r="P172" s="223"/>
      <c r="Q172" s="223"/>
      <c r="R172" s="223"/>
    </row>
    <row r="173">
      <c r="A173" s="223"/>
      <c r="B173" s="223"/>
      <c r="C173" s="223"/>
      <c r="D173" s="223"/>
      <c r="E173" s="223"/>
      <c r="F173" s="357"/>
      <c r="G173" s="223"/>
      <c r="H173" s="223"/>
      <c r="I173" s="223"/>
      <c r="J173" s="223"/>
      <c r="K173" s="223"/>
      <c r="L173" s="223"/>
      <c r="M173" s="223"/>
      <c r="N173" s="223"/>
      <c r="O173" s="223"/>
      <c r="P173" s="223"/>
      <c r="Q173" s="223"/>
      <c r="R173" s="223"/>
    </row>
    <row r="174">
      <c r="A174" s="223"/>
      <c r="B174" s="223"/>
      <c r="C174" s="223"/>
      <c r="D174" s="223"/>
      <c r="E174" s="223"/>
      <c r="F174" s="357"/>
      <c r="G174" s="223"/>
      <c r="H174" s="223"/>
      <c r="I174" s="223"/>
      <c r="J174" s="223"/>
      <c r="K174" s="223"/>
      <c r="L174" s="223"/>
      <c r="M174" s="223"/>
      <c r="N174" s="223"/>
      <c r="O174" s="223"/>
      <c r="P174" s="223"/>
      <c r="Q174" s="223"/>
      <c r="R174" s="223"/>
    </row>
    <row r="175">
      <c r="A175" s="223"/>
      <c r="B175" s="223"/>
      <c r="C175" s="223"/>
      <c r="D175" s="223"/>
      <c r="E175" s="223"/>
      <c r="F175" s="357"/>
      <c r="G175" s="223"/>
      <c r="H175" s="223"/>
      <c r="I175" s="223"/>
      <c r="J175" s="223"/>
      <c r="K175" s="223"/>
      <c r="L175" s="223"/>
      <c r="M175" s="223"/>
      <c r="N175" s="223"/>
      <c r="O175" s="223"/>
      <c r="P175" s="223"/>
      <c r="Q175" s="223"/>
      <c r="R175" s="223"/>
    </row>
    <row r="176">
      <c r="A176" s="223"/>
      <c r="B176" s="223"/>
      <c r="C176" s="223"/>
      <c r="D176" s="223"/>
      <c r="E176" s="223"/>
      <c r="F176" s="357"/>
      <c r="G176" s="223"/>
      <c r="H176" s="223"/>
      <c r="I176" s="223"/>
      <c r="J176" s="223"/>
      <c r="K176" s="223"/>
      <c r="L176" s="223"/>
      <c r="M176" s="223"/>
      <c r="N176" s="223"/>
      <c r="O176" s="223"/>
      <c r="P176" s="223"/>
      <c r="Q176" s="223"/>
      <c r="R176" s="223"/>
    </row>
    <row r="177">
      <c r="A177" s="223"/>
      <c r="B177" s="223"/>
      <c r="C177" s="223"/>
      <c r="D177" s="223"/>
      <c r="E177" s="223"/>
      <c r="F177" s="357"/>
      <c r="G177" s="223"/>
      <c r="H177" s="223"/>
      <c r="I177" s="223"/>
      <c r="J177" s="223"/>
      <c r="K177" s="223"/>
      <c r="L177" s="223"/>
      <c r="M177" s="223"/>
      <c r="N177" s="223"/>
      <c r="O177" s="223"/>
      <c r="P177" s="223"/>
      <c r="Q177" s="223"/>
      <c r="R177" s="223"/>
    </row>
    <row r="178">
      <c r="A178" s="223"/>
      <c r="B178" s="223"/>
      <c r="C178" s="223"/>
      <c r="D178" s="223"/>
      <c r="E178" s="223"/>
      <c r="F178" s="357"/>
      <c r="G178" s="223"/>
      <c r="H178" s="223"/>
      <c r="I178" s="223"/>
      <c r="J178" s="223"/>
      <c r="K178" s="223"/>
      <c r="L178" s="223"/>
      <c r="M178" s="223"/>
      <c r="N178" s="223"/>
      <c r="O178" s="223"/>
      <c r="P178" s="223"/>
      <c r="Q178" s="223"/>
      <c r="R178" s="223"/>
    </row>
    <row r="179">
      <c r="A179" s="223"/>
      <c r="B179" s="223"/>
      <c r="C179" s="223"/>
      <c r="D179" s="223"/>
      <c r="E179" s="223"/>
      <c r="F179" s="357"/>
      <c r="G179" s="223"/>
      <c r="H179" s="223"/>
      <c r="I179" s="223"/>
      <c r="J179" s="223"/>
      <c r="K179" s="223"/>
      <c r="L179" s="223"/>
      <c r="M179" s="223"/>
      <c r="N179" s="223"/>
      <c r="O179" s="223"/>
      <c r="P179" s="223"/>
      <c r="Q179" s="223"/>
      <c r="R179" s="223"/>
    </row>
    <row r="180">
      <c r="A180" s="223"/>
      <c r="B180" s="223"/>
      <c r="C180" s="223"/>
      <c r="D180" s="223"/>
      <c r="E180" s="223"/>
      <c r="F180" s="357"/>
      <c r="G180" s="223"/>
      <c r="H180" s="223"/>
      <c r="I180" s="223"/>
      <c r="J180" s="223"/>
      <c r="K180" s="223"/>
      <c r="L180" s="223"/>
      <c r="M180" s="223"/>
      <c r="N180" s="223"/>
      <c r="O180" s="223"/>
      <c r="P180" s="223"/>
      <c r="Q180" s="223"/>
      <c r="R180" s="223"/>
    </row>
    <row r="181">
      <c r="A181" s="223"/>
      <c r="B181" s="223"/>
      <c r="C181" s="223"/>
      <c r="D181" s="223"/>
      <c r="E181" s="223"/>
      <c r="F181" s="357"/>
      <c r="G181" s="223"/>
      <c r="H181" s="223"/>
      <c r="I181" s="223"/>
      <c r="J181" s="223"/>
      <c r="K181" s="223"/>
      <c r="L181" s="223"/>
      <c r="M181" s="223"/>
      <c r="N181" s="223"/>
      <c r="O181" s="223"/>
      <c r="P181" s="223"/>
      <c r="Q181" s="223"/>
      <c r="R181" s="223"/>
    </row>
    <row r="182">
      <c r="A182" s="223"/>
      <c r="B182" s="223"/>
      <c r="C182" s="223"/>
      <c r="D182" s="223"/>
      <c r="E182" s="223"/>
      <c r="F182" s="357"/>
      <c r="G182" s="223"/>
      <c r="H182" s="223"/>
      <c r="I182" s="223"/>
      <c r="J182" s="223"/>
      <c r="K182" s="223"/>
      <c r="L182" s="223"/>
      <c r="M182" s="223"/>
      <c r="N182" s="223"/>
      <c r="O182" s="223"/>
      <c r="P182" s="223"/>
      <c r="Q182" s="223"/>
      <c r="R182" s="223"/>
    </row>
    <row r="183">
      <c r="A183" s="223"/>
      <c r="B183" s="223"/>
      <c r="C183" s="223"/>
      <c r="D183" s="223"/>
      <c r="E183" s="223"/>
      <c r="F183" s="357"/>
      <c r="G183" s="223"/>
      <c r="H183" s="223"/>
      <c r="I183" s="223"/>
      <c r="J183" s="223"/>
      <c r="K183" s="223"/>
      <c r="L183" s="223"/>
      <c r="M183" s="223"/>
      <c r="N183" s="223"/>
      <c r="O183" s="223"/>
      <c r="P183" s="223"/>
      <c r="Q183" s="223"/>
      <c r="R183" s="223"/>
    </row>
    <row r="184">
      <c r="A184" s="223"/>
      <c r="B184" s="223"/>
      <c r="C184" s="223"/>
      <c r="D184" s="223"/>
      <c r="E184" s="223"/>
      <c r="F184" s="357"/>
      <c r="G184" s="223"/>
      <c r="H184" s="223"/>
      <c r="I184" s="223"/>
      <c r="J184" s="223"/>
      <c r="K184" s="223"/>
      <c r="L184" s="223"/>
      <c r="M184" s="223"/>
      <c r="N184" s="223"/>
      <c r="O184" s="223"/>
      <c r="P184" s="223"/>
      <c r="Q184" s="223"/>
      <c r="R184" s="223"/>
    </row>
    <row r="185">
      <c r="A185" s="223"/>
      <c r="B185" s="223"/>
      <c r="C185" s="223"/>
      <c r="D185" s="223"/>
      <c r="E185" s="223"/>
      <c r="F185" s="357"/>
      <c r="G185" s="223"/>
      <c r="H185" s="223"/>
      <c r="I185" s="223"/>
      <c r="J185" s="223"/>
      <c r="K185" s="223"/>
      <c r="L185" s="223"/>
      <c r="M185" s="223"/>
      <c r="N185" s="223"/>
      <c r="O185" s="223"/>
      <c r="P185" s="223"/>
      <c r="Q185" s="223"/>
      <c r="R185" s="223"/>
    </row>
    <row r="186">
      <c r="A186" s="223"/>
      <c r="B186" s="223"/>
      <c r="C186" s="223"/>
      <c r="D186" s="223"/>
      <c r="E186" s="223"/>
      <c r="F186" s="357"/>
      <c r="G186" s="223"/>
      <c r="H186" s="223"/>
      <c r="I186" s="223"/>
      <c r="J186" s="223"/>
      <c r="K186" s="223"/>
      <c r="L186" s="223"/>
      <c r="M186" s="223"/>
      <c r="N186" s="223"/>
      <c r="O186" s="223"/>
      <c r="P186" s="223"/>
      <c r="Q186" s="223"/>
      <c r="R186" s="223"/>
    </row>
    <row r="187">
      <c r="A187" s="223"/>
      <c r="B187" s="223"/>
      <c r="C187" s="223"/>
      <c r="D187" s="223"/>
      <c r="E187" s="223"/>
      <c r="F187" s="357"/>
      <c r="G187" s="223"/>
      <c r="H187" s="223"/>
      <c r="I187" s="223"/>
      <c r="J187" s="223"/>
      <c r="K187" s="223"/>
      <c r="L187" s="223"/>
      <c r="M187" s="223"/>
      <c r="N187" s="223"/>
      <c r="O187" s="223"/>
      <c r="P187" s="223"/>
      <c r="Q187" s="223"/>
      <c r="R187" s="223"/>
    </row>
    <row r="188">
      <c r="A188" s="223"/>
      <c r="B188" s="223"/>
      <c r="C188" s="223"/>
      <c r="D188" s="223"/>
      <c r="E188" s="223"/>
      <c r="F188" s="357"/>
      <c r="G188" s="223"/>
      <c r="H188" s="223"/>
      <c r="I188" s="223"/>
      <c r="J188" s="223"/>
      <c r="K188" s="223"/>
      <c r="L188" s="223"/>
      <c r="M188" s="223"/>
      <c r="N188" s="223"/>
      <c r="O188" s="223"/>
      <c r="P188" s="223"/>
      <c r="Q188" s="223"/>
      <c r="R188" s="223"/>
    </row>
    <row r="189">
      <c r="A189" s="223"/>
      <c r="B189" s="223"/>
      <c r="C189" s="223"/>
      <c r="D189" s="223"/>
      <c r="E189" s="223"/>
      <c r="F189" s="357"/>
      <c r="G189" s="223"/>
      <c r="H189" s="223"/>
      <c r="I189" s="223"/>
      <c r="J189" s="223"/>
      <c r="K189" s="223"/>
      <c r="L189" s="223"/>
      <c r="M189" s="223"/>
      <c r="N189" s="223"/>
      <c r="O189" s="223"/>
      <c r="P189" s="223"/>
      <c r="Q189" s="223"/>
      <c r="R189" s="223"/>
    </row>
    <row r="190">
      <c r="A190" s="223"/>
      <c r="B190" s="223"/>
      <c r="C190" s="223"/>
      <c r="D190" s="223"/>
      <c r="E190" s="223"/>
      <c r="F190" s="357"/>
      <c r="G190" s="223"/>
      <c r="H190" s="223"/>
      <c r="I190" s="223"/>
      <c r="J190" s="223"/>
      <c r="K190" s="223"/>
      <c r="L190" s="223"/>
      <c r="M190" s="223"/>
      <c r="N190" s="223"/>
      <c r="O190" s="223"/>
      <c r="P190" s="223"/>
      <c r="Q190" s="223"/>
      <c r="R190" s="223"/>
    </row>
    <row r="191">
      <c r="A191" s="223"/>
      <c r="B191" s="223"/>
      <c r="C191" s="223"/>
      <c r="D191" s="223"/>
      <c r="E191" s="223"/>
      <c r="F191" s="357"/>
      <c r="G191" s="223"/>
      <c r="H191" s="223"/>
      <c r="I191" s="223"/>
      <c r="J191" s="223"/>
      <c r="K191" s="223"/>
      <c r="L191" s="223"/>
      <c r="M191" s="223"/>
      <c r="N191" s="223"/>
      <c r="O191" s="223"/>
      <c r="P191" s="223"/>
      <c r="Q191" s="223"/>
      <c r="R191" s="223"/>
    </row>
    <row r="192">
      <c r="A192" s="223"/>
      <c r="B192" s="223"/>
      <c r="C192" s="223"/>
      <c r="D192" s="223"/>
      <c r="E192" s="223"/>
      <c r="F192" s="357"/>
      <c r="G192" s="223"/>
      <c r="H192" s="223"/>
      <c r="I192" s="223"/>
      <c r="J192" s="223"/>
      <c r="K192" s="223"/>
      <c r="L192" s="223"/>
      <c r="M192" s="223"/>
      <c r="N192" s="223"/>
      <c r="O192" s="223"/>
      <c r="P192" s="223"/>
      <c r="Q192" s="223"/>
      <c r="R192" s="223"/>
    </row>
    <row r="193">
      <c r="A193" s="223"/>
      <c r="B193" s="223"/>
      <c r="C193" s="223"/>
      <c r="D193" s="223"/>
      <c r="E193" s="223"/>
      <c r="F193" s="357"/>
      <c r="G193" s="223"/>
      <c r="H193" s="223"/>
      <c r="I193" s="223"/>
      <c r="J193" s="223"/>
      <c r="K193" s="223"/>
      <c r="L193" s="223"/>
      <c r="M193" s="223"/>
      <c r="N193" s="223"/>
      <c r="O193" s="223"/>
      <c r="P193" s="223"/>
      <c r="Q193" s="223"/>
      <c r="R193" s="223"/>
    </row>
    <row r="194">
      <c r="A194" s="223"/>
      <c r="B194" s="223"/>
      <c r="C194" s="223"/>
      <c r="D194" s="223"/>
      <c r="E194" s="223"/>
      <c r="F194" s="357"/>
      <c r="G194" s="223"/>
      <c r="H194" s="223"/>
      <c r="I194" s="223"/>
      <c r="J194" s="223"/>
      <c r="K194" s="223"/>
      <c r="L194" s="223"/>
      <c r="M194" s="223"/>
      <c r="N194" s="223"/>
      <c r="O194" s="223"/>
      <c r="P194" s="223"/>
      <c r="Q194" s="223"/>
      <c r="R194" s="223"/>
    </row>
    <row r="195">
      <c r="A195" s="223"/>
      <c r="B195" s="223"/>
      <c r="C195" s="223"/>
      <c r="D195" s="223"/>
      <c r="E195" s="223"/>
      <c r="F195" s="357"/>
      <c r="G195" s="223"/>
      <c r="H195" s="223"/>
      <c r="I195" s="223"/>
      <c r="J195" s="223"/>
      <c r="K195" s="223"/>
      <c r="L195" s="223"/>
      <c r="M195" s="223"/>
      <c r="N195" s="223"/>
      <c r="O195" s="223"/>
      <c r="P195" s="223"/>
      <c r="Q195" s="223"/>
      <c r="R195" s="223"/>
    </row>
    <row r="196">
      <c r="A196" s="223"/>
      <c r="B196" s="223"/>
      <c r="C196" s="223"/>
      <c r="D196" s="223"/>
      <c r="E196" s="223"/>
      <c r="F196" s="357"/>
      <c r="G196" s="223"/>
      <c r="H196" s="223"/>
      <c r="I196" s="223"/>
      <c r="J196" s="223"/>
      <c r="K196" s="223"/>
      <c r="L196" s="223"/>
      <c r="M196" s="223"/>
      <c r="N196" s="223"/>
      <c r="O196" s="223"/>
      <c r="P196" s="223"/>
      <c r="Q196" s="223"/>
      <c r="R196" s="223"/>
    </row>
    <row r="197">
      <c r="A197" s="223"/>
      <c r="B197" s="223"/>
      <c r="C197" s="223"/>
      <c r="D197" s="223"/>
      <c r="E197" s="223"/>
      <c r="F197" s="357"/>
      <c r="G197" s="223"/>
      <c r="H197" s="223"/>
      <c r="I197" s="223"/>
      <c r="J197" s="223"/>
      <c r="K197" s="223"/>
      <c r="L197" s="223"/>
      <c r="M197" s="223"/>
      <c r="N197" s="223"/>
      <c r="O197" s="223"/>
      <c r="P197" s="223"/>
      <c r="Q197" s="223"/>
      <c r="R197" s="223"/>
    </row>
    <row r="198">
      <c r="A198" s="223"/>
      <c r="B198" s="223"/>
      <c r="C198" s="223"/>
      <c r="D198" s="223"/>
      <c r="E198" s="223"/>
      <c r="F198" s="357"/>
      <c r="G198" s="223"/>
      <c r="H198" s="223"/>
      <c r="I198" s="223"/>
      <c r="J198" s="223"/>
      <c r="K198" s="223"/>
      <c r="L198" s="223"/>
      <c r="M198" s="223"/>
      <c r="N198" s="223"/>
      <c r="O198" s="223"/>
      <c r="P198" s="223"/>
      <c r="Q198" s="223"/>
      <c r="R198" s="223"/>
    </row>
    <row r="199">
      <c r="A199" s="223"/>
      <c r="B199" s="223"/>
      <c r="C199" s="223"/>
      <c r="D199" s="223"/>
      <c r="E199" s="223"/>
      <c r="F199" s="357"/>
      <c r="G199" s="223"/>
      <c r="H199" s="223"/>
      <c r="I199" s="223"/>
      <c r="J199" s="223"/>
      <c r="K199" s="223"/>
      <c r="L199" s="223"/>
      <c r="M199" s="223"/>
      <c r="N199" s="223"/>
      <c r="O199" s="223"/>
      <c r="P199" s="223"/>
      <c r="Q199" s="223"/>
      <c r="R199" s="223"/>
    </row>
    <row r="200">
      <c r="A200" s="223"/>
      <c r="B200" s="223"/>
      <c r="C200" s="223"/>
      <c r="D200" s="223"/>
      <c r="E200" s="223"/>
      <c r="F200" s="357"/>
      <c r="G200" s="223"/>
      <c r="H200" s="223"/>
      <c r="I200" s="223"/>
      <c r="J200" s="223"/>
      <c r="K200" s="223"/>
      <c r="L200" s="223"/>
      <c r="M200" s="223"/>
      <c r="N200" s="223"/>
      <c r="O200" s="223"/>
      <c r="P200" s="223"/>
      <c r="Q200" s="223"/>
      <c r="R200" s="223"/>
    </row>
    <row r="201">
      <c r="A201" s="223"/>
      <c r="B201" s="223"/>
      <c r="C201" s="223"/>
      <c r="D201" s="223"/>
      <c r="E201" s="223"/>
      <c r="F201" s="357"/>
      <c r="G201" s="223"/>
      <c r="H201" s="223"/>
      <c r="I201" s="223"/>
      <c r="J201" s="223"/>
      <c r="K201" s="223"/>
      <c r="L201" s="223"/>
      <c r="M201" s="223"/>
      <c r="N201" s="223"/>
      <c r="O201" s="223"/>
      <c r="P201" s="223"/>
      <c r="Q201" s="223"/>
      <c r="R201" s="223"/>
    </row>
    <row r="202">
      <c r="A202" s="223"/>
      <c r="B202" s="223"/>
      <c r="C202" s="223"/>
      <c r="D202" s="223"/>
      <c r="E202" s="223"/>
      <c r="F202" s="357"/>
      <c r="G202" s="223"/>
      <c r="H202" s="223"/>
      <c r="I202" s="223"/>
      <c r="J202" s="223"/>
      <c r="K202" s="223"/>
      <c r="L202" s="223"/>
      <c r="M202" s="223"/>
      <c r="N202" s="223"/>
      <c r="O202" s="223"/>
      <c r="P202" s="223"/>
      <c r="Q202" s="223"/>
      <c r="R202" s="223"/>
    </row>
    <row r="203">
      <c r="A203" s="223"/>
      <c r="B203" s="223"/>
      <c r="C203" s="223"/>
      <c r="D203" s="223"/>
      <c r="E203" s="223"/>
      <c r="F203" s="357"/>
      <c r="G203" s="223"/>
      <c r="H203" s="223"/>
      <c r="I203" s="223"/>
      <c r="J203" s="223"/>
      <c r="K203" s="223"/>
      <c r="L203" s="223"/>
      <c r="M203" s="223"/>
      <c r="N203" s="223"/>
      <c r="O203" s="223"/>
      <c r="P203" s="223"/>
      <c r="Q203" s="223"/>
      <c r="R203" s="223"/>
    </row>
    <row r="204">
      <c r="A204" s="223"/>
      <c r="B204" s="223"/>
      <c r="C204" s="223"/>
      <c r="D204" s="223"/>
      <c r="E204" s="223"/>
      <c r="F204" s="357"/>
      <c r="G204" s="223"/>
      <c r="H204" s="223"/>
      <c r="I204" s="223"/>
      <c r="J204" s="223"/>
      <c r="K204" s="223"/>
      <c r="L204" s="223"/>
      <c r="M204" s="223"/>
      <c r="N204" s="223"/>
      <c r="O204" s="223"/>
      <c r="P204" s="223"/>
      <c r="Q204" s="223"/>
      <c r="R204" s="223"/>
    </row>
    <row r="205">
      <c r="A205" s="223"/>
      <c r="B205" s="223"/>
      <c r="C205" s="223"/>
      <c r="D205" s="223"/>
      <c r="E205" s="223"/>
      <c r="F205" s="357"/>
      <c r="G205" s="223"/>
      <c r="H205" s="223"/>
      <c r="I205" s="223"/>
      <c r="J205" s="223"/>
      <c r="K205" s="223"/>
      <c r="L205" s="223"/>
      <c r="M205" s="223"/>
      <c r="N205" s="223"/>
      <c r="O205" s="223"/>
      <c r="P205" s="223"/>
      <c r="Q205" s="223"/>
      <c r="R205" s="223"/>
    </row>
    <row r="206">
      <c r="A206" s="223"/>
      <c r="B206" s="223"/>
      <c r="C206" s="223"/>
      <c r="D206" s="223"/>
      <c r="E206" s="223"/>
      <c r="F206" s="357"/>
      <c r="G206" s="223"/>
      <c r="H206" s="223"/>
      <c r="I206" s="223"/>
      <c r="J206" s="223"/>
      <c r="K206" s="223"/>
      <c r="L206" s="223"/>
      <c r="M206" s="223"/>
      <c r="N206" s="223"/>
      <c r="O206" s="223"/>
      <c r="P206" s="223"/>
      <c r="Q206" s="223"/>
      <c r="R206" s="223"/>
    </row>
    <row r="207">
      <c r="A207" s="223"/>
      <c r="B207" s="223"/>
      <c r="C207" s="223"/>
      <c r="D207" s="223"/>
      <c r="E207" s="223"/>
      <c r="F207" s="357"/>
      <c r="G207" s="223"/>
      <c r="H207" s="223"/>
      <c r="I207" s="223"/>
      <c r="J207" s="223"/>
      <c r="K207" s="223"/>
      <c r="L207" s="223"/>
      <c r="M207" s="223"/>
      <c r="N207" s="223"/>
      <c r="O207" s="223"/>
      <c r="P207" s="223"/>
      <c r="Q207" s="223"/>
      <c r="R207" s="223"/>
    </row>
    <row r="208">
      <c r="A208" s="223"/>
      <c r="B208" s="223"/>
      <c r="C208" s="223"/>
      <c r="D208" s="223"/>
      <c r="E208" s="223"/>
      <c r="F208" s="357"/>
      <c r="G208" s="223"/>
      <c r="H208" s="223"/>
      <c r="I208" s="223"/>
      <c r="J208" s="223"/>
      <c r="K208" s="223"/>
      <c r="L208" s="223"/>
      <c r="M208" s="223"/>
      <c r="N208" s="223"/>
      <c r="O208" s="223"/>
      <c r="P208" s="223"/>
      <c r="Q208" s="223"/>
      <c r="R208" s="223"/>
    </row>
    <row r="209">
      <c r="A209" s="223"/>
      <c r="B209" s="223"/>
      <c r="C209" s="223"/>
      <c r="D209" s="223"/>
      <c r="E209" s="223"/>
      <c r="F209" s="357"/>
      <c r="G209" s="223"/>
      <c r="H209" s="223"/>
      <c r="I209" s="223"/>
      <c r="J209" s="223"/>
      <c r="K209" s="223"/>
      <c r="L209" s="223"/>
      <c r="M209" s="223"/>
      <c r="N209" s="223"/>
      <c r="O209" s="223"/>
      <c r="P209" s="223"/>
      <c r="Q209" s="223"/>
      <c r="R209" s="223"/>
    </row>
    <row r="210">
      <c r="A210" s="223"/>
      <c r="B210" s="223"/>
      <c r="C210" s="223"/>
      <c r="D210" s="223"/>
      <c r="E210" s="223"/>
      <c r="F210" s="357"/>
      <c r="G210" s="223"/>
      <c r="H210" s="223"/>
      <c r="I210" s="223"/>
      <c r="J210" s="223"/>
      <c r="K210" s="223"/>
      <c r="L210" s="223"/>
      <c r="M210" s="223"/>
      <c r="N210" s="223"/>
      <c r="O210" s="223"/>
      <c r="P210" s="223"/>
      <c r="Q210" s="223"/>
      <c r="R210" s="223"/>
    </row>
    <row r="211">
      <c r="A211" s="223"/>
      <c r="B211" s="223"/>
      <c r="C211" s="223"/>
      <c r="D211" s="223"/>
      <c r="E211" s="223"/>
      <c r="F211" s="357"/>
      <c r="G211" s="223"/>
      <c r="H211" s="223"/>
      <c r="I211" s="223"/>
      <c r="J211" s="223"/>
      <c r="K211" s="223"/>
      <c r="L211" s="223"/>
      <c r="M211" s="223"/>
      <c r="N211" s="223"/>
      <c r="O211" s="223"/>
      <c r="P211" s="223"/>
      <c r="Q211" s="223"/>
      <c r="R211" s="223"/>
    </row>
    <row r="212">
      <c r="A212" s="223"/>
      <c r="B212" s="223"/>
      <c r="C212" s="223"/>
      <c r="D212" s="223"/>
      <c r="E212" s="223"/>
      <c r="F212" s="357"/>
      <c r="G212" s="223"/>
      <c r="H212" s="223"/>
      <c r="I212" s="223"/>
      <c r="J212" s="223"/>
      <c r="K212" s="223"/>
      <c r="L212" s="223"/>
      <c r="M212" s="223"/>
      <c r="N212" s="223"/>
      <c r="O212" s="223"/>
      <c r="P212" s="223"/>
      <c r="Q212" s="223"/>
      <c r="R212" s="223"/>
    </row>
    <row r="213">
      <c r="A213" s="223"/>
      <c r="B213" s="223"/>
      <c r="C213" s="223"/>
      <c r="D213" s="223"/>
      <c r="E213" s="223"/>
      <c r="F213" s="357"/>
      <c r="G213" s="223"/>
      <c r="H213" s="223"/>
      <c r="I213" s="223"/>
      <c r="J213" s="223"/>
      <c r="K213" s="223"/>
      <c r="L213" s="223"/>
      <c r="M213" s="223"/>
      <c r="N213" s="223"/>
      <c r="O213" s="223"/>
      <c r="P213" s="223"/>
      <c r="Q213" s="223"/>
      <c r="R213" s="223"/>
    </row>
    <row r="214">
      <c r="A214" s="223"/>
      <c r="B214" s="223"/>
      <c r="C214" s="223"/>
      <c r="D214" s="223"/>
      <c r="E214" s="223"/>
      <c r="F214" s="357"/>
      <c r="G214" s="223"/>
      <c r="H214" s="223"/>
      <c r="I214" s="223"/>
      <c r="J214" s="223"/>
      <c r="K214" s="223"/>
      <c r="L214" s="223"/>
      <c r="M214" s="223"/>
      <c r="N214" s="223"/>
      <c r="O214" s="223"/>
      <c r="P214" s="223"/>
      <c r="Q214" s="223"/>
      <c r="R214" s="223"/>
    </row>
    <row r="215">
      <c r="A215" s="223"/>
      <c r="B215" s="223"/>
      <c r="C215" s="223"/>
      <c r="D215" s="223"/>
      <c r="E215" s="223"/>
      <c r="F215" s="357"/>
      <c r="G215" s="223"/>
      <c r="H215" s="223"/>
      <c r="I215" s="223"/>
      <c r="J215" s="223"/>
      <c r="K215" s="223"/>
      <c r="L215" s="223"/>
      <c r="M215" s="223"/>
      <c r="N215" s="223"/>
      <c r="O215" s="223"/>
      <c r="P215" s="223"/>
      <c r="Q215" s="223"/>
      <c r="R215" s="223"/>
    </row>
    <row r="216">
      <c r="A216" s="223"/>
      <c r="B216" s="223"/>
      <c r="C216" s="223"/>
      <c r="D216" s="223"/>
      <c r="E216" s="223"/>
      <c r="F216" s="357"/>
      <c r="G216" s="223"/>
      <c r="H216" s="223"/>
      <c r="I216" s="223"/>
      <c r="J216" s="223"/>
      <c r="K216" s="223"/>
      <c r="L216" s="223"/>
      <c r="M216" s="223"/>
      <c r="N216" s="223"/>
      <c r="O216" s="223"/>
      <c r="P216" s="223"/>
      <c r="Q216" s="223"/>
      <c r="R216" s="223"/>
    </row>
    <row r="217">
      <c r="A217" s="223"/>
      <c r="B217" s="223"/>
      <c r="C217" s="223"/>
      <c r="D217" s="223"/>
      <c r="E217" s="223"/>
      <c r="F217" s="357"/>
      <c r="G217" s="223"/>
      <c r="H217" s="223"/>
      <c r="I217" s="223"/>
      <c r="J217" s="223"/>
      <c r="K217" s="223"/>
      <c r="L217" s="223"/>
      <c r="M217" s="223"/>
      <c r="N217" s="223"/>
      <c r="O217" s="223"/>
      <c r="P217" s="223"/>
      <c r="Q217" s="223"/>
      <c r="R217" s="223"/>
    </row>
    <row r="218">
      <c r="A218" s="223"/>
      <c r="B218" s="223"/>
      <c r="C218" s="223"/>
      <c r="D218" s="223"/>
      <c r="E218" s="223"/>
      <c r="F218" s="357"/>
      <c r="G218" s="223"/>
      <c r="H218" s="223"/>
      <c r="I218" s="223"/>
      <c r="J218" s="223"/>
      <c r="K218" s="223"/>
      <c r="L218" s="223"/>
      <c r="M218" s="223"/>
      <c r="N218" s="223"/>
      <c r="O218" s="223"/>
      <c r="P218" s="223"/>
      <c r="Q218" s="223"/>
      <c r="R218" s="223"/>
    </row>
    <row r="219">
      <c r="A219" s="223"/>
      <c r="B219" s="223"/>
      <c r="C219" s="223"/>
      <c r="D219" s="223"/>
      <c r="E219" s="223"/>
      <c r="F219" s="357"/>
      <c r="G219" s="223"/>
      <c r="H219" s="223"/>
      <c r="I219" s="223"/>
      <c r="J219" s="223"/>
      <c r="K219" s="223"/>
      <c r="L219" s="223"/>
      <c r="M219" s="223"/>
      <c r="N219" s="223"/>
      <c r="O219" s="223"/>
      <c r="P219" s="223"/>
      <c r="Q219" s="223"/>
      <c r="R219" s="223"/>
    </row>
    <row r="220">
      <c r="A220" s="223"/>
      <c r="B220" s="223"/>
      <c r="C220" s="223"/>
      <c r="D220" s="223"/>
      <c r="E220" s="223"/>
      <c r="F220" s="357"/>
      <c r="G220" s="223"/>
      <c r="H220" s="223"/>
      <c r="I220" s="223"/>
      <c r="J220" s="223"/>
      <c r="K220" s="223"/>
      <c r="L220" s="223"/>
      <c r="M220" s="223"/>
      <c r="N220" s="223"/>
      <c r="O220" s="223"/>
      <c r="P220" s="223"/>
      <c r="Q220" s="223"/>
      <c r="R220" s="223"/>
    </row>
    <row r="221">
      <c r="A221" s="223"/>
      <c r="B221" s="223"/>
      <c r="C221" s="223"/>
      <c r="D221" s="223"/>
      <c r="E221" s="223"/>
      <c r="F221" s="357"/>
      <c r="G221" s="223"/>
      <c r="H221" s="223"/>
      <c r="I221" s="223"/>
      <c r="J221" s="223"/>
      <c r="K221" s="223"/>
      <c r="L221" s="223"/>
      <c r="M221" s="223"/>
      <c r="N221" s="223"/>
      <c r="O221" s="223"/>
      <c r="P221" s="223"/>
      <c r="Q221" s="223"/>
      <c r="R221" s="223"/>
    </row>
    <row r="222">
      <c r="A222" s="223"/>
      <c r="B222" s="223"/>
      <c r="C222" s="223"/>
      <c r="D222" s="223"/>
      <c r="E222" s="223"/>
      <c r="F222" s="357"/>
      <c r="G222" s="223"/>
      <c r="H222" s="223"/>
      <c r="I222" s="223"/>
      <c r="J222" s="223"/>
      <c r="K222" s="223"/>
      <c r="L222" s="223"/>
      <c r="M222" s="223"/>
      <c r="N222" s="223"/>
      <c r="O222" s="223"/>
      <c r="P222" s="223"/>
      <c r="Q222" s="223"/>
      <c r="R222" s="223"/>
    </row>
    <row r="223">
      <c r="A223" s="223"/>
      <c r="B223" s="223"/>
      <c r="C223" s="223"/>
      <c r="D223" s="223"/>
      <c r="E223" s="223"/>
      <c r="F223" s="357"/>
      <c r="G223" s="223"/>
      <c r="H223" s="223"/>
      <c r="I223" s="223"/>
      <c r="J223" s="223"/>
      <c r="K223" s="223"/>
      <c r="L223" s="223"/>
      <c r="M223" s="223"/>
      <c r="N223" s="223"/>
      <c r="O223" s="223"/>
      <c r="P223" s="223"/>
      <c r="Q223" s="223"/>
      <c r="R223" s="223"/>
    </row>
    <row r="224">
      <c r="A224" s="223"/>
      <c r="B224" s="223"/>
      <c r="C224" s="223"/>
      <c r="D224" s="223"/>
      <c r="E224" s="223"/>
      <c r="F224" s="357"/>
      <c r="G224" s="223"/>
      <c r="H224" s="223"/>
      <c r="I224" s="223"/>
      <c r="J224" s="223"/>
      <c r="K224" s="223"/>
      <c r="L224" s="223"/>
      <c r="M224" s="223"/>
      <c r="N224" s="223"/>
      <c r="O224" s="223"/>
      <c r="P224" s="223"/>
      <c r="Q224" s="223"/>
      <c r="R224" s="223"/>
    </row>
    <row r="225">
      <c r="A225" s="223"/>
      <c r="B225" s="223"/>
      <c r="C225" s="223"/>
      <c r="D225" s="223"/>
      <c r="E225" s="223"/>
      <c r="F225" s="357"/>
      <c r="G225" s="223"/>
      <c r="H225" s="223"/>
      <c r="I225" s="223"/>
      <c r="J225" s="223"/>
      <c r="K225" s="223"/>
      <c r="L225" s="223"/>
      <c r="M225" s="223"/>
      <c r="N225" s="223"/>
      <c r="O225" s="223"/>
      <c r="P225" s="223"/>
      <c r="Q225" s="223"/>
      <c r="R225" s="223"/>
    </row>
    <row r="226">
      <c r="A226" s="223"/>
      <c r="B226" s="223"/>
      <c r="C226" s="223"/>
      <c r="D226" s="223"/>
      <c r="E226" s="223"/>
      <c r="F226" s="357"/>
      <c r="G226" s="223"/>
      <c r="H226" s="223"/>
      <c r="I226" s="223"/>
      <c r="J226" s="223"/>
      <c r="K226" s="223"/>
      <c r="L226" s="223"/>
      <c r="M226" s="223"/>
      <c r="N226" s="223"/>
      <c r="O226" s="223"/>
      <c r="P226" s="223"/>
      <c r="Q226" s="223"/>
      <c r="R226" s="223"/>
    </row>
    <row r="227">
      <c r="A227" s="223"/>
      <c r="B227" s="223"/>
      <c r="C227" s="223"/>
      <c r="D227" s="223"/>
      <c r="E227" s="223"/>
      <c r="F227" s="357"/>
      <c r="G227" s="223"/>
      <c r="H227" s="223"/>
      <c r="I227" s="223"/>
      <c r="J227" s="223"/>
      <c r="K227" s="223"/>
      <c r="L227" s="223"/>
      <c r="M227" s="223"/>
      <c r="N227" s="223"/>
      <c r="O227" s="223"/>
      <c r="P227" s="223"/>
      <c r="Q227" s="223"/>
      <c r="R227" s="223"/>
    </row>
    <row r="228">
      <c r="A228" s="223"/>
      <c r="B228" s="223"/>
      <c r="C228" s="223"/>
      <c r="D228" s="223"/>
      <c r="E228" s="223"/>
      <c r="F228" s="357"/>
      <c r="G228" s="223"/>
      <c r="H228" s="223"/>
      <c r="I228" s="223"/>
      <c r="J228" s="223"/>
      <c r="K228" s="223"/>
      <c r="L228" s="223"/>
      <c r="M228" s="223"/>
      <c r="N228" s="223"/>
      <c r="O228" s="223"/>
      <c r="P228" s="223"/>
      <c r="Q228" s="223"/>
      <c r="R228" s="223"/>
    </row>
    <row r="229">
      <c r="A229" s="223"/>
      <c r="B229" s="223"/>
      <c r="C229" s="223"/>
      <c r="D229" s="223"/>
      <c r="E229" s="223"/>
      <c r="F229" s="357"/>
      <c r="G229" s="223"/>
      <c r="H229" s="223"/>
      <c r="I229" s="223"/>
      <c r="J229" s="223"/>
      <c r="K229" s="223"/>
      <c r="L229" s="223"/>
      <c r="M229" s="223"/>
      <c r="N229" s="223"/>
      <c r="O229" s="223"/>
      <c r="P229" s="223"/>
      <c r="Q229" s="223"/>
      <c r="R229" s="223"/>
    </row>
    <row r="230">
      <c r="A230" s="223"/>
      <c r="B230" s="223"/>
      <c r="C230" s="223"/>
      <c r="D230" s="223"/>
      <c r="E230" s="223"/>
      <c r="F230" s="357"/>
      <c r="G230" s="223"/>
      <c r="H230" s="223"/>
      <c r="I230" s="223"/>
      <c r="J230" s="223"/>
      <c r="K230" s="223"/>
      <c r="L230" s="223"/>
      <c r="M230" s="223"/>
      <c r="N230" s="223"/>
      <c r="O230" s="223"/>
      <c r="P230" s="223"/>
      <c r="Q230" s="223"/>
      <c r="R230" s="223"/>
    </row>
    <row r="231">
      <c r="A231" s="223"/>
      <c r="B231" s="223"/>
      <c r="C231" s="223"/>
      <c r="D231" s="223"/>
      <c r="E231" s="223"/>
      <c r="F231" s="357"/>
      <c r="G231" s="223"/>
      <c r="H231" s="223"/>
      <c r="I231" s="223"/>
      <c r="J231" s="223"/>
      <c r="K231" s="223"/>
      <c r="L231" s="223"/>
      <c r="M231" s="223"/>
      <c r="N231" s="223"/>
      <c r="O231" s="223"/>
      <c r="P231" s="223"/>
      <c r="Q231" s="223"/>
      <c r="R231" s="223"/>
    </row>
    <row r="232">
      <c r="A232" s="223"/>
      <c r="B232" s="223"/>
      <c r="C232" s="223"/>
      <c r="D232" s="223"/>
      <c r="E232" s="223"/>
      <c r="F232" s="357"/>
      <c r="G232" s="223"/>
      <c r="H232" s="223"/>
      <c r="I232" s="223"/>
      <c r="J232" s="223"/>
      <c r="K232" s="223"/>
      <c r="L232" s="223"/>
      <c r="M232" s="223"/>
      <c r="N232" s="223"/>
      <c r="O232" s="223"/>
      <c r="P232" s="223"/>
      <c r="Q232" s="223"/>
      <c r="R232" s="223"/>
    </row>
    <row r="233">
      <c r="A233" s="223"/>
      <c r="B233" s="223"/>
      <c r="C233" s="223"/>
      <c r="D233" s="223"/>
      <c r="E233" s="223"/>
      <c r="F233" s="357"/>
      <c r="G233" s="223"/>
      <c r="H233" s="223"/>
      <c r="I233" s="223"/>
      <c r="J233" s="223"/>
      <c r="K233" s="223"/>
      <c r="L233" s="223"/>
      <c r="M233" s="223"/>
      <c r="N233" s="223"/>
      <c r="O233" s="223"/>
      <c r="P233" s="223"/>
      <c r="Q233" s="223"/>
      <c r="R233" s="223"/>
    </row>
    <row r="234">
      <c r="A234" s="223"/>
      <c r="B234" s="223"/>
      <c r="C234" s="223"/>
      <c r="D234" s="223"/>
      <c r="E234" s="223"/>
      <c r="F234" s="357"/>
      <c r="G234" s="223"/>
      <c r="H234" s="223"/>
      <c r="I234" s="223"/>
      <c r="J234" s="223"/>
      <c r="K234" s="223"/>
      <c r="L234" s="223"/>
      <c r="M234" s="223"/>
      <c r="N234" s="223"/>
      <c r="O234" s="223"/>
      <c r="P234" s="223"/>
      <c r="Q234" s="223"/>
      <c r="R234" s="223"/>
    </row>
    <row r="235">
      <c r="A235" s="223"/>
      <c r="B235" s="223"/>
      <c r="C235" s="223"/>
      <c r="D235" s="223"/>
      <c r="E235" s="223"/>
      <c r="F235" s="357"/>
      <c r="G235" s="223"/>
      <c r="H235" s="223"/>
      <c r="I235" s="223"/>
      <c r="J235" s="223"/>
      <c r="K235" s="223"/>
      <c r="L235" s="223"/>
      <c r="M235" s="223"/>
      <c r="N235" s="223"/>
      <c r="O235" s="223"/>
      <c r="P235" s="223"/>
      <c r="Q235" s="223"/>
      <c r="R235" s="223"/>
    </row>
    <row r="236">
      <c r="A236" s="223"/>
      <c r="B236" s="223"/>
      <c r="C236" s="223"/>
      <c r="D236" s="223"/>
      <c r="E236" s="223"/>
      <c r="F236" s="357"/>
      <c r="G236" s="223"/>
      <c r="H236" s="223"/>
      <c r="I236" s="223"/>
      <c r="J236" s="223"/>
      <c r="K236" s="223"/>
      <c r="L236" s="223"/>
      <c r="M236" s="223"/>
      <c r="N236" s="223"/>
      <c r="O236" s="223"/>
      <c r="P236" s="223"/>
      <c r="Q236" s="223"/>
      <c r="R236" s="223"/>
    </row>
    <row r="237">
      <c r="A237" s="223"/>
      <c r="B237" s="223"/>
      <c r="C237" s="223"/>
      <c r="D237" s="223"/>
      <c r="E237" s="223"/>
      <c r="F237" s="357"/>
      <c r="G237" s="223"/>
      <c r="H237" s="223"/>
      <c r="I237" s="223"/>
      <c r="J237" s="223"/>
      <c r="K237" s="223"/>
      <c r="L237" s="223"/>
      <c r="M237" s="223"/>
      <c r="N237" s="223"/>
      <c r="O237" s="223"/>
      <c r="P237" s="223"/>
      <c r="Q237" s="223"/>
      <c r="R237" s="223"/>
    </row>
    <row r="238">
      <c r="A238" s="223"/>
      <c r="B238" s="223"/>
      <c r="C238" s="223"/>
      <c r="D238" s="223"/>
      <c r="E238" s="223"/>
      <c r="F238" s="357"/>
      <c r="G238" s="223"/>
      <c r="H238" s="223"/>
      <c r="I238" s="223"/>
      <c r="J238" s="223"/>
      <c r="K238" s="223"/>
      <c r="L238" s="223"/>
      <c r="M238" s="223"/>
      <c r="N238" s="223"/>
      <c r="O238" s="223"/>
      <c r="P238" s="223"/>
      <c r="Q238" s="223"/>
      <c r="R238" s="223"/>
    </row>
    <row r="239">
      <c r="A239" s="223"/>
      <c r="B239" s="223"/>
      <c r="C239" s="223"/>
      <c r="D239" s="223"/>
      <c r="E239" s="223"/>
      <c r="F239" s="357"/>
      <c r="G239" s="223"/>
      <c r="H239" s="223"/>
      <c r="I239" s="223"/>
      <c r="J239" s="223"/>
      <c r="K239" s="223"/>
      <c r="L239" s="223"/>
      <c r="M239" s="223"/>
      <c r="N239" s="223"/>
      <c r="O239" s="223"/>
      <c r="P239" s="223"/>
      <c r="Q239" s="223"/>
      <c r="R239" s="223"/>
    </row>
    <row r="240">
      <c r="A240" s="223"/>
      <c r="B240" s="223"/>
      <c r="C240" s="223"/>
      <c r="D240" s="223"/>
      <c r="E240" s="223"/>
      <c r="F240" s="357"/>
      <c r="G240" s="223"/>
      <c r="H240" s="223"/>
      <c r="I240" s="223"/>
      <c r="J240" s="223"/>
      <c r="K240" s="223"/>
      <c r="L240" s="223"/>
      <c r="M240" s="223"/>
      <c r="N240" s="223"/>
      <c r="O240" s="223"/>
      <c r="P240" s="223"/>
      <c r="Q240" s="223"/>
      <c r="R240" s="223"/>
    </row>
    <row r="241">
      <c r="A241" s="223"/>
      <c r="B241" s="223"/>
      <c r="C241" s="223"/>
      <c r="D241" s="223"/>
      <c r="E241" s="223"/>
      <c r="F241" s="357"/>
      <c r="G241" s="223"/>
      <c r="H241" s="223"/>
      <c r="I241" s="223"/>
      <c r="J241" s="223"/>
      <c r="K241" s="223"/>
      <c r="L241" s="223"/>
      <c r="M241" s="223"/>
      <c r="N241" s="223"/>
      <c r="O241" s="223"/>
      <c r="P241" s="223"/>
      <c r="Q241" s="223"/>
      <c r="R241" s="223"/>
    </row>
    <row r="242">
      <c r="A242" s="223"/>
      <c r="B242" s="223"/>
      <c r="C242" s="223"/>
      <c r="D242" s="223"/>
      <c r="E242" s="223"/>
      <c r="F242" s="357"/>
      <c r="G242" s="223"/>
      <c r="H242" s="223"/>
      <c r="I242" s="223"/>
      <c r="J242" s="223"/>
      <c r="K242" s="223"/>
      <c r="L242" s="223"/>
      <c r="M242" s="223"/>
      <c r="N242" s="223"/>
      <c r="O242" s="223"/>
      <c r="P242" s="223"/>
      <c r="Q242" s="223"/>
      <c r="R242" s="223"/>
    </row>
    <row r="243">
      <c r="A243" s="223"/>
      <c r="B243" s="223"/>
      <c r="C243" s="223"/>
      <c r="D243" s="223"/>
      <c r="E243" s="223"/>
      <c r="F243" s="357"/>
      <c r="G243" s="223"/>
      <c r="H243" s="223"/>
      <c r="I243" s="223"/>
      <c r="J243" s="223"/>
      <c r="K243" s="223"/>
      <c r="L243" s="223"/>
      <c r="M243" s="223"/>
      <c r="N243" s="223"/>
      <c r="O243" s="223"/>
      <c r="P243" s="223"/>
      <c r="Q243" s="223"/>
      <c r="R243" s="223"/>
    </row>
    <row r="244">
      <c r="A244" s="223"/>
      <c r="B244" s="223"/>
      <c r="C244" s="223"/>
      <c r="D244" s="223"/>
      <c r="E244" s="223"/>
      <c r="F244" s="357"/>
      <c r="G244" s="223"/>
      <c r="H244" s="223"/>
      <c r="I244" s="223"/>
      <c r="J244" s="223"/>
      <c r="K244" s="223"/>
      <c r="L244" s="223"/>
      <c r="M244" s="223"/>
      <c r="N244" s="223"/>
      <c r="O244" s="223"/>
      <c r="P244" s="223"/>
      <c r="Q244" s="223"/>
      <c r="R244" s="223"/>
    </row>
    <row r="245">
      <c r="A245" s="223"/>
      <c r="B245" s="223"/>
      <c r="C245" s="223"/>
      <c r="D245" s="223"/>
      <c r="E245" s="223"/>
      <c r="F245" s="357"/>
      <c r="G245" s="223"/>
      <c r="H245" s="223"/>
      <c r="I245" s="223"/>
      <c r="J245" s="223"/>
      <c r="K245" s="223"/>
      <c r="L245" s="223"/>
      <c r="M245" s="223"/>
      <c r="N245" s="223"/>
      <c r="O245" s="223"/>
      <c r="P245" s="223"/>
      <c r="Q245" s="223"/>
      <c r="R245" s="223"/>
    </row>
    <row r="246">
      <c r="A246" s="223"/>
      <c r="B246" s="223"/>
      <c r="C246" s="223"/>
      <c r="D246" s="223"/>
      <c r="E246" s="223"/>
      <c r="F246" s="357"/>
      <c r="G246" s="223"/>
      <c r="H246" s="223"/>
      <c r="I246" s="223"/>
      <c r="J246" s="223"/>
      <c r="K246" s="223"/>
      <c r="L246" s="223"/>
      <c r="M246" s="223"/>
      <c r="N246" s="223"/>
      <c r="O246" s="223"/>
      <c r="P246" s="223"/>
      <c r="Q246" s="223"/>
      <c r="R246" s="223"/>
    </row>
    <row r="247">
      <c r="A247" s="223"/>
      <c r="B247" s="223"/>
      <c r="C247" s="223"/>
      <c r="D247" s="223"/>
      <c r="E247" s="223"/>
      <c r="F247" s="357"/>
      <c r="G247" s="223"/>
      <c r="H247" s="223"/>
      <c r="I247" s="223"/>
      <c r="J247" s="223"/>
      <c r="K247" s="223"/>
      <c r="L247" s="223"/>
      <c r="M247" s="223"/>
      <c r="N247" s="223"/>
      <c r="O247" s="223"/>
      <c r="P247" s="223"/>
      <c r="Q247" s="223"/>
      <c r="R247" s="223"/>
    </row>
    <row r="248">
      <c r="A248" s="223"/>
      <c r="B248" s="223"/>
      <c r="C248" s="223"/>
      <c r="D248" s="223"/>
      <c r="E248" s="223"/>
      <c r="F248" s="357"/>
      <c r="G248" s="223"/>
      <c r="H248" s="223"/>
      <c r="I248" s="223"/>
      <c r="J248" s="223"/>
      <c r="K248" s="223"/>
      <c r="L248" s="223"/>
      <c r="M248" s="223"/>
      <c r="N248" s="223"/>
      <c r="O248" s="223"/>
      <c r="P248" s="223"/>
      <c r="Q248" s="223"/>
      <c r="R248" s="223"/>
    </row>
    <row r="249">
      <c r="A249" s="223"/>
      <c r="B249" s="223"/>
      <c r="C249" s="223"/>
      <c r="D249" s="223"/>
      <c r="E249" s="223"/>
      <c r="F249" s="357"/>
      <c r="G249" s="223"/>
      <c r="H249" s="223"/>
      <c r="I249" s="223"/>
      <c r="J249" s="223"/>
      <c r="K249" s="223"/>
      <c r="L249" s="223"/>
      <c r="M249" s="223"/>
      <c r="N249" s="223"/>
      <c r="O249" s="223"/>
      <c r="P249" s="223"/>
      <c r="Q249" s="223"/>
      <c r="R249" s="223"/>
    </row>
    <row r="250">
      <c r="A250" s="223"/>
      <c r="B250" s="223"/>
      <c r="C250" s="223"/>
      <c r="D250" s="223"/>
      <c r="E250" s="223"/>
      <c r="F250" s="357"/>
      <c r="G250" s="223"/>
      <c r="H250" s="223"/>
      <c r="I250" s="223"/>
      <c r="J250" s="223"/>
      <c r="K250" s="223"/>
      <c r="L250" s="223"/>
      <c r="M250" s="223"/>
      <c r="N250" s="223"/>
      <c r="O250" s="223"/>
      <c r="P250" s="223"/>
      <c r="Q250" s="223"/>
      <c r="R250" s="223"/>
    </row>
    <row r="251">
      <c r="A251" s="223"/>
      <c r="B251" s="223"/>
      <c r="C251" s="223"/>
      <c r="D251" s="223"/>
      <c r="E251" s="223"/>
      <c r="F251" s="357"/>
      <c r="G251" s="223"/>
      <c r="H251" s="223"/>
      <c r="I251" s="223"/>
      <c r="J251" s="223"/>
      <c r="K251" s="223"/>
      <c r="L251" s="223"/>
      <c r="M251" s="223"/>
      <c r="N251" s="223"/>
      <c r="O251" s="223"/>
      <c r="P251" s="223"/>
      <c r="Q251" s="223"/>
      <c r="R251" s="223"/>
    </row>
    <row r="252">
      <c r="A252" s="223"/>
      <c r="B252" s="223"/>
      <c r="C252" s="223"/>
      <c r="D252" s="223"/>
      <c r="E252" s="223"/>
      <c r="F252" s="357"/>
      <c r="G252" s="223"/>
      <c r="H252" s="223"/>
      <c r="I252" s="223"/>
      <c r="J252" s="223"/>
      <c r="K252" s="223"/>
      <c r="L252" s="223"/>
      <c r="M252" s="223"/>
      <c r="N252" s="223"/>
      <c r="O252" s="223"/>
      <c r="P252" s="223"/>
      <c r="Q252" s="223"/>
      <c r="R252" s="223"/>
    </row>
    <row r="253">
      <c r="A253" s="223"/>
      <c r="B253" s="223"/>
      <c r="C253" s="223"/>
      <c r="D253" s="223"/>
      <c r="E253" s="223"/>
      <c r="F253" s="357"/>
      <c r="G253" s="223"/>
      <c r="H253" s="223"/>
      <c r="I253" s="223"/>
      <c r="J253" s="223"/>
      <c r="K253" s="223"/>
      <c r="L253" s="223"/>
      <c r="M253" s="223"/>
      <c r="N253" s="223"/>
      <c r="O253" s="223"/>
      <c r="P253" s="223"/>
      <c r="Q253" s="223"/>
      <c r="R253" s="223"/>
    </row>
    <row r="254">
      <c r="A254" s="223"/>
      <c r="B254" s="223"/>
      <c r="C254" s="223"/>
      <c r="D254" s="223"/>
      <c r="E254" s="223"/>
      <c r="F254" s="357"/>
      <c r="G254" s="223"/>
      <c r="H254" s="223"/>
      <c r="I254" s="223"/>
      <c r="J254" s="223"/>
      <c r="K254" s="223"/>
      <c r="L254" s="223"/>
      <c r="M254" s="223"/>
      <c r="N254" s="223"/>
      <c r="O254" s="223"/>
      <c r="P254" s="223"/>
      <c r="Q254" s="223"/>
      <c r="R254" s="223"/>
    </row>
    <row r="255">
      <c r="A255" s="223"/>
      <c r="B255" s="223"/>
      <c r="C255" s="223"/>
      <c r="D255" s="223"/>
      <c r="E255" s="223"/>
      <c r="F255" s="357"/>
      <c r="G255" s="223"/>
      <c r="H255" s="223"/>
      <c r="I255" s="223"/>
      <c r="J255" s="223"/>
      <c r="K255" s="223"/>
      <c r="L255" s="223"/>
      <c r="M255" s="223"/>
      <c r="N255" s="223"/>
      <c r="O255" s="223"/>
      <c r="P255" s="223"/>
      <c r="Q255" s="223"/>
      <c r="R255" s="223"/>
    </row>
    <row r="256">
      <c r="A256" s="223"/>
      <c r="B256" s="223"/>
      <c r="C256" s="223"/>
      <c r="D256" s="223"/>
      <c r="E256" s="223"/>
      <c r="F256" s="357"/>
      <c r="G256" s="223"/>
      <c r="H256" s="223"/>
      <c r="I256" s="223"/>
      <c r="J256" s="223"/>
      <c r="K256" s="223"/>
      <c r="L256" s="223"/>
      <c r="M256" s="223"/>
      <c r="N256" s="223"/>
      <c r="O256" s="223"/>
      <c r="P256" s="223"/>
      <c r="Q256" s="223"/>
      <c r="R256" s="223"/>
    </row>
    <row r="257">
      <c r="A257" s="223"/>
      <c r="B257" s="223"/>
      <c r="C257" s="223"/>
      <c r="D257" s="223"/>
      <c r="E257" s="223"/>
      <c r="F257" s="357"/>
      <c r="G257" s="223"/>
      <c r="H257" s="223"/>
      <c r="I257" s="223"/>
      <c r="J257" s="223"/>
      <c r="K257" s="223"/>
      <c r="L257" s="223"/>
      <c r="M257" s="223"/>
      <c r="N257" s="223"/>
      <c r="O257" s="223"/>
      <c r="P257" s="223"/>
      <c r="Q257" s="223"/>
      <c r="R257" s="223"/>
    </row>
    <row r="258">
      <c r="A258" s="223"/>
      <c r="B258" s="223"/>
      <c r="C258" s="223"/>
      <c r="D258" s="223"/>
      <c r="E258" s="223"/>
      <c r="F258" s="357"/>
      <c r="G258" s="223"/>
      <c r="H258" s="223"/>
      <c r="I258" s="223"/>
      <c r="J258" s="223"/>
      <c r="K258" s="223"/>
      <c r="L258" s="223"/>
      <c r="M258" s="223"/>
      <c r="N258" s="223"/>
      <c r="O258" s="223"/>
      <c r="P258" s="223"/>
      <c r="Q258" s="223"/>
      <c r="R258" s="223"/>
    </row>
    <row r="259">
      <c r="A259" s="223"/>
      <c r="B259" s="223"/>
      <c r="C259" s="223"/>
      <c r="D259" s="223"/>
      <c r="E259" s="223"/>
      <c r="F259" s="357"/>
      <c r="G259" s="223"/>
      <c r="H259" s="223"/>
      <c r="I259" s="223"/>
      <c r="J259" s="223"/>
      <c r="K259" s="223"/>
      <c r="L259" s="223"/>
      <c r="M259" s="223"/>
      <c r="N259" s="223"/>
      <c r="O259" s="223"/>
      <c r="P259" s="223"/>
      <c r="Q259" s="223"/>
      <c r="R259" s="223"/>
    </row>
    <row r="260">
      <c r="A260" s="223"/>
      <c r="B260" s="223"/>
      <c r="C260" s="223"/>
      <c r="D260" s="223"/>
      <c r="E260" s="223"/>
      <c r="F260" s="357"/>
      <c r="G260" s="223"/>
      <c r="H260" s="223"/>
      <c r="I260" s="223"/>
      <c r="J260" s="223"/>
      <c r="K260" s="223"/>
      <c r="L260" s="223"/>
      <c r="M260" s="223"/>
      <c r="N260" s="223"/>
      <c r="O260" s="223"/>
      <c r="P260" s="223"/>
      <c r="Q260" s="223"/>
      <c r="R260" s="223"/>
    </row>
    <row r="261">
      <c r="A261" s="223"/>
      <c r="B261" s="223"/>
      <c r="C261" s="223"/>
      <c r="D261" s="223"/>
      <c r="E261" s="223"/>
      <c r="F261" s="357"/>
      <c r="G261" s="223"/>
      <c r="H261" s="223"/>
      <c r="I261" s="223"/>
      <c r="J261" s="223"/>
      <c r="K261" s="223"/>
      <c r="L261" s="223"/>
      <c r="M261" s="223"/>
      <c r="N261" s="223"/>
      <c r="O261" s="223"/>
      <c r="P261" s="223"/>
      <c r="Q261" s="223"/>
      <c r="R261" s="223"/>
    </row>
    <row r="262">
      <c r="A262" s="223"/>
      <c r="B262" s="223"/>
      <c r="C262" s="223"/>
      <c r="D262" s="223"/>
      <c r="E262" s="223"/>
      <c r="F262" s="357"/>
      <c r="G262" s="223"/>
      <c r="H262" s="223"/>
      <c r="I262" s="223"/>
      <c r="J262" s="223"/>
      <c r="K262" s="223"/>
      <c r="L262" s="223"/>
      <c r="M262" s="223"/>
      <c r="N262" s="223"/>
      <c r="O262" s="223"/>
      <c r="P262" s="223"/>
      <c r="Q262" s="223"/>
      <c r="R262" s="223"/>
    </row>
    <row r="263">
      <c r="A263" s="223"/>
      <c r="B263" s="223"/>
      <c r="C263" s="223"/>
      <c r="D263" s="223"/>
      <c r="E263" s="223"/>
      <c r="F263" s="357"/>
      <c r="G263" s="223"/>
      <c r="H263" s="223"/>
      <c r="I263" s="223"/>
      <c r="J263" s="223"/>
      <c r="K263" s="223"/>
      <c r="L263" s="223"/>
      <c r="M263" s="223"/>
      <c r="N263" s="223"/>
      <c r="O263" s="223"/>
      <c r="P263" s="223"/>
      <c r="Q263" s="223"/>
      <c r="R263" s="223"/>
    </row>
    <row r="264">
      <c r="A264" s="223"/>
      <c r="B264" s="223"/>
      <c r="C264" s="223"/>
      <c r="D264" s="223"/>
      <c r="E264" s="223"/>
      <c r="F264" s="357"/>
      <c r="G264" s="223"/>
      <c r="H264" s="223"/>
      <c r="I264" s="223"/>
      <c r="J264" s="223"/>
      <c r="K264" s="223"/>
      <c r="L264" s="223"/>
      <c r="M264" s="223"/>
      <c r="N264" s="223"/>
      <c r="O264" s="223"/>
      <c r="P264" s="223"/>
      <c r="Q264" s="223"/>
      <c r="R264" s="223"/>
    </row>
    <row r="265">
      <c r="A265" s="223"/>
      <c r="B265" s="223"/>
      <c r="C265" s="223"/>
      <c r="D265" s="223"/>
      <c r="E265" s="223"/>
      <c r="F265" s="357"/>
      <c r="G265" s="223"/>
      <c r="H265" s="223"/>
      <c r="I265" s="223"/>
      <c r="J265" s="223"/>
      <c r="K265" s="223"/>
      <c r="L265" s="223"/>
      <c r="M265" s="223"/>
      <c r="N265" s="223"/>
      <c r="O265" s="223"/>
      <c r="P265" s="223"/>
      <c r="Q265" s="223"/>
      <c r="R265" s="223"/>
    </row>
    <row r="266">
      <c r="A266" s="223"/>
      <c r="B266" s="223"/>
      <c r="C266" s="223"/>
      <c r="D266" s="223"/>
      <c r="E266" s="223"/>
      <c r="F266" s="357"/>
      <c r="G266" s="223"/>
      <c r="H266" s="223"/>
      <c r="I266" s="223"/>
      <c r="J266" s="223"/>
      <c r="K266" s="223"/>
      <c r="L266" s="223"/>
      <c r="M266" s="223"/>
      <c r="N266" s="223"/>
      <c r="O266" s="223"/>
      <c r="P266" s="223"/>
      <c r="Q266" s="223"/>
      <c r="R266" s="223"/>
    </row>
    <row r="267">
      <c r="A267" s="223"/>
      <c r="B267" s="223"/>
      <c r="C267" s="223"/>
      <c r="D267" s="223"/>
      <c r="E267" s="223"/>
      <c r="F267" s="357"/>
      <c r="G267" s="223"/>
      <c r="H267" s="223"/>
      <c r="I267" s="223"/>
      <c r="J267" s="223"/>
      <c r="K267" s="223"/>
      <c r="L267" s="223"/>
      <c r="M267" s="223"/>
      <c r="N267" s="223"/>
      <c r="O267" s="223"/>
      <c r="P267" s="223"/>
      <c r="Q267" s="223"/>
      <c r="R267" s="223"/>
    </row>
    <row r="268">
      <c r="A268" s="223"/>
      <c r="B268" s="223"/>
      <c r="C268" s="223"/>
      <c r="D268" s="223"/>
      <c r="E268" s="223"/>
      <c r="F268" s="357"/>
      <c r="G268" s="223"/>
      <c r="H268" s="223"/>
      <c r="I268" s="223"/>
      <c r="J268" s="223"/>
      <c r="K268" s="223"/>
      <c r="L268" s="223"/>
      <c r="M268" s="223"/>
      <c r="N268" s="223"/>
      <c r="O268" s="223"/>
      <c r="P268" s="223"/>
      <c r="Q268" s="223"/>
      <c r="R268" s="223"/>
    </row>
    <row r="269">
      <c r="A269" s="223"/>
      <c r="B269" s="223"/>
      <c r="C269" s="223"/>
      <c r="D269" s="223"/>
      <c r="E269" s="223"/>
      <c r="F269" s="357"/>
      <c r="G269" s="223"/>
      <c r="H269" s="223"/>
      <c r="I269" s="223"/>
      <c r="J269" s="223"/>
      <c r="K269" s="223"/>
      <c r="L269" s="223"/>
      <c r="M269" s="223"/>
      <c r="N269" s="223"/>
      <c r="O269" s="223"/>
      <c r="P269" s="223"/>
      <c r="Q269" s="223"/>
      <c r="R269" s="223"/>
    </row>
    <row r="270">
      <c r="A270" s="223"/>
      <c r="B270" s="223"/>
      <c r="C270" s="223"/>
      <c r="D270" s="223"/>
      <c r="E270" s="223"/>
      <c r="F270" s="357"/>
      <c r="G270" s="223"/>
      <c r="H270" s="223"/>
      <c r="I270" s="223"/>
      <c r="J270" s="223"/>
      <c r="K270" s="223"/>
      <c r="L270" s="223"/>
      <c r="M270" s="223"/>
      <c r="N270" s="223"/>
      <c r="O270" s="223"/>
      <c r="P270" s="223"/>
      <c r="Q270" s="223"/>
      <c r="R270" s="223"/>
    </row>
    <row r="271">
      <c r="A271" s="223"/>
      <c r="B271" s="223"/>
      <c r="C271" s="223"/>
      <c r="D271" s="223"/>
      <c r="E271" s="223"/>
      <c r="F271" s="357"/>
      <c r="G271" s="223"/>
      <c r="H271" s="223"/>
      <c r="I271" s="223"/>
      <c r="J271" s="223"/>
      <c r="K271" s="223"/>
      <c r="L271" s="223"/>
      <c r="M271" s="223"/>
      <c r="N271" s="223"/>
      <c r="O271" s="223"/>
      <c r="P271" s="223"/>
      <c r="Q271" s="223"/>
      <c r="R271" s="223"/>
    </row>
    <row r="272">
      <c r="A272" s="223"/>
      <c r="B272" s="223"/>
      <c r="C272" s="223"/>
      <c r="D272" s="223"/>
      <c r="E272" s="223"/>
      <c r="F272" s="357"/>
      <c r="G272" s="223"/>
      <c r="H272" s="223"/>
      <c r="I272" s="223"/>
      <c r="J272" s="223"/>
      <c r="K272" s="223"/>
      <c r="L272" s="223"/>
      <c r="M272" s="223"/>
      <c r="N272" s="223"/>
      <c r="O272" s="223"/>
      <c r="P272" s="223"/>
      <c r="Q272" s="223"/>
      <c r="R272" s="223"/>
    </row>
    <row r="273">
      <c r="A273" s="223"/>
      <c r="B273" s="223"/>
      <c r="C273" s="223"/>
      <c r="D273" s="223"/>
      <c r="E273" s="223"/>
      <c r="F273" s="357"/>
      <c r="G273" s="223"/>
      <c r="H273" s="223"/>
      <c r="I273" s="223"/>
      <c r="J273" s="223"/>
      <c r="K273" s="223"/>
      <c r="L273" s="223"/>
      <c r="M273" s="223"/>
      <c r="N273" s="223"/>
      <c r="O273" s="223"/>
      <c r="P273" s="223"/>
      <c r="Q273" s="223"/>
      <c r="R273" s="223"/>
    </row>
    <row r="274">
      <c r="A274" s="223"/>
      <c r="B274" s="223"/>
      <c r="C274" s="223"/>
      <c r="D274" s="223"/>
      <c r="E274" s="223"/>
      <c r="F274" s="357"/>
      <c r="G274" s="223"/>
      <c r="H274" s="223"/>
      <c r="I274" s="223"/>
      <c r="J274" s="223"/>
      <c r="K274" s="223"/>
      <c r="L274" s="223"/>
      <c r="M274" s="223"/>
      <c r="N274" s="223"/>
      <c r="O274" s="223"/>
      <c r="P274" s="223"/>
      <c r="Q274" s="223"/>
      <c r="R274" s="223"/>
    </row>
    <row r="275">
      <c r="A275" s="223"/>
      <c r="B275" s="223"/>
      <c r="C275" s="223"/>
      <c r="D275" s="223"/>
      <c r="E275" s="223"/>
      <c r="F275" s="357"/>
      <c r="G275" s="223"/>
      <c r="H275" s="223"/>
      <c r="I275" s="223"/>
      <c r="J275" s="223"/>
      <c r="K275" s="223"/>
      <c r="L275" s="223"/>
      <c r="M275" s="223"/>
      <c r="N275" s="223"/>
      <c r="O275" s="223"/>
      <c r="P275" s="223"/>
      <c r="Q275" s="223"/>
      <c r="R275" s="223"/>
    </row>
    <row r="276">
      <c r="A276" s="223"/>
      <c r="B276" s="223"/>
      <c r="C276" s="223"/>
      <c r="D276" s="223"/>
      <c r="E276" s="223"/>
      <c r="F276" s="357"/>
      <c r="G276" s="223"/>
      <c r="H276" s="223"/>
      <c r="I276" s="223"/>
      <c r="J276" s="223"/>
      <c r="K276" s="223"/>
      <c r="L276" s="223"/>
      <c r="M276" s="223"/>
      <c r="N276" s="223"/>
      <c r="O276" s="223"/>
      <c r="P276" s="223"/>
      <c r="Q276" s="223"/>
      <c r="R276" s="223"/>
    </row>
    <row r="277">
      <c r="A277" s="223"/>
      <c r="B277" s="223"/>
      <c r="C277" s="223"/>
      <c r="D277" s="223"/>
      <c r="E277" s="223"/>
      <c r="F277" s="357"/>
      <c r="G277" s="223"/>
      <c r="H277" s="223"/>
      <c r="I277" s="223"/>
      <c r="J277" s="223"/>
      <c r="K277" s="223"/>
      <c r="L277" s="223"/>
      <c r="M277" s="223"/>
      <c r="N277" s="223"/>
      <c r="O277" s="223"/>
      <c r="P277" s="223"/>
      <c r="Q277" s="223"/>
      <c r="R277" s="223"/>
    </row>
    <row r="278">
      <c r="A278" s="223"/>
      <c r="B278" s="223"/>
      <c r="C278" s="223"/>
      <c r="D278" s="223"/>
      <c r="E278" s="223"/>
      <c r="F278" s="357"/>
      <c r="G278" s="223"/>
      <c r="H278" s="223"/>
      <c r="I278" s="223"/>
      <c r="J278" s="223"/>
      <c r="K278" s="223"/>
      <c r="L278" s="223"/>
      <c r="M278" s="223"/>
      <c r="N278" s="223"/>
      <c r="O278" s="223"/>
      <c r="P278" s="223"/>
      <c r="Q278" s="223"/>
      <c r="R278" s="223"/>
    </row>
    <row r="279">
      <c r="A279" s="223"/>
      <c r="B279" s="223"/>
      <c r="C279" s="223"/>
      <c r="D279" s="223"/>
      <c r="E279" s="223"/>
      <c r="F279" s="357"/>
      <c r="G279" s="223"/>
      <c r="H279" s="223"/>
      <c r="I279" s="223"/>
      <c r="J279" s="223"/>
      <c r="K279" s="223"/>
      <c r="L279" s="223"/>
      <c r="M279" s="223"/>
      <c r="N279" s="223"/>
      <c r="O279" s="223"/>
      <c r="P279" s="223"/>
      <c r="Q279" s="223"/>
      <c r="R279" s="223"/>
    </row>
    <row r="280">
      <c r="A280" s="223"/>
      <c r="B280" s="223"/>
      <c r="C280" s="223"/>
      <c r="D280" s="223"/>
      <c r="E280" s="223"/>
      <c r="F280" s="357"/>
      <c r="G280" s="223"/>
      <c r="H280" s="223"/>
      <c r="I280" s="223"/>
      <c r="J280" s="223"/>
      <c r="K280" s="223"/>
      <c r="L280" s="223"/>
      <c r="M280" s="223"/>
      <c r="N280" s="223"/>
      <c r="O280" s="223"/>
      <c r="P280" s="223"/>
      <c r="Q280" s="223"/>
      <c r="R280" s="223"/>
    </row>
    <row r="281">
      <c r="A281" s="223"/>
      <c r="B281" s="223"/>
      <c r="C281" s="223"/>
      <c r="D281" s="223"/>
      <c r="E281" s="223"/>
      <c r="F281" s="357"/>
      <c r="G281" s="223"/>
      <c r="H281" s="223"/>
      <c r="I281" s="223"/>
      <c r="J281" s="223"/>
      <c r="K281" s="223"/>
      <c r="L281" s="223"/>
      <c r="M281" s="223"/>
      <c r="N281" s="223"/>
      <c r="O281" s="223"/>
      <c r="P281" s="223"/>
      <c r="Q281" s="223"/>
      <c r="R281" s="223"/>
    </row>
    <row r="282">
      <c r="A282" s="223"/>
      <c r="B282" s="223"/>
      <c r="C282" s="223"/>
      <c r="D282" s="223"/>
      <c r="E282" s="223"/>
      <c r="F282" s="357"/>
      <c r="G282" s="223"/>
      <c r="H282" s="223"/>
      <c r="I282" s="223"/>
      <c r="J282" s="223"/>
      <c r="K282" s="223"/>
      <c r="L282" s="223"/>
      <c r="M282" s="223"/>
      <c r="N282" s="223"/>
      <c r="O282" s="223"/>
      <c r="P282" s="223"/>
      <c r="Q282" s="223"/>
      <c r="R282" s="223"/>
    </row>
    <row r="283">
      <c r="A283" s="223"/>
      <c r="B283" s="223"/>
      <c r="C283" s="223"/>
      <c r="D283" s="223"/>
      <c r="E283" s="223"/>
      <c r="F283" s="357"/>
      <c r="G283" s="223"/>
      <c r="H283" s="223"/>
      <c r="I283" s="223"/>
      <c r="J283" s="223"/>
      <c r="K283" s="223"/>
      <c r="L283" s="223"/>
      <c r="M283" s="223"/>
      <c r="N283" s="223"/>
      <c r="O283" s="223"/>
      <c r="P283" s="223"/>
      <c r="Q283" s="223"/>
      <c r="R283" s="223"/>
    </row>
    <row r="284">
      <c r="A284" s="223"/>
      <c r="B284" s="223"/>
      <c r="C284" s="223"/>
      <c r="D284" s="223"/>
      <c r="E284" s="223"/>
      <c r="F284" s="357"/>
      <c r="G284" s="223"/>
      <c r="H284" s="223"/>
      <c r="I284" s="223"/>
      <c r="J284" s="223"/>
      <c r="K284" s="223"/>
      <c r="L284" s="223"/>
      <c r="M284" s="223"/>
      <c r="N284" s="223"/>
      <c r="O284" s="223"/>
      <c r="P284" s="223"/>
      <c r="Q284" s="223"/>
      <c r="R284" s="223"/>
    </row>
    <row r="285">
      <c r="A285" s="223"/>
      <c r="B285" s="223"/>
      <c r="C285" s="223"/>
      <c r="D285" s="223"/>
      <c r="E285" s="223"/>
      <c r="F285" s="357"/>
      <c r="G285" s="223"/>
      <c r="H285" s="223"/>
      <c r="I285" s="223"/>
      <c r="J285" s="223"/>
      <c r="K285" s="223"/>
      <c r="L285" s="223"/>
      <c r="M285" s="223"/>
      <c r="N285" s="223"/>
      <c r="O285" s="223"/>
      <c r="P285" s="223"/>
      <c r="Q285" s="223"/>
      <c r="R285" s="223"/>
    </row>
    <row r="286">
      <c r="A286" s="223"/>
      <c r="B286" s="223"/>
      <c r="C286" s="223"/>
      <c r="D286" s="223"/>
      <c r="E286" s="223"/>
      <c r="F286" s="357"/>
      <c r="G286" s="223"/>
      <c r="H286" s="223"/>
      <c r="I286" s="223"/>
      <c r="J286" s="223"/>
      <c r="K286" s="223"/>
      <c r="L286" s="223"/>
      <c r="M286" s="223"/>
      <c r="N286" s="223"/>
      <c r="O286" s="223"/>
      <c r="P286" s="223"/>
      <c r="Q286" s="223"/>
      <c r="R286" s="223"/>
    </row>
    <row r="287">
      <c r="A287" s="223"/>
      <c r="B287" s="223"/>
      <c r="C287" s="223"/>
      <c r="D287" s="223"/>
      <c r="E287" s="223"/>
      <c r="F287" s="357"/>
      <c r="G287" s="223"/>
      <c r="H287" s="223"/>
      <c r="I287" s="223"/>
      <c r="J287" s="223"/>
      <c r="K287" s="223"/>
      <c r="L287" s="223"/>
      <c r="M287" s="223"/>
      <c r="N287" s="223"/>
      <c r="O287" s="223"/>
      <c r="P287" s="223"/>
      <c r="Q287" s="223"/>
      <c r="R287" s="223"/>
    </row>
    <row r="288">
      <c r="A288" s="223"/>
      <c r="B288" s="223"/>
      <c r="C288" s="223"/>
      <c r="D288" s="223"/>
      <c r="E288" s="223"/>
      <c r="F288" s="357"/>
      <c r="G288" s="223"/>
      <c r="H288" s="223"/>
      <c r="I288" s="223"/>
      <c r="J288" s="223"/>
      <c r="K288" s="223"/>
      <c r="L288" s="223"/>
      <c r="M288" s="223"/>
      <c r="N288" s="223"/>
      <c r="O288" s="223"/>
      <c r="P288" s="223"/>
      <c r="Q288" s="223"/>
      <c r="R288" s="223"/>
    </row>
    <row r="289">
      <c r="A289" s="223"/>
      <c r="B289" s="223"/>
      <c r="C289" s="223"/>
      <c r="D289" s="223"/>
      <c r="E289" s="223"/>
      <c r="F289" s="357"/>
      <c r="G289" s="223"/>
      <c r="H289" s="223"/>
      <c r="I289" s="223"/>
      <c r="J289" s="223"/>
      <c r="K289" s="223"/>
      <c r="L289" s="223"/>
      <c r="M289" s="223"/>
      <c r="N289" s="223"/>
      <c r="O289" s="223"/>
      <c r="P289" s="223"/>
      <c r="Q289" s="223"/>
      <c r="R289" s="223"/>
    </row>
    <row r="290">
      <c r="A290" s="223"/>
      <c r="B290" s="223"/>
      <c r="C290" s="223"/>
      <c r="D290" s="223"/>
      <c r="E290" s="223"/>
      <c r="F290" s="357"/>
      <c r="G290" s="223"/>
      <c r="H290" s="223"/>
      <c r="I290" s="223"/>
      <c r="J290" s="223"/>
      <c r="K290" s="223"/>
      <c r="L290" s="223"/>
      <c r="M290" s="223"/>
      <c r="N290" s="223"/>
      <c r="O290" s="223"/>
      <c r="P290" s="223"/>
      <c r="Q290" s="223"/>
      <c r="R290" s="223"/>
    </row>
    <row r="291">
      <c r="A291" s="223"/>
      <c r="B291" s="223"/>
      <c r="C291" s="223"/>
      <c r="D291" s="223"/>
      <c r="E291" s="223"/>
      <c r="F291" s="357"/>
      <c r="G291" s="223"/>
      <c r="H291" s="223"/>
      <c r="I291" s="223"/>
      <c r="J291" s="223"/>
      <c r="K291" s="223"/>
      <c r="L291" s="223"/>
      <c r="M291" s="223"/>
      <c r="N291" s="223"/>
      <c r="O291" s="223"/>
      <c r="P291" s="223"/>
      <c r="Q291" s="223"/>
      <c r="R291" s="223"/>
    </row>
    <row r="292">
      <c r="A292" s="223"/>
      <c r="B292" s="223"/>
      <c r="C292" s="223"/>
      <c r="D292" s="223"/>
      <c r="E292" s="223"/>
      <c r="F292" s="357"/>
      <c r="G292" s="223"/>
      <c r="H292" s="223"/>
      <c r="I292" s="223"/>
      <c r="J292" s="223"/>
      <c r="K292" s="223"/>
      <c r="L292" s="223"/>
      <c r="M292" s="223"/>
      <c r="N292" s="223"/>
      <c r="O292" s="223"/>
      <c r="P292" s="223"/>
      <c r="Q292" s="223"/>
      <c r="R292" s="223"/>
    </row>
    <row r="293">
      <c r="A293" s="223"/>
      <c r="B293" s="223"/>
      <c r="C293" s="223"/>
      <c r="D293" s="223"/>
      <c r="E293" s="223"/>
      <c r="F293" s="357"/>
      <c r="G293" s="223"/>
      <c r="H293" s="223"/>
      <c r="I293" s="223"/>
      <c r="J293" s="223"/>
      <c r="K293" s="223"/>
      <c r="L293" s="223"/>
      <c r="M293" s="223"/>
      <c r="N293" s="223"/>
      <c r="O293" s="223"/>
      <c r="P293" s="223"/>
      <c r="Q293" s="223"/>
      <c r="R293" s="223"/>
    </row>
    <row r="294">
      <c r="A294" s="223"/>
      <c r="B294" s="223"/>
      <c r="C294" s="223"/>
      <c r="D294" s="223"/>
      <c r="E294" s="223"/>
      <c r="F294" s="357"/>
      <c r="G294" s="223"/>
      <c r="H294" s="223"/>
      <c r="I294" s="223"/>
      <c r="J294" s="223"/>
      <c r="K294" s="223"/>
      <c r="L294" s="223"/>
      <c r="M294" s="223"/>
      <c r="N294" s="223"/>
      <c r="O294" s="223"/>
      <c r="P294" s="223"/>
      <c r="Q294" s="223"/>
      <c r="R294" s="223"/>
    </row>
    <row r="295">
      <c r="A295" s="223"/>
      <c r="B295" s="223"/>
      <c r="C295" s="223"/>
      <c r="D295" s="223"/>
      <c r="E295" s="223"/>
      <c r="F295" s="357"/>
      <c r="G295" s="223"/>
      <c r="H295" s="223"/>
      <c r="I295" s="223"/>
      <c r="J295" s="223"/>
      <c r="K295" s="223"/>
      <c r="L295" s="223"/>
      <c r="M295" s="223"/>
      <c r="N295" s="223"/>
      <c r="O295" s="223"/>
      <c r="P295" s="223"/>
      <c r="Q295" s="223"/>
      <c r="R295" s="223"/>
    </row>
    <row r="296">
      <c r="A296" s="223"/>
      <c r="B296" s="223"/>
      <c r="C296" s="223"/>
      <c r="D296" s="223"/>
      <c r="E296" s="223"/>
      <c r="F296" s="357"/>
      <c r="G296" s="223"/>
      <c r="H296" s="223"/>
      <c r="I296" s="223"/>
      <c r="J296" s="223"/>
      <c r="K296" s="223"/>
      <c r="L296" s="223"/>
      <c r="M296" s="223"/>
      <c r="N296" s="223"/>
      <c r="O296" s="223"/>
      <c r="P296" s="223"/>
      <c r="Q296" s="223"/>
      <c r="R296" s="223"/>
    </row>
    <row r="297">
      <c r="A297" s="223"/>
      <c r="B297" s="223"/>
      <c r="C297" s="223"/>
      <c r="D297" s="223"/>
      <c r="E297" s="223"/>
      <c r="F297" s="357"/>
      <c r="G297" s="223"/>
      <c r="H297" s="223"/>
      <c r="I297" s="223"/>
      <c r="J297" s="223"/>
      <c r="K297" s="223"/>
      <c r="L297" s="223"/>
      <c r="M297" s="223"/>
      <c r="N297" s="223"/>
      <c r="O297" s="223"/>
      <c r="P297" s="223"/>
      <c r="Q297" s="223"/>
      <c r="R297" s="223"/>
    </row>
    <row r="298">
      <c r="A298" s="223"/>
      <c r="B298" s="223"/>
      <c r="C298" s="223"/>
      <c r="D298" s="223"/>
      <c r="E298" s="223"/>
      <c r="F298" s="357"/>
      <c r="G298" s="223"/>
      <c r="H298" s="223"/>
      <c r="I298" s="223"/>
      <c r="J298" s="223"/>
      <c r="K298" s="223"/>
      <c r="L298" s="223"/>
      <c r="M298" s="223"/>
      <c r="N298" s="223"/>
      <c r="O298" s="223"/>
      <c r="P298" s="223"/>
      <c r="Q298" s="223"/>
      <c r="R298" s="223"/>
    </row>
    <row r="299">
      <c r="A299" s="223"/>
      <c r="B299" s="223"/>
      <c r="C299" s="223"/>
      <c r="D299" s="223"/>
      <c r="E299" s="223"/>
      <c r="F299" s="357"/>
      <c r="G299" s="223"/>
      <c r="H299" s="223"/>
      <c r="I299" s="223"/>
      <c r="J299" s="223"/>
      <c r="K299" s="223"/>
      <c r="L299" s="223"/>
      <c r="M299" s="223"/>
      <c r="N299" s="223"/>
      <c r="O299" s="223"/>
      <c r="P299" s="223"/>
      <c r="Q299" s="223"/>
      <c r="R299" s="223"/>
    </row>
    <row r="300">
      <c r="A300" s="223"/>
      <c r="B300" s="223"/>
      <c r="C300" s="223"/>
      <c r="D300" s="223"/>
      <c r="E300" s="223"/>
      <c r="F300" s="357"/>
      <c r="G300" s="223"/>
      <c r="H300" s="223"/>
      <c r="I300" s="223"/>
      <c r="J300" s="223"/>
      <c r="K300" s="223"/>
      <c r="L300" s="223"/>
      <c r="M300" s="223"/>
      <c r="N300" s="223"/>
      <c r="O300" s="223"/>
      <c r="P300" s="223"/>
      <c r="Q300" s="223"/>
      <c r="R300" s="223"/>
    </row>
    <row r="301">
      <c r="A301" s="223"/>
      <c r="B301" s="223"/>
      <c r="C301" s="223"/>
      <c r="D301" s="223"/>
      <c r="E301" s="223"/>
      <c r="F301" s="357"/>
      <c r="G301" s="223"/>
      <c r="H301" s="223"/>
      <c r="I301" s="223"/>
      <c r="J301" s="223"/>
      <c r="K301" s="223"/>
      <c r="L301" s="223"/>
      <c r="M301" s="223"/>
      <c r="N301" s="223"/>
      <c r="O301" s="223"/>
      <c r="P301" s="223"/>
      <c r="Q301" s="223"/>
      <c r="R301" s="223"/>
    </row>
    <row r="302">
      <c r="A302" s="223"/>
      <c r="B302" s="223"/>
      <c r="C302" s="223"/>
      <c r="D302" s="223"/>
      <c r="E302" s="223"/>
      <c r="F302" s="357"/>
      <c r="G302" s="223"/>
      <c r="H302" s="223"/>
      <c r="I302" s="223"/>
      <c r="J302" s="223"/>
      <c r="K302" s="223"/>
      <c r="L302" s="223"/>
      <c r="M302" s="223"/>
      <c r="N302" s="223"/>
      <c r="O302" s="223"/>
      <c r="P302" s="223"/>
      <c r="Q302" s="223"/>
      <c r="R302" s="223"/>
    </row>
    <row r="303">
      <c r="A303" s="223"/>
      <c r="B303" s="223"/>
      <c r="C303" s="223"/>
      <c r="D303" s="223"/>
      <c r="E303" s="223"/>
      <c r="F303" s="357"/>
      <c r="G303" s="223"/>
      <c r="H303" s="223"/>
      <c r="I303" s="223"/>
      <c r="J303" s="223"/>
      <c r="K303" s="223"/>
      <c r="L303" s="223"/>
      <c r="M303" s="223"/>
      <c r="N303" s="223"/>
      <c r="O303" s="223"/>
      <c r="P303" s="223"/>
      <c r="Q303" s="223"/>
      <c r="R303" s="223"/>
    </row>
    <row r="304">
      <c r="A304" s="223"/>
      <c r="B304" s="223"/>
      <c r="C304" s="223"/>
      <c r="D304" s="223"/>
      <c r="E304" s="223"/>
      <c r="F304" s="357"/>
      <c r="G304" s="223"/>
      <c r="H304" s="223"/>
      <c r="I304" s="223"/>
      <c r="J304" s="223"/>
      <c r="K304" s="223"/>
      <c r="L304" s="223"/>
      <c r="M304" s="223"/>
      <c r="N304" s="223"/>
      <c r="O304" s="223"/>
      <c r="P304" s="223"/>
      <c r="Q304" s="223"/>
      <c r="R304" s="223"/>
    </row>
    <row r="305">
      <c r="A305" s="223"/>
      <c r="B305" s="223"/>
      <c r="C305" s="223"/>
      <c r="D305" s="223"/>
      <c r="E305" s="223"/>
      <c r="F305" s="357"/>
      <c r="G305" s="223"/>
      <c r="H305" s="223"/>
      <c r="I305" s="223"/>
      <c r="J305" s="223"/>
      <c r="K305" s="223"/>
      <c r="L305" s="223"/>
      <c r="M305" s="223"/>
      <c r="N305" s="223"/>
      <c r="O305" s="223"/>
      <c r="P305" s="223"/>
      <c r="Q305" s="223"/>
      <c r="R305" s="223"/>
    </row>
    <row r="306">
      <c r="A306" s="223"/>
      <c r="B306" s="223"/>
      <c r="C306" s="223"/>
      <c r="D306" s="223"/>
      <c r="E306" s="223"/>
      <c r="F306" s="357"/>
      <c r="G306" s="223"/>
      <c r="H306" s="223"/>
      <c r="I306" s="223"/>
      <c r="J306" s="223"/>
      <c r="K306" s="223"/>
      <c r="L306" s="223"/>
      <c r="M306" s="223"/>
      <c r="N306" s="223"/>
      <c r="O306" s="223"/>
      <c r="P306" s="223"/>
      <c r="Q306" s="223"/>
      <c r="R306" s="223"/>
    </row>
    <row r="307">
      <c r="A307" s="223"/>
      <c r="B307" s="223"/>
      <c r="C307" s="223"/>
      <c r="D307" s="223"/>
      <c r="E307" s="223"/>
      <c r="F307" s="357"/>
      <c r="G307" s="223"/>
      <c r="H307" s="223"/>
      <c r="I307" s="223"/>
      <c r="J307" s="223"/>
      <c r="K307" s="223"/>
      <c r="L307" s="223"/>
      <c r="M307" s="223"/>
      <c r="N307" s="223"/>
      <c r="O307" s="223"/>
      <c r="P307" s="223"/>
      <c r="Q307" s="223"/>
      <c r="R307" s="223"/>
    </row>
    <row r="308">
      <c r="A308" s="223"/>
      <c r="B308" s="223"/>
      <c r="C308" s="223"/>
      <c r="D308" s="223"/>
      <c r="E308" s="223"/>
      <c r="F308" s="357"/>
      <c r="G308" s="223"/>
      <c r="H308" s="223"/>
      <c r="I308" s="223"/>
      <c r="J308" s="223"/>
      <c r="K308" s="223"/>
      <c r="L308" s="223"/>
      <c r="M308" s="223"/>
      <c r="N308" s="223"/>
      <c r="O308" s="223"/>
      <c r="P308" s="223"/>
      <c r="Q308" s="223"/>
      <c r="R308" s="223"/>
    </row>
    <row r="309">
      <c r="A309" s="223"/>
      <c r="B309" s="223"/>
      <c r="C309" s="223"/>
      <c r="D309" s="223"/>
      <c r="E309" s="223"/>
      <c r="F309" s="357"/>
      <c r="G309" s="223"/>
      <c r="H309" s="223"/>
      <c r="I309" s="223"/>
      <c r="J309" s="223"/>
      <c r="K309" s="223"/>
      <c r="L309" s="223"/>
      <c r="M309" s="223"/>
      <c r="N309" s="223"/>
      <c r="O309" s="223"/>
      <c r="P309" s="223"/>
      <c r="Q309" s="223"/>
      <c r="R309" s="223"/>
    </row>
    <row r="310">
      <c r="A310" s="223"/>
      <c r="B310" s="223"/>
      <c r="C310" s="223"/>
      <c r="D310" s="223"/>
      <c r="E310" s="223"/>
      <c r="F310" s="357"/>
      <c r="G310" s="223"/>
      <c r="H310" s="223"/>
      <c r="I310" s="223"/>
      <c r="J310" s="223"/>
      <c r="K310" s="223"/>
      <c r="L310" s="223"/>
      <c r="M310" s="223"/>
      <c r="N310" s="223"/>
      <c r="O310" s="223"/>
      <c r="P310" s="223"/>
      <c r="Q310" s="223"/>
      <c r="R310" s="223"/>
    </row>
    <row r="311">
      <c r="A311" s="223"/>
      <c r="B311" s="223"/>
      <c r="C311" s="223"/>
      <c r="D311" s="223"/>
      <c r="E311" s="223"/>
      <c r="F311" s="357"/>
      <c r="G311" s="223"/>
      <c r="H311" s="223"/>
      <c r="I311" s="223"/>
      <c r="J311" s="223"/>
      <c r="K311" s="223"/>
      <c r="L311" s="223"/>
      <c r="M311" s="223"/>
      <c r="N311" s="223"/>
      <c r="O311" s="223"/>
      <c r="P311" s="223"/>
      <c r="Q311" s="223"/>
      <c r="R311" s="223"/>
    </row>
    <row r="312">
      <c r="A312" s="223"/>
      <c r="B312" s="223"/>
      <c r="C312" s="223"/>
      <c r="D312" s="223"/>
      <c r="E312" s="223"/>
      <c r="F312" s="357"/>
      <c r="G312" s="223"/>
      <c r="H312" s="223"/>
      <c r="I312" s="223"/>
      <c r="J312" s="223"/>
      <c r="K312" s="223"/>
      <c r="L312" s="223"/>
      <c r="M312" s="223"/>
      <c r="N312" s="223"/>
      <c r="O312" s="223"/>
      <c r="P312" s="223"/>
      <c r="Q312" s="223"/>
      <c r="R312" s="223"/>
    </row>
    <row r="313">
      <c r="A313" s="223"/>
      <c r="B313" s="223"/>
      <c r="C313" s="223"/>
      <c r="D313" s="223"/>
      <c r="E313" s="223"/>
      <c r="F313" s="357"/>
      <c r="G313" s="223"/>
      <c r="H313" s="223"/>
      <c r="I313" s="223"/>
      <c r="J313" s="223"/>
      <c r="K313" s="223"/>
      <c r="L313" s="223"/>
      <c r="M313" s="223"/>
      <c r="N313" s="223"/>
      <c r="O313" s="223"/>
      <c r="P313" s="223"/>
      <c r="Q313" s="223"/>
      <c r="R313" s="223"/>
    </row>
    <row r="314">
      <c r="A314" s="223"/>
      <c r="B314" s="223"/>
      <c r="C314" s="223"/>
      <c r="D314" s="223"/>
      <c r="E314" s="223"/>
      <c r="F314" s="357"/>
      <c r="G314" s="223"/>
      <c r="H314" s="223"/>
      <c r="I314" s="223"/>
      <c r="J314" s="223"/>
      <c r="K314" s="223"/>
      <c r="L314" s="223"/>
      <c r="M314" s="223"/>
      <c r="N314" s="223"/>
      <c r="O314" s="223"/>
      <c r="P314" s="223"/>
      <c r="Q314" s="223"/>
      <c r="R314" s="223"/>
    </row>
    <row r="315">
      <c r="A315" s="223"/>
      <c r="B315" s="223"/>
      <c r="C315" s="223"/>
      <c r="D315" s="223"/>
      <c r="E315" s="223"/>
      <c r="F315" s="357"/>
      <c r="G315" s="223"/>
      <c r="H315" s="223"/>
      <c r="I315" s="223"/>
      <c r="J315" s="223"/>
      <c r="K315" s="223"/>
      <c r="L315" s="223"/>
      <c r="M315" s="223"/>
      <c r="N315" s="223"/>
      <c r="O315" s="223"/>
      <c r="P315" s="223"/>
      <c r="Q315" s="223"/>
      <c r="R315" s="223"/>
    </row>
    <row r="316">
      <c r="A316" s="223"/>
      <c r="B316" s="223"/>
      <c r="C316" s="223"/>
      <c r="D316" s="223"/>
      <c r="E316" s="223"/>
      <c r="F316" s="357"/>
      <c r="G316" s="223"/>
      <c r="H316" s="223"/>
      <c r="I316" s="223"/>
      <c r="J316" s="223"/>
      <c r="K316" s="223"/>
      <c r="L316" s="223"/>
      <c r="M316" s="223"/>
      <c r="N316" s="223"/>
      <c r="O316" s="223"/>
      <c r="P316" s="223"/>
      <c r="Q316" s="223"/>
      <c r="R316" s="223"/>
    </row>
    <row r="317">
      <c r="A317" s="223"/>
      <c r="B317" s="223"/>
      <c r="C317" s="223"/>
      <c r="D317" s="223"/>
      <c r="E317" s="223"/>
      <c r="F317" s="357"/>
      <c r="G317" s="223"/>
      <c r="H317" s="223"/>
      <c r="I317" s="223"/>
      <c r="J317" s="223"/>
      <c r="K317" s="223"/>
      <c r="L317" s="223"/>
      <c r="M317" s="223"/>
      <c r="N317" s="223"/>
      <c r="O317" s="223"/>
      <c r="P317" s="223"/>
      <c r="Q317" s="223"/>
      <c r="R317" s="223"/>
    </row>
    <row r="318">
      <c r="A318" s="223"/>
      <c r="B318" s="223"/>
      <c r="C318" s="223"/>
      <c r="D318" s="223"/>
      <c r="E318" s="223"/>
      <c r="F318" s="357"/>
      <c r="G318" s="223"/>
      <c r="H318" s="223"/>
      <c r="I318" s="223"/>
      <c r="J318" s="223"/>
      <c r="K318" s="223"/>
      <c r="L318" s="223"/>
      <c r="M318" s="223"/>
      <c r="N318" s="223"/>
      <c r="O318" s="223"/>
      <c r="P318" s="223"/>
      <c r="Q318" s="223"/>
      <c r="R318" s="223"/>
    </row>
    <row r="319">
      <c r="A319" s="223"/>
      <c r="B319" s="223"/>
      <c r="C319" s="223"/>
      <c r="D319" s="223"/>
      <c r="E319" s="223"/>
      <c r="F319" s="357"/>
      <c r="G319" s="223"/>
      <c r="H319" s="223"/>
      <c r="I319" s="223"/>
      <c r="J319" s="223"/>
      <c r="K319" s="223"/>
      <c r="L319" s="223"/>
      <c r="M319" s="223"/>
      <c r="N319" s="223"/>
      <c r="O319" s="223"/>
      <c r="P319" s="223"/>
      <c r="Q319" s="223"/>
      <c r="R319" s="223"/>
    </row>
    <row r="320">
      <c r="A320" s="223"/>
      <c r="B320" s="223"/>
      <c r="C320" s="223"/>
      <c r="D320" s="223"/>
      <c r="E320" s="223"/>
      <c r="F320" s="357"/>
      <c r="G320" s="223"/>
      <c r="H320" s="223"/>
      <c r="I320" s="223"/>
      <c r="J320" s="223"/>
      <c r="K320" s="223"/>
      <c r="L320" s="223"/>
      <c r="M320" s="223"/>
      <c r="N320" s="223"/>
      <c r="O320" s="223"/>
      <c r="P320" s="223"/>
      <c r="Q320" s="223"/>
      <c r="R320" s="223"/>
    </row>
    <row r="321">
      <c r="A321" s="223"/>
      <c r="B321" s="223"/>
      <c r="C321" s="223"/>
      <c r="D321" s="223"/>
      <c r="E321" s="223"/>
      <c r="F321" s="357"/>
      <c r="G321" s="223"/>
      <c r="H321" s="223"/>
      <c r="I321" s="223"/>
      <c r="J321" s="223"/>
      <c r="K321" s="223"/>
      <c r="L321" s="223"/>
      <c r="M321" s="223"/>
      <c r="N321" s="223"/>
      <c r="O321" s="223"/>
      <c r="P321" s="223"/>
      <c r="Q321" s="223"/>
      <c r="R321" s="223"/>
    </row>
    <row r="322">
      <c r="A322" s="223"/>
      <c r="B322" s="223"/>
      <c r="C322" s="223"/>
      <c r="D322" s="223"/>
      <c r="E322" s="223"/>
      <c r="F322" s="357"/>
      <c r="G322" s="223"/>
      <c r="H322" s="223"/>
      <c r="I322" s="223"/>
      <c r="J322" s="223"/>
      <c r="K322" s="223"/>
      <c r="L322" s="223"/>
      <c r="M322" s="223"/>
      <c r="N322" s="223"/>
      <c r="O322" s="223"/>
      <c r="P322" s="223"/>
      <c r="Q322" s="223"/>
      <c r="R322" s="223"/>
    </row>
    <row r="323">
      <c r="A323" s="223"/>
      <c r="B323" s="223"/>
      <c r="C323" s="223"/>
      <c r="D323" s="223"/>
      <c r="E323" s="223"/>
      <c r="F323" s="357"/>
      <c r="G323" s="223"/>
      <c r="H323" s="223"/>
      <c r="I323" s="223"/>
      <c r="J323" s="223"/>
      <c r="K323" s="223"/>
      <c r="L323" s="223"/>
      <c r="M323" s="223"/>
      <c r="N323" s="223"/>
      <c r="O323" s="223"/>
      <c r="P323" s="223"/>
      <c r="Q323" s="223"/>
      <c r="R323" s="223"/>
    </row>
    <row r="324">
      <c r="A324" s="223"/>
      <c r="B324" s="223"/>
      <c r="C324" s="223"/>
      <c r="D324" s="223"/>
      <c r="E324" s="223"/>
      <c r="F324" s="357"/>
      <c r="G324" s="223"/>
      <c r="H324" s="223"/>
      <c r="I324" s="223"/>
      <c r="J324" s="223"/>
      <c r="K324" s="223"/>
      <c r="L324" s="223"/>
      <c r="M324" s="223"/>
      <c r="N324" s="223"/>
      <c r="O324" s="223"/>
      <c r="P324" s="223"/>
      <c r="Q324" s="223"/>
      <c r="R324" s="223"/>
    </row>
    <row r="325">
      <c r="A325" s="223"/>
      <c r="B325" s="223"/>
      <c r="C325" s="223"/>
      <c r="D325" s="223"/>
      <c r="E325" s="223"/>
      <c r="F325" s="357"/>
      <c r="G325" s="223"/>
      <c r="H325" s="223"/>
      <c r="I325" s="223"/>
      <c r="J325" s="223"/>
      <c r="K325" s="223"/>
      <c r="L325" s="223"/>
      <c r="M325" s="223"/>
      <c r="N325" s="223"/>
      <c r="O325" s="223"/>
      <c r="P325" s="223"/>
      <c r="Q325" s="223"/>
      <c r="R325" s="223"/>
    </row>
    <row r="326">
      <c r="A326" s="223"/>
      <c r="B326" s="223"/>
      <c r="C326" s="223"/>
      <c r="D326" s="223"/>
      <c r="E326" s="223"/>
      <c r="F326" s="357"/>
      <c r="G326" s="223"/>
      <c r="H326" s="223"/>
      <c r="I326" s="223"/>
      <c r="J326" s="223"/>
      <c r="K326" s="223"/>
      <c r="L326" s="223"/>
      <c r="M326" s="223"/>
      <c r="N326" s="223"/>
      <c r="O326" s="223"/>
      <c r="P326" s="223"/>
      <c r="Q326" s="223"/>
      <c r="R326" s="223"/>
    </row>
    <row r="327">
      <c r="A327" s="223"/>
      <c r="B327" s="223"/>
      <c r="C327" s="223"/>
      <c r="D327" s="223"/>
      <c r="E327" s="223"/>
      <c r="F327" s="357"/>
      <c r="G327" s="223"/>
      <c r="H327" s="223"/>
      <c r="I327" s="223"/>
      <c r="J327" s="223"/>
      <c r="K327" s="223"/>
      <c r="L327" s="223"/>
      <c r="M327" s="223"/>
      <c r="N327" s="223"/>
      <c r="O327" s="223"/>
      <c r="P327" s="223"/>
      <c r="Q327" s="223"/>
      <c r="R327" s="223"/>
    </row>
    <row r="328">
      <c r="A328" s="223"/>
      <c r="B328" s="223"/>
      <c r="C328" s="223"/>
      <c r="D328" s="223"/>
      <c r="E328" s="223"/>
      <c r="F328" s="357"/>
      <c r="G328" s="223"/>
      <c r="H328" s="223"/>
      <c r="I328" s="223"/>
      <c r="J328" s="223"/>
      <c r="K328" s="223"/>
      <c r="L328" s="223"/>
      <c r="M328" s="223"/>
      <c r="N328" s="223"/>
      <c r="O328" s="223"/>
      <c r="P328" s="223"/>
      <c r="Q328" s="223"/>
      <c r="R328" s="223"/>
    </row>
    <row r="329">
      <c r="A329" s="223"/>
      <c r="B329" s="223"/>
      <c r="C329" s="223"/>
      <c r="D329" s="223"/>
      <c r="E329" s="223"/>
      <c r="F329" s="357"/>
      <c r="G329" s="223"/>
      <c r="H329" s="223"/>
      <c r="I329" s="223"/>
      <c r="J329" s="223"/>
      <c r="K329" s="223"/>
      <c r="L329" s="223"/>
      <c r="M329" s="223"/>
      <c r="N329" s="223"/>
      <c r="O329" s="223"/>
      <c r="P329" s="223"/>
      <c r="Q329" s="223"/>
      <c r="R329" s="223"/>
    </row>
    <row r="330">
      <c r="A330" s="223"/>
      <c r="B330" s="223"/>
      <c r="C330" s="223"/>
      <c r="D330" s="223"/>
      <c r="E330" s="223"/>
      <c r="F330" s="357"/>
      <c r="G330" s="223"/>
      <c r="H330" s="223"/>
      <c r="I330" s="223"/>
      <c r="J330" s="223"/>
      <c r="K330" s="223"/>
      <c r="L330" s="223"/>
      <c r="M330" s="223"/>
      <c r="N330" s="223"/>
      <c r="O330" s="223"/>
      <c r="P330" s="223"/>
      <c r="Q330" s="223"/>
      <c r="R330" s="223"/>
    </row>
    <row r="331">
      <c r="A331" s="223"/>
      <c r="B331" s="223"/>
      <c r="C331" s="223"/>
      <c r="D331" s="223"/>
      <c r="E331" s="223"/>
      <c r="F331" s="357"/>
      <c r="G331" s="223"/>
      <c r="H331" s="223"/>
      <c r="I331" s="223"/>
      <c r="J331" s="223"/>
      <c r="K331" s="223"/>
      <c r="L331" s="223"/>
      <c r="M331" s="223"/>
      <c r="N331" s="223"/>
      <c r="O331" s="223"/>
      <c r="P331" s="223"/>
      <c r="Q331" s="223"/>
      <c r="R331" s="223"/>
    </row>
    <row r="332">
      <c r="A332" s="223"/>
      <c r="B332" s="223"/>
      <c r="C332" s="223"/>
      <c r="D332" s="223"/>
      <c r="E332" s="223"/>
      <c r="F332" s="357"/>
      <c r="G332" s="223"/>
      <c r="H332" s="223"/>
      <c r="I332" s="223"/>
      <c r="J332" s="223"/>
      <c r="K332" s="223"/>
      <c r="L332" s="223"/>
      <c r="M332" s="223"/>
      <c r="N332" s="223"/>
      <c r="O332" s="223"/>
      <c r="P332" s="223"/>
      <c r="Q332" s="223"/>
      <c r="R332" s="223"/>
    </row>
    <row r="333">
      <c r="A333" s="223"/>
      <c r="B333" s="223"/>
      <c r="C333" s="223"/>
      <c r="D333" s="223"/>
      <c r="E333" s="223"/>
      <c r="F333" s="357"/>
      <c r="G333" s="223"/>
      <c r="H333" s="223"/>
      <c r="I333" s="223"/>
      <c r="J333" s="223"/>
      <c r="K333" s="223"/>
      <c r="L333" s="223"/>
      <c r="M333" s="223"/>
      <c r="N333" s="223"/>
      <c r="O333" s="223"/>
      <c r="P333" s="223"/>
      <c r="Q333" s="223"/>
      <c r="R333" s="223"/>
    </row>
    <row r="334">
      <c r="A334" s="223"/>
      <c r="B334" s="223"/>
      <c r="C334" s="223"/>
      <c r="D334" s="223"/>
      <c r="E334" s="223"/>
      <c r="F334" s="357"/>
      <c r="G334" s="223"/>
      <c r="H334" s="223"/>
      <c r="I334" s="223"/>
      <c r="J334" s="223"/>
      <c r="K334" s="223"/>
      <c r="L334" s="223"/>
      <c r="M334" s="223"/>
      <c r="N334" s="223"/>
      <c r="O334" s="223"/>
      <c r="P334" s="223"/>
      <c r="Q334" s="223"/>
      <c r="R334" s="223"/>
    </row>
    <row r="335">
      <c r="A335" s="223"/>
      <c r="B335" s="223"/>
      <c r="C335" s="223"/>
      <c r="D335" s="223"/>
      <c r="E335" s="223"/>
      <c r="F335" s="357"/>
      <c r="G335" s="223"/>
      <c r="H335" s="223"/>
      <c r="I335" s="223"/>
      <c r="J335" s="223"/>
      <c r="K335" s="223"/>
      <c r="L335" s="223"/>
      <c r="M335" s="223"/>
      <c r="N335" s="223"/>
      <c r="O335" s="223"/>
      <c r="P335" s="223"/>
      <c r="Q335" s="223"/>
      <c r="R335" s="223"/>
    </row>
    <row r="336">
      <c r="A336" s="223"/>
      <c r="B336" s="223"/>
      <c r="C336" s="223"/>
      <c r="D336" s="223"/>
      <c r="E336" s="223"/>
      <c r="F336" s="357"/>
      <c r="G336" s="223"/>
      <c r="H336" s="223"/>
      <c r="I336" s="223"/>
      <c r="J336" s="223"/>
      <c r="K336" s="223"/>
      <c r="L336" s="223"/>
      <c r="M336" s="223"/>
      <c r="N336" s="223"/>
      <c r="O336" s="223"/>
      <c r="P336" s="223"/>
      <c r="Q336" s="223"/>
      <c r="R336" s="223"/>
    </row>
    <row r="337">
      <c r="A337" s="223"/>
      <c r="B337" s="223"/>
      <c r="C337" s="223"/>
      <c r="D337" s="223"/>
      <c r="E337" s="223"/>
      <c r="F337" s="357"/>
      <c r="G337" s="223"/>
      <c r="H337" s="223"/>
      <c r="I337" s="223"/>
      <c r="J337" s="223"/>
      <c r="K337" s="223"/>
      <c r="L337" s="223"/>
      <c r="M337" s="223"/>
      <c r="N337" s="223"/>
      <c r="O337" s="223"/>
      <c r="P337" s="223"/>
      <c r="Q337" s="223"/>
      <c r="R337" s="223"/>
    </row>
    <row r="338">
      <c r="A338" s="223"/>
      <c r="B338" s="223"/>
      <c r="C338" s="223"/>
      <c r="D338" s="223"/>
      <c r="E338" s="223"/>
      <c r="F338" s="357"/>
      <c r="G338" s="223"/>
      <c r="H338" s="223"/>
      <c r="I338" s="223"/>
      <c r="J338" s="223"/>
      <c r="K338" s="223"/>
      <c r="L338" s="223"/>
      <c r="M338" s="223"/>
      <c r="N338" s="223"/>
      <c r="O338" s="223"/>
      <c r="P338" s="223"/>
      <c r="Q338" s="223"/>
      <c r="R338" s="223"/>
    </row>
    <row r="339">
      <c r="A339" s="223"/>
      <c r="B339" s="223"/>
      <c r="C339" s="223"/>
      <c r="D339" s="223"/>
      <c r="E339" s="223"/>
      <c r="F339" s="357"/>
      <c r="G339" s="223"/>
      <c r="H339" s="223"/>
      <c r="I339" s="223"/>
      <c r="J339" s="223"/>
      <c r="K339" s="223"/>
      <c r="L339" s="223"/>
      <c r="M339" s="223"/>
      <c r="N339" s="223"/>
      <c r="O339" s="223"/>
      <c r="P339" s="223"/>
      <c r="Q339" s="223"/>
      <c r="R339" s="223"/>
    </row>
    <row r="340">
      <c r="A340" s="223"/>
      <c r="B340" s="223"/>
      <c r="C340" s="223"/>
      <c r="D340" s="223"/>
      <c r="E340" s="223"/>
      <c r="F340" s="357"/>
      <c r="G340" s="223"/>
      <c r="H340" s="223"/>
      <c r="I340" s="223"/>
      <c r="J340" s="223"/>
      <c r="K340" s="223"/>
      <c r="L340" s="223"/>
      <c r="M340" s="223"/>
      <c r="N340" s="223"/>
      <c r="O340" s="223"/>
      <c r="P340" s="223"/>
      <c r="Q340" s="223"/>
      <c r="R340" s="223"/>
    </row>
    <row r="341">
      <c r="A341" s="223"/>
      <c r="B341" s="223"/>
      <c r="C341" s="223"/>
      <c r="D341" s="223"/>
      <c r="E341" s="223"/>
      <c r="F341" s="357"/>
      <c r="G341" s="223"/>
      <c r="H341" s="223"/>
      <c r="I341" s="223"/>
      <c r="J341" s="223"/>
      <c r="K341" s="223"/>
      <c r="L341" s="223"/>
      <c r="M341" s="223"/>
      <c r="N341" s="223"/>
      <c r="O341" s="223"/>
      <c r="P341" s="223"/>
      <c r="Q341" s="223"/>
      <c r="R341" s="223"/>
    </row>
    <row r="342">
      <c r="A342" s="223"/>
      <c r="B342" s="223"/>
      <c r="C342" s="223"/>
      <c r="D342" s="223"/>
      <c r="E342" s="223"/>
      <c r="F342" s="357"/>
      <c r="G342" s="223"/>
      <c r="H342" s="223"/>
      <c r="I342" s="223"/>
      <c r="J342" s="223"/>
      <c r="K342" s="223"/>
      <c r="L342" s="223"/>
      <c r="M342" s="223"/>
      <c r="N342" s="223"/>
      <c r="O342" s="223"/>
      <c r="P342" s="223"/>
      <c r="Q342" s="223"/>
      <c r="R342" s="223"/>
    </row>
    <row r="343">
      <c r="A343" s="223"/>
      <c r="B343" s="223"/>
      <c r="C343" s="223"/>
      <c r="D343" s="223"/>
      <c r="E343" s="223"/>
      <c r="F343" s="357"/>
      <c r="G343" s="223"/>
      <c r="H343" s="223"/>
      <c r="I343" s="223"/>
      <c r="J343" s="223"/>
      <c r="K343" s="223"/>
      <c r="L343" s="223"/>
      <c r="M343" s="223"/>
      <c r="N343" s="223"/>
      <c r="O343" s="223"/>
      <c r="P343" s="223"/>
      <c r="Q343" s="223"/>
      <c r="R343" s="223"/>
    </row>
    <row r="344">
      <c r="A344" s="223"/>
      <c r="B344" s="223"/>
      <c r="C344" s="223"/>
      <c r="D344" s="223"/>
      <c r="E344" s="223"/>
      <c r="F344" s="357"/>
      <c r="G344" s="223"/>
      <c r="H344" s="223"/>
      <c r="I344" s="223"/>
      <c r="J344" s="223"/>
      <c r="K344" s="223"/>
      <c r="L344" s="223"/>
      <c r="M344" s="223"/>
      <c r="N344" s="223"/>
      <c r="O344" s="223"/>
      <c r="P344" s="223"/>
      <c r="Q344" s="223"/>
      <c r="R344" s="223"/>
    </row>
    <row r="345">
      <c r="A345" s="223"/>
      <c r="B345" s="223"/>
      <c r="C345" s="223"/>
      <c r="D345" s="223"/>
      <c r="E345" s="223"/>
      <c r="F345" s="357"/>
      <c r="G345" s="223"/>
      <c r="H345" s="223"/>
      <c r="I345" s="223"/>
      <c r="J345" s="223"/>
      <c r="K345" s="223"/>
      <c r="L345" s="223"/>
      <c r="M345" s="223"/>
      <c r="N345" s="223"/>
      <c r="O345" s="223"/>
      <c r="P345" s="223"/>
      <c r="Q345" s="223"/>
      <c r="R345" s="223"/>
    </row>
    <row r="346">
      <c r="A346" s="223"/>
      <c r="B346" s="223"/>
      <c r="C346" s="223"/>
      <c r="D346" s="223"/>
      <c r="E346" s="223"/>
      <c r="F346" s="357"/>
      <c r="G346" s="223"/>
      <c r="H346" s="223"/>
      <c r="I346" s="223"/>
      <c r="J346" s="223"/>
      <c r="K346" s="223"/>
      <c r="L346" s="223"/>
      <c r="M346" s="223"/>
      <c r="N346" s="223"/>
      <c r="O346" s="223"/>
      <c r="P346" s="223"/>
      <c r="Q346" s="223"/>
      <c r="R346" s="223"/>
    </row>
    <row r="347">
      <c r="A347" s="223"/>
      <c r="B347" s="223"/>
      <c r="C347" s="223"/>
      <c r="D347" s="223"/>
      <c r="E347" s="223"/>
      <c r="F347" s="357"/>
      <c r="G347" s="223"/>
      <c r="H347" s="223"/>
      <c r="I347" s="223"/>
      <c r="J347" s="223"/>
      <c r="K347" s="223"/>
      <c r="L347" s="223"/>
      <c r="M347" s="223"/>
      <c r="N347" s="223"/>
      <c r="O347" s="223"/>
      <c r="P347" s="223"/>
      <c r="Q347" s="223"/>
      <c r="R347" s="223"/>
    </row>
    <row r="348">
      <c r="A348" s="223"/>
      <c r="B348" s="223"/>
      <c r="C348" s="223"/>
      <c r="D348" s="223"/>
      <c r="E348" s="223"/>
      <c r="F348" s="357"/>
      <c r="G348" s="223"/>
      <c r="H348" s="223"/>
      <c r="I348" s="223"/>
      <c r="J348" s="223"/>
      <c r="K348" s="223"/>
      <c r="L348" s="223"/>
      <c r="M348" s="223"/>
      <c r="N348" s="223"/>
      <c r="O348" s="223"/>
      <c r="P348" s="223"/>
      <c r="Q348" s="223"/>
      <c r="R348" s="223"/>
    </row>
    <row r="349">
      <c r="A349" s="223"/>
      <c r="B349" s="223"/>
      <c r="C349" s="223"/>
      <c r="D349" s="223"/>
      <c r="E349" s="223"/>
      <c r="F349" s="357"/>
      <c r="G349" s="223"/>
      <c r="H349" s="223"/>
      <c r="I349" s="223"/>
      <c r="J349" s="223"/>
      <c r="K349" s="223"/>
      <c r="L349" s="223"/>
      <c r="M349" s="223"/>
      <c r="N349" s="223"/>
      <c r="O349" s="223"/>
      <c r="P349" s="223"/>
      <c r="Q349" s="223"/>
      <c r="R349" s="223"/>
    </row>
    <row r="350">
      <c r="A350" s="223"/>
      <c r="B350" s="223"/>
      <c r="C350" s="223"/>
      <c r="D350" s="223"/>
      <c r="E350" s="223"/>
      <c r="F350" s="357"/>
      <c r="G350" s="223"/>
      <c r="H350" s="223"/>
      <c r="I350" s="223"/>
      <c r="J350" s="223"/>
      <c r="K350" s="223"/>
      <c r="L350" s="223"/>
      <c r="M350" s="223"/>
      <c r="N350" s="223"/>
      <c r="O350" s="223"/>
      <c r="P350" s="223"/>
      <c r="Q350" s="223"/>
      <c r="R350" s="223"/>
    </row>
    <row r="351">
      <c r="A351" s="223"/>
      <c r="B351" s="223"/>
      <c r="C351" s="223"/>
      <c r="D351" s="223"/>
      <c r="E351" s="223"/>
      <c r="F351" s="357"/>
      <c r="G351" s="223"/>
      <c r="H351" s="223"/>
      <c r="I351" s="223"/>
      <c r="J351" s="223"/>
      <c r="K351" s="223"/>
      <c r="L351" s="223"/>
      <c r="M351" s="223"/>
      <c r="N351" s="223"/>
      <c r="O351" s="223"/>
      <c r="P351" s="223"/>
      <c r="Q351" s="223"/>
      <c r="R351" s="223"/>
    </row>
    <row r="352">
      <c r="A352" s="223"/>
      <c r="B352" s="223"/>
      <c r="C352" s="223"/>
      <c r="D352" s="223"/>
      <c r="E352" s="223"/>
      <c r="F352" s="357"/>
      <c r="G352" s="223"/>
      <c r="H352" s="223"/>
      <c r="I352" s="223"/>
      <c r="J352" s="223"/>
      <c r="K352" s="223"/>
      <c r="L352" s="223"/>
      <c r="M352" s="223"/>
      <c r="N352" s="223"/>
      <c r="O352" s="223"/>
      <c r="P352" s="223"/>
      <c r="Q352" s="223"/>
      <c r="R352" s="223"/>
    </row>
    <row r="353">
      <c r="A353" s="223"/>
      <c r="B353" s="223"/>
      <c r="C353" s="223"/>
      <c r="D353" s="223"/>
      <c r="E353" s="223"/>
      <c r="F353" s="357"/>
      <c r="G353" s="223"/>
      <c r="H353" s="223"/>
      <c r="I353" s="223"/>
      <c r="J353" s="223"/>
      <c r="K353" s="223"/>
      <c r="L353" s="223"/>
      <c r="M353" s="223"/>
      <c r="N353" s="223"/>
      <c r="O353" s="223"/>
      <c r="P353" s="223"/>
      <c r="Q353" s="223"/>
      <c r="R353" s="223"/>
    </row>
    <row r="354">
      <c r="A354" s="223"/>
      <c r="B354" s="223"/>
      <c r="C354" s="223"/>
      <c r="D354" s="223"/>
      <c r="E354" s="223"/>
      <c r="F354" s="357"/>
      <c r="G354" s="223"/>
      <c r="H354" s="223"/>
      <c r="I354" s="223"/>
      <c r="J354" s="223"/>
      <c r="K354" s="223"/>
      <c r="L354" s="223"/>
      <c r="M354" s="223"/>
      <c r="N354" s="223"/>
      <c r="O354" s="223"/>
      <c r="P354" s="223"/>
      <c r="Q354" s="223"/>
      <c r="R354" s="223"/>
    </row>
    <row r="355">
      <c r="A355" s="223"/>
      <c r="B355" s="223"/>
      <c r="C355" s="223"/>
      <c r="D355" s="223"/>
      <c r="E355" s="223"/>
      <c r="F355" s="357"/>
      <c r="G355" s="223"/>
      <c r="H355" s="223"/>
      <c r="I355" s="223"/>
      <c r="J355" s="223"/>
      <c r="K355" s="223"/>
      <c r="L355" s="223"/>
      <c r="M355" s="223"/>
      <c r="N355" s="223"/>
      <c r="O355" s="223"/>
      <c r="P355" s="223"/>
      <c r="Q355" s="223"/>
      <c r="R355" s="223"/>
    </row>
    <row r="356">
      <c r="A356" s="223"/>
      <c r="B356" s="223"/>
      <c r="C356" s="223"/>
      <c r="D356" s="223"/>
      <c r="E356" s="223"/>
      <c r="F356" s="357"/>
      <c r="G356" s="223"/>
      <c r="H356" s="223"/>
      <c r="I356" s="223"/>
      <c r="J356" s="223"/>
      <c r="K356" s="223"/>
      <c r="L356" s="223"/>
      <c r="M356" s="223"/>
      <c r="N356" s="223"/>
      <c r="O356" s="223"/>
      <c r="P356" s="223"/>
      <c r="Q356" s="223"/>
      <c r="R356" s="223"/>
    </row>
    <row r="357">
      <c r="A357" s="223"/>
      <c r="B357" s="223"/>
      <c r="C357" s="223"/>
      <c r="D357" s="223"/>
      <c r="E357" s="223"/>
      <c r="F357" s="357"/>
      <c r="G357" s="223"/>
      <c r="H357" s="223"/>
      <c r="I357" s="223"/>
      <c r="J357" s="223"/>
      <c r="K357" s="223"/>
      <c r="L357" s="223"/>
      <c r="M357" s="223"/>
      <c r="N357" s="223"/>
      <c r="O357" s="223"/>
      <c r="P357" s="223"/>
      <c r="Q357" s="223"/>
      <c r="R357" s="223"/>
    </row>
    <row r="358">
      <c r="A358" s="223"/>
      <c r="B358" s="223"/>
      <c r="C358" s="223"/>
      <c r="D358" s="223"/>
      <c r="E358" s="223"/>
      <c r="F358" s="357"/>
      <c r="G358" s="223"/>
      <c r="H358" s="223"/>
      <c r="I358" s="223"/>
      <c r="J358" s="223"/>
      <c r="K358" s="223"/>
      <c r="L358" s="223"/>
      <c r="M358" s="223"/>
      <c r="N358" s="223"/>
      <c r="O358" s="223"/>
      <c r="P358" s="223"/>
      <c r="Q358" s="223"/>
      <c r="R358" s="223"/>
    </row>
    <row r="359">
      <c r="A359" s="223"/>
      <c r="B359" s="223"/>
      <c r="C359" s="223"/>
      <c r="D359" s="223"/>
      <c r="E359" s="223"/>
      <c r="F359" s="357"/>
      <c r="G359" s="223"/>
      <c r="H359" s="223"/>
      <c r="I359" s="223"/>
      <c r="J359" s="223"/>
      <c r="K359" s="223"/>
      <c r="L359" s="223"/>
      <c r="M359" s="223"/>
      <c r="N359" s="223"/>
      <c r="O359" s="223"/>
      <c r="P359" s="223"/>
      <c r="Q359" s="223"/>
      <c r="R359" s="223"/>
    </row>
    <row r="360">
      <c r="A360" s="223"/>
      <c r="B360" s="223"/>
      <c r="C360" s="223"/>
      <c r="D360" s="223"/>
      <c r="E360" s="223"/>
      <c r="F360" s="357"/>
      <c r="G360" s="223"/>
      <c r="H360" s="223"/>
      <c r="I360" s="223"/>
      <c r="J360" s="223"/>
      <c r="K360" s="223"/>
      <c r="L360" s="223"/>
      <c r="M360" s="223"/>
      <c r="N360" s="223"/>
      <c r="O360" s="223"/>
      <c r="P360" s="223"/>
      <c r="Q360" s="223"/>
      <c r="R360" s="223"/>
    </row>
    <row r="361">
      <c r="A361" s="223"/>
      <c r="B361" s="223"/>
      <c r="C361" s="223"/>
      <c r="D361" s="223"/>
      <c r="E361" s="223"/>
      <c r="F361" s="357"/>
      <c r="G361" s="223"/>
      <c r="H361" s="223"/>
      <c r="I361" s="223"/>
      <c r="J361" s="223"/>
      <c r="K361" s="223"/>
      <c r="L361" s="223"/>
      <c r="M361" s="223"/>
      <c r="N361" s="223"/>
      <c r="O361" s="223"/>
      <c r="P361" s="223"/>
      <c r="Q361" s="223"/>
      <c r="R361" s="223"/>
    </row>
    <row r="362">
      <c r="A362" s="223"/>
      <c r="B362" s="223"/>
      <c r="C362" s="223"/>
      <c r="D362" s="223"/>
      <c r="E362" s="223"/>
      <c r="F362" s="357"/>
      <c r="G362" s="223"/>
      <c r="H362" s="223"/>
      <c r="I362" s="223"/>
      <c r="J362" s="223"/>
      <c r="K362" s="223"/>
      <c r="L362" s="223"/>
      <c r="M362" s="223"/>
      <c r="N362" s="223"/>
      <c r="O362" s="223"/>
      <c r="P362" s="223"/>
      <c r="Q362" s="223"/>
      <c r="R362" s="223"/>
    </row>
    <row r="363">
      <c r="A363" s="223"/>
      <c r="B363" s="223"/>
      <c r="C363" s="223"/>
      <c r="D363" s="223"/>
      <c r="E363" s="223"/>
      <c r="F363" s="357"/>
      <c r="G363" s="223"/>
      <c r="H363" s="223"/>
      <c r="I363" s="223"/>
      <c r="J363" s="223"/>
      <c r="K363" s="223"/>
      <c r="L363" s="223"/>
      <c r="M363" s="223"/>
      <c r="N363" s="223"/>
      <c r="O363" s="223"/>
      <c r="P363" s="223"/>
      <c r="Q363" s="223"/>
      <c r="R363" s="223"/>
    </row>
    <row r="364">
      <c r="A364" s="223"/>
      <c r="B364" s="223"/>
      <c r="C364" s="223"/>
      <c r="D364" s="223"/>
      <c r="E364" s="223"/>
      <c r="F364" s="357"/>
      <c r="G364" s="223"/>
      <c r="H364" s="223"/>
      <c r="I364" s="223"/>
      <c r="J364" s="223"/>
      <c r="K364" s="223"/>
      <c r="L364" s="223"/>
      <c r="M364" s="223"/>
      <c r="N364" s="223"/>
      <c r="O364" s="223"/>
      <c r="P364" s="223"/>
      <c r="Q364" s="223"/>
      <c r="R364" s="223"/>
    </row>
    <row r="365">
      <c r="A365" s="223"/>
      <c r="B365" s="223"/>
      <c r="C365" s="223"/>
      <c r="D365" s="223"/>
      <c r="E365" s="223"/>
      <c r="F365" s="357"/>
      <c r="G365" s="223"/>
      <c r="H365" s="223"/>
      <c r="I365" s="223"/>
      <c r="J365" s="223"/>
      <c r="K365" s="223"/>
      <c r="L365" s="223"/>
      <c r="M365" s="223"/>
      <c r="N365" s="223"/>
      <c r="O365" s="223"/>
      <c r="P365" s="223"/>
      <c r="Q365" s="223"/>
      <c r="R365" s="223"/>
    </row>
    <row r="366">
      <c r="A366" s="223"/>
      <c r="B366" s="223"/>
      <c r="C366" s="223"/>
      <c r="D366" s="223"/>
      <c r="E366" s="223"/>
      <c r="F366" s="357"/>
      <c r="G366" s="223"/>
      <c r="H366" s="223"/>
      <c r="I366" s="223"/>
      <c r="J366" s="223"/>
      <c r="K366" s="223"/>
      <c r="L366" s="223"/>
      <c r="M366" s="223"/>
      <c r="N366" s="223"/>
      <c r="O366" s="223"/>
      <c r="P366" s="223"/>
      <c r="Q366" s="223"/>
      <c r="R366" s="223"/>
    </row>
    <row r="367">
      <c r="A367" s="223"/>
      <c r="B367" s="223"/>
      <c r="C367" s="223"/>
      <c r="D367" s="223"/>
      <c r="E367" s="223"/>
      <c r="F367" s="357"/>
      <c r="G367" s="223"/>
      <c r="H367" s="223"/>
      <c r="I367" s="223"/>
      <c r="J367" s="223"/>
      <c r="K367" s="223"/>
      <c r="L367" s="223"/>
      <c r="M367" s="223"/>
      <c r="N367" s="223"/>
      <c r="O367" s="223"/>
      <c r="P367" s="223"/>
      <c r="Q367" s="223"/>
      <c r="R367" s="223"/>
    </row>
    <row r="368">
      <c r="A368" s="223"/>
      <c r="B368" s="223"/>
      <c r="C368" s="223"/>
      <c r="D368" s="223"/>
      <c r="E368" s="223"/>
      <c r="F368" s="357"/>
      <c r="G368" s="223"/>
      <c r="H368" s="223"/>
      <c r="I368" s="223"/>
      <c r="J368" s="223"/>
      <c r="K368" s="223"/>
      <c r="L368" s="223"/>
      <c r="M368" s="223"/>
      <c r="N368" s="223"/>
      <c r="O368" s="223"/>
      <c r="P368" s="223"/>
      <c r="Q368" s="223"/>
      <c r="R368" s="223"/>
    </row>
    <row r="369">
      <c r="A369" s="223"/>
      <c r="B369" s="223"/>
      <c r="C369" s="223"/>
      <c r="D369" s="223"/>
      <c r="E369" s="223"/>
      <c r="F369" s="357"/>
      <c r="G369" s="223"/>
      <c r="H369" s="223"/>
      <c r="I369" s="223"/>
      <c r="J369" s="223"/>
      <c r="K369" s="223"/>
      <c r="L369" s="223"/>
      <c r="M369" s="223"/>
      <c r="N369" s="223"/>
      <c r="O369" s="223"/>
      <c r="P369" s="223"/>
      <c r="Q369" s="223"/>
      <c r="R369" s="223"/>
    </row>
    <row r="370">
      <c r="A370" s="223"/>
      <c r="B370" s="223"/>
      <c r="C370" s="223"/>
      <c r="D370" s="223"/>
      <c r="E370" s="223"/>
      <c r="F370" s="357"/>
      <c r="G370" s="223"/>
      <c r="H370" s="223"/>
      <c r="I370" s="223"/>
      <c r="J370" s="223"/>
      <c r="K370" s="223"/>
      <c r="L370" s="223"/>
      <c r="M370" s="223"/>
      <c r="N370" s="223"/>
      <c r="O370" s="223"/>
      <c r="P370" s="223"/>
      <c r="Q370" s="223"/>
      <c r="R370" s="223"/>
    </row>
    <row r="371">
      <c r="A371" s="223"/>
      <c r="B371" s="223"/>
      <c r="C371" s="223"/>
      <c r="D371" s="223"/>
      <c r="E371" s="223"/>
      <c r="F371" s="357"/>
      <c r="G371" s="223"/>
      <c r="H371" s="223"/>
      <c r="I371" s="223"/>
      <c r="J371" s="223"/>
      <c r="K371" s="223"/>
      <c r="L371" s="223"/>
      <c r="M371" s="223"/>
      <c r="N371" s="223"/>
      <c r="O371" s="223"/>
      <c r="P371" s="223"/>
      <c r="Q371" s="223"/>
      <c r="R371" s="223"/>
    </row>
    <row r="372">
      <c r="A372" s="223"/>
      <c r="B372" s="223"/>
      <c r="C372" s="223"/>
      <c r="D372" s="223"/>
      <c r="E372" s="223"/>
      <c r="F372" s="357"/>
      <c r="G372" s="223"/>
      <c r="H372" s="223"/>
      <c r="I372" s="223"/>
      <c r="J372" s="223"/>
      <c r="K372" s="223"/>
      <c r="L372" s="223"/>
      <c r="M372" s="223"/>
      <c r="N372" s="223"/>
      <c r="O372" s="223"/>
      <c r="P372" s="223"/>
      <c r="Q372" s="223"/>
      <c r="R372" s="223"/>
    </row>
    <row r="373">
      <c r="A373" s="223"/>
      <c r="B373" s="223"/>
      <c r="C373" s="223"/>
      <c r="D373" s="223"/>
      <c r="E373" s="223"/>
      <c r="F373" s="357"/>
      <c r="G373" s="223"/>
      <c r="H373" s="223"/>
      <c r="I373" s="223"/>
      <c r="J373" s="223"/>
      <c r="K373" s="223"/>
      <c r="L373" s="223"/>
      <c r="M373" s="223"/>
      <c r="N373" s="223"/>
      <c r="O373" s="223"/>
      <c r="P373" s="223"/>
      <c r="Q373" s="223"/>
      <c r="R373" s="223"/>
    </row>
    <row r="374">
      <c r="A374" s="223"/>
      <c r="B374" s="223"/>
      <c r="C374" s="223"/>
      <c r="D374" s="223"/>
      <c r="E374" s="223"/>
      <c r="F374" s="357"/>
      <c r="G374" s="223"/>
      <c r="H374" s="223"/>
      <c r="I374" s="223"/>
      <c r="J374" s="223"/>
      <c r="K374" s="223"/>
      <c r="L374" s="223"/>
      <c r="M374" s="223"/>
      <c r="N374" s="223"/>
      <c r="O374" s="223"/>
      <c r="P374" s="223"/>
      <c r="Q374" s="223"/>
      <c r="R374" s="223"/>
    </row>
    <row r="375">
      <c r="A375" s="223"/>
      <c r="B375" s="223"/>
      <c r="C375" s="223"/>
      <c r="D375" s="223"/>
      <c r="E375" s="223"/>
      <c r="F375" s="357"/>
      <c r="G375" s="223"/>
      <c r="H375" s="223"/>
      <c r="I375" s="223"/>
      <c r="J375" s="223"/>
      <c r="K375" s="223"/>
      <c r="L375" s="223"/>
      <c r="M375" s="223"/>
      <c r="N375" s="223"/>
      <c r="O375" s="223"/>
      <c r="P375" s="223"/>
      <c r="Q375" s="223"/>
      <c r="R375" s="223"/>
    </row>
    <row r="376">
      <c r="A376" s="223"/>
      <c r="B376" s="223"/>
      <c r="C376" s="223"/>
      <c r="D376" s="223"/>
      <c r="E376" s="223"/>
      <c r="F376" s="357"/>
      <c r="G376" s="223"/>
      <c r="H376" s="223"/>
      <c r="I376" s="223"/>
      <c r="J376" s="223"/>
      <c r="K376" s="223"/>
      <c r="L376" s="223"/>
      <c r="M376" s="223"/>
      <c r="N376" s="223"/>
      <c r="O376" s="223"/>
      <c r="P376" s="223"/>
      <c r="Q376" s="223"/>
      <c r="R376" s="223"/>
    </row>
    <row r="377">
      <c r="A377" s="223"/>
      <c r="B377" s="223"/>
      <c r="C377" s="223"/>
      <c r="D377" s="223"/>
      <c r="E377" s="223"/>
      <c r="F377" s="357"/>
      <c r="G377" s="223"/>
      <c r="H377" s="223"/>
      <c r="I377" s="223"/>
      <c r="J377" s="223"/>
      <c r="K377" s="223"/>
      <c r="L377" s="223"/>
      <c r="M377" s="223"/>
      <c r="N377" s="223"/>
      <c r="O377" s="223"/>
      <c r="P377" s="223"/>
      <c r="Q377" s="223"/>
      <c r="R377" s="223"/>
    </row>
    <row r="378">
      <c r="A378" s="223"/>
      <c r="B378" s="223"/>
      <c r="C378" s="223"/>
      <c r="D378" s="223"/>
      <c r="E378" s="223"/>
      <c r="F378" s="357"/>
      <c r="G378" s="223"/>
      <c r="H378" s="223"/>
      <c r="I378" s="223"/>
      <c r="J378" s="223"/>
      <c r="K378" s="223"/>
      <c r="L378" s="223"/>
      <c r="M378" s="223"/>
      <c r="N378" s="223"/>
      <c r="O378" s="223"/>
      <c r="P378" s="223"/>
      <c r="Q378" s="223"/>
      <c r="R378" s="223"/>
    </row>
    <row r="379">
      <c r="A379" s="223"/>
      <c r="B379" s="223"/>
      <c r="C379" s="223"/>
      <c r="D379" s="223"/>
      <c r="E379" s="223"/>
      <c r="F379" s="357"/>
      <c r="G379" s="223"/>
      <c r="H379" s="223"/>
      <c r="I379" s="223"/>
      <c r="J379" s="223"/>
      <c r="K379" s="223"/>
      <c r="L379" s="223"/>
      <c r="M379" s="223"/>
      <c r="N379" s="223"/>
      <c r="O379" s="223"/>
      <c r="P379" s="223"/>
      <c r="Q379" s="223"/>
      <c r="R379" s="223"/>
    </row>
    <row r="380">
      <c r="A380" s="223"/>
      <c r="B380" s="223"/>
      <c r="C380" s="223"/>
      <c r="D380" s="223"/>
      <c r="E380" s="223"/>
      <c r="F380" s="357"/>
      <c r="G380" s="223"/>
      <c r="H380" s="223"/>
      <c r="I380" s="223"/>
      <c r="J380" s="223"/>
      <c r="K380" s="223"/>
      <c r="L380" s="223"/>
      <c r="M380" s="223"/>
      <c r="N380" s="223"/>
      <c r="O380" s="223"/>
      <c r="P380" s="223"/>
      <c r="Q380" s="223"/>
      <c r="R380" s="223"/>
    </row>
    <row r="381">
      <c r="A381" s="223"/>
      <c r="B381" s="223"/>
      <c r="C381" s="223"/>
      <c r="D381" s="223"/>
      <c r="E381" s="223"/>
      <c r="F381" s="357"/>
      <c r="G381" s="223"/>
      <c r="H381" s="223"/>
      <c r="I381" s="223"/>
      <c r="J381" s="223"/>
      <c r="K381" s="223"/>
      <c r="L381" s="223"/>
      <c r="M381" s="223"/>
      <c r="N381" s="223"/>
      <c r="O381" s="223"/>
      <c r="P381" s="223"/>
      <c r="Q381" s="223"/>
      <c r="R381" s="223"/>
    </row>
    <row r="382">
      <c r="A382" s="223"/>
      <c r="B382" s="223"/>
      <c r="C382" s="223"/>
      <c r="D382" s="223"/>
      <c r="E382" s="223"/>
      <c r="F382" s="357"/>
      <c r="G382" s="223"/>
      <c r="H382" s="223"/>
      <c r="I382" s="223"/>
      <c r="J382" s="223"/>
      <c r="K382" s="223"/>
      <c r="L382" s="223"/>
      <c r="M382" s="223"/>
      <c r="N382" s="223"/>
      <c r="O382" s="223"/>
      <c r="P382" s="223"/>
      <c r="Q382" s="223"/>
      <c r="R382" s="223"/>
    </row>
    <row r="383">
      <c r="A383" s="223"/>
      <c r="B383" s="223"/>
      <c r="C383" s="223"/>
      <c r="D383" s="223"/>
      <c r="E383" s="223"/>
      <c r="F383" s="357"/>
      <c r="G383" s="223"/>
      <c r="H383" s="223"/>
      <c r="I383" s="223"/>
      <c r="J383" s="223"/>
      <c r="K383" s="223"/>
      <c r="L383" s="223"/>
      <c r="M383" s="223"/>
      <c r="N383" s="223"/>
      <c r="O383" s="223"/>
      <c r="P383" s="223"/>
      <c r="Q383" s="223"/>
      <c r="R383" s="223"/>
    </row>
    <row r="384">
      <c r="A384" s="223"/>
      <c r="B384" s="223"/>
      <c r="C384" s="223"/>
      <c r="D384" s="223"/>
      <c r="E384" s="223"/>
      <c r="F384" s="357"/>
      <c r="G384" s="223"/>
      <c r="H384" s="223"/>
      <c r="I384" s="223"/>
      <c r="J384" s="223"/>
      <c r="K384" s="223"/>
      <c r="L384" s="223"/>
      <c r="M384" s="223"/>
      <c r="N384" s="223"/>
      <c r="O384" s="223"/>
      <c r="P384" s="223"/>
      <c r="Q384" s="223"/>
      <c r="R384" s="223"/>
    </row>
    <row r="385">
      <c r="A385" s="223"/>
      <c r="B385" s="223"/>
      <c r="C385" s="223"/>
      <c r="D385" s="223"/>
      <c r="E385" s="223"/>
      <c r="F385" s="357"/>
      <c r="G385" s="223"/>
      <c r="H385" s="223"/>
      <c r="I385" s="223"/>
      <c r="J385" s="223"/>
      <c r="K385" s="223"/>
      <c r="L385" s="223"/>
      <c r="M385" s="223"/>
      <c r="N385" s="223"/>
      <c r="O385" s="223"/>
      <c r="P385" s="223"/>
      <c r="Q385" s="223"/>
      <c r="R385" s="223"/>
    </row>
    <row r="386">
      <c r="A386" s="223"/>
      <c r="B386" s="223"/>
      <c r="C386" s="223"/>
      <c r="D386" s="223"/>
      <c r="E386" s="223"/>
      <c r="F386" s="357"/>
      <c r="G386" s="223"/>
      <c r="H386" s="223"/>
      <c r="I386" s="223"/>
      <c r="J386" s="223"/>
      <c r="K386" s="223"/>
      <c r="L386" s="223"/>
      <c r="M386" s="223"/>
      <c r="N386" s="223"/>
      <c r="O386" s="223"/>
      <c r="P386" s="223"/>
      <c r="Q386" s="223"/>
      <c r="R386" s="223"/>
    </row>
    <row r="387">
      <c r="A387" s="223"/>
      <c r="B387" s="223"/>
      <c r="C387" s="223"/>
      <c r="D387" s="223"/>
      <c r="E387" s="223"/>
      <c r="F387" s="357"/>
      <c r="G387" s="223"/>
      <c r="H387" s="223"/>
      <c r="I387" s="223"/>
      <c r="J387" s="223"/>
      <c r="K387" s="223"/>
      <c r="L387" s="223"/>
      <c r="M387" s="223"/>
      <c r="N387" s="223"/>
      <c r="O387" s="223"/>
      <c r="P387" s="223"/>
      <c r="Q387" s="223"/>
      <c r="R387" s="223"/>
    </row>
    <row r="388">
      <c r="A388" s="223"/>
      <c r="B388" s="223"/>
      <c r="C388" s="223"/>
      <c r="D388" s="223"/>
      <c r="E388" s="223"/>
      <c r="F388" s="357"/>
      <c r="G388" s="223"/>
      <c r="H388" s="223"/>
      <c r="I388" s="223"/>
      <c r="J388" s="223"/>
      <c r="K388" s="223"/>
      <c r="L388" s="223"/>
      <c r="M388" s="223"/>
      <c r="N388" s="223"/>
      <c r="O388" s="223"/>
      <c r="P388" s="223"/>
      <c r="Q388" s="223"/>
      <c r="R388" s="223"/>
    </row>
    <row r="389">
      <c r="A389" s="223"/>
      <c r="B389" s="223"/>
      <c r="C389" s="223"/>
      <c r="D389" s="223"/>
      <c r="E389" s="223"/>
      <c r="F389" s="357"/>
      <c r="G389" s="223"/>
      <c r="H389" s="223"/>
      <c r="I389" s="223"/>
      <c r="J389" s="223"/>
      <c r="K389" s="223"/>
      <c r="L389" s="223"/>
      <c r="M389" s="223"/>
      <c r="N389" s="223"/>
      <c r="O389" s="223"/>
      <c r="P389" s="223"/>
      <c r="Q389" s="223"/>
      <c r="R389" s="223"/>
    </row>
    <row r="390">
      <c r="A390" s="223"/>
      <c r="B390" s="223"/>
      <c r="C390" s="223"/>
      <c r="D390" s="223"/>
      <c r="E390" s="223"/>
      <c r="F390" s="357"/>
      <c r="G390" s="223"/>
      <c r="H390" s="223"/>
      <c r="I390" s="223"/>
      <c r="J390" s="223"/>
      <c r="K390" s="223"/>
      <c r="L390" s="223"/>
      <c r="M390" s="223"/>
      <c r="N390" s="223"/>
      <c r="O390" s="223"/>
      <c r="P390" s="223"/>
      <c r="Q390" s="223"/>
      <c r="R390" s="223"/>
    </row>
    <row r="391">
      <c r="A391" s="223"/>
      <c r="B391" s="223"/>
      <c r="C391" s="223"/>
      <c r="D391" s="223"/>
      <c r="E391" s="223"/>
      <c r="F391" s="357"/>
      <c r="G391" s="223"/>
      <c r="H391" s="223"/>
      <c r="I391" s="223"/>
      <c r="J391" s="223"/>
      <c r="K391" s="223"/>
      <c r="L391" s="223"/>
      <c r="M391" s="223"/>
      <c r="N391" s="223"/>
      <c r="O391" s="223"/>
      <c r="P391" s="223"/>
      <c r="Q391" s="223"/>
      <c r="R391" s="223"/>
    </row>
    <row r="392">
      <c r="A392" s="223"/>
      <c r="B392" s="223"/>
      <c r="C392" s="223"/>
      <c r="D392" s="223"/>
      <c r="E392" s="223"/>
      <c r="F392" s="357"/>
      <c r="G392" s="223"/>
      <c r="H392" s="223"/>
      <c r="I392" s="223"/>
      <c r="J392" s="223"/>
      <c r="K392" s="223"/>
      <c r="L392" s="223"/>
      <c r="M392" s="223"/>
      <c r="N392" s="223"/>
      <c r="O392" s="223"/>
      <c r="P392" s="223"/>
      <c r="Q392" s="223"/>
      <c r="R392" s="223"/>
    </row>
    <row r="393">
      <c r="A393" s="223"/>
      <c r="B393" s="223"/>
      <c r="C393" s="223"/>
      <c r="D393" s="223"/>
      <c r="E393" s="223"/>
      <c r="F393" s="357"/>
      <c r="G393" s="223"/>
      <c r="H393" s="223"/>
      <c r="I393" s="223"/>
      <c r="J393" s="223"/>
      <c r="K393" s="223"/>
      <c r="L393" s="223"/>
      <c r="M393" s="223"/>
      <c r="N393" s="223"/>
      <c r="O393" s="223"/>
      <c r="P393" s="223"/>
      <c r="Q393" s="223"/>
      <c r="R393" s="223"/>
    </row>
    <row r="394">
      <c r="A394" s="223"/>
      <c r="B394" s="223"/>
      <c r="C394" s="223"/>
      <c r="D394" s="223"/>
      <c r="E394" s="223"/>
      <c r="F394" s="357"/>
      <c r="G394" s="223"/>
      <c r="H394" s="223"/>
      <c r="I394" s="223"/>
      <c r="J394" s="223"/>
      <c r="K394" s="223"/>
      <c r="L394" s="223"/>
      <c r="M394" s="223"/>
      <c r="N394" s="223"/>
      <c r="O394" s="223"/>
      <c r="P394" s="223"/>
      <c r="Q394" s="223"/>
      <c r="R394" s="223"/>
    </row>
    <row r="395">
      <c r="A395" s="223"/>
      <c r="B395" s="223"/>
      <c r="C395" s="223"/>
      <c r="D395" s="223"/>
      <c r="E395" s="223"/>
      <c r="F395" s="357"/>
      <c r="G395" s="223"/>
      <c r="H395" s="223"/>
      <c r="I395" s="223"/>
      <c r="J395" s="223"/>
      <c r="K395" s="223"/>
      <c r="L395" s="223"/>
      <c r="M395" s="223"/>
      <c r="N395" s="223"/>
      <c r="O395" s="223"/>
      <c r="P395" s="223"/>
      <c r="Q395" s="223"/>
      <c r="R395" s="223"/>
    </row>
    <row r="396">
      <c r="A396" s="223"/>
      <c r="B396" s="223"/>
      <c r="C396" s="223"/>
      <c r="D396" s="223"/>
      <c r="E396" s="223"/>
      <c r="F396" s="357"/>
      <c r="G396" s="223"/>
      <c r="H396" s="223"/>
      <c r="I396" s="223"/>
      <c r="J396" s="223"/>
      <c r="K396" s="223"/>
      <c r="L396" s="223"/>
      <c r="M396" s="223"/>
      <c r="N396" s="223"/>
      <c r="O396" s="223"/>
      <c r="P396" s="223"/>
      <c r="Q396" s="223"/>
      <c r="R396" s="223"/>
    </row>
    <row r="397">
      <c r="A397" s="223"/>
      <c r="B397" s="223"/>
      <c r="C397" s="223"/>
      <c r="D397" s="223"/>
      <c r="E397" s="223"/>
      <c r="F397" s="357"/>
      <c r="G397" s="223"/>
      <c r="H397" s="223"/>
      <c r="I397" s="223"/>
      <c r="J397" s="223"/>
      <c r="K397" s="223"/>
      <c r="L397" s="223"/>
      <c r="M397" s="223"/>
      <c r="N397" s="223"/>
      <c r="O397" s="223"/>
      <c r="P397" s="223"/>
      <c r="Q397" s="223"/>
      <c r="R397" s="223"/>
    </row>
    <row r="398">
      <c r="A398" s="223"/>
      <c r="B398" s="223"/>
      <c r="C398" s="223"/>
      <c r="D398" s="223"/>
      <c r="E398" s="223"/>
      <c r="F398" s="357"/>
      <c r="G398" s="223"/>
      <c r="H398" s="223"/>
      <c r="I398" s="223"/>
      <c r="J398" s="223"/>
      <c r="K398" s="223"/>
      <c r="L398" s="223"/>
      <c r="M398" s="223"/>
      <c r="N398" s="223"/>
      <c r="O398" s="223"/>
      <c r="P398" s="223"/>
      <c r="Q398" s="223"/>
      <c r="R398" s="223"/>
    </row>
    <row r="399">
      <c r="A399" s="223"/>
      <c r="B399" s="223"/>
      <c r="C399" s="223"/>
      <c r="D399" s="223"/>
      <c r="E399" s="223"/>
      <c r="F399" s="357"/>
      <c r="G399" s="223"/>
      <c r="H399" s="223"/>
      <c r="I399" s="223"/>
      <c r="J399" s="223"/>
      <c r="K399" s="223"/>
      <c r="L399" s="223"/>
      <c r="M399" s="223"/>
      <c r="N399" s="223"/>
      <c r="O399" s="223"/>
      <c r="P399" s="223"/>
      <c r="Q399" s="223"/>
      <c r="R399" s="223"/>
    </row>
    <row r="400">
      <c r="A400" s="223"/>
      <c r="B400" s="223"/>
      <c r="C400" s="223"/>
      <c r="D400" s="223"/>
      <c r="E400" s="223"/>
      <c r="F400" s="357"/>
      <c r="G400" s="223"/>
      <c r="H400" s="223"/>
      <c r="I400" s="223"/>
      <c r="J400" s="223"/>
      <c r="K400" s="223"/>
      <c r="L400" s="223"/>
      <c r="M400" s="223"/>
      <c r="N400" s="223"/>
      <c r="O400" s="223"/>
      <c r="P400" s="223"/>
      <c r="Q400" s="223"/>
      <c r="R400" s="223"/>
    </row>
    <row r="401">
      <c r="A401" s="223"/>
      <c r="B401" s="223"/>
      <c r="C401" s="223"/>
      <c r="D401" s="223"/>
      <c r="E401" s="223"/>
      <c r="F401" s="357"/>
      <c r="G401" s="223"/>
      <c r="H401" s="223"/>
      <c r="I401" s="223"/>
      <c r="J401" s="223"/>
      <c r="K401" s="223"/>
      <c r="L401" s="223"/>
      <c r="M401" s="223"/>
      <c r="N401" s="223"/>
      <c r="O401" s="223"/>
      <c r="P401" s="223"/>
      <c r="Q401" s="223"/>
      <c r="R401" s="223"/>
    </row>
    <row r="402">
      <c r="A402" s="223"/>
      <c r="B402" s="223"/>
      <c r="C402" s="223"/>
      <c r="D402" s="223"/>
      <c r="E402" s="223"/>
      <c r="F402" s="357"/>
      <c r="G402" s="223"/>
      <c r="H402" s="223"/>
      <c r="I402" s="223"/>
      <c r="J402" s="223"/>
      <c r="K402" s="223"/>
      <c r="L402" s="223"/>
      <c r="M402" s="223"/>
      <c r="N402" s="223"/>
      <c r="O402" s="223"/>
      <c r="P402" s="223"/>
      <c r="Q402" s="223"/>
      <c r="R402" s="223"/>
    </row>
    <row r="403">
      <c r="A403" s="223"/>
      <c r="B403" s="223"/>
      <c r="C403" s="223"/>
      <c r="D403" s="223"/>
      <c r="E403" s="223"/>
      <c r="F403" s="357"/>
      <c r="G403" s="223"/>
      <c r="H403" s="223"/>
      <c r="I403" s="223"/>
      <c r="J403" s="223"/>
      <c r="K403" s="223"/>
      <c r="L403" s="223"/>
      <c r="M403" s="223"/>
      <c r="N403" s="223"/>
      <c r="O403" s="223"/>
      <c r="P403" s="223"/>
      <c r="Q403" s="223"/>
      <c r="R403" s="223"/>
    </row>
    <row r="404">
      <c r="A404" s="223"/>
      <c r="B404" s="223"/>
      <c r="C404" s="223"/>
      <c r="D404" s="223"/>
      <c r="E404" s="223"/>
      <c r="F404" s="357"/>
      <c r="G404" s="223"/>
      <c r="H404" s="223"/>
      <c r="I404" s="223"/>
      <c r="J404" s="223"/>
      <c r="K404" s="223"/>
      <c r="L404" s="223"/>
      <c r="M404" s="223"/>
      <c r="N404" s="223"/>
      <c r="O404" s="223"/>
      <c r="P404" s="223"/>
      <c r="Q404" s="223"/>
      <c r="R404" s="223"/>
    </row>
    <row r="405">
      <c r="A405" s="223"/>
      <c r="B405" s="223"/>
      <c r="C405" s="223"/>
      <c r="D405" s="223"/>
      <c r="E405" s="223"/>
      <c r="F405" s="357"/>
      <c r="G405" s="223"/>
      <c r="H405" s="223"/>
      <c r="I405" s="223"/>
      <c r="J405" s="223"/>
      <c r="K405" s="223"/>
      <c r="L405" s="223"/>
      <c r="M405" s="223"/>
      <c r="N405" s="223"/>
      <c r="O405" s="223"/>
      <c r="P405" s="223"/>
      <c r="Q405" s="223"/>
      <c r="R405" s="223"/>
    </row>
    <row r="406">
      <c r="A406" s="223"/>
      <c r="B406" s="223"/>
      <c r="C406" s="223"/>
      <c r="D406" s="223"/>
      <c r="E406" s="223"/>
      <c r="F406" s="357"/>
      <c r="G406" s="223"/>
      <c r="H406" s="223"/>
      <c r="I406" s="223"/>
      <c r="J406" s="223"/>
      <c r="K406" s="223"/>
      <c r="L406" s="223"/>
      <c r="M406" s="223"/>
      <c r="N406" s="223"/>
      <c r="O406" s="223"/>
      <c r="P406" s="223"/>
      <c r="Q406" s="223"/>
      <c r="R406" s="223"/>
    </row>
    <row r="407">
      <c r="A407" s="223"/>
      <c r="B407" s="223"/>
      <c r="C407" s="223"/>
      <c r="D407" s="223"/>
      <c r="E407" s="223"/>
      <c r="F407" s="357"/>
      <c r="G407" s="223"/>
      <c r="H407" s="223"/>
      <c r="I407" s="223"/>
      <c r="J407" s="223"/>
      <c r="K407" s="223"/>
      <c r="L407" s="223"/>
      <c r="M407" s="223"/>
      <c r="N407" s="223"/>
      <c r="O407" s="223"/>
      <c r="P407" s="223"/>
      <c r="Q407" s="223"/>
      <c r="R407" s="223"/>
    </row>
    <row r="408">
      <c r="A408" s="223"/>
      <c r="B408" s="223"/>
      <c r="C408" s="223"/>
      <c r="D408" s="223"/>
      <c r="E408" s="223"/>
      <c r="F408" s="357"/>
      <c r="G408" s="223"/>
      <c r="H408" s="223"/>
      <c r="I408" s="223"/>
      <c r="J408" s="223"/>
      <c r="K408" s="223"/>
      <c r="L408" s="223"/>
      <c r="M408" s="223"/>
      <c r="N408" s="223"/>
      <c r="O408" s="223"/>
      <c r="P408" s="223"/>
      <c r="Q408" s="223"/>
      <c r="R408" s="223"/>
    </row>
    <row r="409">
      <c r="A409" s="223"/>
      <c r="B409" s="223"/>
      <c r="C409" s="223"/>
      <c r="D409" s="223"/>
      <c r="E409" s="223"/>
      <c r="F409" s="357"/>
      <c r="G409" s="223"/>
      <c r="H409" s="223"/>
      <c r="I409" s="223"/>
      <c r="J409" s="223"/>
      <c r="K409" s="223"/>
      <c r="L409" s="223"/>
      <c r="M409" s="223"/>
      <c r="N409" s="223"/>
      <c r="O409" s="223"/>
      <c r="P409" s="223"/>
      <c r="Q409" s="223"/>
      <c r="R409" s="223"/>
    </row>
    <row r="410">
      <c r="A410" s="223"/>
      <c r="B410" s="223"/>
      <c r="C410" s="223"/>
      <c r="D410" s="223"/>
      <c r="E410" s="223"/>
      <c r="F410" s="357"/>
      <c r="G410" s="223"/>
      <c r="H410" s="223"/>
      <c r="I410" s="223"/>
      <c r="J410" s="223"/>
      <c r="K410" s="223"/>
      <c r="L410" s="223"/>
      <c r="M410" s="223"/>
      <c r="N410" s="223"/>
      <c r="O410" s="223"/>
      <c r="P410" s="223"/>
      <c r="Q410" s="223"/>
      <c r="R410" s="223"/>
    </row>
    <row r="411">
      <c r="A411" s="223"/>
      <c r="B411" s="223"/>
      <c r="C411" s="223"/>
      <c r="D411" s="223"/>
      <c r="E411" s="223"/>
      <c r="F411" s="357"/>
      <c r="G411" s="223"/>
      <c r="H411" s="223"/>
      <c r="I411" s="223"/>
      <c r="J411" s="223"/>
      <c r="K411" s="223"/>
      <c r="L411" s="223"/>
      <c r="M411" s="223"/>
      <c r="N411" s="223"/>
      <c r="O411" s="223"/>
      <c r="P411" s="223"/>
      <c r="Q411" s="223"/>
      <c r="R411" s="223"/>
    </row>
    <row r="412">
      <c r="A412" s="223"/>
      <c r="B412" s="223"/>
      <c r="C412" s="223"/>
      <c r="D412" s="223"/>
      <c r="E412" s="223"/>
      <c r="F412" s="357"/>
      <c r="G412" s="223"/>
      <c r="H412" s="223"/>
      <c r="I412" s="223"/>
      <c r="J412" s="223"/>
      <c r="K412" s="223"/>
      <c r="L412" s="223"/>
      <c r="M412" s="223"/>
      <c r="N412" s="223"/>
      <c r="O412" s="223"/>
      <c r="P412" s="223"/>
      <c r="Q412" s="223"/>
      <c r="R412" s="223"/>
    </row>
    <row r="413">
      <c r="A413" s="223"/>
      <c r="B413" s="223"/>
      <c r="C413" s="223"/>
      <c r="D413" s="223"/>
      <c r="E413" s="223"/>
      <c r="F413" s="357"/>
      <c r="G413" s="223"/>
      <c r="H413" s="223"/>
      <c r="I413" s="223"/>
      <c r="J413" s="223"/>
      <c r="K413" s="223"/>
      <c r="L413" s="223"/>
      <c r="M413" s="223"/>
      <c r="N413" s="223"/>
      <c r="O413" s="223"/>
      <c r="P413" s="223"/>
      <c r="Q413" s="223"/>
      <c r="R413" s="223"/>
    </row>
    <row r="414">
      <c r="A414" s="223"/>
      <c r="B414" s="223"/>
      <c r="C414" s="223"/>
      <c r="D414" s="223"/>
      <c r="E414" s="223"/>
      <c r="F414" s="357"/>
      <c r="G414" s="223"/>
      <c r="H414" s="223"/>
      <c r="I414" s="223"/>
      <c r="J414" s="223"/>
      <c r="K414" s="223"/>
      <c r="L414" s="223"/>
      <c r="M414" s="223"/>
      <c r="N414" s="223"/>
      <c r="O414" s="223"/>
      <c r="P414" s="223"/>
      <c r="Q414" s="223"/>
      <c r="R414" s="223"/>
    </row>
    <row r="415">
      <c r="A415" s="223"/>
      <c r="B415" s="223"/>
      <c r="C415" s="223"/>
      <c r="D415" s="223"/>
      <c r="E415" s="223"/>
      <c r="F415" s="357"/>
      <c r="G415" s="223"/>
      <c r="H415" s="223"/>
      <c r="I415" s="223"/>
      <c r="J415" s="223"/>
      <c r="K415" s="223"/>
      <c r="L415" s="223"/>
      <c r="M415" s="223"/>
      <c r="N415" s="223"/>
      <c r="O415" s="223"/>
      <c r="P415" s="223"/>
      <c r="Q415" s="223"/>
      <c r="R415" s="223"/>
    </row>
    <row r="416">
      <c r="A416" s="223"/>
      <c r="B416" s="223"/>
      <c r="C416" s="223"/>
      <c r="D416" s="223"/>
      <c r="E416" s="223"/>
      <c r="F416" s="357"/>
      <c r="G416" s="223"/>
      <c r="H416" s="223"/>
      <c r="I416" s="223"/>
      <c r="J416" s="223"/>
      <c r="K416" s="223"/>
      <c r="L416" s="223"/>
      <c r="M416" s="223"/>
      <c r="N416" s="223"/>
      <c r="O416" s="223"/>
      <c r="P416" s="223"/>
      <c r="Q416" s="223"/>
      <c r="R416" s="223"/>
    </row>
    <row r="417">
      <c r="A417" s="223"/>
      <c r="B417" s="223"/>
      <c r="C417" s="223"/>
      <c r="D417" s="223"/>
      <c r="E417" s="223"/>
      <c r="F417" s="357"/>
      <c r="G417" s="223"/>
      <c r="H417" s="223"/>
      <c r="I417" s="223"/>
      <c r="J417" s="223"/>
      <c r="K417" s="223"/>
      <c r="L417" s="223"/>
      <c r="M417" s="223"/>
      <c r="N417" s="223"/>
      <c r="O417" s="223"/>
      <c r="P417" s="223"/>
      <c r="Q417" s="223"/>
      <c r="R417" s="223"/>
    </row>
    <row r="418">
      <c r="A418" s="223"/>
      <c r="B418" s="223"/>
      <c r="C418" s="223"/>
      <c r="D418" s="223"/>
      <c r="E418" s="223"/>
      <c r="F418" s="357"/>
      <c r="G418" s="223"/>
      <c r="H418" s="223"/>
      <c r="I418" s="223"/>
      <c r="J418" s="223"/>
      <c r="K418" s="223"/>
      <c r="L418" s="223"/>
      <c r="M418" s="223"/>
      <c r="N418" s="223"/>
      <c r="O418" s="223"/>
      <c r="P418" s="223"/>
      <c r="Q418" s="223"/>
      <c r="R418" s="223"/>
    </row>
    <row r="419">
      <c r="A419" s="223"/>
      <c r="B419" s="223"/>
      <c r="C419" s="223"/>
      <c r="D419" s="223"/>
      <c r="E419" s="223"/>
      <c r="F419" s="357"/>
      <c r="G419" s="223"/>
      <c r="H419" s="223"/>
      <c r="I419" s="223"/>
      <c r="J419" s="223"/>
      <c r="K419" s="223"/>
      <c r="L419" s="223"/>
      <c r="M419" s="223"/>
      <c r="N419" s="223"/>
      <c r="O419" s="223"/>
      <c r="P419" s="223"/>
      <c r="Q419" s="223"/>
      <c r="R419" s="223"/>
    </row>
    <row r="420">
      <c r="A420" s="223"/>
      <c r="B420" s="223"/>
      <c r="C420" s="223"/>
      <c r="D420" s="223"/>
      <c r="E420" s="223"/>
      <c r="F420" s="357"/>
      <c r="G420" s="223"/>
      <c r="H420" s="223"/>
      <c r="I420" s="223"/>
      <c r="J420" s="223"/>
      <c r="K420" s="223"/>
      <c r="L420" s="223"/>
      <c r="M420" s="223"/>
      <c r="N420" s="223"/>
      <c r="O420" s="223"/>
      <c r="P420" s="223"/>
      <c r="Q420" s="223"/>
      <c r="R420" s="223"/>
    </row>
    <row r="421">
      <c r="A421" s="223"/>
      <c r="B421" s="223"/>
      <c r="C421" s="223"/>
      <c r="D421" s="223"/>
      <c r="E421" s="223"/>
      <c r="F421" s="357"/>
      <c r="G421" s="223"/>
      <c r="H421" s="223"/>
      <c r="I421" s="223"/>
      <c r="J421" s="223"/>
      <c r="K421" s="223"/>
      <c r="L421" s="223"/>
      <c r="M421" s="223"/>
      <c r="N421" s="223"/>
      <c r="O421" s="223"/>
      <c r="P421" s="223"/>
      <c r="Q421" s="223"/>
      <c r="R421" s="223"/>
    </row>
    <row r="422">
      <c r="A422" s="223"/>
      <c r="B422" s="223"/>
      <c r="C422" s="223"/>
      <c r="D422" s="223"/>
      <c r="E422" s="223"/>
      <c r="F422" s="357"/>
      <c r="G422" s="223"/>
      <c r="H422" s="223"/>
      <c r="I422" s="223"/>
      <c r="J422" s="223"/>
      <c r="K422" s="223"/>
      <c r="L422" s="223"/>
      <c r="M422" s="223"/>
      <c r="N422" s="223"/>
      <c r="O422" s="223"/>
      <c r="P422" s="223"/>
      <c r="Q422" s="223"/>
      <c r="R422" s="223"/>
    </row>
    <row r="423">
      <c r="A423" s="223"/>
      <c r="B423" s="223"/>
      <c r="C423" s="223"/>
      <c r="D423" s="223"/>
      <c r="E423" s="223"/>
      <c r="F423" s="357"/>
      <c r="G423" s="223"/>
      <c r="H423" s="223"/>
      <c r="I423" s="223"/>
      <c r="J423" s="223"/>
      <c r="K423" s="223"/>
      <c r="L423" s="223"/>
      <c r="M423" s="223"/>
      <c r="N423" s="223"/>
      <c r="O423" s="223"/>
      <c r="P423" s="223"/>
      <c r="Q423" s="223"/>
      <c r="R423" s="223"/>
    </row>
    <row r="424">
      <c r="A424" s="223"/>
      <c r="B424" s="223"/>
      <c r="C424" s="223"/>
      <c r="D424" s="223"/>
      <c r="E424" s="223"/>
      <c r="F424" s="357"/>
      <c r="G424" s="223"/>
      <c r="H424" s="223"/>
      <c r="I424" s="223"/>
      <c r="J424" s="223"/>
      <c r="K424" s="223"/>
      <c r="L424" s="223"/>
      <c r="M424" s="223"/>
      <c r="N424" s="223"/>
      <c r="O424" s="223"/>
      <c r="P424" s="223"/>
      <c r="Q424" s="223"/>
      <c r="R424" s="223"/>
    </row>
    <row r="425">
      <c r="A425" s="223"/>
      <c r="B425" s="223"/>
      <c r="C425" s="223"/>
      <c r="D425" s="223"/>
      <c r="E425" s="223"/>
      <c r="F425" s="357"/>
      <c r="G425" s="223"/>
      <c r="H425" s="223"/>
      <c r="I425" s="223"/>
      <c r="J425" s="223"/>
      <c r="K425" s="223"/>
      <c r="L425" s="223"/>
      <c r="M425" s="223"/>
      <c r="N425" s="223"/>
      <c r="O425" s="223"/>
      <c r="P425" s="223"/>
      <c r="Q425" s="223"/>
      <c r="R425" s="223"/>
    </row>
    <row r="426">
      <c r="A426" s="223"/>
      <c r="B426" s="223"/>
      <c r="C426" s="223"/>
      <c r="D426" s="223"/>
      <c r="E426" s="223"/>
      <c r="F426" s="357"/>
      <c r="G426" s="223"/>
      <c r="H426" s="223"/>
      <c r="I426" s="223"/>
      <c r="J426" s="223"/>
      <c r="K426" s="223"/>
      <c r="L426" s="223"/>
      <c r="M426" s="223"/>
      <c r="N426" s="223"/>
      <c r="O426" s="223"/>
      <c r="P426" s="223"/>
      <c r="Q426" s="223"/>
      <c r="R426" s="223"/>
    </row>
    <row r="427">
      <c r="A427" s="223"/>
      <c r="B427" s="223"/>
      <c r="C427" s="223"/>
      <c r="D427" s="223"/>
      <c r="E427" s="223"/>
      <c r="F427" s="357"/>
      <c r="G427" s="223"/>
      <c r="H427" s="223"/>
      <c r="I427" s="223"/>
      <c r="J427" s="223"/>
      <c r="K427" s="223"/>
      <c r="L427" s="223"/>
      <c r="M427" s="223"/>
      <c r="N427" s="223"/>
      <c r="O427" s="223"/>
      <c r="P427" s="223"/>
      <c r="Q427" s="223"/>
      <c r="R427" s="223"/>
    </row>
    <row r="428">
      <c r="A428" s="223"/>
      <c r="B428" s="223"/>
      <c r="C428" s="223"/>
      <c r="D428" s="223"/>
      <c r="E428" s="223"/>
      <c r="F428" s="357"/>
      <c r="G428" s="223"/>
      <c r="H428" s="223"/>
      <c r="I428" s="223"/>
      <c r="J428" s="223"/>
      <c r="K428" s="223"/>
      <c r="L428" s="223"/>
      <c r="M428" s="223"/>
      <c r="N428" s="223"/>
      <c r="O428" s="223"/>
      <c r="P428" s="223"/>
      <c r="Q428" s="223"/>
      <c r="R428" s="223"/>
    </row>
    <row r="429">
      <c r="A429" s="223"/>
      <c r="B429" s="223"/>
      <c r="C429" s="223"/>
      <c r="D429" s="223"/>
      <c r="E429" s="223"/>
      <c r="F429" s="357"/>
      <c r="G429" s="223"/>
      <c r="H429" s="223"/>
      <c r="I429" s="223"/>
      <c r="J429" s="223"/>
      <c r="K429" s="223"/>
      <c r="L429" s="223"/>
      <c r="M429" s="223"/>
      <c r="N429" s="223"/>
      <c r="O429" s="223"/>
      <c r="P429" s="223"/>
      <c r="Q429" s="223"/>
      <c r="R429" s="223"/>
    </row>
    <row r="430">
      <c r="A430" s="223"/>
      <c r="B430" s="223"/>
      <c r="C430" s="223"/>
      <c r="D430" s="223"/>
      <c r="E430" s="223"/>
      <c r="F430" s="357"/>
      <c r="G430" s="223"/>
      <c r="H430" s="223"/>
      <c r="I430" s="223"/>
      <c r="J430" s="223"/>
      <c r="K430" s="223"/>
      <c r="L430" s="223"/>
      <c r="M430" s="223"/>
      <c r="N430" s="223"/>
      <c r="O430" s="223"/>
      <c r="P430" s="223"/>
      <c r="Q430" s="223"/>
      <c r="R430" s="223"/>
    </row>
    <row r="431">
      <c r="A431" s="223"/>
      <c r="B431" s="223"/>
      <c r="C431" s="223"/>
      <c r="D431" s="223"/>
      <c r="E431" s="223"/>
      <c r="F431" s="357"/>
      <c r="G431" s="223"/>
      <c r="H431" s="223"/>
      <c r="I431" s="223"/>
      <c r="J431" s="223"/>
      <c r="K431" s="223"/>
      <c r="L431" s="223"/>
      <c r="M431" s="223"/>
      <c r="N431" s="223"/>
      <c r="O431" s="223"/>
      <c r="P431" s="223"/>
      <c r="Q431" s="223"/>
      <c r="R431" s="223"/>
    </row>
    <row r="432">
      <c r="A432" s="223"/>
      <c r="B432" s="223"/>
      <c r="C432" s="223"/>
      <c r="D432" s="223"/>
      <c r="E432" s="223"/>
      <c r="F432" s="357"/>
      <c r="G432" s="223"/>
      <c r="H432" s="223"/>
      <c r="I432" s="223"/>
      <c r="J432" s="223"/>
      <c r="K432" s="223"/>
      <c r="L432" s="223"/>
      <c r="M432" s="223"/>
      <c r="N432" s="223"/>
      <c r="O432" s="223"/>
      <c r="P432" s="223"/>
      <c r="Q432" s="223"/>
      <c r="R432" s="223"/>
    </row>
    <row r="433">
      <c r="A433" s="223"/>
      <c r="B433" s="223"/>
      <c r="C433" s="223"/>
      <c r="D433" s="223"/>
      <c r="E433" s="223"/>
      <c r="F433" s="357"/>
      <c r="G433" s="223"/>
      <c r="H433" s="223"/>
      <c r="I433" s="223"/>
      <c r="J433" s="223"/>
      <c r="K433" s="223"/>
      <c r="L433" s="223"/>
      <c r="M433" s="223"/>
      <c r="N433" s="223"/>
      <c r="O433" s="223"/>
      <c r="P433" s="223"/>
      <c r="Q433" s="223"/>
      <c r="R433" s="223"/>
    </row>
    <row r="434">
      <c r="A434" s="223"/>
      <c r="B434" s="223"/>
      <c r="C434" s="223"/>
      <c r="D434" s="223"/>
      <c r="E434" s="223"/>
      <c r="F434" s="357"/>
      <c r="G434" s="223"/>
      <c r="H434" s="223"/>
      <c r="I434" s="223"/>
      <c r="J434" s="223"/>
      <c r="K434" s="223"/>
      <c r="L434" s="223"/>
      <c r="M434" s="223"/>
      <c r="N434" s="223"/>
      <c r="O434" s="223"/>
      <c r="P434" s="223"/>
      <c r="Q434" s="223"/>
      <c r="R434" s="223"/>
    </row>
    <row r="435">
      <c r="A435" s="223"/>
      <c r="B435" s="223"/>
      <c r="C435" s="223"/>
      <c r="D435" s="223"/>
      <c r="E435" s="223"/>
      <c r="F435" s="357"/>
      <c r="G435" s="223"/>
      <c r="H435" s="223"/>
      <c r="I435" s="223"/>
      <c r="J435" s="223"/>
      <c r="K435" s="223"/>
      <c r="L435" s="223"/>
      <c r="M435" s="223"/>
      <c r="N435" s="223"/>
      <c r="O435" s="223"/>
      <c r="P435" s="223"/>
      <c r="Q435" s="223"/>
      <c r="R435" s="223"/>
    </row>
    <row r="436">
      <c r="A436" s="223"/>
      <c r="B436" s="223"/>
      <c r="C436" s="223"/>
      <c r="D436" s="223"/>
      <c r="E436" s="223"/>
      <c r="F436" s="357"/>
      <c r="G436" s="223"/>
      <c r="H436" s="223"/>
      <c r="I436" s="223"/>
      <c r="J436" s="223"/>
      <c r="K436" s="223"/>
      <c r="L436" s="223"/>
      <c r="M436" s="223"/>
      <c r="N436" s="223"/>
      <c r="O436" s="223"/>
      <c r="P436" s="223"/>
      <c r="Q436" s="223"/>
      <c r="R436" s="223"/>
    </row>
    <row r="437">
      <c r="A437" s="223"/>
      <c r="B437" s="223"/>
      <c r="C437" s="223"/>
      <c r="D437" s="223"/>
      <c r="E437" s="223"/>
      <c r="F437" s="357"/>
      <c r="G437" s="223"/>
      <c r="H437" s="223"/>
      <c r="I437" s="223"/>
      <c r="J437" s="223"/>
      <c r="K437" s="223"/>
      <c r="L437" s="223"/>
      <c r="M437" s="223"/>
      <c r="N437" s="223"/>
      <c r="O437" s="223"/>
      <c r="P437" s="223"/>
      <c r="Q437" s="223"/>
      <c r="R437" s="223"/>
    </row>
    <row r="438">
      <c r="A438" s="223"/>
      <c r="B438" s="223"/>
      <c r="C438" s="223"/>
      <c r="D438" s="223"/>
      <c r="E438" s="223"/>
      <c r="F438" s="357"/>
      <c r="G438" s="223"/>
      <c r="H438" s="223"/>
      <c r="I438" s="223"/>
      <c r="J438" s="223"/>
      <c r="K438" s="223"/>
      <c r="L438" s="223"/>
      <c r="M438" s="223"/>
      <c r="N438" s="223"/>
      <c r="O438" s="223"/>
      <c r="P438" s="223"/>
      <c r="Q438" s="223"/>
      <c r="R438" s="223"/>
    </row>
    <row r="439">
      <c r="A439" s="223"/>
      <c r="B439" s="223"/>
      <c r="C439" s="223"/>
      <c r="D439" s="223"/>
      <c r="E439" s="223"/>
      <c r="F439" s="357"/>
      <c r="G439" s="223"/>
      <c r="H439" s="223"/>
      <c r="I439" s="223"/>
      <c r="J439" s="223"/>
      <c r="K439" s="223"/>
      <c r="L439" s="223"/>
      <c r="M439" s="223"/>
      <c r="N439" s="223"/>
      <c r="O439" s="223"/>
      <c r="P439" s="223"/>
      <c r="Q439" s="223"/>
      <c r="R439" s="223"/>
    </row>
    <row r="440">
      <c r="A440" s="223"/>
      <c r="B440" s="223"/>
      <c r="C440" s="223"/>
      <c r="D440" s="223"/>
      <c r="E440" s="223"/>
      <c r="F440" s="357"/>
      <c r="G440" s="223"/>
      <c r="H440" s="223"/>
      <c r="I440" s="223"/>
      <c r="J440" s="223"/>
      <c r="K440" s="223"/>
      <c r="L440" s="223"/>
      <c r="M440" s="223"/>
      <c r="N440" s="223"/>
      <c r="O440" s="223"/>
      <c r="P440" s="223"/>
      <c r="Q440" s="223"/>
      <c r="R440" s="223"/>
    </row>
    <row r="441">
      <c r="A441" s="223"/>
      <c r="B441" s="223"/>
      <c r="C441" s="223"/>
      <c r="D441" s="223"/>
      <c r="E441" s="223"/>
      <c r="F441" s="357"/>
      <c r="G441" s="223"/>
      <c r="H441" s="223"/>
      <c r="I441" s="223"/>
      <c r="J441" s="223"/>
      <c r="K441" s="223"/>
      <c r="L441" s="223"/>
      <c r="M441" s="223"/>
      <c r="N441" s="223"/>
      <c r="O441" s="223"/>
      <c r="P441" s="223"/>
      <c r="Q441" s="223"/>
      <c r="R441" s="223"/>
    </row>
    <row r="442">
      <c r="A442" s="223"/>
      <c r="B442" s="223"/>
      <c r="C442" s="223"/>
      <c r="D442" s="223"/>
      <c r="E442" s="223"/>
      <c r="F442" s="357"/>
      <c r="G442" s="223"/>
      <c r="H442" s="223"/>
      <c r="I442" s="223"/>
      <c r="J442" s="223"/>
      <c r="K442" s="223"/>
      <c r="L442" s="223"/>
      <c r="M442" s="223"/>
      <c r="N442" s="223"/>
      <c r="O442" s="223"/>
      <c r="P442" s="223"/>
      <c r="Q442" s="223"/>
      <c r="R442" s="223"/>
    </row>
    <row r="443">
      <c r="A443" s="223"/>
      <c r="B443" s="223"/>
      <c r="C443" s="223"/>
      <c r="D443" s="223"/>
      <c r="E443" s="223"/>
      <c r="F443" s="357"/>
      <c r="G443" s="223"/>
      <c r="H443" s="223"/>
      <c r="I443" s="223"/>
      <c r="J443" s="223"/>
      <c r="K443" s="223"/>
      <c r="L443" s="223"/>
      <c r="M443" s="223"/>
      <c r="N443" s="223"/>
      <c r="O443" s="223"/>
      <c r="P443" s="223"/>
      <c r="Q443" s="223"/>
      <c r="R443" s="223"/>
    </row>
    <row r="444">
      <c r="A444" s="223"/>
      <c r="B444" s="223"/>
      <c r="C444" s="223"/>
      <c r="D444" s="223"/>
      <c r="E444" s="223"/>
      <c r="F444" s="357"/>
      <c r="G444" s="223"/>
      <c r="H444" s="223"/>
      <c r="I444" s="223"/>
      <c r="J444" s="223"/>
      <c r="K444" s="223"/>
      <c r="L444" s="223"/>
      <c r="M444" s="223"/>
      <c r="N444" s="223"/>
      <c r="O444" s="223"/>
      <c r="P444" s="223"/>
      <c r="Q444" s="223"/>
      <c r="R444" s="223"/>
    </row>
    <row r="445">
      <c r="A445" s="223"/>
      <c r="B445" s="223"/>
      <c r="C445" s="223"/>
      <c r="D445" s="223"/>
      <c r="E445" s="223"/>
      <c r="F445" s="357"/>
      <c r="G445" s="223"/>
      <c r="H445" s="223"/>
      <c r="I445" s="223"/>
      <c r="J445" s="223"/>
      <c r="K445" s="223"/>
      <c r="L445" s="223"/>
      <c r="M445" s="223"/>
      <c r="N445" s="223"/>
      <c r="O445" s="223"/>
      <c r="P445" s="223"/>
      <c r="Q445" s="223"/>
      <c r="R445" s="223"/>
    </row>
    <row r="446">
      <c r="A446" s="223"/>
      <c r="B446" s="223"/>
      <c r="C446" s="223"/>
      <c r="D446" s="223"/>
      <c r="E446" s="223"/>
      <c r="F446" s="357"/>
      <c r="G446" s="223"/>
      <c r="H446" s="223"/>
      <c r="I446" s="223"/>
      <c r="J446" s="223"/>
      <c r="K446" s="223"/>
      <c r="L446" s="223"/>
      <c r="M446" s="223"/>
      <c r="N446" s="223"/>
      <c r="O446" s="223"/>
      <c r="P446" s="223"/>
      <c r="Q446" s="223"/>
      <c r="R446" s="223"/>
    </row>
    <row r="447">
      <c r="A447" s="223"/>
      <c r="B447" s="223"/>
      <c r="C447" s="223"/>
      <c r="D447" s="223"/>
      <c r="E447" s="223"/>
      <c r="F447" s="357"/>
      <c r="G447" s="223"/>
      <c r="H447" s="223"/>
      <c r="I447" s="223"/>
      <c r="J447" s="223"/>
      <c r="K447" s="223"/>
      <c r="L447" s="223"/>
      <c r="M447" s="223"/>
      <c r="N447" s="223"/>
      <c r="O447" s="223"/>
      <c r="P447" s="223"/>
      <c r="Q447" s="223"/>
      <c r="R447" s="223"/>
    </row>
    <row r="448">
      <c r="A448" s="223"/>
      <c r="B448" s="223"/>
      <c r="C448" s="223"/>
      <c r="D448" s="223"/>
      <c r="E448" s="223"/>
      <c r="F448" s="357"/>
      <c r="G448" s="223"/>
      <c r="H448" s="223"/>
      <c r="I448" s="223"/>
      <c r="J448" s="223"/>
      <c r="K448" s="223"/>
      <c r="L448" s="223"/>
      <c r="M448" s="223"/>
      <c r="N448" s="223"/>
      <c r="O448" s="223"/>
      <c r="P448" s="223"/>
      <c r="Q448" s="223"/>
      <c r="R448" s="223"/>
    </row>
    <row r="449">
      <c r="A449" s="223"/>
      <c r="B449" s="223"/>
      <c r="C449" s="223"/>
      <c r="D449" s="223"/>
      <c r="E449" s="223"/>
      <c r="F449" s="357"/>
      <c r="G449" s="223"/>
      <c r="H449" s="223"/>
      <c r="I449" s="223"/>
      <c r="J449" s="223"/>
      <c r="K449" s="223"/>
      <c r="L449" s="223"/>
      <c r="M449" s="223"/>
      <c r="N449" s="223"/>
      <c r="O449" s="223"/>
      <c r="P449" s="223"/>
      <c r="Q449" s="223"/>
      <c r="R449" s="223"/>
    </row>
    <row r="450">
      <c r="A450" s="223"/>
      <c r="B450" s="223"/>
      <c r="C450" s="223"/>
      <c r="D450" s="223"/>
      <c r="E450" s="223"/>
      <c r="F450" s="357"/>
      <c r="G450" s="223"/>
      <c r="H450" s="223"/>
      <c r="I450" s="223"/>
      <c r="J450" s="223"/>
      <c r="K450" s="223"/>
      <c r="L450" s="223"/>
      <c r="M450" s="223"/>
      <c r="N450" s="223"/>
      <c r="O450" s="223"/>
      <c r="P450" s="223"/>
      <c r="Q450" s="223"/>
      <c r="R450" s="223"/>
    </row>
    <row r="451">
      <c r="A451" s="223"/>
      <c r="B451" s="223"/>
      <c r="C451" s="223"/>
      <c r="D451" s="223"/>
      <c r="E451" s="223"/>
      <c r="F451" s="357"/>
      <c r="G451" s="223"/>
      <c r="H451" s="223"/>
      <c r="I451" s="223"/>
      <c r="J451" s="223"/>
      <c r="K451" s="223"/>
      <c r="L451" s="223"/>
      <c r="M451" s="223"/>
      <c r="N451" s="223"/>
      <c r="O451" s="223"/>
      <c r="P451" s="223"/>
      <c r="Q451" s="223"/>
      <c r="R451" s="223"/>
    </row>
    <row r="452">
      <c r="A452" s="223"/>
      <c r="B452" s="223"/>
      <c r="C452" s="223"/>
      <c r="D452" s="223"/>
      <c r="E452" s="223"/>
      <c r="F452" s="357"/>
      <c r="G452" s="223"/>
      <c r="H452" s="223"/>
      <c r="I452" s="223"/>
      <c r="J452" s="223"/>
      <c r="K452" s="223"/>
      <c r="L452" s="223"/>
      <c r="M452" s="223"/>
      <c r="N452" s="223"/>
      <c r="O452" s="223"/>
      <c r="P452" s="223"/>
      <c r="Q452" s="223"/>
      <c r="R452" s="223"/>
    </row>
    <row r="453">
      <c r="A453" s="223"/>
      <c r="B453" s="223"/>
      <c r="C453" s="223"/>
      <c r="D453" s="223"/>
      <c r="E453" s="223"/>
      <c r="F453" s="357"/>
      <c r="G453" s="223"/>
      <c r="H453" s="223"/>
      <c r="I453" s="223"/>
      <c r="J453" s="223"/>
      <c r="K453" s="223"/>
      <c r="L453" s="223"/>
      <c r="M453" s="223"/>
      <c r="N453" s="223"/>
      <c r="O453" s="223"/>
      <c r="P453" s="223"/>
      <c r="Q453" s="223"/>
      <c r="R453" s="223"/>
    </row>
    <row r="454">
      <c r="A454" s="223"/>
      <c r="B454" s="223"/>
      <c r="C454" s="223"/>
      <c r="D454" s="223"/>
      <c r="E454" s="223"/>
      <c r="F454" s="357"/>
      <c r="G454" s="223"/>
      <c r="H454" s="223"/>
      <c r="I454" s="223"/>
      <c r="J454" s="223"/>
      <c r="K454" s="223"/>
      <c r="L454" s="223"/>
      <c r="M454" s="223"/>
      <c r="N454" s="223"/>
      <c r="O454" s="223"/>
      <c r="P454" s="223"/>
      <c r="Q454" s="223"/>
      <c r="R454" s="223"/>
    </row>
    <row r="455">
      <c r="A455" s="223"/>
      <c r="B455" s="223"/>
      <c r="C455" s="223"/>
      <c r="D455" s="223"/>
      <c r="E455" s="223"/>
      <c r="F455" s="357"/>
      <c r="G455" s="223"/>
      <c r="H455" s="223"/>
      <c r="I455" s="223"/>
      <c r="J455" s="223"/>
      <c r="K455" s="223"/>
      <c r="L455" s="223"/>
      <c r="M455" s="223"/>
      <c r="N455" s="223"/>
      <c r="O455" s="223"/>
      <c r="P455" s="223"/>
      <c r="Q455" s="223"/>
      <c r="R455" s="223"/>
    </row>
    <row r="456">
      <c r="A456" s="223"/>
      <c r="B456" s="223"/>
      <c r="C456" s="223"/>
      <c r="D456" s="223"/>
      <c r="E456" s="223"/>
      <c r="F456" s="357"/>
      <c r="G456" s="223"/>
      <c r="H456" s="223"/>
      <c r="I456" s="223"/>
      <c r="J456" s="223"/>
      <c r="K456" s="223"/>
      <c r="L456" s="223"/>
      <c r="M456" s="223"/>
      <c r="N456" s="223"/>
      <c r="O456" s="223"/>
      <c r="P456" s="223"/>
      <c r="Q456" s="223"/>
      <c r="R456" s="223"/>
    </row>
    <row r="457">
      <c r="A457" s="223"/>
      <c r="B457" s="223"/>
      <c r="C457" s="223"/>
      <c r="D457" s="223"/>
      <c r="E457" s="223"/>
      <c r="F457" s="357"/>
      <c r="G457" s="223"/>
      <c r="H457" s="223"/>
      <c r="I457" s="223"/>
      <c r="J457" s="223"/>
      <c r="K457" s="223"/>
      <c r="L457" s="223"/>
      <c r="M457" s="223"/>
      <c r="N457" s="223"/>
      <c r="O457" s="223"/>
      <c r="P457" s="223"/>
      <c r="Q457" s="223"/>
      <c r="R457" s="223"/>
    </row>
    <row r="458">
      <c r="A458" s="223"/>
      <c r="B458" s="223"/>
      <c r="C458" s="223"/>
      <c r="D458" s="223"/>
      <c r="E458" s="223"/>
      <c r="F458" s="357"/>
      <c r="G458" s="223"/>
      <c r="H458" s="223"/>
      <c r="I458" s="223"/>
      <c r="J458" s="223"/>
      <c r="K458" s="223"/>
      <c r="L458" s="223"/>
      <c r="M458" s="223"/>
      <c r="N458" s="223"/>
      <c r="O458" s="223"/>
      <c r="P458" s="223"/>
      <c r="Q458" s="223"/>
      <c r="R458" s="223"/>
    </row>
    <row r="459">
      <c r="A459" s="223"/>
      <c r="B459" s="223"/>
      <c r="C459" s="223"/>
      <c r="D459" s="223"/>
      <c r="E459" s="223"/>
      <c r="F459" s="357"/>
      <c r="G459" s="223"/>
      <c r="H459" s="223"/>
      <c r="I459" s="223"/>
      <c r="J459" s="223"/>
      <c r="K459" s="223"/>
      <c r="L459" s="223"/>
      <c r="M459" s="223"/>
      <c r="N459" s="223"/>
      <c r="O459" s="223"/>
      <c r="P459" s="223"/>
      <c r="Q459" s="223"/>
      <c r="R459" s="223"/>
    </row>
    <row r="460">
      <c r="A460" s="223"/>
      <c r="B460" s="223"/>
      <c r="C460" s="223"/>
      <c r="D460" s="223"/>
      <c r="E460" s="223"/>
      <c r="F460" s="357"/>
      <c r="G460" s="223"/>
      <c r="H460" s="223"/>
      <c r="I460" s="223"/>
      <c r="J460" s="223"/>
      <c r="K460" s="223"/>
      <c r="L460" s="223"/>
      <c r="M460" s="223"/>
      <c r="N460" s="223"/>
      <c r="O460" s="223"/>
      <c r="P460" s="223"/>
      <c r="Q460" s="223"/>
      <c r="R460" s="223"/>
    </row>
    <row r="461">
      <c r="A461" s="223"/>
      <c r="B461" s="223"/>
      <c r="C461" s="223"/>
      <c r="D461" s="223"/>
      <c r="E461" s="223"/>
      <c r="F461" s="357"/>
      <c r="G461" s="223"/>
      <c r="H461" s="223"/>
      <c r="I461" s="223"/>
      <c r="J461" s="223"/>
      <c r="K461" s="223"/>
      <c r="L461" s="223"/>
      <c r="M461" s="223"/>
      <c r="N461" s="223"/>
      <c r="O461" s="223"/>
      <c r="P461" s="223"/>
      <c r="Q461" s="223"/>
      <c r="R461" s="223"/>
    </row>
    <row r="462">
      <c r="A462" s="223"/>
      <c r="B462" s="223"/>
      <c r="C462" s="223"/>
      <c r="D462" s="223"/>
      <c r="E462" s="223"/>
      <c r="F462" s="357"/>
      <c r="G462" s="223"/>
      <c r="H462" s="223"/>
      <c r="I462" s="223"/>
      <c r="J462" s="223"/>
      <c r="K462" s="223"/>
      <c r="L462" s="223"/>
      <c r="M462" s="223"/>
      <c r="N462" s="223"/>
      <c r="O462" s="223"/>
      <c r="P462" s="223"/>
      <c r="Q462" s="223"/>
      <c r="R462" s="223"/>
    </row>
    <row r="463">
      <c r="A463" s="223"/>
      <c r="B463" s="223"/>
      <c r="C463" s="223"/>
      <c r="D463" s="223"/>
      <c r="E463" s="223"/>
      <c r="F463" s="357"/>
      <c r="G463" s="223"/>
      <c r="H463" s="223"/>
      <c r="I463" s="223"/>
      <c r="J463" s="223"/>
      <c r="K463" s="223"/>
      <c r="L463" s="223"/>
      <c r="M463" s="223"/>
      <c r="N463" s="223"/>
      <c r="O463" s="223"/>
      <c r="P463" s="223"/>
      <c r="Q463" s="223"/>
      <c r="R463" s="223"/>
    </row>
    <row r="464">
      <c r="A464" s="223"/>
      <c r="B464" s="223"/>
      <c r="C464" s="223"/>
      <c r="D464" s="223"/>
      <c r="E464" s="223"/>
      <c r="F464" s="357"/>
      <c r="G464" s="223"/>
      <c r="H464" s="223"/>
      <c r="I464" s="223"/>
      <c r="J464" s="223"/>
      <c r="K464" s="223"/>
      <c r="L464" s="223"/>
      <c r="M464" s="223"/>
      <c r="N464" s="223"/>
      <c r="O464" s="223"/>
      <c r="P464" s="223"/>
      <c r="Q464" s="223"/>
      <c r="R464" s="223"/>
    </row>
    <row r="465">
      <c r="A465" s="223"/>
      <c r="B465" s="223"/>
      <c r="C465" s="223"/>
      <c r="D465" s="223"/>
      <c r="E465" s="223"/>
      <c r="F465" s="357"/>
      <c r="G465" s="223"/>
      <c r="H465" s="223"/>
      <c r="I465" s="223"/>
      <c r="J465" s="223"/>
      <c r="K465" s="223"/>
      <c r="L465" s="223"/>
      <c r="M465" s="223"/>
      <c r="N465" s="223"/>
      <c r="O465" s="223"/>
      <c r="P465" s="223"/>
      <c r="Q465" s="223"/>
      <c r="R465" s="223"/>
    </row>
    <row r="466">
      <c r="A466" s="223"/>
      <c r="B466" s="223"/>
      <c r="C466" s="223"/>
      <c r="D466" s="223"/>
      <c r="E466" s="223"/>
      <c r="F466" s="357"/>
      <c r="G466" s="223"/>
      <c r="H466" s="223"/>
      <c r="I466" s="223"/>
      <c r="J466" s="223"/>
      <c r="K466" s="223"/>
      <c r="L466" s="223"/>
      <c r="M466" s="223"/>
      <c r="N466" s="223"/>
      <c r="O466" s="223"/>
      <c r="P466" s="223"/>
      <c r="Q466" s="223"/>
      <c r="R466" s="223"/>
    </row>
    <row r="467">
      <c r="A467" s="223"/>
      <c r="B467" s="223"/>
      <c r="C467" s="223"/>
      <c r="D467" s="223"/>
      <c r="E467" s="223"/>
      <c r="F467" s="357"/>
      <c r="G467" s="223"/>
      <c r="H467" s="223"/>
      <c r="I467" s="223"/>
      <c r="J467" s="223"/>
      <c r="K467" s="223"/>
      <c r="L467" s="223"/>
      <c r="M467" s="223"/>
      <c r="N467" s="223"/>
      <c r="O467" s="223"/>
      <c r="P467" s="223"/>
      <c r="Q467" s="223"/>
      <c r="R467" s="223"/>
    </row>
    <row r="468">
      <c r="A468" s="223"/>
      <c r="B468" s="223"/>
      <c r="C468" s="223"/>
      <c r="D468" s="223"/>
      <c r="E468" s="223"/>
      <c r="F468" s="357"/>
      <c r="G468" s="223"/>
      <c r="H468" s="223"/>
      <c r="I468" s="223"/>
      <c r="J468" s="223"/>
      <c r="K468" s="223"/>
      <c r="L468" s="223"/>
      <c r="M468" s="223"/>
      <c r="N468" s="223"/>
      <c r="O468" s="223"/>
      <c r="P468" s="223"/>
      <c r="Q468" s="223"/>
      <c r="R468" s="223"/>
    </row>
    <row r="469">
      <c r="A469" s="223"/>
      <c r="B469" s="223"/>
      <c r="C469" s="223"/>
      <c r="D469" s="223"/>
      <c r="E469" s="223"/>
      <c r="F469" s="357"/>
      <c r="G469" s="223"/>
      <c r="H469" s="223"/>
      <c r="I469" s="223"/>
      <c r="J469" s="223"/>
      <c r="K469" s="223"/>
      <c r="L469" s="223"/>
      <c r="M469" s="223"/>
      <c r="N469" s="223"/>
      <c r="O469" s="223"/>
      <c r="P469" s="223"/>
      <c r="Q469" s="223"/>
      <c r="R469" s="223"/>
    </row>
    <row r="470">
      <c r="A470" s="223"/>
      <c r="B470" s="223"/>
      <c r="C470" s="223"/>
      <c r="D470" s="223"/>
      <c r="E470" s="223"/>
      <c r="F470" s="357"/>
      <c r="G470" s="223"/>
      <c r="H470" s="223"/>
      <c r="I470" s="223"/>
      <c r="J470" s="223"/>
      <c r="K470" s="223"/>
      <c r="L470" s="223"/>
      <c r="M470" s="223"/>
      <c r="N470" s="223"/>
      <c r="O470" s="223"/>
      <c r="P470" s="223"/>
      <c r="Q470" s="223"/>
      <c r="R470" s="223"/>
    </row>
    <row r="471">
      <c r="A471" s="223"/>
      <c r="B471" s="223"/>
      <c r="C471" s="223"/>
      <c r="D471" s="223"/>
      <c r="E471" s="223"/>
      <c r="F471" s="357"/>
      <c r="G471" s="223"/>
      <c r="H471" s="223"/>
      <c r="I471" s="223"/>
      <c r="J471" s="223"/>
      <c r="K471" s="223"/>
      <c r="L471" s="223"/>
      <c r="M471" s="223"/>
      <c r="N471" s="223"/>
      <c r="O471" s="223"/>
      <c r="P471" s="223"/>
      <c r="Q471" s="223"/>
      <c r="R471" s="223"/>
    </row>
    <row r="472">
      <c r="A472" s="223"/>
      <c r="B472" s="223"/>
      <c r="C472" s="223"/>
      <c r="D472" s="223"/>
      <c r="E472" s="223"/>
      <c r="F472" s="357"/>
      <c r="G472" s="223"/>
      <c r="H472" s="223"/>
      <c r="I472" s="223"/>
      <c r="J472" s="223"/>
      <c r="K472" s="223"/>
      <c r="L472" s="223"/>
      <c r="M472" s="223"/>
      <c r="N472" s="223"/>
      <c r="O472" s="223"/>
      <c r="P472" s="223"/>
      <c r="Q472" s="223"/>
      <c r="R472" s="223"/>
    </row>
    <row r="473">
      <c r="A473" s="223"/>
      <c r="B473" s="223"/>
      <c r="C473" s="223"/>
      <c r="D473" s="223"/>
      <c r="E473" s="223"/>
      <c r="F473" s="357"/>
      <c r="G473" s="223"/>
      <c r="H473" s="223"/>
      <c r="I473" s="223"/>
      <c r="J473" s="223"/>
      <c r="K473" s="223"/>
      <c r="L473" s="223"/>
      <c r="M473" s="223"/>
      <c r="N473" s="223"/>
      <c r="O473" s="223"/>
      <c r="P473" s="223"/>
      <c r="Q473" s="223"/>
      <c r="R473" s="223"/>
    </row>
    <row r="474">
      <c r="A474" s="223"/>
      <c r="B474" s="223"/>
      <c r="C474" s="223"/>
      <c r="D474" s="223"/>
      <c r="E474" s="223"/>
      <c r="F474" s="357"/>
      <c r="G474" s="223"/>
      <c r="H474" s="223"/>
      <c r="I474" s="223"/>
      <c r="J474" s="223"/>
      <c r="K474" s="223"/>
      <c r="L474" s="223"/>
      <c r="M474" s="223"/>
      <c r="N474" s="223"/>
      <c r="O474" s="223"/>
      <c r="P474" s="223"/>
      <c r="Q474" s="223"/>
      <c r="R474" s="223"/>
    </row>
    <row r="475">
      <c r="A475" s="223"/>
      <c r="B475" s="223"/>
      <c r="C475" s="223"/>
      <c r="D475" s="223"/>
      <c r="E475" s="223"/>
      <c r="F475" s="357"/>
      <c r="G475" s="223"/>
      <c r="H475" s="223"/>
      <c r="I475" s="223"/>
      <c r="J475" s="223"/>
      <c r="K475" s="223"/>
      <c r="L475" s="223"/>
      <c r="M475" s="223"/>
      <c r="N475" s="223"/>
      <c r="O475" s="223"/>
      <c r="P475" s="223"/>
      <c r="Q475" s="223"/>
      <c r="R475" s="223"/>
    </row>
    <row r="476">
      <c r="A476" s="223"/>
      <c r="B476" s="223"/>
      <c r="C476" s="223"/>
      <c r="D476" s="223"/>
      <c r="E476" s="223"/>
      <c r="F476" s="357"/>
      <c r="G476" s="223"/>
      <c r="H476" s="223"/>
      <c r="I476" s="223"/>
      <c r="J476" s="223"/>
      <c r="K476" s="223"/>
      <c r="L476" s="223"/>
      <c r="M476" s="223"/>
      <c r="N476" s="223"/>
      <c r="O476" s="223"/>
      <c r="P476" s="223"/>
      <c r="Q476" s="223"/>
      <c r="R476" s="223"/>
    </row>
    <row r="477">
      <c r="A477" s="223"/>
      <c r="B477" s="223"/>
      <c r="C477" s="223"/>
      <c r="D477" s="223"/>
      <c r="E477" s="223"/>
      <c r="F477" s="357"/>
      <c r="G477" s="223"/>
      <c r="H477" s="223"/>
      <c r="I477" s="223"/>
      <c r="J477" s="223"/>
      <c r="K477" s="223"/>
      <c r="L477" s="223"/>
      <c r="M477" s="223"/>
      <c r="N477" s="223"/>
      <c r="O477" s="223"/>
      <c r="P477" s="223"/>
      <c r="Q477" s="223"/>
      <c r="R477" s="223"/>
    </row>
    <row r="478">
      <c r="A478" s="223"/>
      <c r="B478" s="223"/>
      <c r="C478" s="223"/>
      <c r="D478" s="223"/>
      <c r="E478" s="223"/>
      <c r="F478" s="357"/>
      <c r="G478" s="223"/>
      <c r="H478" s="223"/>
      <c r="I478" s="223"/>
      <c r="J478" s="223"/>
      <c r="K478" s="223"/>
      <c r="L478" s="223"/>
      <c r="M478" s="223"/>
      <c r="N478" s="223"/>
      <c r="O478" s="223"/>
      <c r="P478" s="223"/>
      <c r="Q478" s="223"/>
      <c r="R478" s="223"/>
    </row>
    <row r="479">
      <c r="A479" s="223"/>
      <c r="B479" s="223"/>
      <c r="C479" s="223"/>
      <c r="D479" s="223"/>
      <c r="E479" s="223"/>
      <c r="F479" s="357"/>
      <c r="G479" s="223"/>
      <c r="H479" s="223"/>
      <c r="I479" s="223"/>
      <c r="J479" s="223"/>
      <c r="K479" s="223"/>
      <c r="L479" s="223"/>
      <c r="M479" s="223"/>
      <c r="N479" s="223"/>
      <c r="O479" s="223"/>
      <c r="P479" s="223"/>
      <c r="Q479" s="223"/>
      <c r="R479" s="223"/>
    </row>
    <row r="480">
      <c r="A480" s="223"/>
      <c r="B480" s="223"/>
      <c r="C480" s="223"/>
      <c r="D480" s="223"/>
      <c r="E480" s="223"/>
      <c r="F480" s="357"/>
      <c r="G480" s="223"/>
      <c r="H480" s="223"/>
      <c r="I480" s="223"/>
      <c r="J480" s="223"/>
      <c r="K480" s="223"/>
      <c r="L480" s="223"/>
      <c r="M480" s="223"/>
      <c r="N480" s="223"/>
      <c r="O480" s="223"/>
      <c r="P480" s="223"/>
      <c r="Q480" s="223"/>
      <c r="R480" s="223"/>
    </row>
    <row r="481">
      <c r="A481" s="223"/>
      <c r="B481" s="223"/>
      <c r="C481" s="223"/>
      <c r="D481" s="223"/>
      <c r="E481" s="223"/>
      <c r="F481" s="357"/>
      <c r="G481" s="223"/>
      <c r="H481" s="223"/>
      <c r="I481" s="223"/>
      <c r="J481" s="223"/>
      <c r="K481" s="223"/>
      <c r="L481" s="223"/>
      <c r="M481" s="223"/>
      <c r="N481" s="223"/>
      <c r="O481" s="223"/>
      <c r="P481" s="223"/>
      <c r="Q481" s="223"/>
      <c r="R481" s="223"/>
    </row>
    <row r="482">
      <c r="A482" s="223"/>
      <c r="B482" s="223"/>
      <c r="C482" s="223"/>
      <c r="D482" s="223"/>
      <c r="E482" s="223"/>
      <c r="F482" s="357"/>
      <c r="G482" s="223"/>
      <c r="H482" s="223"/>
      <c r="I482" s="223"/>
      <c r="J482" s="223"/>
      <c r="K482" s="223"/>
      <c r="L482" s="223"/>
      <c r="M482" s="223"/>
      <c r="N482" s="223"/>
      <c r="O482" s="223"/>
      <c r="P482" s="223"/>
      <c r="Q482" s="223"/>
      <c r="R482" s="223"/>
    </row>
    <row r="483">
      <c r="A483" s="223"/>
      <c r="B483" s="223"/>
      <c r="C483" s="223"/>
      <c r="D483" s="223"/>
      <c r="E483" s="223"/>
      <c r="F483" s="357"/>
      <c r="G483" s="223"/>
      <c r="H483" s="223"/>
      <c r="I483" s="223"/>
      <c r="J483" s="223"/>
      <c r="K483" s="223"/>
      <c r="L483" s="223"/>
      <c r="M483" s="223"/>
      <c r="N483" s="223"/>
      <c r="O483" s="223"/>
      <c r="P483" s="223"/>
      <c r="Q483" s="223"/>
      <c r="R483" s="223"/>
    </row>
    <row r="484">
      <c r="A484" s="223"/>
      <c r="B484" s="223"/>
      <c r="C484" s="223"/>
      <c r="D484" s="223"/>
      <c r="E484" s="223"/>
      <c r="F484" s="357"/>
      <c r="G484" s="223"/>
      <c r="H484" s="223"/>
      <c r="I484" s="223"/>
      <c r="J484" s="223"/>
      <c r="K484" s="223"/>
      <c r="L484" s="223"/>
      <c r="M484" s="223"/>
      <c r="N484" s="223"/>
      <c r="O484" s="223"/>
      <c r="P484" s="223"/>
      <c r="Q484" s="223"/>
      <c r="R484" s="223"/>
    </row>
    <row r="485">
      <c r="A485" s="223"/>
      <c r="B485" s="223"/>
      <c r="C485" s="223"/>
      <c r="D485" s="223"/>
      <c r="E485" s="223"/>
      <c r="F485" s="357"/>
      <c r="G485" s="223"/>
      <c r="H485" s="223"/>
      <c r="I485" s="223"/>
      <c r="J485" s="223"/>
      <c r="K485" s="223"/>
      <c r="L485" s="223"/>
      <c r="M485" s="223"/>
      <c r="N485" s="223"/>
      <c r="O485" s="223"/>
      <c r="P485" s="223"/>
      <c r="Q485" s="223"/>
      <c r="R485" s="223"/>
    </row>
    <row r="486">
      <c r="A486" s="223"/>
      <c r="B486" s="223"/>
      <c r="C486" s="223"/>
      <c r="D486" s="223"/>
      <c r="E486" s="223"/>
      <c r="F486" s="357"/>
      <c r="G486" s="223"/>
      <c r="H486" s="223"/>
      <c r="I486" s="223"/>
      <c r="J486" s="223"/>
      <c r="K486" s="223"/>
      <c r="L486" s="223"/>
      <c r="M486" s="223"/>
      <c r="N486" s="223"/>
      <c r="O486" s="223"/>
      <c r="P486" s="223"/>
      <c r="Q486" s="223"/>
      <c r="R486" s="223"/>
    </row>
    <row r="487">
      <c r="A487" s="223"/>
      <c r="B487" s="223"/>
      <c r="C487" s="223"/>
      <c r="D487" s="223"/>
      <c r="E487" s="223"/>
      <c r="F487" s="357"/>
      <c r="G487" s="223"/>
      <c r="H487" s="223"/>
      <c r="I487" s="223"/>
      <c r="J487" s="223"/>
      <c r="K487" s="223"/>
      <c r="L487" s="223"/>
      <c r="M487" s="223"/>
      <c r="N487" s="223"/>
      <c r="O487" s="223"/>
      <c r="P487" s="223"/>
      <c r="Q487" s="223"/>
      <c r="R487" s="223"/>
    </row>
    <row r="488">
      <c r="A488" s="223"/>
      <c r="B488" s="223"/>
      <c r="C488" s="223"/>
      <c r="D488" s="223"/>
      <c r="E488" s="223"/>
      <c r="F488" s="357"/>
      <c r="G488" s="223"/>
      <c r="H488" s="223"/>
      <c r="I488" s="223"/>
      <c r="J488" s="223"/>
      <c r="K488" s="223"/>
      <c r="L488" s="223"/>
      <c r="M488" s="223"/>
      <c r="N488" s="223"/>
      <c r="O488" s="223"/>
      <c r="P488" s="223"/>
      <c r="Q488" s="223"/>
      <c r="R488" s="223"/>
    </row>
    <row r="489">
      <c r="A489" s="223"/>
      <c r="B489" s="223"/>
      <c r="C489" s="223"/>
      <c r="D489" s="223"/>
      <c r="E489" s="223"/>
      <c r="F489" s="357"/>
      <c r="G489" s="223"/>
      <c r="H489" s="223"/>
      <c r="I489" s="223"/>
      <c r="J489" s="223"/>
      <c r="K489" s="223"/>
      <c r="L489" s="223"/>
      <c r="M489" s="223"/>
      <c r="N489" s="223"/>
      <c r="O489" s="223"/>
      <c r="P489" s="223"/>
      <c r="Q489" s="223"/>
      <c r="R489" s="223"/>
    </row>
    <row r="490">
      <c r="A490" s="223"/>
      <c r="B490" s="223"/>
      <c r="C490" s="223"/>
      <c r="D490" s="223"/>
      <c r="E490" s="223"/>
      <c r="F490" s="357"/>
      <c r="G490" s="223"/>
      <c r="H490" s="223"/>
      <c r="I490" s="223"/>
      <c r="J490" s="223"/>
      <c r="K490" s="223"/>
      <c r="L490" s="223"/>
      <c r="M490" s="223"/>
      <c r="N490" s="223"/>
      <c r="O490" s="223"/>
      <c r="P490" s="223"/>
      <c r="Q490" s="223"/>
      <c r="R490" s="223"/>
    </row>
    <row r="491">
      <c r="A491" s="223"/>
      <c r="B491" s="223"/>
      <c r="C491" s="223"/>
      <c r="D491" s="223"/>
      <c r="E491" s="223"/>
      <c r="F491" s="357"/>
      <c r="G491" s="223"/>
      <c r="H491" s="223"/>
      <c r="I491" s="223"/>
      <c r="J491" s="223"/>
      <c r="K491" s="223"/>
      <c r="L491" s="223"/>
      <c r="M491" s="223"/>
      <c r="N491" s="223"/>
      <c r="O491" s="223"/>
      <c r="P491" s="223"/>
      <c r="Q491" s="223"/>
      <c r="R491" s="223"/>
    </row>
    <row r="492">
      <c r="A492" s="223"/>
      <c r="B492" s="223"/>
      <c r="C492" s="223"/>
      <c r="D492" s="223"/>
      <c r="E492" s="223"/>
      <c r="F492" s="357"/>
      <c r="G492" s="223"/>
      <c r="H492" s="223"/>
      <c r="I492" s="223"/>
      <c r="J492" s="223"/>
      <c r="K492" s="223"/>
      <c r="L492" s="223"/>
      <c r="M492" s="223"/>
      <c r="N492" s="223"/>
      <c r="O492" s="223"/>
      <c r="P492" s="223"/>
      <c r="Q492" s="223"/>
      <c r="R492" s="223"/>
    </row>
    <row r="493">
      <c r="A493" s="223"/>
      <c r="B493" s="223"/>
      <c r="C493" s="223"/>
      <c r="D493" s="223"/>
      <c r="E493" s="223"/>
      <c r="F493" s="357"/>
      <c r="G493" s="223"/>
      <c r="H493" s="223"/>
      <c r="I493" s="223"/>
      <c r="J493" s="223"/>
      <c r="K493" s="223"/>
      <c r="L493" s="223"/>
      <c r="M493" s="223"/>
      <c r="N493" s="223"/>
      <c r="O493" s="223"/>
      <c r="P493" s="223"/>
      <c r="Q493" s="223"/>
      <c r="R493" s="223"/>
    </row>
    <row r="494">
      <c r="A494" s="223"/>
      <c r="B494" s="223"/>
      <c r="C494" s="223"/>
      <c r="D494" s="223"/>
      <c r="E494" s="223"/>
      <c r="F494" s="357"/>
      <c r="G494" s="223"/>
      <c r="H494" s="223"/>
      <c r="I494" s="223"/>
      <c r="J494" s="223"/>
      <c r="K494" s="223"/>
      <c r="L494" s="223"/>
      <c r="M494" s="223"/>
      <c r="N494" s="223"/>
      <c r="O494" s="223"/>
      <c r="P494" s="223"/>
      <c r="Q494" s="223"/>
      <c r="R494" s="223"/>
    </row>
    <row r="495">
      <c r="A495" s="223"/>
      <c r="B495" s="223"/>
      <c r="C495" s="223"/>
      <c r="D495" s="223"/>
      <c r="E495" s="223"/>
      <c r="F495" s="357"/>
      <c r="G495" s="223"/>
      <c r="H495" s="223"/>
      <c r="I495" s="223"/>
      <c r="J495" s="223"/>
      <c r="K495" s="223"/>
      <c r="L495" s="223"/>
      <c r="M495" s="223"/>
      <c r="N495" s="223"/>
      <c r="O495" s="223"/>
      <c r="P495" s="223"/>
      <c r="Q495" s="223"/>
      <c r="R495" s="223"/>
    </row>
    <row r="496">
      <c r="A496" s="223"/>
      <c r="B496" s="223"/>
      <c r="C496" s="223"/>
      <c r="D496" s="223"/>
      <c r="E496" s="223"/>
      <c r="F496" s="357"/>
      <c r="G496" s="223"/>
      <c r="H496" s="223"/>
      <c r="I496" s="223"/>
      <c r="J496" s="223"/>
      <c r="K496" s="223"/>
      <c r="L496" s="223"/>
      <c r="M496" s="223"/>
      <c r="N496" s="223"/>
      <c r="O496" s="223"/>
      <c r="P496" s="223"/>
      <c r="Q496" s="223"/>
      <c r="R496" s="223"/>
    </row>
    <row r="497">
      <c r="A497" s="223"/>
      <c r="B497" s="223"/>
      <c r="C497" s="223"/>
      <c r="D497" s="223"/>
      <c r="E497" s="223"/>
      <c r="F497" s="357"/>
      <c r="G497" s="223"/>
      <c r="H497" s="223"/>
      <c r="I497" s="223"/>
      <c r="J497" s="223"/>
      <c r="K497" s="223"/>
      <c r="L497" s="223"/>
      <c r="M497" s="223"/>
      <c r="N497" s="223"/>
      <c r="O497" s="223"/>
      <c r="P497" s="223"/>
      <c r="Q497" s="223"/>
      <c r="R497" s="223"/>
    </row>
    <row r="498">
      <c r="A498" s="223"/>
      <c r="B498" s="223"/>
      <c r="C498" s="223"/>
      <c r="D498" s="223"/>
      <c r="E498" s="223"/>
      <c r="F498" s="357"/>
      <c r="G498" s="223"/>
      <c r="H498" s="223"/>
      <c r="I498" s="223"/>
      <c r="J498" s="223"/>
      <c r="K498" s="223"/>
      <c r="L498" s="223"/>
      <c r="M498" s="223"/>
      <c r="N498" s="223"/>
      <c r="O498" s="223"/>
      <c r="P498" s="223"/>
      <c r="Q498" s="223"/>
      <c r="R498" s="223"/>
    </row>
    <row r="499">
      <c r="A499" s="223"/>
      <c r="B499" s="223"/>
      <c r="C499" s="223"/>
      <c r="D499" s="223"/>
      <c r="E499" s="223"/>
      <c r="F499" s="357"/>
      <c r="G499" s="223"/>
      <c r="H499" s="223"/>
      <c r="I499" s="223"/>
      <c r="J499" s="223"/>
      <c r="K499" s="223"/>
      <c r="L499" s="223"/>
      <c r="M499" s="223"/>
      <c r="N499" s="223"/>
      <c r="O499" s="223"/>
      <c r="P499" s="223"/>
      <c r="Q499" s="223"/>
      <c r="R499" s="223"/>
    </row>
    <row r="500">
      <c r="A500" s="223"/>
      <c r="B500" s="223"/>
      <c r="C500" s="223"/>
      <c r="D500" s="223"/>
      <c r="E500" s="223"/>
      <c r="F500" s="357"/>
      <c r="G500" s="223"/>
      <c r="H500" s="223"/>
      <c r="I500" s="223"/>
      <c r="J500" s="223"/>
      <c r="K500" s="223"/>
      <c r="L500" s="223"/>
      <c r="M500" s="223"/>
      <c r="N500" s="223"/>
      <c r="O500" s="223"/>
      <c r="P500" s="223"/>
      <c r="Q500" s="223"/>
      <c r="R500" s="223"/>
    </row>
    <row r="501">
      <c r="A501" s="223"/>
      <c r="B501" s="223"/>
      <c r="C501" s="223"/>
      <c r="D501" s="223"/>
      <c r="E501" s="223"/>
      <c r="F501" s="357"/>
      <c r="G501" s="223"/>
      <c r="H501" s="223"/>
      <c r="I501" s="223"/>
      <c r="J501" s="223"/>
      <c r="K501" s="223"/>
      <c r="L501" s="223"/>
      <c r="M501" s="223"/>
      <c r="N501" s="223"/>
      <c r="O501" s="223"/>
      <c r="P501" s="223"/>
      <c r="Q501" s="223"/>
      <c r="R501" s="223"/>
    </row>
    <row r="502">
      <c r="A502" s="223"/>
      <c r="B502" s="223"/>
      <c r="C502" s="223"/>
      <c r="D502" s="223"/>
      <c r="E502" s="223"/>
      <c r="F502" s="357"/>
      <c r="G502" s="223"/>
      <c r="H502" s="223"/>
      <c r="I502" s="223"/>
      <c r="J502" s="223"/>
      <c r="K502" s="223"/>
      <c r="L502" s="223"/>
      <c r="M502" s="223"/>
      <c r="N502" s="223"/>
      <c r="O502" s="223"/>
      <c r="P502" s="223"/>
      <c r="Q502" s="223"/>
      <c r="R502" s="223"/>
    </row>
    <row r="503">
      <c r="A503" s="223"/>
      <c r="B503" s="223"/>
      <c r="C503" s="223"/>
      <c r="D503" s="223"/>
      <c r="E503" s="223"/>
      <c r="F503" s="357"/>
      <c r="G503" s="223"/>
      <c r="H503" s="223"/>
      <c r="I503" s="223"/>
      <c r="J503" s="223"/>
      <c r="K503" s="223"/>
      <c r="L503" s="223"/>
      <c r="M503" s="223"/>
      <c r="N503" s="223"/>
      <c r="O503" s="223"/>
      <c r="P503" s="223"/>
      <c r="Q503" s="223"/>
      <c r="R503" s="223"/>
    </row>
    <row r="504">
      <c r="A504" s="223"/>
      <c r="B504" s="223"/>
      <c r="C504" s="223"/>
      <c r="D504" s="223"/>
      <c r="E504" s="223"/>
      <c r="F504" s="357"/>
      <c r="G504" s="223"/>
      <c r="H504" s="223"/>
      <c r="I504" s="223"/>
      <c r="J504" s="223"/>
      <c r="K504" s="223"/>
      <c r="L504" s="223"/>
      <c r="M504" s="223"/>
      <c r="N504" s="223"/>
      <c r="O504" s="223"/>
      <c r="P504" s="223"/>
      <c r="Q504" s="223"/>
      <c r="R504" s="223"/>
    </row>
    <row r="505">
      <c r="A505" s="223"/>
      <c r="B505" s="223"/>
      <c r="C505" s="223"/>
      <c r="D505" s="223"/>
      <c r="E505" s="223"/>
      <c r="F505" s="357"/>
      <c r="G505" s="223"/>
      <c r="H505" s="223"/>
      <c r="I505" s="223"/>
      <c r="J505" s="223"/>
      <c r="K505" s="223"/>
      <c r="L505" s="223"/>
      <c r="M505" s="223"/>
      <c r="N505" s="223"/>
      <c r="O505" s="223"/>
      <c r="P505" s="223"/>
      <c r="Q505" s="223"/>
      <c r="R505" s="223"/>
    </row>
    <row r="506">
      <c r="A506" s="223"/>
      <c r="B506" s="223"/>
      <c r="C506" s="223"/>
      <c r="D506" s="223"/>
      <c r="E506" s="223"/>
      <c r="F506" s="357"/>
      <c r="G506" s="223"/>
      <c r="H506" s="223"/>
      <c r="I506" s="223"/>
      <c r="J506" s="223"/>
      <c r="K506" s="223"/>
      <c r="L506" s="223"/>
      <c r="M506" s="223"/>
      <c r="N506" s="223"/>
      <c r="O506" s="223"/>
      <c r="P506" s="223"/>
      <c r="Q506" s="223"/>
      <c r="R506" s="223"/>
    </row>
    <row r="507">
      <c r="A507" s="223"/>
      <c r="B507" s="223"/>
      <c r="C507" s="223"/>
      <c r="D507" s="223"/>
      <c r="E507" s="223"/>
      <c r="F507" s="357"/>
      <c r="G507" s="223"/>
      <c r="H507" s="223"/>
      <c r="I507" s="223"/>
      <c r="J507" s="223"/>
      <c r="K507" s="223"/>
      <c r="L507" s="223"/>
      <c r="M507" s="223"/>
      <c r="N507" s="223"/>
      <c r="O507" s="223"/>
      <c r="P507" s="223"/>
      <c r="Q507" s="223"/>
      <c r="R507" s="223"/>
    </row>
    <row r="508">
      <c r="A508" s="223"/>
      <c r="B508" s="223"/>
      <c r="C508" s="223"/>
      <c r="D508" s="223"/>
      <c r="E508" s="223"/>
      <c r="F508" s="357"/>
      <c r="G508" s="223"/>
      <c r="H508" s="223"/>
      <c r="I508" s="223"/>
      <c r="J508" s="223"/>
      <c r="K508" s="223"/>
      <c r="L508" s="223"/>
      <c r="M508" s="223"/>
      <c r="N508" s="223"/>
      <c r="O508" s="223"/>
      <c r="P508" s="223"/>
      <c r="Q508" s="223"/>
      <c r="R508" s="223"/>
    </row>
    <row r="509">
      <c r="A509" s="223"/>
      <c r="B509" s="223"/>
      <c r="C509" s="223"/>
      <c r="D509" s="223"/>
      <c r="E509" s="223"/>
      <c r="F509" s="357"/>
      <c r="G509" s="223"/>
      <c r="H509" s="223"/>
      <c r="I509" s="223"/>
      <c r="J509" s="223"/>
      <c r="K509" s="223"/>
      <c r="L509" s="223"/>
      <c r="M509" s="223"/>
      <c r="N509" s="223"/>
      <c r="O509" s="223"/>
      <c r="P509" s="223"/>
      <c r="Q509" s="223"/>
      <c r="R509" s="223"/>
    </row>
    <row r="510">
      <c r="A510" s="223"/>
      <c r="B510" s="223"/>
      <c r="C510" s="223"/>
      <c r="D510" s="223"/>
      <c r="E510" s="223"/>
      <c r="F510" s="357"/>
      <c r="G510" s="223"/>
      <c r="H510" s="223"/>
      <c r="I510" s="223"/>
      <c r="J510" s="223"/>
      <c r="K510" s="223"/>
      <c r="L510" s="223"/>
      <c r="M510" s="223"/>
      <c r="N510" s="223"/>
      <c r="O510" s="223"/>
      <c r="P510" s="223"/>
      <c r="Q510" s="223"/>
      <c r="R510" s="223"/>
    </row>
    <row r="511">
      <c r="A511" s="223"/>
      <c r="B511" s="223"/>
      <c r="C511" s="223"/>
      <c r="D511" s="223"/>
      <c r="E511" s="223"/>
      <c r="F511" s="357"/>
      <c r="G511" s="223"/>
      <c r="H511" s="223"/>
      <c r="I511" s="223"/>
      <c r="J511" s="223"/>
      <c r="K511" s="223"/>
      <c r="L511" s="223"/>
      <c r="M511" s="223"/>
      <c r="N511" s="223"/>
      <c r="O511" s="223"/>
      <c r="P511" s="223"/>
      <c r="Q511" s="223"/>
      <c r="R511" s="223"/>
    </row>
    <row r="512">
      <c r="A512" s="223"/>
      <c r="B512" s="223"/>
      <c r="C512" s="223"/>
      <c r="D512" s="223"/>
      <c r="E512" s="223"/>
      <c r="F512" s="357"/>
      <c r="G512" s="223"/>
      <c r="H512" s="223"/>
      <c r="I512" s="223"/>
      <c r="J512" s="223"/>
      <c r="K512" s="223"/>
      <c r="L512" s="223"/>
      <c r="M512" s="223"/>
      <c r="N512" s="223"/>
      <c r="O512" s="223"/>
      <c r="P512" s="223"/>
      <c r="Q512" s="223"/>
      <c r="R512" s="223"/>
    </row>
    <row r="513">
      <c r="A513" s="223"/>
      <c r="B513" s="223"/>
      <c r="C513" s="223"/>
      <c r="D513" s="223"/>
      <c r="E513" s="223"/>
      <c r="F513" s="357"/>
      <c r="G513" s="223"/>
      <c r="H513" s="223"/>
      <c r="I513" s="223"/>
      <c r="J513" s="223"/>
      <c r="K513" s="223"/>
      <c r="L513" s="223"/>
      <c r="M513" s="223"/>
      <c r="N513" s="223"/>
      <c r="O513" s="223"/>
      <c r="P513" s="223"/>
      <c r="Q513" s="223"/>
      <c r="R513" s="223"/>
    </row>
    <row r="514">
      <c r="A514" s="223"/>
      <c r="B514" s="223"/>
      <c r="C514" s="223"/>
      <c r="D514" s="223"/>
      <c r="E514" s="223"/>
      <c r="F514" s="357"/>
      <c r="G514" s="223"/>
      <c r="H514" s="223"/>
      <c r="I514" s="223"/>
      <c r="J514" s="223"/>
      <c r="K514" s="223"/>
      <c r="L514" s="223"/>
      <c r="M514" s="223"/>
      <c r="N514" s="223"/>
      <c r="O514" s="223"/>
      <c r="P514" s="223"/>
      <c r="Q514" s="223"/>
      <c r="R514" s="223"/>
    </row>
    <row r="515">
      <c r="A515" s="223"/>
      <c r="B515" s="223"/>
      <c r="C515" s="223"/>
      <c r="D515" s="223"/>
      <c r="E515" s="223"/>
      <c r="F515" s="357"/>
      <c r="G515" s="223"/>
      <c r="H515" s="223"/>
      <c r="I515" s="223"/>
      <c r="J515" s="223"/>
      <c r="K515" s="223"/>
      <c r="L515" s="223"/>
      <c r="M515" s="223"/>
      <c r="N515" s="223"/>
      <c r="O515" s="223"/>
      <c r="P515" s="223"/>
      <c r="Q515" s="223"/>
      <c r="R515" s="223"/>
    </row>
    <row r="516">
      <c r="A516" s="223"/>
      <c r="B516" s="223"/>
      <c r="C516" s="223"/>
      <c r="D516" s="223"/>
      <c r="E516" s="223"/>
      <c r="F516" s="357"/>
      <c r="G516" s="223"/>
      <c r="H516" s="223"/>
      <c r="I516" s="223"/>
      <c r="J516" s="223"/>
      <c r="K516" s="223"/>
      <c r="L516" s="223"/>
      <c r="M516" s="223"/>
      <c r="N516" s="223"/>
      <c r="O516" s="223"/>
      <c r="P516" s="223"/>
      <c r="Q516" s="223"/>
      <c r="R516" s="223"/>
    </row>
    <row r="517">
      <c r="A517" s="223"/>
      <c r="B517" s="223"/>
      <c r="C517" s="223"/>
      <c r="D517" s="223"/>
      <c r="E517" s="223"/>
      <c r="F517" s="357"/>
      <c r="G517" s="223"/>
      <c r="H517" s="223"/>
      <c r="I517" s="223"/>
      <c r="J517" s="223"/>
      <c r="K517" s="223"/>
      <c r="L517" s="223"/>
      <c r="M517" s="223"/>
      <c r="N517" s="223"/>
      <c r="O517" s="223"/>
      <c r="P517" s="223"/>
      <c r="Q517" s="223"/>
      <c r="R517" s="223"/>
    </row>
    <row r="518">
      <c r="A518" s="223"/>
      <c r="B518" s="223"/>
      <c r="C518" s="223"/>
      <c r="D518" s="223"/>
      <c r="E518" s="223"/>
      <c r="F518" s="357"/>
      <c r="G518" s="223"/>
      <c r="H518" s="223"/>
      <c r="I518" s="223"/>
      <c r="J518" s="223"/>
      <c r="K518" s="223"/>
      <c r="L518" s="223"/>
      <c r="M518" s="223"/>
      <c r="N518" s="223"/>
      <c r="O518" s="223"/>
      <c r="P518" s="223"/>
      <c r="Q518" s="223"/>
      <c r="R518" s="223"/>
    </row>
    <row r="519">
      <c r="A519" s="223"/>
      <c r="B519" s="223"/>
      <c r="C519" s="223"/>
      <c r="D519" s="223"/>
      <c r="E519" s="223"/>
      <c r="F519" s="357"/>
      <c r="G519" s="223"/>
      <c r="H519" s="223"/>
      <c r="I519" s="223"/>
      <c r="J519" s="223"/>
      <c r="K519" s="223"/>
      <c r="L519" s="223"/>
      <c r="M519" s="223"/>
      <c r="N519" s="223"/>
      <c r="O519" s="223"/>
      <c r="P519" s="223"/>
      <c r="Q519" s="223"/>
      <c r="R519" s="223"/>
    </row>
    <row r="520">
      <c r="A520" s="223"/>
      <c r="B520" s="223"/>
      <c r="C520" s="223"/>
      <c r="D520" s="223"/>
      <c r="E520" s="223"/>
      <c r="F520" s="357"/>
      <c r="G520" s="223"/>
      <c r="H520" s="223"/>
      <c r="I520" s="223"/>
      <c r="J520" s="223"/>
      <c r="K520" s="223"/>
      <c r="L520" s="223"/>
      <c r="M520" s="223"/>
      <c r="N520" s="223"/>
      <c r="O520" s="223"/>
      <c r="P520" s="223"/>
      <c r="Q520" s="223"/>
      <c r="R520" s="223"/>
    </row>
    <row r="521">
      <c r="A521" s="223"/>
      <c r="B521" s="223"/>
      <c r="C521" s="223"/>
      <c r="D521" s="223"/>
      <c r="E521" s="223"/>
      <c r="F521" s="357"/>
      <c r="G521" s="223"/>
      <c r="H521" s="223"/>
      <c r="I521" s="223"/>
      <c r="J521" s="223"/>
      <c r="K521" s="223"/>
      <c r="L521" s="223"/>
      <c r="M521" s="223"/>
      <c r="N521" s="223"/>
      <c r="O521" s="223"/>
      <c r="P521" s="223"/>
      <c r="Q521" s="223"/>
      <c r="R521" s="223"/>
    </row>
    <row r="522">
      <c r="A522" s="223"/>
      <c r="B522" s="223"/>
      <c r="C522" s="223"/>
      <c r="D522" s="223"/>
      <c r="E522" s="223"/>
      <c r="F522" s="357"/>
      <c r="G522" s="223"/>
      <c r="H522" s="223"/>
      <c r="I522" s="223"/>
      <c r="J522" s="223"/>
      <c r="K522" s="223"/>
      <c r="L522" s="223"/>
      <c r="M522" s="223"/>
      <c r="N522" s="223"/>
      <c r="O522" s="223"/>
      <c r="P522" s="223"/>
      <c r="Q522" s="223"/>
      <c r="R522" s="223"/>
    </row>
    <row r="523">
      <c r="A523" s="223"/>
      <c r="B523" s="223"/>
      <c r="C523" s="223"/>
      <c r="D523" s="223"/>
      <c r="E523" s="223"/>
      <c r="F523" s="357"/>
      <c r="G523" s="223"/>
      <c r="H523" s="223"/>
      <c r="I523" s="223"/>
      <c r="J523" s="223"/>
      <c r="K523" s="223"/>
      <c r="L523" s="223"/>
      <c r="M523" s="223"/>
      <c r="N523" s="223"/>
      <c r="O523" s="223"/>
      <c r="P523" s="223"/>
      <c r="Q523" s="223"/>
      <c r="R523" s="223"/>
    </row>
    <row r="524">
      <c r="A524" s="223"/>
      <c r="B524" s="223"/>
      <c r="C524" s="223"/>
      <c r="D524" s="223"/>
      <c r="E524" s="223"/>
      <c r="F524" s="357"/>
      <c r="G524" s="223"/>
      <c r="H524" s="223"/>
      <c r="I524" s="223"/>
      <c r="J524" s="223"/>
      <c r="K524" s="223"/>
      <c r="L524" s="223"/>
      <c r="M524" s="223"/>
      <c r="N524" s="223"/>
      <c r="O524" s="223"/>
      <c r="P524" s="223"/>
      <c r="Q524" s="223"/>
      <c r="R524" s="223"/>
    </row>
    <row r="525">
      <c r="A525" s="223"/>
      <c r="B525" s="223"/>
      <c r="C525" s="223"/>
      <c r="D525" s="223"/>
      <c r="E525" s="223"/>
      <c r="F525" s="357"/>
      <c r="G525" s="223"/>
      <c r="H525" s="223"/>
      <c r="I525" s="223"/>
      <c r="J525" s="223"/>
      <c r="K525" s="223"/>
      <c r="L525" s="223"/>
      <c r="M525" s="223"/>
      <c r="N525" s="223"/>
      <c r="O525" s="223"/>
      <c r="P525" s="223"/>
      <c r="Q525" s="223"/>
      <c r="R525" s="223"/>
    </row>
    <row r="526">
      <c r="A526" s="223"/>
      <c r="B526" s="223"/>
      <c r="C526" s="223"/>
      <c r="D526" s="223"/>
      <c r="E526" s="223"/>
      <c r="F526" s="357"/>
      <c r="G526" s="223"/>
      <c r="H526" s="223"/>
      <c r="I526" s="223"/>
      <c r="J526" s="223"/>
      <c r="K526" s="223"/>
      <c r="L526" s="223"/>
      <c r="M526" s="223"/>
      <c r="N526" s="223"/>
      <c r="O526" s="223"/>
      <c r="P526" s="223"/>
      <c r="Q526" s="223"/>
      <c r="R526" s="223"/>
    </row>
    <row r="527">
      <c r="A527" s="223"/>
      <c r="B527" s="223"/>
      <c r="C527" s="223"/>
      <c r="D527" s="223"/>
      <c r="E527" s="223"/>
      <c r="F527" s="357"/>
      <c r="G527" s="223"/>
      <c r="H527" s="223"/>
      <c r="I527" s="223"/>
      <c r="J527" s="223"/>
      <c r="K527" s="223"/>
      <c r="L527" s="223"/>
      <c r="M527" s="223"/>
      <c r="N527" s="223"/>
      <c r="O527" s="223"/>
      <c r="P527" s="223"/>
      <c r="Q527" s="223"/>
      <c r="R527" s="223"/>
    </row>
    <row r="528">
      <c r="A528" s="223"/>
      <c r="B528" s="223"/>
      <c r="C528" s="223"/>
      <c r="D528" s="223"/>
      <c r="E528" s="223"/>
      <c r="F528" s="357"/>
      <c r="G528" s="223"/>
      <c r="H528" s="223"/>
      <c r="I528" s="223"/>
      <c r="J528" s="223"/>
      <c r="K528" s="223"/>
      <c r="L528" s="223"/>
      <c r="M528" s="223"/>
      <c r="N528" s="223"/>
      <c r="O528" s="223"/>
      <c r="P528" s="223"/>
      <c r="Q528" s="223"/>
      <c r="R528" s="223"/>
    </row>
    <row r="529">
      <c r="A529" s="223"/>
      <c r="B529" s="223"/>
      <c r="C529" s="223"/>
      <c r="D529" s="223"/>
      <c r="E529" s="223"/>
      <c r="F529" s="357"/>
      <c r="G529" s="223"/>
      <c r="H529" s="223"/>
      <c r="I529" s="223"/>
      <c r="J529" s="223"/>
      <c r="K529" s="223"/>
      <c r="L529" s="223"/>
      <c r="M529" s="223"/>
      <c r="N529" s="223"/>
      <c r="O529" s="223"/>
      <c r="P529" s="223"/>
      <c r="Q529" s="223"/>
      <c r="R529" s="223"/>
    </row>
    <row r="530">
      <c r="A530" s="223"/>
      <c r="B530" s="223"/>
      <c r="C530" s="223"/>
      <c r="D530" s="223"/>
      <c r="E530" s="223"/>
      <c r="F530" s="357"/>
      <c r="G530" s="223"/>
      <c r="H530" s="223"/>
      <c r="I530" s="223"/>
      <c r="J530" s="223"/>
      <c r="K530" s="223"/>
      <c r="L530" s="223"/>
      <c r="M530" s="223"/>
      <c r="N530" s="223"/>
      <c r="O530" s="223"/>
      <c r="P530" s="223"/>
      <c r="Q530" s="223"/>
      <c r="R530" s="223"/>
    </row>
    <row r="531">
      <c r="A531" s="223"/>
      <c r="B531" s="223"/>
      <c r="C531" s="223"/>
      <c r="D531" s="223"/>
      <c r="E531" s="223"/>
      <c r="F531" s="357"/>
      <c r="G531" s="223"/>
      <c r="H531" s="223"/>
      <c r="I531" s="223"/>
      <c r="J531" s="223"/>
      <c r="K531" s="223"/>
      <c r="L531" s="223"/>
      <c r="M531" s="223"/>
      <c r="N531" s="223"/>
      <c r="O531" s="223"/>
      <c r="P531" s="223"/>
      <c r="Q531" s="223"/>
      <c r="R531" s="223"/>
    </row>
    <row r="532">
      <c r="A532" s="223"/>
      <c r="B532" s="223"/>
      <c r="C532" s="223"/>
      <c r="D532" s="223"/>
      <c r="E532" s="223"/>
      <c r="F532" s="357"/>
      <c r="G532" s="223"/>
      <c r="H532" s="223"/>
      <c r="I532" s="223"/>
      <c r="J532" s="223"/>
      <c r="K532" s="223"/>
      <c r="L532" s="223"/>
      <c r="M532" s="223"/>
      <c r="N532" s="223"/>
      <c r="O532" s="223"/>
      <c r="P532" s="223"/>
      <c r="Q532" s="223"/>
      <c r="R532" s="223"/>
    </row>
    <row r="533">
      <c r="A533" s="223"/>
      <c r="B533" s="223"/>
      <c r="C533" s="223"/>
      <c r="D533" s="223"/>
      <c r="E533" s="223"/>
      <c r="F533" s="357"/>
      <c r="G533" s="223"/>
      <c r="H533" s="223"/>
      <c r="I533" s="223"/>
      <c r="J533" s="223"/>
      <c r="K533" s="223"/>
      <c r="L533" s="223"/>
      <c r="M533" s="223"/>
      <c r="N533" s="223"/>
      <c r="O533" s="223"/>
      <c r="P533" s="223"/>
      <c r="Q533" s="223"/>
      <c r="R533" s="223"/>
    </row>
    <row r="534">
      <c r="A534" s="223"/>
      <c r="B534" s="223"/>
      <c r="C534" s="223"/>
      <c r="D534" s="223"/>
      <c r="E534" s="223"/>
      <c r="F534" s="357"/>
      <c r="G534" s="223"/>
      <c r="H534" s="223"/>
      <c r="I534" s="223"/>
      <c r="J534" s="223"/>
      <c r="K534" s="223"/>
      <c r="L534" s="223"/>
      <c r="M534" s="223"/>
      <c r="N534" s="223"/>
      <c r="O534" s="223"/>
      <c r="P534" s="223"/>
      <c r="Q534" s="223"/>
      <c r="R534" s="223"/>
    </row>
    <row r="535">
      <c r="A535" s="223"/>
      <c r="B535" s="223"/>
      <c r="C535" s="223"/>
      <c r="D535" s="223"/>
      <c r="E535" s="223"/>
      <c r="F535" s="357"/>
      <c r="G535" s="223"/>
      <c r="H535" s="223"/>
      <c r="I535" s="223"/>
      <c r="J535" s="223"/>
      <c r="K535" s="223"/>
      <c r="L535" s="223"/>
      <c r="M535" s="223"/>
      <c r="N535" s="223"/>
      <c r="O535" s="223"/>
      <c r="P535" s="223"/>
      <c r="Q535" s="223"/>
      <c r="R535" s="223"/>
    </row>
    <row r="536">
      <c r="A536" s="223"/>
      <c r="B536" s="223"/>
      <c r="C536" s="223"/>
      <c r="D536" s="223"/>
      <c r="E536" s="223"/>
      <c r="F536" s="357"/>
      <c r="G536" s="223"/>
      <c r="H536" s="223"/>
      <c r="I536" s="223"/>
      <c r="J536" s="223"/>
      <c r="K536" s="223"/>
      <c r="L536" s="223"/>
      <c r="M536" s="223"/>
      <c r="N536" s="223"/>
      <c r="O536" s="223"/>
      <c r="P536" s="223"/>
      <c r="Q536" s="223"/>
      <c r="R536" s="223"/>
    </row>
    <row r="537">
      <c r="A537" s="223"/>
      <c r="B537" s="223"/>
      <c r="C537" s="223"/>
      <c r="D537" s="223"/>
      <c r="E537" s="223"/>
      <c r="F537" s="357"/>
      <c r="G537" s="223"/>
      <c r="H537" s="223"/>
      <c r="I537" s="223"/>
      <c r="J537" s="223"/>
      <c r="K537" s="223"/>
      <c r="L537" s="223"/>
      <c r="M537" s="223"/>
      <c r="N537" s="223"/>
      <c r="O537" s="223"/>
      <c r="P537" s="223"/>
      <c r="Q537" s="223"/>
      <c r="R537" s="223"/>
    </row>
    <row r="538">
      <c r="A538" s="223"/>
      <c r="B538" s="223"/>
      <c r="C538" s="223"/>
      <c r="D538" s="223"/>
      <c r="E538" s="223"/>
      <c r="F538" s="357"/>
      <c r="G538" s="223"/>
      <c r="H538" s="223"/>
      <c r="I538" s="223"/>
      <c r="J538" s="223"/>
      <c r="K538" s="223"/>
      <c r="L538" s="223"/>
      <c r="M538" s="223"/>
      <c r="N538" s="223"/>
      <c r="O538" s="223"/>
      <c r="P538" s="223"/>
      <c r="Q538" s="223"/>
      <c r="R538" s="223"/>
    </row>
    <row r="539">
      <c r="A539" s="223"/>
      <c r="B539" s="223"/>
      <c r="C539" s="223"/>
      <c r="D539" s="223"/>
      <c r="E539" s="223"/>
      <c r="F539" s="357"/>
      <c r="G539" s="223"/>
      <c r="H539" s="223"/>
      <c r="I539" s="223"/>
      <c r="J539" s="223"/>
      <c r="K539" s="223"/>
      <c r="L539" s="223"/>
      <c r="M539" s="223"/>
      <c r="N539" s="223"/>
      <c r="O539" s="223"/>
      <c r="P539" s="223"/>
      <c r="Q539" s="223"/>
      <c r="R539" s="223"/>
    </row>
    <row r="540">
      <c r="A540" s="223"/>
      <c r="B540" s="223"/>
      <c r="C540" s="223"/>
      <c r="D540" s="223"/>
      <c r="E540" s="223"/>
      <c r="F540" s="357"/>
      <c r="G540" s="223"/>
      <c r="H540" s="223"/>
      <c r="I540" s="223"/>
      <c r="J540" s="223"/>
      <c r="K540" s="223"/>
      <c r="L540" s="223"/>
      <c r="M540" s="223"/>
      <c r="N540" s="223"/>
      <c r="O540" s="223"/>
      <c r="P540" s="223"/>
      <c r="Q540" s="223"/>
      <c r="R540" s="223"/>
    </row>
    <row r="541">
      <c r="A541" s="223"/>
      <c r="B541" s="223"/>
      <c r="C541" s="223"/>
      <c r="D541" s="223"/>
      <c r="E541" s="223"/>
      <c r="F541" s="357"/>
      <c r="G541" s="223"/>
      <c r="H541" s="223"/>
      <c r="I541" s="223"/>
      <c r="J541" s="223"/>
      <c r="K541" s="223"/>
      <c r="L541" s="223"/>
      <c r="M541" s="223"/>
      <c r="N541" s="223"/>
      <c r="O541" s="223"/>
      <c r="P541" s="223"/>
      <c r="Q541" s="223"/>
      <c r="R541" s="223"/>
    </row>
    <row r="542">
      <c r="A542" s="223"/>
      <c r="B542" s="223"/>
      <c r="C542" s="223"/>
      <c r="D542" s="223"/>
      <c r="E542" s="223"/>
      <c r="F542" s="357"/>
      <c r="G542" s="223"/>
      <c r="H542" s="223"/>
      <c r="I542" s="223"/>
      <c r="J542" s="223"/>
      <c r="K542" s="223"/>
      <c r="L542" s="223"/>
      <c r="M542" s="223"/>
      <c r="N542" s="223"/>
      <c r="O542" s="223"/>
      <c r="P542" s="223"/>
      <c r="Q542" s="223"/>
      <c r="R542" s="223"/>
    </row>
    <row r="543">
      <c r="A543" s="223"/>
      <c r="B543" s="223"/>
      <c r="C543" s="223"/>
      <c r="D543" s="223"/>
      <c r="E543" s="223"/>
      <c r="F543" s="357"/>
      <c r="G543" s="223"/>
      <c r="H543" s="223"/>
      <c r="I543" s="223"/>
      <c r="J543" s="223"/>
      <c r="K543" s="223"/>
      <c r="L543" s="223"/>
      <c r="M543" s="223"/>
      <c r="N543" s="223"/>
      <c r="O543" s="223"/>
      <c r="P543" s="223"/>
      <c r="Q543" s="223"/>
      <c r="R543" s="223"/>
    </row>
    <row r="544">
      <c r="A544" s="223"/>
      <c r="B544" s="223"/>
      <c r="C544" s="223"/>
      <c r="D544" s="223"/>
      <c r="E544" s="223"/>
      <c r="F544" s="357"/>
      <c r="G544" s="223"/>
      <c r="H544" s="223"/>
      <c r="I544" s="223"/>
      <c r="J544" s="223"/>
      <c r="K544" s="223"/>
      <c r="L544" s="223"/>
      <c r="M544" s="223"/>
      <c r="N544" s="223"/>
      <c r="O544" s="223"/>
      <c r="P544" s="223"/>
      <c r="Q544" s="223"/>
      <c r="R544" s="223"/>
    </row>
    <row r="545">
      <c r="A545" s="223"/>
      <c r="B545" s="223"/>
      <c r="C545" s="223"/>
      <c r="D545" s="223"/>
      <c r="E545" s="223"/>
      <c r="F545" s="357"/>
      <c r="G545" s="223"/>
      <c r="H545" s="223"/>
      <c r="I545" s="223"/>
      <c r="J545" s="223"/>
      <c r="K545" s="223"/>
      <c r="L545" s="223"/>
      <c r="M545" s="223"/>
      <c r="N545" s="223"/>
      <c r="O545" s="223"/>
      <c r="P545" s="223"/>
      <c r="Q545" s="223"/>
      <c r="R545" s="223"/>
    </row>
    <row r="546">
      <c r="A546" s="223"/>
      <c r="B546" s="223"/>
      <c r="C546" s="223"/>
      <c r="D546" s="223"/>
      <c r="E546" s="223"/>
      <c r="F546" s="357"/>
      <c r="G546" s="223"/>
      <c r="H546" s="223"/>
      <c r="I546" s="223"/>
      <c r="J546" s="223"/>
      <c r="K546" s="223"/>
      <c r="L546" s="223"/>
      <c r="M546" s="223"/>
      <c r="N546" s="223"/>
      <c r="O546" s="223"/>
      <c r="P546" s="223"/>
      <c r="Q546" s="223"/>
      <c r="R546" s="223"/>
    </row>
    <row r="547">
      <c r="A547" s="223"/>
      <c r="B547" s="223"/>
      <c r="C547" s="223"/>
      <c r="D547" s="223"/>
      <c r="E547" s="223"/>
      <c r="F547" s="357"/>
      <c r="G547" s="223"/>
      <c r="H547" s="223"/>
      <c r="I547" s="223"/>
      <c r="J547" s="223"/>
      <c r="K547" s="223"/>
      <c r="L547" s="223"/>
      <c r="M547" s="223"/>
      <c r="N547" s="223"/>
      <c r="O547" s="223"/>
      <c r="P547" s="223"/>
      <c r="Q547" s="223"/>
      <c r="R547" s="223"/>
    </row>
    <row r="548">
      <c r="A548" s="223"/>
      <c r="B548" s="223"/>
      <c r="C548" s="223"/>
      <c r="D548" s="223"/>
      <c r="E548" s="223"/>
      <c r="F548" s="357"/>
      <c r="G548" s="223"/>
      <c r="H548" s="223"/>
      <c r="I548" s="223"/>
      <c r="J548" s="223"/>
      <c r="K548" s="223"/>
      <c r="L548" s="223"/>
      <c r="M548" s="223"/>
      <c r="N548" s="223"/>
      <c r="O548" s="223"/>
      <c r="P548" s="223"/>
      <c r="Q548" s="223"/>
      <c r="R548" s="223"/>
    </row>
    <row r="549">
      <c r="A549" s="223"/>
      <c r="B549" s="223"/>
      <c r="C549" s="223"/>
      <c r="D549" s="223"/>
      <c r="E549" s="223"/>
      <c r="F549" s="357"/>
      <c r="G549" s="223"/>
      <c r="H549" s="223"/>
      <c r="I549" s="223"/>
      <c r="J549" s="223"/>
      <c r="K549" s="223"/>
      <c r="L549" s="223"/>
      <c r="M549" s="223"/>
      <c r="N549" s="223"/>
      <c r="O549" s="223"/>
      <c r="P549" s="223"/>
      <c r="Q549" s="223"/>
      <c r="R549" s="223"/>
    </row>
    <row r="550">
      <c r="A550" s="223"/>
      <c r="B550" s="223"/>
      <c r="C550" s="223"/>
      <c r="D550" s="223"/>
      <c r="E550" s="223"/>
      <c r="F550" s="357"/>
      <c r="G550" s="223"/>
      <c r="H550" s="223"/>
      <c r="I550" s="223"/>
      <c r="J550" s="223"/>
      <c r="K550" s="223"/>
      <c r="L550" s="223"/>
      <c r="M550" s="223"/>
      <c r="N550" s="223"/>
      <c r="O550" s="223"/>
      <c r="P550" s="223"/>
      <c r="Q550" s="223"/>
      <c r="R550" s="223"/>
    </row>
    <row r="551">
      <c r="A551" s="223"/>
      <c r="B551" s="223"/>
      <c r="C551" s="223"/>
      <c r="D551" s="223"/>
      <c r="E551" s="223"/>
      <c r="F551" s="357"/>
      <c r="G551" s="223"/>
      <c r="H551" s="223"/>
      <c r="I551" s="223"/>
      <c r="J551" s="223"/>
      <c r="K551" s="223"/>
      <c r="L551" s="223"/>
      <c r="M551" s="223"/>
      <c r="N551" s="223"/>
      <c r="O551" s="223"/>
      <c r="P551" s="223"/>
      <c r="Q551" s="223"/>
      <c r="R551" s="223"/>
    </row>
    <row r="552">
      <c r="A552" s="223"/>
      <c r="B552" s="223"/>
      <c r="C552" s="223"/>
      <c r="D552" s="223"/>
      <c r="E552" s="223"/>
      <c r="F552" s="357"/>
      <c r="G552" s="223"/>
      <c r="H552" s="223"/>
      <c r="I552" s="223"/>
      <c r="J552" s="223"/>
      <c r="K552" s="223"/>
      <c r="L552" s="223"/>
      <c r="M552" s="223"/>
      <c r="N552" s="223"/>
      <c r="O552" s="223"/>
      <c r="P552" s="223"/>
      <c r="Q552" s="223"/>
      <c r="R552" s="223"/>
    </row>
    <row r="553">
      <c r="A553" s="223"/>
      <c r="B553" s="223"/>
      <c r="C553" s="223"/>
      <c r="D553" s="223"/>
      <c r="E553" s="223"/>
      <c r="F553" s="357"/>
      <c r="G553" s="223"/>
      <c r="H553" s="223"/>
      <c r="I553" s="223"/>
      <c r="J553" s="223"/>
      <c r="K553" s="223"/>
      <c r="L553" s="223"/>
      <c r="M553" s="223"/>
      <c r="N553" s="223"/>
      <c r="O553" s="223"/>
      <c r="P553" s="223"/>
      <c r="Q553" s="223"/>
      <c r="R553" s="223"/>
    </row>
    <row r="554">
      <c r="A554" s="223"/>
      <c r="B554" s="223"/>
      <c r="C554" s="223"/>
      <c r="D554" s="223"/>
      <c r="E554" s="223"/>
      <c r="F554" s="357"/>
      <c r="G554" s="223"/>
      <c r="H554" s="223"/>
      <c r="I554" s="223"/>
      <c r="J554" s="223"/>
      <c r="K554" s="223"/>
      <c r="L554" s="223"/>
      <c r="M554" s="223"/>
      <c r="N554" s="223"/>
      <c r="O554" s="223"/>
      <c r="P554" s="223"/>
      <c r="Q554" s="223"/>
      <c r="R554" s="223"/>
    </row>
    <row r="555">
      <c r="A555" s="223"/>
      <c r="B555" s="223"/>
      <c r="C555" s="223"/>
      <c r="D555" s="223"/>
      <c r="E555" s="223"/>
      <c r="F555" s="357"/>
      <c r="G555" s="223"/>
      <c r="H555" s="223"/>
      <c r="I555" s="223"/>
      <c r="J555" s="223"/>
      <c r="K555" s="223"/>
      <c r="L555" s="223"/>
      <c r="M555" s="223"/>
      <c r="N555" s="223"/>
      <c r="O555" s="223"/>
      <c r="P555" s="223"/>
      <c r="Q555" s="223"/>
      <c r="R555" s="223"/>
    </row>
    <row r="556">
      <c r="A556" s="223"/>
      <c r="B556" s="223"/>
      <c r="C556" s="223"/>
      <c r="D556" s="223"/>
      <c r="E556" s="223"/>
      <c r="F556" s="357"/>
      <c r="G556" s="223"/>
      <c r="H556" s="223"/>
      <c r="I556" s="223"/>
      <c r="J556" s="223"/>
      <c r="K556" s="223"/>
      <c r="L556" s="223"/>
      <c r="M556" s="223"/>
      <c r="N556" s="223"/>
      <c r="O556" s="223"/>
      <c r="P556" s="223"/>
      <c r="Q556" s="223"/>
      <c r="R556" s="223"/>
    </row>
    <row r="557">
      <c r="A557" s="223"/>
      <c r="B557" s="223"/>
      <c r="C557" s="223"/>
      <c r="D557" s="223"/>
      <c r="E557" s="223"/>
      <c r="F557" s="357"/>
      <c r="G557" s="223"/>
      <c r="H557" s="223"/>
      <c r="I557" s="223"/>
      <c r="J557" s="223"/>
      <c r="K557" s="223"/>
      <c r="L557" s="223"/>
      <c r="M557" s="223"/>
      <c r="N557" s="223"/>
      <c r="O557" s="223"/>
      <c r="P557" s="223"/>
      <c r="Q557" s="223"/>
      <c r="R557" s="223"/>
    </row>
    <row r="558">
      <c r="A558" s="223"/>
      <c r="B558" s="223"/>
      <c r="C558" s="223"/>
      <c r="D558" s="223"/>
      <c r="E558" s="223"/>
      <c r="F558" s="357"/>
      <c r="G558" s="223"/>
      <c r="H558" s="223"/>
      <c r="I558" s="223"/>
      <c r="J558" s="223"/>
      <c r="K558" s="223"/>
      <c r="L558" s="223"/>
      <c r="M558" s="223"/>
      <c r="N558" s="223"/>
      <c r="O558" s="223"/>
      <c r="P558" s="223"/>
      <c r="Q558" s="223"/>
      <c r="R558" s="223"/>
    </row>
    <row r="559">
      <c r="A559" s="223"/>
      <c r="B559" s="223"/>
      <c r="C559" s="223"/>
      <c r="D559" s="223"/>
      <c r="E559" s="223"/>
      <c r="F559" s="357"/>
      <c r="G559" s="223"/>
      <c r="H559" s="223"/>
      <c r="I559" s="223"/>
      <c r="J559" s="223"/>
      <c r="K559" s="223"/>
      <c r="L559" s="223"/>
      <c r="M559" s="223"/>
      <c r="N559" s="223"/>
      <c r="O559" s="223"/>
      <c r="P559" s="223"/>
      <c r="Q559" s="223"/>
      <c r="R559" s="223"/>
    </row>
    <row r="560">
      <c r="A560" s="223"/>
      <c r="B560" s="223"/>
      <c r="C560" s="223"/>
      <c r="D560" s="223"/>
      <c r="E560" s="223"/>
      <c r="F560" s="357"/>
      <c r="G560" s="223"/>
      <c r="H560" s="223"/>
      <c r="I560" s="223"/>
      <c r="J560" s="223"/>
      <c r="K560" s="223"/>
      <c r="L560" s="223"/>
      <c r="M560" s="223"/>
      <c r="N560" s="223"/>
      <c r="O560" s="223"/>
      <c r="P560" s="223"/>
      <c r="Q560" s="223"/>
      <c r="R560" s="223"/>
    </row>
    <row r="561">
      <c r="A561" s="223"/>
      <c r="B561" s="223"/>
      <c r="C561" s="223"/>
      <c r="D561" s="223"/>
      <c r="E561" s="223"/>
      <c r="F561" s="357"/>
      <c r="G561" s="223"/>
      <c r="H561" s="223"/>
      <c r="I561" s="223"/>
      <c r="J561" s="223"/>
      <c r="K561" s="223"/>
      <c r="L561" s="223"/>
      <c r="M561" s="223"/>
      <c r="N561" s="223"/>
      <c r="O561" s="223"/>
      <c r="P561" s="223"/>
      <c r="Q561" s="223"/>
      <c r="R561" s="223"/>
    </row>
    <row r="562">
      <c r="A562" s="223"/>
      <c r="B562" s="223"/>
      <c r="C562" s="223"/>
      <c r="D562" s="223"/>
      <c r="E562" s="223"/>
      <c r="F562" s="357"/>
      <c r="G562" s="223"/>
      <c r="H562" s="223"/>
      <c r="I562" s="223"/>
      <c r="J562" s="223"/>
      <c r="K562" s="223"/>
      <c r="L562" s="223"/>
      <c r="M562" s="223"/>
      <c r="N562" s="223"/>
      <c r="O562" s="223"/>
      <c r="P562" s="223"/>
      <c r="Q562" s="223"/>
      <c r="R562" s="223"/>
    </row>
    <row r="563">
      <c r="A563" s="223"/>
      <c r="B563" s="223"/>
      <c r="C563" s="223"/>
      <c r="D563" s="223"/>
      <c r="E563" s="223"/>
      <c r="F563" s="357"/>
      <c r="G563" s="223"/>
      <c r="H563" s="223"/>
      <c r="I563" s="223"/>
      <c r="J563" s="223"/>
      <c r="K563" s="223"/>
      <c r="L563" s="223"/>
      <c r="M563" s="223"/>
      <c r="N563" s="223"/>
      <c r="O563" s="223"/>
      <c r="P563" s="223"/>
      <c r="Q563" s="223"/>
      <c r="R563" s="223"/>
    </row>
    <row r="564">
      <c r="A564" s="223"/>
      <c r="B564" s="223"/>
      <c r="C564" s="223"/>
      <c r="D564" s="223"/>
      <c r="E564" s="223"/>
      <c r="F564" s="357"/>
      <c r="G564" s="223"/>
      <c r="H564" s="223"/>
      <c r="I564" s="223"/>
      <c r="J564" s="223"/>
      <c r="K564" s="223"/>
      <c r="L564" s="223"/>
      <c r="M564" s="223"/>
      <c r="N564" s="223"/>
      <c r="O564" s="223"/>
      <c r="P564" s="223"/>
      <c r="Q564" s="223"/>
      <c r="R564" s="223"/>
    </row>
    <row r="565">
      <c r="A565" s="223"/>
      <c r="B565" s="223"/>
      <c r="C565" s="223"/>
      <c r="D565" s="223"/>
      <c r="E565" s="223"/>
      <c r="F565" s="357"/>
      <c r="G565" s="223"/>
      <c r="H565" s="223"/>
      <c r="I565" s="223"/>
      <c r="J565" s="223"/>
      <c r="K565" s="223"/>
      <c r="L565" s="223"/>
      <c r="M565" s="223"/>
      <c r="N565" s="223"/>
      <c r="O565" s="223"/>
      <c r="P565" s="223"/>
      <c r="Q565" s="223"/>
      <c r="R565" s="223"/>
    </row>
    <row r="566">
      <c r="A566" s="223"/>
      <c r="B566" s="223"/>
      <c r="C566" s="223"/>
      <c r="D566" s="223"/>
      <c r="E566" s="223"/>
      <c r="F566" s="357"/>
      <c r="G566" s="223"/>
      <c r="H566" s="223"/>
      <c r="I566" s="223"/>
      <c r="J566" s="223"/>
      <c r="K566" s="223"/>
      <c r="L566" s="223"/>
      <c r="M566" s="223"/>
      <c r="N566" s="223"/>
      <c r="O566" s="223"/>
      <c r="P566" s="223"/>
      <c r="Q566" s="223"/>
      <c r="R566" s="223"/>
    </row>
    <row r="567">
      <c r="A567" s="223"/>
      <c r="B567" s="223"/>
      <c r="C567" s="223"/>
      <c r="D567" s="223"/>
      <c r="E567" s="223"/>
      <c r="F567" s="357"/>
      <c r="G567" s="223"/>
      <c r="H567" s="223"/>
      <c r="I567" s="223"/>
      <c r="J567" s="223"/>
      <c r="K567" s="223"/>
      <c r="L567" s="223"/>
      <c r="M567" s="223"/>
      <c r="N567" s="223"/>
      <c r="O567" s="223"/>
      <c r="P567" s="223"/>
      <c r="Q567" s="223"/>
      <c r="R567" s="223"/>
    </row>
    <row r="568">
      <c r="A568" s="223"/>
      <c r="B568" s="223"/>
      <c r="C568" s="223"/>
      <c r="D568" s="223"/>
      <c r="E568" s="223"/>
      <c r="F568" s="357"/>
      <c r="G568" s="223"/>
      <c r="H568" s="223"/>
      <c r="I568" s="223"/>
      <c r="J568" s="223"/>
      <c r="K568" s="223"/>
      <c r="L568" s="223"/>
      <c r="M568" s="223"/>
      <c r="N568" s="223"/>
      <c r="O568" s="223"/>
      <c r="P568" s="223"/>
      <c r="Q568" s="223"/>
      <c r="R568" s="223"/>
    </row>
    <row r="569">
      <c r="A569" s="223"/>
      <c r="B569" s="223"/>
      <c r="C569" s="223"/>
      <c r="D569" s="223"/>
      <c r="E569" s="223"/>
      <c r="F569" s="357"/>
      <c r="G569" s="223"/>
      <c r="H569" s="223"/>
      <c r="I569" s="223"/>
      <c r="J569" s="223"/>
      <c r="K569" s="223"/>
      <c r="L569" s="223"/>
      <c r="M569" s="223"/>
      <c r="N569" s="223"/>
      <c r="O569" s="223"/>
      <c r="P569" s="223"/>
      <c r="Q569" s="223"/>
      <c r="R569" s="223"/>
    </row>
    <row r="570">
      <c r="A570" s="223"/>
      <c r="B570" s="223"/>
      <c r="C570" s="223"/>
      <c r="D570" s="223"/>
      <c r="E570" s="223"/>
      <c r="F570" s="357"/>
      <c r="G570" s="223"/>
      <c r="H570" s="223"/>
      <c r="I570" s="223"/>
      <c r="J570" s="223"/>
      <c r="K570" s="223"/>
      <c r="L570" s="223"/>
      <c r="M570" s="223"/>
      <c r="N570" s="223"/>
      <c r="O570" s="223"/>
      <c r="P570" s="223"/>
      <c r="Q570" s="223"/>
      <c r="R570" s="223"/>
    </row>
    <row r="571">
      <c r="A571" s="223"/>
      <c r="B571" s="223"/>
      <c r="C571" s="223"/>
      <c r="D571" s="223"/>
      <c r="E571" s="223"/>
      <c r="F571" s="357"/>
      <c r="G571" s="223"/>
      <c r="H571" s="223"/>
      <c r="I571" s="223"/>
      <c r="J571" s="223"/>
      <c r="K571" s="223"/>
      <c r="L571" s="223"/>
      <c r="M571" s="223"/>
      <c r="N571" s="223"/>
      <c r="O571" s="223"/>
      <c r="P571" s="223"/>
      <c r="Q571" s="223"/>
      <c r="R571" s="223"/>
    </row>
    <row r="572">
      <c r="A572" s="223"/>
      <c r="B572" s="223"/>
      <c r="C572" s="223"/>
      <c r="D572" s="223"/>
      <c r="E572" s="223"/>
      <c r="F572" s="357"/>
      <c r="G572" s="223"/>
      <c r="H572" s="223"/>
      <c r="I572" s="223"/>
      <c r="J572" s="223"/>
      <c r="K572" s="223"/>
      <c r="L572" s="223"/>
      <c r="M572" s="223"/>
      <c r="N572" s="223"/>
      <c r="O572" s="223"/>
      <c r="P572" s="223"/>
      <c r="Q572" s="223"/>
      <c r="R572" s="223"/>
    </row>
    <row r="573">
      <c r="A573" s="223"/>
      <c r="B573" s="223"/>
      <c r="C573" s="223"/>
      <c r="D573" s="223"/>
      <c r="E573" s="223"/>
      <c r="F573" s="357"/>
      <c r="G573" s="223"/>
      <c r="H573" s="223"/>
      <c r="I573" s="223"/>
      <c r="J573" s="223"/>
      <c r="K573" s="223"/>
      <c r="L573" s="223"/>
      <c r="M573" s="223"/>
      <c r="N573" s="223"/>
      <c r="O573" s="223"/>
      <c r="P573" s="223"/>
      <c r="Q573" s="223"/>
      <c r="R573" s="223"/>
    </row>
    <row r="574">
      <c r="A574" s="223"/>
      <c r="B574" s="223"/>
      <c r="C574" s="223"/>
      <c r="D574" s="223"/>
      <c r="E574" s="223"/>
      <c r="F574" s="357"/>
      <c r="G574" s="223"/>
      <c r="H574" s="223"/>
      <c r="I574" s="223"/>
      <c r="J574" s="223"/>
      <c r="K574" s="223"/>
      <c r="L574" s="223"/>
      <c r="M574" s="223"/>
      <c r="N574" s="223"/>
      <c r="O574" s="223"/>
      <c r="P574" s="223"/>
      <c r="Q574" s="223"/>
      <c r="R574" s="223"/>
    </row>
    <row r="575">
      <c r="A575" s="223"/>
      <c r="B575" s="223"/>
      <c r="C575" s="223"/>
      <c r="D575" s="223"/>
      <c r="E575" s="223"/>
      <c r="F575" s="357"/>
      <c r="G575" s="223"/>
      <c r="H575" s="223"/>
      <c r="I575" s="223"/>
      <c r="J575" s="223"/>
      <c r="K575" s="223"/>
      <c r="L575" s="223"/>
      <c r="M575" s="223"/>
      <c r="N575" s="223"/>
      <c r="O575" s="223"/>
      <c r="P575" s="223"/>
      <c r="Q575" s="223"/>
      <c r="R575" s="223"/>
    </row>
    <row r="576">
      <c r="A576" s="223"/>
      <c r="B576" s="223"/>
      <c r="C576" s="223"/>
      <c r="D576" s="223"/>
      <c r="E576" s="223"/>
      <c r="F576" s="357"/>
      <c r="G576" s="223"/>
      <c r="H576" s="223"/>
      <c r="I576" s="223"/>
      <c r="J576" s="223"/>
      <c r="K576" s="223"/>
      <c r="L576" s="223"/>
      <c r="M576" s="223"/>
      <c r="N576" s="223"/>
      <c r="O576" s="223"/>
      <c r="P576" s="223"/>
      <c r="Q576" s="223"/>
      <c r="R576" s="223"/>
    </row>
    <row r="577">
      <c r="A577" s="223"/>
      <c r="B577" s="223"/>
      <c r="C577" s="223"/>
      <c r="D577" s="223"/>
      <c r="E577" s="223"/>
      <c r="F577" s="357"/>
      <c r="G577" s="223"/>
      <c r="H577" s="223"/>
      <c r="I577" s="223"/>
      <c r="J577" s="223"/>
      <c r="K577" s="223"/>
      <c r="L577" s="223"/>
      <c r="M577" s="223"/>
      <c r="N577" s="223"/>
      <c r="O577" s="223"/>
      <c r="P577" s="223"/>
      <c r="Q577" s="223"/>
      <c r="R577" s="223"/>
    </row>
    <row r="578">
      <c r="A578" s="223"/>
      <c r="B578" s="223"/>
      <c r="C578" s="223"/>
      <c r="D578" s="223"/>
      <c r="E578" s="223"/>
      <c r="F578" s="357"/>
      <c r="G578" s="223"/>
      <c r="H578" s="223"/>
      <c r="I578" s="223"/>
      <c r="J578" s="223"/>
      <c r="K578" s="223"/>
      <c r="L578" s="223"/>
      <c r="M578" s="223"/>
      <c r="N578" s="223"/>
      <c r="O578" s="223"/>
      <c r="P578" s="223"/>
      <c r="Q578" s="223"/>
      <c r="R578" s="223"/>
    </row>
    <row r="579">
      <c r="A579" s="223"/>
      <c r="B579" s="223"/>
      <c r="C579" s="223"/>
      <c r="D579" s="223"/>
      <c r="E579" s="223"/>
      <c r="F579" s="357"/>
      <c r="G579" s="223"/>
      <c r="H579" s="223"/>
      <c r="I579" s="223"/>
      <c r="J579" s="223"/>
      <c r="K579" s="223"/>
      <c r="L579" s="223"/>
      <c r="M579" s="223"/>
      <c r="N579" s="223"/>
      <c r="O579" s="223"/>
      <c r="P579" s="223"/>
      <c r="Q579" s="223"/>
      <c r="R579" s="223"/>
    </row>
    <row r="580">
      <c r="A580" s="223"/>
      <c r="B580" s="223"/>
      <c r="C580" s="223"/>
      <c r="D580" s="223"/>
      <c r="E580" s="223"/>
      <c r="F580" s="357"/>
      <c r="G580" s="223"/>
      <c r="H580" s="223"/>
      <c r="I580" s="223"/>
      <c r="J580" s="223"/>
      <c r="K580" s="223"/>
      <c r="L580" s="223"/>
      <c r="M580" s="223"/>
      <c r="N580" s="223"/>
      <c r="O580" s="223"/>
      <c r="P580" s="223"/>
      <c r="Q580" s="223"/>
      <c r="R580" s="223"/>
    </row>
    <row r="581">
      <c r="A581" s="223"/>
      <c r="B581" s="223"/>
      <c r="C581" s="223"/>
      <c r="D581" s="223"/>
      <c r="E581" s="223"/>
      <c r="F581" s="357"/>
      <c r="G581" s="223"/>
      <c r="H581" s="223"/>
      <c r="I581" s="223"/>
      <c r="J581" s="223"/>
      <c r="K581" s="223"/>
      <c r="L581" s="223"/>
      <c r="M581" s="223"/>
      <c r="N581" s="223"/>
      <c r="O581" s="223"/>
      <c r="P581" s="223"/>
      <c r="Q581" s="223"/>
      <c r="R581" s="223"/>
    </row>
    <row r="582">
      <c r="A582" s="223"/>
      <c r="B582" s="223"/>
      <c r="C582" s="223"/>
      <c r="D582" s="223"/>
      <c r="E582" s="223"/>
      <c r="F582" s="357"/>
      <c r="G582" s="223"/>
      <c r="H582" s="223"/>
      <c r="I582" s="223"/>
      <c r="J582" s="223"/>
      <c r="K582" s="223"/>
      <c r="L582" s="223"/>
      <c r="M582" s="223"/>
      <c r="N582" s="223"/>
      <c r="O582" s="223"/>
      <c r="P582" s="223"/>
      <c r="Q582" s="223"/>
      <c r="R582" s="223"/>
    </row>
    <row r="583">
      <c r="A583" s="223"/>
      <c r="B583" s="223"/>
      <c r="C583" s="223"/>
      <c r="D583" s="223"/>
      <c r="E583" s="223"/>
      <c r="F583" s="357"/>
      <c r="G583" s="223"/>
      <c r="H583" s="223"/>
      <c r="I583" s="223"/>
      <c r="J583" s="223"/>
      <c r="K583" s="223"/>
      <c r="L583" s="223"/>
      <c r="M583" s="223"/>
      <c r="N583" s="223"/>
      <c r="O583" s="223"/>
      <c r="P583" s="223"/>
      <c r="Q583" s="223"/>
      <c r="R583" s="223"/>
    </row>
    <row r="584">
      <c r="A584" s="223"/>
      <c r="B584" s="223"/>
      <c r="C584" s="223"/>
      <c r="D584" s="223"/>
      <c r="E584" s="223"/>
      <c r="F584" s="357"/>
      <c r="G584" s="223"/>
      <c r="H584" s="223"/>
      <c r="I584" s="223"/>
      <c r="J584" s="223"/>
      <c r="K584" s="223"/>
      <c r="L584" s="223"/>
      <c r="M584" s="223"/>
      <c r="N584" s="223"/>
      <c r="O584" s="223"/>
      <c r="P584" s="223"/>
      <c r="Q584" s="223"/>
      <c r="R584" s="223"/>
    </row>
    <row r="585">
      <c r="A585" s="223"/>
      <c r="B585" s="223"/>
      <c r="C585" s="223"/>
      <c r="D585" s="223"/>
      <c r="E585" s="223"/>
      <c r="F585" s="357"/>
      <c r="G585" s="223"/>
      <c r="H585" s="223"/>
      <c r="I585" s="223"/>
      <c r="J585" s="223"/>
      <c r="K585" s="223"/>
      <c r="L585" s="223"/>
      <c r="M585" s="223"/>
      <c r="N585" s="223"/>
      <c r="O585" s="223"/>
      <c r="P585" s="223"/>
      <c r="Q585" s="223"/>
      <c r="R585" s="223"/>
    </row>
    <row r="586">
      <c r="A586" s="223"/>
      <c r="B586" s="223"/>
      <c r="C586" s="223"/>
      <c r="D586" s="223"/>
      <c r="E586" s="223"/>
      <c r="F586" s="357"/>
      <c r="G586" s="223"/>
      <c r="H586" s="223"/>
      <c r="I586" s="223"/>
      <c r="J586" s="223"/>
      <c r="K586" s="223"/>
      <c r="L586" s="223"/>
      <c r="M586" s="223"/>
      <c r="N586" s="223"/>
      <c r="O586" s="223"/>
      <c r="P586" s="223"/>
      <c r="Q586" s="223"/>
      <c r="R586" s="223"/>
    </row>
    <row r="587">
      <c r="A587" s="223"/>
      <c r="B587" s="223"/>
      <c r="C587" s="223"/>
      <c r="D587" s="223"/>
      <c r="E587" s="223"/>
      <c r="F587" s="357"/>
      <c r="G587" s="223"/>
      <c r="H587" s="223"/>
      <c r="I587" s="223"/>
      <c r="J587" s="223"/>
      <c r="K587" s="223"/>
      <c r="L587" s="223"/>
      <c r="M587" s="223"/>
      <c r="N587" s="223"/>
      <c r="O587" s="223"/>
      <c r="P587" s="223"/>
      <c r="Q587" s="223"/>
      <c r="R587" s="223"/>
    </row>
    <row r="588">
      <c r="A588" s="223"/>
      <c r="B588" s="223"/>
      <c r="C588" s="223"/>
      <c r="D588" s="223"/>
      <c r="E588" s="223"/>
      <c r="F588" s="357"/>
      <c r="G588" s="223"/>
      <c r="H588" s="223"/>
      <c r="I588" s="223"/>
      <c r="J588" s="223"/>
      <c r="K588" s="223"/>
      <c r="L588" s="223"/>
      <c r="M588" s="223"/>
      <c r="N588" s="223"/>
      <c r="O588" s="223"/>
      <c r="P588" s="223"/>
      <c r="Q588" s="223"/>
      <c r="R588" s="223"/>
    </row>
    <row r="589">
      <c r="A589" s="223"/>
      <c r="B589" s="223"/>
      <c r="C589" s="223"/>
      <c r="D589" s="223"/>
      <c r="E589" s="223"/>
      <c r="F589" s="357"/>
      <c r="G589" s="223"/>
      <c r="H589" s="223"/>
      <c r="I589" s="223"/>
      <c r="J589" s="223"/>
      <c r="K589" s="223"/>
      <c r="L589" s="223"/>
      <c r="M589" s="223"/>
      <c r="N589" s="223"/>
      <c r="O589" s="223"/>
      <c r="P589" s="223"/>
      <c r="Q589" s="223"/>
      <c r="R589" s="223"/>
    </row>
    <row r="590">
      <c r="A590" s="223"/>
      <c r="B590" s="223"/>
      <c r="C590" s="223"/>
      <c r="D590" s="223"/>
      <c r="E590" s="223"/>
      <c r="F590" s="357"/>
      <c r="G590" s="223"/>
      <c r="H590" s="223"/>
      <c r="I590" s="223"/>
      <c r="J590" s="223"/>
      <c r="K590" s="223"/>
      <c r="L590" s="223"/>
      <c r="M590" s="223"/>
      <c r="N590" s="223"/>
      <c r="O590" s="223"/>
      <c r="P590" s="223"/>
      <c r="Q590" s="223"/>
      <c r="R590" s="223"/>
    </row>
    <row r="591">
      <c r="A591" s="223"/>
      <c r="B591" s="223"/>
      <c r="C591" s="223"/>
      <c r="D591" s="223"/>
      <c r="E591" s="223"/>
      <c r="F591" s="357"/>
      <c r="G591" s="223"/>
      <c r="H591" s="223"/>
      <c r="I591" s="223"/>
      <c r="J591" s="223"/>
      <c r="K591" s="223"/>
      <c r="L591" s="223"/>
      <c r="M591" s="223"/>
      <c r="N591" s="223"/>
      <c r="O591" s="223"/>
      <c r="P591" s="223"/>
      <c r="Q591" s="223"/>
      <c r="R591" s="223"/>
    </row>
    <row r="592">
      <c r="A592" s="223"/>
      <c r="B592" s="223"/>
      <c r="C592" s="223"/>
      <c r="D592" s="223"/>
      <c r="E592" s="223"/>
      <c r="F592" s="357"/>
      <c r="G592" s="223"/>
      <c r="H592" s="223"/>
      <c r="I592" s="223"/>
      <c r="J592" s="223"/>
      <c r="K592" s="223"/>
      <c r="L592" s="223"/>
      <c r="M592" s="223"/>
      <c r="N592" s="223"/>
      <c r="O592" s="223"/>
      <c r="P592" s="223"/>
      <c r="Q592" s="223"/>
      <c r="R592" s="223"/>
    </row>
    <row r="593">
      <c r="A593" s="223"/>
      <c r="B593" s="223"/>
      <c r="C593" s="223"/>
      <c r="D593" s="223"/>
      <c r="E593" s="223"/>
      <c r="F593" s="357"/>
      <c r="G593" s="223"/>
      <c r="H593" s="223"/>
      <c r="I593" s="223"/>
      <c r="J593" s="223"/>
      <c r="K593" s="223"/>
      <c r="L593" s="223"/>
      <c r="M593" s="223"/>
      <c r="N593" s="223"/>
      <c r="O593" s="223"/>
      <c r="P593" s="223"/>
      <c r="Q593" s="223"/>
      <c r="R593" s="223"/>
    </row>
    <row r="594">
      <c r="A594" s="223"/>
      <c r="B594" s="223"/>
      <c r="C594" s="223"/>
      <c r="D594" s="223"/>
      <c r="E594" s="223"/>
      <c r="F594" s="357"/>
      <c r="G594" s="223"/>
      <c r="H594" s="223"/>
      <c r="I594" s="223"/>
      <c r="J594" s="223"/>
      <c r="K594" s="223"/>
      <c r="L594" s="223"/>
      <c r="M594" s="223"/>
      <c r="N594" s="223"/>
      <c r="O594" s="223"/>
      <c r="P594" s="223"/>
      <c r="Q594" s="223"/>
      <c r="R594" s="223"/>
    </row>
    <row r="595">
      <c r="A595" s="223"/>
      <c r="B595" s="223"/>
      <c r="C595" s="223"/>
      <c r="D595" s="223"/>
      <c r="E595" s="223"/>
      <c r="F595" s="357"/>
      <c r="G595" s="223"/>
      <c r="H595" s="223"/>
      <c r="I595" s="223"/>
      <c r="J595" s="223"/>
      <c r="K595" s="223"/>
      <c r="L595" s="223"/>
      <c r="M595" s="223"/>
      <c r="N595" s="223"/>
      <c r="O595" s="223"/>
      <c r="P595" s="223"/>
      <c r="Q595" s="223"/>
      <c r="R595" s="223"/>
    </row>
    <row r="596">
      <c r="A596" s="223"/>
      <c r="B596" s="223"/>
      <c r="C596" s="223"/>
      <c r="D596" s="223"/>
      <c r="E596" s="223"/>
      <c r="F596" s="357"/>
      <c r="G596" s="223"/>
      <c r="H596" s="223"/>
      <c r="I596" s="223"/>
      <c r="J596" s="223"/>
      <c r="K596" s="223"/>
      <c r="L596" s="223"/>
      <c r="M596" s="223"/>
      <c r="N596" s="223"/>
      <c r="O596" s="223"/>
      <c r="P596" s="223"/>
      <c r="Q596" s="223"/>
      <c r="R596" s="223"/>
    </row>
    <row r="597">
      <c r="A597" s="223"/>
      <c r="B597" s="223"/>
      <c r="C597" s="223"/>
      <c r="D597" s="223"/>
      <c r="E597" s="223"/>
      <c r="F597" s="357"/>
      <c r="G597" s="223"/>
      <c r="H597" s="223"/>
      <c r="I597" s="223"/>
      <c r="J597" s="223"/>
      <c r="K597" s="223"/>
      <c r="L597" s="223"/>
      <c r="M597" s="223"/>
      <c r="N597" s="223"/>
      <c r="O597" s="223"/>
      <c r="P597" s="223"/>
      <c r="Q597" s="223"/>
      <c r="R597" s="223"/>
    </row>
    <row r="598">
      <c r="A598" s="223"/>
      <c r="B598" s="223"/>
      <c r="C598" s="223"/>
      <c r="D598" s="223"/>
      <c r="E598" s="223"/>
      <c r="F598" s="357"/>
      <c r="G598" s="223"/>
      <c r="H598" s="223"/>
      <c r="I598" s="223"/>
      <c r="J598" s="223"/>
      <c r="K598" s="223"/>
      <c r="L598" s="223"/>
      <c r="M598" s="223"/>
      <c r="N598" s="223"/>
      <c r="O598" s="223"/>
      <c r="P598" s="223"/>
      <c r="Q598" s="223"/>
      <c r="R598" s="223"/>
    </row>
    <row r="599">
      <c r="A599" s="223"/>
      <c r="B599" s="223"/>
      <c r="C599" s="223"/>
      <c r="D599" s="223"/>
      <c r="E599" s="223"/>
      <c r="F599" s="357"/>
      <c r="G599" s="223"/>
      <c r="H599" s="223"/>
      <c r="I599" s="223"/>
      <c r="J599" s="223"/>
      <c r="K599" s="223"/>
      <c r="L599" s="223"/>
      <c r="M599" s="223"/>
      <c r="N599" s="223"/>
      <c r="O599" s="223"/>
      <c r="P599" s="223"/>
      <c r="Q599" s="223"/>
      <c r="R599" s="223"/>
    </row>
    <row r="600">
      <c r="A600" s="223"/>
      <c r="B600" s="223"/>
      <c r="C600" s="223"/>
      <c r="D600" s="223"/>
      <c r="E600" s="223"/>
      <c r="F600" s="357"/>
      <c r="G600" s="223"/>
      <c r="H600" s="223"/>
      <c r="I600" s="223"/>
      <c r="J600" s="223"/>
      <c r="K600" s="223"/>
      <c r="L600" s="223"/>
      <c r="M600" s="223"/>
      <c r="N600" s="223"/>
      <c r="O600" s="223"/>
      <c r="P600" s="223"/>
      <c r="Q600" s="223"/>
      <c r="R600" s="223"/>
    </row>
    <row r="601">
      <c r="A601" s="223"/>
      <c r="B601" s="223"/>
      <c r="C601" s="223"/>
      <c r="D601" s="223"/>
      <c r="E601" s="223"/>
      <c r="F601" s="357"/>
      <c r="G601" s="223"/>
      <c r="H601" s="223"/>
      <c r="I601" s="223"/>
      <c r="J601" s="223"/>
      <c r="K601" s="223"/>
      <c r="L601" s="223"/>
      <c r="M601" s="223"/>
      <c r="N601" s="223"/>
      <c r="O601" s="223"/>
      <c r="P601" s="223"/>
      <c r="Q601" s="223"/>
      <c r="R601" s="223"/>
    </row>
    <row r="602">
      <c r="A602" s="223"/>
      <c r="B602" s="223"/>
      <c r="C602" s="223"/>
      <c r="D602" s="223"/>
      <c r="E602" s="223"/>
      <c r="F602" s="357"/>
      <c r="G602" s="223"/>
      <c r="H602" s="223"/>
      <c r="I602" s="223"/>
      <c r="J602" s="223"/>
      <c r="K602" s="223"/>
      <c r="L602" s="223"/>
      <c r="M602" s="223"/>
      <c r="N602" s="223"/>
      <c r="O602" s="223"/>
      <c r="P602" s="223"/>
      <c r="Q602" s="223"/>
      <c r="R602" s="223"/>
    </row>
    <row r="603">
      <c r="A603" s="223"/>
      <c r="B603" s="223"/>
      <c r="C603" s="223"/>
      <c r="D603" s="223"/>
      <c r="E603" s="223"/>
      <c r="F603" s="357"/>
      <c r="G603" s="223"/>
      <c r="H603" s="223"/>
      <c r="I603" s="223"/>
      <c r="J603" s="223"/>
      <c r="K603" s="223"/>
      <c r="L603" s="223"/>
      <c r="M603" s="223"/>
      <c r="N603" s="223"/>
      <c r="O603" s="223"/>
      <c r="P603" s="223"/>
      <c r="Q603" s="223"/>
      <c r="R603" s="223"/>
    </row>
    <row r="604">
      <c r="A604" s="223"/>
      <c r="B604" s="223"/>
      <c r="C604" s="223"/>
      <c r="D604" s="223"/>
      <c r="E604" s="223"/>
      <c r="F604" s="357"/>
      <c r="G604" s="223"/>
      <c r="H604" s="223"/>
      <c r="I604" s="223"/>
      <c r="J604" s="223"/>
      <c r="K604" s="223"/>
      <c r="L604" s="223"/>
      <c r="M604" s="223"/>
      <c r="N604" s="223"/>
      <c r="O604" s="223"/>
      <c r="P604" s="223"/>
      <c r="Q604" s="223"/>
      <c r="R604" s="223"/>
    </row>
    <row r="605">
      <c r="A605" s="223"/>
      <c r="B605" s="223"/>
      <c r="C605" s="223"/>
      <c r="D605" s="223"/>
      <c r="E605" s="223"/>
      <c r="F605" s="357"/>
      <c r="G605" s="223"/>
      <c r="H605" s="223"/>
      <c r="I605" s="223"/>
      <c r="J605" s="223"/>
      <c r="K605" s="223"/>
      <c r="L605" s="223"/>
      <c r="M605" s="223"/>
      <c r="N605" s="223"/>
      <c r="O605" s="223"/>
      <c r="P605" s="223"/>
      <c r="Q605" s="223"/>
      <c r="R605" s="223"/>
    </row>
    <row r="606">
      <c r="A606" s="223"/>
      <c r="B606" s="223"/>
      <c r="C606" s="223"/>
      <c r="D606" s="223"/>
      <c r="E606" s="223"/>
      <c r="F606" s="357"/>
      <c r="G606" s="223"/>
      <c r="H606" s="223"/>
      <c r="I606" s="223"/>
      <c r="J606" s="223"/>
      <c r="K606" s="223"/>
      <c r="L606" s="223"/>
      <c r="M606" s="223"/>
      <c r="N606" s="223"/>
      <c r="O606" s="223"/>
      <c r="P606" s="223"/>
      <c r="Q606" s="223"/>
      <c r="R606" s="223"/>
    </row>
    <row r="607">
      <c r="A607" s="223"/>
      <c r="B607" s="223"/>
      <c r="C607" s="223"/>
      <c r="D607" s="223"/>
      <c r="E607" s="223"/>
      <c r="F607" s="357"/>
      <c r="G607" s="223"/>
      <c r="H607" s="223"/>
      <c r="I607" s="223"/>
      <c r="J607" s="223"/>
      <c r="K607" s="223"/>
      <c r="L607" s="223"/>
      <c r="M607" s="223"/>
      <c r="N607" s="223"/>
      <c r="O607" s="223"/>
      <c r="P607" s="223"/>
      <c r="Q607" s="223"/>
      <c r="R607" s="223"/>
    </row>
    <row r="608">
      <c r="A608" s="223"/>
      <c r="B608" s="223"/>
      <c r="C608" s="223"/>
      <c r="D608" s="223"/>
      <c r="E608" s="223"/>
      <c r="F608" s="357"/>
      <c r="G608" s="223"/>
      <c r="H608" s="223"/>
      <c r="I608" s="223"/>
      <c r="J608" s="223"/>
      <c r="K608" s="223"/>
      <c r="L608" s="223"/>
      <c r="M608" s="223"/>
      <c r="N608" s="223"/>
      <c r="O608" s="223"/>
      <c r="P608" s="223"/>
      <c r="Q608" s="223"/>
      <c r="R608" s="223"/>
    </row>
    <row r="609">
      <c r="A609" s="223"/>
      <c r="B609" s="223"/>
      <c r="C609" s="223"/>
      <c r="D609" s="223"/>
      <c r="E609" s="223"/>
      <c r="F609" s="357"/>
      <c r="G609" s="223"/>
      <c r="H609" s="223"/>
      <c r="I609" s="223"/>
      <c r="J609" s="223"/>
      <c r="K609" s="223"/>
      <c r="L609" s="223"/>
      <c r="M609" s="223"/>
      <c r="N609" s="223"/>
      <c r="O609" s="223"/>
      <c r="P609" s="223"/>
      <c r="Q609" s="223"/>
      <c r="R609" s="223"/>
    </row>
    <row r="610">
      <c r="A610" s="223"/>
      <c r="B610" s="223"/>
      <c r="C610" s="223"/>
      <c r="D610" s="223"/>
      <c r="E610" s="223"/>
      <c r="F610" s="357"/>
      <c r="G610" s="223"/>
      <c r="H610" s="223"/>
      <c r="I610" s="223"/>
      <c r="J610" s="223"/>
      <c r="K610" s="223"/>
      <c r="L610" s="223"/>
      <c r="M610" s="223"/>
      <c r="N610" s="223"/>
      <c r="O610" s="223"/>
      <c r="P610" s="223"/>
      <c r="Q610" s="223"/>
      <c r="R610" s="223"/>
    </row>
    <row r="611">
      <c r="A611" s="223"/>
      <c r="B611" s="223"/>
      <c r="C611" s="223"/>
      <c r="D611" s="223"/>
      <c r="E611" s="223"/>
      <c r="F611" s="357"/>
      <c r="G611" s="223"/>
      <c r="H611" s="223"/>
      <c r="I611" s="223"/>
      <c r="J611" s="223"/>
      <c r="K611" s="223"/>
      <c r="L611" s="223"/>
      <c r="M611" s="223"/>
      <c r="N611" s="223"/>
      <c r="O611" s="223"/>
      <c r="P611" s="223"/>
      <c r="Q611" s="223"/>
      <c r="R611" s="223"/>
    </row>
    <row r="612">
      <c r="A612" s="223"/>
      <c r="B612" s="223"/>
      <c r="C612" s="223"/>
      <c r="D612" s="223"/>
      <c r="E612" s="223"/>
      <c r="F612" s="357"/>
      <c r="G612" s="223"/>
      <c r="H612" s="223"/>
      <c r="I612" s="223"/>
      <c r="J612" s="223"/>
      <c r="K612" s="223"/>
      <c r="L612" s="223"/>
      <c r="M612" s="223"/>
      <c r="N612" s="223"/>
      <c r="O612" s="223"/>
      <c r="P612" s="223"/>
      <c r="Q612" s="223"/>
      <c r="R612" s="223"/>
    </row>
    <row r="613">
      <c r="A613" s="223"/>
      <c r="B613" s="223"/>
      <c r="C613" s="223"/>
      <c r="D613" s="223"/>
      <c r="E613" s="223"/>
      <c r="F613" s="357"/>
      <c r="G613" s="223"/>
      <c r="H613" s="223"/>
      <c r="I613" s="223"/>
      <c r="J613" s="223"/>
      <c r="K613" s="223"/>
      <c r="L613" s="223"/>
      <c r="M613" s="223"/>
      <c r="N613" s="223"/>
      <c r="O613" s="223"/>
      <c r="P613" s="223"/>
      <c r="Q613" s="223"/>
      <c r="R613" s="223"/>
    </row>
    <row r="614">
      <c r="A614" s="223"/>
      <c r="B614" s="223"/>
      <c r="C614" s="223"/>
      <c r="D614" s="223"/>
      <c r="E614" s="223"/>
      <c r="F614" s="357"/>
      <c r="G614" s="223"/>
      <c r="H614" s="223"/>
      <c r="I614" s="223"/>
      <c r="J614" s="223"/>
      <c r="K614" s="223"/>
      <c r="L614" s="223"/>
      <c r="M614" s="223"/>
      <c r="N614" s="223"/>
      <c r="O614" s="223"/>
      <c r="P614" s="223"/>
      <c r="Q614" s="223"/>
      <c r="R614" s="223"/>
    </row>
    <row r="615">
      <c r="A615" s="223"/>
      <c r="B615" s="223"/>
      <c r="C615" s="223"/>
      <c r="D615" s="223"/>
      <c r="E615" s="223"/>
      <c r="F615" s="357"/>
      <c r="G615" s="223"/>
      <c r="H615" s="223"/>
      <c r="I615" s="223"/>
      <c r="J615" s="223"/>
      <c r="K615" s="223"/>
      <c r="L615" s="223"/>
      <c r="M615" s="223"/>
      <c r="N615" s="223"/>
      <c r="O615" s="223"/>
      <c r="P615" s="223"/>
      <c r="Q615" s="223"/>
      <c r="R615" s="223"/>
    </row>
    <row r="616">
      <c r="A616" s="223"/>
      <c r="B616" s="223"/>
      <c r="C616" s="223"/>
      <c r="D616" s="223"/>
      <c r="E616" s="223"/>
      <c r="F616" s="357"/>
      <c r="G616" s="223"/>
      <c r="H616" s="223"/>
      <c r="I616" s="223"/>
      <c r="J616" s="223"/>
      <c r="K616" s="223"/>
      <c r="L616" s="223"/>
      <c r="M616" s="223"/>
      <c r="N616" s="223"/>
      <c r="O616" s="223"/>
      <c r="P616" s="223"/>
      <c r="Q616" s="223"/>
      <c r="R616" s="223"/>
    </row>
    <row r="617">
      <c r="A617" s="223"/>
      <c r="B617" s="223"/>
      <c r="C617" s="223"/>
      <c r="D617" s="223"/>
      <c r="E617" s="223"/>
      <c r="F617" s="357"/>
      <c r="G617" s="223"/>
      <c r="H617" s="223"/>
      <c r="I617" s="223"/>
      <c r="J617" s="223"/>
      <c r="K617" s="223"/>
      <c r="L617" s="223"/>
      <c r="M617" s="223"/>
      <c r="N617" s="223"/>
      <c r="O617" s="223"/>
      <c r="P617" s="223"/>
      <c r="Q617" s="223"/>
      <c r="R617" s="223"/>
    </row>
    <row r="618">
      <c r="A618" s="223"/>
      <c r="B618" s="223"/>
      <c r="C618" s="223"/>
      <c r="D618" s="223"/>
      <c r="E618" s="223"/>
      <c r="F618" s="357"/>
      <c r="G618" s="223"/>
      <c r="H618" s="223"/>
      <c r="I618" s="223"/>
      <c r="J618" s="223"/>
      <c r="K618" s="223"/>
      <c r="L618" s="223"/>
      <c r="M618" s="223"/>
      <c r="N618" s="223"/>
      <c r="O618" s="223"/>
      <c r="P618" s="223"/>
      <c r="Q618" s="223"/>
      <c r="R618" s="223"/>
    </row>
    <row r="619">
      <c r="A619" s="223"/>
      <c r="B619" s="223"/>
      <c r="C619" s="223"/>
      <c r="D619" s="223"/>
      <c r="E619" s="223"/>
      <c r="F619" s="357"/>
      <c r="G619" s="223"/>
      <c r="H619" s="223"/>
      <c r="I619" s="223"/>
      <c r="J619" s="223"/>
      <c r="K619" s="223"/>
      <c r="L619" s="223"/>
      <c r="M619" s="223"/>
      <c r="N619" s="223"/>
      <c r="O619" s="223"/>
      <c r="P619" s="223"/>
      <c r="Q619" s="223"/>
      <c r="R619" s="223"/>
    </row>
    <row r="620">
      <c r="A620" s="223"/>
      <c r="B620" s="223"/>
      <c r="C620" s="223"/>
      <c r="D620" s="223"/>
      <c r="E620" s="223"/>
      <c r="F620" s="357"/>
      <c r="G620" s="223"/>
      <c r="H620" s="223"/>
      <c r="I620" s="223"/>
      <c r="J620" s="223"/>
      <c r="K620" s="223"/>
      <c r="L620" s="223"/>
      <c r="M620" s="223"/>
      <c r="N620" s="223"/>
      <c r="O620" s="223"/>
      <c r="P620" s="223"/>
      <c r="Q620" s="223"/>
      <c r="R620" s="223"/>
    </row>
    <row r="621">
      <c r="A621" s="223"/>
      <c r="B621" s="223"/>
      <c r="C621" s="223"/>
      <c r="D621" s="223"/>
      <c r="E621" s="223"/>
      <c r="F621" s="357"/>
      <c r="G621" s="223"/>
      <c r="H621" s="223"/>
      <c r="I621" s="223"/>
      <c r="J621" s="223"/>
      <c r="K621" s="223"/>
      <c r="L621" s="223"/>
      <c r="M621" s="223"/>
      <c r="N621" s="223"/>
      <c r="O621" s="223"/>
      <c r="P621" s="223"/>
      <c r="Q621" s="223"/>
      <c r="R621" s="223"/>
    </row>
    <row r="622">
      <c r="A622" s="223"/>
      <c r="B622" s="223"/>
      <c r="C622" s="223"/>
      <c r="D622" s="223"/>
      <c r="E622" s="223"/>
      <c r="F622" s="357"/>
      <c r="G622" s="223"/>
      <c r="H622" s="223"/>
      <c r="I622" s="223"/>
      <c r="J622" s="223"/>
      <c r="K622" s="223"/>
      <c r="L622" s="223"/>
      <c r="M622" s="223"/>
      <c r="N622" s="223"/>
      <c r="O622" s="223"/>
      <c r="P622" s="223"/>
      <c r="Q622" s="223"/>
      <c r="R622" s="223"/>
    </row>
    <row r="623">
      <c r="A623" s="223"/>
      <c r="B623" s="223"/>
      <c r="C623" s="223"/>
      <c r="D623" s="223"/>
      <c r="E623" s="223"/>
      <c r="F623" s="357"/>
      <c r="G623" s="223"/>
      <c r="H623" s="223"/>
      <c r="I623" s="223"/>
      <c r="J623" s="223"/>
      <c r="K623" s="223"/>
      <c r="L623" s="223"/>
      <c r="M623" s="223"/>
      <c r="N623" s="223"/>
      <c r="O623" s="223"/>
      <c r="P623" s="223"/>
      <c r="Q623" s="223"/>
      <c r="R623" s="223"/>
    </row>
    <row r="624">
      <c r="A624" s="223"/>
      <c r="B624" s="223"/>
      <c r="C624" s="223"/>
      <c r="D624" s="223"/>
      <c r="E624" s="223"/>
      <c r="F624" s="357"/>
      <c r="G624" s="223"/>
      <c r="H624" s="223"/>
      <c r="I624" s="223"/>
      <c r="J624" s="223"/>
      <c r="K624" s="223"/>
      <c r="L624" s="223"/>
      <c r="M624" s="223"/>
      <c r="N624" s="223"/>
      <c r="O624" s="223"/>
      <c r="P624" s="223"/>
      <c r="Q624" s="223"/>
      <c r="R624" s="223"/>
    </row>
    <row r="625">
      <c r="A625" s="223"/>
      <c r="B625" s="223"/>
      <c r="C625" s="223"/>
      <c r="D625" s="223"/>
      <c r="E625" s="223"/>
      <c r="F625" s="357"/>
      <c r="G625" s="223"/>
      <c r="H625" s="223"/>
      <c r="I625" s="223"/>
      <c r="J625" s="223"/>
      <c r="K625" s="223"/>
      <c r="L625" s="223"/>
      <c r="M625" s="223"/>
      <c r="N625" s="223"/>
      <c r="O625" s="223"/>
      <c r="P625" s="223"/>
      <c r="Q625" s="223"/>
      <c r="R625" s="223"/>
    </row>
    <row r="626">
      <c r="A626" s="223"/>
      <c r="B626" s="223"/>
      <c r="C626" s="223"/>
      <c r="D626" s="223"/>
      <c r="E626" s="223"/>
      <c r="F626" s="357"/>
      <c r="G626" s="223"/>
      <c r="H626" s="223"/>
      <c r="I626" s="223"/>
      <c r="J626" s="223"/>
      <c r="K626" s="223"/>
      <c r="L626" s="223"/>
      <c r="M626" s="223"/>
      <c r="N626" s="223"/>
      <c r="O626" s="223"/>
      <c r="P626" s="223"/>
      <c r="Q626" s="223"/>
      <c r="R626" s="223"/>
    </row>
    <row r="627">
      <c r="A627" s="223"/>
      <c r="B627" s="223"/>
      <c r="C627" s="223"/>
      <c r="D627" s="223"/>
      <c r="E627" s="223"/>
      <c r="F627" s="357"/>
      <c r="G627" s="223"/>
      <c r="H627" s="223"/>
      <c r="I627" s="223"/>
      <c r="J627" s="223"/>
      <c r="K627" s="223"/>
      <c r="L627" s="223"/>
      <c r="M627" s="223"/>
      <c r="N627" s="223"/>
      <c r="O627" s="223"/>
      <c r="P627" s="223"/>
      <c r="Q627" s="223"/>
      <c r="R627" s="223"/>
    </row>
    <row r="628">
      <c r="A628" s="223"/>
      <c r="B628" s="223"/>
      <c r="C628" s="223"/>
      <c r="D628" s="223"/>
      <c r="E628" s="223"/>
      <c r="F628" s="357"/>
      <c r="G628" s="223"/>
      <c r="H628" s="223"/>
      <c r="I628" s="223"/>
      <c r="J628" s="223"/>
      <c r="K628" s="223"/>
      <c r="L628" s="223"/>
      <c r="M628" s="223"/>
      <c r="N628" s="223"/>
      <c r="O628" s="223"/>
      <c r="P628" s="223"/>
      <c r="Q628" s="223"/>
      <c r="R628" s="223"/>
    </row>
    <row r="629">
      <c r="A629" s="223"/>
      <c r="B629" s="223"/>
      <c r="C629" s="223"/>
      <c r="D629" s="223"/>
      <c r="E629" s="223"/>
      <c r="F629" s="357"/>
      <c r="G629" s="223"/>
      <c r="H629" s="223"/>
      <c r="I629" s="223"/>
      <c r="J629" s="223"/>
      <c r="K629" s="223"/>
      <c r="L629" s="223"/>
      <c r="M629" s="223"/>
      <c r="N629" s="223"/>
      <c r="O629" s="223"/>
      <c r="P629" s="223"/>
      <c r="Q629" s="223"/>
      <c r="R629" s="223"/>
    </row>
    <row r="630">
      <c r="A630" s="223"/>
      <c r="B630" s="223"/>
      <c r="C630" s="223"/>
      <c r="D630" s="223"/>
      <c r="E630" s="223"/>
      <c r="F630" s="357"/>
      <c r="G630" s="223"/>
      <c r="H630" s="223"/>
      <c r="I630" s="223"/>
      <c r="J630" s="223"/>
      <c r="K630" s="223"/>
      <c r="L630" s="223"/>
      <c r="M630" s="223"/>
      <c r="N630" s="223"/>
      <c r="O630" s="223"/>
      <c r="P630" s="223"/>
      <c r="Q630" s="223"/>
      <c r="R630" s="223"/>
    </row>
    <row r="631">
      <c r="A631" s="223"/>
      <c r="B631" s="223"/>
      <c r="C631" s="223"/>
      <c r="D631" s="223"/>
      <c r="E631" s="223"/>
      <c r="F631" s="357"/>
      <c r="G631" s="223"/>
      <c r="H631" s="223"/>
      <c r="I631" s="223"/>
      <c r="J631" s="223"/>
      <c r="K631" s="223"/>
      <c r="L631" s="223"/>
      <c r="M631" s="223"/>
      <c r="N631" s="223"/>
      <c r="O631" s="223"/>
      <c r="P631" s="223"/>
      <c r="Q631" s="223"/>
      <c r="R631" s="223"/>
    </row>
    <row r="632">
      <c r="A632" s="223"/>
      <c r="B632" s="223"/>
      <c r="C632" s="223"/>
      <c r="D632" s="223"/>
      <c r="E632" s="223"/>
      <c r="F632" s="357"/>
      <c r="G632" s="223"/>
      <c r="H632" s="223"/>
      <c r="I632" s="223"/>
      <c r="J632" s="223"/>
      <c r="K632" s="223"/>
      <c r="L632" s="223"/>
      <c r="M632" s="223"/>
      <c r="N632" s="223"/>
      <c r="O632" s="223"/>
      <c r="P632" s="223"/>
      <c r="Q632" s="223"/>
      <c r="R632" s="223"/>
    </row>
    <row r="633">
      <c r="A633" s="223"/>
      <c r="B633" s="223"/>
      <c r="C633" s="223"/>
      <c r="D633" s="223"/>
      <c r="E633" s="223"/>
      <c r="F633" s="357"/>
      <c r="G633" s="223"/>
      <c r="H633" s="223"/>
      <c r="I633" s="223"/>
      <c r="J633" s="223"/>
      <c r="K633" s="223"/>
      <c r="L633" s="223"/>
      <c r="M633" s="223"/>
      <c r="N633" s="223"/>
      <c r="O633" s="223"/>
      <c r="P633" s="223"/>
      <c r="Q633" s="223"/>
      <c r="R633" s="223"/>
    </row>
    <row r="634">
      <c r="A634" s="223"/>
      <c r="B634" s="223"/>
      <c r="C634" s="223"/>
      <c r="D634" s="223"/>
      <c r="E634" s="223"/>
      <c r="F634" s="357"/>
      <c r="G634" s="223"/>
      <c r="H634" s="223"/>
      <c r="I634" s="223"/>
      <c r="J634" s="223"/>
      <c r="K634" s="223"/>
      <c r="L634" s="223"/>
      <c r="M634" s="223"/>
      <c r="N634" s="223"/>
      <c r="O634" s="223"/>
      <c r="P634" s="223"/>
      <c r="Q634" s="223"/>
      <c r="R634" s="223"/>
    </row>
    <row r="635">
      <c r="A635" s="223"/>
      <c r="B635" s="223"/>
      <c r="C635" s="223"/>
      <c r="D635" s="223"/>
      <c r="E635" s="223"/>
      <c r="F635" s="357"/>
      <c r="G635" s="223"/>
      <c r="H635" s="223"/>
      <c r="I635" s="223"/>
      <c r="J635" s="223"/>
      <c r="K635" s="223"/>
      <c r="L635" s="223"/>
      <c r="M635" s="223"/>
      <c r="N635" s="223"/>
      <c r="O635" s="223"/>
      <c r="P635" s="223"/>
      <c r="Q635" s="223"/>
      <c r="R635" s="223"/>
    </row>
    <row r="636">
      <c r="A636" s="223"/>
      <c r="B636" s="223"/>
      <c r="C636" s="223"/>
      <c r="D636" s="223"/>
      <c r="E636" s="223"/>
      <c r="F636" s="357"/>
      <c r="G636" s="223"/>
      <c r="H636" s="223"/>
      <c r="I636" s="223"/>
      <c r="J636" s="223"/>
      <c r="K636" s="223"/>
      <c r="L636" s="223"/>
      <c r="M636" s="223"/>
      <c r="N636" s="223"/>
      <c r="O636" s="223"/>
      <c r="P636" s="223"/>
      <c r="Q636" s="223"/>
      <c r="R636" s="223"/>
    </row>
    <row r="637">
      <c r="A637" s="223"/>
      <c r="B637" s="223"/>
      <c r="C637" s="223"/>
      <c r="D637" s="223"/>
      <c r="E637" s="223"/>
      <c r="F637" s="357"/>
      <c r="G637" s="223"/>
      <c r="H637" s="223"/>
      <c r="I637" s="223"/>
      <c r="J637" s="223"/>
      <c r="K637" s="223"/>
      <c r="L637" s="223"/>
      <c r="M637" s="223"/>
      <c r="N637" s="223"/>
      <c r="O637" s="223"/>
      <c r="P637" s="223"/>
      <c r="Q637" s="223"/>
      <c r="R637" s="223"/>
    </row>
    <row r="638">
      <c r="A638" s="223"/>
      <c r="B638" s="223"/>
      <c r="C638" s="223"/>
      <c r="D638" s="223"/>
      <c r="E638" s="223"/>
      <c r="F638" s="357"/>
      <c r="G638" s="223"/>
      <c r="H638" s="223"/>
      <c r="I638" s="223"/>
      <c r="J638" s="223"/>
      <c r="K638" s="223"/>
      <c r="L638" s="223"/>
      <c r="M638" s="223"/>
      <c r="N638" s="223"/>
      <c r="O638" s="223"/>
      <c r="P638" s="223"/>
      <c r="Q638" s="223"/>
      <c r="R638" s="223"/>
    </row>
    <row r="639">
      <c r="A639" s="223"/>
      <c r="B639" s="223"/>
      <c r="C639" s="223"/>
      <c r="D639" s="223"/>
      <c r="E639" s="223"/>
      <c r="F639" s="357"/>
      <c r="G639" s="223"/>
      <c r="H639" s="223"/>
      <c r="I639" s="223"/>
      <c r="J639" s="223"/>
      <c r="K639" s="223"/>
      <c r="L639" s="223"/>
      <c r="M639" s="223"/>
      <c r="N639" s="223"/>
      <c r="O639" s="223"/>
      <c r="P639" s="223"/>
      <c r="Q639" s="223"/>
      <c r="R639" s="223"/>
    </row>
    <row r="640">
      <c r="A640" s="223"/>
      <c r="B640" s="223"/>
      <c r="C640" s="223"/>
      <c r="D640" s="223"/>
      <c r="E640" s="223"/>
      <c r="F640" s="357"/>
      <c r="G640" s="223"/>
      <c r="H640" s="223"/>
      <c r="I640" s="223"/>
      <c r="J640" s="223"/>
      <c r="K640" s="223"/>
      <c r="L640" s="223"/>
      <c r="M640" s="223"/>
      <c r="N640" s="223"/>
      <c r="O640" s="223"/>
      <c r="P640" s="223"/>
      <c r="Q640" s="223"/>
      <c r="R640" s="223"/>
    </row>
    <row r="641">
      <c r="A641" s="223"/>
      <c r="B641" s="223"/>
      <c r="C641" s="223"/>
      <c r="D641" s="223"/>
      <c r="E641" s="223"/>
      <c r="F641" s="357"/>
      <c r="G641" s="223"/>
      <c r="H641" s="223"/>
      <c r="I641" s="223"/>
      <c r="J641" s="223"/>
      <c r="K641" s="223"/>
      <c r="L641" s="223"/>
      <c r="M641" s="223"/>
      <c r="N641" s="223"/>
      <c r="O641" s="223"/>
      <c r="P641" s="223"/>
      <c r="Q641" s="223"/>
      <c r="R641" s="223"/>
    </row>
    <row r="642">
      <c r="A642" s="223"/>
      <c r="B642" s="223"/>
      <c r="C642" s="223"/>
      <c r="D642" s="223"/>
      <c r="E642" s="223"/>
      <c r="F642" s="357"/>
      <c r="G642" s="223"/>
      <c r="H642" s="223"/>
      <c r="I642" s="223"/>
      <c r="J642" s="223"/>
      <c r="K642" s="223"/>
      <c r="L642" s="223"/>
      <c r="M642" s="223"/>
      <c r="N642" s="223"/>
      <c r="O642" s="223"/>
      <c r="P642" s="223"/>
      <c r="Q642" s="223"/>
      <c r="R642" s="223"/>
    </row>
    <row r="643">
      <c r="A643" s="223"/>
      <c r="B643" s="223"/>
      <c r="C643" s="223"/>
      <c r="D643" s="223"/>
      <c r="E643" s="223"/>
      <c r="F643" s="357"/>
      <c r="G643" s="223"/>
      <c r="H643" s="223"/>
      <c r="I643" s="223"/>
      <c r="J643" s="223"/>
      <c r="K643" s="223"/>
      <c r="L643" s="223"/>
      <c r="M643" s="223"/>
      <c r="N643" s="223"/>
      <c r="O643" s="223"/>
      <c r="P643" s="223"/>
      <c r="Q643" s="223"/>
      <c r="R643" s="223"/>
    </row>
    <row r="644">
      <c r="A644" s="223"/>
      <c r="B644" s="223"/>
      <c r="C644" s="223"/>
      <c r="D644" s="223"/>
      <c r="E644" s="223"/>
      <c r="F644" s="357"/>
      <c r="G644" s="223"/>
      <c r="H644" s="223"/>
      <c r="I644" s="223"/>
      <c r="J644" s="223"/>
      <c r="K644" s="223"/>
      <c r="L644" s="223"/>
      <c r="M644" s="223"/>
      <c r="N644" s="223"/>
      <c r="O644" s="223"/>
      <c r="P644" s="223"/>
      <c r="Q644" s="223"/>
      <c r="R644" s="223"/>
    </row>
    <row r="645">
      <c r="A645" s="223"/>
      <c r="B645" s="223"/>
      <c r="C645" s="223"/>
      <c r="D645" s="223"/>
      <c r="E645" s="223"/>
      <c r="F645" s="357"/>
      <c r="G645" s="223"/>
      <c r="H645" s="223"/>
      <c r="I645" s="223"/>
      <c r="J645" s="223"/>
      <c r="K645" s="223"/>
      <c r="L645" s="223"/>
      <c r="M645" s="223"/>
      <c r="N645" s="223"/>
      <c r="O645" s="223"/>
      <c r="P645" s="223"/>
      <c r="Q645" s="223"/>
      <c r="R645" s="223"/>
    </row>
    <row r="646">
      <c r="A646" s="223"/>
      <c r="B646" s="223"/>
      <c r="C646" s="223"/>
      <c r="D646" s="223"/>
      <c r="E646" s="223"/>
      <c r="F646" s="357"/>
      <c r="G646" s="223"/>
      <c r="H646" s="223"/>
      <c r="I646" s="223"/>
      <c r="J646" s="223"/>
      <c r="K646" s="223"/>
      <c r="L646" s="223"/>
      <c r="M646" s="223"/>
      <c r="N646" s="223"/>
      <c r="O646" s="223"/>
      <c r="P646" s="223"/>
      <c r="Q646" s="223"/>
      <c r="R646" s="223"/>
    </row>
    <row r="647">
      <c r="A647" s="223"/>
      <c r="B647" s="223"/>
      <c r="C647" s="223"/>
      <c r="D647" s="223"/>
      <c r="E647" s="223"/>
      <c r="F647" s="357"/>
      <c r="G647" s="223"/>
      <c r="H647" s="223"/>
      <c r="I647" s="223"/>
      <c r="J647" s="223"/>
      <c r="K647" s="223"/>
      <c r="L647" s="223"/>
      <c r="M647" s="223"/>
      <c r="N647" s="223"/>
      <c r="O647" s="223"/>
      <c r="P647" s="223"/>
      <c r="Q647" s="223"/>
      <c r="R647" s="223"/>
    </row>
    <row r="648">
      <c r="A648" s="223"/>
      <c r="B648" s="223"/>
      <c r="C648" s="223"/>
      <c r="D648" s="223"/>
      <c r="E648" s="223"/>
      <c r="F648" s="357"/>
      <c r="G648" s="223"/>
      <c r="H648" s="223"/>
      <c r="I648" s="223"/>
      <c r="J648" s="223"/>
      <c r="K648" s="223"/>
      <c r="L648" s="223"/>
      <c r="M648" s="223"/>
      <c r="N648" s="223"/>
      <c r="O648" s="223"/>
      <c r="P648" s="223"/>
      <c r="Q648" s="223"/>
      <c r="R648" s="223"/>
    </row>
    <row r="649">
      <c r="A649" s="223"/>
      <c r="B649" s="223"/>
      <c r="C649" s="223"/>
      <c r="D649" s="223"/>
      <c r="E649" s="223"/>
      <c r="F649" s="357"/>
      <c r="G649" s="223"/>
      <c r="H649" s="223"/>
      <c r="I649" s="223"/>
      <c r="J649" s="223"/>
      <c r="K649" s="223"/>
      <c r="L649" s="223"/>
      <c r="M649" s="223"/>
      <c r="N649" s="223"/>
      <c r="O649" s="223"/>
      <c r="P649" s="223"/>
      <c r="Q649" s="223"/>
      <c r="R649" s="223"/>
    </row>
    <row r="650">
      <c r="A650" s="223"/>
      <c r="B650" s="223"/>
      <c r="C650" s="223"/>
      <c r="D650" s="223"/>
      <c r="E650" s="223"/>
      <c r="F650" s="357"/>
      <c r="G650" s="223"/>
      <c r="H650" s="223"/>
      <c r="I650" s="223"/>
      <c r="J650" s="223"/>
      <c r="K650" s="223"/>
      <c r="L650" s="223"/>
      <c r="M650" s="223"/>
      <c r="N650" s="223"/>
      <c r="O650" s="223"/>
      <c r="P650" s="223"/>
      <c r="Q650" s="223"/>
      <c r="R650" s="223"/>
    </row>
    <row r="651">
      <c r="A651" s="223"/>
      <c r="B651" s="223"/>
      <c r="C651" s="223"/>
      <c r="D651" s="223"/>
      <c r="E651" s="223"/>
      <c r="F651" s="357"/>
      <c r="G651" s="223"/>
      <c r="H651" s="223"/>
      <c r="I651" s="223"/>
      <c r="J651" s="223"/>
      <c r="K651" s="223"/>
      <c r="L651" s="223"/>
      <c r="M651" s="223"/>
      <c r="N651" s="223"/>
      <c r="O651" s="223"/>
      <c r="P651" s="223"/>
      <c r="Q651" s="223"/>
      <c r="R651" s="223"/>
    </row>
    <row r="652">
      <c r="A652" s="223"/>
      <c r="B652" s="223"/>
      <c r="C652" s="223"/>
      <c r="D652" s="223"/>
      <c r="E652" s="223"/>
      <c r="F652" s="357"/>
      <c r="G652" s="223"/>
      <c r="H652" s="223"/>
      <c r="I652" s="223"/>
      <c r="J652" s="223"/>
      <c r="K652" s="223"/>
      <c r="L652" s="223"/>
      <c r="M652" s="223"/>
      <c r="N652" s="223"/>
      <c r="O652" s="223"/>
      <c r="P652" s="223"/>
      <c r="Q652" s="223"/>
      <c r="R652" s="223"/>
    </row>
    <row r="653">
      <c r="A653" s="223"/>
      <c r="B653" s="223"/>
      <c r="C653" s="223"/>
      <c r="D653" s="223"/>
      <c r="E653" s="223"/>
      <c r="F653" s="357"/>
      <c r="G653" s="223"/>
      <c r="H653" s="223"/>
      <c r="I653" s="223"/>
      <c r="J653" s="223"/>
      <c r="K653" s="223"/>
      <c r="L653" s="223"/>
      <c r="M653" s="223"/>
      <c r="N653" s="223"/>
      <c r="O653" s="223"/>
      <c r="P653" s="223"/>
      <c r="Q653" s="223"/>
      <c r="R653" s="223"/>
    </row>
    <row r="654">
      <c r="A654" s="223"/>
      <c r="B654" s="223"/>
      <c r="C654" s="223"/>
      <c r="D654" s="223"/>
      <c r="E654" s="223"/>
      <c r="F654" s="357"/>
      <c r="G654" s="223"/>
      <c r="H654" s="223"/>
      <c r="I654" s="223"/>
      <c r="J654" s="223"/>
      <c r="K654" s="223"/>
      <c r="L654" s="223"/>
      <c r="M654" s="223"/>
      <c r="N654" s="223"/>
      <c r="O654" s="223"/>
      <c r="P654" s="223"/>
      <c r="Q654" s="223"/>
      <c r="R654" s="223"/>
    </row>
    <row r="655">
      <c r="A655" s="223"/>
      <c r="B655" s="223"/>
      <c r="C655" s="223"/>
      <c r="D655" s="223"/>
      <c r="E655" s="223"/>
      <c r="F655" s="357"/>
      <c r="G655" s="223"/>
      <c r="H655" s="223"/>
      <c r="I655" s="223"/>
      <c r="J655" s="223"/>
      <c r="K655" s="223"/>
      <c r="L655" s="223"/>
      <c r="M655" s="223"/>
      <c r="N655" s="223"/>
      <c r="O655" s="223"/>
      <c r="P655" s="223"/>
      <c r="Q655" s="223"/>
      <c r="R655" s="223"/>
    </row>
    <row r="656">
      <c r="A656" s="223"/>
      <c r="B656" s="223"/>
      <c r="C656" s="223"/>
      <c r="D656" s="223"/>
      <c r="E656" s="223"/>
      <c r="F656" s="357"/>
      <c r="G656" s="223"/>
      <c r="H656" s="223"/>
      <c r="I656" s="223"/>
      <c r="J656" s="223"/>
      <c r="K656" s="223"/>
      <c r="L656" s="223"/>
      <c r="M656" s="223"/>
      <c r="N656" s="223"/>
      <c r="O656" s="223"/>
      <c r="P656" s="223"/>
      <c r="Q656" s="223"/>
      <c r="R656" s="223"/>
    </row>
    <row r="657">
      <c r="A657" s="223"/>
      <c r="B657" s="223"/>
      <c r="C657" s="223"/>
      <c r="D657" s="223"/>
      <c r="E657" s="223"/>
      <c r="F657" s="357"/>
      <c r="G657" s="223"/>
      <c r="H657" s="223"/>
      <c r="I657" s="223"/>
      <c r="J657" s="223"/>
      <c r="K657" s="223"/>
      <c r="L657" s="223"/>
      <c r="M657" s="223"/>
      <c r="N657" s="223"/>
      <c r="O657" s="223"/>
      <c r="P657" s="223"/>
      <c r="Q657" s="223"/>
      <c r="R657" s="223"/>
    </row>
    <row r="658">
      <c r="A658" s="223"/>
      <c r="B658" s="223"/>
      <c r="C658" s="223"/>
      <c r="D658" s="223"/>
      <c r="E658" s="223"/>
      <c r="F658" s="357"/>
      <c r="G658" s="223"/>
      <c r="H658" s="223"/>
      <c r="I658" s="223"/>
      <c r="J658" s="223"/>
      <c r="K658" s="223"/>
      <c r="L658" s="223"/>
      <c r="M658" s="223"/>
      <c r="N658" s="223"/>
      <c r="O658" s="223"/>
      <c r="P658" s="223"/>
      <c r="Q658" s="223"/>
      <c r="R658" s="223"/>
    </row>
    <row r="659">
      <c r="A659" s="223"/>
      <c r="B659" s="223"/>
      <c r="C659" s="223"/>
      <c r="D659" s="223"/>
      <c r="E659" s="223"/>
      <c r="F659" s="357"/>
      <c r="G659" s="223"/>
      <c r="H659" s="223"/>
      <c r="I659" s="223"/>
      <c r="J659" s="223"/>
      <c r="K659" s="223"/>
      <c r="L659" s="223"/>
      <c r="M659" s="223"/>
      <c r="N659" s="223"/>
      <c r="O659" s="223"/>
      <c r="P659" s="223"/>
      <c r="Q659" s="223"/>
      <c r="R659" s="223"/>
    </row>
    <row r="660">
      <c r="A660" s="223"/>
      <c r="B660" s="223"/>
      <c r="C660" s="223"/>
      <c r="D660" s="223"/>
      <c r="E660" s="223"/>
      <c r="F660" s="357"/>
      <c r="G660" s="223"/>
      <c r="H660" s="223"/>
      <c r="I660" s="223"/>
      <c r="J660" s="223"/>
      <c r="K660" s="223"/>
      <c r="L660" s="223"/>
      <c r="M660" s="223"/>
      <c r="N660" s="223"/>
      <c r="O660" s="223"/>
      <c r="P660" s="223"/>
      <c r="Q660" s="223"/>
      <c r="R660" s="223"/>
    </row>
    <row r="661">
      <c r="A661" s="223"/>
      <c r="B661" s="223"/>
      <c r="C661" s="223"/>
      <c r="D661" s="223"/>
      <c r="E661" s="223"/>
      <c r="F661" s="357"/>
      <c r="G661" s="223"/>
      <c r="H661" s="223"/>
      <c r="I661" s="223"/>
      <c r="J661" s="223"/>
      <c r="K661" s="223"/>
      <c r="L661" s="223"/>
      <c r="M661" s="223"/>
      <c r="N661" s="223"/>
      <c r="O661" s="223"/>
      <c r="P661" s="223"/>
      <c r="Q661" s="223"/>
      <c r="R661" s="223"/>
    </row>
    <row r="662">
      <c r="A662" s="223"/>
      <c r="B662" s="223"/>
      <c r="C662" s="223"/>
      <c r="D662" s="223"/>
      <c r="E662" s="223"/>
      <c r="F662" s="357"/>
      <c r="G662" s="223"/>
      <c r="H662" s="223"/>
      <c r="I662" s="223"/>
      <c r="J662" s="223"/>
      <c r="K662" s="223"/>
      <c r="L662" s="223"/>
      <c r="M662" s="223"/>
      <c r="N662" s="223"/>
      <c r="O662" s="223"/>
      <c r="P662" s="223"/>
      <c r="Q662" s="223"/>
      <c r="R662" s="223"/>
    </row>
    <row r="663">
      <c r="A663" s="223"/>
      <c r="B663" s="223"/>
      <c r="C663" s="223"/>
      <c r="D663" s="223"/>
      <c r="E663" s="223"/>
      <c r="F663" s="357"/>
      <c r="G663" s="223"/>
      <c r="H663" s="223"/>
      <c r="I663" s="223"/>
      <c r="J663" s="223"/>
      <c r="K663" s="223"/>
      <c r="L663" s="223"/>
      <c r="M663" s="223"/>
      <c r="N663" s="223"/>
      <c r="O663" s="223"/>
      <c r="P663" s="223"/>
      <c r="Q663" s="223"/>
      <c r="R663" s="223"/>
    </row>
    <row r="664">
      <c r="A664" s="223"/>
      <c r="B664" s="223"/>
      <c r="C664" s="223"/>
      <c r="D664" s="223"/>
      <c r="E664" s="223"/>
      <c r="F664" s="357"/>
      <c r="G664" s="223"/>
      <c r="H664" s="223"/>
      <c r="I664" s="223"/>
      <c r="J664" s="223"/>
      <c r="K664" s="223"/>
      <c r="L664" s="223"/>
      <c r="M664" s="223"/>
      <c r="N664" s="223"/>
      <c r="O664" s="223"/>
      <c r="P664" s="223"/>
      <c r="Q664" s="223"/>
      <c r="R664" s="223"/>
    </row>
    <row r="665">
      <c r="A665" s="223"/>
      <c r="B665" s="223"/>
      <c r="C665" s="223"/>
      <c r="D665" s="223"/>
      <c r="E665" s="223"/>
      <c r="F665" s="357"/>
      <c r="G665" s="223"/>
      <c r="H665" s="223"/>
      <c r="I665" s="223"/>
      <c r="J665" s="223"/>
      <c r="K665" s="223"/>
      <c r="L665" s="223"/>
      <c r="M665" s="223"/>
      <c r="N665" s="223"/>
      <c r="O665" s="223"/>
      <c r="P665" s="223"/>
      <c r="Q665" s="223"/>
      <c r="R665" s="223"/>
    </row>
    <row r="666">
      <c r="A666" s="223"/>
      <c r="B666" s="223"/>
      <c r="C666" s="223"/>
      <c r="D666" s="223"/>
      <c r="E666" s="223"/>
      <c r="F666" s="357"/>
      <c r="G666" s="223"/>
      <c r="H666" s="223"/>
      <c r="I666" s="223"/>
      <c r="J666" s="223"/>
      <c r="K666" s="223"/>
      <c r="L666" s="223"/>
      <c r="M666" s="223"/>
      <c r="N666" s="223"/>
      <c r="O666" s="223"/>
      <c r="P666" s="223"/>
      <c r="Q666" s="223"/>
      <c r="R666" s="223"/>
    </row>
    <row r="667">
      <c r="A667" s="223"/>
      <c r="B667" s="223"/>
      <c r="C667" s="223"/>
      <c r="D667" s="223"/>
      <c r="E667" s="223"/>
      <c r="F667" s="357"/>
      <c r="G667" s="223"/>
      <c r="H667" s="223"/>
      <c r="I667" s="223"/>
      <c r="J667" s="223"/>
      <c r="K667" s="223"/>
      <c r="L667" s="223"/>
      <c r="M667" s="223"/>
      <c r="N667" s="223"/>
      <c r="O667" s="223"/>
      <c r="P667" s="223"/>
      <c r="Q667" s="223"/>
      <c r="R667" s="223"/>
    </row>
    <row r="668">
      <c r="A668" s="223"/>
      <c r="B668" s="223"/>
      <c r="C668" s="223"/>
      <c r="D668" s="223"/>
      <c r="E668" s="223"/>
      <c r="F668" s="357"/>
      <c r="G668" s="223"/>
      <c r="H668" s="223"/>
      <c r="I668" s="223"/>
      <c r="J668" s="223"/>
      <c r="K668" s="223"/>
      <c r="L668" s="223"/>
      <c r="M668" s="223"/>
      <c r="N668" s="223"/>
      <c r="O668" s="223"/>
      <c r="P668" s="223"/>
      <c r="Q668" s="223"/>
      <c r="R668" s="223"/>
    </row>
    <row r="669">
      <c r="A669" s="223"/>
      <c r="B669" s="223"/>
      <c r="C669" s="223"/>
      <c r="D669" s="223"/>
      <c r="E669" s="223"/>
      <c r="F669" s="357"/>
      <c r="G669" s="223"/>
      <c r="H669" s="223"/>
      <c r="I669" s="223"/>
      <c r="J669" s="223"/>
      <c r="K669" s="223"/>
      <c r="L669" s="223"/>
      <c r="M669" s="223"/>
      <c r="N669" s="223"/>
      <c r="O669" s="223"/>
      <c r="P669" s="223"/>
      <c r="Q669" s="223"/>
      <c r="R669" s="223"/>
    </row>
    <row r="670">
      <c r="A670" s="223"/>
      <c r="B670" s="223"/>
      <c r="C670" s="223"/>
      <c r="D670" s="223"/>
      <c r="E670" s="223"/>
      <c r="F670" s="357"/>
      <c r="G670" s="223"/>
      <c r="H670" s="223"/>
      <c r="I670" s="223"/>
      <c r="J670" s="223"/>
      <c r="K670" s="223"/>
      <c r="L670" s="223"/>
      <c r="M670" s="223"/>
      <c r="N670" s="223"/>
      <c r="O670" s="223"/>
      <c r="P670" s="223"/>
      <c r="Q670" s="223"/>
      <c r="R670" s="223"/>
    </row>
    <row r="671">
      <c r="A671" s="223"/>
      <c r="B671" s="223"/>
      <c r="C671" s="223"/>
      <c r="D671" s="223"/>
      <c r="E671" s="223"/>
      <c r="F671" s="357"/>
      <c r="G671" s="223"/>
      <c r="H671" s="223"/>
      <c r="I671" s="223"/>
      <c r="J671" s="223"/>
      <c r="K671" s="223"/>
      <c r="L671" s="223"/>
      <c r="M671" s="223"/>
      <c r="N671" s="223"/>
      <c r="O671" s="223"/>
      <c r="P671" s="223"/>
      <c r="Q671" s="223"/>
      <c r="R671" s="223"/>
    </row>
    <row r="672">
      <c r="A672" s="223"/>
      <c r="B672" s="223"/>
      <c r="C672" s="223"/>
      <c r="D672" s="223"/>
      <c r="E672" s="223"/>
      <c r="F672" s="357"/>
      <c r="G672" s="223"/>
      <c r="H672" s="223"/>
      <c r="I672" s="223"/>
      <c r="J672" s="223"/>
      <c r="K672" s="223"/>
      <c r="L672" s="223"/>
      <c r="M672" s="223"/>
      <c r="N672" s="223"/>
      <c r="O672" s="223"/>
      <c r="P672" s="223"/>
      <c r="Q672" s="223"/>
      <c r="R672" s="223"/>
    </row>
    <row r="673">
      <c r="A673" s="223"/>
      <c r="B673" s="223"/>
      <c r="C673" s="223"/>
      <c r="D673" s="223"/>
      <c r="E673" s="223"/>
      <c r="F673" s="357"/>
      <c r="G673" s="223"/>
      <c r="H673" s="223"/>
      <c r="I673" s="223"/>
      <c r="J673" s="223"/>
      <c r="K673" s="223"/>
      <c r="L673" s="223"/>
      <c r="M673" s="223"/>
      <c r="N673" s="223"/>
      <c r="O673" s="223"/>
      <c r="P673" s="223"/>
      <c r="Q673" s="223"/>
      <c r="R673" s="223"/>
    </row>
    <row r="674">
      <c r="A674" s="223"/>
      <c r="B674" s="223"/>
      <c r="C674" s="223"/>
      <c r="D674" s="223"/>
      <c r="E674" s="223"/>
      <c r="F674" s="357"/>
      <c r="G674" s="223"/>
      <c r="H674" s="223"/>
      <c r="I674" s="223"/>
      <c r="J674" s="223"/>
      <c r="K674" s="223"/>
      <c r="L674" s="223"/>
      <c r="M674" s="223"/>
      <c r="N674" s="223"/>
      <c r="O674" s="223"/>
      <c r="P674" s="223"/>
      <c r="Q674" s="223"/>
      <c r="R674" s="223"/>
    </row>
    <row r="675">
      <c r="A675" s="223"/>
      <c r="B675" s="223"/>
      <c r="C675" s="223"/>
      <c r="D675" s="223"/>
      <c r="E675" s="223"/>
      <c r="F675" s="357"/>
      <c r="G675" s="223"/>
      <c r="H675" s="223"/>
      <c r="I675" s="223"/>
      <c r="J675" s="223"/>
      <c r="K675" s="223"/>
      <c r="L675" s="223"/>
      <c r="M675" s="223"/>
      <c r="N675" s="223"/>
      <c r="O675" s="223"/>
      <c r="P675" s="223"/>
      <c r="Q675" s="223"/>
      <c r="R675" s="223"/>
    </row>
    <row r="676">
      <c r="A676" s="223"/>
      <c r="B676" s="223"/>
      <c r="C676" s="223"/>
      <c r="D676" s="223"/>
      <c r="E676" s="223"/>
      <c r="F676" s="357"/>
      <c r="G676" s="223"/>
      <c r="H676" s="223"/>
      <c r="I676" s="223"/>
      <c r="J676" s="223"/>
      <c r="K676" s="223"/>
      <c r="L676" s="223"/>
      <c r="M676" s="223"/>
      <c r="N676" s="223"/>
      <c r="O676" s="223"/>
      <c r="P676" s="223"/>
      <c r="Q676" s="223"/>
      <c r="R676" s="223"/>
    </row>
    <row r="677">
      <c r="A677" s="223"/>
      <c r="B677" s="223"/>
      <c r="C677" s="223"/>
      <c r="D677" s="223"/>
      <c r="E677" s="223"/>
      <c r="F677" s="357"/>
      <c r="G677" s="223"/>
      <c r="H677" s="223"/>
      <c r="I677" s="223"/>
      <c r="J677" s="223"/>
      <c r="K677" s="223"/>
      <c r="L677" s="223"/>
      <c r="M677" s="223"/>
      <c r="N677" s="223"/>
      <c r="O677" s="223"/>
      <c r="P677" s="223"/>
      <c r="Q677" s="223"/>
      <c r="R677" s="223"/>
    </row>
    <row r="678">
      <c r="A678" s="223"/>
      <c r="B678" s="223"/>
      <c r="C678" s="223"/>
      <c r="D678" s="223"/>
      <c r="E678" s="223"/>
      <c r="F678" s="357"/>
      <c r="G678" s="223"/>
      <c r="H678" s="223"/>
      <c r="I678" s="223"/>
      <c r="J678" s="223"/>
      <c r="K678" s="223"/>
      <c r="L678" s="223"/>
      <c r="M678" s="223"/>
      <c r="N678" s="223"/>
      <c r="O678" s="223"/>
      <c r="P678" s="223"/>
      <c r="Q678" s="223"/>
      <c r="R678" s="223"/>
    </row>
    <row r="679">
      <c r="A679" s="223"/>
      <c r="B679" s="223"/>
      <c r="C679" s="223"/>
      <c r="D679" s="223"/>
      <c r="E679" s="223"/>
      <c r="F679" s="357"/>
      <c r="G679" s="223"/>
      <c r="H679" s="223"/>
      <c r="I679" s="223"/>
      <c r="J679" s="223"/>
      <c r="K679" s="223"/>
      <c r="L679" s="223"/>
      <c r="M679" s="223"/>
      <c r="N679" s="223"/>
      <c r="O679" s="223"/>
      <c r="P679" s="223"/>
      <c r="Q679" s="223"/>
      <c r="R679" s="223"/>
    </row>
    <row r="680">
      <c r="A680" s="223"/>
      <c r="B680" s="223"/>
      <c r="C680" s="223"/>
      <c r="D680" s="223"/>
      <c r="E680" s="223"/>
      <c r="F680" s="357"/>
      <c r="G680" s="223"/>
      <c r="H680" s="223"/>
      <c r="I680" s="223"/>
      <c r="J680" s="223"/>
      <c r="K680" s="223"/>
      <c r="L680" s="223"/>
      <c r="M680" s="223"/>
      <c r="N680" s="223"/>
      <c r="O680" s="223"/>
      <c r="P680" s="223"/>
      <c r="Q680" s="223"/>
      <c r="R680" s="223"/>
    </row>
    <row r="681">
      <c r="A681" s="223"/>
      <c r="B681" s="223"/>
      <c r="C681" s="223"/>
      <c r="D681" s="223"/>
      <c r="E681" s="223"/>
      <c r="F681" s="357"/>
      <c r="G681" s="223"/>
      <c r="H681" s="223"/>
      <c r="I681" s="223"/>
      <c r="J681" s="223"/>
      <c r="K681" s="223"/>
      <c r="L681" s="223"/>
      <c r="M681" s="223"/>
      <c r="N681" s="223"/>
      <c r="O681" s="223"/>
      <c r="P681" s="223"/>
      <c r="Q681" s="223"/>
      <c r="R681" s="223"/>
    </row>
    <row r="682">
      <c r="A682" s="223"/>
      <c r="B682" s="223"/>
      <c r="C682" s="223"/>
      <c r="D682" s="223"/>
      <c r="E682" s="223"/>
      <c r="F682" s="357"/>
      <c r="G682" s="223"/>
      <c r="H682" s="223"/>
      <c r="I682" s="223"/>
      <c r="J682" s="223"/>
      <c r="K682" s="223"/>
      <c r="L682" s="223"/>
      <c r="M682" s="223"/>
      <c r="N682" s="223"/>
      <c r="O682" s="223"/>
      <c r="P682" s="223"/>
      <c r="Q682" s="223"/>
      <c r="R682" s="223"/>
    </row>
    <row r="683">
      <c r="A683" s="223"/>
      <c r="B683" s="223"/>
      <c r="C683" s="223"/>
      <c r="D683" s="223"/>
      <c r="E683" s="223"/>
      <c r="F683" s="357"/>
      <c r="G683" s="223"/>
      <c r="H683" s="223"/>
      <c r="I683" s="223"/>
      <c r="J683" s="223"/>
      <c r="K683" s="223"/>
      <c r="L683" s="223"/>
      <c r="M683" s="223"/>
      <c r="N683" s="223"/>
      <c r="O683" s="223"/>
      <c r="P683" s="223"/>
      <c r="Q683" s="223"/>
      <c r="R683" s="223"/>
    </row>
    <row r="684">
      <c r="A684" s="223"/>
      <c r="B684" s="223"/>
      <c r="C684" s="223"/>
      <c r="D684" s="223"/>
      <c r="E684" s="223"/>
      <c r="F684" s="357"/>
      <c r="G684" s="223"/>
      <c r="H684" s="223"/>
      <c r="I684" s="223"/>
      <c r="J684" s="223"/>
      <c r="K684" s="223"/>
      <c r="L684" s="223"/>
      <c r="M684" s="223"/>
      <c r="N684" s="223"/>
      <c r="O684" s="223"/>
      <c r="P684" s="223"/>
      <c r="Q684" s="223"/>
      <c r="R684" s="223"/>
    </row>
    <row r="685">
      <c r="A685" s="223"/>
      <c r="B685" s="223"/>
      <c r="C685" s="223"/>
      <c r="D685" s="223"/>
      <c r="E685" s="223"/>
      <c r="F685" s="357"/>
      <c r="G685" s="223"/>
      <c r="H685" s="223"/>
      <c r="I685" s="223"/>
      <c r="J685" s="223"/>
      <c r="K685" s="223"/>
      <c r="L685" s="223"/>
      <c r="M685" s="223"/>
      <c r="N685" s="223"/>
      <c r="O685" s="223"/>
      <c r="P685" s="223"/>
      <c r="Q685" s="223"/>
      <c r="R685" s="223"/>
    </row>
    <row r="686">
      <c r="A686" s="223"/>
      <c r="B686" s="223"/>
      <c r="C686" s="223"/>
      <c r="D686" s="223"/>
      <c r="E686" s="223"/>
      <c r="F686" s="357"/>
      <c r="G686" s="223"/>
      <c r="H686" s="223"/>
      <c r="I686" s="223"/>
      <c r="J686" s="223"/>
      <c r="K686" s="223"/>
      <c r="L686" s="223"/>
      <c r="M686" s="223"/>
      <c r="N686" s="223"/>
      <c r="O686" s="223"/>
      <c r="P686" s="223"/>
      <c r="Q686" s="223"/>
      <c r="R686" s="223"/>
    </row>
    <row r="687">
      <c r="A687" s="223"/>
      <c r="B687" s="223"/>
      <c r="C687" s="223"/>
      <c r="D687" s="223"/>
      <c r="E687" s="223"/>
      <c r="F687" s="357"/>
      <c r="G687" s="223"/>
      <c r="H687" s="223"/>
      <c r="I687" s="223"/>
      <c r="J687" s="223"/>
      <c r="K687" s="223"/>
      <c r="L687" s="223"/>
      <c r="M687" s="223"/>
      <c r="N687" s="223"/>
      <c r="O687" s="223"/>
      <c r="P687" s="223"/>
      <c r="Q687" s="223"/>
      <c r="R687" s="223"/>
    </row>
    <row r="688">
      <c r="A688" s="223"/>
      <c r="B688" s="223"/>
      <c r="C688" s="223"/>
      <c r="D688" s="223"/>
      <c r="E688" s="223"/>
      <c r="F688" s="357"/>
      <c r="G688" s="223"/>
      <c r="H688" s="223"/>
      <c r="I688" s="223"/>
      <c r="J688" s="223"/>
      <c r="K688" s="223"/>
      <c r="L688" s="223"/>
      <c r="M688" s="223"/>
      <c r="N688" s="223"/>
      <c r="O688" s="223"/>
      <c r="P688" s="223"/>
      <c r="Q688" s="223"/>
      <c r="R688" s="223"/>
    </row>
    <row r="689">
      <c r="A689" s="223"/>
      <c r="B689" s="223"/>
      <c r="C689" s="223"/>
      <c r="D689" s="223"/>
      <c r="E689" s="223"/>
      <c r="F689" s="357"/>
      <c r="G689" s="223"/>
      <c r="H689" s="223"/>
      <c r="I689" s="223"/>
      <c r="J689" s="223"/>
      <c r="K689" s="223"/>
      <c r="L689" s="223"/>
      <c r="M689" s="223"/>
      <c r="N689" s="223"/>
      <c r="O689" s="223"/>
      <c r="P689" s="223"/>
      <c r="Q689" s="223"/>
      <c r="R689" s="223"/>
    </row>
    <row r="690">
      <c r="A690" s="223"/>
      <c r="B690" s="223"/>
      <c r="C690" s="223"/>
      <c r="D690" s="223"/>
      <c r="E690" s="223"/>
      <c r="F690" s="357"/>
      <c r="G690" s="223"/>
      <c r="H690" s="223"/>
      <c r="I690" s="223"/>
      <c r="J690" s="223"/>
      <c r="K690" s="223"/>
      <c r="L690" s="223"/>
      <c r="M690" s="223"/>
      <c r="N690" s="223"/>
      <c r="O690" s="223"/>
      <c r="P690" s="223"/>
      <c r="Q690" s="223"/>
      <c r="R690" s="223"/>
    </row>
    <row r="691">
      <c r="A691" s="223"/>
      <c r="B691" s="223"/>
      <c r="C691" s="223"/>
      <c r="D691" s="223"/>
      <c r="E691" s="223"/>
      <c r="F691" s="357"/>
      <c r="G691" s="223"/>
      <c r="H691" s="223"/>
      <c r="I691" s="223"/>
      <c r="J691" s="223"/>
      <c r="K691" s="223"/>
      <c r="L691" s="223"/>
      <c r="M691" s="223"/>
      <c r="N691" s="223"/>
      <c r="O691" s="223"/>
      <c r="P691" s="223"/>
      <c r="Q691" s="223"/>
      <c r="R691" s="223"/>
    </row>
    <row r="692">
      <c r="A692" s="223"/>
      <c r="B692" s="223"/>
      <c r="C692" s="223"/>
      <c r="D692" s="223"/>
      <c r="E692" s="223"/>
      <c r="F692" s="357"/>
      <c r="G692" s="223"/>
      <c r="H692" s="223"/>
      <c r="I692" s="223"/>
      <c r="J692" s="223"/>
      <c r="K692" s="223"/>
      <c r="L692" s="223"/>
      <c r="M692" s="223"/>
      <c r="N692" s="223"/>
      <c r="O692" s="223"/>
      <c r="P692" s="223"/>
      <c r="Q692" s="223"/>
      <c r="R692" s="223"/>
    </row>
    <row r="693">
      <c r="A693" s="223"/>
      <c r="B693" s="223"/>
      <c r="C693" s="223"/>
      <c r="D693" s="223"/>
      <c r="E693" s="223"/>
      <c r="F693" s="357"/>
      <c r="G693" s="223"/>
      <c r="H693" s="223"/>
      <c r="I693" s="223"/>
      <c r="J693" s="223"/>
      <c r="K693" s="223"/>
      <c r="L693" s="223"/>
      <c r="M693" s="223"/>
      <c r="N693" s="223"/>
      <c r="O693" s="223"/>
      <c r="P693" s="223"/>
      <c r="Q693" s="223"/>
      <c r="R693" s="223"/>
    </row>
    <row r="694">
      <c r="A694" s="223"/>
      <c r="B694" s="223"/>
      <c r="C694" s="223"/>
      <c r="D694" s="223"/>
      <c r="E694" s="223"/>
      <c r="F694" s="357"/>
      <c r="G694" s="223"/>
      <c r="H694" s="223"/>
      <c r="I694" s="223"/>
      <c r="J694" s="223"/>
      <c r="K694" s="223"/>
      <c r="L694" s="223"/>
      <c r="M694" s="223"/>
      <c r="N694" s="223"/>
      <c r="O694" s="223"/>
      <c r="P694" s="223"/>
      <c r="Q694" s="223"/>
      <c r="R694" s="223"/>
    </row>
    <row r="695">
      <c r="A695" s="223"/>
      <c r="B695" s="223"/>
      <c r="C695" s="223"/>
      <c r="D695" s="223"/>
      <c r="E695" s="223"/>
      <c r="F695" s="357"/>
      <c r="G695" s="223"/>
      <c r="H695" s="223"/>
      <c r="I695" s="223"/>
      <c r="J695" s="223"/>
      <c r="K695" s="223"/>
      <c r="L695" s="223"/>
      <c r="M695" s="223"/>
      <c r="N695" s="223"/>
      <c r="O695" s="223"/>
      <c r="P695" s="223"/>
      <c r="Q695" s="223"/>
      <c r="R695" s="223"/>
    </row>
    <row r="696">
      <c r="A696" s="223"/>
      <c r="B696" s="223"/>
      <c r="C696" s="223"/>
      <c r="D696" s="223"/>
      <c r="E696" s="223"/>
      <c r="F696" s="357"/>
      <c r="G696" s="223"/>
      <c r="H696" s="223"/>
      <c r="I696" s="223"/>
      <c r="J696" s="223"/>
      <c r="K696" s="223"/>
      <c r="L696" s="223"/>
      <c r="M696" s="223"/>
      <c r="N696" s="223"/>
      <c r="O696" s="223"/>
      <c r="P696" s="223"/>
      <c r="Q696" s="223"/>
      <c r="R696" s="223"/>
    </row>
    <row r="697">
      <c r="A697" s="223"/>
      <c r="B697" s="223"/>
      <c r="C697" s="223"/>
      <c r="D697" s="223"/>
      <c r="E697" s="223"/>
      <c r="F697" s="357"/>
      <c r="G697" s="223"/>
      <c r="H697" s="223"/>
      <c r="I697" s="223"/>
      <c r="J697" s="223"/>
      <c r="K697" s="223"/>
      <c r="L697" s="223"/>
      <c r="M697" s="223"/>
      <c r="N697" s="223"/>
      <c r="O697" s="223"/>
      <c r="P697" s="223"/>
      <c r="Q697" s="223"/>
      <c r="R697" s="223"/>
    </row>
    <row r="698">
      <c r="A698" s="223"/>
      <c r="B698" s="223"/>
      <c r="C698" s="223"/>
      <c r="D698" s="223"/>
      <c r="E698" s="223"/>
      <c r="F698" s="357"/>
      <c r="G698" s="223"/>
      <c r="H698" s="223"/>
      <c r="I698" s="223"/>
      <c r="J698" s="223"/>
      <c r="K698" s="223"/>
      <c r="L698" s="223"/>
      <c r="M698" s="223"/>
      <c r="N698" s="223"/>
      <c r="O698" s="223"/>
      <c r="P698" s="223"/>
      <c r="Q698" s="223"/>
      <c r="R698" s="223"/>
    </row>
    <row r="699">
      <c r="A699" s="223"/>
      <c r="B699" s="223"/>
      <c r="C699" s="223"/>
      <c r="D699" s="223"/>
      <c r="E699" s="223"/>
      <c r="F699" s="357"/>
      <c r="G699" s="223"/>
      <c r="H699" s="223"/>
      <c r="I699" s="223"/>
      <c r="J699" s="223"/>
      <c r="K699" s="223"/>
      <c r="L699" s="223"/>
      <c r="M699" s="223"/>
      <c r="N699" s="223"/>
      <c r="O699" s="223"/>
      <c r="P699" s="223"/>
      <c r="Q699" s="223"/>
      <c r="R699" s="223"/>
    </row>
    <row r="700">
      <c r="A700" s="223"/>
      <c r="B700" s="223"/>
      <c r="C700" s="223"/>
      <c r="D700" s="223"/>
      <c r="E700" s="223"/>
      <c r="F700" s="357"/>
      <c r="G700" s="223"/>
      <c r="H700" s="223"/>
      <c r="I700" s="223"/>
      <c r="J700" s="223"/>
      <c r="K700" s="223"/>
      <c r="L700" s="223"/>
      <c r="M700" s="223"/>
      <c r="N700" s="223"/>
      <c r="O700" s="223"/>
      <c r="P700" s="223"/>
      <c r="Q700" s="223"/>
      <c r="R700" s="223"/>
    </row>
    <row r="701">
      <c r="A701" s="223"/>
      <c r="B701" s="223"/>
      <c r="C701" s="223"/>
      <c r="D701" s="223"/>
      <c r="E701" s="223"/>
      <c r="F701" s="357"/>
      <c r="G701" s="223"/>
      <c r="H701" s="223"/>
      <c r="I701" s="223"/>
      <c r="J701" s="223"/>
      <c r="K701" s="223"/>
      <c r="L701" s="223"/>
      <c r="M701" s="223"/>
      <c r="N701" s="223"/>
      <c r="O701" s="223"/>
      <c r="P701" s="223"/>
      <c r="Q701" s="223"/>
      <c r="R701" s="223"/>
    </row>
    <row r="702">
      <c r="A702" s="223"/>
      <c r="B702" s="223"/>
      <c r="C702" s="223"/>
      <c r="D702" s="223"/>
      <c r="E702" s="223"/>
      <c r="F702" s="357"/>
      <c r="G702" s="223"/>
      <c r="H702" s="223"/>
      <c r="I702" s="223"/>
      <c r="J702" s="223"/>
      <c r="K702" s="223"/>
      <c r="L702" s="223"/>
      <c r="M702" s="223"/>
      <c r="N702" s="223"/>
      <c r="O702" s="223"/>
      <c r="P702" s="223"/>
      <c r="Q702" s="223"/>
      <c r="R702" s="223"/>
    </row>
    <row r="703">
      <c r="A703" s="223"/>
      <c r="B703" s="223"/>
      <c r="C703" s="223"/>
      <c r="D703" s="223"/>
      <c r="E703" s="223"/>
      <c r="F703" s="357"/>
      <c r="G703" s="223"/>
      <c r="H703" s="223"/>
      <c r="I703" s="223"/>
      <c r="J703" s="223"/>
      <c r="K703" s="223"/>
      <c r="L703" s="223"/>
      <c r="M703" s="223"/>
      <c r="N703" s="223"/>
      <c r="O703" s="223"/>
      <c r="P703" s="223"/>
      <c r="Q703" s="223"/>
      <c r="R703" s="223"/>
    </row>
    <row r="704">
      <c r="A704" s="223"/>
      <c r="B704" s="223"/>
      <c r="C704" s="223"/>
      <c r="D704" s="223"/>
      <c r="E704" s="223"/>
      <c r="F704" s="357"/>
      <c r="G704" s="223"/>
      <c r="H704" s="223"/>
      <c r="I704" s="223"/>
      <c r="J704" s="223"/>
      <c r="K704" s="223"/>
      <c r="L704" s="223"/>
      <c r="M704" s="223"/>
      <c r="N704" s="223"/>
      <c r="O704" s="223"/>
      <c r="P704" s="223"/>
      <c r="Q704" s="223"/>
      <c r="R704" s="223"/>
    </row>
    <row r="705">
      <c r="A705" s="223"/>
      <c r="B705" s="223"/>
      <c r="C705" s="223"/>
      <c r="D705" s="223"/>
      <c r="E705" s="223"/>
      <c r="F705" s="357"/>
      <c r="G705" s="223"/>
      <c r="H705" s="223"/>
      <c r="I705" s="223"/>
      <c r="J705" s="223"/>
      <c r="K705" s="223"/>
      <c r="L705" s="223"/>
      <c r="M705" s="223"/>
      <c r="N705" s="223"/>
      <c r="O705" s="223"/>
      <c r="P705" s="223"/>
      <c r="Q705" s="223"/>
      <c r="R705" s="223"/>
    </row>
    <row r="706">
      <c r="A706" s="223"/>
      <c r="B706" s="223"/>
      <c r="C706" s="223"/>
      <c r="D706" s="223"/>
      <c r="E706" s="223"/>
      <c r="F706" s="357"/>
      <c r="G706" s="223"/>
      <c r="H706" s="223"/>
      <c r="I706" s="223"/>
      <c r="J706" s="223"/>
      <c r="K706" s="223"/>
      <c r="L706" s="223"/>
      <c r="M706" s="223"/>
      <c r="N706" s="223"/>
      <c r="O706" s="223"/>
      <c r="P706" s="223"/>
      <c r="Q706" s="223"/>
      <c r="R706" s="223"/>
    </row>
    <row r="707">
      <c r="A707" s="223"/>
      <c r="B707" s="223"/>
      <c r="C707" s="223"/>
      <c r="D707" s="223"/>
      <c r="E707" s="223"/>
      <c r="F707" s="357"/>
      <c r="G707" s="223"/>
      <c r="H707" s="223"/>
      <c r="I707" s="223"/>
      <c r="J707" s="223"/>
      <c r="K707" s="223"/>
      <c r="L707" s="223"/>
      <c r="M707" s="223"/>
      <c r="N707" s="223"/>
      <c r="O707" s="223"/>
      <c r="P707" s="223"/>
      <c r="Q707" s="223"/>
      <c r="R707" s="223"/>
    </row>
    <row r="708">
      <c r="A708" s="223"/>
      <c r="B708" s="223"/>
      <c r="C708" s="223"/>
      <c r="D708" s="223"/>
      <c r="E708" s="223"/>
      <c r="F708" s="357"/>
      <c r="G708" s="223"/>
      <c r="H708" s="223"/>
      <c r="I708" s="223"/>
      <c r="J708" s="223"/>
      <c r="K708" s="223"/>
      <c r="L708" s="223"/>
      <c r="M708" s="223"/>
      <c r="N708" s="223"/>
      <c r="O708" s="223"/>
      <c r="P708" s="223"/>
      <c r="Q708" s="223"/>
      <c r="R708" s="223"/>
    </row>
    <row r="709">
      <c r="A709" s="223"/>
      <c r="B709" s="223"/>
      <c r="C709" s="223"/>
      <c r="D709" s="223"/>
      <c r="E709" s="223"/>
      <c r="F709" s="357"/>
      <c r="G709" s="223"/>
      <c r="H709" s="223"/>
      <c r="I709" s="223"/>
      <c r="J709" s="223"/>
      <c r="K709" s="223"/>
      <c r="L709" s="223"/>
      <c r="M709" s="223"/>
      <c r="N709" s="223"/>
      <c r="O709" s="223"/>
      <c r="P709" s="223"/>
      <c r="Q709" s="223"/>
      <c r="R709" s="223"/>
    </row>
    <row r="710">
      <c r="A710" s="223"/>
      <c r="B710" s="223"/>
      <c r="C710" s="223"/>
      <c r="D710" s="223"/>
      <c r="E710" s="223"/>
      <c r="F710" s="357"/>
      <c r="G710" s="223"/>
      <c r="H710" s="223"/>
      <c r="I710" s="223"/>
      <c r="J710" s="223"/>
      <c r="K710" s="223"/>
      <c r="L710" s="223"/>
      <c r="M710" s="223"/>
      <c r="N710" s="223"/>
      <c r="O710" s="223"/>
      <c r="P710" s="223"/>
      <c r="Q710" s="223"/>
      <c r="R710" s="223"/>
    </row>
    <row r="711">
      <c r="A711" s="223"/>
      <c r="B711" s="223"/>
      <c r="C711" s="223"/>
      <c r="D711" s="223"/>
      <c r="E711" s="223"/>
      <c r="F711" s="357"/>
      <c r="G711" s="223"/>
      <c r="H711" s="223"/>
      <c r="I711" s="223"/>
      <c r="J711" s="223"/>
      <c r="K711" s="223"/>
      <c r="L711" s="223"/>
      <c r="M711" s="223"/>
      <c r="N711" s="223"/>
      <c r="O711" s="223"/>
      <c r="P711" s="223"/>
      <c r="Q711" s="223"/>
      <c r="R711" s="223"/>
    </row>
    <row r="712">
      <c r="A712" s="223"/>
      <c r="B712" s="223"/>
      <c r="C712" s="223"/>
      <c r="D712" s="223"/>
      <c r="E712" s="223"/>
      <c r="F712" s="357"/>
      <c r="G712" s="223"/>
      <c r="H712" s="223"/>
      <c r="I712" s="223"/>
      <c r="J712" s="223"/>
      <c r="K712" s="223"/>
      <c r="L712" s="223"/>
      <c r="M712" s="223"/>
      <c r="N712" s="223"/>
      <c r="O712" s="223"/>
      <c r="P712" s="223"/>
      <c r="Q712" s="223"/>
      <c r="R712" s="223"/>
    </row>
    <row r="713">
      <c r="A713" s="223"/>
      <c r="B713" s="223"/>
      <c r="C713" s="223"/>
      <c r="D713" s="223"/>
      <c r="E713" s="223"/>
      <c r="F713" s="357"/>
      <c r="G713" s="223"/>
      <c r="H713" s="223"/>
      <c r="I713" s="223"/>
      <c r="J713" s="223"/>
      <c r="K713" s="223"/>
      <c r="L713" s="223"/>
      <c r="M713" s="223"/>
      <c r="N713" s="223"/>
      <c r="O713" s="223"/>
      <c r="P713" s="223"/>
      <c r="Q713" s="223"/>
      <c r="R713" s="223"/>
    </row>
    <row r="714">
      <c r="A714" s="223"/>
      <c r="B714" s="223"/>
      <c r="C714" s="223"/>
      <c r="D714" s="223"/>
      <c r="E714" s="223"/>
      <c r="F714" s="357"/>
      <c r="G714" s="223"/>
      <c r="H714" s="223"/>
      <c r="I714" s="223"/>
      <c r="J714" s="223"/>
      <c r="K714" s="223"/>
      <c r="L714" s="223"/>
      <c r="M714" s="223"/>
      <c r="N714" s="223"/>
      <c r="O714" s="223"/>
      <c r="P714" s="223"/>
      <c r="Q714" s="223"/>
      <c r="R714" s="223"/>
    </row>
    <row r="715">
      <c r="A715" s="223"/>
      <c r="B715" s="223"/>
      <c r="C715" s="223"/>
      <c r="D715" s="223"/>
      <c r="E715" s="223"/>
      <c r="F715" s="357"/>
      <c r="G715" s="223"/>
      <c r="H715" s="223"/>
      <c r="I715" s="223"/>
      <c r="J715" s="223"/>
      <c r="K715" s="223"/>
      <c r="L715" s="223"/>
      <c r="M715" s="223"/>
      <c r="N715" s="223"/>
      <c r="O715" s="223"/>
      <c r="P715" s="223"/>
      <c r="Q715" s="223"/>
      <c r="R715" s="223"/>
    </row>
    <row r="716">
      <c r="A716" s="223"/>
      <c r="B716" s="223"/>
      <c r="C716" s="223"/>
      <c r="D716" s="223"/>
      <c r="E716" s="223"/>
      <c r="F716" s="357"/>
      <c r="G716" s="223"/>
      <c r="H716" s="223"/>
      <c r="I716" s="223"/>
      <c r="J716" s="223"/>
      <c r="K716" s="223"/>
      <c r="L716" s="223"/>
      <c r="M716" s="223"/>
      <c r="N716" s="223"/>
      <c r="O716" s="223"/>
      <c r="P716" s="223"/>
      <c r="Q716" s="223"/>
      <c r="R716" s="223"/>
    </row>
    <row r="717">
      <c r="A717" s="223"/>
      <c r="B717" s="223"/>
      <c r="C717" s="223"/>
      <c r="D717" s="223"/>
      <c r="E717" s="223"/>
      <c r="F717" s="357"/>
      <c r="G717" s="223"/>
      <c r="H717" s="223"/>
      <c r="I717" s="223"/>
      <c r="J717" s="223"/>
      <c r="K717" s="223"/>
      <c r="L717" s="223"/>
      <c r="M717" s="223"/>
      <c r="N717" s="223"/>
      <c r="O717" s="223"/>
      <c r="P717" s="223"/>
      <c r="Q717" s="223"/>
      <c r="R717" s="223"/>
    </row>
    <row r="718">
      <c r="A718" s="223"/>
      <c r="B718" s="223"/>
      <c r="C718" s="223"/>
      <c r="D718" s="223"/>
      <c r="E718" s="223"/>
      <c r="F718" s="357"/>
      <c r="G718" s="223"/>
      <c r="H718" s="223"/>
      <c r="I718" s="223"/>
      <c r="J718" s="223"/>
      <c r="K718" s="223"/>
      <c r="L718" s="223"/>
      <c r="M718" s="223"/>
      <c r="N718" s="223"/>
      <c r="O718" s="223"/>
      <c r="P718" s="223"/>
      <c r="Q718" s="223"/>
      <c r="R718" s="223"/>
    </row>
    <row r="719">
      <c r="A719" s="223"/>
      <c r="B719" s="223"/>
      <c r="C719" s="223"/>
      <c r="D719" s="223"/>
      <c r="E719" s="223"/>
      <c r="F719" s="357"/>
      <c r="G719" s="223"/>
      <c r="H719" s="223"/>
      <c r="I719" s="223"/>
      <c r="J719" s="223"/>
      <c r="K719" s="223"/>
      <c r="L719" s="223"/>
      <c r="M719" s="223"/>
      <c r="N719" s="223"/>
      <c r="O719" s="223"/>
      <c r="P719" s="223"/>
      <c r="Q719" s="223"/>
      <c r="R719" s="223"/>
    </row>
    <row r="720">
      <c r="A720" s="223"/>
      <c r="B720" s="223"/>
      <c r="C720" s="223"/>
      <c r="D720" s="223"/>
      <c r="E720" s="223"/>
      <c r="F720" s="357"/>
      <c r="G720" s="223"/>
      <c r="H720" s="223"/>
      <c r="I720" s="223"/>
      <c r="J720" s="223"/>
      <c r="K720" s="223"/>
      <c r="L720" s="223"/>
      <c r="M720" s="223"/>
      <c r="N720" s="223"/>
      <c r="O720" s="223"/>
      <c r="P720" s="223"/>
      <c r="Q720" s="223"/>
      <c r="R720" s="223"/>
    </row>
    <row r="721">
      <c r="A721" s="223"/>
      <c r="B721" s="223"/>
      <c r="C721" s="223"/>
      <c r="D721" s="223"/>
      <c r="E721" s="223"/>
      <c r="F721" s="357"/>
      <c r="G721" s="223"/>
      <c r="H721" s="223"/>
      <c r="I721" s="223"/>
      <c r="J721" s="223"/>
      <c r="K721" s="223"/>
      <c r="L721" s="223"/>
      <c r="M721" s="223"/>
      <c r="N721" s="223"/>
      <c r="O721" s="223"/>
      <c r="P721" s="223"/>
      <c r="Q721" s="223"/>
      <c r="R721" s="223"/>
    </row>
    <row r="722">
      <c r="A722" s="223"/>
      <c r="B722" s="223"/>
      <c r="C722" s="223"/>
      <c r="D722" s="223"/>
      <c r="E722" s="223"/>
      <c r="F722" s="357"/>
      <c r="G722" s="223"/>
      <c r="H722" s="223"/>
      <c r="I722" s="223"/>
      <c r="J722" s="223"/>
      <c r="K722" s="223"/>
      <c r="L722" s="223"/>
      <c r="M722" s="223"/>
      <c r="N722" s="223"/>
      <c r="O722" s="223"/>
      <c r="P722" s="223"/>
      <c r="Q722" s="223"/>
      <c r="R722" s="223"/>
    </row>
    <row r="723">
      <c r="A723" s="223"/>
      <c r="B723" s="223"/>
      <c r="C723" s="223"/>
      <c r="D723" s="223"/>
      <c r="E723" s="223"/>
      <c r="F723" s="357"/>
      <c r="G723" s="223"/>
      <c r="H723" s="223"/>
      <c r="I723" s="223"/>
      <c r="J723" s="223"/>
      <c r="K723" s="223"/>
      <c r="L723" s="223"/>
      <c r="M723" s="223"/>
      <c r="N723" s="223"/>
      <c r="O723" s="223"/>
      <c r="P723" s="223"/>
      <c r="Q723" s="223"/>
      <c r="R723" s="223"/>
    </row>
    <row r="724">
      <c r="A724" s="223"/>
      <c r="B724" s="223"/>
      <c r="C724" s="223"/>
      <c r="D724" s="223"/>
      <c r="E724" s="223"/>
      <c r="F724" s="357"/>
      <c r="G724" s="223"/>
      <c r="H724" s="223"/>
      <c r="I724" s="223"/>
      <c r="J724" s="223"/>
      <c r="K724" s="223"/>
      <c r="L724" s="223"/>
      <c r="M724" s="223"/>
      <c r="N724" s="223"/>
      <c r="O724" s="223"/>
      <c r="P724" s="223"/>
      <c r="Q724" s="223"/>
      <c r="R724" s="223"/>
    </row>
    <row r="725">
      <c r="A725" s="223"/>
      <c r="B725" s="223"/>
      <c r="C725" s="223"/>
      <c r="D725" s="223"/>
      <c r="E725" s="223"/>
      <c r="F725" s="357"/>
      <c r="G725" s="223"/>
      <c r="H725" s="223"/>
      <c r="I725" s="223"/>
      <c r="J725" s="223"/>
      <c r="K725" s="223"/>
      <c r="L725" s="223"/>
      <c r="M725" s="223"/>
      <c r="N725" s="223"/>
      <c r="O725" s="223"/>
      <c r="P725" s="223"/>
      <c r="Q725" s="223"/>
      <c r="R725" s="223"/>
    </row>
    <row r="726">
      <c r="A726" s="223"/>
      <c r="B726" s="223"/>
      <c r="C726" s="223"/>
      <c r="D726" s="223"/>
      <c r="E726" s="223"/>
      <c r="F726" s="357"/>
      <c r="G726" s="223"/>
      <c r="H726" s="223"/>
      <c r="I726" s="223"/>
      <c r="J726" s="223"/>
      <c r="K726" s="223"/>
      <c r="L726" s="223"/>
      <c r="M726" s="223"/>
      <c r="N726" s="223"/>
      <c r="O726" s="223"/>
      <c r="P726" s="223"/>
      <c r="Q726" s="223"/>
      <c r="R726" s="223"/>
    </row>
    <row r="727">
      <c r="A727" s="223"/>
      <c r="B727" s="223"/>
      <c r="C727" s="223"/>
      <c r="D727" s="223"/>
      <c r="E727" s="223"/>
      <c r="F727" s="357"/>
      <c r="G727" s="223"/>
      <c r="H727" s="223"/>
      <c r="I727" s="223"/>
      <c r="J727" s="223"/>
      <c r="K727" s="223"/>
      <c r="L727" s="223"/>
      <c r="M727" s="223"/>
      <c r="N727" s="223"/>
      <c r="O727" s="223"/>
      <c r="P727" s="223"/>
      <c r="Q727" s="223"/>
      <c r="R727" s="223"/>
    </row>
    <row r="728">
      <c r="A728" s="223"/>
      <c r="B728" s="223"/>
      <c r="C728" s="223"/>
      <c r="D728" s="223"/>
      <c r="E728" s="223"/>
      <c r="F728" s="357"/>
      <c r="G728" s="223"/>
      <c r="H728" s="223"/>
      <c r="I728" s="223"/>
      <c r="J728" s="223"/>
      <c r="K728" s="223"/>
      <c r="L728" s="223"/>
      <c r="M728" s="223"/>
      <c r="N728" s="223"/>
      <c r="O728" s="223"/>
      <c r="P728" s="223"/>
      <c r="Q728" s="223"/>
      <c r="R728" s="223"/>
    </row>
    <row r="729">
      <c r="A729" s="223"/>
      <c r="B729" s="223"/>
      <c r="C729" s="223"/>
      <c r="D729" s="223"/>
      <c r="E729" s="223"/>
      <c r="F729" s="357"/>
      <c r="G729" s="223"/>
      <c r="H729" s="223"/>
      <c r="I729" s="223"/>
      <c r="J729" s="223"/>
      <c r="K729" s="223"/>
      <c r="L729" s="223"/>
      <c r="M729" s="223"/>
      <c r="N729" s="223"/>
      <c r="O729" s="223"/>
      <c r="P729" s="223"/>
      <c r="Q729" s="223"/>
      <c r="R729" s="223"/>
    </row>
    <row r="730">
      <c r="A730" s="223"/>
      <c r="B730" s="223"/>
      <c r="C730" s="223"/>
      <c r="D730" s="223"/>
      <c r="E730" s="223"/>
      <c r="F730" s="357"/>
      <c r="G730" s="223"/>
      <c r="H730" s="223"/>
      <c r="I730" s="223"/>
      <c r="J730" s="223"/>
      <c r="K730" s="223"/>
      <c r="L730" s="223"/>
      <c r="M730" s="223"/>
      <c r="N730" s="223"/>
      <c r="O730" s="223"/>
      <c r="P730" s="223"/>
      <c r="Q730" s="223"/>
      <c r="R730" s="223"/>
    </row>
    <row r="731">
      <c r="A731" s="223"/>
      <c r="B731" s="223"/>
      <c r="C731" s="223"/>
      <c r="D731" s="223"/>
      <c r="E731" s="223"/>
      <c r="F731" s="357"/>
      <c r="G731" s="223"/>
      <c r="H731" s="223"/>
      <c r="I731" s="223"/>
      <c r="J731" s="223"/>
      <c r="K731" s="223"/>
      <c r="L731" s="223"/>
      <c r="M731" s="223"/>
      <c r="N731" s="223"/>
      <c r="O731" s="223"/>
      <c r="P731" s="223"/>
      <c r="Q731" s="223"/>
      <c r="R731" s="223"/>
    </row>
    <row r="732">
      <c r="A732" s="223"/>
      <c r="B732" s="223"/>
      <c r="C732" s="223"/>
      <c r="D732" s="223"/>
      <c r="E732" s="223"/>
      <c r="F732" s="357"/>
      <c r="G732" s="223"/>
      <c r="H732" s="223"/>
      <c r="I732" s="223"/>
      <c r="J732" s="223"/>
      <c r="K732" s="223"/>
      <c r="L732" s="223"/>
      <c r="M732" s="223"/>
      <c r="N732" s="223"/>
      <c r="O732" s="223"/>
      <c r="P732" s="223"/>
      <c r="Q732" s="223"/>
      <c r="R732" s="223"/>
    </row>
    <row r="733">
      <c r="A733" s="223"/>
      <c r="B733" s="223"/>
      <c r="C733" s="223"/>
      <c r="D733" s="223"/>
      <c r="E733" s="223"/>
      <c r="F733" s="357"/>
      <c r="G733" s="223"/>
      <c r="H733" s="223"/>
      <c r="I733" s="223"/>
      <c r="J733" s="223"/>
      <c r="K733" s="223"/>
      <c r="L733" s="223"/>
      <c r="M733" s="223"/>
      <c r="N733" s="223"/>
      <c r="O733" s="223"/>
      <c r="P733" s="223"/>
      <c r="Q733" s="223"/>
      <c r="R733" s="223"/>
    </row>
    <row r="734">
      <c r="A734" s="223"/>
      <c r="B734" s="223"/>
      <c r="C734" s="223"/>
      <c r="D734" s="223"/>
      <c r="E734" s="223"/>
      <c r="F734" s="357"/>
      <c r="G734" s="223"/>
      <c r="H734" s="223"/>
      <c r="I734" s="223"/>
      <c r="J734" s="223"/>
      <c r="K734" s="223"/>
      <c r="L734" s="223"/>
      <c r="M734" s="223"/>
      <c r="N734" s="223"/>
      <c r="O734" s="223"/>
      <c r="P734" s="223"/>
      <c r="Q734" s="223"/>
      <c r="R734" s="223"/>
    </row>
    <row r="735">
      <c r="A735" s="223"/>
      <c r="B735" s="223"/>
      <c r="C735" s="223"/>
      <c r="D735" s="223"/>
      <c r="E735" s="223"/>
      <c r="F735" s="357"/>
      <c r="G735" s="223"/>
      <c r="H735" s="223"/>
      <c r="I735" s="223"/>
      <c r="J735" s="223"/>
      <c r="K735" s="223"/>
      <c r="L735" s="223"/>
      <c r="M735" s="223"/>
      <c r="N735" s="223"/>
      <c r="O735" s="223"/>
      <c r="P735" s="223"/>
      <c r="Q735" s="223"/>
      <c r="R735" s="223"/>
    </row>
    <row r="736">
      <c r="A736" s="223"/>
      <c r="B736" s="223"/>
      <c r="C736" s="223"/>
      <c r="D736" s="223"/>
      <c r="E736" s="223"/>
      <c r="F736" s="357"/>
      <c r="G736" s="223"/>
      <c r="H736" s="223"/>
      <c r="I736" s="223"/>
      <c r="J736" s="223"/>
      <c r="K736" s="223"/>
      <c r="L736" s="223"/>
      <c r="M736" s="223"/>
      <c r="N736" s="223"/>
      <c r="O736" s="223"/>
      <c r="P736" s="223"/>
      <c r="Q736" s="223"/>
      <c r="R736" s="223"/>
    </row>
    <row r="737">
      <c r="A737" s="223"/>
      <c r="B737" s="223"/>
      <c r="C737" s="223"/>
      <c r="D737" s="223"/>
      <c r="E737" s="223"/>
      <c r="F737" s="357"/>
      <c r="G737" s="223"/>
      <c r="H737" s="223"/>
      <c r="I737" s="223"/>
      <c r="J737" s="223"/>
      <c r="K737" s="223"/>
      <c r="L737" s="223"/>
      <c r="M737" s="223"/>
      <c r="N737" s="223"/>
      <c r="O737" s="223"/>
      <c r="P737" s="223"/>
      <c r="Q737" s="223"/>
      <c r="R737" s="223"/>
    </row>
    <row r="738">
      <c r="A738" s="223"/>
      <c r="B738" s="223"/>
      <c r="C738" s="223"/>
      <c r="D738" s="223"/>
      <c r="E738" s="223"/>
      <c r="F738" s="357"/>
      <c r="G738" s="223"/>
      <c r="H738" s="223"/>
      <c r="I738" s="223"/>
      <c r="J738" s="223"/>
      <c r="K738" s="223"/>
      <c r="L738" s="223"/>
      <c r="M738" s="223"/>
      <c r="N738" s="223"/>
      <c r="O738" s="223"/>
      <c r="P738" s="223"/>
      <c r="Q738" s="223"/>
      <c r="R738" s="223"/>
    </row>
    <row r="739">
      <c r="A739" s="223"/>
      <c r="B739" s="223"/>
      <c r="C739" s="223"/>
      <c r="D739" s="223"/>
      <c r="E739" s="223"/>
      <c r="F739" s="357"/>
      <c r="G739" s="223"/>
      <c r="H739" s="223"/>
      <c r="I739" s="223"/>
      <c r="J739" s="223"/>
      <c r="K739" s="223"/>
      <c r="L739" s="223"/>
      <c r="M739" s="223"/>
      <c r="N739" s="223"/>
      <c r="O739" s="223"/>
      <c r="P739" s="223"/>
      <c r="Q739" s="223"/>
      <c r="R739" s="223"/>
    </row>
    <row r="740">
      <c r="A740" s="223"/>
      <c r="B740" s="223"/>
      <c r="C740" s="223"/>
      <c r="D740" s="223"/>
      <c r="E740" s="223"/>
      <c r="F740" s="357"/>
      <c r="G740" s="223"/>
      <c r="H740" s="223"/>
      <c r="I740" s="223"/>
      <c r="J740" s="223"/>
      <c r="K740" s="223"/>
      <c r="L740" s="223"/>
      <c r="M740" s="223"/>
      <c r="N740" s="223"/>
      <c r="O740" s="223"/>
      <c r="P740" s="223"/>
      <c r="Q740" s="223"/>
      <c r="R740" s="223"/>
    </row>
    <row r="741">
      <c r="A741" s="223"/>
      <c r="B741" s="223"/>
      <c r="C741" s="223"/>
      <c r="D741" s="223"/>
      <c r="E741" s="223"/>
      <c r="F741" s="357"/>
      <c r="G741" s="223"/>
      <c r="H741" s="223"/>
      <c r="I741" s="223"/>
      <c r="J741" s="223"/>
      <c r="K741" s="223"/>
      <c r="L741" s="223"/>
      <c r="M741" s="223"/>
      <c r="N741" s="223"/>
      <c r="O741" s="223"/>
      <c r="P741" s="223"/>
      <c r="Q741" s="223"/>
      <c r="R741" s="223"/>
    </row>
    <row r="742">
      <c r="A742" s="223"/>
      <c r="B742" s="223"/>
      <c r="C742" s="223"/>
      <c r="D742" s="223"/>
      <c r="E742" s="223"/>
      <c r="F742" s="357"/>
      <c r="G742" s="223"/>
      <c r="H742" s="223"/>
      <c r="I742" s="223"/>
      <c r="J742" s="223"/>
      <c r="K742" s="223"/>
      <c r="L742" s="223"/>
      <c r="M742" s="223"/>
      <c r="N742" s="223"/>
      <c r="O742" s="223"/>
      <c r="P742" s="223"/>
      <c r="Q742" s="223"/>
      <c r="R742" s="223"/>
    </row>
    <row r="743">
      <c r="A743" s="223"/>
      <c r="B743" s="223"/>
      <c r="C743" s="223"/>
      <c r="D743" s="223"/>
      <c r="E743" s="223"/>
      <c r="F743" s="357"/>
      <c r="G743" s="223"/>
      <c r="H743" s="223"/>
      <c r="I743" s="223"/>
      <c r="J743" s="223"/>
      <c r="K743" s="223"/>
      <c r="L743" s="223"/>
      <c r="M743" s="223"/>
      <c r="N743" s="223"/>
      <c r="O743" s="223"/>
      <c r="P743" s="223"/>
      <c r="Q743" s="223"/>
      <c r="R743" s="223"/>
    </row>
    <row r="744">
      <c r="A744" s="223"/>
      <c r="B744" s="223"/>
      <c r="C744" s="223"/>
      <c r="D744" s="223"/>
      <c r="E744" s="223"/>
      <c r="F744" s="357"/>
      <c r="G744" s="223"/>
      <c r="H744" s="223"/>
      <c r="I744" s="223"/>
      <c r="J744" s="223"/>
      <c r="K744" s="223"/>
      <c r="L744" s="223"/>
      <c r="M744" s="223"/>
      <c r="N744" s="223"/>
      <c r="O744" s="223"/>
      <c r="P744" s="223"/>
      <c r="Q744" s="223"/>
      <c r="R744" s="223"/>
    </row>
    <row r="745">
      <c r="A745" s="223"/>
      <c r="B745" s="223"/>
      <c r="C745" s="223"/>
      <c r="D745" s="223"/>
      <c r="E745" s="223"/>
      <c r="F745" s="357"/>
      <c r="G745" s="223"/>
      <c r="H745" s="223"/>
      <c r="I745" s="223"/>
      <c r="J745" s="223"/>
      <c r="K745" s="223"/>
      <c r="L745" s="223"/>
      <c r="M745" s="223"/>
      <c r="N745" s="223"/>
      <c r="O745" s="223"/>
      <c r="P745" s="223"/>
      <c r="Q745" s="223"/>
      <c r="R745" s="223"/>
    </row>
    <row r="746">
      <c r="A746" s="223"/>
      <c r="B746" s="223"/>
      <c r="C746" s="223"/>
      <c r="D746" s="223"/>
      <c r="E746" s="223"/>
      <c r="F746" s="357"/>
      <c r="G746" s="223"/>
      <c r="H746" s="223"/>
      <c r="I746" s="223"/>
      <c r="J746" s="223"/>
      <c r="K746" s="223"/>
      <c r="L746" s="223"/>
      <c r="M746" s="223"/>
      <c r="N746" s="223"/>
      <c r="O746" s="223"/>
      <c r="P746" s="223"/>
      <c r="Q746" s="223"/>
      <c r="R746" s="223"/>
    </row>
    <row r="747">
      <c r="A747" s="223"/>
      <c r="B747" s="223"/>
      <c r="C747" s="223"/>
      <c r="D747" s="223"/>
      <c r="E747" s="223"/>
      <c r="F747" s="357"/>
      <c r="G747" s="223"/>
      <c r="H747" s="223"/>
      <c r="I747" s="223"/>
      <c r="J747" s="223"/>
      <c r="K747" s="223"/>
      <c r="L747" s="223"/>
      <c r="M747" s="223"/>
      <c r="N747" s="223"/>
      <c r="O747" s="223"/>
      <c r="P747" s="223"/>
      <c r="Q747" s="223"/>
      <c r="R747" s="223"/>
    </row>
    <row r="748">
      <c r="A748" s="223"/>
      <c r="B748" s="223"/>
      <c r="C748" s="223"/>
      <c r="D748" s="223"/>
      <c r="E748" s="223"/>
      <c r="F748" s="357"/>
      <c r="G748" s="223"/>
      <c r="H748" s="223"/>
      <c r="I748" s="223"/>
      <c r="J748" s="223"/>
      <c r="K748" s="223"/>
      <c r="L748" s="223"/>
      <c r="M748" s="223"/>
      <c r="N748" s="223"/>
      <c r="O748" s="223"/>
      <c r="P748" s="223"/>
      <c r="Q748" s="223"/>
      <c r="R748" s="223"/>
    </row>
    <row r="749">
      <c r="A749" s="223"/>
      <c r="B749" s="223"/>
      <c r="C749" s="223"/>
      <c r="D749" s="223"/>
      <c r="E749" s="223"/>
      <c r="F749" s="357"/>
      <c r="G749" s="223"/>
      <c r="H749" s="223"/>
      <c r="I749" s="223"/>
      <c r="J749" s="223"/>
      <c r="K749" s="223"/>
      <c r="L749" s="223"/>
      <c r="M749" s="223"/>
      <c r="N749" s="223"/>
      <c r="O749" s="223"/>
      <c r="P749" s="223"/>
      <c r="Q749" s="223"/>
      <c r="R749" s="223"/>
    </row>
    <row r="750">
      <c r="A750" s="223"/>
      <c r="B750" s="223"/>
      <c r="C750" s="223"/>
      <c r="D750" s="223"/>
      <c r="E750" s="223"/>
      <c r="F750" s="357"/>
      <c r="G750" s="223"/>
      <c r="H750" s="223"/>
      <c r="I750" s="223"/>
      <c r="J750" s="223"/>
      <c r="K750" s="223"/>
      <c r="L750" s="223"/>
      <c r="M750" s="223"/>
      <c r="N750" s="223"/>
      <c r="O750" s="223"/>
      <c r="P750" s="223"/>
      <c r="Q750" s="223"/>
      <c r="R750" s="223"/>
    </row>
    <row r="751">
      <c r="A751" s="223"/>
      <c r="B751" s="223"/>
      <c r="C751" s="223"/>
      <c r="D751" s="223"/>
      <c r="E751" s="223"/>
      <c r="F751" s="357"/>
      <c r="G751" s="223"/>
      <c r="H751" s="223"/>
      <c r="I751" s="223"/>
      <c r="J751" s="223"/>
      <c r="K751" s="223"/>
      <c r="L751" s="223"/>
      <c r="M751" s="223"/>
      <c r="N751" s="223"/>
      <c r="O751" s="223"/>
      <c r="P751" s="223"/>
      <c r="Q751" s="223"/>
      <c r="R751" s="223"/>
    </row>
    <row r="752">
      <c r="A752" s="223"/>
      <c r="B752" s="223"/>
      <c r="C752" s="223"/>
      <c r="D752" s="223"/>
      <c r="E752" s="223"/>
      <c r="F752" s="357"/>
      <c r="G752" s="223"/>
      <c r="H752" s="223"/>
      <c r="I752" s="223"/>
      <c r="J752" s="223"/>
      <c r="K752" s="223"/>
      <c r="L752" s="223"/>
      <c r="M752" s="223"/>
      <c r="N752" s="223"/>
      <c r="O752" s="223"/>
      <c r="P752" s="223"/>
      <c r="Q752" s="223"/>
      <c r="R752" s="223"/>
    </row>
    <row r="753">
      <c r="A753" s="223"/>
      <c r="B753" s="223"/>
      <c r="C753" s="223"/>
      <c r="D753" s="223"/>
      <c r="E753" s="223"/>
      <c r="F753" s="357"/>
      <c r="G753" s="223"/>
      <c r="H753" s="223"/>
      <c r="I753" s="223"/>
      <c r="J753" s="223"/>
      <c r="K753" s="223"/>
      <c r="L753" s="223"/>
      <c r="M753" s="223"/>
      <c r="N753" s="223"/>
      <c r="O753" s="223"/>
      <c r="P753" s="223"/>
      <c r="Q753" s="223"/>
      <c r="R753" s="223"/>
    </row>
    <row r="754">
      <c r="A754" s="223"/>
      <c r="B754" s="223"/>
      <c r="C754" s="223"/>
      <c r="D754" s="223"/>
      <c r="E754" s="223"/>
      <c r="F754" s="357"/>
      <c r="G754" s="223"/>
      <c r="H754" s="223"/>
      <c r="I754" s="223"/>
      <c r="J754" s="223"/>
      <c r="K754" s="223"/>
      <c r="L754" s="223"/>
      <c r="M754" s="223"/>
      <c r="N754" s="223"/>
      <c r="O754" s="223"/>
      <c r="P754" s="223"/>
      <c r="Q754" s="223"/>
      <c r="R754" s="223"/>
    </row>
    <row r="755">
      <c r="A755" s="223"/>
      <c r="B755" s="223"/>
      <c r="C755" s="223"/>
      <c r="D755" s="223"/>
      <c r="E755" s="223"/>
      <c r="F755" s="357"/>
      <c r="G755" s="223"/>
      <c r="H755" s="223"/>
      <c r="I755" s="223"/>
      <c r="J755" s="223"/>
      <c r="K755" s="223"/>
      <c r="L755" s="223"/>
      <c r="M755" s="223"/>
      <c r="N755" s="223"/>
      <c r="O755" s="223"/>
      <c r="P755" s="223"/>
      <c r="Q755" s="223"/>
      <c r="R755" s="223"/>
    </row>
    <row r="756">
      <c r="A756" s="223"/>
      <c r="B756" s="223"/>
      <c r="C756" s="223"/>
      <c r="D756" s="223"/>
      <c r="E756" s="223"/>
      <c r="F756" s="357"/>
      <c r="G756" s="223"/>
      <c r="H756" s="223"/>
      <c r="I756" s="223"/>
      <c r="J756" s="223"/>
      <c r="K756" s="223"/>
      <c r="L756" s="223"/>
      <c r="M756" s="223"/>
      <c r="N756" s="223"/>
      <c r="O756" s="223"/>
      <c r="P756" s="223"/>
      <c r="Q756" s="223"/>
      <c r="R756" s="223"/>
    </row>
    <row r="757">
      <c r="A757" s="223"/>
      <c r="B757" s="223"/>
      <c r="C757" s="223"/>
      <c r="D757" s="223"/>
      <c r="E757" s="223"/>
      <c r="F757" s="357"/>
      <c r="G757" s="223"/>
      <c r="H757" s="223"/>
      <c r="I757" s="223"/>
      <c r="J757" s="223"/>
      <c r="K757" s="223"/>
      <c r="L757" s="223"/>
      <c r="M757" s="223"/>
      <c r="N757" s="223"/>
      <c r="O757" s="223"/>
      <c r="P757" s="223"/>
      <c r="Q757" s="223"/>
      <c r="R757" s="223"/>
    </row>
    <row r="758">
      <c r="A758" s="223"/>
      <c r="B758" s="223"/>
      <c r="C758" s="223"/>
      <c r="D758" s="223"/>
      <c r="E758" s="223"/>
      <c r="F758" s="357"/>
      <c r="G758" s="223"/>
      <c r="H758" s="223"/>
      <c r="I758" s="223"/>
      <c r="J758" s="223"/>
      <c r="K758" s="223"/>
      <c r="L758" s="223"/>
      <c r="M758" s="223"/>
      <c r="N758" s="223"/>
      <c r="O758" s="223"/>
      <c r="P758" s="223"/>
      <c r="Q758" s="223"/>
      <c r="R758" s="223"/>
    </row>
    <row r="759">
      <c r="A759" s="223"/>
      <c r="B759" s="223"/>
      <c r="C759" s="223"/>
      <c r="D759" s="223"/>
      <c r="E759" s="223"/>
      <c r="F759" s="357"/>
      <c r="G759" s="223"/>
      <c r="H759" s="223"/>
      <c r="I759" s="223"/>
      <c r="J759" s="223"/>
      <c r="K759" s="223"/>
      <c r="L759" s="223"/>
      <c r="M759" s="223"/>
      <c r="N759" s="223"/>
      <c r="O759" s="223"/>
      <c r="P759" s="223"/>
      <c r="Q759" s="223"/>
      <c r="R759" s="223"/>
    </row>
    <row r="760">
      <c r="A760" s="223"/>
      <c r="B760" s="223"/>
      <c r="C760" s="223"/>
      <c r="D760" s="223"/>
      <c r="E760" s="223"/>
      <c r="F760" s="357"/>
      <c r="G760" s="223"/>
      <c r="H760" s="223"/>
      <c r="I760" s="223"/>
      <c r="J760" s="223"/>
      <c r="K760" s="223"/>
      <c r="L760" s="223"/>
      <c r="M760" s="223"/>
      <c r="N760" s="223"/>
      <c r="O760" s="223"/>
      <c r="P760" s="223"/>
      <c r="Q760" s="223"/>
      <c r="R760" s="223"/>
    </row>
    <row r="761">
      <c r="A761" s="223"/>
      <c r="B761" s="223"/>
      <c r="C761" s="223"/>
      <c r="D761" s="223"/>
      <c r="E761" s="223"/>
      <c r="F761" s="357"/>
      <c r="G761" s="223"/>
      <c r="H761" s="223"/>
      <c r="I761" s="223"/>
      <c r="J761" s="223"/>
      <c r="K761" s="223"/>
      <c r="L761" s="223"/>
      <c r="M761" s="223"/>
      <c r="N761" s="223"/>
      <c r="O761" s="223"/>
      <c r="P761" s="223"/>
      <c r="Q761" s="223"/>
      <c r="R761" s="223"/>
    </row>
    <row r="762">
      <c r="A762" s="223"/>
      <c r="B762" s="223"/>
      <c r="C762" s="223"/>
      <c r="D762" s="223"/>
      <c r="E762" s="223"/>
      <c r="F762" s="357"/>
      <c r="G762" s="223"/>
      <c r="H762" s="223"/>
      <c r="I762" s="223"/>
      <c r="J762" s="223"/>
      <c r="K762" s="223"/>
      <c r="L762" s="223"/>
      <c r="M762" s="223"/>
      <c r="N762" s="223"/>
      <c r="O762" s="223"/>
      <c r="P762" s="223"/>
      <c r="Q762" s="223"/>
      <c r="R762" s="223"/>
    </row>
    <row r="763">
      <c r="A763" s="223"/>
      <c r="B763" s="223"/>
      <c r="C763" s="223"/>
      <c r="D763" s="223"/>
      <c r="E763" s="223"/>
      <c r="F763" s="357"/>
      <c r="G763" s="223"/>
      <c r="H763" s="223"/>
      <c r="I763" s="223"/>
      <c r="J763" s="223"/>
      <c r="K763" s="223"/>
      <c r="L763" s="223"/>
      <c r="M763" s="223"/>
      <c r="N763" s="223"/>
      <c r="O763" s="223"/>
      <c r="P763" s="223"/>
      <c r="Q763" s="223"/>
      <c r="R763" s="223"/>
    </row>
    <row r="764">
      <c r="A764" s="223"/>
      <c r="B764" s="223"/>
      <c r="C764" s="223"/>
      <c r="D764" s="223"/>
      <c r="E764" s="223"/>
      <c r="F764" s="357"/>
      <c r="G764" s="223"/>
      <c r="H764" s="223"/>
      <c r="I764" s="223"/>
      <c r="J764" s="223"/>
      <c r="K764" s="223"/>
      <c r="L764" s="223"/>
      <c r="M764" s="223"/>
      <c r="N764" s="223"/>
      <c r="O764" s="223"/>
      <c r="P764" s="223"/>
      <c r="Q764" s="223"/>
      <c r="R764" s="223"/>
    </row>
    <row r="765">
      <c r="A765" s="223"/>
      <c r="B765" s="223"/>
      <c r="C765" s="223"/>
      <c r="D765" s="223"/>
      <c r="E765" s="223"/>
      <c r="F765" s="357"/>
      <c r="G765" s="223"/>
      <c r="H765" s="223"/>
      <c r="I765" s="223"/>
      <c r="J765" s="223"/>
      <c r="K765" s="223"/>
      <c r="L765" s="223"/>
      <c r="M765" s="223"/>
      <c r="N765" s="223"/>
      <c r="O765" s="223"/>
      <c r="P765" s="223"/>
      <c r="Q765" s="223"/>
      <c r="R765" s="223"/>
    </row>
    <row r="766">
      <c r="A766" s="223"/>
      <c r="B766" s="223"/>
      <c r="C766" s="223"/>
      <c r="D766" s="223"/>
      <c r="E766" s="223"/>
      <c r="F766" s="357"/>
      <c r="G766" s="223"/>
      <c r="H766" s="223"/>
      <c r="I766" s="223"/>
      <c r="J766" s="223"/>
      <c r="K766" s="223"/>
      <c r="L766" s="223"/>
      <c r="M766" s="223"/>
      <c r="N766" s="223"/>
      <c r="O766" s="223"/>
      <c r="P766" s="223"/>
      <c r="Q766" s="223"/>
      <c r="R766" s="223"/>
    </row>
    <row r="767">
      <c r="A767" s="223"/>
      <c r="B767" s="223"/>
      <c r="C767" s="223"/>
      <c r="D767" s="223"/>
      <c r="E767" s="223"/>
      <c r="F767" s="357"/>
      <c r="G767" s="223"/>
      <c r="H767" s="223"/>
      <c r="I767" s="223"/>
      <c r="J767" s="223"/>
      <c r="K767" s="223"/>
      <c r="L767" s="223"/>
      <c r="M767" s="223"/>
      <c r="N767" s="223"/>
      <c r="O767" s="223"/>
      <c r="P767" s="223"/>
      <c r="Q767" s="223"/>
      <c r="R767" s="223"/>
    </row>
    <row r="768">
      <c r="A768" s="223"/>
      <c r="B768" s="223"/>
      <c r="C768" s="223"/>
      <c r="D768" s="223"/>
      <c r="E768" s="223"/>
      <c r="F768" s="357"/>
      <c r="G768" s="223"/>
      <c r="H768" s="223"/>
      <c r="I768" s="223"/>
      <c r="J768" s="223"/>
      <c r="K768" s="223"/>
      <c r="L768" s="223"/>
      <c r="M768" s="223"/>
      <c r="N768" s="223"/>
      <c r="O768" s="223"/>
      <c r="P768" s="223"/>
      <c r="Q768" s="223"/>
      <c r="R768" s="223"/>
    </row>
    <row r="769">
      <c r="A769" s="223"/>
      <c r="B769" s="223"/>
      <c r="C769" s="223"/>
      <c r="D769" s="223"/>
      <c r="E769" s="223"/>
      <c r="F769" s="357"/>
      <c r="G769" s="223"/>
      <c r="H769" s="223"/>
      <c r="I769" s="223"/>
      <c r="J769" s="223"/>
      <c r="K769" s="223"/>
      <c r="L769" s="223"/>
      <c r="M769" s="223"/>
      <c r="N769" s="223"/>
      <c r="O769" s="223"/>
      <c r="P769" s="223"/>
      <c r="Q769" s="223"/>
      <c r="R769" s="223"/>
    </row>
    <row r="770">
      <c r="A770" s="223"/>
      <c r="B770" s="223"/>
      <c r="C770" s="223"/>
      <c r="D770" s="223"/>
      <c r="E770" s="223"/>
      <c r="F770" s="357"/>
      <c r="G770" s="223"/>
      <c r="H770" s="223"/>
      <c r="I770" s="223"/>
      <c r="J770" s="223"/>
      <c r="K770" s="223"/>
      <c r="L770" s="223"/>
      <c r="M770" s="223"/>
      <c r="N770" s="223"/>
      <c r="O770" s="223"/>
      <c r="P770" s="223"/>
      <c r="Q770" s="223"/>
      <c r="R770" s="223"/>
    </row>
    <row r="771">
      <c r="A771" s="223"/>
      <c r="B771" s="223"/>
      <c r="C771" s="223"/>
      <c r="D771" s="223"/>
      <c r="E771" s="223"/>
      <c r="F771" s="357"/>
      <c r="G771" s="223"/>
      <c r="H771" s="223"/>
      <c r="I771" s="223"/>
      <c r="J771" s="223"/>
      <c r="K771" s="223"/>
      <c r="L771" s="223"/>
      <c r="M771" s="223"/>
      <c r="N771" s="223"/>
      <c r="O771" s="223"/>
      <c r="P771" s="223"/>
      <c r="Q771" s="223"/>
      <c r="R771" s="223"/>
    </row>
    <row r="772">
      <c r="A772" s="223"/>
      <c r="B772" s="223"/>
      <c r="C772" s="223"/>
      <c r="D772" s="223"/>
      <c r="E772" s="223"/>
      <c r="F772" s="357"/>
      <c r="G772" s="223"/>
      <c r="H772" s="223"/>
      <c r="I772" s="223"/>
      <c r="J772" s="223"/>
      <c r="K772" s="223"/>
      <c r="L772" s="223"/>
      <c r="M772" s="223"/>
      <c r="N772" s="223"/>
      <c r="O772" s="223"/>
      <c r="P772" s="223"/>
      <c r="Q772" s="223"/>
      <c r="R772" s="223"/>
    </row>
    <row r="773">
      <c r="A773" s="223"/>
      <c r="B773" s="223"/>
      <c r="C773" s="223"/>
      <c r="D773" s="223"/>
      <c r="E773" s="223"/>
      <c r="F773" s="357"/>
      <c r="G773" s="223"/>
      <c r="H773" s="223"/>
      <c r="I773" s="223"/>
      <c r="J773" s="223"/>
      <c r="K773" s="223"/>
      <c r="L773" s="223"/>
      <c r="M773" s="223"/>
      <c r="N773" s="223"/>
      <c r="O773" s="223"/>
      <c r="P773" s="223"/>
      <c r="Q773" s="223"/>
      <c r="R773" s="223"/>
    </row>
    <row r="774">
      <c r="A774" s="223"/>
      <c r="B774" s="223"/>
      <c r="C774" s="223"/>
      <c r="D774" s="223"/>
      <c r="E774" s="223"/>
      <c r="F774" s="357"/>
      <c r="G774" s="223"/>
      <c r="H774" s="223"/>
      <c r="I774" s="223"/>
      <c r="J774" s="223"/>
      <c r="K774" s="223"/>
      <c r="L774" s="223"/>
      <c r="M774" s="223"/>
      <c r="N774" s="223"/>
      <c r="O774" s="223"/>
      <c r="P774" s="223"/>
      <c r="Q774" s="223"/>
      <c r="R774" s="223"/>
    </row>
    <row r="775">
      <c r="A775" s="223"/>
      <c r="B775" s="223"/>
      <c r="C775" s="223"/>
      <c r="D775" s="223"/>
      <c r="E775" s="223"/>
      <c r="F775" s="357"/>
      <c r="G775" s="223"/>
      <c r="H775" s="223"/>
      <c r="I775" s="223"/>
      <c r="J775" s="223"/>
      <c r="K775" s="223"/>
      <c r="L775" s="223"/>
      <c r="M775" s="223"/>
      <c r="N775" s="223"/>
      <c r="O775" s="223"/>
      <c r="P775" s="223"/>
      <c r="Q775" s="223"/>
      <c r="R775" s="223"/>
    </row>
    <row r="776">
      <c r="A776" s="223"/>
      <c r="B776" s="223"/>
      <c r="C776" s="223"/>
      <c r="D776" s="223"/>
      <c r="E776" s="223"/>
      <c r="F776" s="357"/>
      <c r="G776" s="223"/>
      <c r="H776" s="223"/>
      <c r="I776" s="223"/>
      <c r="J776" s="223"/>
      <c r="K776" s="223"/>
      <c r="L776" s="223"/>
      <c r="M776" s="223"/>
      <c r="N776" s="223"/>
      <c r="O776" s="223"/>
      <c r="P776" s="223"/>
      <c r="Q776" s="223"/>
      <c r="R776" s="223"/>
    </row>
    <row r="777">
      <c r="A777" s="223"/>
      <c r="B777" s="223"/>
      <c r="C777" s="223"/>
      <c r="D777" s="223"/>
      <c r="E777" s="223"/>
      <c r="F777" s="357"/>
      <c r="G777" s="223"/>
      <c r="H777" s="223"/>
      <c r="I777" s="223"/>
      <c r="J777" s="223"/>
      <c r="K777" s="223"/>
      <c r="L777" s="223"/>
      <c r="M777" s="223"/>
      <c r="N777" s="223"/>
      <c r="O777" s="223"/>
      <c r="P777" s="223"/>
      <c r="Q777" s="223"/>
      <c r="R777" s="223"/>
    </row>
    <row r="778">
      <c r="A778" s="223"/>
      <c r="B778" s="223"/>
      <c r="C778" s="223"/>
      <c r="D778" s="223"/>
      <c r="E778" s="223"/>
      <c r="F778" s="357"/>
      <c r="G778" s="223"/>
      <c r="H778" s="223"/>
      <c r="I778" s="223"/>
      <c r="J778" s="223"/>
      <c r="K778" s="223"/>
      <c r="L778" s="223"/>
      <c r="M778" s="223"/>
      <c r="N778" s="223"/>
      <c r="O778" s="223"/>
      <c r="P778" s="223"/>
      <c r="Q778" s="223"/>
      <c r="R778" s="223"/>
    </row>
    <row r="779">
      <c r="A779" s="223"/>
      <c r="B779" s="223"/>
      <c r="C779" s="223"/>
      <c r="D779" s="223"/>
      <c r="E779" s="223"/>
      <c r="F779" s="357"/>
      <c r="G779" s="223"/>
      <c r="H779" s="223"/>
      <c r="I779" s="223"/>
      <c r="J779" s="223"/>
      <c r="K779" s="223"/>
      <c r="L779" s="223"/>
      <c r="M779" s="223"/>
      <c r="N779" s="223"/>
      <c r="O779" s="223"/>
      <c r="P779" s="223"/>
      <c r="Q779" s="223"/>
      <c r="R779" s="223"/>
    </row>
    <row r="780">
      <c r="A780" s="223"/>
      <c r="B780" s="223"/>
      <c r="C780" s="223"/>
      <c r="D780" s="223"/>
      <c r="E780" s="223"/>
      <c r="F780" s="357"/>
      <c r="G780" s="223"/>
      <c r="H780" s="223"/>
      <c r="I780" s="223"/>
      <c r="J780" s="223"/>
      <c r="K780" s="223"/>
      <c r="L780" s="223"/>
      <c r="M780" s="223"/>
      <c r="N780" s="223"/>
      <c r="O780" s="223"/>
      <c r="P780" s="223"/>
      <c r="Q780" s="223"/>
      <c r="R780" s="223"/>
    </row>
    <row r="781">
      <c r="A781" s="223"/>
      <c r="B781" s="223"/>
      <c r="C781" s="223"/>
      <c r="D781" s="223"/>
      <c r="E781" s="223"/>
      <c r="F781" s="357"/>
      <c r="G781" s="223"/>
      <c r="H781" s="223"/>
      <c r="I781" s="223"/>
      <c r="J781" s="223"/>
      <c r="K781" s="223"/>
      <c r="L781" s="223"/>
      <c r="M781" s="223"/>
      <c r="N781" s="223"/>
      <c r="O781" s="223"/>
      <c r="P781" s="223"/>
      <c r="Q781" s="223"/>
      <c r="R781" s="223"/>
    </row>
    <row r="782">
      <c r="A782" s="223"/>
      <c r="B782" s="223"/>
      <c r="C782" s="223"/>
      <c r="D782" s="223"/>
      <c r="E782" s="223"/>
      <c r="F782" s="357"/>
      <c r="G782" s="223"/>
      <c r="H782" s="223"/>
      <c r="I782" s="223"/>
      <c r="J782" s="223"/>
      <c r="K782" s="223"/>
      <c r="L782" s="223"/>
      <c r="M782" s="223"/>
      <c r="N782" s="223"/>
      <c r="O782" s="223"/>
      <c r="P782" s="223"/>
      <c r="Q782" s="223"/>
      <c r="R782" s="223"/>
    </row>
    <row r="783">
      <c r="A783" s="223"/>
      <c r="B783" s="223"/>
      <c r="C783" s="223"/>
      <c r="D783" s="223"/>
      <c r="E783" s="223"/>
      <c r="F783" s="357"/>
      <c r="G783" s="223"/>
      <c r="H783" s="223"/>
      <c r="I783" s="223"/>
      <c r="J783" s="223"/>
      <c r="K783" s="223"/>
      <c r="L783" s="223"/>
      <c r="M783" s="223"/>
      <c r="N783" s="223"/>
      <c r="O783" s="223"/>
      <c r="P783" s="223"/>
      <c r="Q783" s="223"/>
      <c r="R783" s="223"/>
    </row>
    <row r="784">
      <c r="A784" s="223"/>
      <c r="B784" s="223"/>
      <c r="C784" s="223"/>
      <c r="D784" s="223"/>
      <c r="E784" s="223"/>
      <c r="F784" s="357"/>
      <c r="G784" s="223"/>
      <c r="H784" s="223"/>
      <c r="I784" s="223"/>
      <c r="J784" s="223"/>
      <c r="K784" s="223"/>
      <c r="L784" s="223"/>
      <c r="M784" s="223"/>
      <c r="N784" s="223"/>
      <c r="O784" s="223"/>
      <c r="P784" s="223"/>
      <c r="Q784" s="223"/>
      <c r="R784" s="223"/>
    </row>
    <row r="785">
      <c r="A785" s="223"/>
      <c r="B785" s="223"/>
      <c r="C785" s="223"/>
      <c r="D785" s="223"/>
      <c r="E785" s="223"/>
      <c r="F785" s="357"/>
      <c r="G785" s="223"/>
      <c r="H785" s="223"/>
      <c r="I785" s="223"/>
      <c r="J785" s="223"/>
      <c r="K785" s="223"/>
      <c r="L785" s="223"/>
      <c r="M785" s="223"/>
      <c r="N785" s="223"/>
      <c r="O785" s="223"/>
      <c r="P785" s="223"/>
      <c r="Q785" s="223"/>
      <c r="R785" s="223"/>
    </row>
    <row r="786">
      <c r="A786" s="223"/>
      <c r="B786" s="223"/>
      <c r="C786" s="223"/>
      <c r="D786" s="223"/>
      <c r="E786" s="223"/>
      <c r="F786" s="357"/>
      <c r="G786" s="223"/>
      <c r="H786" s="223"/>
      <c r="I786" s="223"/>
      <c r="J786" s="223"/>
      <c r="K786" s="223"/>
      <c r="L786" s="223"/>
      <c r="M786" s="223"/>
      <c r="N786" s="223"/>
      <c r="O786" s="223"/>
      <c r="P786" s="223"/>
      <c r="Q786" s="223"/>
      <c r="R786" s="223"/>
    </row>
    <row r="787">
      <c r="A787" s="223"/>
      <c r="B787" s="223"/>
      <c r="C787" s="223"/>
      <c r="D787" s="223"/>
      <c r="E787" s="223"/>
      <c r="F787" s="357"/>
      <c r="G787" s="223"/>
      <c r="H787" s="223"/>
      <c r="I787" s="223"/>
      <c r="J787" s="223"/>
      <c r="K787" s="223"/>
      <c r="L787" s="223"/>
      <c r="M787" s="223"/>
      <c r="N787" s="223"/>
      <c r="O787" s="223"/>
      <c r="P787" s="223"/>
      <c r="Q787" s="223"/>
      <c r="R787" s="223"/>
    </row>
    <row r="788">
      <c r="A788" s="223"/>
      <c r="B788" s="223"/>
      <c r="C788" s="223"/>
      <c r="D788" s="223"/>
      <c r="E788" s="223"/>
      <c r="F788" s="357"/>
      <c r="G788" s="223"/>
      <c r="H788" s="223"/>
      <c r="I788" s="223"/>
      <c r="J788" s="223"/>
      <c r="K788" s="223"/>
      <c r="L788" s="223"/>
      <c r="M788" s="223"/>
      <c r="N788" s="223"/>
      <c r="O788" s="223"/>
      <c r="P788" s="223"/>
      <c r="Q788" s="223"/>
      <c r="R788" s="223"/>
    </row>
    <row r="789">
      <c r="A789" s="223"/>
      <c r="B789" s="223"/>
      <c r="C789" s="223"/>
      <c r="D789" s="223"/>
      <c r="E789" s="223"/>
      <c r="F789" s="357"/>
      <c r="G789" s="223"/>
      <c r="H789" s="223"/>
      <c r="I789" s="223"/>
      <c r="J789" s="223"/>
      <c r="K789" s="223"/>
      <c r="L789" s="223"/>
      <c r="M789" s="223"/>
      <c r="N789" s="223"/>
      <c r="O789" s="223"/>
      <c r="P789" s="223"/>
      <c r="Q789" s="223"/>
      <c r="R789" s="223"/>
    </row>
    <row r="790">
      <c r="A790" s="223"/>
      <c r="B790" s="223"/>
      <c r="C790" s="223"/>
      <c r="D790" s="223"/>
      <c r="E790" s="223"/>
      <c r="F790" s="357"/>
      <c r="G790" s="223"/>
      <c r="H790" s="223"/>
      <c r="I790" s="223"/>
      <c r="J790" s="223"/>
      <c r="K790" s="223"/>
      <c r="L790" s="223"/>
      <c r="M790" s="223"/>
      <c r="N790" s="223"/>
      <c r="O790" s="223"/>
      <c r="P790" s="223"/>
      <c r="Q790" s="223"/>
      <c r="R790" s="223"/>
    </row>
    <row r="791">
      <c r="A791" s="223"/>
      <c r="B791" s="223"/>
      <c r="C791" s="223"/>
      <c r="D791" s="223"/>
      <c r="E791" s="223"/>
      <c r="F791" s="357"/>
      <c r="G791" s="223"/>
      <c r="H791" s="223"/>
      <c r="I791" s="223"/>
      <c r="J791" s="223"/>
      <c r="K791" s="223"/>
      <c r="L791" s="223"/>
      <c r="M791" s="223"/>
      <c r="N791" s="223"/>
      <c r="O791" s="223"/>
      <c r="P791" s="223"/>
      <c r="Q791" s="223"/>
      <c r="R791" s="223"/>
    </row>
    <row r="792">
      <c r="A792" s="223"/>
      <c r="B792" s="223"/>
      <c r="C792" s="223"/>
      <c r="D792" s="223"/>
      <c r="E792" s="223"/>
      <c r="F792" s="357"/>
      <c r="G792" s="223"/>
      <c r="H792" s="223"/>
      <c r="I792" s="223"/>
      <c r="J792" s="223"/>
      <c r="K792" s="223"/>
      <c r="L792" s="223"/>
      <c r="M792" s="223"/>
      <c r="N792" s="223"/>
      <c r="O792" s="223"/>
      <c r="P792" s="223"/>
      <c r="Q792" s="223"/>
      <c r="R792" s="223"/>
    </row>
    <row r="793">
      <c r="A793" s="223"/>
      <c r="B793" s="223"/>
      <c r="C793" s="223"/>
      <c r="D793" s="223"/>
      <c r="E793" s="223"/>
      <c r="F793" s="357"/>
      <c r="G793" s="223"/>
      <c r="H793" s="223"/>
      <c r="I793" s="223"/>
      <c r="J793" s="223"/>
      <c r="K793" s="223"/>
      <c r="L793" s="223"/>
      <c r="M793" s="223"/>
      <c r="N793" s="223"/>
      <c r="O793" s="223"/>
      <c r="P793" s="223"/>
      <c r="Q793" s="223"/>
      <c r="R793" s="223"/>
    </row>
    <row r="794">
      <c r="A794" s="223"/>
      <c r="B794" s="223"/>
      <c r="C794" s="223"/>
      <c r="D794" s="223"/>
      <c r="E794" s="223"/>
      <c r="F794" s="357"/>
      <c r="G794" s="223"/>
      <c r="H794" s="223"/>
      <c r="I794" s="223"/>
      <c r="J794" s="223"/>
      <c r="K794" s="223"/>
      <c r="L794" s="223"/>
      <c r="M794" s="223"/>
      <c r="N794" s="223"/>
      <c r="O794" s="223"/>
      <c r="P794" s="223"/>
      <c r="Q794" s="223"/>
      <c r="R794" s="223"/>
    </row>
    <row r="795">
      <c r="A795" s="223"/>
      <c r="B795" s="223"/>
      <c r="C795" s="223"/>
      <c r="D795" s="223"/>
      <c r="E795" s="223"/>
      <c r="F795" s="357"/>
      <c r="G795" s="223"/>
      <c r="H795" s="223"/>
      <c r="I795" s="223"/>
      <c r="J795" s="223"/>
      <c r="K795" s="223"/>
      <c r="L795" s="223"/>
      <c r="M795" s="223"/>
      <c r="N795" s="223"/>
      <c r="O795" s="223"/>
      <c r="P795" s="223"/>
      <c r="Q795" s="223"/>
      <c r="R795" s="223"/>
    </row>
    <row r="796">
      <c r="A796" s="223"/>
      <c r="B796" s="223"/>
      <c r="C796" s="223"/>
      <c r="D796" s="223"/>
      <c r="E796" s="223"/>
      <c r="F796" s="357"/>
      <c r="G796" s="223"/>
      <c r="H796" s="223"/>
      <c r="I796" s="223"/>
      <c r="J796" s="223"/>
      <c r="K796" s="223"/>
      <c r="L796" s="223"/>
      <c r="M796" s="223"/>
      <c r="N796" s="223"/>
      <c r="O796" s="223"/>
      <c r="P796" s="223"/>
      <c r="Q796" s="223"/>
      <c r="R796" s="223"/>
    </row>
    <row r="797">
      <c r="A797" s="223"/>
      <c r="B797" s="223"/>
      <c r="C797" s="223"/>
      <c r="D797" s="223"/>
      <c r="E797" s="223"/>
      <c r="F797" s="357"/>
      <c r="G797" s="223"/>
      <c r="H797" s="223"/>
      <c r="I797" s="223"/>
      <c r="J797" s="223"/>
      <c r="K797" s="223"/>
      <c r="L797" s="223"/>
      <c r="M797" s="223"/>
      <c r="N797" s="223"/>
      <c r="O797" s="223"/>
      <c r="P797" s="223"/>
      <c r="Q797" s="223"/>
      <c r="R797" s="223"/>
    </row>
    <row r="798">
      <c r="A798" s="223"/>
      <c r="B798" s="223"/>
      <c r="C798" s="223"/>
      <c r="D798" s="223"/>
      <c r="E798" s="223"/>
      <c r="F798" s="357"/>
      <c r="G798" s="223"/>
      <c r="H798" s="223"/>
      <c r="I798" s="223"/>
      <c r="J798" s="223"/>
      <c r="K798" s="223"/>
      <c r="L798" s="223"/>
      <c r="M798" s="223"/>
      <c r="N798" s="223"/>
      <c r="O798" s="223"/>
      <c r="P798" s="223"/>
      <c r="Q798" s="223"/>
      <c r="R798" s="223"/>
    </row>
    <row r="799">
      <c r="A799" s="223"/>
      <c r="B799" s="223"/>
      <c r="C799" s="223"/>
      <c r="D799" s="223"/>
      <c r="E799" s="223"/>
      <c r="F799" s="357"/>
      <c r="G799" s="223"/>
      <c r="H799" s="223"/>
      <c r="I799" s="223"/>
      <c r="J799" s="223"/>
      <c r="K799" s="223"/>
      <c r="L799" s="223"/>
      <c r="M799" s="223"/>
      <c r="N799" s="223"/>
      <c r="O799" s="223"/>
      <c r="P799" s="223"/>
      <c r="Q799" s="223"/>
      <c r="R799" s="223"/>
    </row>
    <row r="800">
      <c r="A800" s="223"/>
      <c r="B800" s="223"/>
      <c r="C800" s="223"/>
      <c r="D800" s="223"/>
      <c r="E800" s="223"/>
      <c r="F800" s="357"/>
      <c r="G800" s="223"/>
      <c r="H800" s="223"/>
      <c r="I800" s="223"/>
      <c r="J800" s="223"/>
      <c r="K800" s="223"/>
      <c r="L800" s="223"/>
      <c r="M800" s="223"/>
      <c r="N800" s="223"/>
      <c r="O800" s="223"/>
      <c r="P800" s="223"/>
      <c r="Q800" s="223"/>
      <c r="R800" s="223"/>
    </row>
    <row r="801">
      <c r="A801" s="223"/>
      <c r="B801" s="223"/>
      <c r="C801" s="223"/>
      <c r="D801" s="223"/>
      <c r="E801" s="223"/>
      <c r="F801" s="357"/>
      <c r="G801" s="223"/>
      <c r="H801" s="223"/>
      <c r="I801" s="223"/>
      <c r="J801" s="223"/>
      <c r="K801" s="223"/>
      <c r="L801" s="223"/>
      <c r="M801" s="223"/>
      <c r="N801" s="223"/>
      <c r="O801" s="223"/>
      <c r="P801" s="223"/>
      <c r="Q801" s="223"/>
      <c r="R801" s="223"/>
    </row>
    <row r="802">
      <c r="A802" s="223"/>
      <c r="B802" s="223"/>
      <c r="C802" s="223"/>
      <c r="D802" s="223"/>
      <c r="E802" s="223"/>
      <c r="F802" s="357"/>
      <c r="G802" s="223"/>
      <c r="H802" s="223"/>
      <c r="I802" s="223"/>
      <c r="J802" s="223"/>
      <c r="K802" s="223"/>
      <c r="L802" s="223"/>
      <c r="M802" s="223"/>
      <c r="N802" s="223"/>
      <c r="O802" s="223"/>
      <c r="P802" s="223"/>
      <c r="Q802" s="223"/>
      <c r="R802" s="223"/>
    </row>
    <row r="803">
      <c r="A803" s="223"/>
      <c r="B803" s="223"/>
      <c r="C803" s="223"/>
      <c r="D803" s="223"/>
      <c r="E803" s="223"/>
      <c r="F803" s="357"/>
      <c r="G803" s="223"/>
      <c r="H803" s="223"/>
      <c r="I803" s="223"/>
      <c r="J803" s="223"/>
      <c r="K803" s="223"/>
      <c r="L803" s="223"/>
      <c r="M803" s="223"/>
      <c r="N803" s="223"/>
      <c r="O803" s="223"/>
      <c r="P803" s="223"/>
      <c r="Q803" s="223"/>
      <c r="R803" s="223"/>
    </row>
    <row r="804">
      <c r="A804" s="223"/>
      <c r="B804" s="223"/>
      <c r="C804" s="223"/>
      <c r="D804" s="223"/>
      <c r="E804" s="223"/>
      <c r="F804" s="357"/>
      <c r="G804" s="223"/>
      <c r="H804" s="223"/>
      <c r="I804" s="223"/>
      <c r="J804" s="223"/>
      <c r="K804" s="223"/>
      <c r="L804" s="223"/>
      <c r="M804" s="223"/>
      <c r="N804" s="223"/>
      <c r="O804" s="223"/>
      <c r="P804" s="223"/>
      <c r="Q804" s="223"/>
      <c r="R804" s="223"/>
    </row>
    <row r="805">
      <c r="A805" s="223"/>
      <c r="B805" s="223"/>
      <c r="C805" s="223"/>
      <c r="D805" s="223"/>
      <c r="E805" s="223"/>
      <c r="F805" s="357"/>
      <c r="G805" s="223"/>
      <c r="H805" s="223"/>
      <c r="I805" s="223"/>
      <c r="J805" s="223"/>
      <c r="K805" s="223"/>
      <c r="L805" s="223"/>
      <c r="M805" s="223"/>
      <c r="N805" s="223"/>
      <c r="O805" s="223"/>
      <c r="P805" s="223"/>
      <c r="Q805" s="223"/>
      <c r="R805" s="223"/>
    </row>
    <row r="806">
      <c r="A806" s="223"/>
      <c r="B806" s="223"/>
      <c r="C806" s="223"/>
      <c r="D806" s="223"/>
      <c r="E806" s="223"/>
      <c r="F806" s="357"/>
      <c r="G806" s="223"/>
      <c r="H806" s="223"/>
      <c r="I806" s="223"/>
      <c r="J806" s="223"/>
      <c r="K806" s="223"/>
      <c r="L806" s="223"/>
      <c r="M806" s="223"/>
      <c r="N806" s="223"/>
      <c r="O806" s="223"/>
      <c r="P806" s="223"/>
      <c r="Q806" s="223"/>
      <c r="R806" s="223"/>
    </row>
    <row r="807">
      <c r="A807" s="223"/>
      <c r="B807" s="223"/>
      <c r="C807" s="223"/>
      <c r="D807" s="223"/>
      <c r="E807" s="223"/>
      <c r="F807" s="357"/>
      <c r="G807" s="223"/>
      <c r="H807" s="223"/>
      <c r="I807" s="223"/>
      <c r="J807" s="223"/>
      <c r="K807" s="223"/>
      <c r="L807" s="223"/>
      <c r="M807" s="223"/>
      <c r="N807" s="223"/>
      <c r="O807" s="223"/>
      <c r="P807" s="223"/>
      <c r="Q807" s="223"/>
      <c r="R807" s="223"/>
    </row>
    <row r="808">
      <c r="A808" s="223"/>
      <c r="B808" s="223"/>
      <c r="C808" s="223"/>
      <c r="D808" s="223"/>
      <c r="E808" s="223"/>
      <c r="F808" s="357"/>
      <c r="G808" s="223"/>
      <c r="H808" s="223"/>
      <c r="I808" s="223"/>
      <c r="J808" s="223"/>
      <c r="K808" s="223"/>
      <c r="L808" s="223"/>
      <c r="M808" s="223"/>
      <c r="N808" s="223"/>
      <c r="O808" s="223"/>
      <c r="P808" s="223"/>
      <c r="Q808" s="223"/>
      <c r="R808" s="223"/>
    </row>
    <row r="809">
      <c r="A809" s="223"/>
      <c r="B809" s="223"/>
      <c r="C809" s="223"/>
      <c r="D809" s="223"/>
      <c r="E809" s="223"/>
      <c r="F809" s="357"/>
      <c r="G809" s="223"/>
      <c r="H809" s="223"/>
      <c r="I809" s="223"/>
      <c r="J809" s="223"/>
      <c r="K809" s="223"/>
      <c r="L809" s="223"/>
      <c r="M809" s="223"/>
      <c r="N809" s="223"/>
      <c r="O809" s="223"/>
      <c r="P809" s="223"/>
      <c r="Q809" s="223"/>
      <c r="R809" s="223"/>
    </row>
    <row r="810">
      <c r="A810" s="223"/>
      <c r="B810" s="223"/>
      <c r="C810" s="223"/>
      <c r="D810" s="223"/>
      <c r="E810" s="223"/>
      <c r="F810" s="357"/>
      <c r="G810" s="223"/>
      <c r="H810" s="223"/>
      <c r="I810" s="223"/>
      <c r="J810" s="223"/>
      <c r="K810" s="223"/>
      <c r="L810" s="223"/>
      <c r="M810" s="223"/>
      <c r="N810" s="223"/>
      <c r="O810" s="223"/>
      <c r="P810" s="223"/>
      <c r="Q810" s="223"/>
      <c r="R810" s="223"/>
    </row>
    <row r="811">
      <c r="A811" s="223"/>
      <c r="B811" s="223"/>
      <c r="C811" s="223"/>
      <c r="D811" s="223"/>
      <c r="E811" s="223"/>
      <c r="F811" s="357"/>
      <c r="G811" s="223"/>
      <c r="H811" s="223"/>
      <c r="I811" s="223"/>
      <c r="J811" s="223"/>
      <c r="K811" s="223"/>
      <c r="L811" s="223"/>
      <c r="M811" s="223"/>
      <c r="N811" s="223"/>
      <c r="O811" s="223"/>
      <c r="P811" s="223"/>
      <c r="Q811" s="223"/>
      <c r="R811" s="223"/>
    </row>
    <row r="812">
      <c r="A812" s="223"/>
      <c r="B812" s="223"/>
      <c r="C812" s="223"/>
      <c r="D812" s="223"/>
      <c r="E812" s="223"/>
      <c r="F812" s="357"/>
      <c r="G812" s="223"/>
      <c r="H812" s="223"/>
      <c r="I812" s="223"/>
      <c r="J812" s="223"/>
      <c r="K812" s="223"/>
      <c r="L812" s="223"/>
      <c r="M812" s="223"/>
      <c r="N812" s="223"/>
      <c r="O812" s="223"/>
      <c r="P812" s="223"/>
      <c r="Q812" s="223"/>
      <c r="R812" s="223"/>
    </row>
    <row r="813">
      <c r="A813" s="223"/>
      <c r="B813" s="223"/>
      <c r="C813" s="223"/>
      <c r="D813" s="223"/>
      <c r="E813" s="223"/>
      <c r="F813" s="357"/>
      <c r="G813" s="223"/>
      <c r="H813" s="223"/>
      <c r="I813" s="223"/>
      <c r="J813" s="223"/>
      <c r="K813" s="223"/>
      <c r="L813" s="223"/>
      <c r="M813" s="223"/>
      <c r="N813" s="223"/>
      <c r="O813" s="223"/>
      <c r="P813" s="223"/>
      <c r="Q813" s="223"/>
      <c r="R813" s="223"/>
    </row>
    <row r="814">
      <c r="A814" s="223"/>
      <c r="B814" s="223"/>
      <c r="C814" s="223"/>
      <c r="D814" s="223"/>
      <c r="E814" s="223"/>
      <c r="F814" s="357"/>
      <c r="G814" s="223"/>
      <c r="H814" s="223"/>
      <c r="I814" s="223"/>
      <c r="J814" s="223"/>
      <c r="K814" s="223"/>
      <c r="L814" s="223"/>
      <c r="M814" s="223"/>
      <c r="N814" s="223"/>
      <c r="O814" s="223"/>
      <c r="P814" s="223"/>
      <c r="Q814" s="223"/>
      <c r="R814" s="223"/>
    </row>
    <row r="815">
      <c r="A815" s="223"/>
      <c r="B815" s="223"/>
      <c r="C815" s="223"/>
      <c r="D815" s="223"/>
      <c r="E815" s="223"/>
      <c r="F815" s="357"/>
      <c r="G815" s="223"/>
      <c r="H815" s="223"/>
      <c r="I815" s="223"/>
      <c r="J815" s="223"/>
      <c r="K815" s="223"/>
      <c r="L815" s="223"/>
      <c r="M815" s="223"/>
      <c r="N815" s="223"/>
      <c r="O815" s="223"/>
      <c r="P815" s="223"/>
      <c r="Q815" s="223"/>
      <c r="R815" s="223"/>
    </row>
    <row r="816">
      <c r="A816" s="223"/>
      <c r="B816" s="223"/>
      <c r="C816" s="223"/>
      <c r="D816" s="223"/>
      <c r="E816" s="223"/>
      <c r="F816" s="357"/>
      <c r="G816" s="223"/>
      <c r="H816" s="223"/>
      <c r="I816" s="223"/>
      <c r="J816" s="223"/>
      <c r="K816" s="223"/>
      <c r="L816" s="223"/>
      <c r="M816" s="223"/>
      <c r="N816" s="223"/>
      <c r="O816" s="223"/>
      <c r="P816" s="223"/>
      <c r="Q816" s="223"/>
      <c r="R816" s="223"/>
    </row>
    <row r="817">
      <c r="A817" s="223"/>
      <c r="B817" s="223"/>
      <c r="C817" s="223"/>
      <c r="D817" s="223"/>
      <c r="E817" s="223"/>
      <c r="F817" s="357"/>
      <c r="G817" s="223"/>
      <c r="H817" s="223"/>
      <c r="I817" s="223"/>
      <c r="J817" s="223"/>
      <c r="K817" s="223"/>
      <c r="L817" s="223"/>
      <c r="M817" s="223"/>
      <c r="N817" s="223"/>
      <c r="O817" s="223"/>
      <c r="P817" s="223"/>
      <c r="Q817" s="223"/>
      <c r="R817" s="223"/>
    </row>
    <row r="818">
      <c r="A818" s="223"/>
      <c r="B818" s="223"/>
      <c r="C818" s="223"/>
      <c r="D818" s="223"/>
      <c r="E818" s="223"/>
      <c r="F818" s="357"/>
      <c r="G818" s="223"/>
      <c r="H818" s="223"/>
      <c r="I818" s="223"/>
      <c r="J818" s="223"/>
      <c r="K818" s="223"/>
      <c r="L818" s="223"/>
      <c r="M818" s="223"/>
      <c r="N818" s="223"/>
      <c r="O818" s="223"/>
      <c r="P818" s="223"/>
      <c r="Q818" s="223"/>
      <c r="R818" s="223"/>
    </row>
    <row r="819">
      <c r="A819" s="223"/>
      <c r="B819" s="223"/>
      <c r="C819" s="223"/>
      <c r="D819" s="223"/>
      <c r="E819" s="223"/>
      <c r="F819" s="357"/>
      <c r="G819" s="223"/>
      <c r="H819" s="223"/>
      <c r="I819" s="223"/>
      <c r="J819" s="223"/>
      <c r="K819" s="223"/>
      <c r="L819" s="223"/>
      <c r="M819" s="223"/>
      <c r="N819" s="223"/>
      <c r="O819" s="223"/>
      <c r="P819" s="223"/>
      <c r="Q819" s="223"/>
      <c r="R819" s="223"/>
    </row>
    <row r="820">
      <c r="A820" s="223"/>
      <c r="B820" s="223"/>
      <c r="C820" s="223"/>
      <c r="D820" s="223"/>
      <c r="E820" s="223"/>
      <c r="F820" s="357"/>
      <c r="G820" s="223"/>
      <c r="H820" s="223"/>
      <c r="I820" s="223"/>
      <c r="J820" s="223"/>
      <c r="K820" s="223"/>
      <c r="L820" s="223"/>
      <c r="M820" s="223"/>
      <c r="N820" s="223"/>
      <c r="O820" s="223"/>
      <c r="P820" s="223"/>
      <c r="Q820" s="223"/>
      <c r="R820" s="223"/>
    </row>
    <row r="821">
      <c r="A821" s="223"/>
      <c r="B821" s="223"/>
      <c r="C821" s="223"/>
      <c r="D821" s="223"/>
      <c r="E821" s="223"/>
      <c r="F821" s="357"/>
      <c r="G821" s="223"/>
      <c r="H821" s="223"/>
      <c r="I821" s="223"/>
      <c r="J821" s="223"/>
      <c r="K821" s="223"/>
      <c r="L821" s="223"/>
      <c r="M821" s="223"/>
      <c r="N821" s="223"/>
      <c r="O821" s="223"/>
      <c r="P821" s="223"/>
      <c r="Q821" s="223"/>
      <c r="R821" s="223"/>
    </row>
    <row r="822">
      <c r="A822" s="223"/>
      <c r="B822" s="223"/>
      <c r="C822" s="223"/>
      <c r="D822" s="223"/>
      <c r="E822" s="223"/>
      <c r="F822" s="357"/>
      <c r="G822" s="223"/>
      <c r="H822" s="223"/>
      <c r="I822" s="223"/>
      <c r="J822" s="223"/>
      <c r="K822" s="223"/>
      <c r="L822" s="223"/>
      <c r="M822" s="223"/>
      <c r="N822" s="223"/>
      <c r="O822" s="223"/>
      <c r="P822" s="223"/>
      <c r="Q822" s="223"/>
      <c r="R822" s="223"/>
    </row>
    <row r="823">
      <c r="A823" s="223"/>
      <c r="B823" s="223"/>
      <c r="C823" s="223"/>
      <c r="D823" s="223"/>
      <c r="E823" s="223"/>
      <c r="F823" s="357"/>
      <c r="G823" s="223"/>
      <c r="H823" s="223"/>
      <c r="I823" s="223"/>
      <c r="J823" s="223"/>
      <c r="K823" s="223"/>
      <c r="L823" s="223"/>
      <c r="M823" s="223"/>
      <c r="N823" s="223"/>
      <c r="O823" s="223"/>
      <c r="P823" s="223"/>
      <c r="Q823" s="223"/>
      <c r="R823" s="223"/>
    </row>
    <row r="824">
      <c r="A824" s="223"/>
      <c r="B824" s="223"/>
      <c r="C824" s="223"/>
      <c r="D824" s="223"/>
      <c r="E824" s="223"/>
      <c r="F824" s="357"/>
      <c r="G824" s="223"/>
      <c r="H824" s="223"/>
      <c r="I824" s="223"/>
      <c r="J824" s="223"/>
      <c r="K824" s="223"/>
      <c r="L824" s="223"/>
      <c r="M824" s="223"/>
      <c r="N824" s="223"/>
      <c r="O824" s="223"/>
      <c r="P824" s="223"/>
      <c r="Q824" s="223"/>
      <c r="R824" s="223"/>
    </row>
    <row r="825">
      <c r="A825" s="223"/>
      <c r="B825" s="223"/>
      <c r="C825" s="223"/>
      <c r="D825" s="223"/>
      <c r="E825" s="223"/>
      <c r="F825" s="357"/>
      <c r="G825" s="223"/>
      <c r="H825" s="223"/>
      <c r="I825" s="223"/>
      <c r="J825" s="223"/>
      <c r="K825" s="223"/>
      <c r="L825" s="223"/>
      <c r="M825" s="223"/>
      <c r="N825" s="223"/>
      <c r="O825" s="223"/>
      <c r="P825" s="223"/>
      <c r="Q825" s="223"/>
      <c r="R825" s="223"/>
    </row>
    <row r="826">
      <c r="A826" s="223"/>
      <c r="B826" s="223"/>
      <c r="C826" s="223"/>
      <c r="D826" s="223"/>
      <c r="E826" s="223"/>
      <c r="F826" s="357"/>
      <c r="G826" s="223"/>
      <c r="H826" s="223"/>
      <c r="I826" s="223"/>
      <c r="J826" s="223"/>
      <c r="K826" s="223"/>
      <c r="L826" s="223"/>
      <c r="M826" s="223"/>
      <c r="N826" s="223"/>
      <c r="O826" s="223"/>
      <c r="P826" s="223"/>
      <c r="Q826" s="223"/>
      <c r="R826" s="223"/>
    </row>
    <row r="827">
      <c r="A827" s="223"/>
      <c r="B827" s="223"/>
      <c r="C827" s="223"/>
      <c r="D827" s="223"/>
      <c r="E827" s="223"/>
      <c r="F827" s="357"/>
      <c r="G827" s="223"/>
      <c r="H827" s="223"/>
      <c r="I827" s="223"/>
      <c r="J827" s="223"/>
      <c r="K827" s="223"/>
      <c r="L827" s="223"/>
      <c r="M827" s="223"/>
      <c r="N827" s="223"/>
      <c r="O827" s="223"/>
      <c r="P827" s="223"/>
      <c r="Q827" s="223"/>
      <c r="R827" s="223"/>
    </row>
    <row r="828">
      <c r="A828" s="223"/>
      <c r="B828" s="223"/>
      <c r="C828" s="223"/>
      <c r="D828" s="223"/>
      <c r="E828" s="223"/>
      <c r="F828" s="357"/>
      <c r="G828" s="223"/>
      <c r="H828" s="223"/>
      <c r="I828" s="223"/>
      <c r="J828" s="223"/>
      <c r="K828" s="223"/>
      <c r="L828" s="223"/>
      <c r="M828" s="223"/>
      <c r="N828" s="223"/>
      <c r="O828" s="223"/>
      <c r="P828" s="223"/>
      <c r="Q828" s="223"/>
      <c r="R828" s="223"/>
    </row>
    <row r="829">
      <c r="A829" s="223"/>
      <c r="B829" s="223"/>
      <c r="C829" s="223"/>
      <c r="D829" s="223"/>
      <c r="E829" s="223"/>
      <c r="F829" s="357"/>
      <c r="G829" s="223"/>
      <c r="H829" s="223"/>
      <c r="I829" s="223"/>
      <c r="J829" s="223"/>
      <c r="K829" s="223"/>
      <c r="L829" s="223"/>
      <c r="M829" s="223"/>
      <c r="N829" s="223"/>
      <c r="O829" s="223"/>
      <c r="P829" s="223"/>
      <c r="Q829" s="223"/>
      <c r="R829" s="223"/>
    </row>
    <row r="830">
      <c r="A830" s="223"/>
      <c r="B830" s="223"/>
      <c r="C830" s="223"/>
      <c r="D830" s="223"/>
      <c r="E830" s="223"/>
      <c r="F830" s="357"/>
      <c r="G830" s="223"/>
      <c r="H830" s="223"/>
      <c r="I830" s="223"/>
      <c r="J830" s="223"/>
      <c r="K830" s="223"/>
      <c r="L830" s="223"/>
      <c r="M830" s="223"/>
      <c r="N830" s="223"/>
      <c r="O830" s="223"/>
      <c r="P830" s="223"/>
      <c r="Q830" s="223"/>
      <c r="R830" s="223"/>
    </row>
    <row r="831">
      <c r="A831" s="223"/>
      <c r="B831" s="223"/>
      <c r="C831" s="223"/>
      <c r="D831" s="223"/>
      <c r="E831" s="223"/>
      <c r="F831" s="357"/>
      <c r="G831" s="223"/>
      <c r="H831" s="223"/>
      <c r="I831" s="223"/>
      <c r="J831" s="223"/>
      <c r="K831" s="223"/>
      <c r="L831" s="223"/>
      <c r="M831" s="223"/>
      <c r="N831" s="223"/>
      <c r="O831" s="223"/>
      <c r="P831" s="223"/>
      <c r="Q831" s="223"/>
      <c r="R831" s="223"/>
    </row>
    <row r="832">
      <c r="A832" s="223"/>
      <c r="B832" s="223"/>
      <c r="C832" s="223"/>
      <c r="D832" s="223"/>
      <c r="E832" s="223"/>
      <c r="F832" s="357"/>
      <c r="G832" s="223"/>
      <c r="H832" s="223"/>
      <c r="I832" s="223"/>
      <c r="J832" s="223"/>
      <c r="K832" s="223"/>
      <c r="L832" s="223"/>
      <c r="M832" s="223"/>
      <c r="N832" s="223"/>
      <c r="O832" s="223"/>
      <c r="P832" s="223"/>
      <c r="Q832" s="223"/>
      <c r="R832" s="223"/>
    </row>
    <row r="833">
      <c r="A833" s="223"/>
      <c r="B833" s="223"/>
      <c r="C833" s="223"/>
      <c r="D833" s="223"/>
      <c r="E833" s="223"/>
      <c r="F833" s="357"/>
      <c r="G833" s="223"/>
      <c r="H833" s="223"/>
      <c r="I833" s="223"/>
      <c r="J833" s="223"/>
      <c r="K833" s="223"/>
      <c r="L833" s="223"/>
      <c r="M833" s="223"/>
      <c r="N833" s="223"/>
      <c r="O833" s="223"/>
      <c r="P833" s="223"/>
      <c r="Q833" s="223"/>
      <c r="R833" s="223"/>
    </row>
    <row r="834">
      <c r="A834" s="223"/>
      <c r="B834" s="223"/>
      <c r="C834" s="223"/>
      <c r="D834" s="223"/>
      <c r="E834" s="223"/>
      <c r="F834" s="357"/>
      <c r="G834" s="223"/>
      <c r="H834" s="223"/>
      <c r="I834" s="223"/>
      <c r="J834" s="223"/>
      <c r="K834" s="223"/>
      <c r="L834" s="223"/>
      <c r="M834" s="223"/>
      <c r="N834" s="223"/>
      <c r="O834" s="223"/>
      <c r="P834" s="223"/>
      <c r="Q834" s="223"/>
      <c r="R834" s="223"/>
    </row>
    <row r="835">
      <c r="A835" s="223"/>
      <c r="B835" s="223"/>
      <c r="C835" s="223"/>
      <c r="D835" s="223"/>
      <c r="E835" s="223"/>
      <c r="F835" s="357"/>
      <c r="G835" s="223"/>
      <c r="H835" s="223"/>
      <c r="I835" s="223"/>
      <c r="J835" s="223"/>
      <c r="K835" s="223"/>
      <c r="L835" s="223"/>
      <c r="M835" s="223"/>
      <c r="N835" s="223"/>
      <c r="O835" s="223"/>
      <c r="P835" s="223"/>
      <c r="Q835" s="223"/>
      <c r="R835" s="223"/>
    </row>
    <row r="836">
      <c r="A836" s="223"/>
      <c r="B836" s="223"/>
      <c r="C836" s="223"/>
      <c r="D836" s="223"/>
      <c r="E836" s="223"/>
      <c r="F836" s="357"/>
      <c r="G836" s="223"/>
      <c r="H836" s="223"/>
      <c r="I836" s="223"/>
      <c r="J836" s="223"/>
      <c r="K836" s="223"/>
      <c r="L836" s="223"/>
      <c r="M836" s="223"/>
      <c r="N836" s="223"/>
      <c r="O836" s="223"/>
      <c r="P836" s="223"/>
      <c r="Q836" s="223"/>
      <c r="R836" s="223"/>
    </row>
    <row r="837">
      <c r="A837" s="223"/>
      <c r="B837" s="223"/>
      <c r="C837" s="223"/>
      <c r="D837" s="223"/>
      <c r="E837" s="223"/>
      <c r="F837" s="357"/>
      <c r="G837" s="223"/>
      <c r="H837" s="223"/>
      <c r="I837" s="223"/>
      <c r="J837" s="223"/>
      <c r="K837" s="223"/>
      <c r="L837" s="223"/>
      <c r="M837" s="223"/>
      <c r="N837" s="223"/>
      <c r="O837" s="223"/>
      <c r="P837" s="223"/>
      <c r="Q837" s="223"/>
      <c r="R837" s="223"/>
    </row>
    <row r="838">
      <c r="A838" s="223"/>
      <c r="B838" s="223"/>
      <c r="C838" s="223"/>
      <c r="D838" s="223"/>
      <c r="E838" s="223"/>
      <c r="F838" s="357"/>
      <c r="G838" s="223"/>
      <c r="H838" s="223"/>
      <c r="I838" s="223"/>
      <c r="J838" s="223"/>
      <c r="K838" s="223"/>
      <c r="L838" s="223"/>
      <c r="M838" s="223"/>
      <c r="N838" s="223"/>
      <c r="O838" s="223"/>
      <c r="P838" s="223"/>
      <c r="Q838" s="223"/>
      <c r="R838" s="223"/>
    </row>
    <row r="839">
      <c r="A839" s="223"/>
      <c r="B839" s="223"/>
      <c r="C839" s="223"/>
      <c r="D839" s="223"/>
      <c r="E839" s="223"/>
      <c r="F839" s="357"/>
      <c r="G839" s="223"/>
      <c r="H839" s="223"/>
      <c r="I839" s="223"/>
      <c r="J839" s="223"/>
      <c r="K839" s="223"/>
      <c r="L839" s="223"/>
      <c r="M839" s="223"/>
      <c r="N839" s="223"/>
      <c r="O839" s="223"/>
      <c r="P839" s="223"/>
      <c r="Q839" s="223"/>
      <c r="R839" s="223"/>
    </row>
    <row r="840">
      <c r="A840" s="223"/>
      <c r="B840" s="223"/>
      <c r="C840" s="223"/>
      <c r="D840" s="223"/>
      <c r="E840" s="223"/>
      <c r="F840" s="357"/>
      <c r="G840" s="223"/>
      <c r="H840" s="223"/>
      <c r="I840" s="223"/>
      <c r="J840" s="223"/>
      <c r="K840" s="223"/>
      <c r="L840" s="223"/>
      <c r="M840" s="223"/>
      <c r="N840" s="223"/>
      <c r="O840" s="223"/>
      <c r="P840" s="223"/>
      <c r="Q840" s="223"/>
      <c r="R840" s="223"/>
    </row>
    <row r="841">
      <c r="A841" s="223"/>
      <c r="B841" s="223"/>
      <c r="C841" s="223"/>
      <c r="D841" s="223"/>
      <c r="E841" s="223"/>
      <c r="F841" s="357"/>
      <c r="G841" s="223"/>
      <c r="H841" s="223"/>
      <c r="I841" s="223"/>
      <c r="J841" s="223"/>
      <c r="K841" s="223"/>
      <c r="L841" s="223"/>
      <c r="M841" s="223"/>
      <c r="N841" s="223"/>
      <c r="O841" s="223"/>
      <c r="P841" s="223"/>
      <c r="Q841" s="223"/>
      <c r="R841" s="223"/>
    </row>
    <row r="842">
      <c r="A842" s="223"/>
      <c r="B842" s="223"/>
      <c r="C842" s="223"/>
      <c r="D842" s="223"/>
      <c r="E842" s="223"/>
      <c r="F842" s="357"/>
      <c r="G842" s="223"/>
      <c r="H842" s="223"/>
      <c r="I842" s="223"/>
      <c r="J842" s="223"/>
      <c r="K842" s="223"/>
      <c r="L842" s="223"/>
      <c r="M842" s="223"/>
      <c r="N842" s="223"/>
      <c r="O842" s="223"/>
      <c r="P842" s="223"/>
      <c r="Q842" s="223"/>
      <c r="R842" s="223"/>
    </row>
    <row r="843">
      <c r="A843" s="223"/>
      <c r="B843" s="223"/>
      <c r="C843" s="223"/>
      <c r="D843" s="223"/>
      <c r="E843" s="223"/>
      <c r="F843" s="357"/>
      <c r="G843" s="223"/>
      <c r="H843" s="223"/>
      <c r="I843" s="223"/>
      <c r="J843" s="223"/>
      <c r="K843" s="223"/>
      <c r="L843" s="223"/>
      <c r="M843" s="223"/>
      <c r="N843" s="223"/>
      <c r="O843" s="223"/>
      <c r="P843" s="223"/>
      <c r="Q843" s="223"/>
      <c r="R843" s="223"/>
    </row>
    <row r="844">
      <c r="A844" s="223"/>
      <c r="B844" s="223"/>
      <c r="C844" s="223"/>
      <c r="D844" s="223"/>
      <c r="E844" s="223"/>
      <c r="F844" s="357"/>
      <c r="G844" s="223"/>
      <c r="H844" s="223"/>
      <c r="I844" s="223"/>
      <c r="J844" s="223"/>
      <c r="K844" s="223"/>
      <c r="L844" s="223"/>
      <c r="M844" s="223"/>
      <c r="N844" s="223"/>
      <c r="O844" s="223"/>
      <c r="P844" s="223"/>
      <c r="Q844" s="223"/>
      <c r="R844" s="223"/>
    </row>
    <row r="845">
      <c r="A845" s="223"/>
      <c r="B845" s="223"/>
      <c r="C845" s="223"/>
      <c r="D845" s="223"/>
      <c r="E845" s="223"/>
      <c r="F845" s="357"/>
      <c r="G845" s="223"/>
      <c r="H845" s="223"/>
      <c r="I845" s="223"/>
      <c r="J845" s="223"/>
      <c r="K845" s="223"/>
      <c r="L845" s="223"/>
      <c r="M845" s="223"/>
      <c r="N845" s="223"/>
      <c r="O845" s="223"/>
      <c r="P845" s="223"/>
      <c r="Q845" s="223"/>
      <c r="R845" s="223"/>
    </row>
    <row r="846">
      <c r="A846" s="223"/>
      <c r="B846" s="223"/>
      <c r="C846" s="223"/>
      <c r="D846" s="223"/>
      <c r="E846" s="223"/>
      <c r="F846" s="357"/>
      <c r="G846" s="223"/>
      <c r="H846" s="223"/>
      <c r="I846" s="223"/>
      <c r="J846" s="223"/>
      <c r="K846" s="223"/>
      <c r="L846" s="223"/>
      <c r="M846" s="223"/>
      <c r="N846" s="223"/>
      <c r="O846" s="223"/>
      <c r="P846" s="223"/>
      <c r="Q846" s="223"/>
      <c r="R846" s="223"/>
    </row>
    <row r="847">
      <c r="A847" s="223"/>
      <c r="B847" s="223"/>
      <c r="C847" s="223"/>
      <c r="D847" s="223"/>
      <c r="E847" s="223"/>
      <c r="F847" s="357"/>
      <c r="G847" s="223"/>
      <c r="H847" s="223"/>
      <c r="I847" s="223"/>
      <c r="J847" s="223"/>
      <c r="K847" s="223"/>
      <c r="L847" s="223"/>
      <c r="M847" s="223"/>
      <c r="N847" s="223"/>
      <c r="O847" s="223"/>
      <c r="P847" s="223"/>
      <c r="Q847" s="223"/>
      <c r="R847" s="223"/>
    </row>
    <row r="848">
      <c r="A848" s="223"/>
      <c r="B848" s="223"/>
      <c r="C848" s="223"/>
      <c r="D848" s="223"/>
      <c r="E848" s="223"/>
      <c r="F848" s="357"/>
      <c r="G848" s="223"/>
      <c r="H848" s="223"/>
      <c r="I848" s="223"/>
      <c r="J848" s="223"/>
      <c r="K848" s="223"/>
      <c r="L848" s="223"/>
      <c r="M848" s="223"/>
      <c r="N848" s="223"/>
      <c r="O848" s="223"/>
      <c r="P848" s="223"/>
      <c r="Q848" s="223"/>
      <c r="R848" s="223"/>
    </row>
    <row r="849">
      <c r="A849" s="223"/>
      <c r="B849" s="223"/>
      <c r="C849" s="223"/>
      <c r="D849" s="223"/>
      <c r="E849" s="223"/>
      <c r="F849" s="357"/>
      <c r="G849" s="223"/>
      <c r="H849" s="223"/>
      <c r="I849" s="223"/>
      <c r="J849" s="223"/>
      <c r="K849" s="223"/>
      <c r="L849" s="223"/>
      <c r="M849" s="223"/>
      <c r="N849" s="223"/>
      <c r="O849" s="223"/>
      <c r="P849" s="223"/>
      <c r="Q849" s="223"/>
      <c r="R849" s="223"/>
    </row>
    <row r="850">
      <c r="A850" s="223"/>
      <c r="B850" s="223"/>
      <c r="C850" s="223"/>
      <c r="D850" s="223"/>
      <c r="E850" s="223"/>
      <c r="F850" s="357"/>
      <c r="G850" s="223"/>
      <c r="H850" s="223"/>
      <c r="I850" s="223"/>
      <c r="J850" s="223"/>
      <c r="K850" s="223"/>
      <c r="L850" s="223"/>
      <c r="M850" s="223"/>
      <c r="N850" s="223"/>
      <c r="O850" s="223"/>
      <c r="P850" s="223"/>
      <c r="Q850" s="223"/>
      <c r="R850" s="223"/>
    </row>
    <row r="851">
      <c r="A851" s="223"/>
      <c r="B851" s="223"/>
      <c r="C851" s="223"/>
      <c r="D851" s="223"/>
      <c r="E851" s="223"/>
      <c r="F851" s="357"/>
      <c r="G851" s="223"/>
      <c r="H851" s="223"/>
      <c r="I851" s="223"/>
      <c r="J851" s="223"/>
      <c r="K851" s="223"/>
      <c r="L851" s="223"/>
      <c r="M851" s="223"/>
      <c r="N851" s="223"/>
      <c r="O851" s="223"/>
      <c r="P851" s="223"/>
      <c r="Q851" s="223"/>
      <c r="R851" s="223"/>
    </row>
    <row r="852">
      <c r="A852" s="223"/>
      <c r="B852" s="223"/>
      <c r="C852" s="223"/>
      <c r="D852" s="223"/>
      <c r="E852" s="223"/>
      <c r="F852" s="357"/>
      <c r="G852" s="223"/>
      <c r="H852" s="223"/>
      <c r="I852" s="223"/>
      <c r="J852" s="223"/>
      <c r="K852" s="223"/>
      <c r="L852" s="223"/>
      <c r="M852" s="223"/>
      <c r="N852" s="223"/>
      <c r="O852" s="223"/>
      <c r="P852" s="223"/>
      <c r="Q852" s="223"/>
      <c r="R852" s="223"/>
    </row>
    <row r="853">
      <c r="A853" s="223"/>
      <c r="B853" s="223"/>
      <c r="C853" s="223"/>
      <c r="D853" s="223"/>
      <c r="E853" s="223"/>
      <c r="F853" s="357"/>
      <c r="G853" s="223"/>
      <c r="H853" s="223"/>
      <c r="I853" s="223"/>
      <c r="J853" s="223"/>
      <c r="K853" s="223"/>
      <c r="L853" s="223"/>
      <c r="M853" s="223"/>
      <c r="N853" s="223"/>
      <c r="O853" s="223"/>
      <c r="P853" s="223"/>
      <c r="Q853" s="223"/>
      <c r="R853" s="223"/>
    </row>
    <row r="854">
      <c r="A854" s="223"/>
      <c r="B854" s="223"/>
      <c r="C854" s="223"/>
      <c r="D854" s="223"/>
      <c r="E854" s="223"/>
      <c r="F854" s="357"/>
      <c r="G854" s="223"/>
      <c r="H854" s="223"/>
      <c r="I854" s="223"/>
      <c r="J854" s="223"/>
      <c r="K854" s="223"/>
      <c r="L854" s="223"/>
      <c r="M854" s="223"/>
      <c r="N854" s="223"/>
      <c r="O854" s="223"/>
      <c r="P854" s="223"/>
      <c r="Q854" s="223"/>
      <c r="R854" s="223"/>
    </row>
    <row r="855">
      <c r="A855" s="223"/>
      <c r="B855" s="223"/>
      <c r="C855" s="223"/>
      <c r="D855" s="223"/>
      <c r="E855" s="223"/>
      <c r="F855" s="357"/>
      <c r="G855" s="223"/>
      <c r="H855" s="223"/>
      <c r="I855" s="223"/>
      <c r="J855" s="223"/>
      <c r="K855" s="223"/>
      <c r="L855" s="223"/>
      <c r="M855" s="223"/>
      <c r="N855" s="223"/>
      <c r="O855" s="223"/>
      <c r="P855" s="223"/>
      <c r="Q855" s="223"/>
      <c r="R855" s="223"/>
    </row>
    <row r="856">
      <c r="A856" s="223"/>
      <c r="B856" s="223"/>
      <c r="C856" s="223"/>
      <c r="D856" s="223"/>
      <c r="E856" s="223"/>
      <c r="F856" s="357"/>
      <c r="G856" s="223"/>
      <c r="H856" s="223"/>
      <c r="I856" s="223"/>
      <c r="J856" s="223"/>
      <c r="K856" s="223"/>
      <c r="L856" s="223"/>
      <c r="M856" s="223"/>
      <c r="N856" s="223"/>
      <c r="O856" s="223"/>
      <c r="P856" s="223"/>
      <c r="Q856" s="223"/>
      <c r="R856" s="223"/>
    </row>
    <row r="857">
      <c r="A857" s="223"/>
      <c r="B857" s="223"/>
      <c r="C857" s="223"/>
      <c r="D857" s="223"/>
      <c r="E857" s="223"/>
      <c r="F857" s="357"/>
      <c r="G857" s="223"/>
      <c r="H857" s="223"/>
      <c r="I857" s="223"/>
      <c r="J857" s="223"/>
      <c r="K857" s="223"/>
      <c r="L857" s="223"/>
      <c r="M857" s="223"/>
      <c r="N857" s="223"/>
      <c r="O857" s="223"/>
      <c r="P857" s="223"/>
      <c r="Q857" s="223"/>
      <c r="R857" s="223"/>
    </row>
    <row r="858">
      <c r="A858" s="223"/>
      <c r="B858" s="223"/>
      <c r="C858" s="223"/>
      <c r="D858" s="223"/>
      <c r="E858" s="223"/>
      <c r="F858" s="357"/>
      <c r="G858" s="223"/>
      <c r="H858" s="223"/>
      <c r="I858" s="223"/>
      <c r="J858" s="223"/>
      <c r="K858" s="223"/>
      <c r="L858" s="223"/>
      <c r="M858" s="223"/>
      <c r="N858" s="223"/>
      <c r="O858" s="223"/>
      <c r="P858" s="223"/>
      <c r="Q858" s="223"/>
      <c r="R858" s="223"/>
    </row>
    <row r="859">
      <c r="A859" s="223"/>
      <c r="B859" s="223"/>
      <c r="C859" s="223"/>
      <c r="D859" s="223"/>
      <c r="E859" s="223"/>
      <c r="F859" s="357"/>
      <c r="G859" s="223"/>
      <c r="H859" s="223"/>
      <c r="I859" s="223"/>
      <c r="J859" s="223"/>
      <c r="K859" s="223"/>
      <c r="L859" s="223"/>
      <c r="M859" s="223"/>
      <c r="N859" s="223"/>
      <c r="O859" s="223"/>
      <c r="P859" s="223"/>
      <c r="Q859" s="223"/>
      <c r="R859" s="223"/>
    </row>
    <row r="860">
      <c r="A860" s="223"/>
      <c r="B860" s="223"/>
      <c r="C860" s="223"/>
      <c r="D860" s="223"/>
      <c r="E860" s="223"/>
      <c r="F860" s="357"/>
      <c r="G860" s="223"/>
      <c r="H860" s="223"/>
      <c r="I860" s="223"/>
      <c r="J860" s="223"/>
      <c r="K860" s="223"/>
      <c r="L860" s="223"/>
      <c r="M860" s="223"/>
      <c r="N860" s="223"/>
      <c r="O860" s="223"/>
      <c r="P860" s="223"/>
      <c r="Q860" s="223"/>
      <c r="R860" s="223"/>
    </row>
    <row r="861">
      <c r="A861" s="223"/>
      <c r="B861" s="223"/>
      <c r="C861" s="223"/>
      <c r="D861" s="223"/>
      <c r="E861" s="223"/>
      <c r="F861" s="357"/>
      <c r="G861" s="223"/>
      <c r="H861" s="223"/>
      <c r="I861" s="223"/>
      <c r="J861" s="223"/>
      <c r="K861" s="223"/>
      <c r="L861" s="223"/>
      <c r="M861" s="223"/>
      <c r="N861" s="223"/>
      <c r="O861" s="223"/>
      <c r="P861" s="223"/>
      <c r="Q861" s="223"/>
      <c r="R861" s="223"/>
    </row>
    <row r="862">
      <c r="A862" s="223"/>
      <c r="B862" s="223"/>
      <c r="C862" s="223"/>
      <c r="D862" s="223"/>
      <c r="E862" s="223"/>
      <c r="F862" s="357"/>
      <c r="G862" s="223"/>
      <c r="H862" s="223"/>
      <c r="I862" s="223"/>
      <c r="J862" s="223"/>
      <c r="K862" s="223"/>
      <c r="L862" s="223"/>
      <c r="M862" s="223"/>
      <c r="N862" s="223"/>
      <c r="O862" s="223"/>
      <c r="P862" s="223"/>
      <c r="Q862" s="223"/>
      <c r="R862" s="223"/>
    </row>
    <row r="863">
      <c r="A863" s="223"/>
      <c r="B863" s="223"/>
      <c r="C863" s="223"/>
      <c r="D863" s="223"/>
      <c r="E863" s="223"/>
      <c r="F863" s="357"/>
      <c r="G863" s="223"/>
      <c r="H863" s="223"/>
      <c r="I863" s="223"/>
      <c r="J863" s="223"/>
      <c r="K863" s="223"/>
      <c r="L863" s="223"/>
      <c r="M863" s="223"/>
      <c r="N863" s="223"/>
      <c r="O863" s="223"/>
      <c r="P863" s="223"/>
      <c r="Q863" s="223"/>
      <c r="R863" s="223"/>
    </row>
    <row r="864">
      <c r="A864" s="223"/>
      <c r="B864" s="223"/>
      <c r="C864" s="223"/>
      <c r="D864" s="223"/>
      <c r="E864" s="223"/>
      <c r="F864" s="357"/>
      <c r="G864" s="223"/>
      <c r="H864" s="223"/>
      <c r="I864" s="223"/>
      <c r="J864" s="223"/>
      <c r="K864" s="223"/>
      <c r="L864" s="223"/>
      <c r="M864" s="223"/>
      <c r="N864" s="223"/>
      <c r="O864" s="223"/>
      <c r="P864" s="223"/>
      <c r="Q864" s="223"/>
      <c r="R864" s="223"/>
    </row>
    <row r="865">
      <c r="A865" s="223"/>
      <c r="B865" s="223"/>
      <c r="C865" s="223"/>
      <c r="D865" s="223"/>
      <c r="E865" s="223"/>
      <c r="F865" s="357"/>
      <c r="G865" s="223"/>
      <c r="H865" s="223"/>
      <c r="I865" s="223"/>
      <c r="J865" s="223"/>
      <c r="K865" s="223"/>
      <c r="L865" s="223"/>
      <c r="M865" s="223"/>
      <c r="N865" s="223"/>
      <c r="O865" s="223"/>
      <c r="P865" s="223"/>
      <c r="Q865" s="223"/>
      <c r="R865" s="223"/>
    </row>
    <row r="866">
      <c r="A866" s="223"/>
      <c r="B866" s="223"/>
      <c r="C866" s="223"/>
      <c r="D866" s="223"/>
      <c r="E866" s="223"/>
      <c r="F866" s="357"/>
      <c r="G866" s="223"/>
      <c r="H866" s="223"/>
      <c r="I866" s="223"/>
      <c r="J866" s="223"/>
      <c r="K866" s="223"/>
      <c r="L866" s="223"/>
      <c r="M866" s="223"/>
      <c r="N866" s="223"/>
      <c r="O866" s="223"/>
      <c r="P866" s="223"/>
      <c r="Q866" s="223"/>
      <c r="R866" s="223"/>
    </row>
    <row r="867">
      <c r="A867" s="223"/>
      <c r="B867" s="223"/>
      <c r="C867" s="223"/>
      <c r="D867" s="223"/>
      <c r="E867" s="223"/>
      <c r="F867" s="357"/>
      <c r="G867" s="223"/>
      <c r="H867" s="223"/>
      <c r="I867" s="223"/>
      <c r="J867" s="223"/>
      <c r="K867" s="223"/>
      <c r="L867" s="223"/>
      <c r="M867" s="223"/>
      <c r="N867" s="223"/>
      <c r="O867" s="223"/>
      <c r="P867" s="223"/>
      <c r="Q867" s="223"/>
      <c r="R867" s="223"/>
    </row>
    <row r="868">
      <c r="A868" s="223"/>
      <c r="B868" s="223"/>
      <c r="C868" s="223"/>
      <c r="D868" s="223"/>
      <c r="E868" s="223"/>
      <c r="F868" s="357"/>
      <c r="G868" s="223"/>
      <c r="H868" s="223"/>
      <c r="I868" s="223"/>
      <c r="J868" s="223"/>
      <c r="K868" s="223"/>
      <c r="L868" s="223"/>
      <c r="M868" s="223"/>
      <c r="N868" s="223"/>
      <c r="O868" s="223"/>
      <c r="P868" s="223"/>
      <c r="Q868" s="223"/>
      <c r="R868" s="223"/>
    </row>
    <row r="869">
      <c r="A869" s="223"/>
      <c r="B869" s="223"/>
      <c r="C869" s="223"/>
      <c r="D869" s="223"/>
      <c r="E869" s="223"/>
      <c r="F869" s="357"/>
      <c r="G869" s="223"/>
      <c r="H869" s="223"/>
      <c r="I869" s="223"/>
      <c r="J869" s="223"/>
      <c r="K869" s="223"/>
      <c r="L869" s="223"/>
      <c r="M869" s="223"/>
      <c r="N869" s="223"/>
      <c r="O869" s="223"/>
      <c r="P869" s="223"/>
      <c r="Q869" s="223"/>
      <c r="R869" s="223"/>
    </row>
    <row r="870">
      <c r="A870" s="223"/>
      <c r="B870" s="223"/>
      <c r="C870" s="223"/>
      <c r="D870" s="223"/>
      <c r="E870" s="223"/>
      <c r="F870" s="357"/>
      <c r="G870" s="223"/>
      <c r="H870" s="223"/>
      <c r="I870" s="223"/>
      <c r="J870" s="223"/>
      <c r="K870" s="223"/>
      <c r="L870" s="223"/>
      <c r="M870" s="223"/>
      <c r="N870" s="223"/>
      <c r="O870" s="223"/>
      <c r="P870" s="223"/>
      <c r="Q870" s="223"/>
      <c r="R870" s="223"/>
    </row>
    <row r="871">
      <c r="A871" s="223"/>
      <c r="B871" s="223"/>
      <c r="C871" s="223"/>
      <c r="D871" s="223"/>
      <c r="E871" s="223"/>
      <c r="F871" s="357"/>
      <c r="G871" s="223"/>
      <c r="H871" s="223"/>
      <c r="I871" s="223"/>
      <c r="J871" s="223"/>
      <c r="K871" s="223"/>
      <c r="L871" s="223"/>
      <c r="M871" s="223"/>
      <c r="N871" s="223"/>
      <c r="O871" s="223"/>
      <c r="P871" s="223"/>
      <c r="Q871" s="223"/>
      <c r="R871" s="223"/>
    </row>
    <row r="872">
      <c r="A872" s="223"/>
      <c r="B872" s="223"/>
      <c r="C872" s="223"/>
      <c r="D872" s="223"/>
      <c r="E872" s="223"/>
      <c r="F872" s="357"/>
      <c r="G872" s="223"/>
      <c r="H872" s="223"/>
      <c r="I872" s="223"/>
      <c r="J872" s="223"/>
      <c r="K872" s="223"/>
      <c r="L872" s="223"/>
      <c r="M872" s="223"/>
      <c r="N872" s="223"/>
      <c r="O872" s="223"/>
      <c r="P872" s="223"/>
      <c r="Q872" s="223"/>
      <c r="R872" s="223"/>
    </row>
    <row r="873">
      <c r="A873" s="223"/>
      <c r="B873" s="223"/>
      <c r="C873" s="223"/>
      <c r="D873" s="223"/>
      <c r="E873" s="223"/>
      <c r="F873" s="357"/>
      <c r="G873" s="223"/>
      <c r="H873" s="223"/>
      <c r="I873" s="223"/>
      <c r="J873" s="223"/>
      <c r="K873" s="223"/>
      <c r="L873" s="223"/>
      <c r="M873" s="223"/>
      <c r="N873" s="223"/>
      <c r="O873" s="223"/>
      <c r="P873" s="223"/>
      <c r="Q873" s="223"/>
      <c r="R873" s="223"/>
    </row>
    <row r="874">
      <c r="A874" s="223"/>
      <c r="B874" s="223"/>
      <c r="C874" s="223"/>
      <c r="D874" s="223"/>
      <c r="E874" s="223"/>
      <c r="F874" s="357"/>
      <c r="G874" s="223"/>
      <c r="H874" s="223"/>
      <c r="I874" s="223"/>
      <c r="J874" s="223"/>
      <c r="K874" s="223"/>
      <c r="L874" s="223"/>
      <c r="M874" s="223"/>
      <c r="N874" s="223"/>
      <c r="O874" s="223"/>
      <c r="P874" s="223"/>
      <c r="Q874" s="223"/>
      <c r="R874" s="223"/>
    </row>
    <row r="875">
      <c r="A875" s="223"/>
      <c r="B875" s="223"/>
      <c r="C875" s="223"/>
      <c r="D875" s="223"/>
      <c r="E875" s="223"/>
      <c r="F875" s="357"/>
      <c r="G875" s="223"/>
      <c r="H875" s="223"/>
      <c r="I875" s="223"/>
      <c r="J875" s="223"/>
      <c r="K875" s="223"/>
      <c r="L875" s="223"/>
      <c r="M875" s="223"/>
      <c r="N875" s="223"/>
      <c r="O875" s="223"/>
      <c r="P875" s="223"/>
      <c r="Q875" s="223"/>
      <c r="R875" s="223"/>
    </row>
    <row r="876">
      <c r="A876" s="223"/>
      <c r="B876" s="223"/>
      <c r="C876" s="223"/>
      <c r="D876" s="223"/>
      <c r="E876" s="223"/>
      <c r="F876" s="357"/>
      <c r="G876" s="223"/>
      <c r="H876" s="223"/>
      <c r="I876" s="223"/>
      <c r="J876" s="223"/>
      <c r="K876" s="223"/>
      <c r="L876" s="223"/>
      <c r="M876" s="223"/>
      <c r="N876" s="223"/>
      <c r="O876" s="223"/>
      <c r="P876" s="223"/>
      <c r="Q876" s="223"/>
      <c r="R876" s="223"/>
    </row>
    <row r="877">
      <c r="A877" s="223"/>
      <c r="B877" s="223"/>
      <c r="C877" s="223"/>
      <c r="D877" s="223"/>
      <c r="E877" s="223"/>
      <c r="F877" s="357"/>
      <c r="G877" s="223"/>
      <c r="H877" s="223"/>
      <c r="I877" s="223"/>
      <c r="J877" s="223"/>
      <c r="K877" s="223"/>
      <c r="L877" s="223"/>
      <c r="M877" s="223"/>
      <c r="N877" s="223"/>
      <c r="O877" s="223"/>
      <c r="P877" s="223"/>
      <c r="Q877" s="223"/>
      <c r="R877" s="223"/>
    </row>
    <row r="878">
      <c r="A878" s="223"/>
      <c r="B878" s="223"/>
      <c r="C878" s="223"/>
      <c r="D878" s="223"/>
      <c r="E878" s="223"/>
      <c r="F878" s="357"/>
      <c r="G878" s="223"/>
      <c r="H878" s="223"/>
      <c r="I878" s="223"/>
      <c r="J878" s="223"/>
      <c r="K878" s="223"/>
      <c r="L878" s="223"/>
      <c r="M878" s="223"/>
      <c r="N878" s="223"/>
      <c r="O878" s="223"/>
      <c r="P878" s="223"/>
      <c r="Q878" s="223"/>
      <c r="R878" s="223"/>
    </row>
    <row r="879">
      <c r="A879" s="223"/>
      <c r="B879" s="223"/>
      <c r="C879" s="223"/>
      <c r="D879" s="223"/>
      <c r="E879" s="223"/>
      <c r="F879" s="357"/>
      <c r="G879" s="223"/>
      <c r="H879" s="223"/>
      <c r="I879" s="223"/>
      <c r="J879" s="223"/>
      <c r="K879" s="223"/>
      <c r="L879" s="223"/>
      <c r="M879" s="223"/>
      <c r="N879" s="223"/>
      <c r="O879" s="223"/>
      <c r="P879" s="223"/>
      <c r="Q879" s="223"/>
      <c r="R879" s="223"/>
    </row>
    <row r="880">
      <c r="A880" s="223"/>
      <c r="B880" s="223"/>
      <c r="C880" s="223"/>
      <c r="D880" s="223"/>
      <c r="E880" s="223"/>
      <c r="F880" s="357"/>
      <c r="G880" s="223"/>
      <c r="H880" s="223"/>
      <c r="I880" s="223"/>
      <c r="J880" s="223"/>
      <c r="K880" s="223"/>
      <c r="L880" s="223"/>
      <c r="M880" s="223"/>
      <c r="N880" s="223"/>
      <c r="O880" s="223"/>
      <c r="P880" s="223"/>
      <c r="Q880" s="223"/>
      <c r="R880" s="223"/>
    </row>
    <row r="881">
      <c r="A881" s="223"/>
      <c r="B881" s="223"/>
      <c r="C881" s="223"/>
      <c r="D881" s="223"/>
      <c r="E881" s="223"/>
      <c r="F881" s="357"/>
      <c r="G881" s="223"/>
      <c r="H881" s="223"/>
      <c r="I881" s="223"/>
      <c r="J881" s="223"/>
      <c r="K881" s="223"/>
      <c r="L881" s="223"/>
      <c r="M881" s="223"/>
      <c r="N881" s="223"/>
      <c r="O881" s="223"/>
      <c r="P881" s="223"/>
      <c r="Q881" s="223"/>
      <c r="R881" s="223"/>
    </row>
    <row r="882">
      <c r="A882" s="223"/>
      <c r="B882" s="223"/>
      <c r="C882" s="223"/>
      <c r="D882" s="223"/>
      <c r="E882" s="223"/>
      <c r="F882" s="357"/>
      <c r="G882" s="223"/>
      <c r="H882" s="223"/>
      <c r="I882" s="223"/>
      <c r="J882" s="223"/>
      <c r="K882" s="223"/>
      <c r="L882" s="223"/>
      <c r="M882" s="223"/>
      <c r="N882" s="223"/>
      <c r="O882" s="223"/>
      <c r="P882" s="223"/>
      <c r="Q882" s="223"/>
      <c r="R882" s="223"/>
    </row>
    <row r="883">
      <c r="A883" s="223"/>
      <c r="B883" s="223"/>
      <c r="C883" s="223"/>
      <c r="D883" s="223"/>
      <c r="E883" s="223"/>
      <c r="F883" s="357"/>
      <c r="G883" s="223"/>
      <c r="H883" s="223"/>
      <c r="I883" s="223"/>
      <c r="J883" s="223"/>
      <c r="K883" s="223"/>
      <c r="L883" s="223"/>
      <c r="M883" s="223"/>
      <c r="N883" s="223"/>
      <c r="O883" s="223"/>
      <c r="P883" s="223"/>
      <c r="Q883" s="223"/>
      <c r="R883" s="223"/>
    </row>
    <row r="884">
      <c r="A884" s="223"/>
      <c r="B884" s="223"/>
      <c r="C884" s="223"/>
      <c r="D884" s="223"/>
      <c r="E884" s="223"/>
      <c r="F884" s="357"/>
      <c r="G884" s="223"/>
      <c r="H884" s="223"/>
      <c r="I884" s="223"/>
      <c r="J884" s="223"/>
      <c r="K884" s="223"/>
      <c r="L884" s="223"/>
      <c r="M884" s="223"/>
      <c r="N884" s="223"/>
      <c r="O884" s="223"/>
      <c r="P884" s="223"/>
      <c r="Q884" s="223"/>
      <c r="R884" s="223"/>
    </row>
    <row r="885">
      <c r="A885" s="223"/>
      <c r="B885" s="223"/>
      <c r="C885" s="223"/>
      <c r="D885" s="223"/>
      <c r="E885" s="223"/>
      <c r="F885" s="357"/>
      <c r="G885" s="223"/>
      <c r="H885" s="223"/>
      <c r="I885" s="223"/>
      <c r="J885" s="223"/>
      <c r="K885" s="223"/>
      <c r="L885" s="223"/>
      <c r="M885" s="223"/>
      <c r="N885" s="223"/>
      <c r="O885" s="223"/>
      <c r="P885" s="223"/>
      <c r="Q885" s="223"/>
      <c r="R885" s="223"/>
    </row>
    <row r="886">
      <c r="A886" s="223"/>
      <c r="B886" s="223"/>
      <c r="C886" s="223"/>
      <c r="D886" s="223"/>
      <c r="E886" s="223"/>
      <c r="F886" s="357"/>
      <c r="G886" s="223"/>
      <c r="H886" s="223"/>
      <c r="I886" s="223"/>
      <c r="J886" s="223"/>
      <c r="K886" s="223"/>
      <c r="L886" s="223"/>
      <c r="M886" s="223"/>
      <c r="N886" s="223"/>
      <c r="O886" s="223"/>
      <c r="P886" s="223"/>
      <c r="Q886" s="223"/>
      <c r="R886" s="223"/>
    </row>
    <row r="887">
      <c r="A887" s="223"/>
      <c r="B887" s="223"/>
      <c r="C887" s="223"/>
      <c r="D887" s="223"/>
      <c r="E887" s="223"/>
      <c r="F887" s="357"/>
      <c r="G887" s="223"/>
      <c r="H887" s="223"/>
      <c r="I887" s="223"/>
      <c r="J887" s="223"/>
      <c r="K887" s="223"/>
      <c r="L887" s="223"/>
      <c r="M887" s="223"/>
      <c r="N887" s="223"/>
      <c r="O887" s="223"/>
      <c r="P887" s="223"/>
      <c r="Q887" s="223"/>
      <c r="R887" s="223"/>
    </row>
    <row r="888">
      <c r="A888" s="223"/>
      <c r="B888" s="223"/>
      <c r="C888" s="223"/>
      <c r="D888" s="223"/>
      <c r="E888" s="223"/>
      <c r="F888" s="357"/>
      <c r="G888" s="223"/>
      <c r="H888" s="223"/>
      <c r="I888" s="223"/>
      <c r="J888" s="223"/>
      <c r="K888" s="223"/>
      <c r="L888" s="223"/>
      <c r="M888" s="223"/>
      <c r="N888" s="223"/>
      <c r="O888" s="223"/>
      <c r="P888" s="223"/>
      <c r="Q888" s="223"/>
      <c r="R888" s="223"/>
    </row>
    <row r="889">
      <c r="A889" s="223"/>
      <c r="B889" s="223"/>
      <c r="C889" s="223"/>
      <c r="D889" s="223"/>
      <c r="E889" s="223"/>
      <c r="F889" s="357"/>
      <c r="G889" s="223"/>
      <c r="H889" s="223"/>
      <c r="I889" s="223"/>
      <c r="J889" s="223"/>
      <c r="K889" s="223"/>
      <c r="L889" s="223"/>
      <c r="M889" s="223"/>
      <c r="N889" s="223"/>
      <c r="O889" s="223"/>
      <c r="P889" s="223"/>
      <c r="Q889" s="223"/>
      <c r="R889" s="223"/>
    </row>
    <row r="890">
      <c r="A890" s="223"/>
      <c r="B890" s="223"/>
      <c r="C890" s="223"/>
      <c r="D890" s="223"/>
      <c r="E890" s="223"/>
      <c r="F890" s="357"/>
      <c r="G890" s="223"/>
      <c r="H890" s="223"/>
      <c r="I890" s="223"/>
      <c r="J890" s="223"/>
      <c r="K890" s="223"/>
      <c r="L890" s="223"/>
      <c r="M890" s="223"/>
      <c r="N890" s="223"/>
      <c r="O890" s="223"/>
      <c r="P890" s="223"/>
      <c r="Q890" s="223"/>
      <c r="R890" s="223"/>
    </row>
    <row r="891">
      <c r="A891" s="223"/>
      <c r="B891" s="223"/>
      <c r="C891" s="223"/>
      <c r="D891" s="223"/>
      <c r="E891" s="223"/>
      <c r="F891" s="357"/>
      <c r="G891" s="223"/>
      <c r="H891" s="223"/>
      <c r="I891" s="223"/>
      <c r="J891" s="223"/>
      <c r="K891" s="223"/>
      <c r="L891" s="223"/>
      <c r="M891" s="223"/>
      <c r="N891" s="223"/>
      <c r="O891" s="223"/>
      <c r="P891" s="223"/>
      <c r="Q891" s="223"/>
      <c r="R891" s="223"/>
    </row>
    <row r="892">
      <c r="A892" s="223"/>
      <c r="B892" s="223"/>
      <c r="C892" s="223"/>
      <c r="D892" s="223"/>
      <c r="E892" s="223"/>
      <c r="F892" s="357"/>
      <c r="G892" s="223"/>
      <c r="H892" s="223"/>
      <c r="I892" s="223"/>
      <c r="J892" s="223"/>
      <c r="K892" s="223"/>
      <c r="L892" s="223"/>
      <c r="M892" s="223"/>
      <c r="N892" s="223"/>
      <c r="O892" s="223"/>
      <c r="P892" s="223"/>
      <c r="Q892" s="223"/>
      <c r="R892" s="223"/>
    </row>
    <row r="893">
      <c r="A893" s="223"/>
      <c r="B893" s="223"/>
      <c r="C893" s="223"/>
      <c r="D893" s="223"/>
      <c r="E893" s="223"/>
      <c r="F893" s="357"/>
      <c r="G893" s="223"/>
      <c r="H893" s="223"/>
      <c r="I893" s="223"/>
      <c r="J893" s="223"/>
      <c r="K893" s="223"/>
      <c r="L893" s="223"/>
      <c r="M893" s="223"/>
      <c r="N893" s="223"/>
      <c r="O893" s="223"/>
      <c r="P893" s="223"/>
      <c r="Q893" s="223"/>
      <c r="R893" s="223"/>
    </row>
    <row r="894">
      <c r="A894" s="223"/>
      <c r="B894" s="223"/>
      <c r="C894" s="223"/>
      <c r="D894" s="223"/>
      <c r="E894" s="223"/>
      <c r="F894" s="357"/>
      <c r="G894" s="223"/>
      <c r="H894" s="223"/>
      <c r="I894" s="223"/>
      <c r="J894" s="223"/>
      <c r="K894" s="223"/>
      <c r="L894" s="223"/>
      <c r="M894" s="223"/>
      <c r="N894" s="223"/>
      <c r="O894" s="223"/>
      <c r="P894" s="223"/>
      <c r="Q894" s="223"/>
      <c r="R894" s="223"/>
    </row>
    <row r="895">
      <c r="A895" s="223"/>
      <c r="B895" s="223"/>
      <c r="C895" s="223"/>
      <c r="D895" s="223"/>
      <c r="E895" s="223"/>
      <c r="F895" s="357"/>
      <c r="G895" s="223"/>
      <c r="H895" s="223"/>
      <c r="I895" s="223"/>
      <c r="J895" s="223"/>
      <c r="K895" s="223"/>
      <c r="L895" s="223"/>
      <c r="M895" s="223"/>
      <c r="N895" s="223"/>
      <c r="O895" s="223"/>
      <c r="P895" s="223"/>
      <c r="Q895" s="223"/>
      <c r="R895" s="223"/>
    </row>
    <row r="896">
      <c r="A896" s="223"/>
      <c r="B896" s="223"/>
      <c r="C896" s="223"/>
      <c r="D896" s="223"/>
      <c r="E896" s="223"/>
      <c r="F896" s="357"/>
      <c r="G896" s="223"/>
      <c r="H896" s="223"/>
      <c r="I896" s="223"/>
      <c r="J896" s="223"/>
      <c r="K896" s="223"/>
      <c r="L896" s="223"/>
      <c r="M896" s="223"/>
      <c r="N896" s="223"/>
      <c r="O896" s="223"/>
      <c r="P896" s="223"/>
      <c r="Q896" s="223"/>
      <c r="R896" s="223"/>
    </row>
    <row r="897">
      <c r="A897" s="223"/>
      <c r="B897" s="223"/>
      <c r="C897" s="223"/>
      <c r="D897" s="223"/>
      <c r="E897" s="223"/>
      <c r="F897" s="357"/>
      <c r="G897" s="223"/>
      <c r="H897" s="223"/>
      <c r="I897" s="223"/>
      <c r="J897" s="223"/>
      <c r="K897" s="223"/>
      <c r="L897" s="223"/>
      <c r="M897" s="223"/>
      <c r="N897" s="223"/>
      <c r="O897" s="223"/>
      <c r="P897" s="223"/>
      <c r="Q897" s="223"/>
      <c r="R897" s="223"/>
    </row>
    <row r="898">
      <c r="A898" s="223"/>
      <c r="B898" s="223"/>
      <c r="C898" s="223"/>
      <c r="D898" s="223"/>
      <c r="E898" s="223"/>
      <c r="F898" s="357"/>
      <c r="G898" s="223"/>
      <c r="H898" s="223"/>
      <c r="I898" s="223"/>
      <c r="J898" s="223"/>
      <c r="K898" s="223"/>
      <c r="L898" s="223"/>
      <c r="M898" s="223"/>
      <c r="N898" s="223"/>
      <c r="O898" s="223"/>
      <c r="P898" s="223"/>
      <c r="Q898" s="223"/>
      <c r="R898" s="223"/>
    </row>
    <row r="899">
      <c r="A899" s="223"/>
      <c r="B899" s="223"/>
      <c r="C899" s="223"/>
      <c r="D899" s="223"/>
      <c r="E899" s="223"/>
      <c r="F899" s="357"/>
      <c r="G899" s="223"/>
      <c r="H899" s="223"/>
      <c r="I899" s="223"/>
      <c r="J899" s="223"/>
      <c r="K899" s="223"/>
      <c r="L899" s="223"/>
      <c r="M899" s="223"/>
      <c r="N899" s="223"/>
      <c r="O899" s="223"/>
      <c r="P899" s="223"/>
      <c r="Q899" s="223"/>
      <c r="R899" s="223"/>
    </row>
    <row r="900">
      <c r="A900" s="223"/>
      <c r="B900" s="223"/>
      <c r="C900" s="223"/>
      <c r="D900" s="223"/>
      <c r="E900" s="223"/>
      <c r="F900" s="357"/>
      <c r="G900" s="223"/>
      <c r="H900" s="223"/>
      <c r="I900" s="223"/>
      <c r="J900" s="223"/>
      <c r="K900" s="223"/>
      <c r="L900" s="223"/>
      <c r="M900" s="223"/>
      <c r="N900" s="223"/>
      <c r="O900" s="223"/>
      <c r="P900" s="223"/>
      <c r="Q900" s="223"/>
      <c r="R900" s="223"/>
    </row>
    <row r="901">
      <c r="A901" s="223"/>
      <c r="B901" s="223"/>
      <c r="C901" s="223"/>
      <c r="D901" s="223"/>
      <c r="E901" s="223"/>
      <c r="F901" s="357"/>
      <c r="G901" s="223"/>
      <c r="H901" s="223"/>
      <c r="I901" s="223"/>
      <c r="J901" s="223"/>
      <c r="K901" s="223"/>
      <c r="L901" s="223"/>
      <c r="M901" s="223"/>
      <c r="N901" s="223"/>
      <c r="O901" s="223"/>
      <c r="P901" s="223"/>
      <c r="Q901" s="223"/>
      <c r="R901" s="223"/>
    </row>
    <row r="902">
      <c r="A902" s="223"/>
      <c r="B902" s="223"/>
      <c r="C902" s="223"/>
      <c r="D902" s="223"/>
      <c r="E902" s="223"/>
      <c r="F902" s="357"/>
      <c r="G902" s="223"/>
      <c r="H902" s="223"/>
      <c r="I902" s="223"/>
      <c r="J902" s="223"/>
      <c r="K902" s="223"/>
      <c r="L902" s="223"/>
      <c r="M902" s="223"/>
      <c r="N902" s="223"/>
      <c r="O902" s="223"/>
      <c r="P902" s="223"/>
      <c r="Q902" s="223"/>
      <c r="R902" s="223"/>
    </row>
    <row r="903">
      <c r="A903" s="223"/>
      <c r="B903" s="223"/>
      <c r="C903" s="223"/>
      <c r="D903" s="223"/>
      <c r="E903" s="223"/>
      <c r="F903" s="357"/>
      <c r="G903" s="223"/>
      <c r="H903" s="223"/>
      <c r="I903" s="223"/>
      <c r="J903" s="223"/>
      <c r="K903" s="223"/>
      <c r="L903" s="223"/>
      <c r="M903" s="223"/>
      <c r="N903" s="223"/>
      <c r="O903" s="223"/>
      <c r="P903" s="223"/>
      <c r="Q903" s="223"/>
      <c r="R903" s="223"/>
    </row>
    <row r="904">
      <c r="A904" s="223"/>
      <c r="B904" s="223"/>
      <c r="C904" s="223"/>
      <c r="D904" s="223"/>
      <c r="E904" s="223"/>
      <c r="F904" s="357"/>
      <c r="G904" s="223"/>
      <c r="H904" s="223"/>
      <c r="I904" s="223"/>
      <c r="J904" s="223"/>
      <c r="K904" s="223"/>
      <c r="L904" s="223"/>
      <c r="M904" s="223"/>
      <c r="N904" s="223"/>
      <c r="O904" s="223"/>
      <c r="P904" s="223"/>
      <c r="Q904" s="223"/>
      <c r="R904" s="223"/>
    </row>
    <row r="905">
      <c r="A905" s="223"/>
      <c r="B905" s="223"/>
      <c r="C905" s="223"/>
      <c r="D905" s="223"/>
      <c r="E905" s="223"/>
      <c r="F905" s="357"/>
      <c r="G905" s="223"/>
      <c r="H905" s="223"/>
      <c r="I905" s="223"/>
      <c r="J905" s="223"/>
      <c r="K905" s="223"/>
      <c r="L905" s="223"/>
      <c r="M905" s="223"/>
      <c r="N905" s="223"/>
      <c r="O905" s="223"/>
      <c r="P905" s="223"/>
      <c r="Q905" s="223"/>
      <c r="R905" s="223"/>
    </row>
    <row r="906">
      <c r="A906" s="223"/>
      <c r="B906" s="223"/>
      <c r="C906" s="223"/>
      <c r="D906" s="223"/>
      <c r="E906" s="223"/>
      <c r="F906" s="357"/>
      <c r="G906" s="223"/>
      <c r="H906" s="223"/>
      <c r="I906" s="223"/>
      <c r="J906" s="223"/>
      <c r="K906" s="223"/>
      <c r="L906" s="223"/>
      <c r="M906" s="223"/>
      <c r="N906" s="223"/>
      <c r="O906" s="223"/>
      <c r="P906" s="223"/>
      <c r="Q906" s="223"/>
      <c r="R906" s="223"/>
    </row>
    <row r="907">
      <c r="A907" s="223"/>
      <c r="B907" s="223"/>
      <c r="C907" s="223"/>
      <c r="D907" s="223"/>
      <c r="E907" s="223"/>
      <c r="F907" s="357"/>
      <c r="G907" s="223"/>
      <c r="H907" s="223"/>
      <c r="I907" s="223"/>
      <c r="J907" s="223"/>
      <c r="K907" s="223"/>
      <c r="L907" s="223"/>
      <c r="M907" s="223"/>
      <c r="N907" s="223"/>
      <c r="O907" s="223"/>
      <c r="P907" s="223"/>
      <c r="Q907" s="223"/>
      <c r="R907" s="223"/>
    </row>
    <row r="908">
      <c r="A908" s="223"/>
      <c r="B908" s="223"/>
      <c r="C908" s="223"/>
      <c r="D908" s="223"/>
      <c r="E908" s="223"/>
      <c r="F908" s="357"/>
      <c r="G908" s="223"/>
      <c r="H908" s="223"/>
      <c r="I908" s="223"/>
      <c r="J908" s="223"/>
      <c r="K908" s="223"/>
      <c r="L908" s="223"/>
      <c r="M908" s="223"/>
      <c r="N908" s="223"/>
      <c r="O908" s="223"/>
      <c r="P908" s="223"/>
      <c r="Q908" s="223"/>
      <c r="R908" s="223"/>
    </row>
    <row r="909">
      <c r="A909" s="223"/>
      <c r="B909" s="223"/>
      <c r="C909" s="223"/>
      <c r="D909" s="223"/>
      <c r="E909" s="223"/>
      <c r="F909" s="357"/>
      <c r="G909" s="223"/>
      <c r="H909" s="223"/>
      <c r="I909" s="223"/>
      <c r="J909" s="223"/>
      <c r="K909" s="223"/>
      <c r="L909" s="223"/>
      <c r="M909" s="223"/>
      <c r="N909" s="223"/>
      <c r="O909" s="223"/>
      <c r="P909" s="223"/>
      <c r="Q909" s="223"/>
      <c r="R909" s="223"/>
    </row>
    <row r="910">
      <c r="A910" s="223"/>
      <c r="B910" s="223"/>
      <c r="C910" s="223"/>
      <c r="D910" s="223"/>
      <c r="E910" s="223"/>
      <c r="F910" s="357"/>
      <c r="G910" s="223"/>
      <c r="H910" s="223"/>
      <c r="I910" s="223"/>
      <c r="J910" s="223"/>
      <c r="K910" s="223"/>
      <c r="L910" s="223"/>
      <c r="M910" s="223"/>
      <c r="N910" s="223"/>
      <c r="O910" s="223"/>
      <c r="P910" s="223"/>
      <c r="Q910" s="223"/>
      <c r="R910" s="223"/>
    </row>
    <row r="911">
      <c r="A911" s="223"/>
      <c r="B911" s="223"/>
      <c r="C911" s="223"/>
      <c r="D911" s="223"/>
      <c r="E911" s="223"/>
      <c r="F911" s="357"/>
      <c r="G911" s="223"/>
      <c r="H911" s="223"/>
      <c r="I911" s="223"/>
      <c r="J911" s="223"/>
      <c r="K911" s="223"/>
      <c r="L911" s="223"/>
      <c r="M911" s="223"/>
      <c r="N911" s="223"/>
      <c r="O911" s="223"/>
      <c r="P911" s="223"/>
      <c r="Q911" s="223"/>
      <c r="R911" s="223"/>
    </row>
    <row r="912">
      <c r="A912" s="223"/>
      <c r="B912" s="223"/>
      <c r="C912" s="223"/>
      <c r="D912" s="223"/>
      <c r="E912" s="223"/>
      <c r="F912" s="357"/>
      <c r="G912" s="223"/>
      <c r="H912" s="223"/>
      <c r="I912" s="223"/>
      <c r="J912" s="223"/>
      <c r="K912" s="223"/>
      <c r="L912" s="223"/>
      <c r="M912" s="223"/>
      <c r="N912" s="223"/>
      <c r="O912" s="223"/>
      <c r="P912" s="223"/>
      <c r="Q912" s="223"/>
      <c r="R912" s="223"/>
    </row>
    <row r="913">
      <c r="A913" s="223"/>
      <c r="B913" s="223"/>
      <c r="C913" s="223"/>
      <c r="D913" s="223"/>
      <c r="E913" s="223"/>
      <c r="F913" s="357"/>
      <c r="G913" s="223"/>
      <c r="H913" s="223"/>
      <c r="I913" s="223"/>
      <c r="J913" s="223"/>
      <c r="K913" s="223"/>
      <c r="L913" s="223"/>
      <c r="M913" s="223"/>
      <c r="N913" s="223"/>
      <c r="O913" s="223"/>
      <c r="P913" s="223"/>
      <c r="Q913" s="223"/>
      <c r="R913" s="223"/>
    </row>
    <row r="914">
      <c r="A914" s="223"/>
      <c r="B914" s="223"/>
      <c r="C914" s="223"/>
      <c r="D914" s="223"/>
      <c r="E914" s="223"/>
      <c r="F914" s="357"/>
      <c r="G914" s="223"/>
      <c r="H914" s="223"/>
      <c r="I914" s="223"/>
      <c r="J914" s="223"/>
      <c r="K914" s="223"/>
      <c r="L914" s="223"/>
      <c r="M914" s="223"/>
      <c r="N914" s="223"/>
      <c r="O914" s="223"/>
      <c r="P914" s="223"/>
      <c r="Q914" s="223"/>
      <c r="R914" s="223"/>
    </row>
    <row r="915">
      <c r="A915" s="223"/>
      <c r="B915" s="223"/>
      <c r="C915" s="223"/>
      <c r="D915" s="223"/>
      <c r="E915" s="223"/>
      <c r="F915" s="357"/>
      <c r="G915" s="223"/>
      <c r="H915" s="223"/>
      <c r="I915" s="223"/>
      <c r="J915" s="223"/>
      <c r="K915" s="223"/>
      <c r="L915" s="223"/>
      <c r="M915" s="223"/>
      <c r="N915" s="223"/>
      <c r="O915" s="223"/>
      <c r="P915" s="223"/>
      <c r="Q915" s="223"/>
      <c r="R915" s="223"/>
    </row>
    <row r="916">
      <c r="A916" s="223"/>
      <c r="B916" s="223"/>
      <c r="C916" s="223"/>
      <c r="D916" s="223"/>
      <c r="E916" s="223"/>
      <c r="F916" s="357"/>
      <c r="G916" s="223"/>
      <c r="H916" s="223"/>
      <c r="I916" s="223"/>
      <c r="J916" s="223"/>
      <c r="K916" s="223"/>
      <c r="L916" s="223"/>
      <c r="M916" s="223"/>
      <c r="N916" s="223"/>
      <c r="O916" s="223"/>
      <c r="P916" s="223"/>
      <c r="Q916" s="223"/>
      <c r="R916" s="223"/>
    </row>
    <row r="917">
      <c r="A917" s="223"/>
      <c r="B917" s="223"/>
      <c r="C917" s="223"/>
      <c r="D917" s="223"/>
      <c r="E917" s="223"/>
      <c r="F917" s="357"/>
      <c r="G917" s="223"/>
      <c r="H917" s="223"/>
      <c r="I917" s="223"/>
      <c r="J917" s="223"/>
      <c r="K917" s="223"/>
      <c r="L917" s="223"/>
      <c r="M917" s="223"/>
      <c r="N917" s="223"/>
      <c r="O917" s="223"/>
      <c r="P917" s="223"/>
      <c r="Q917" s="223"/>
      <c r="R917" s="223"/>
    </row>
    <row r="918">
      <c r="A918" s="223"/>
      <c r="B918" s="223"/>
      <c r="C918" s="223"/>
      <c r="D918" s="223"/>
      <c r="E918" s="223"/>
      <c r="F918" s="357"/>
      <c r="G918" s="223"/>
      <c r="H918" s="223"/>
      <c r="I918" s="223"/>
      <c r="J918" s="223"/>
      <c r="K918" s="223"/>
      <c r="L918" s="223"/>
      <c r="M918" s="223"/>
      <c r="N918" s="223"/>
      <c r="O918" s="223"/>
      <c r="P918" s="223"/>
      <c r="Q918" s="223"/>
      <c r="R918" s="223"/>
    </row>
    <row r="919">
      <c r="A919" s="223"/>
      <c r="B919" s="223"/>
      <c r="C919" s="223"/>
      <c r="D919" s="223"/>
      <c r="E919" s="223"/>
      <c r="F919" s="357"/>
      <c r="G919" s="223"/>
      <c r="H919" s="223"/>
      <c r="I919" s="223"/>
      <c r="J919" s="223"/>
      <c r="K919" s="223"/>
      <c r="L919" s="223"/>
      <c r="M919" s="223"/>
      <c r="N919" s="223"/>
      <c r="O919" s="223"/>
      <c r="P919" s="223"/>
      <c r="Q919" s="223"/>
      <c r="R919" s="223"/>
    </row>
    <row r="920">
      <c r="A920" s="223"/>
      <c r="B920" s="223"/>
      <c r="C920" s="223"/>
      <c r="D920" s="223"/>
      <c r="E920" s="223"/>
      <c r="F920" s="357"/>
      <c r="G920" s="223"/>
      <c r="H920" s="223"/>
      <c r="I920" s="223"/>
      <c r="J920" s="223"/>
      <c r="K920" s="223"/>
      <c r="L920" s="223"/>
      <c r="M920" s="223"/>
      <c r="N920" s="223"/>
      <c r="O920" s="223"/>
      <c r="P920" s="223"/>
      <c r="Q920" s="223"/>
      <c r="R920" s="223"/>
    </row>
    <row r="921">
      <c r="A921" s="223"/>
      <c r="B921" s="223"/>
      <c r="C921" s="223"/>
      <c r="D921" s="223"/>
      <c r="E921" s="223"/>
      <c r="F921" s="357"/>
      <c r="G921" s="223"/>
      <c r="H921" s="223"/>
      <c r="I921" s="223"/>
      <c r="J921" s="223"/>
      <c r="K921" s="223"/>
      <c r="L921" s="223"/>
      <c r="M921" s="223"/>
      <c r="N921" s="223"/>
      <c r="O921" s="223"/>
      <c r="P921" s="223"/>
      <c r="Q921" s="223"/>
      <c r="R921" s="223"/>
    </row>
    <row r="922">
      <c r="A922" s="223"/>
      <c r="B922" s="223"/>
      <c r="C922" s="223"/>
      <c r="D922" s="223"/>
      <c r="E922" s="223"/>
      <c r="F922" s="357"/>
      <c r="G922" s="223"/>
      <c r="H922" s="223"/>
      <c r="I922" s="223"/>
      <c r="J922" s="223"/>
      <c r="K922" s="223"/>
      <c r="L922" s="223"/>
      <c r="M922" s="223"/>
      <c r="N922" s="223"/>
      <c r="O922" s="223"/>
      <c r="P922" s="223"/>
      <c r="Q922" s="223"/>
      <c r="R922" s="223"/>
    </row>
    <row r="923">
      <c r="A923" s="223"/>
      <c r="B923" s="223"/>
      <c r="C923" s="223"/>
      <c r="D923" s="223"/>
      <c r="E923" s="223"/>
      <c r="F923" s="357"/>
      <c r="G923" s="223"/>
      <c r="H923" s="223"/>
      <c r="I923" s="223"/>
      <c r="J923" s="223"/>
      <c r="K923" s="223"/>
      <c r="L923" s="223"/>
      <c r="M923" s="223"/>
      <c r="N923" s="223"/>
      <c r="O923" s="223"/>
      <c r="P923" s="223"/>
      <c r="Q923" s="223"/>
      <c r="R923" s="223"/>
    </row>
    <row r="924">
      <c r="A924" s="223"/>
      <c r="B924" s="223"/>
      <c r="C924" s="223"/>
      <c r="D924" s="223"/>
      <c r="E924" s="223"/>
      <c r="F924" s="357"/>
      <c r="G924" s="223"/>
      <c r="H924" s="223"/>
      <c r="I924" s="223"/>
      <c r="J924" s="223"/>
      <c r="K924" s="223"/>
      <c r="L924" s="223"/>
      <c r="M924" s="223"/>
      <c r="N924" s="223"/>
      <c r="O924" s="223"/>
      <c r="P924" s="223"/>
      <c r="Q924" s="223"/>
      <c r="R924" s="223"/>
    </row>
    <row r="925">
      <c r="A925" s="223"/>
      <c r="B925" s="223"/>
      <c r="C925" s="223"/>
      <c r="D925" s="223"/>
      <c r="E925" s="223"/>
      <c r="F925" s="357"/>
      <c r="G925" s="223"/>
      <c r="H925" s="223"/>
      <c r="I925" s="223"/>
      <c r="J925" s="223"/>
      <c r="K925" s="223"/>
      <c r="L925" s="223"/>
      <c r="M925" s="223"/>
      <c r="N925" s="223"/>
      <c r="O925" s="223"/>
      <c r="P925" s="223"/>
      <c r="Q925" s="223"/>
      <c r="R925" s="223"/>
    </row>
    <row r="926">
      <c r="A926" s="223"/>
      <c r="B926" s="223"/>
      <c r="C926" s="223"/>
      <c r="D926" s="223"/>
      <c r="E926" s="223"/>
      <c r="F926" s="357"/>
      <c r="G926" s="223"/>
      <c r="H926" s="223"/>
      <c r="I926" s="223"/>
      <c r="J926" s="223"/>
      <c r="K926" s="223"/>
      <c r="L926" s="223"/>
      <c r="M926" s="223"/>
      <c r="N926" s="223"/>
      <c r="O926" s="223"/>
      <c r="P926" s="223"/>
      <c r="Q926" s="223"/>
      <c r="R926" s="223"/>
    </row>
    <row r="927">
      <c r="A927" s="223"/>
      <c r="B927" s="223"/>
      <c r="C927" s="223"/>
      <c r="D927" s="223"/>
      <c r="E927" s="223"/>
      <c r="F927" s="357"/>
      <c r="G927" s="223"/>
      <c r="H927" s="223"/>
      <c r="I927" s="223"/>
      <c r="J927" s="223"/>
      <c r="K927" s="223"/>
      <c r="L927" s="223"/>
      <c r="M927" s="223"/>
      <c r="N927" s="223"/>
      <c r="O927" s="223"/>
      <c r="P927" s="223"/>
      <c r="Q927" s="223"/>
      <c r="R927" s="223"/>
    </row>
    <row r="928">
      <c r="A928" s="223"/>
      <c r="B928" s="223"/>
      <c r="C928" s="223"/>
      <c r="D928" s="223"/>
      <c r="E928" s="223"/>
      <c r="F928" s="357"/>
      <c r="G928" s="223"/>
      <c r="H928" s="223"/>
      <c r="I928" s="223"/>
      <c r="J928" s="223"/>
      <c r="K928" s="223"/>
      <c r="L928" s="223"/>
      <c r="M928" s="223"/>
      <c r="N928" s="223"/>
      <c r="O928" s="223"/>
      <c r="P928" s="223"/>
      <c r="Q928" s="223"/>
      <c r="R928" s="223"/>
    </row>
    <row r="929">
      <c r="A929" s="223"/>
      <c r="B929" s="223"/>
      <c r="C929" s="223"/>
      <c r="D929" s="223"/>
      <c r="E929" s="223"/>
      <c r="F929" s="357"/>
      <c r="G929" s="223"/>
      <c r="H929" s="223"/>
      <c r="I929" s="223"/>
      <c r="J929" s="223"/>
      <c r="K929" s="223"/>
      <c r="L929" s="223"/>
      <c r="M929" s="223"/>
      <c r="N929" s="223"/>
      <c r="O929" s="223"/>
      <c r="P929" s="223"/>
      <c r="Q929" s="223"/>
      <c r="R929" s="223"/>
    </row>
    <row r="930">
      <c r="A930" s="223"/>
      <c r="B930" s="223"/>
      <c r="C930" s="223"/>
      <c r="D930" s="223"/>
      <c r="E930" s="223"/>
      <c r="F930" s="357"/>
      <c r="G930" s="223"/>
      <c r="H930" s="223"/>
      <c r="I930" s="223"/>
      <c r="J930" s="223"/>
      <c r="K930" s="223"/>
      <c r="L930" s="223"/>
      <c r="M930" s="223"/>
      <c r="N930" s="223"/>
      <c r="O930" s="223"/>
      <c r="P930" s="223"/>
      <c r="Q930" s="223"/>
      <c r="R930" s="223"/>
    </row>
    <row r="931">
      <c r="A931" s="223"/>
      <c r="B931" s="223"/>
      <c r="C931" s="223"/>
      <c r="D931" s="223"/>
      <c r="E931" s="223"/>
      <c r="F931" s="357"/>
      <c r="G931" s="223"/>
      <c r="H931" s="223"/>
      <c r="I931" s="223"/>
      <c r="J931" s="223"/>
      <c r="K931" s="223"/>
      <c r="L931" s="223"/>
      <c r="M931" s="223"/>
      <c r="N931" s="223"/>
      <c r="O931" s="223"/>
      <c r="P931" s="223"/>
      <c r="Q931" s="223"/>
      <c r="R931" s="223"/>
    </row>
    <row r="932">
      <c r="A932" s="223"/>
      <c r="B932" s="223"/>
      <c r="C932" s="223"/>
      <c r="D932" s="223"/>
      <c r="E932" s="223"/>
      <c r="F932" s="357"/>
      <c r="G932" s="223"/>
      <c r="H932" s="223"/>
      <c r="I932" s="223"/>
      <c r="J932" s="223"/>
      <c r="K932" s="223"/>
      <c r="L932" s="223"/>
      <c r="M932" s="223"/>
      <c r="N932" s="223"/>
      <c r="O932" s="223"/>
      <c r="P932" s="223"/>
      <c r="Q932" s="223"/>
      <c r="R932" s="223"/>
    </row>
    <row r="933">
      <c r="A933" s="223"/>
      <c r="B933" s="223"/>
      <c r="C933" s="223"/>
      <c r="D933" s="223"/>
      <c r="E933" s="223"/>
      <c r="F933" s="357"/>
      <c r="G933" s="223"/>
      <c r="H933" s="223"/>
      <c r="I933" s="223"/>
      <c r="J933" s="223"/>
      <c r="K933" s="223"/>
      <c r="L933" s="223"/>
      <c r="M933" s="223"/>
      <c r="N933" s="223"/>
      <c r="O933" s="223"/>
      <c r="P933" s="223"/>
      <c r="Q933" s="223"/>
      <c r="R933" s="223"/>
    </row>
    <row r="934">
      <c r="A934" s="223"/>
      <c r="B934" s="223"/>
      <c r="C934" s="223"/>
      <c r="D934" s="223"/>
      <c r="E934" s="223"/>
      <c r="F934" s="357"/>
      <c r="G934" s="223"/>
      <c r="H934" s="223"/>
      <c r="I934" s="223"/>
      <c r="J934" s="223"/>
      <c r="K934" s="223"/>
      <c r="L934" s="223"/>
      <c r="M934" s="223"/>
      <c r="N934" s="223"/>
      <c r="O934" s="223"/>
      <c r="P934" s="223"/>
      <c r="Q934" s="223"/>
      <c r="R934" s="223"/>
    </row>
    <row r="935">
      <c r="A935" s="223"/>
      <c r="B935" s="223"/>
      <c r="C935" s="223"/>
      <c r="D935" s="223"/>
      <c r="E935" s="223"/>
      <c r="F935" s="357"/>
      <c r="G935" s="223"/>
      <c r="H935" s="223"/>
      <c r="I935" s="223"/>
      <c r="J935" s="223"/>
      <c r="K935" s="223"/>
      <c r="L935" s="223"/>
      <c r="M935" s="223"/>
      <c r="N935" s="223"/>
      <c r="O935" s="223"/>
      <c r="P935" s="223"/>
      <c r="Q935" s="223"/>
      <c r="R935" s="223"/>
    </row>
    <row r="936">
      <c r="A936" s="223"/>
      <c r="B936" s="223"/>
      <c r="C936" s="223"/>
      <c r="D936" s="223"/>
      <c r="E936" s="223"/>
      <c r="F936" s="357"/>
      <c r="G936" s="223"/>
      <c r="H936" s="223"/>
      <c r="I936" s="223"/>
      <c r="J936" s="223"/>
      <c r="K936" s="223"/>
      <c r="L936" s="223"/>
      <c r="M936" s="223"/>
      <c r="N936" s="223"/>
      <c r="O936" s="223"/>
      <c r="P936" s="223"/>
      <c r="Q936" s="223"/>
      <c r="R936" s="223"/>
    </row>
    <row r="937">
      <c r="A937" s="223"/>
      <c r="B937" s="223"/>
      <c r="C937" s="223"/>
      <c r="D937" s="223"/>
      <c r="E937" s="223"/>
      <c r="F937" s="357"/>
      <c r="G937" s="223"/>
      <c r="H937" s="223"/>
      <c r="I937" s="223"/>
      <c r="J937" s="223"/>
      <c r="K937" s="223"/>
      <c r="L937" s="223"/>
      <c r="M937" s="223"/>
      <c r="N937" s="223"/>
      <c r="O937" s="223"/>
      <c r="P937" s="223"/>
      <c r="Q937" s="223"/>
      <c r="R937" s="223"/>
    </row>
    <row r="938">
      <c r="A938" s="223"/>
      <c r="B938" s="223"/>
      <c r="C938" s="223"/>
      <c r="D938" s="223"/>
      <c r="E938" s="223"/>
      <c r="F938" s="357"/>
      <c r="G938" s="223"/>
      <c r="H938" s="223"/>
      <c r="I938" s="223"/>
      <c r="J938" s="223"/>
      <c r="K938" s="223"/>
      <c r="L938" s="223"/>
      <c r="M938" s="223"/>
      <c r="N938" s="223"/>
      <c r="O938" s="223"/>
      <c r="P938" s="223"/>
      <c r="Q938" s="223"/>
      <c r="R938" s="223"/>
    </row>
    <row r="939">
      <c r="A939" s="223"/>
      <c r="B939" s="223"/>
      <c r="C939" s="223"/>
      <c r="D939" s="223"/>
      <c r="E939" s="223"/>
      <c r="F939" s="357"/>
      <c r="G939" s="223"/>
      <c r="H939" s="223"/>
      <c r="I939" s="223"/>
      <c r="J939" s="223"/>
      <c r="K939" s="223"/>
      <c r="L939" s="223"/>
      <c r="M939" s="223"/>
      <c r="N939" s="223"/>
      <c r="O939" s="223"/>
      <c r="P939" s="223"/>
      <c r="Q939" s="223"/>
      <c r="R939" s="223"/>
    </row>
    <row r="940">
      <c r="A940" s="223"/>
      <c r="B940" s="223"/>
      <c r="C940" s="223"/>
      <c r="D940" s="223"/>
      <c r="E940" s="223"/>
      <c r="F940" s="357"/>
      <c r="G940" s="223"/>
      <c r="H940" s="223"/>
      <c r="I940" s="223"/>
      <c r="J940" s="223"/>
      <c r="K940" s="223"/>
      <c r="L940" s="223"/>
      <c r="M940" s="223"/>
      <c r="N940" s="223"/>
      <c r="O940" s="223"/>
      <c r="P940" s="223"/>
      <c r="Q940" s="223"/>
      <c r="R940" s="223"/>
    </row>
    <row r="941">
      <c r="A941" s="223"/>
      <c r="B941" s="223"/>
      <c r="C941" s="223"/>
      <c r="D941" s="223"/>
      <c r="E941" s="223"/>
      <c r="F941" s="357"/>
      <c r="G941" s="223"/>
      <c r="H941" s="223"/>
      <c r="I941" s="223"/>
      <c r="J941" s="223"/>
      <c r="K941" s="223"/>
      <c r="L941" s="223"/>
      <c r="M941" s="223"/>
      <c r="N941" s="223"/>
      <c r="O941" s="223"/>
      <c r="P941" s="223"/>
      <c r="Q941" s="223"/>
      <c r="R941" s="223"/>
    </row>
    <row r="942">
      <c r="A942" s="223"/>
      <c r="B942" s="223"/>
      <c r="C942" s="223"/>
      <c r="D942" s="223"/>
      <c r="E942" s="223"/>
      <c r="F942" s="357"/>
      <c r="G942" s="223"/>
      <c r="H942" s="223"/>
      <c r="I942" s="223"/>
      <c r="J942" s="223"/>
      <c r="K942" s="223"/>
      <c r="L942" s="223"/>
      <c r="M942" s="223"/>
      <c r="N942" s="223"/>
      <c r="O942" s="223"/>
      <c r="P942" s="223"/>
      <c r="Q942" s="223"/>
      <c r="R942" s="223"/>
    </row>
    <row r="943">
      <c r="A943" s="223"/>
      <c r="B943" s="223"/>
      <c r="C943" s="223"/>
      <c r="D943" s="223"/>
      <c r="E943" s="223"/>
      <c r="F943" s="357"/>
      <c r="G943" s="223"/>
      <c r="H943" s="223"/>
      <c r="I943" s="223"/>
      <c r="J943" s="223"/>
      <c r="K943" s="223"/>
      <c r="L943" s="223"/>
      <c r="M943" s="223"/>
      <c r="N943" s="223"/>
      <c r="O943" s="223"/>
      <c r="P943" s="223"/>
      <c r="Q943" s="223"/>
      <c r="R943" s="223"/>
    </row>
    <row r="944">
      <c r="A944" s="223"/>
      <c r="B944" s="223"/>
      <c r="C944" s="223"/>
      <c r="D944" s="223"/>
      <c r="E944" s="223"/>
      <c r="F944" s="357"/>
      <c r="G944" s="223"/>
      <c r="H944" s="223"/>
      <c r="I944" s="223"/>
      <c r="J944" s="223"/>
      <c r="K944" s="223"/>
      <c r="L944" s="223"/>
      <c r="M944" s="223"/>
      <c r="N944" s="223"/>
      <c r="O944" s="223"/>
      <c r="P944" s="223"/>
      <c r="Q944" s="223"/>
      <c r="R944" s="223"/>
    </row>
    <row r="945">
      <c r="A945" s="223"/>
      <c r="B945" s="223"/>
      <c r="C945" s="223"/>
      <c r="D945" s="223"/>
      <c r="E945" s="223"/>
      <c r="F945" s="357"/>
      <c r="G945" s="223"/>
      <c r="H945" s="223"/>
      <c r="I945" s="223"/>
      <c r="J945" s="223"/>
      <c r="K945" s="223"/>
      <c r="L945" s="223"/>
      <c r="M945" s="223"/>
      <c r="N945" s="223"/>
      <c r="O945" s="223"/>
      <c r="P945" s="223"/>
      <c r="Q945" s="223"/>
      <c r="R945" s="223"/>
    </row>
    <row r="946">
      <c r="A946" s="223"/>
      <c r="B946" s="223"/>
      <c r="C946" s="223"/>
      <c r="D946" s="223"/>
      <c r="E946" s="223"/>
      <c r="F946" s="357"/>
      <c r="G946" s="223"/>
      <c r="H946" s="223"/>
      <c r="I946" s="223"/>
      <c r="J946" s="223"/>
      <c r="K946" s="223"/>
      <c r="L946" s="223"/>
      <c r="M946" s="223"/>
      <c r="N946" s="223"/>
      <c r="O946" s="223"/>
      <c r="P946" s="223"/>
      <c r="Q946" s="223"/>
      <c r="R946" s="223"/>
    </row>
    <row r="947">
      <c r="A947" s="223"/>
      <c r="B947" s="223"/>
      <c r="C947" s="223"/>
      <c r="D947" s="223"/>
      <c r="E947" s="223"/>
      <c r="F947" s="357"/>
      <c r="G947" s="223"/>
      <c r="H947" s="223"/>
      <c r="I947" s="223"/>
      <c r="J947" s="223"/>
      <c r="K947" s="223"/>
      <c r="L947" s="223"/>
      <c r="M947" s="223"/>
      <c r="N947" s="223"/>
      <c r="O947" s="223"/>
      <c r="P947" s="223"/>
      <c r="Q947" s="223"/>
      <c r="R947" s="223"/>
    </row>
    <row r="948">
      <c r="A948" s="223"/>
      <c r="B948" s="223"/>
      <c r="C948" s="223"/>
      <c r="D948" s="223"/>
      <c r="E948" s="223"/>
      <c r="F948" s="357"/>
      <c r="G948" s="223"/>
      <c r="H948" s="223"/>
      <c r="I948" s="223"/>
      <c r="J948" s="223"/>
      <c r="K948" s="223"/>
      <c r="L948" s="223"/>
      <c r="M948" s="223"/>
      <c r="N948" s="223"/>
      <c r="O948" s="223"/>
      <c r="P948" s="223"/>
      <c r="Q948" s="223"/>
      <c r="R948" s="223"/>
    </row>
    <row r="949">
      <c r="A949" s="223"/>
      <c r="B949" s="223"/>
      <c r="C949" s="223"/>
      <c r="D949" s="223"/>
      <c r="E949" s="223"/>
      <c r="F949" s="357"/>
      <c r="G949" s="223"/>
      <c r="H949" s="223"/>
      <c r="I949" s="223"/>
      <c r="J949" s="223"/>
      <c r="K949" s="223"/>
      <c r="L949" s="223"/>
      <c r="M949" s="223"/>
      <c r="N949" s="223"/>
      <c r="O949" s="223"/>
      <c r="P949" s="223"/>
      <c r="Q949" s="223"/>
      <c r="R949" s="223"/>
    </row>
    <row r="950">
      <c r="A950" s="223"/>
      <c r="B950" s="223"/>
      <c r="C950" s="223"/>
      <c r="D950" s="223"/>
      <c r="E950" s="223"/>
      <c r="F950" s="357"/>
      <c r="G950" s="223"/>
      <c r="H950" s="223"/>
      <c r="I950" s="223"/>
      <c r="J950" s="223"/>
      <c r="K950" s="223"/>
      <c r="L950" s="223"/>
      <c r="M950" s="223"/>
      <c r="N950" s="223"/>
      <c r="O950" s="223"/>
      <c r="P950" s="223"/>
      <c r="Q950" s="223"/>
      <c r="R950" s="223"/>
    </row>
    <row r="951">
      <c r="A951" s="223"/>
      <c r="B951" s="223"/>
      <c r="C951" s="223"/>
      <c r="D951" s="223"/>
      <c r="E951" s="223"/>
      <c r="F951" s="357"/>
      <c r="G951" s="223"/>
      <c r="H951" s="223"/>
      <c r="I951" s="223"/>
      <c r="J951" s="223"/>
      <c r="K951" s="223"/>
      <c r="L951" s="223"/>
      <c r="M951" s="223"/>
      <c r="N951" s="223"/>
      <c r="O951" s="223"/>
      <c r="P951" s="223"/>
      <c r="Q951" s="223"/>
      <c r="R951" s="223"/>
    </row>
    <row r="952">
      <c r="A952" s="223"/>
      <c r="B952" s="223"/>
      <c r="C952" s="223"/>
      <c r="D952" s="223"/>
      <c r="E952" s="223"/>
      <c r="F952" s="357"/>
      <c r="G952" s="223"/>
      <c r="H952" s="223"/>
      <c r="I952" s="223"/>
      <c r="J952" s="223"/>
      <c r="K952" s="223"/>
      <c r="L952" s="223"/>
      <c r="M952" s="223"/>
      <c r="N952" s="223"/>
      <c r="O952" s="223"/>
      <c r="P952" s="223"/>
      <c r="Q952" s="223"/>
      <c r="R952" s="223"/>
    </row>
    <row r="953">
      <c r="A953" s="223"/>
      <c r="B953" s="223"/>
      <c r="C953" s="223"/>
      <c r="D953" s="223"/>
      <c r="E953" s="223"/>
      <c r="F953" s="357"/>
      <c r="G953" s="223"/>
      <c r="H953" s="223"/>
      <c r="I953" s="223"/>
      <c r="J953" s="223"/>
      <c r="K953" s="223"/>
      <c r="L953" s="223"/>
      <c r="M953" s="223"/>
      <c r="N953" s="223"/>
      <c r="O953" s="223"/>
      <c r="P953" s="223"/>
      <c r="Q953" s="223"/>
      <c r="R953" s="223"/>
    </row>
    <row r="954">
      <c r="A954" s="223"/>
      <c r="B954" s="223"/>
      <c r="C954" s="223"/>
      <c r="D954" s="223"/>
      <c r="E954" s="223"/>
      <c r="F954" s="357"/>
      <c r="G954" s="223"/>
      <c r="H954" s="223"/>
      <c r="I954" s="223"/>
      <c r="J954" s="223"/>
      <c r="K954" s="223"/>
      <c r="L954" s="223"/>
      <c r="M954" s="223"/>
      <c r="N954" s="223"/>
      <c r="O954" s="223"/>
      <c r="P954" s="223"/>
      <c r="Q954" s="223"/>
      <c r="R954" s="223"/>
    </row>
    <row r="955">
      <c r="A955" s="223"/>
      <c r="B955" s="223"/>
      <c r="C955" s="223"/>
      <c r="D955" s="223"/>
      <c r="E955" s="223"/>
      <c r="F955" s="357"/>
      <c r="G955" s="223"/>
      <c r="H955" s="223"/>
      <c r="I955" s="223"/>
      <c r="J955" s="223"/>
      <c r="K955" s="223"/>
      <c r="L955" s="223"/>
      <c r="M955" s="223"/>
      <c r="N955" s="223"/>
      <c r="O955" s="223"/>
      <c r="P955" s="223"/>
      <c r="Q955" s="223"/>
      <c r="R955" s="223"/>
    </row>
    <row r="956">
      <c r="A956" s="223"/>
      <c r="B956" s="223"/>
      <c r="C956" s="223"/>
      <c r="D956" s="223"/>
      <c r="E956" s="223"/>
      <c r="F956" s="357"/>
      <c r="G956" s="223"/>
      <c r="H956" s="223"/>
      <c r="I956" s="223"/>
      <c r="J956" s="223"/>
      <c r="K956" s="223"/>
      <c r="L956" s="223"/>
      <c r="M956" s="223"/>
      <c r="N956" s="223"/>
      <c r="O956" s="223"/>
      <c r="P956" s="223"/>
      <c r="Q956" s="223"/>
      <c r="R956" s="223"/>
    </row>
    <row r="957">
      <c r="A957" s="223"/>
      <c r="B957" s="223"/>
      <c r="C957" s="223"/>
      <c r="D957" s="223"/>
      <c r="E957" s="223"/>
      <c r="F957" s="357"/>
      <c r="G957" s="223"/>
      <c r="H957" s="223"/>
      <c r="I957" s="223"/>
      <c r="J957" s="223"/>
      <c r="K957" s="223"/>
      <c r="L957" s="223"/>
      <c r="M957" s="223"/>
      <c r="N957" s="223"/>
      <c r="O957" s="223"/>
      <c r="P957" s="223"/>
      <c r="Q957" s="223"/>
      <c r="R957" s="223"/>
    </row>
    <row r="958">
      <c r="A958" s="223"/>
      <c r="B958" s="223"/>
      <c r="C958" s="223"/>
      <c r="D958" s="223"/>
      <c r="E958" s="223"/>
      <c r="F958" s="357"/>
      <c r="G958" s="223"/>
      <c r="H958" s="223"/>
      <c r="I958" s="223"/>
      <c r="J958" s="223"/>
      <c r="K958" s="223"/>
      <c r="L958" s="223"/>
      <c r="M958" s="223"/>
      <c r="N958" s="223"/>
      <c r="O958" s="223"/>
      <c r="P958" s="223"/>
      <c r="Q958" s="223"/>
      <c r="R958" s="223"/>
    </row>
    <row r="959">
      <c r="A959" s="223"/>
      <c r="B959" s="223"/>
      <c r="C959" s="223"/>
      <c r="D959" s="223"/>
      <c r="E959" s="223"/>
      <c r="F959" s="357"/>
      <c r="G959" s="223"/>
      <c r="H959" s="223"/>
      <c r="I959" s="223"/>
      <c r="J959" s="223"/>
      <c r="K959" s="223"/>
      <c r="L959" s="223"/>
      <c r="M959" s="223"/>
      <c r="N959" s="223"/>
      <c r="O959" s="223"/>
      <c r="P959" s="223"/>
      <c r="Q959" s="223"/>
      <c r="R959" s="223"/>
    </row>
    <row r="960">
      <c r="A960" s="223"/>
      <c r="B960" s="223"/>
      <c r="C960" s="223"/>
      <c r="D960" s="223"/>
      <c r="E960" s="223"/>
      <c r="F960" s="357"/>
      <c r="G960" s="223"/>
      <c r="H960" s="223"/>
      <c r="I960" s="223"/>
      <c r="J960" s="223"/>
      <c r="K960" s="223"/>
      <c r="L960" s="223"/>
      <c r="M960" s="223"/>
      <c r="N960" s="223"/>
      <c r="O960" s="223"/>
      <c r="P960" s="223"/>
      <c r="Q960" s="223"/>
      <c r="R960" s="223"/>
    </row>
    <row r="961">
      <c r="A961" s="223"/>
      <c r="B961" s="223"/>
      <c r="C961" s="223"/>
      <c r="D961" s="223"/>
      <c r="E961" s="223"/>
      <c r="F961" s="357"/>
      <c r="G961" s="223"/>
      <c r="H961" s="223"/>
      <c r="I961" s="223"/>
      <c r="J961" s="223"/>
      <c r="K961" s="223"/>
      <c r="L961" s="223"/>
      <c r="M961" s="223"/>
      <c r="N961" s="223"/>
      <c r="O961" s="223"/>
      <c r="P961" s="223"/>
      <c r="Q961" s="223"/>
      <c r="R961" s="223"/>
    </row>
    <row r="962">
      <c r="A962" s="223"/>
      <c r="B962" s="223"/>
      <c r="C962" s="223"/>
      <c r="D962" s="223"/>
      <c r="E962" s="223"/>
      <c r="F962" s="357"/>
      <c r="G962" s="223"/>
      <c r="H962" s="223"/>
      <c r="I962" s="223"/>
      <c r="J962" s="223"/>
      <c r="K962" s="223"/>
      <c r="L962" s="223"/>
      <c r="M962" s="223"/>
      <c r="N962" s="223"/>
      <c r="O962" s="223"/>
      <c r="P962" s="223"/>
      <c r="Q962" s="223"/>
      <c r="R962" s="223"/>
    </row>
    <row r="963">
      <c r="A963" s="223"/>
      <c r="B963" s="223"/>
      <c r="C963" s="223"/>
      <c r="D963" s="223"/>
      <c r="E963" s="223"/>
      <c r="F963" s="357"/>
      <c r="G963" s="223"/>
      <c r="H963" s="223"/>
      <c r="I963" s="223"/>
      <c r="J963" s="223"/>
      <c r="K963" s="223"/>
      <c r="L963" s="223"/>
      <c r="M963" s="223"/>
      <c r="N963" s="223"/>
      <c r="O963" s="223"/>
      <c r="P963" s="223"/>
      <c r="Q963" s="223"/>
      <c r="R963" s="223"/>
    </row>
    <row r="964">
      <c r="A964" s="223"/>
      <c r="B964" s="223"/>
      <c r="C964" s="223"/>
      <c r="D964" s="223"/>
      <c r="E964" s="223"/>
      <c r="F964" s="357"/>
      <c r="G964" s="223"/>
      <c r="H964" s="223"/>
      <c r="I964" s="223"/>
      <c r="J964" s="223"/>
      <c r="K964" s="223"/>
      <c r="L964" s="223"/>
      <c r="M964" s="223"/>
      <c r="N964" s="223"/>
      <c r="O964" s="223"/>
      <c r="P964" s="223"/>
      <c r="Q964" s="223"/>
      <c r="R964" s="223"/>
    </row>
    <row r="965">
      <c r="A965" s="223"/>
      <c r="B965" s="223"/>
      <c r="C965" s="223"/>
      <c r="D965" s="223"/>
      <c r="E965" s="223"/>
      <c r="F965" s="357"/>
      <c r="G965" s="223"/>
      <c r="H965" s="223"/>
      <c r="I965" s="223"/>
      <c r="J965" s="223"/>
      <c r="K965" s="223"/>
      <c r="L965" s="223"/>
      <c r="M965" s="223"/>
      <c r="N965" s="223"/>
      <c r="O965" s="223"/>
      <c r="P965" s="223"/>
      <c r="Q965" s="223"/>
      <c r="R965" s="223"/>
    </row>
    <row r="966">
      <c r="A966" s="223"/>
      <c r="B966" s="223"/>
      <c r="C966" s="223"/>
      <c r="D966" s="223"/>
      <c r="E966" s="223"/>
      <c r="F966" s="357"/>
      <c r="G966" s="223"/>
      <c r="H966" s="223"/>
      <c r="I966" s="223"/>
      <c r="J966" s="223"/>
      <c r="K966" s="223"/>
      <c r="L966" s="223"/>
      <c r="M966" s="223"/>
      <c r="N966" s="223"/>
      <c r="O966" s="223"/>
      <c r="P966" s="223"/>
      <c r="Q966" s="223"/>
      <c r="R966" s="223"/>
    </row>
    <row r="967">
      <c r="A967" s="223"/>
      <c r="B967" s="223"/>
      <c r="C967" s="223"/>
      <c r="D967" s="223"/>
      <c r="E967" s="223"/>
      <c r="F967" s="357"/>
      <c r="G967" s="223"/>
      <c r="H967" s="223"/>
      <c r="I967" s="223"/>
      <c r="J967" s="223"/>
      <c r="K967" s="223"/>
      <c r="L967" s="223"/>
      <c r="M967" s="223"/>
      <c r="N967" s="223"/>
      <c r="O967" s="223"/>
      <c r="P967" s="223"/>
      <c r="Q967" s="223"/>
      <c r="R967" s="223"/>
    </row>
    <row r="968">
      <c r="A968" s="223"/>
      <c r="B968" s="223"/>
      <c r="C968" s="223"/>
      <c r="D968" s="223"/>
      <c r="E968" s="223"/>
      <c r="F968" s="357"/>
      <c r="G968" s="223"/>
      <c r="H968" s="223"/>
      <c r="I968" s="223"/>
      <c r="J968" s="223"/>
      <c r="K968" s="223"/>
      <c r="L968" s="223"/>
      <c r="M968" s="223"/>
      <c r="N968" s="223"/>
      <c r="O968" s="223"/>
      <c r="P968" s="223"/>
      <c r="Q968" s="223"/>
      <c r="R968" s="223"/>
    </row>
    <row r="969">
      <c r="A969" s="223"/>
      <c r="B969" s="223"/>
      <c r="C969" s="223"/>
      <c r="D969" s="223"/>
      <c r="E969" s="223"/>
      <c r="F969" s="357"/>
      <c r="G969" s="223"/>
      <c r="H969" s="223"/>
      <c r="I969" s="223"/>
      <c r="J969" s="223"/>
      <c r="K969" s="223"/>
      <c r="L969" s="223"/>
      <c r="M969" s="223"/>
      <c r="N969" s="223"/>
      <c r="O969" s="223"/>
      <c r="P969" s="223"/>
      <c r="Q969" s="223"/>
      <c r="R969" s="223"/>
    </row>
    <row r="970">
      <c r="A970" s="223"/>
      <c r="B970" s="223"/>
      <c r="C970" s="223"/>
      <c r="D970" s="223"/>
      <c r="E970" s="223"/>
      <c r="F970" s="357"/>
      <c r="G970" s="223"/>
      <c r="H970" s="223"/>
      <c r="I970" s="223"/>
      <c r="J970" s="223"/>
      <c r="K970" s="223"/>
      <c r="L970" s="223"/>
      <c r="M970" s="223"/>
      <c r="N970" s="223"/>
      <c r="O970" s="223"/>
      <c r="P970" s="223"/>
      <c r="Q970" s="223"/>
      <c r="R970" s="223"/>
    </row>
    <row r="971">
      <c r="A971" s="223"/>
      <c r="B971" s="223"/>
      <c r="C971" s="223"/>
      <c r="D971" s="223"/>
      <c r="E971" s="223"/>
      <c r="F971" s="357"/>
      <c r="G971" s="223"/>
      <c r="H971" s="223"/>
      <c r="I971" s="223"/>
      <c r="J971" s="223"/>
      <c r="K971" s="223"/>
      <c r="L971" s="223"/>
      <c r="M971" s="223"/>
      <c r="N971" s="223"/>
      <c r="O971" s="223"/>
      <c r="P971" s="223"/>
      <c r="Q971" s="223"/>
      <c r="R971" s="223"/>
    </row>
    <row r="972">
      <c r="A972" s="223"/>
      <c r="B972" s="223"/>
      <c r="C972" s="223"/>
      <c r="D972" s="223"/>
      <c r="E972" s="223"/>
      <c r="F972" s="357"/>
      <c r="G972" s="223"/>
      <c r="H972" s="223"/>
      <c r="I972" s="223"/>
      <c r="J972" s="223"/>
      <c r="K972" s="223"/>
      <c r="L972" s="223"/>
      <c r="M972" s="223"/>
      <c r="N972" s="223"/>
      <c r="O972" s="223"/>
      <c r="P972" s="223"/>
      <c r="Q972" s="223"/>
      <c r="R972" s="223"/>
    </row>
    <row r="973">
      <c r="A973" s="223"/>
      <c r="B973" s="223"/>
      <c r="C973" s="223"/>
      <c r="D973" s="223"/>
      <c r="E973" s="223"/>
      <c r="F973" s="357"/>
      <c r="G973" s="223"/>
      <c r="H973" s="223"/>
      <c r="I973" s="223"/>
      <c r="J973" s="223"/>
      <c r="K973" s="223"/>
      <c r="L973" s="223"/>
      <c r="M973" s="223"/>
      <c r="N973" s="223"/>
      <c r="O973" s="223"/>
      <c r="P973" s="223"/>
      <c r="Q973" s="223"/>
      <c r="R973" s="223"/>
    </row>
    <row r="974">
      <c r="A974" s="223"/>
      <c r="B974" s="223"/>
      <c r="C974" s="223"/>
      <c r="D974" s="223"/>
      <c r="E974" s="223"/>
      <c r="F974" s="357"/>
      <c r="G974" s="223"/>
      <c r="H974" s="223"/>
      <c r="I974" s="223"/>
      <c r="J974" s="223"/>
      <c r="K974" s="223"/>
      <c r="L974" s="223"/>
      <c r="M974" s="223"/>
      <c r="N974" s="223"/>
      <c r="O974" s="223"/>
      <c r="P974" s="223"/>
      <c r="Q974" s="223"/>
      <c r="R974" s="223"/>
    </row>
    <row r="975">
      <c r="A975" s="223"/>
      <c r="B975" s="223"/>
      <c r="C975" s="223"/>
      <c r="D975" s="223"/>
      <c r="E975" s="223"/>
      <c r="F975" s="357"/>
      <c r="G975" s="223"/>
      <c r="H975" s="223"/>
      <c r="I975" s="223"/>
      <c r="J975" s="223"/>
      <c r="K975" s="223"/>
      <c r="L975" s="223"/>
      <c r="M975" s="223"/>
      <c r="N975" s="223"/>
      <c r="O975" s="223"/>
      <c r="P975" s="223"/>
      <c r="Q975" s="223"/>
      <c r="R975" s="223"/>
    </row>
    <row r="976">
      <c r="A976" s="223"/>
      <c r="B976" s="223"/>
      <c r="C976" s="223"/>
      <c r="D976" s="223"/>
      <c r="E976" s="223"/>
      <c r="F976" s="357"/>
      <c r="G976" s="223"/>
      <c r="H976" s="223"/>
      <c r="I976" s="223"/>
      <c r="J976" s="223"/>
      <c r="K976" s="223"/>
      <c r="L976" s="223"/>
      <c r="M976" s="223"/>
      <c r="N976" s="223"/>
      <c r="O976" s="223"/>
      <c r="P976" s="223"/>
      <c r="Q976" s="223"/>
      <c r="R976" s="223"/>
    </row>
    <row r="977">
      <c r="A977" s="223"/>
      <c r="B977" s="223"/>
      <c r="C977" s="223"/>
      <c r="D977" s="223"/>
      <c r="E977" s="223"/>
      <c r="F977" s="357"/>
      <c r="G977" s="223"/>
      <c r="H977" s="223"/>
      <c r="I977" s="223"/>
      <c r="J977" s="223"/>
      <c r="K977" s="223"/>
      <c r="L977" s="223"/>
      <c r="M977" s="223"/>
      <c r="N977" s="223"/>
      <c r="O977" s="223"/>
      <c r="P977" s="223"/>
      <c r="Q977" s="223"/>
      <c r="R977" s="223"/>
    </row>
    <row r="978">
      <c r="A978" s="223"/>
      <c r="B978" s="223"/>
      <c r="C978" s="223"/>
      <c r="D978" s="223"/>
      <c r="E978" s="223"/>
      <c r="F978" s="357"/>
      <c r="G978" s="223"/>
      <c r="H978" s="223"/>
      <c r="I978" s="223"/>
      <c r="J978" s="223"/>
      <c r="K978" s="223"/>
      <c r="L978" s="223"/>
      <c r="M978" s="223"/>
      <c r="N978" s="223"/>
      <c r="O978" s="223"/>
      <c r="P978" s="223"/>
      <c r="Q978" s="223"/>
      <c r="R978" s="223"/>
    </row>
    <row r="979">
      <c r="A979" s="223"/>
      <c r="B979" s="223"/>
      <c r="C979" s="223"/>
      <c r="D979" s="223"/>
      <c r="E979" s="223"/>
      <c r="F979" s="357"/>
      <c r="G979" s="223"/>
      <c r="H979" s="223"/>
      <c r="I979" s="223"/>
      <c r="J979" s="223"/>
      <c r="K979" s="223"/>
      <c r="L979" s="223"/>
      <c r="M979" s="223"/>
      <c r="N979" s="223"/>
      <c r="O979" s="223"/>
      <c r="P979" s="223"/>
      <c r="Q979" s="223"/>
      <c r="R979" s="223"/>
    </row>
    <row r="980">
      <c r="A980" s="223"/>
      <c r="B980" s="223"/>
      <c r="C980" s="223"/>
      <c r="D980" s="223"/>
      <c r="E980" s="223"/>
      <c r="F980" s="357"/>
      <c r="G980" s="223"/>
      <c r="H980" s="223"/>
      <c r="I980" s="223"/>
      <c r="J980" s="223"/>
      <c r="K980" s="223"/>
      <c r="L980" s="223"/>
      <c r="M980" s="223"/>
      <c r="N980" s="223"/>
      <c r="O980" s="223"/>
      <c r="P980" s="223"/>
      <c r="Q980" s="223"/>
      <c r="R980" s="223"/>
    </row>
    <row r="981">
      <c r="A981" s="223"/>
      <c r="B981" s="223"/>
      <c r="C981" s="223"/>
      <c r="D981" s="223"/>
      <c r="E981" s="223"/>
      <c r="F981" s="357"/>
      <c r="G981" s="223"/>
      <c r="H981" s="223"/>
      <c r="I981" s="223"/>
      <c r="J981" s="223"/>
      <c r="K981" s="223"/>
      <c r="L981" s="223"/>
      <c r="M981" s="223"/>
      <c r="N981" s="223"/>
      <c r="O981" s="223"/>
      <c r="P981" s="223"/>
      <c r="Q981" s="223"/>
      <c r="R981" s="223"/>
    </row>
    <row r="982">
      <c r="A982" s="223"/>
      <c r="B982" s="223"/>
      <c r="C982" s="223"/>
      <c r="D982" s="223"/>
      <c r="E982" s="223"/>
      <c r="F982" s="357"/>
      <c r="G982" s="223"/>
      <c r="H982" s="223"/>
      <c r="I982" s="223"/>
      <c r="J982" s="223"/>
      <c r="K982" s="223"/>
      <c r="L982" s="223"/>
      <c r="M982" s="223"/>
      <c r="N982" s="223"/>
      <c r="O982" s="223"/>
      <c r="P982" s="223"/>
      <c r="Q982" s="223"/>
      <c r="R982" s="223"/>
    </row>
    <row r="983">
      <c r="A983" s="223"/>
      <c r="B983" s="223"/>
      <c r="C983" s="223"/>
      <c r="D983" s="223"/>
      <c r="E983" s="223"/>
      <c r="F983" s="357"/>
      <c r="G983" s="223"/>
      <c r="H983" s="223"/>
      <c r="I983" s="223"/>
      <c r="J983" s="223"/>
      <c r="K983" s="223"/>
      <c r="L983" s="223"/>
      <c r="M983" s="223"/>
      <c r="N983" s="223"/>
      <c r="O983" s="223"/>
      <c r="P983" s="223"/>
      <c r="Q983" s="223"/>
      <c r="R983" s="223"/>
    </row>
    <row r="984">
      <c r="A984" s="223"/>
      <c r="B984" s="223"/>
      <c r="C984" s="223"/>
      <c r="D984" s="223"/>
      <c r="E984" s="223"/>
      <c r="F984" s="357"/>
      <c r="G984" s="223"/>
      <c r="H984" s="223"/>
      <c r="I984" s="223"/>
      <c r="J984" s="223"/>
      <c r="K984" s="223"/>
      <c r="L984" s="223"/>
      <c r="M984" s="223"/>
      <c r="N984" s="223"/>
      <c r="O984" s="223"/>
      <c r="P984" s="223"/>
      <c r="Q984" s="223"/>
      <c r="R984" s="223"/>
    </row>
    <row r="985">
      <c r="A985" s="223"/>
      <c r="B985" s="223"/>
      <c r="C985" s="223"/>
      <c r="D985" s="223"/>
      <c r="E985" s="223"/>
      <c r="F985" s="357"/>
      <c r="G985" s="223"/>
      <c r="H985" s="223"/>
      <c r="I985" s="223"/>
      <c r="J985" s="223"/>
      <c r="K985" s="223"/>
      <c r="L985" s="223"/>
      <c r="M985" s="223"/>
      <c r="N985" s="223"/>
      <c r="O985" s="223"/>
      <c r="P985" s="223"/>
      <c r="Q985" s="223"/>
      <c r="R985" s="223"/>
    </row>
    <row r="986">
      <c r="A986" s="223"/>
      <c r="B986" s="223"/>
      <c r="C986" s="223"/>
      <c r="D986" s="223"/>
      <c r="E986" s="223"/>
      <c r="F986" s="357"/>
      <c r="G986" s="223"/>
      <c r="H986" s="223"/>
      <c r="I986" s="223"/>
      <c r="J986" s="223"/>
      <c r="K986" s="223"/>
      <c r="L986" s="223"/>
      <c r="M986" s="223"/>
      <c r="N986" s="223"/>
      <c r="O986" s="223"/>
      <c r="P986" s="223"/>
      <c r="Q986" s="223"/>
      <c r="R986" s="223"/>
    </row>
    <row r="987">
      <c r="A987" s="223"/>
      <c r="B987" s="223"/>
      <c r="C987" s="223"/>
      <c r="D987" s="223"/>
      <c r="E987" s="223"/>
      <c r="F987" s="357"/>
      <c r="G987" s="223"/>
      <c r="H987" s="223"/>
      <c r="I987" s="223"/>
      <c r="J987" s="223"/>
      <c r="K987" s="223"/>
      <c r="L987" s="223"/>
      <c r="M987" s="223"/>
      <c r="N987" s="223"/>
      <c r="O987" s="223"/>
      <c r="P987" s="223"/>
      <c r="Q987" s="223"/>
      <c r="R987" s="223"/>
    </row>
    <row r="988">
      <c r="A988" s="223"/>
      <c r="B988" s="223"/>
      <c r="C988" s="223"/>
      <c r="D988" s="223"/>
      <c r="E988" s="223"/>
      <c r="F988" s="357"/>
      <c r="G988" s="223"/>
      <c r="H988" s="223"/>
      <c r="I988" s="223"/>
      <c r="J988" s="223"/>
      <c r="K988" s="223"/>
      <c r="L988" s="223"/>
      <c r="M988" s="223"/>
      <c r="N988" s="223"/>
      <c r="O988" s="223"/>
      <c r="P988" s="223"/>
      <c r="Q988" s="223"/>
      <c r="R988" s="223"/>
    </row>
    <row r="989">
      <c r="A989" s="223"/>
      <c r="B989" s="223"/>
      <c r="C989" s="223"/>
      <c r="D989" s="223"/>
      <c r="E989" s="223"/>
      <c r="F989" s="357"/>
      <c r="G989" s="223"/>
      <c r="H989" s="223"/>
      <c r="I989" s="223"/>
      <c r="J989" s="223"/>
      <c r="K989" s="223"/>
      <c r="L989" s="223"/>
      <c r="M989" s="223"/>
      <c r="N989" s="223"/>
      <c r="O989" s="223"/>
      <c r="P989" s="223"/>
      <c r="Q989" s="223"/>
      <c r="R989" s="223"/>
    </row>
    <row r="990">
      <c r="A990" s="223"/>
      <c r="B990" s="223"/>
      <c r="C990" s="223"/>
      <c r="D990" s="223"/>
      <c r="E990" s="223"/>
      <c r="F990" s="357"/>
      <c r="G990" s="223"/>
      <c r="H990" s="223"/>
      <c r="I990" s="223"/>
      <c r="J990" s="223"/>
      <c r="K990" s="223"/>
      <c r="L990" s="223"/>
      <c r="M990" s="223"/>
      <c r="N990" s="223"/>
      <c r="O990" s="223"/>
      <c r="P990" s="223"/>
      <c r="Q990" s="223"/>
      <c r="R990" s="223"/>
    </row>
    <row r="991">
      <c r="A991" s="223"/>
      <c r="B991" s="223"/>
      <c r="C991" s="223"/>
      <c r="D991" s="223"/>
      <c r="E991" s="223"/>
      <c r="F991" s="357"/>
      <c r="G991" s="223"/>
      <c r="H991" s="223"/>
      <c r="I991" s="223"/>
      <c r="J991" s="223"/>
      <c r="K991" s="223"/>
      <c r="L991" s="223"/>
      <c r="M991" s="223"/>
      <c r="N991" s="223"/>
      <c r="O991" s="223"/>
      <c r="P991" s="223"/>
      <c r="Q991" s="223"/>
      <c r="R991" s="223"/>
    </row>
    <row r="992">
      <c r="A992" s="223"/>
      <c r="B992" s="223"/>
      <c r="C992" s="223"/>
      <c r="D992" s="223"/>
      <c r="E992" s="223"/>
      <c r="F992" s="357"/>
      <c r="G992" s="223"/>
      <c r="H992" s="223"/>
      <c r="I992" s="223"/>
      <c r="J992" s="223"/>
      <c r="K992" s="223"/>
      <c r="L992" s="223"/>
      <c r="M992" s="223"/>
      <c r="N992" s="223"/>
      <c r="O992" s="223"/>
      <c r="P992" s="223"/>
      <c r="Q992" s="223"/>
      <c r="R992" s="223"/>
    </row>
    <row r="993">
      <c r="A993" s="223"/>
      <c r="B993" s="223"/>
      <c r="C993" s="223"/>
      <c r="D993" s="223"/>
      <c r="E993" s="223"/>
      <c r="F993" s="357"/>
      <c r="G993" s="223"/>
      <c r="H993" s="223"/>
      <c r="I993" s="223"/>
      <c r="J993" s="223"/>
      <c r="K993" s="223"/>
      <c r="L993" s="223"/>
      <c r="M993" s="223"/>
      <c r="N993" s="223"/>
      <c r="O993" s="223"/>
      <c r="P993" s="223"/>
      <c r="Q993" s="223"/>
      <c r="R993" s="223"/>
    </row>
    <row r="994">
      <c r="A994" s="223"/>
      <c r="B994" s="223"/>
      <c r="C994" s="223"/>
      <c r="D994" s="223"/>
      <c r="E994" s="223"/>
      <c r="F994" s="357"/>
      <c r="G994" s="223"/>
      <c r="H994" s="223"/>
      <c r="I994" s="223"/>
      <c r="J994" s="223"/>
      <c r="K994" s="223"/>
      <c r="L994" s="223"/>
      <c r="M994" s="223"/>
      <c r="N994" s="223"/>
      <c r="O994" s="223"/>
      <c r="P994" s="223"/>
      <c r="Q994" s="223"/>
      <c r="R994" s="223"/>
    </row>
    <row r="995">
      <c r="A995" s="223"/>
      <c r="B995" s="223"/>
      <c r="C995" s="223"/>
      <c r="D995" s="223"/>
      <c r="E995" s="223"/>
      <c r="F995" s="357"/>
      <c r="G995" s="223"/>
      <c r="H995" s="223"/>
      <c r="I995" s="223"/>
      <c r="J995" s="223"/>
      <c r="K995" s="223"/>
      <c r="L995" s="223"/>
      <c r="M995" s="223"/>
      <c r="N995" s="223"/>
      <c r="O995" s="223"/>
      <c r="P995" s="223"/>
      <c r="Q995" s="223"/>
      <c r="R995" s="223"/>
    </row>
    <row r="996">
      <c r="A996" s="223"/>
      <c r="B996" s="223"/>
      <c r="C996" s="223"/>
      <c r="D996" s="223"/>
      <c r="E996" s="223"/>
      <c r="F996" s="357"/>
      <c r="G996" s="223"/>
      <c r="H996" s="223"/>
      <c r="I996" s="223"/>
      <c r="J996" s="223"/>
      <c r="K996" s="223"/>
      <c r="L996" s="223"/>
      <c r="M996" s="223"/>
      <c r="N996" s="223"/>
      <c r="O996" s="223"/>
      <c r="P996" s="223"/>
      <c r="Q996" s="223"/>
      <c r="R996" s="223"/>
    </row>
    <row r="997">
      <c r="A997" s="223"/>
      <c r="B997" s="223"/>
      <c r="C997" s="223"/>
      <c r="D997" s="223"/>
      <c r="E997" s="223"/>
      <c r="F997" s="357"/>
      <c r="G997" s="223"/>
      <c r="H997" s="223"/>
      <c r="I997" s="223"/>
      <c r="J997" s="223"/>
      <c r="K997" s="223"/>
      <c r="L997" s="223"/>
      <c r="M997" s="223"/>
      <c r="N997" s="223"/>
      <c r="O997" s="223"/>
      <c r="P997" s="223"/>
      <c r="Q997" s="223"/>
      <c r="R997" s="223"/>
    </row>
    <row r="998">
      <c r="A998" s="223"/>
      <c r="B998" s="223"/>
      <c r="C998" s="223"/>
      <c r="D998" s="223"/>
      <c r="E998" s="223"/>
      <c r="F998" s="357"/>
      <c r="G998" s="223"/>
      <c r="H998" s="223"/>
      <c r="I998" s="223"/>
      <c r="J998" s="223"/>
      <c r="K998" s="223"/>
      <c r="L998" s="223"/>
      <c r="M998" s="223"/>
      <c r="N998" s="223"/>
      <c r="O998" s="223"/>
      <c r="P998" s="223"/>
      <c r="Q998" s="223"/>
      <c r="R998" s="223"/>
    </row>
    <row r="999">
      <c r="A999" s="223"/>
      <c r="B999" s="223"/>
      <c r="C999" s="223"/>
      <c r="D999" s="223"/>
      <c r="E999" s="223"/>
      <c r="F999" s="357"/>
      <c r="G999" s="223"/>
      <c r="H999" s="223"/>
      <c r="I999" s="223"/>
      <c r="J999" s="223"/>
      <c r="K999" s="223"/>
      <c r="L999" s="223"/>
      <c r="M999" s="223"/>
      <c r="N999" s="223"/>
      <c r="O999" s="223"/>
      <c r="P999" s="223"/>
      <c r="Q999" s="223"/>
      <c r="R999" s="223"/>
    </row>
    <row r="1000">
      <c r="A1000" s="223"/>
      <c r="B1000" s="223"/>
      <c r="C1000" s="223"/>
      <c r="D1000" s="223"/>
      <c r="E1000" s="223"/>
      <c r="F1000" s="357"/>
      <c r="G1000" s="223"/>
      <c r="H1000" s="223"/>
      <c r="I1000" s="223"/>
      <c r="J1000" s="223"/>
      <c r="K1000" s="223"/>
      <c r="L1000" s="223"/>
      <c r="M1000" s="223"/>
      <c r="N1000" s="223"/>
      <c r="O1000" s="223"/>
      <c r="P1000" s="223"/>
      <c r="Q1000" s="223"/>
      <c r="R1000" s="223"/>
    </row>
    <row r="1001">
      <c r="A1001" s="223"/>
      <c r="B1001" s="223"/>
      <c r="C1001" s="223"/>
      <c r="D1001" s="223"/>
      <c r="E1001" s="223"/>
      <c r="F1001" s="223"/>
      <c r="G1001" s="223"/>
      <c r="H1001" s="223"/>
      <c r="I1001" s="223"/>
      <c r="J1001" s="223"/>
      <c r="K1001" s="223"/>
      <c r="L1001" s="223"/>
      <c r="M1001" s="223"/>
      <c r="N1001" s="223"/>
      <c r="O1001" s="223"/>
      <c r="P1001" s="223"/>
      <c r="Q1001" s="223"/>
      <c r="R1001" s="223"/>
    </row>
    <row r="1002">
      <c r="A1002" s="223"/>
      <c r="B1002" s="223"/>
      <c r="C1002" s="223"/>
      <c r="D1002" s="223"/>
      <c r="E1002" s="223"/>
      <c r="F1002" s="223"/>
      <c r="G1002" s="223"/>
      <c r="H1002" s="223"/>
      <c r="I1002" s="223"/>
      <c r="J1002" s="223"/>
      <c r="K1002" s="223"/>
      <c r="L1002" s="223"/>
      <c r="M1002" s="223"/>
      <c r="N1002" s="223"/>
      <c r="O1002" s="223"/>
      <c r="P1002" s="223"/>
      <c r="Q1002" s="223"/>
      <c r="R1002" s="223"/>
    </row>
    <row r="1003">
      <c r="A1003" s="223"/>
      <c r="B1003" s="223"/>
      <c r="C1003" s="223"/>
      <c r="D1003" s="223"/>
      <c r="E1003" s="223"/>
      <c r="F1003" s="223"/>
      <c r="G1003" s="223"/>
      <c r="H1003" s="223"/>
      <c r="I1003" s="223"/>
      <c r="J1003" s="223"/>
      <c r="K1003" s="223"/>
      <c r="L1003" s="223"/>
      <c r="M1003" s="223"/>
      <c r="N1003" s="223"/>
      <c r="O1003" s="223"/>
      <c r="P1003" s="223"/>
      <c r="Q1003" s="223"/>
      <c r="R1003" s="223"/>
    </row>
    <row r="1004">
      <c r="A1004" s="223"/>
      <c r="B1004" s="223"/>
      <c r="C1004" s="223"/>
      <c r="D1004" s="223"/>
      <c r="E1004" s="223"/>
      <c r="F1004" s="223"/>
      <c r="G1004" s="223"/>
      <c r="H1004" s="223"/>
      <c r="I1004" s="223"/>
      <c r="J1004" s="223"/>
      <c r="K1004" s="223"/>
      <c r="L1004" s="223"/>
      <c r="M1004" s="223"/>
      <c r="N1004" s="223"/>
      <c r="O1004" s="223"/>
      <c r="P1004" s="223"/>
      <c r="Q1004" s="223"/>
      <c r="R1004" s="223"/>
    </row>
    <row r="1005">
      <c r="A1005" s="223"/>
      <c r="B1005" s="223"/>
      <c r="C1005" s="223"/>
      <c r="D1005" s="223"/>
      <c r="E1005" s="223"/>
      <c r="F1005" s="223"/>
      <c r="G1005" s="223"/>
      <c r="H1005" s="223"/>
      <c r="I1005" s="223"/>
      <c r="J1005" s="223"/>
      <c r="K1005" s="223"/>
      <c r="L1005" s="223"/>
      <c r="M1005" s="223"/>
      <c r="N1005" s="223"/>
      <c r="O1005" s="223"/>
      <c r="P1005" s="223"/>
      <c r="Q1005" s="223"/>
      <c r="R1005" s="223"/>
    </row>
    <row r="1006">
      <c r="A1006" s="223"/>
      <c r="B1006" s="223"/>
      <c r="C1006" s="223"/>
      <c r="D1006" s="223"/>
      <c r="E1006" s="223"/>
      <c r="F1006" s="223"/>
      <c r="G1006" s="223"/>
      <c r="H1006" s="223"/>
      <c r="I1006" s="223"/>
      <c r="J1006" s="223"/>
      <c r="K1006" s="223"/>
      <c r="L1006" s="223"/>
      <c r="M1006" s="223"/>
      <c r="N1006" s="223"/>
      <c r="O1006" s="223"/>
      <c r="P1006" s="223"/>
      <c r="Q1006" s="223"/>
      <c r="R1006" s="223"/>
    </row>
    <row r="1007">
      <c r="A1007" s="223"/>
      <c r="B1007" s="223"/>
      <c r="C1007" s="223"/>
      <c r="D1007" s="223"/>
      <c r="E1007" s="223"/>
      <c r="F1007" s="223"/>
      <c r="G1007" s="223"/>
      <c r="H1007" s="223"/>
      <c r="I1007" s="223"/>
      <c r="J1007" s="223"/>
      <c r="K1007" s="223"/>
      <c r="L1007" s="223"/>
      <c r="M1007" s="223"/>
      <c r="N1007" s="223"/>
      <c r="O1007" s="223"/>
      <c r="P1007" s="223"/>
      <c r="Q1007" s="223"/>
      <c r="R1007" s="223"/>
    </row>
    <row r="1008">
      <c r="A1008" s="223"/>
      <c r="B1008" s="223"/>
      <c r="C1008" s="223"/>
      <c r="D1008" s="223"/>
      <c r="E1008" s="223"/>
      <c r="F1008" s="223"/>
      <c r="G1008" s="223"/>
      <c r="H1008" s="223"/>
      <c r="I1008" s="223"/>
      <c r="J1008" s="223"/>
      <c r="K1008" s="223"/>
      <c r="L1008" s="223"/>
      <c r="M1008" s="223"/>
      <c r="N1008" s="223"/>
      <c r="O1008" s="223"/>
      <c r="P1008" s="223"/>
      <c r="Q1008" s="223"/>
      <c r="R1008" s="223"/>
    </row>
    <row r="1009">
      <c r="A1009" s="223"/>
      <c r="B1009" s="223"/>
      <c r="C1009" s="223"/>
      <c r="D1009" s="223"/>
      <c r="E1009" s="223"/>
      <c r="F1009" s="223"/>
      <c r="G1009" s="223"/>
      <c r="H1009" s="223"/>
      <c r="I1009" s="223"/>
      <c r="J1009" s="223"/>
      <c r="K1009" s="223"/>
      <c r="L1009" s="223"/>
      <c r="M1009" s="223"/>
      <c r="N1009" s="223"/>
      <c r="O1009" s="223"/>
      <c r="P1009" s="223"/>
      <c r="Q1009" s="223"/>
      <c r="R1009" s="223"/>
    </row>
    <row r="1010">
      <c r="A1010" s="223"/>
      <c r="B1010" s="223"/>
      <c r="C1010" s="223"/>
      <c r="D1010" s="223"/>
      <c r="E1010" s="223"/>
      <c r="F1010" s="223"/>
      <c r="G1010" s="223"/>
      <c r="H1010" s="223"/>
      <c r="I1010" s="223"/>
      <c r="J1010" s="223"/>
      <c r="K1010" s="223"/>
      <c r="L1010" s="223"/>
      <c r="M1010" s="223"/>
      <c r="N1010" s="223"/>
      <c r="O1010" s="223"/>
      <c r="P1010" s="223"/>
      <c r="Q1010" s="223"/>
      <c r="R1010" s="223"/>
    </row>
    <row r="1011">
      <c r="A1011" s="223"/>
      <c r="B1011" s="223"/>
      <c r="C1011" s="223"/>
      <c r="D1011" s="223"/>
      <c r="E1011" s="223"/>
      <c r="F1011" s="223"/>
      <c r="G1011" s="223"/>
      <c r="H1011" s="223"/>
      <c r="I1011" s="223"/>
      <c r="J1011" s="223"/>
      <c r="K1011" s="223"/>
      <c r="L1011" s="223"/>
      <c r="M1011" s="223"/>
      <c r="N1011" s="223"/>
      <c r="O1011" s="223"/>
      <c r="P1011" s="223"/>
      <c r="Q1011" s="223"/>
      <c r="R1011" s="223"/>
    </row>
    <row r="1012">
      <c r="A1012" s="223"/>
      <c r="B1012" s="223"/>
      <c r="C1012" s="223"/>
      <c r="D1012" s="223"/>
      <c r="E1012" s="223"/>
      <c r="F1012" s="223"/>
      <c r="G1012" s="223"/>
      <c r="H1012" s="223"/>
      <c r="I1012" s="223"/>
      <c r="J1012" s="223"/>
      <c r="K1012" s="223"/>
      <c r="L1012" s="223"/>
      <c r="M1012" s="223"/>
      <c r="N1012" s="223"/>
      <c r="O1012" s="223"/>
      <c r="P1012" s="223"/>
      <c r="Q1012" s="223"/>
      <c r="R1012" s="223"/>
    </row>
    <row r="1013">
      <c r="A1013" s="223"/>
      <c r="B1013" s="223"/>
      <c r="C1013" s="223"/>
      <c r="D1013" s="223"/>
      <c r="E1013" s="223"/>
      <c r="F1013" s="223"/>
      <c r="G1013" s="223"/>
      <c r="H1013" s="223"/>
      <c r="I1013" s="223"/>
      <c r="J1013" s="223"/>
      <c r="K1013" s="223"/>
      <c r="L1013" s="223"/>
      <c r="M1013" s="223"/>
      <c r="N1013" s="223"/>
      <c r="O1013" s="223"/>
      <c r="P1013" s="223"/>
      <c r="Q1013" s="223"/>
      <c r="R1013" s="223"/>
    </row>
    <row r="1014">
      <c r="A1014" s="223"/>
      <c r="B1014" s="223"/>
      <c r="C1014" s="223"/>
      <c r="D1014" s="223"/>
      <c r="E1014" s="223"/>
      <c r="F1014" s="223"/>
      <c r="G1014" s="223"/>
      <c r="H1014" s="223"/>
      <c r="I1014" s="223"/>
      <c r="J1014" s="223"/>
      <c r="K1014" s="223"/>
      <c r="L1014" s="223"/>
      <c r="M1014" s="223"/>
      <c r="N1014" s="223"/>
      <c r="O1014" s="223"/>
      <c r="P1014" s="223"/>
      <c r="Q1014" s="223"/>
      <c r="R1014" s="223"/>
    </row>
    <row r="1015">
      <c r="A1015" s="223"/>
      <c r="B1015" s="223"/>
      <c r="C1015" s="223"/>
      <c r="D1015" s="223"/>
      <c r="E1015" s="223"/>
      <c r="F1015" s="223"/>
      <c r="G1015" s="223"/>
      <c r="H1015" s="223"/>
      <c r="I1015" s="223"/>
      <c r="J1015" s="223"/>
      <c r="K1015" s="223"/>
      <c r="L1015" s="223"/>
      <c r="M1015" s="223"/>
      <c r="N1015" s="223"/>
      <c r="O1015" s="223"/>
      <c r="P1015" s="223"/>
      <c r="Q1015" s="223"/>
      <c r="R1015" s="223"/>
    </row>
    <row r="1016">
      <c r="A1016" s="223"/>
      <c r="B1016" s="223"/>
      <c r="C1016" s="223"/>
      <c r="D1016" s="223"/>
      <c r="E1016" s="223"/>
      <c r="F1016" s="223"/>
      <c r="G1016" s="223"/>
      <c r="H1016" s="223"/>
      <c r="I1016" s="223"/>
      <c r="J1016" s="223"/>
      <c r="K1016" s="223"/>
      <c r="L1016" s="223"/>
      <c r="M1016" s="223"/>
      <c r="N1016" s="223"/>
      <c r="O1016" s="223"/>
      <c r="P1016" s="223"/>
      <c r="Q1016" s="223"/>
      <c r="R1016" s="223"/>
    </row>
    <row r="1017">
      <c r="A1017" s="223"/>
      <c r="B1017" s="223"/>
      <c r="C1017" s="223"/>
      <c r="D1017" s="223"/>
      <c r="E1017" s="223"/>
      <c r="F1017" s="223"/>
      <c r="G1017" s="223"/>
      <c r="H1017" s="223"/>
      <c r="I1017" s="223"/>
      <c r="J1017" s="223"/>
      <c r="K1017" s="223"/>
      <c r="L1017" s="223"/>
      <c r="M1017" s="223"/>
      <c r="N1017" s="223"/>
      <c r="O1017" s="223"/>
      <c r="P1017" s="223"/>
      <c r="Q1017" s="223"/>
      <c r="R1017" s="223"/>
    </row>
    <row r="1018">
      <c r="A1018" s="223"/>
      <c r="B1018" s="223"/>
      <c r="C1018" s="223"/>
      <c r="D1018" s="223"/>
      <c r="E1018" s="223"/>
      <c r="F1018" s="223"/>
      <c r="G1018" s="223"/>
      <c r="H1018" s="223"/>
      <c r="I1018" s="223"/>
      <c r="J1018" s="223"/>
      <c r="K1018" s="223"/>
      <c r="L1018" s="223"/>
      <c r="M1018" s="223"/>
      <c r="N1018" s="223"/>
      <c r="O1018" s="223"/>
      <c r="P1018" s="223"/>
      <c r="Q1018" s="223"/>
      <c r="R1018" s="223"/>
    </row>
    <row r="1019">
      <c r="A1019" s="223"/>
      <c r="B1019" s="223"/>
      <c r="C1019" s="223"/>
      <c r="D1019" s="223"/>
      <c r="E1019" s="223"/>
      <c r="F1019" s="223"/>
      <c r="G1019" s="223"/>
      <c r="H1019" s="223"/>
      <c r="I1019" s="223"/>
      <c r="J1019" s="223"/>
      <c r="K1019" s="223"/>
      <c r="L1019" s="223"/>
      <c r="M1019" s="223"/>
      <c r="N1019" s="223"/>
      <c r="O1019" s="223"/>
      <c r="P1019" s="223"/>
      <c r="Q1019" s="223"/>
      <c r="R1019" s="223"/>
    </row>
    <row r="1020">
      <c r="A1020" s="223"/>
      <c r="B1020" s="223"/>
      <c r="C1020" s="223"/>
      <c r="D1020" s="223"/>
      <c r="E1020" s="223"/>
      <c r="F1020" s="223"/>
      <c r="G1020" s="223"/>
      <c r="H1020" s="223"/>
      <c r="I1020" s="223"/>
      <c r="J1020" s="223"/>
      <c r="K1020" s="223"/>
      <c r="L1020" s="223"/>
      <c r="M1020" s="223"/>
      <c r="N1020" s="223"/>
      <c r="O1020" s="223"/>
      <c r="P1020" s="223"/>
      <c r="Q1020" s="223"/>
      <c r="R1020" s="223"/>
    </row>
    <row r="1021">
      <c r="A1021" s="223"/>
      <c r="B1021" s="223"/>
      <c r="C1021" s="223"/>
      <c r="D1021" s="223"/>
      <c r="E1021" s="223"/>
      <c r="F1021" s="223"/>
      <c r="G1021" s="223"/>
      <c r="H1021" s="223"/>
      <c r="I1021" s="223"/>
      <c r="J1021" s="223"/>
      <c r="K1021" s="223"/>
      <c r="L1021" s="223"/>
      <c r="M1021" s="223"/>
      <c r="N1021" s="223"/>
      <c r="O1021" s="223"/>
      <c r="P1021" s="223"/>
      <c r="Q1021" s="223"/>
      <c r="R1021" s="223"/>
    </row>
    <row r="1022">
      <c r="A1022" s="223"/>
      <c r="B1022" s="223"/>
      <c r="C1022" s="223"/>
      <c r="D1022" s="223"/>
      <c r="E1022" s="223"/>
      <c r="F1022" s="223"/>
      <c r="G1022" s="223"/>
      <c r="H1022" s="223"/>
      <c r="I1022" s="223"/>
      <c r="J1022" s="223"/>
      <c r="K1022" s="223"/>
      <c r="L1022" s="223"/>
      <c r="M1022" s="223"/>
      <c r="N1022" s="223"/>
      <c r="O1022" s="223"/>
      <c r="P1022" s="223"/>
      <c r="Q1022" s="223"/>
      <c r="R1022" s="223"/>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48" t="s">
        <v>12448</v>
      </c>
      <c r="B1" s="549"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プラットフォー"&amp;"ムの規約を遵守してください。イエロータグ付きコンテンツ、ヌード等は禁止されています。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550"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51"/>
      <c r="E1" s="552"/>
      <c r="F1" s="552"/>
      <c r="G1" s="552"/>
      <c r="H1" s="552"/>
      <c r="I1" s="552"/>
      <c r="J1" s="552"/>
      <c r="K1" s="552"/>
      <c r="L1" s="552"/>
      <c r="M1" s="552"/>
      <c r="N1" s="552"/>
      <c r="O1" s="552"/>
      <c r="P1" s="552"/>
      <c r="Q1" s="552"/>
      <c r="R1" s="552"/>
      <c r="S1" s="552"/>
      <c r="T1" s="552"/>
      <c r="U1" s="552"/>
      <c r="V1" s="552"/>
      <c r="W1" s="552"/>
      <c r="X1" s="552"/>
      <c r="Y1" s="552"/>
      <c r="Z1" s="552"/>
    </row>
    <row r="2">
      <c r="A2" s="553" t="s">
        <v>12449</v>
      </c>
      <c r="B2" s="73" t="str">
        <f>IFERROR(__xludf.DUMMYFUNCTION("GOOGLETRANSLATE(A2,""zh-tw"",""ja"")"),"公式Discordグループ：
https://discord.gg/2Bt7RWknyH")</f>
        <v>公式Discordグループ：
https://discord.gg/2Bt7RWknyH</v>
      </c>
      <c r="C2" s="554" t="str">
        <f>IFERROR(__xludf.DUMMYFUNCTION("GOOGLETRANSLATE(A2,""zh-tw"",""en"")"),"Official Discord group:
https://discord.gg/2Bt7RWknyH")</f>
        <v>Official Discord group:
https://discord.gg/2Bt7RWknyH</v>
      </c>
      <c r="E2" s="552"/>
      <c r="F2" s="552"/>
      <c r="G2" s="552"/>
      <c r="H2" s="552"/>
      <c r="I2" s="552"/>
      <c r="J2" s="552"/>
      <c r="K2" s="552"/>
      <c r="L2" s="552"/>
      <c r="M2" s="552"/>
      <c r="N2" s="552"/>
      <c r="O2" s="552"/>
      <c r="P2" s="552"/>
      <c r="Q2" s="552"/>
      <c r="R2" s="552"/>
      <c r="S2" s="552"/>
      <c r="T2" s="552"/>
      <c r="U2" s="552"/>
      <c r="V2" s="552"/>
      <c r="W2" s="552"/>
      <c r="X2" s="552"/>
      <c r="Y2" s="552"/>
      <c r="Z2" s="552"/>
    </row>
    <row r="3">
      <c r="A3" s="555" t="s">
        <v>12450</v>
      </c>
      <c r="B3" s="73" t="s">
        <v>12450</v>
      </c>
      <c r="C3" s="554" t="s">
        <v>12450</v>
      </c>
      <c r="E3" s="552"/>
      <c r="F3" s="552"/>
      <c r="G3" s="552"/>
      <c r="H3" s="552"/>
      <c r="I3" s="552"/>
      <c r="J3" s="552"/>
      <c r="K3" s="552"/>
      <c r="L3" s="552"/>
      <c r="M3" s="552"/>
      <c r="N3" s="552"/>
      <c r="O3" s="552"/>
      <c r="P3" s="552"/>
      <c r="Q3" s="552"/>
      <c r="R3" s="552"/>
      <c r="S3" s="552"/>
      <c r="T3" s="552"/>
      <c r="U3" s="552"/>
      <c r="V3" s="552"/>
      <c r="W3" s="552"/>
      <c r="X3" s="552"/>
      <c r="Y3" s="552"/>
      <c r="Z3" s="552"/>
    </row>
    <row r="4">
      <c r="A4" s="556"/>
      <c r="E4" s="552"/>
      <c r="F4" s="552"/>
      <c r="G4" s="552"/>
      <c r="H4" s="552"/>
      <c r="I4" s="552"/>
      <c r="J4" s="552"/>
      <c r="K4" s="552"/>
      <c r="L4" s="552"/>
      <c r="M4" s="552"/>
      <c r="N4" s="552"/>
      <c r="O4" s="552"/>
      <c r="P4" s="552"/>
      <c r="Q4" s="552"/>
      <c r="R4" s="552"/>
      <c r="S4" s="552"/>
      <c r="T4" s="552"/>
      <c r="U4" s="552"/>
      <c r="V4" s="552"/>
      <c r="W4" s="552"/>
      <c r="X4" s="552"/>
      <c r="Y4" s="552"/>
      <c r="Z4" s="552"/>
    </row>
    <row r="5">
      <c r="A5" s="553" t="s">
        <v>12451</v>
      </c>
      <c r="B5" s="73" t="str">
        <f>IFERROR(__xludf.DUMMYFUNCTION("GOOGLETRANSLATE(A5,""zh-tw"",""ja"")"),"公式YouTubeチャンネル")</f>
        <v>公式YouTubeチャンネル</v>
      </c>
      <c r="C5" s="554" t="str">
        <f>IFERROR(__xludf.DUMMYFUNCTION("GOOGLETRANSLATE(A5,""zh-tw"",""en"")"),"Official YouTube channel")</f>
        <v>Official YouTube channel</v>
      </c>
      <c r="D5" s="495" t="s">
        <v>12452</v>
      </c>
      <c r="E5" s="552"/>
      <c r="F5" s="552"/>
      <c r="G5" s="552"/>
      <c r="H5" s="552"/>
      <c r="I5" s="552"/>
      <c r="J5" s="552"/>
      <c r="K5" s="552"/>
      <c r="L5" s="552"/>
      <c r="M5" s="552"/>
      <c r="N5" s="552"/>
      <c r="O5" s="552"/>
      <c r="P5" s="552"/>
      <c r="Q5" s="552"/>
      <c r="R5" s="552"/>
      <c r="S5" s="552"/>
      <c r="T5" s="552"/>
      <c r="U5" s="552"/>
      <c r="V5" s="552"/>
      <c r="W5" s="552"/>
      <c r="X5" s="552"/>
      <c r="Y5" s="552"/>
      <c r="Z5" s="552"/>
    </row>
    <row r="6">
      <c r="A6" s="553" t="s">
        <v>12453</v>
      </c>
      <c r="B6" s="73" t="str">
        <f>IFERROR(__xludf.DUMMYFUNCTION("GOOGLETRANSLATE(A6,""zh-tw"",""ja"")"),"公式法案")</f>
        <v>公式法案</v>
      </c>
      <c r="C6" s="554" t="str">
        <f>IFERROR(__xludf.DUMMYFUNCTION("GOOGLETRANSLATE(A6,""zh-tw"",""en"")"),"Official bill")</f>
        <v>Official bill</v>
      </c>
      <c r="D6" s="495" t="s">
        <v>12452</v>
      </c>
      <c r="E6" s="552"/>
      <c r="F6" s="552"/>
      <c r="G6" s="552"/>
      <c r="H6" s="552"/>
      <c r="I6" s="552"/>
      <c r="J6" s="552"/>
      <c r="K6" s="552"/>
      <c r="L6" s="552"/>
      <c r="M6" s="552"/>
      <c r="N6" s="552"/>
      <c r="O6" s="552"/>
      <c r="P6" s="552"/>
      <c r="Q6" s="552"/>
      <c r="R6" s="552"/>
      <c r="S6" s="552"/>
      <c r="T6" s="552"/>
      <c r="U6" s="552"/>
      <c r="V6" s="552"/>
      <c r="W6" s="552"/>
      <c r="X6" s="552"/>
      <c r="Y6" s="552"/>
      <c r="Z6" s="552"/>
    </row>
    <row r="7">
      <c r="A7" s="553" t="s">
        <v>12454</v>
      </c>
      <c r="B7" s="73" t="str">
        <f>IFERROR(__xludf.DUMMYFUNCTION("GOOGLETRANSLATE(A7,""zh-tw"",""ja"")"),"片桐あきさんのYouTubeチャンネル
（妹役の声優）")</f>
        <v>片桐あきさんのYouTubeチャンネル
（妹役の声優）</v>
      </c>
      <c r="C7" s="554" t="str">
        <f>IFERROR(__xludf.DUMMYFUNCTION("GOOGLETRANSLATE(A7,""zh-tw"",""en"")"),"Aki Katagiri's YouTube channel
(Voice actress for her younger sister)")</f>
        <v>Aki Katagiri's YouTube channel
(Voice actress for her younger sister)</v>
      </c>
      <c r="D7" s="495" t="s">
        <v>12455</v>
      </c>
      <c r="E7" s="552"/>
      <c r="F7" s="552"/>
      <c r="G7" s="552"/>
      <c r="H7" s="552"/>
      <c r="I7" s="552"/>
      <c r="J7" s="552"/>
      <c r="K7" s="552"/>
      <c r="L7" s="552"/>
      <c r="M7" s="552"/>
      <c r="N7" s="552"/>
      <c r="O7" s="552"/>
      <c r="P7" s="552"/>
      <c r="Q7" s="552"/>
      <c r="R7" s="552"/>
      <c r="S7" s="552"/>
      <c r="T7" s="552"/>
      <c r="U7" s="552"/>
      <c r="V7" s="552"/>
      <c r="W7" s="552"/>
      <c r="X7" s="552"/>
      <c r="Y7" s="552"/>
      <c r="Z7" s="552"/>
    </row>
    <row r="8">
      <c r="A8" s="553" t="s">
        <v>12456</v>
      </c>
      <c r="B8" s="73" t="str">
        <f>IFERROR(__xludf.DUMMYFUNCTION("GOOGLETRANSLATE(A8,""zh-tw"",""ja"")"),"片桐亜紀（ビルビルチャンネル）
（妹役の声優）")</f>
        <v>片桐亜紀（ビルビルチャンネル）
（妹役の声優）</v>
      </c>
      <c r="C8" s="554" t="str">
        <f>IFERROR(__xludf.DUMMYFUNCTION("GOOGLETRANSLATE(A8,""zh-tw"",""en"")"),"Aki Katagiri (bilbill channel)
(Voice actress for the younger sister)")</f>
        <v>Aki Katagiri (bilbill channel)
(Voice actress for the younger sister)</v>
      </c>
      <c r="D8" s="495" t="s">
        <v>12455</v>
      </c>
      <c r="E8" s="552"/>
      <c r="F8" s="552"/>
      <c r="G8" s="552"/>
      <c r="H8" s="552"/>
      <c r="I8" s="552"/>
      <c r="J8" s="552"/>
      <c r="K8" s="552"/>
      <c r="L8" s="552"/>
      <c r="M8" s="552"/>
      <c r="N8" s="552"/>
      <c r="O8" s="552"/>
      <c r="P8" s="552"/>
      <c r="Q8" s="552"/>
      <c r="R8" s="552"/>
      <c r="S8" s="552"/>
      <c r="T8" s="552"/>
      <c r="U8" s="552"/>
      <c r="V8" s="552"/>
      <c r="W8" s="552"/>
      <c r="X8" s="552"/>
      <c r="Y8" s="552"/>
      <c r="Z8" s="552"/>
    </row>
    <row r="9">
      <c r="A9" s="553" t="s">
        <v>12457</v>
      </c>
      <c r="B9" s="73" t="str">
        <f>IFERROR(__xludf.DUMMYFUNCTION("GOOGLETRANSLATE(A9,""zh-tw"",""ja"")"),"ROROのYouTubeチャンネル（攻略ガイド作成チャンネル、現在準備中、チャンネル登録歓迎）")</f>
        <v>ROROのYouTubeチャンネル（攻略ガイド作成チャンネル、現在準備中、チャンネル登録歓迎）</v>
      </c>
      <c r="C9" s="554" t="str">
        <f>IFERROR(__xludf.DUMMYFUNCTION("GOOGLETRANSLATE(A9,""zh-tw"",""en"")"),"RORO's YouTube channel (Strategy guide creator channel, currently in preparation, welcome to subscribe)")</f>
        <v>RORO's YouTube channel (Strategy guide creator channel, currently in preparation, welcome to subscribe)</v>
      </c>
      <c r="D9" s="495" t="s">
        <v>12458</v>
      </c>
      <c r="E9" s="552"/>
      <c r="F9" s="552"/>
      <c r="G9" s="552"/>
      <c r="H9" s="552"/>
      <c r="I9" s="552"/>
      <c r="J9" s="552"/>
      <c r="K9" s="552"/>
      <c r="L9" s="552"/>
      <c r="M9" s="552"/>
      <c r="N9" s="552"/>
      <c r="O9" s="552"/>
      <c r="P9" s="552"/>
      <c r="Q9" s="552"/>
      <c r="R9" s="552"/>
      <c r="S9" s="552"/>
      <c r="T9" s="552"/>
      <c r="U9" s="552"/>
      <c r="V9" s="552"/>
      <c r="W9" s="552"/>
      <c r="X9" s="552"/>
      <c r="Y9" s="552"/>
      <c r="Z9" s="552"/>
    </row>
    <row r="10">
      <c r="A10" s="556"/>
      <c r="E10" s="552"/>
      <c r="F10" s="552"/>
      <c r="G10" s="552"/>
      <c r="H10" s="552"/>
      <c r="I10" s="552"/>
      <c r="J10" s="552"/>
      <c r="K10" s="552"/>
      <c r="L10" s="552"/>
      <c r="M10" s="552"/>
      <c r="N10" s="552"/>
      <c r="O10" s="552"/>
      <c r="P10" s="552"/>
      <c r="Q10" s="552"/>
      <c r="R10" s="552"/>
      <c r="S10" s="552"/>
      <c r="T10" s="552"/>
      <c r="U10" s="552"/>
      <c r="V10" s="552"/>
      <c r="W10" s="552"/>
      <c r="X10" s="552"/>
      <c r="Y10" s="552"/>
      <c r="Z10" s="552"/>
    </row>
    <row r="11">
      <c r="A11" s="557" t="s">
        <v>12459</v>
      </c>
      <c r="B11" s="73" t="str">
        <f>IFERROR(__xludf.DUMMYFUNCTION("GOOGLETRANSLATE(A11,""zh-tw"",""ja"")"),"プレイヤー応募受付中（準備中、応募は歓迎します）")</f>
        <v>プレイヤー応募受付中（準備中、応募は歓迎します）</v>
      </c>
      <c r="C11" s="554" t="str">
        <f>IFERROR(__xludf.DUMMYFUNCTION("GOOGLETRANSLATE(A11,""zh-tw"",""en"")"),"Player submissions (in preparation, submissions are welcome)")</f>
        <v>Player submissions (in preparation, submissions are welcome)</v>
      </c>
      <c r="D11" s="558" t="s">
        <v>12460</v>
      </c>
      <c r="E11" s="552"/>
      <c r="F11" s="552"/>
      <c r="G11" s="552"/>
      <c r="H11" s="552"/>
      <c r="I11" s="552"/>
      <c r="J11" s="552"/>
      <c r="K11" s="552"/>
      <c r="L11" s="552"/>
      <c r="M11" s="552"/>
      <c r="N11" s="552"/>
      <c r="O11" s="552"/>
      <c r="P11" s="552"/>
      <c r="Q11" s="552"/>
      <c r="R11" s="552"/>
      <c r="S11" s="552"/>
      <c r="T11" s="552"/>
      <c r="U11" s="552"/>
      <c r="V11" s="552"/>
      <c r="W11" s="552"/>
      <c r="X11" s="552"/>
      <c r="Y11" s="552"/>
      <c r="Z11" s="552"/>
    </row>
    <row r="12">
      <c r="A12" s="559"/>
      <c r="B12" s="560"/>
      <c r="C12" s="561"/>
      <c r="D12" s="562"/>
      <c r="E12" s="552"/>
      <c r="F12" s="552"/>
      <c r="G12" s="552"/>
      <c r="H12" s="552"/>
      <c r="I12" s="552"/>
      <c r="J12" s="552"/>
      <c r="K12" s="552"/>
      <c r="L12" s="552"/>
      <c r="M12" s="552"/>
      <c r="N12" s="552"/>
      <c r="O12" s="552"/>
      <c r="P12" s="552"/>
      <c r="Q12" s="552"/>
      <c r="R12" s="552"/>
      <c r="S12" s="552"/>
      <c r="T12" s="552"/>
      <c r="U12" s="552"/>
      <c r="V12" s="552"/>
      <c r="W12" s="552"/>
      <c r="X12" s="552"/>
      <c r="Y12" s="552"/>
      <c r="Z12" s="552"/>
    </row>
    <row r="13">
      <c r="A13" s="559"/>
      <c r="B13" s="560"/>
      <c r="C13" s="561"/>
      <c r="D13" s="562"/>
      <c r="E13" s="552"/>
      <c r="F13" s="552"/>
      <c r="G13" s="552"/>
      <c r="H13" s="552"/>
      <c r="I13" s="552"/>
      <c r="J13" s="552"/>
      <c r="K13" s="552"/>
      <c r="L13" s="552"/>
      <c r="M13" s="552"/>
      <c r="N13" s="552"/>
      <c r="O13" s="552"/>
      <c r="P13" s="552"/>
      <c r="Q13" s="552"/>
      <c r="R13" s="552"/>
      <c r="S13" s="552"/>
      <c r="T13" s="552"/>
      <c r="U13" s="552"/>
      <c r="V13" s="552"/>
      <c r="W13" s="552"/>
      <c r="X13" s="552"/>
      <c r="Y13" s="552"/>
      <c r="Z13" s="552"/>
    </row>
    <row r="14">
      <c r="A14" s="559"/>
      <c r="B14" s="560"/>
      <c r="C14" s="561"/>
      <c r="D14" s="562"/>
      <c r="E14" s="552"/>
      <c r="F14" s="552"/>
      <c r="G14" s="552"/>
      <c r="H14" s="552"/>
      <c r="I14" s="552"/>
      <c r="J14" s="552"/>
      <c r="K14" s="552"/>
      <c r="L14" s="552"/>
      <c r="M14" s="552"/>
      <c r="N14" s="552"/>
      <c r="O14" s="552"/>
      <c r="P14" s="552"/>
      <c r="Q14" s="552"/>
      <c r="R14" s="552"/>
      <c r="S14" s="552"/>
      <c r="T14" s="552"/>
      <c r="U14" s="552"/>
      <c r="V14" s="552"/>
      <c r="W14" s="552"/>
      <c r="X14" s="552"/>
      <c r="Y14" s="552"/>
      <c r="Z14" s="552"/>
    </row>
    <row r="15">
      <c r="A15" s="559"/>
      <c r="B15" s="560"/>
      <c r="C15" s="561"/>
      <c r="D15" s="562"/>
      <c r="E15" s="552"/>
      <c r="F15" s="552"/>
      <c r="G15" s="552"/>
      <c r="H15" s="552"/>
      <c r="I15" s="552"/>
      <c r="J15" s="552"/>
      <c r="K15" s="552"/>
      <c r="L15" s="552"/>
      <c r="M15" s="552"/>
      <c r="N15" s="552"/>
      <c r="O15" s="552"/>
      <c r="P15" s="552"/>
      <c r="Q15" s="552"/>
      <c r="R15" s="552"/>
      <c r="S15" s="552"/>
      <c r="T15" s="552"/>
      <c r="U15" s="552"/>
      <c r="V15" s="552"/>
      <c r="W15" s="552"/>
      <c r="X15" s="552"/>
      <c r="Y15" s="552"/>
      <c r="Z15" s="552"/>
    </row>
    <row r="16">
      <c r="A16" s="559"/>
      <c r="B16" s="560"/>
      <c r="C16" s="561"/>
      <c r="D16" s="562"/>
      <c r="E16" s="552"/>
      <c r="F16" s="552"/>
      <c r="G16" s="552"/>
      <c r="H16" s="552"/>
      <c r="I16" s="552"/>
      <c r="J16" s="552"/>
      <c r="K16" s="552"/>
      <c r="L16" s="552"/>
      <c r="M16" s="552"/>
      <c r="N16" s="552"/>
      <c r="O16" s="552"/>
      <c r="P16" s="552"/>
      <c r="Q16" s="552"/>
      <c r="R16" s="552"/>
      <c r="S16" s="552"/>
      <c r="T16" s="552"/>
      <c r="U16" s="552"/>
      <c r="V16" s="552"/>
      <c r="W16" s="552"/>
      <c r="X16" s="552"/>
      <c r="Y16" s="552"/>
      <c r="Z16" s="552"/>
    </row>
    <row r="17">
      <c r="A17" s="559"/>
      <c r="B17" s="560"/>
      <c r="C17" s="561"/>
      <c r="D17" s="562"/>
      <c r="E17" s="552"/>
      <c r="F17" s="552"/>
      <c r="G17" s="552"/>
      <c r="H17" s="552"/>
      <c r="I17" s="552"/>
      <c r="J17" s="552"/>
      <c r="K17" s="552"/>
      <c r="L17" s="552"/>
      <c r="M17" s="552"/>
      <c r="N17" s="552"/>
      <c r="O17" s="552"/>
      <c r="P17" s="552"/>
      <c r="Q17" s="552"/>
      <c r="R17" s="552"/>
      <c r="S17" s="552"/>
      <c r="T17" s="552"/>
      <c r="U17" s="552"/>
      <c r="V17" s="552"/>
      <c r="W17" s="552"/>
      <c r="X17" s="552"/>
      <c r="Y17" s="552"/>
      <c r="Z17" s="552"/>
    </row>
    <row r="18">
      <c r="A18" s="559"/>
      <c r="B18" s="560"/>
      <c r="C18" s="561"/>
      <c r="D18" s="562"/>
      <c r="E18" s="552"/>
      <c r="F18" s="552"/>
      <c r="G18" s="552"/>
      <c r="H18" s="552"/>
      <c r="I18" s="552"/>
      <c r="J18" s="552"/>
      <c r="K18" s="552"/>
      <c r="L18" s="552"/>
      <c r="M18" s="552"/>
      <c r="N18" s="552"/>
      <c r="O18" s="552"/>
      <c r="P18" s="552"/>
      <c r="Q18" s="552"/>
      <c r="R18" s="552"/>
      <c r="S18" s="552"/>
      <c r="T18" s="552"/>
      <c r="U18" s="552"/>
      <c r="V18" s="552"/>
      <c r="W18" s="552"/>
      <c r="X18" s="552"/>
      <c r="Y18" s="552"/>
      <c r="Z18" s="552"/>
    </row>
    <row r="19">
      <c r="A19" s="559"/>
      <c r="B19" s="560"/>
      <c r="C19" s="561"/>
      <c r="D19" s="562"/>
      <c r="E19" s="552"/>
      <c r="F19" s="552"/>
      <c r="G19" s="552"/>
      <c r="H19" s="552"/>
      <c r="I19" s="552"/>
      <c r="J19" s="552"/>
      <c r="K19" s="552"/>
      <c r="L19" s="552"/>
      <c r="M19" s="552"/>
      <c r="N19" s="552"/>
      <c r="O19" s="552"/>
      <c r="P19" s="552"/>
      <c r="Q19" s="552"/>
      <c r="R19" s="552"/>
      <c r="S19" s="552"/>
      <c r="T19" s="552"/>
      <c r="U19" s="552"/>
      <c r="V19" s="552"/>
      <c r="W19" s="552"/>
      <c r="X19" s="552"/>
      <c r="Y19" s="552"/>
      <c r="Z19" s="552"/>
    </row>
    <row r="20">
      <c r="A20" s="559"/>
      <c r="B20" s="560"/>
      <c r="C20" s="561"/>
      <c r="D20" s="562"/>
      <c r="E20" s="552"/>
      <c r="F20" s="552"/>
      <c r="G20" s="552"/>
      <c r="H20" s="552"/>
      <c r="I20" s="552"/>
      <c r="J20" s="552"/>
      <c r="K20" s="552"/>
      <c r="L20" s="552"/>
      <c r="M20" s="552"/>
      <c r="N20" s="552"/>
      <c r="O20" s="552"/>
      <c r="P20" s="552"/>
      <c r="Q20" s="552"/>
      <c r="R20" s="552"/>
      <c r="S20" s="552"/>
      <c r="T20" s="552"/>
      <c r="U20" s="552"/>
      <c r="V20" s="552"/>
      <c r="W20" s="552"/>
      <c r="X20" s="552"/>
      <c r="Y20" s="552"/>
      <c r="Z20" s="552"/>
    </row>
    <row r="21">
      <c r="A21" s="559"/>
      <c r="B21" s="560"/>
      <c r="C21" s="561"/>
      <c r="D21" s="562"/>
      <c r="E21" s="552"/>
      <c r="F21" s="552"/>
      <c r="G21" s="552"/>
      <c r="H21" s="552"/>
      <c r="I21" s="552"/>
      <c r="J21" s="552"/>
      <c r="K21" s="552"/>
      <c r="L21" s="552"/>
      <c r="M21" s="552"/>
      <c r="N21" s="552"/>
      <c r="O21" s="552"/>
      <c r="P21" s="552"/>
      <c r="Q21" s="552"/>
      <c r="R21" s="552"/>
      <c r="S21" s="552"/>
      <c r="T21" s="552"/>
      <c r="U21" s="552"/>
      <c r="V21" s="552"/>
      <c r="W21" s="552"/>
      <c r="X21" s="552"/>
      <c r="Y21" s="552"/>
      <c r="Z21" s="552"/>
    </row>
    <row r="22">
      <c r="A22" s="559"/>
      <c r="B22" s="560"/>
      <c r="C22" s="561"/>
      <c r="D22" s="562"/>
      <c r="E22" s="552"/>
      <c r="F22" s="552"/>
      <c r="G22" s="552"/>
      <c r="H22" s="552"/>
      <c r="I22" s="552"/>
      <c r="J22" s="552"/>
      <c r="K22" s="552"/>
      <c r="L22" s="552"/>
      <c r="M22" s="552"/>
      <c r="N22" s="552"/>
      <c r="O22" s="552"/>
      <c r="P22" s="552"/>
      <c r="Q22" s="552"/>
      <c r="R22" s="552"/>
      <c r="S22" s="552"/>
      <c r="T22" s="552"/>
      <c r="U22" s="552"/>
      <c r="V22" s="552"/>
      <c r="W22" s="552"/>
      <c r="X22" s="552"/>
      <c r="Y22" s="552"/>
      <c r="Z22" s="552"/>
    </row>
    <row r="23">
      <c r="A23" s="559"/>
      <c r="B23" s="560"/>
      <c r="C23" s="561"/>
      <c r="D23" s="562"/>
      <c r="E23" s="552"/>
      <c r="F23" s="552"/>
      <c r="G23" s="552"/>
      <c r="H23" s="552"/>
      <c r="I23" s="552"/>
      <c r="J23" s="552"/>
      <c r="K23" s="552"/>
      <c r="L23" s="552"/>
      <c r="M23" s="552"/>
      <c r="N23" s="552"/>
      <c r="O23" s="552"/>
      <c r="P23" s="552"/>
      <c r="Q23" s="552"/>
      <c r="R23" s="552"/>
      <c r="S23" s="552"/>
      <c r="T23" s="552"/>
      <c r="U23" s="552"/>
      <c r="V23" s="552"/>
      <c r="W23" s="552"/>
      <c r="X23" s="552"/>
      <c r="Y23" s="552"/>
      <c r="Z23" s="552"/>
    </row>
    <row r="24">
      <c r="A24" s="559"/>
      <c r="B24" s="560"/>
      <c r="C24" s="561"/>
      <c r="D24" s="562"/>
      <c r="E24" s="552"/>
      <c r="F24" s="552"/>
      <c r="G24" s="552"/>
      <c r="H24" s="552"/>
      <c r="I24" s="552"/>
      <c r="J24" s="552"/>
      <c r="K24" s="552"/>
      <c r="L24" s="552"/>
      <c r="M24" s="552"/>
      <c r="N24" s="552"/>
      <c r="O24" s="552"/>
      <c r="P24" s="552"/>
      <c r="Q24" s="552"/>
      <c r="R24" s="552"/>
      <c r="S24" s="552"/>
      <c r="T24" s="552"/>
      <c r="U24" s="552"/>
      <c r="V24" s="552"/>
      <c r="W24" s="552"/>
      <c r="X24" s="552"/>
      <c r="Y24" s="552"/>
      <c r="Z24" s="552"/>
    </row>
    <row r="25">
      <c r="A25" s="559"/>
      <c r="B25" s="560"/>
      <c r="C25" s="561"/>
      <c r="D25" s="562"/>
      <c r="E25" s="552"/>
      <c r="F25" s="552"/>
      <c r="G25" s="552"/>
      <c r="H25" s="552"/>
      <c r="I25" s="552"/>
      <c r="J25" s="552"/>
      <c r="K25" s="552"/>
      <c r="L25" s="552"/>
      <c r="M25" s="552"/>
      <c r="N25" s="552"/>
      <c r="O25" s="552"/>
      <c r="P25" s="552"/>
      <c r="Q25" s="552"/>
      <c r="R25" s="552"/>
      <c r="S25" s="552"/>
      <c r="T25" s="552"/>
      <c r="U25" s="552"/>
      <c r="V25" s="552"/>
      <c r="W25" s="552"/>
      <c r="X25" s="552"/>
      <c r="Y25" s="552"/>
      <c r="Z25" s="552"/>
    </row>
    <row r="26">
      <c r="A26" s="559"/>
      <c r="B26" s="560"/>
      <c r="C26" s="561"/>
      <c r="D26" s="562"/>
      <c r="E26" s="552"/>
      <c r="F26" s="552"/>
      <c r="G26" s="552"/>
      <c r="H26" s="552"/>
      <c r="I26" s="552"/>
      <c r="J26" s="552"/>
      <c r="K26" s="552"/>
      <c r="L26" s="552"/>
      <c r="M26" s="552"/>
      <c r="N26" s="552"/>
      <c r="O26" s="552"/>
      <c r="P26" s="552"/>
      <c r="Q26" s="552"/>
      <c r="R26" s="552"/>
      <c r="S26" s="552"/>
      <c r="T26" s="552"/>
      <c r="U26" s="552"/>
      <c r="V26" s="552"/>
      <c r="W26" s="552"/>
      <c r="X26" s="552"/>
      <c r="Y26" s="552"/>
      <c r="Z26" s="552"/>
    </row>
    <row r="27">
      <c r="A27" s="559"/>
      <c r="B27" s="560"/>
      <c r="C27" s="561"/>
      <c r="D27" s="562"/>
      <c r="E27" s="552"/>
      <c r="F27" s="552"/>
      <c r="G27" s="552"/>
      <c r="H27" s="552"/>
      <c r="I27" s="552"/>
      <c r="J27" s="552"/>
      <c r="K27" s="552"/>
      <c r="L27" s="552"/>
      <c r="M27" s="552"/>
      <c r="N27" s="552"/>
      <c r="O27" s="552"/>
      <c r="P27" s="552"/>
      <c r="Q27" s="552"/>
      <c r="R27" s="552"/>
      <c r="S27" s="552"/>
      <c r="T27" s="552"/>
      <c r="U27" s="552"/>
      <c r="V27" s="552"/>
      <c r="W27" s="552"/>
      <c r="X27" s="552"/>
      <c r="Y27" s="552"/>
      <c r="Z27" s="552"/>
    </row>
    <row r="28">
      <c r="A28" s="559"/>
      <c r="B28" s="560"/>
      <c r="C28" s="561"/>
      <c r="D28" s="562"/>
      <c r="E28" s="552"/>
      <c r="F28" s="552"/>
      <c r="G28" s="552"/>
      <c r="H28" s="552"/>
      <c r="I28" s="552"/>
      <c r="J28" s="552"/>
      <c r="K28" s="552"/>
      <c r="L28" s="552"/>
      <c r="M28" s="552"/>
      <c r="N28" s="552"/>
      <c r="O28" s="552"/>
      <c r="P28" s="552"/>
      <c r="Q28" s="552"/>
      <c r="R28" s="552"/>
      <c r="S28" s="552"/>
      <c r="T28" s="552"/>
      <c r="U28" s="552"/>
      <c r="V28" s="552"/>
      <c r="W28" s="552"/>
      <c r="X28" s="552"/>
      <c r="Y28" s="552"/>
      <c r="Z28" s="552"/>
    </row>
    <row r="29">
      <c r="A29" s="559"/>
      <c r="B29" s="560"/>
      <c r="C29" s="561"/>
      <c r="D29" s="562"/>
      <c r="E29" s="552"/>
      <c r="F29" s="552"/>
      <c r="G29" s="552"/>
      <c r="H29" s="552"/>
      <c r="I29" s="552"/>
      <c r="J29" s="552"/>
      <c r="K29" s="552"/>
      <c r="L29" s="552"/>
      <c r="M29" s="552"/>
      <c r="N29" s="552"/>
      <c r="O29" s="552"/>
      <c r="P29" s="552"/>
      <c r="Q29" s="552"/>
      <c r="R29" s="552"/>
      <c r="S29" s="552"/>
      <c r="T29" s="552"/>
      <c r="U29" s="552"/>
      <c r="V29" s="552"/>
      <c r="W29" s="552"/>
      <c r="X29" s="552"/>
      <c r="Y29" s="552"/>
      <c r="Z29" s="552"/>
    </row>
    <row r="30">
      <c r="A30" s="559"/>
      <c r="B30" s="560"/>
      <c r="C30" s="561"/>
      <c r="D30" s="562"/>
      <c r="E30" s="552"/>
      <c r="F30" s="552"/>
      <c r="G30" s="552"/>
      <c r="H30" s="552"/>
      <c r="I30" s="552"/>
      <c r="J30" s="552"/>
      <c r="K30" s="552"/>
      <c r="L30" s="552"/>
      <c r="M30" s="552"/>
      <c r="N30" s="552"/>
      <c r="O30" s="552"/>
      <c r="P30" s="552"/>
      <c r="Q30" s="552"/>
      <c r="R30" s="552"/>
      <c r="S30" s="552"/>
      <c r="T30" s="552"/>
      <c r="U30" s="552"/>
      <c r="V30" s="552"/>
      <c r="W30" s="552"/>
      <c r="X30" s="552"/>
      <c r="Y30" s="552"/>
      <c r="Z30" s="552"/>
    </row>
    <row r="31">
      <c r="A31" s="559"/>
      <c r="B31" s="560"/>
      <c r="C31" s="561"/>
      <c r="D31" s="562"/>
      <c r="E31" s="552"/>
      <c r="F31" s="552"/>
      <c r="G31" s="552"/>
      <c r="H31" s="552"/>
      <c r="I31" s="552"/>
      <c r="J31" s="552"/>
      <c r="K31" s="552"/>
      <c r="L31" s="552"/>
      <c r="M31" s="552"/>
      <c r="N31" s="552"/>
      <c r="O31" s="552"/>
      <c r="P31" s="552"/>
      <c r="Q31" s="552"/>
      <c r="R31" s="552"/>
      <c r="S31" s="552"/>
      <c r="T31" s="552"/>
      <c r="U31" s="552"/>
      <c r="V31" s="552"/>
      <c r="W31" s="552"/>
      <c r="X31" s="552"/>
      <c r="Y31" s="552"/>
      <c r="Z31" s="552"/>
    </row>
    <row r="32">
      <c r="A32" s="559"/>
      <c r="B32" s="560"/>
      <c r="C32" s="561"/>
      <c r="D32" s="562"/>
      <c r="E32" s="552"/>
      <c r="F32" s="552"/>
      <c r="G32" s="552"/>
      <c r="H32" s="552"/>
      <c r="I32" s="552"/>
      <c r="J32" s="552"/>
      <c r="K32" s="552"/>
      <c r="L32" s="552"/>
      <c r="M32" s="552"/>
      <c r="N32" s="552"/>
      <c r="O32" s="552"/>
      <c r="P32" s="552"/>
      <c r="Q32" s="552"/>
      <c r="R32" s="552"/>
      <c r="S32" s="552"/>
      <c r="T32" s="552"/>
      <c r="U32" s="552"/>
      <c r="V32" s="552"/>
      <c r="W32" s="552"/>
      <c r="X32" s="552"/>
      <c r="Y32" s="552"/>
      <c r="Z32" s="552"/>
    </row>
    <row r="33">
      <c r="A33" s="559"/>
      <c r="B33" s="560"/>
      <c r="C33" s="561"/>
      <c r="D33" s="562"/>
      <c r="E33" s="552"/>
      <c r="F33" s="552"/>
      <c r="G33" s="552"/>
      <c r="H33" s="552"/>
      <c r="I33" s="552"/>
      <c r="J33" s="552"/>
      <c r="K33" s="552"/>
      <c r="L33" s="552"/>
      <c r="M33" s="552"/>
      <c r="N33" s="552"/>
      <c r="O33" s="552"/>
      <c r="P33" s="552"/>
      <c r="Q33" s="552"/>
      <c r="R33" s="552"/>
      <c r="S33" s="552"/>
      <c r="T33" s="552"/>
      <c r="U33" s="552"/>
      <c r="V33" s="552"/>
      <c r="W33" s="552"/>
      <c r="X33" s="552"/>
      <c r="Y33" s="552"/>
      <c r="Z33" s="552"/>
    </row>
    <row r="34">
      <c r="A34" s="559"/>
      <c r="B34" s="560"/>
      <c r="C34" s="561"/>
      <c r="D34" s="562"/>
      <c r="E34" s="552"/>
      <c r="F34" s="552"/>
      <c r="G34" s="552"/>
      <c r="H34" s="552"/>
      <c r="I34" s="552"/>
      <c r="J34" s="552"/>
      <c r="K34" s="552"/>
      <c r="L34" s="552"/>
      <c r="M34" s="552"/>
      <c r="N34" s="552"/>
      <c r="O34" s="552"/>
      <c r="P34" s="552"/>
      <c r="Q34" s="552"/>
      <c r="R34" s="552"/>
      <c r="S34" s="552"/>
      <c r="T34" s="552"/>
      <c r="U34" s="552"/>
      <c r="V34" s="552"/>
      <c r="W34" s="552"/>
      <c r="X34" s="552"/>
      <c r="Y34" s="552"/>
      <c r="Z34" s="552"/>
    </row>
    <row r="35">
      <c r="A35" s="559"/>
      <c r="B35" s="560"/>
      <c r="C35" s="561"/>
      <c r="D35" s="562"/>
      <c r="E35" s="552"/>
      <c r="F35" s="552"/>
      <c r="G35" s="552"/>
      <c r="H35" s="552"/>
      <c r="I35" s="552"/>
      <c r="J35" s="552"/>
      <c r="K35" s="552"/>
      <c r="L35" s="552"/>
      <c r="M35" s="552"/>
      <c r="N35" s="552"/>
      <c r="O35" s="552"/>
      <c r="P35" s="552"/>
      <c r="Q35" s="552"/>
      <c r="R35" s="552"/>
      <c r="S35" s="552"/>
      <c r="T35" s="552"/>
      <c r="U35" s="552"/>
      <c r="V35" s="552"/>
      <c r="W35" s="552"/>
      <c r="X35" s="552"/>
      <c r="Y35" s="552"/>
      <c r="Z35" s="552"/>
    </row>
    <row r="36">
      <c r="A36" s="559"/>
      <c r="B36" s="560"/>
      <c r="C36" s="561"/>
      <c r="D36" s="562"/>
      <c r="E36" s="552"/>
      <c r="F36" s="552"/>
      <c r="G36" s="552"/>
      <c r="H36" s="552"/>
      <c r="I36" s="552"/>
      <c r="J36" s="552"/>
      <c r="K36" s="552"/>
      <c r="L36" s="552"/>
      <c r="M36" s="552"/>
      <c r="N36" s="552"/>
      <c r="O36" s="552"/>
      <c r="P36" s="552"/>
      <c r="Q36" s="552"/>
      <c r="R36" s="552"/>
      <c r="S36" s="552"/>
      <c r="T36" s="552"/>
      <c r="U36" s="552"/>
      <c r="V36" s="552"/>
      <c r="W36" s="552"/>
      <c r="X36" s="552"/>
      <c r="Y36" s="552"/>
      <c r="Z36" s="552"/>
    </row>
    <row r="37">
      <c r="A37" s="559"/>
      <c r="B37" s="560"/>
      <c r="C37" s="561"/>
      <c r="D37" s="562"/>
      <c r="E37" s="552"/>
      <c r="F37" s="552"/>
      <c r="G37" s="552"/>
      <c r="H37" s="552"/>
      <c r="I37" s="552"/>
      <c r="J37" s="552"/>
      <c r="K37" s="552"/>
      <c r="L37" s="552"/>
      <c r="M37" s="552"/>
      <c r="N37" s="552"/>
      <c r="O37" s="552"/>
      <c r="P37" s="552"/>
      <c r="Q37" s="552"/>
      <c r="R37" s="552"/>
      <c r="S37" s="552"/>
      <c r="T37" s="552"/>
      <c r="U37" s="552"/>
      <c r="V37" s="552"/>
      <c r="W37" s="552"/>
      <c r="X37" s="552"/>
      <c r="Y37" s="552"/>
      <c r="Z37" s="552"/>
    </row>
    <row r="38">
      <c r="A38" s="559"/>
      <c r="B38" s="560"/>
      <c r="C38" s="561"/>
      <c r="D38" s="562"/>
      <c r="E38" s="552"/>
      <c r="F38" s="552"/>
      <c r="G38" s="552"/>
      <c r="H38" s="552"/>
      <c r="I38" s="552"/>
      <c r="J38" s="552"/>
      <c r="K38" s="552"/>
      <c r="L38" s="552"/>
      <c r="M38" s="552"/>
      <c r="N38" s="552"/>
      <c r="O38" s="552"/>
      <c r="P38" s="552"/>
      <c r="Q38" s="552"/>
      <c r="R38" s="552"/>
      <c r="S38" s="552"/>
      <c r="T38" s="552"/>
      <c r="U38" s="552"/>
      <c r="V38" s="552"/>
      <c r="W38" s="552"/>
      <c r="X38" s="552"/>
      <c r="Y38" s="552"/>
      <c r="Z38" s="552"/>
    </row>
    <row r="39">
      <c r="A39" s="559"/>
      <c r="B39" s="560"/>
      <c r="C39" s="561"/>
      <c r="D39" s="562"/>
      <c r="E39" s="552"/>
      <c r="F39" s="552"/>
      <c r="G39" s="552"/>
      <c r="H39" s="552"/>
      <c r="I39" s="552"/>
      <c r="J39" s="552"/>
      <c r="K39" s="552"/>
      <c r="L39" s="552"/>
      <c r="M39" s="552"/>
      <c r="N39" s="552"/>
      <c r="O39" s="552"/>
      <c r="P39" s="552"/>
      <c r="Q39" s="552"/>
      <c r="R39" s="552"/>
      <c r="S39" s="552"/>
      <c r="T39" s="552"/>
      <c r="U39" s="552"/>
      <c r="V39" s="552"/>
      <c r="W39" s="552"/>
      <c r="X39" s="552"/>
      <c r="Y39" s="552"/>
      <c r="Z39" s="552"/>
    </row>
    <row r="40">
      <c r="A40" s="559"/>
      <c r="B40" s="560"/>
      <c r="C40" s="561"/>
      <c r="D40" s="562"/>
      <c r="E40" s="552"/>
      <c r="F40" s="552"/>
      <c r="G40" s="552"/>
      <c r="H40" s="552"/>
      <c r="I40" s="552"/>
      <c r="J40" s="552"/>
      <c r="K40" s="552"/>
      <c r="L40" s="552"/>
      <c r="M40" s="552"/>
      <c r="N40" s="552"/>
      <c r="O40" s="552"/>
      <c r="P40" s="552"/>
      <c r="Q40" s="552"/>
      <c r="R40" s="552"/>
      <c r="S40" s="552"/>
      <c r="T40" s="552"/>
      <c r="U40" s="552"/>
      <c r="V40" s="552"/>
      <c r="W40" s="552"/>
      <c r="X40" s="552"/>
      <c r="Y40" s="552"/>
      <c r="Z40" s="552"/>
    </row>
    <row r="41">
      <c r="A41" s="559"/>
      <c r="B41" s="560"/>
      <c r="C41" s="561"/>
      <c r="D41" s="562"/>
      <c r="E41" s="552"/>
      <c r="F41" s="552"/>
      <c r="G41" s="552"/>
      <c r="H41" s="552"/>
      <c r="I41" s="552"/>
      <c r="J41" s="552"/>
      <c r="K41" s="552"/>
      <c r="L41" s="552"/>
      <c r="M41" s="552"/>
      <c r="N41" s="552"/>
      <c r="O41" s="552"/>
      <c r="P41" s="552"/>
      <c r="Q41" s="552"/>
      <c r="R41" s="552"/>
      <c r="S41" s="552"/>
      <c r="T41" s="552"/>
      <c r="U41" s="552"/>
      <c r="V41" s="552"/>
      <c r="W41" s="552"/>
      <c r="X41" s="552"/>
      <c r="Y41" s="552"/>
      <c r="Z41" s="552"/>
    </row>
    <row r="42">
      <c r="A42" s="559"/>
      <c r="B42" s="560"/>
      <c r="C42" s="561"/>
      <c r="D42" s="562"/>
      <c r="E42" s="552"/>
      <c r="F42" s="552"/>
      <c r="G42" s="552"/>
      <c r="H42" s="552"/>
      <c r="I42" s="552"/>
      <c r="J42" s="552"/>
      <c r="K42" s="552"/>
      <c r="L42" s="552"/>
      <c r="M42" s="552"/>
      <c r="N42" s="552"/>
      <c r="O42" s="552"/>
      <c r="P42" s="552"/>
      <c r="Q42" s="552"/>
      <c r="R42" s="552"/>
      <c r="S42" s="552"/>
      <c r="T42" s="552"/>
      <c r="U42" s="552"/>
      <c r="V42" s="552"/>
      <c r="W42" s="552"/>
      <c r="X42" s="552"/>
      <c r="Y42" s="552"/>
      <c r="Z42" s="552"/>
    </row>
    <row r="43">
      <c r="A43" s="559"/>
      <c r="B43" s="560"/>
      <c r="C43" s="561"/>
      <c r="D43" s="562"/>
      <c r="E43" s="552"/>
      <c r="F43" s="552"/>
      <c r="G43" s="552"/>
      <c r="H43" s="552"/>
      <c r="I43" s="552"/>
      <c r="J43" s="552"/>
      <c r="K43" s="552"/>
      <c r="L43" s="552"/>
      <c r="M43" s="552"/>
      <c r="N43" s="552"/>
      <c r="O43" s="552"/>
      <c r="P43" s="552"/>
      <c r="Q43" s="552"/>
      <c r="R43" s="552"/>
      <c r="S43" s="552"/>
      <c r="T43" s="552"/>
      <c r="U43" s="552"/>
      <c r="V43" s="552"/>
      <c r="W43" s="552"/>
      <c r="X43" s="552"/>
      <c r="Y43" s="552"/>
      <c r="Z43" s="552"/>
    </row>
    <row r="44">
      <c r="A44" s="559"/>
      <c r="B44" s="560"/>
      <c r="C44" s="561"/>
      <c r="D44" s="562"/>
      <c r="E44" s="552"/>
      <c r="F44" s="552"/>
      <c r="G44" s="552"/>
      <c r="H44" s="552"/>
      <c r="I44" s="552"/>
      <c r="J44" s="552"/>
      <c r="K44" s="552"/>
      <c r="L44" s="552"/>
      <c r="M44" s="552"/>
      <c r="N44" s="552"/>
      <c r="O44" s="552"/>
      <c r="P44" s="552"/>
      <c r="Q44" s="552"/>
      <c r="R44" s="552"/>
      <c r="S44" s="552"/>
      <c r="T44" s="552"/>
      <c r="U44" s="552"/>
      <c r="V44" s="552"/>
      <c r="W44" s="552"/>
      <c r="X44" s="552"/>
      <c r="Y44" s="552"/>
      <c r="Z44" s="552"/>
    </row>
    <row r="45">
      <c r="A45" s="559"/>
      <c r="B45" s="560"/>
      <c r="C45" s="561"/>
      <c r="D45" s="562"/>
      <c r="E45" s="552"/>
      <c r="F45" s="552"/>
      <c r="G45" s="552"/>
      <c r="H45" s="552"/>
      <c r="I45" s="552"/>
      <c r="J45" s="552"/>
      <c r="K45" s="552"/>
      <c r="L45" s="552"/>
      <c r="M45" s="552"/>
      <c r="N45" s="552"/>
      <c r="O45" s="552"/>
      <c r="P45" s="552"/>
      <c r="Q45" s="552"/>
      <c r="R45" s="552"/>
      <c r="S45" s="552"/>
      <c r="T45" s="552"/>
      <c r="U45" s="552"/>
      <c r="V45" s="552"/>
      <c r="W45" s="552"/>
      <c r="X45" s="552"/>
      <c r="Y45" s="552"/>
      <c r="Z45" s="552"/>
    </row>
    <row r="46">
      <c r="A46" s="559"/>
      <c r="B46" s="560"/>
      <c r="C46" s="561"/>
      <c r="D46" s="562"/>
      <c r="E46" s="552"/>
      <c r="F46" s="552"/>
      <c r="G46" s="552"/>
      <c r="H46" s="552"/>
      <c r="I46" s="552"/>
      <c r="J46" s="552"/>
      <c r="K46" s="552"/>
      <c r="L46" s="552"/>
      <c r="M46" s="552"/>
      <c r="N46" s="552"/>
      <c r="O46" s="552"/>
      <c r="P46" s="552"/>
      <c r="Q46" s="552"/>
      <c r="R46" s="552"/>
      <c r="S46" s="552"/>
      <c r="T46" s="552"/>
      <c r="U46" s="552"/>
      <c r="V46" s="552"/>
      <c r="W46" s="552"/>
      <c r="X46" s="552"/>
      <c r="Y46" s="552"/>
      <c r="Z46" s="552"/>
    </row>
    <row r="47">
      <c r="A47" s="559"/>
      <c r="B47" s="560"/>
      <c r="C47" s="561"/>
      <c r="D47" s="562"/>
      <c r="E47" s="552"/>
      <c r="F47" s="552"/>
      <c r="G47" s="552"/>
      <c r="H47" s="552"/>
      <c r="I47" s="552"/>
      <c r="J47" s="552"/>
      <c r="K47" s="552"/>
      <c r="L47" s="552"/>
      <c r="M47" s="552"/>
      <c r="N47" s="552"/>
      <c r="O47" s="552"/>
      <c r="P47" s="552"/>
      <c r="Q47" s="552"/>
      <c r="R47" s="552"/>
      <c r="S47" s="552"/>
      <c r="T47" s="552"/>
      <c r="U47" s="552"/>
      <c r="V47" s="552"/>
      <c r="W47" s="552"/>
      <c r="X47" s="552"/>
      <c r="Y47" s="552"/>
      <c r="Z47" s="552"/>
    </row>
    <row r="48">
      <c r="A48" s="559"/>
      <c r="B48" s="560"/>
      <c r="C48" s="561"/>
      <c r="D48" s="562"/>
      <c r="E48" s="552"/>
      <c r="F48" s="552"/>
      <c r="G48" s="552"/>
      <c r="H48" s="552"/>
      <c r="I48" s="552"/>
      <c r="J48" s="552"/>
      <c r="K48" s="552"/>
      <c r="L48" s="552"/>
      <c r="M48" s="552"/>
      <c r="N48" s="552"/>
      <c r="O48" s="552"/>
      <c r="P48" s="552"/>
      <c r="Q48" s="552"/>
      <c r="R48" s="552"/>
      <c r="S48" s="552"/>
      <c r="T48" s="552"/>
      <c r="U48" s="552"/>
      <c r="V48" s="552"/>
      <c r="W48" s="552"/>
      <c r="X48" s="552"/>
      <c r="Y48" s="552"/>
      <c r="Z48" s="552"/>
    </row>
    <row r="49">
      <c r="A49" s="559"/>
      <c r="B49" s="560"/>
      <c r="C49" s="561"/>
      <c r="D49" s="562"/>
      <c r="E49" s="552"/>
      <c r="F49" s="552"/>
      <c r="G49" s="552"/>
      <c r="H49" s="552"/>
      <c r="I49" s="552"/>
      <c r="J49" s="552"/>
      <c r="K49" s="552"/>
      <c r="L49" s="552"/>
      <c r="M49" s="552"/>
      <c r="N49" s="552"/>
      <c r="O49" s="552"/>
      <c r="P49" s="552"/>
      <c r="Q49" s="552"/>
      <c r="R49" s="552"/>
      <c r="S49" s="552"/>
      <c r="T49" s="552"/>
      <c r="U49" s="552"/>
      <c r="V49" s="552"/>
      <c r="W49" s="552"/>
      <c r="X49" s="552"/>
      <c r="Y49" s="552"/>
      <c r="Z49" s="552"/>
    </row>
    <row r="50">
      <c r="A50" s="559"/>
      <c r="B50" s="560"/>
      <c r="C50" s="561"/>
      <c r="D50" s="562"/>
      <c r="E50" s="552"/>
      <c r="F50" s="552"/>
      <c r="G50" s="552"/>
      <c r="H50" s="552"/>
      <c r="I50" s="552"/>
      <c r="J50" s="552"/>
      <c r="K50" s="552"/>
      <c r="L50" s="552"/>
      <c r="M50" s="552"/>
      <c r="N50" s="552"/>
      <c r="O50" s="552"/>
      <c r="P50" s="552"/>
      <c r="Q50" s="552"/>
      <c r="R50" s="552"/>
      <c r="S50" s="552"/>
      <c r="T50" s="552"/>
      <c r="U50" s="552"/>
      <c r="V50" s="552"/>
      <c r="W50" s="552"/>
      <c r="X50" s="552"/>
      <c r="Y50" s="552"/>
      <c r="Z50" s="552"/>
    </row>
    <row r="51">
      <c r="A51" s="559"/>
      <c r="B51" s="560"/>
      <c r="C51" s="561"/>
      <c r="D51" s="562"/>
      <c r="E51" s="552"/>
      <c r="F51" s="552"/>
      <c r="G51" s="552"/>
      <c r="H51" s="552"/>
      <c r="I51" s="552"/>
      <c r="J51" s="552"/>
      <c r="K51" s="552"/>
      <c r="L51" s="552"/>
      <c r="M51" s="552"/>
      <c r="N51" s="552"/>
      <c r="O51" s="552"/>
      <c r="P51" s="552"/>
      <c r="Q51" s="552"/>
      <c r="R51" s="552"/>
      <c r="S51" s="552"/>
      <c r="T51" s="552"/>
      <c r="U51" s="552"/>
      <c r="V51" s="552"/>
      <c r="W51" s="552"/>
      <c r="X51" s="552"/>
      <c r="Y51" s="552"/>
      <c r="Z51" s="552"/>
    </row>
    <row r="52">
      <c r="A52" s="559"/>
      <c r="B52" s="560"/>
      <c r="C52" s="561"/>
      <c r="D52" s="562"/>
      <c r="E52" s="552"/>
      <c r="F52" s="552"/>
      <c r="G52" s="552"/>
      <c r="H52" s="552"/>
      <c r="I52" s="552"/>
      <c r="J52" s="552"/>
      <c r="K52" s="552"/>
      <c r="L52" s="552"/>
      <c r="M52" s="552"/>
      <c r="N52" s="552"/>
      <c r="O52" s="552"/>
      <c r="P52" s="552"/>
      <c r="Q52" s="552"/>
      <c r="R52" s="552"/>
      <c r="S52" s="552"/>
      <c r="T52" s="552"/>
      <c r="U52" s="552"/>
      <c r="V52" s="552"/>
      <c r="W52" s="552"/>
      <c r="X52" s="552"/>
      <c r="Y52" s="552"/>
      <c r="Z52" s="552"/>
    </row>
    <row r="53">
      <c r="A53" s="559"/>
      <c r="B53" s="560"/>
      <c r="C53" s="561"/>
      <c r="D53" s="562"/>
      <c r="E53" s="552"/>
      <c r="F53" s="552"/>
      <c r="G53" s="552"/>
      <c r="H53" s="552"/>
      <c r="I53" s="552"/>
      <c r="J53" s="552"/>
      <c r="K53" s="552"/>
      <c r="L53" s="552"/>
      <c r="M53" s="552"/>
      <c r="N53" s="552"/>
      <c r="O53" s="552"/>
      <c r="P53" s="552"/>
      <c r="Q53" s="552"/>
      <c r="R53" s="552"/>
      <c r="S53" s="552"/>
      <c r="T53" s="552"/>
      <c r="U53" s="552"/>
      <c r="V53" s="552"/>
      <c r="W53" s="552"/>
      <c r="X53" s="552"/>
      <c r="Y53" s="552"/>
      <c r="Z53" s="552"/>
    </row>
    <row r="54">
      <c r="A54" s="559"/>
      <c r="B54" s="560"/>
      <c r="C54" s="561"/>
      <c r="D54" s="562"/>
      <c r="E54" s="552"/>
      <c r="F54" s="552"/>
      <c r="G54" s="552"/>
      <c r="H54" s="552"/>
      <c r="I54" s="552"/>
      <c r="J54" s="552"/>
      <c r="K54" s="552"/>
      <c r="L54" s="552"/>
      <c r="M54" s="552"/>
      <c r="N54" s="552"/>
      <c r="O54" s="552"/>
      <c r="P54" s="552"/>
      <c r="Q54" s="552"/>
      <c r="R54" s="552"/>
      <c r="S54" s="552"/>
      <c r="T54" s="552"/>
      <c r="U54" s="552"/>
      <c r="V54" s="552"/>
      <c r="W54" s="552"/>
      <c r="X54" s="552"/>
      <c r="Y54" s="552"/>
      <c r="Z54" s="552"/>
    </row>
    <row r="55">
      <c r="A55" s="559"/>
      <c r="B55" s="560"/>
      <c r="C55" s="561"/>
      <c r="D55" s="562"/>
      <c r="E55" s="552"/>
      <c r="F55" s="552"/>
      <c r="G55" s="552"/>
      <c r="H55" s="552"/>
      <c r="I55" s="552"/>
      <c r="J55" s="552"/>
      <c r="K55" s="552"/>
      <c r="L55" s="552"/>
      <c r="M55" s="552"/>
      <c r="N55" s="552"/>
      <c r="O55" s="552"/>
      <c r="P55" s="552"/>
      <c r="Q55" s="552"/>
      <c r="R55" s="552"/>
      <c r="S55" s="552"/>
      <c r="T55" s="552"/>
      <c r="U55" s="552"/>
      <c r="V55" s="552"/>
      <c r="W55" s="552"/>
      <c r="X55" s="552"/>
      <c r="Y55" s="552"/>
      <c r="Z55" s="552"/>
    </row>
    <row r="56">
      <c r="A56" s="559"/>
      <c r="B56" s="560"/>
      <c r="C56" s="561"/>
      <c r="D56" s="562"/>
      <c r="E56" s="552"/>
      <c r="F56" s="552"/>
      <c r="G56" s="552"/>
      <c r="H56" s="552"/>
      <c r="I56" s="552"/>
      <c r="J56" s="552"/>
      <c r="K56" s="552"/>
      <c r="L56" s="552"/>
      <c r="M56" s="552"/>
      <c r="N56" s="552"/>
      <c r="O56" s="552"/>
      <c r="P56" s="552"/>
      <c r="Q56" s="552"/>
      <c r="R56" s="552"/>
      <c r="S56" s="552"/>
      <c r="T56" s="552"/>
      <c r="U56" s="552"/>
      <c r="V56" s="552"/>
      <c r="W56" s="552"/>
      <c r="X56" s="552"/>
      <c r="Y56" s="552"/>
      <c r="Z56" s="552"/>
    </row>
    <row r="57">
      <c r="A57" s="559"/>
      <c r="B57" s="560"/>
      <c r="C57" s="561"/>
      <c r="D57" s="562"/>
      <c r="E57" s="552"/>
      <c r="F57" s="552"/>
      <c r="G57" s="552"/>
      <c r="H57" s="552"/>
      <c r="I57" s="552"/>
      <c r="J57" s="552"/>
      <c r="K57" s="552"/>
      <c r="L57" s="552"/>
      <c r="M57" s="552"/>
      <c r="N57" s="552"/>
      <c r="O57" s="552"/>
      <c r="P57" s="552"/>
      <c r="Q57" s="552"/>
      <c r="R57" s="552"/>
      <c r="S57" s="552"/>
      <c r="T57" s="552"/>
      <c r="U57" s="552"/>
      <c r="V57" s="552"/>
      <c r="W57" s="552"/>
      <c r="X57" s="552"/>
      <c r="Y57" s="552"/>
      <c r="Z57" s="552"/>
    </row>
    <row r="58">
      <c r="A58" s="559"/>
      <c r="B58" s="560"/>
      <c r="C58" s="561"/>
      <c r="D58" s="562"/>
      <c r="E58" s="552"/>
      <c r="F58" s="552"/>
      <c r="G58" s="552"/>
      <c r="H58" s="552"/>
      <c r="I58" s="552"/>
      <c r="J58" s="552"/>
      <c r="K58" s="552"/>
      <c r="L58" s="552"/>
      <c r="M58" s="552"/>
      <c r="N58" s="552"/>
      <c r="O58" s="552"/>
      <c r="P58" s="552"/>
      <c r="Q58" s="552"/>
      <c r="R58" s="552"/>
      <c r="S58" s="552"/>
      <c r="T58" s="552"/>
      <c r="U58" s="552"/>
      <c r="V58" s="552"/>
      <c r="W58" s="552"/>
      <c r="X58" s="552"/>
      <c r="Y58" s="552"/>
      <c r="Z58" s="552"/>
    </row>
    <row r="59">
      <c r="A59" s="559"/>
      <c r="B59" s="560"/>
      <c r="C59" s="561"/>
      <c r="D59" s="562"/>
      <c r="E59" s="552"/>
      <c r="F59" s="552"/>
      <c r="G59" s="552"/>
      <c r="H59" s="552"/>
      <c r="I59" s="552"/>
      <c r="J59" s="552"/>
      <c r="K59" s="552"/>
      <c r="L59" s="552"/>
      <c r="M59" s="552"/>
      <c r="N59" s="552"/>
      <c r="O59" s="552"/>
      <c r="P59" s="552"/>
      <c r="Q59" s="552"/>
      <c r="R59" s="552"/>
      <c r="S59" s="552"/>
      <c r="T59" s="552"/>
      <c r="U59" s="552"/>
      <c r="V59" s="552"/>
      <c r="W59" s="552"/>
      <c r="X59" s="552"/>
      <c r="Y59" s="552"/>
      <c r="Z59" s="552"/>
    </row>
    <row r="60">
      <c r="A60" s="559"/>
      <c r="B60" s="560"/>
      <c r="C60" s="561"/>
      <c r="D60" s="562"/>
      <c r="E60" s="552"/>
      <c r="F60" s="552"/>
      <c r="G60" s="552"/>
      <c r="H60" s="552"/>
      <c r="I60" s="552"/>
      <c r="J60" s="552"/>
      <c r="K60" s="552"/>
      <c r="L60" s="552"/>
      <c r="M60" s="552"/>
      <c r="N60" s="552"/>
      <c r="O60" s="552"/>
      <c r="P60" s="552"/>
      <c r="Q60" s="552"/>
      <c r="R60" s="552"/>
      <c r="S60" s="552"/>
      <c r="T60" s="552"/>
      <c r="U60" s="552"/>
      <c r="V60" s="552"/>
      <c r="W60" s="552"/>
      <c r="X60" s="552"/>
      <c r="Y60" s="552"/>
      <c r="Z60" s="552"/>
    </row>
    <row r="61">
      <c r="A61" s="559"/>
      <c r="B61" s="560"/>
      <c r="C61" s="561"/>
      <c r="D61" s="562"/>
      <c r="E61" s="552"/>
      <c r="F61" s="552"/>
      <c r="G61" s="552"/>
      <c r="H61" s="552"/>
      <c r="I61" s="552"/>
      <c r="J61" s="552"/>
      <c r="K61" s="552"/>
      <c r="L61" s="552"/>
      <c r="M61" s="552"/>
      <c r="N61" s="552"/>
      <c r="O61" s="552"/>
      <c r="P61" s="552"/>
      <c r="Q61" s="552"/>
      <c r="R61" s="552"/>
      <c r="S61" s="552"/>
      <c r="T61" s="552"/>
      <c r="U61" s="552"/>
      <c r="V61" s="552"/>
      <c r="W61" s="552"/>
      <c r="X61" s="552"/>
      <c r="Y61" s="552"/>
      <c r="Z61" s="552"/>
    </row>
    <row r="62">
      <c r="A62" s="559"/>
      <c r="B62" s="560"/>
      <c r="C62" s="561"/>
      <c r="D62" s="562"/>
      <c r="E62" s="552"/>
      <c r="F62" s="552"/>
      <c r="G62" s="552"/>
      <c r="H62" s="552"/>
      <c r="I62" s="552"/>
      <c r="J62" s="552"/>
      <c r="K62" s="552"/>
      <c r="L62" s="552"/>
      <c r="M62" s="552"/>
      <c r="N62" s="552"/>
      <c r="O62" s="552"/>
      <c r="P62" s="552"/>
      <c r="Q62" s="552"/>
      <c r="R62" s="552"/>
      <c r="S62" s="552"/>
      <c r="T62" s="552"/>
      <c r="U62" s="552"/>
      <c r="V62" s="552"/>
      <c r="W62" s="552"/>
      <c r="X62" s="552"/>
      <c r="Y62" s="552"/>
      <c r="Z62" s="552"/>
    </row>
    <row r="63">
      <c r="A63" s="559"/>
      <c r="B63" s="560"/>
      <c r="C63" s="561"/>
      <c r="D63" s="562"/>
      <c r="E63" s="552"/>
      <c r="F63" s="552"/>
      <c r="G63" s="552"/>
      <c r="H63" s="552"/>
      <c r="I63" s="552"/>
      <c r="J63" s="552"/>
      <c r="K63" s="552"/>
      <c r="L63" s="552"/>
      <c r="M63" s="552"/>
      <c r="N63" s="552"/>
      <c r="O63" s="552"/>
      <c r="P63" s="552"/>
      <c r="Q63" s="552"/>
      <c r="R63" s="552"/>
      <c r="S63" s="552"/>
      <c r="T63" s="552"/>
      <c r="U63" s="552"/>
      <c r="V63" s="552"/>
      <c r="W63" s="552"/>
      <c r="X63" s="552"/>
      <c r="Y63" s="552"/>
      <c r="Z63" s="552"/>
    </row>
    <row r="64">
      <c r="A64" s="559"/>
      <c r="B64" s="560"/>
      <c r="C64" s="561"/>
      <c r="D64" s="562"/>
      <c r="E64" s="552"/>
      <c r="F64" s="552"/>
      <c r="G64" s="552"/>
      <c r="H64" s="552"/>
      <c r="I64" s="552"/>
      <c r="J64" s="552"/>
      <c r="K64" s="552"/>
      <c r="L64" s="552"/>
      <c r="M64" s="552"/>
      <c r="N64" s="552"/>
      <c r="O64" s="552"/>
      <c r="P64" s="552"/>
      <c r="Q64" s="552"/>
      <c r="R64" s="552"/>
      <c r="S64" s="552"/>
      <c r="T64" s="552"/>
      <c r="U64" s="552"/>
      <c r="V64" s="552"/>
      <c r="W64" s="552"/>
      <c r="X64" s="552"/>
      <c r="Y64" s="552"/>
      <c r="Z64" s="552"/>
    </row>
    <row r="65">
      <c r="A65" s="559"/>
      <c r="B65" s="560"/>
      <c r="C65" s="561"/>
      <c r="D65" s="562"/>
      <c r="E65" s="552"/>
      <c r="F65" s="552"/>
      <c r="G65" s="552"/>
      <c r="H65" s="552"/>
      <c r="I65" s="552"/>
      <c r="J65" s="552"/>
      <c r="K65" s="552"/>
      <c r="L65" s="552"/>
      <c r="M65" s="552"/>
      <c r="N65" s="552"/>
      <c r="O65" s="552"/>
      <c r="P65" s="552"/>
      <c r="Q65" s="552"/>
      <c r="R65" s="552"/>
      <c r="S65" s="552"/>
      <c r="T65" s="552"/>
      <c r="U65" s="552"/>
      <c r="V65" s="552"/>
      <c r="W65" s="552"/>
      <c r="X65" s="552"/>
      <c r="Y65" s="552"/>
      <c r="Z65" s="552"/>
    </row>
    <row r="66">
      <c r="A66" s="559"/>
      <c r="B66" s="560"/>
      <c r="C66" s="561"/>
      <c r="D66" s="562"/>
      <c r="E66" s="552"/>
      <c r="F66" s="552"/>
      <c r="G66" s="552"/>
      <c r="H66" s="552"/>
      <c r="I66" s="552"/>
      <c r="J66" s="552"/>
      <c r="K66" s="552"/>
      <c r="L66" s="552"/>
      <c r="M66" s="552"/>
      <c r="N66" s="552"/>
      <c r="O66" s="552"/>
      <c r="P66" s="552"/>
      <c r="Q66" s="552"/>
      <c r="R66" s="552"/>
      <c r="S66" s="552"/>
      <c r="T66" s="552"/>
      <c r="U66" s="552"/>
      <c r="V66" s="552"/>
      <c r="W66" s="552"/>
      <c r="X66" s="552"/>
      <c r="Y66" s="552"/>
      <c r="Z66" s="552"/>
    </row>
    <row r="67">
      <c r="A67" s="559"/>
      <c r="B67" s="560"/>
      <c r="C67" s="561"/>
      <c r="D67" s="562"/>
      <c r="E67" s="552"/>
      <c r="F67" s="552"/>
      <c r="G67" s="552"/>
      <c r="H67" s="552"/>
      <c r="I67" s="552"/>
      <c r="J67" s="552"/>
      <c r="K67" s="552"/>
      <c r="L67" s="552"/>
      <c r="M67" s="552"/>
      <c r="N67" s="552"/>
      <c r="O67" s="552"/>
      <c r="P67" s="552"/>
      <c r="Q67" s="552"/>
      <c r="R67" s="552"/>
      <c r="S67" s="552"/>
      <c r="T67" s="552"/>
      <c r="U67" s="552"/>
      <c r="V67" s="552"/>
      <c r="W67" s="552"/>
      <c r="X67" s="552"/>
      <c r="Y67" s="552"/>
      <c r="Z67" s="552"/>
    </row>
    <row r="68">
      <c r="A68" s="559"/>
      <c r="B68" s="560"/>
      <c r="C68" s="561"/>
      <c r="D68" s="562"/>
      <c r="E68" s="552"/>
      <c r="F68" s="552"/>
      <c r="G68" s="552"/>
      <c r="H68" s="552"/>
      <c r="I68" s="552"/>
      <c r="J68" s="552"/>
      <c r="K68" s="552"/>
      <c r="L68" s="552"/>
      <c r="M68" s="552"/>
      <c r="N68" s="552"/>
      <c r="O68" s="552"/>
      <c r="P68" s="552"/>
      <c r="Q68" s="552"/>
      <c r="R68" s="552"/>
      <c r="S68" s="552"/>
      <c r="T68" s="552"/>
      <c r="U68" s="552"/>
      <c r="V68" s="552"/>
      <c r="W68" s="552"/>
      <c r="X68" s="552"/>
      <c r="Y68" s="552"/>
      <c r="Z68" s="552"/>
    </row>
    <row r="69">
      <c r="A69" s="559"/>
      <c r="B69" s="560"/>
      <c r="C69" s="561"/>
      <c r="D69" s="562"/>
      <c r="E69" s="552"/>
      <c r="F69" s="552"/>
      <c r="G69" s="552"/>
      <c r="H69" s="552"/>
      <c r="I69" s="552"/>
      <c r="J69" s="552"/>
      <c r="K69" s="552"/>
      <c r="L69" s="552"/>
      <c r="M69" s="552"/>
      <c r="N69" s="552"/>
      <c r="O69" s="552"/>
      <c r="P69" s="552"/>
      <c r="Q69" s="552"/>
      <c r="R69" s="552"/>
      <c r="S69" s="552"/>
      <c r="T69" s="552"/>
      <c r="U69" s="552"/>
      <c r="V69" s="552"/>
      <c r="W69" s="552"/>
      <c r="X69" s="552"/>
      <c r="Y69" s="552"/>
      <c r="Z69" s="552"/>
    </row>
    <row r="70">
      <c r="A70" s="559"/>
      <c r="B70" s="560"/>
      <c r="C70" s="561"/>
      <c r="D70" s="562"/>
      <c r="E70" s="552"/>
      <c r="F70" s="552"/>
      <c r="G70" s="552"/>
      <c r="H70" s="552"/>
      <c r="I70" s="552"/>
      <c r="J70" s="552"/>
      <c r="K70" s="552"/>
      <c r="L70" s="552"/>
      <c r="M70" s="552"/>
      <c r="N70" s="552"/>
      <c r="O70" s="552"/>
      <c r="P70" s="552"/>
      <c r="Q70" s="552"/>
      <c r="R70" s="552"/>
      <c r="S70" s="552"/>
      <c r="T70" s="552"/>
      <c r="U70" s="552"/>
      <c r="V70" s="552"/>
      <c r="W70" s="552"/>
      <c r="X70" s="552"/>
      <c r="Y70" s="552"/>
      <c r="Z70" s="552"/>
    </row>
    <row r="71">
      <c r="A71" s="559"/>
      <c r="B71" s="560"/>
      <c r="C71" s="561"/>
      <c r="D71" s="562"/>
      <c r="E71" s="552"/>
      <c r="F71" s="552"/>
      <c r="G71" s="552"/>
      <c r="H71" s="552"/>
      <c r="I71" s="552"/>
      <c r="J71" s="552"/>
      <c r="K71" s="552"/>
      <c r="L71" s="552"/>
      <c r="M71" s="552"/>
      <c r="N71" s="552"/>
      <c r="O71" s="552"/>
      <c r="P71" s="552"/>
      <c r="Q71" s="552"/>
      <c r="R71" s="552"/>
      <c r="S71" s="552"/>
      <c r="T71" s="552"/>
      <c r="U71" s="552"/>
      <c r="V71" s="552"/>
      <c r="W71" s="552"/>
      <c r="X71" s="552"/>
      <c r="Y71" s="552"/>
      <c r="Z71" s="552"/>
    </row>
    <row r="72">
      <c r="A72" s="559"/>
      <c r="B72" s="560"/>
      <c r="C72" s="561"/>
      <c r="D72" s="562"/>
      <c r="E72" s="552"/>
      <c r="F72" s="552"/>
      <c r="G72" s="552"/>
      <c r="H72" s="552"/>
      <c r="I72" s="552"/>
      <c r="J72" s="552"/>
      <c r="K72" s="552"/>
      <c r="L72" s="552"/>
      <c r="M72" s="552"/>
      <c r="N72" s="552"/>
      <c r="O72" s="552"/>
      <c r="P72" s="552"/>
      <c r="Q72" s="552"/>
      <c r="R72" s="552"/>
      <c r="S72" s="552"/>
      <c r="T72" s="552"/>
      <c r="U72" s="552"/>
      <c r="V72" s="552"/>
      <c r="W72" s="552"/>
      <c r="X72" s="552"/>
      <c r="Y72" s="552"/>
      <c r="Z72" s="552"/>
    </row>
    <row r="73">
      <c r="A73" s="559"/>
      <c r="B73" s="560"/>
      <c r="C73" s="561"/>
      <c r="D73" s="562"/>
      <c r="E73" s="552"/>
      <c r="F73" s="552"/>
      <c r="G73" s="552"/>
      <c r="H73" s="552"/>
      <c r="I73" s="552"/>
      <c r="J73" s="552"/>
      <c r="K73" s="552"/>
      <c r="L73" s="552"/>
      <c r="M73" s="552"/>
      <c r="N73" s="552"/>
      <c r="O73" s="552"/>
      <c r="P73" s="552"/>
      <c r="Q73" s="552"/>
      <c r="R73" s="552"/>
      <c r="S73" s="552"/>
      <c r="T73" s="552"/>
      <c r="U73" s="552"/>
      <c r="V73" s="552"/>
      <c r="W73" s="552"/>
      <c r="X73" s="552"/>
      <c r="Y73" s="552"/>
      <c r="Z73" s="552"/>
    </row>
    <row r="74">
      <c r="A74" s="559"/>
      <c r="B74" s="560"/>
      <c r="C74" s="561"/>
      <c r="D74" s="562"/>
      <c r="E74" s="552"/>
      <c r="F74" s="552"/>
      <c r="G74" s="552"/>
      <c r="H74" s="552"/>
      <c r="I74" s="552"/>
      <c r="J74" s="552"/>
      <c r="K74" s="552"/>
      <c r="L74" s="552"/>
      <c r="M74" s="552"/>
      <c r="N74" s="552"/>
      <c r="O74" s="552"/>
      <c r="P74" s="552"/>
      <c r="Q74" s="552"/>
      <c r="R74" s="552"/>
      <c r="S74" s="552"/>
      <c r="T74" s="552"/>
      <c r="U74" s="552"/>
      <c r="V74" s="552"/>
      <c r="W74" s="552"/>
      <c r="X74" s="552"/>
      <c r="Y74" s="552"/>
      <c r="Z74" s="552"/>
    </row>
    <row r="75">
      <c r="A75" s="559"/>
      <c r="B75" s="560"/>
      <c r="C75" s="561"/>
      <c r="D75" s="562"/>
      <c r="E75" s="552"/>
      <c r="F75" s="552"/>
      <c r="G75" s="552"/>
      <c r="H75" s="552"/>
      <c r="I75" s="552"/>
      <c r="J75" s="552"/>
      <c r="K75" s="552"/>
      <c r="L75" s="552"/>
      <c r="M75" s="552"/>
      <c r="N75" s="552"/>
      <c r="O75" s="552"/>
      <c r="P75" s="552"/>
      <c r="Q75" s="552"/>
      <c r="R75" s="552"/>
      <c r="S75" s="552"/>
      <c r="T75" s="552"/>
      <c r="U75" s="552"/>
      <c r="V75" s="552"/>
      <c r="W75" s="552"/>
      <c r="X75" s="552"/>
      <c r="Y75" s="552"/>
      <c r="Z75" s="552"/>
    </row>
    <row r="76">
      <c r="A76" s="559"/>
      <c r="B76" s="560"/>
      <c r="C76" s="561"/>
      <c r="D76" s="562"/>
      <c r="E76" s="552"/>
      <c r="F76" s="552"/>
      <c r="G76" s="552"/>
      <c r="H76" s="552"/>
      <c r="I76" s="552"/>
      <c r="J76" s="552"/>
      <c r="K76" s="552"/>
      <c r="L76" s="552"/>
      <c r="M76" s="552"/>
      <c r="N76" s="552"/>
      <c r="O76" s="552"/>
      <c r="P76" s="552"/>
      <c r="Q76" s="552"/>
      <c r="R76" s="552"/>
      <c r="S76" s="552"/>
      <c r="T76" s="552"/>
      <c r="U76" s="552"/>
      <c r="V76" s="552"/>
      <c r="W76" s="552"/>
      <c r="X76" s="552"/>
      <c r="Y76" s="552"/>
      <c r="Z76" s="552"/>
    </row>
    <row r="77">
      <c r="A77" s="559"/>
      <c r="B77" s="560"/>
      <c r="C77" s="561"/>
      <c r="D77" s="562"/>
      <c r="E77" s="552"/>
      <c r="F77" s="552"/>
      <c r="G77" s="552"/>
      <c r="H77" s="552"/>
      <c r="I77" s="552"/>
      <c r="J77" s="552"/>
      <c r="K77" s="552"/>
      <c r="L77" s="552"/>
      <c r="M77" s="552"/>
      <c r="N77" s="552"/>
      <c r="O77" s="552"/>
      <c r="P77" s="552"/>
      <c r="Q77" s="552"/>
      <c r="R77" s="552"/>
      <c r="S77" s="552"/>
      <c r="T77" s="552"/>
      <c r="U77" s="552"/>
      <c r="V77" s="552"/>
      <c r="W77" s="552"/>
      <c r="X77" s="552"/>
      <c r="Y77" s="552"/>
      <c r="Z77" s="552"/>
    </row>
    <row r="78">
      <c r="A78" s="559"/>
      <c r="B78" s="560"/>
      <c r="C78" s="561"/>
      <c r="D78" s="562"/>
      <c r="E78" s="552"/>
      <c r="F78" s="552"/>
      <c r="G78" s="552"/>
      <c r="H78" s="552"/>
      <c r="I78" s="552"/>
      <c r="J78" s="552"/>
      <c r="K78" s="552"/>
      <c r="L78" s="552"/>
      <c r="M78" s="552"/>
      <c r="N78" s="552"/>
      <c r="O78" s="552"/>
      <c r="P78" s="552"/>
      <c r="Q78" s="552"/>
      <c r="R78" s="552"/>
      <c r="S78" s="552"/>
      <c r="T78" s="552"/>
      <c r="U78" s="552"/>
      <c r="V78" s="552"/>
      <c r="W78" s="552"/>
      <c r="X78" s="552"/>
      <c r="Y78" s="552"/>
      <c r="Z78" s="552"/>
    </row>
    <row r="79">
      <c r="A79" s="559"/>
      <c r="B79" s="560"/>
      <c r="C79" s="561"/>
      <c r="D79" s="562"/>
      <c r="E79" s="552"/>
      <c r="F79" s="552"/>
      <c r="G79" s="552"/>
      <c r="H79" s="552"/>
      <c r="I79" s="552"/>
      <c r="J79" s="552"/>
      <c r="K79" s="552"/>
      <c r="L79" s="552"/>
      <c r="M79" s="552"/>
      <c r="N79" s="552"/>
      <c r="O79" s="552"/>
      <c r="P79" s="552"/>
      <c r="Q79" s="552"/>
      <c r="R79" s="552"/>
      <c r="S79" s="552"/>
      <c r="T79" s="552"/>
      <c r="U79" s="552"/>
      <c r="V79" s="552"/>
      <c r="W79" s="552"/>
      <c r="X79" s="552"/>
      <c r="Y79" s="552"/>
      <c r="Z79" s="552"/>
    </row>
    <row r="80">
      <c r="A80" s="559"/>
      <c r="B80" s="560"/>
      <c r="C80" s="561"/>
      <c r="D80" s="562"/>
      <c r="E80" s="552"/>
      <c r="F80" s="552"/>
      <c r="G80" s="552"/>
      <c r="H80" s="552"/>
      <c r="I80" s="552"/>
      <c r="J80" s="552"/>
      <c r="K80" s="552"/>
      <c r="L80" s="552"/>
      <c r="M80" s="552"/>
      <c r="N80" s="552"/>
      <c r="O80" s="552"/>
      <c r="P80" s="552"/>
      <c r="Q80" s="552"/>
      <c r="R80" s="552"/>
      <c r="S80" s="552"/>
      <c r="T80" s="552"/>
      <c r="U80" s="552"/>
      <c r="V80" s="552"/>
      <c r="W80" s="552"/>
      <c r="X80" s="552"/>
      <c r="Y80" s="552"/>
      <c r="Z80" s="552"/>
    </row>
    <row r="81">
      <c r="A81" s="559"/>
      <c r="B81" s="560"/>
      <c r="C81" s="561"/>
      <c r="D81" s="562"/>
      <c r="E81" s="552"/>
      <c r="F81" s="552"/>
      <c r="G81" s="552"/>
      <c r="H81" s="552"/>
      <c r="I81" s="552"/>
      <c r="J81" s="552"/>
      <c r="K81" s="552"/>
      <c r="L81" s="552"/>
      <c r="M81" s="552"/>
      <c r="N81" s="552"/>
      <c r="O81" s="552"/>
      <c r="P81" s="552"/>
      <c r="Q81" s="552"/>
      <c r="R81" s="552"/>
      <c r="S81" s="552"/>
      <c r="T81" s="552"/>
      <c r="U81" s="552"/>
      <c r="V81" s="552"/>
      <c r="W81" s="552"/>
      <c r="X81" s="552"/>
      <c r="Y81" s="552"/>
      <c r="Z81" s="552"/>
    </row>
    <row r="82">
      <c r="A82" s="559"/>
      <c r="B82" s="560"/>
      <c r="C82" s="561"/>
      <c r="D82" s="562"/>
      <c r="E82" s="552"/>
      <c r="F82" s="552"/>
      <c r="G82" s="552"/>
      <c r="H82" s="552"/>
      <c r="I82" s="552"/>
      <c r="J82" s="552"/>
      <c r="K82" s="552"/>
      <c r="L82" s="552"/>
      <c r="M82" s="552"/>
      <c r="N82" s="552"/>
      <c r="O82" s="552"/>
      <c r="P82" s="552"/>
      <c r="Q82" s="552"/>
      <c r="R82" s="552"/>
      <c r="S82" s="552"/>
      <c r="T82" s="552"/>
      <c r="U82" s="552"/>
      <c r="V82" s="552"/>
      <c r="W82" s="552"/>
      <c r="X82" s="552"/>
      <c r="Y82" s="552"/>
      <c r="Z82" s="552"/>
    </row>
    <row r="83">
      <c r="A83" s="559"/>
      <c r="B83" s="560"/>
      <c r="C83" s="561"/>
      <c r="D83" s="562"/>
      <c r="E83" s="552"/>
      <c r="F83" s="552"/>
      <c r="G83" s="552"/>
      <c r="H83" s="552"/>
      <c r="I83" s="552"/>
      <c r="J83" s="552"/>
      <c r="K83" s="552"/>
      <c r="L83" s="552"/>
      <c r="M83" s="552"/>
      <c r="N83" s="552"/>
      <c r="O83" s="552"/>
      <c r="P83" s="552"/>
      <c r="Q83" s="552"/>
      <c r="R83" s="552"/>
      <c r="S83" s="552"/>
      <c r="T83" s="552"/>
      <c r="U83" s="552"/>
      <c r="V83" s="552"/>
      <c r="W83" s="552"/>
      <c r="X83" s="552"/>
      <c r="Y83" s="552"/>
      <c r="Z83" s="552"/>
    </row>
    <row r="84">
      <c r="A84" s="559"/>
      <c r="B84" s="560"/>
      <c r="C84" s="561"/>
      <c r="D84" s="562"/>
      <c r="E84" s="552"/>
      <c r="F84" s="552"/>
      <c r="G84" s="552"/>
      <c r="H84" s="552"/>
      <c r="I84" s="552"/>
      <c r="J84" s="552"/>
      <c r="K84" s="552"/>
      <c r="L84" s="552"/>
      <c r="M84" s="552"/>
      <c r="N84" s="552"/>
      <c r="O84" s="552"/>
      <c r="P84" s="552"/>
      <c r="Q84" s="552"/>
      <c r="R84" s="552"/>
      <c r="S84" s="552"/>
      <c r="T84" s="552"/>
      <c r="U84" s="552"/>
      <c r="V84" s="552"/>
      <c r="W84" s="552"/>
      <c r="X84" s="552"/>
      <c r="Y84" s="552"/>
      <c r="Z84" s="552"/>
    </row>
    <row r="85">
      <c r="A85" s="559"/>
      <c r="B85" s="560"/>
      <c r="C85" s="561"/>
      <c r="D85" s="562"/>
      <c r="E85" s="552"/>
      <c r="F85" s="552"/>
      <c r="G85" s="552"/>
      <c r="H85" s="552"/>
      <c r="I85" s="552"/>
      <c r="J85" s="552"/>
      <c r="K85" s="552"/>
      <c r="L85" s="552"/>
      <c r="M85" s="552"/>
      <c r="N85" s="552"/>
      <c r="O85" s="552"/>
      <c r="P85" s="552"/>
      <c r="Q85" s="552"/>
      <c r="R85" s="552"/>
      <c r="S85" s="552"/>
      <c r="T85" s="552"/>
      <c r="U85" s="552"/>
      <c r="V85" s="552"/>
      <c r="W85" s="552"/>
      <c r="X85" s="552"/>
      <c r="Y85" s="552"/>
      <c r="Z85" s="552"/>
    </row>
    <row r="86">
      <c r="A86" s="559"/>
      <c r="B86" s="560"/>
      <c r="C86" s="561"/>
      <c r="D86" s="562"/>
      <c r="E86" s="552"/>
      <c r="F86" s="552"/>
      <c r="G86" s="552"/>
      <c r="H86" s="552"/>
      <c r="I86" s="552"/>
      <c r="J86" s="552"/>
      <c r="K86" s="552"/>
      <c r="L86" s="552"/>
      <c r="M86" s="552"/>
      <c r="N86" s="552"/>
      <c r="O86" s="552"/>
      <c r="P86" s="552"/>
      <c r="Q86" s="552"/>
      <c r="R86" s="552"/>
      <c r="S86" s="552"/>
      <c r="T86" s="552"/>
      <c r="U86" s="552"/>
      <c r="V86" s="552"/>
      <c r="W86" s="552"/>
      <c r="X86" s="552"/>
      <c r="Y86" s="552"/>
      <c r="Z86" s="552"/>
    </row>
    <row r="87">
      <c r="A87" s="559"/>
      <c r="B87" s="560"/>
      <c r="C87" s="561"/>
      <c r="D87" s="562"/>
      <c r="E87" s="552"/>
      <c r="F87" s="552"/>
      <c r="G87" s="552"/>
      <c r="H87" s="552"/>
      <c r="I87" s="552"/>
      <c r="J87" s="552"/>
      <c r="K87" s="552"/>
      <c r="L87" s="552"/>
      <c r="M87" s="552"/>
      <c r="N87" s="552"/>
      <c r="O87" s="552"/>
      <c r="P87" s="552"/>
      <c r="Q87" s="552"/>
      <c r="R87" s="552"/>
      <c r="S87" s="552"/>
      <c r="T87" s="552"/>
      <c r="U87" s="552"/>
      <c r="V87" s="552"/>
      <c r="W87" s="552"/>
      <c r="X87" s="552"/>
      <c r="Y87" s="552"/>
      <c r="Z87" s="552"/>
    </row>
    <row r="88">
      <c r="A88" s="559"/>
      <c r="B88" s="560"/>
      <c r="C88" s="561"/>
      <c r="D88" s="562"/>
      <c r="E88" s="552"/>
      <c r="F88" s="552"/>
      <c r="G88" s="552"/>
      <c r="H88" s="552"/>
      <c r="I88" s="552"/>
      <c r="J88" s="552"/>
      <c r="K88" s="552"/>
      <c r="L88" s="552"/>
      <c r="M88" s="552"/>
      <c r="N88" s="552"/>
      <c r="O88" s="552"/>
      <c r="P88" s="552"/>
      <c r="Q88" s="552"/>
      <c r="R88" s="552"/>
      <c r="S88" s="552"/>
      <c r="T88" s="552"/>
      <c r="U88" s="552"/>
      <c r="V88" s="552"/>
      <c r="W88" s="552"/>
      <c r="X88" s="552"/>
      <c r="Y88" s="552"/>
      <c r="Z88" s="552"/>
    </row>
    <row r="89">
      <c r="A89" s="559"/>
      <c r="B89" s="560"/>
      <c r="C89" s="561"/>
      <c r="D89" s="562"/>
      <c r="E89" s="552"/>
      <c r="F89" s="552"/>
      <c r="G89" s="552"/>
      <c r="H89" s="552"/>
      <c r="I89" s="552"/>
      <c r="J89" s="552"/>
      <c r="K89" s="552"/>
      <c r="L89" s="552"/>
      <c r="M89" s="552"/>
      <c r="N89" s="552"/>
      <c r="O89" s="552"/>
      <c r="P89" s="552"/>
      <c r="Q89" s="552"/>
      <c r="R89" s="552"/>
      <c r="S89" s="552"/>
      <c r="T89" s="552"/>
      <c r="U89" s="552"/>
      <c r="V89" s="552"/>
      <c r="W89" s="552"/>
      <c r="X89" s="552"/>
      <c r="Y89" s="552"/>
      <c r="Z89" s="552"/>
    </row>
    <row r="90">
      <c r="A90" s="559"/>
      <c r="B90" s="560"/>
      <c r="C90" s="561"/>
      <c r="D90" s="562"/>
      <c r="E90" s="552"/>
      <c r="F90" s="552"/>
      <c r="G90" s="552"/>
      <c r="H90" s="552"/>
      <c r="I90" s="552"/>
      <c r="J90" s="552"/>
      <c r="K90" s="552"/>
      <c r="L90" s="552"/>
      <c r="M90" s="552"/>
      <c r="N90" s="552"/>
      <c r="O90" s="552"/>
      <c r="P90" s="552"/>
      <c r="Q90" s="552"/>
      <c r="R90" s="552"/>
      <c r="S90" s="552"/>
      <c r="T90" s="552"/>
      <c r="U90" s="552"/>
      <c r="V90" s="552"/>
      <c r="W90" s="552"/>
      <c r="X90" s="552"/>
      <c r="Y90" s="552"/>
      <c r="Z90" s="552"/>
    </row>
    <row r="91">
      <c r="A91" s="559"/>
      <c r="B91" s="560"/>
      <c r="C91" s="561"/>
      <c r="D91" s="562"/>
      <c r="E91" s="552"/>
      <c r="F91" s="552"/>
      <c r="G91" s="552"/>
      <c r="H91" s="552"/>
      <c r="I91" s="552"/>
      <c r="J91" s="552"/>
      <c r="K91" s="552"/>
      <c r="L91" s="552"/>
      <c r="M91" s="552"/>
      <c r="N91" s="552"/>
      <c r="O91" s="552"/>
      <c r="P91" s="552"/>
      <c r="Q91" s="552"/>
      <c r="R91" s="552"/>
      <c r="S91" s="552"/>
      <c r="T91" s="552"/>
      <c r="U91" s="552"/>
      <c r="V91" s="552"/>
      <c r="W91" s="552"/>
      <c r="X91" s="552"/>
      <c r="Y91" s="552"/>
      <c r="Z91" s="552"/>
    </row>
    <row r="92">
      <c r="A92" s="559"/>
      <c r="B92" s="560"/>
      <c r="C92" s="561"/>
      <c r="D92" s="562"/>
      <c r="E92" s="552"/>
      <c r="F92" s="552"/>
      <c r="G92" s="552"/>
      <c r="H92" s="552"/>
      <c r="I92" s="552"/>
      <c r="J92" s="552"/>
      <c r="K92" s="552"/>
      <c r="L92" s="552"/>
      <c r="M92" s="552"/>
      <c r="N92" s="552"/>
      <c r="O92" s="552"/>
      <c r="P92" s="552"/>
      <c r="Q92" s="552"/>
      <c r="R92" s="552"/>
      <c r="S92" s="552"/>
      <c r="T92" s="552"/>
      <c r="U92" s="552"/>
      <c r="V92" s="552"/>
      <c r="W92" s="552"/>
      <c r="X92" s="552"/>
      <c r="Y92" s="552"/>
      <c r="Z92" s="552"/>
    </row>
    <row r="93">
      <c r="A93" s="559"/>
      <c r="B93" s="560"/>
      <c r="C93" s="561"/>
      <c r="D93" s="562"/>
      <c r="E93" s="552"/>
      <c r="F93" s="552"/>
      <c r="G93" s="552"/>
      <c r="H93" s="552"/>
      <c r="I93" s="552"/>
      <c r="J93" s="552"/>
      <c r="K93" s="552"/>
      <c r="L93" s="552"/>
      <c r="M93" s="552"/>
      <c r="N93" s="552"/>
      <c r="O93" s="552"/>
      <c r="P93" s="552"/>
      <c r="Q93" s="552"/>
      <c r="R93" s="552"/>
      <c r="S93" s="552"/>
      <c r="T93" s="552"/>
      <c r="U93" s="552"/>
      <c r="V93" s="552"/>
      <c r="W93" s="552"/>
      <c r="X93" s="552"/>
      <c r="Y93" s="552"/>
      <c r="Z93" s="552"/>
    </row>
    <row r="94">
      <c r="A94" s="559"/>
      <c r="B94" s="560"/>
      <c r="C94" s="561"/>
      <c r="D94" s="562"/>
      <c r="E94" s="552"/>
      <c r="F94" s="552"/>
      <c r="G94" s="552"/>
      <c r="H94" s="552"/>
      <c r="I94" s="552"/>
      <c r="J94" s="552"/>
      <c r="K94" s="552"/>
      <c r="L94" s="552"/>
      <c r="M94" s="552"/>
      <c r="N94" s="552"/>
      <c r="O94" s="552"/>
      <c r="P94" s="552"/>
      <c r="Q94" s="552"/>
      <c r="R94" s="552"/>
      <c r="S94" s="552"/>
      <c r="T94" s="552"/>
      <c r="U94" s="552"/>
      <c r="V94" s="552"/>
      <c r="W94" s="552"/>
      <c r="X94" s="552"/>
      <c r="Y94" s="552"/>
      <c r="Z94" s="552"/>
    </row>
    <row r="95">
      <c r="A95" s="559"/>
      <c r="B95" s="560"/>
      <c r="C95" s="561"/>
      <c r="D95" s="562"/>
      <c r="E95" s="552"/>
      <c r="F95" s="552"/>
      <c r="G95" s="552"/>
      <c r="H95" s="552"/>
      <c r="I95" s="552"/>
      <c r="J95" s="552"/>
      <c r="K95" s="552"/>
      <c r="L95" s="552"/>
      <c r="M95" s="552"/>
      <c r="N95" s="552"/>
      <c r="O95" s="552"/>
      <c r="P95" s="552"/>
      <c r="Q95" s="552"/>
      <c r="R95" s="552"/>
      <c r="S95" s="552"/>
      <c r="T95" s="552"/>
      <c r="U95" s="552"/>
      <c r="V95" s="552"/>
      <c r="W95" s="552"/>
      <c r="X95" s="552"/>
      <c r="Y95" s="552"/>
      <c r="Z95" s="552"/>
    </row>
    <row r="96">
      <c r="A96" s="559"/>
      <c r="B96" s="560"/>
      <c r="C96" s="561"/>
      <c r="D96" s="562"/>
      <c r="E96" s="552"/>
      <c r="F96" s="552"/>
      <c r="G96" s="552"/>
      <c r="H96" s="552"/>
      <c r="I96" s="552"/>
      <c r="J96" s="552"/>
      <c r="K96" s="552"/>
      <c r="L96" s="552"/>
      <c r="M96" s="552"/>
      <c r="N96" s="552"/>
      <c r="O96" s="552"/>
      <c r="P96" s="552"/>
      <c r="Q96" s="552"/>
      <c r="R96" s="552"/>
      <c r="S96" s="552"/>
      <c r="T96" s="552"/>
      <c r="U96" s="552"/>
      <c r="V96" s="552"/>
      <c r="W96" s="552"/>
      <c r="X96" s="552"/>
      <c r="Y96" s="552"/>
      <c r="Z96" s="552"/>
    </row>
    <row r="97">
      <c r="A97" s="559"/>
      <c r="B97" s="560"/>
      <c r="C97" s="561"/>
      <c r="D97" s="562"/>
      <c r="E97" s="552"/>
      <c r="F97" s="552"/>
      <c r="G97" s="552"/>
      <c r="H97" s="552"/>
      <c r="I97" s="552"/>
      <c r="J97" s="552"/>
      <c r="K97" s="552"/>
      <c r="L97" s="552"/>
      <c r="M97" s="552"/>
      <c r="N97" s="552"/>
      <c r="O97" s="552"/>
      <c r="P97" s="552"/>
      <c r="Q97" s="552"/>
      <c r="R97" s="552"/>
      <c r="S97" s="552"/>
      <c r="T97" s="552"/>
      <c r="U97" s="552"/>
      <c r="V97" s="552"/>
      <c r="W97" s="552"/>
      <c r="X97" s="552"/>
      <c r="Y97" s="552"/>
      <c r="Z97" s="552"/>
    </row>
    <row r="98">
      <c r="A98" s="559"/>
      <c r="B98" s="560"/>
      <c r="C98" s="561"/>
      <c r="D98" s="562"/>
      <c r="E98" s="552"/>
      <c r="F98" s="552"/>
      <c r="G98" s="552"/>
      <c r="H98" s="552"/>
      <c r="I98" s="552"/>
      <c r="J98" s="552"/>
      <c r="K98" s="552"/>
      <c r="L98" s="552"/>
      <c r="M98" s="552"/>
      <c r="N98" s="552"/>
      <c r="O98" s="552"/>
      <c r="P98" s="552"/>
      <c r="Q98" s="552"/>
      <c r="R98" s="552"/>
      <c r="S98" s="552"/>
      <c r="T98" s="552"/>
      <c r="U98" s="552"/>
      <c r="V98" s="552"/>
      <c r="W98" s="552"/>
      <c r="X98" s="552"/>
      <c r="Y98" s="552"/>
      <c r="Z98" s="552"/>
    </row>
    <row r="99">
      <c r="A99" s="559"/>
      <c r="B99" s="560"/>
      <c r="C99" s="561"/>
      <c r="D99" s="562"/>
      <c r="E99" s="552"/>
      <c r="F99" s="552"/>
      <c r="G99" s="552"/>
      <c r="H99" s="552"/>
      <c r="I99" s="552"/>
      <c r="J99" s="552"/>
      <c r="K99" s="552"/>
      <c r="L99" s="552"/>
      <c r="M99" s="552"/>
      <c r="N99" s="552"/>
      <c r="O99" s="552"/>
      <c r="P99" s="552"/>
      <c r="Q99" s="552"/>
      <c r="R99" s="552"/>
      <c r="S99" s="552"/>
      <c r="T99" s="552"/>
      <c r="U99" s="552"/>
      <c r="V99" s="552"/>
      <c r="W99" s="552"/>
      <c r="X99" s="552"/>
      <c r="Y99" s="552"/>
      <c r="Z99" s="552"/>
    </row>
    <row r="100">
      <c r="A100" s="559"/>
      <c r="B100" s="560"/>
      <c r="C100" s="561"/>
      <c r="D100" s="562"/>
      <c r="E100" s="552"/>
      <c r="F100" s="552"/>
      <c r="G100" s="552"/>
      <c r="H100" s="552"/>
      <c r="I100" s="552"/>
      <c r="J100" s="552"/>
      <c r="K100" s="552"/>
      <c r="L100" s="552"/>
      <c r="M100" s="552"/>
      <c r="N100" s="552"/>
      <c r="O100" s="552"/>
      <c r="P100" s="552"/>
      <c r="Q100" s="552"/>
      <c r="R100" s="552"/>
      <c r="S100" s="552"/>
      <c r="T100" s="552"/>
      <c r="U100" s="552"/>
      <c r="V100" s="552"/>
      <c r="W100" s="552"/>
      <c r="X100" s="552"/>
      <c r="Y100" s="552"/>
      <c r="Z100" s="552"/>
    </row>
    <row r="101">
      <c r="A101" s="559"/>
      <c r="B101" s="560"/>
      <c r="C101" s="561"/>
      <c r="D101" s="562"/>
      <c r="E101" s="552"/>
      <c r="F101" s="552"/>
      <c r="G101" s="552"/>
      <c r="H101" s="552"/>
      <c r="I101" s="552"/>
      <c r="J101" s="552"/>
      <c r="K101" s="552"/>
      <c r="L101" s="552"/>
      <c r="M101" s="552"/>
      <c r="N101" s="552"/>
      <c r="O101" s="552"/>
      <c r="P101" s="552"/>
      <c r="Q101" s="552"/>
      <c r="R101" s="552"/>
      <c r="S101" s="552"/>
      <c r="T101" s="552"/>
      <c r="U101" s="552"/>
      <c r="V101" s="552"/>
      <c r="W101" s="552"/>
      <c r="X101" s="552"/>
      <c r="Y101" s="552"/>
      <c r="Z101" s="552"/>
    </row>
    <row r="102">
      <c r="A102" s="559"/>
      <c r="B102" s="560"/>
      <c r="C102" s="561"/>
      <c r="D102" s="562"/>
      <c r="E102" s="552"/>
      <c r="F102" s="552"/>
      <c r="G102" s="552"/>
      <c r="H102" s="552"/>
      <c r="I102" s="552"/>
      <c r="J102" s="552"/>
      <c r="K102" s="552"/>
      <c r="L102" s="552"/>
      <c r="M102" s="552"/>
      <c r="N102" s="552"/>
      <c r="O102" s="552"/>
      <c r="P102" s="552"/>
      <c r="Q102" s="552"/>
      <c r="R102" s="552"/>
      <c r="S102" s="552"/>
      <c r="T102" s="552"/>
      <c r="U102" s="552"/>
      <c r="V102" s="552"/>
      <c r="W102" s="552"/>
      <c r="X102" s="552"/>
      <c r="Y102" s="552"/>
      <c r="Z102" s="552"/>
    </row>
    <row r="103">
      <c r="A103" s="559"/>
      <c r="B103" s="560"/>
      <c r="C103" s="561"/>
      <c r="D103" s="562"/>
      <c r="E103" s="552"/>
      <c r="F103" s="552"/>
      <c r="G103" s="552"/>
      <c r="H103" s="552"/>
      <c r="I103" s="552"/>
      <c r="J103" s="552"/>
      <c r="K103" s="552"/>
      <c r="L103" s="552"/>
      <c r="M103" s="552"/>
      <c r="N103" s="552"/>
      <c r="O103" s="552"/>
      <c r="P103" s="552"/>
      <c r="Q103" s="552"/>
      <c r="R103" s="552"/>
      <c r="S103" s="552"/>
      <c r="T103" s="552"/>
      <c r="U103" s="552"/>
      <c r="V103" s="552"/>
      <c r="W103" s="552"/>
      <c r="X103" s="552"/>
      <c r="Y103" s="552"/>
      <c r="Z103" s="552"/>
    </row>
    <row r="104">
      <c r="A104" s="559"/>
      <c r="B104" s="560"/>
      <c r="C104" s="561"/>
      <c r="D104" s="562"/>
      <c r="E104" s="552"/>
      <c r="F104" s="552"/>
      <c r="G104" s="552"/>
      <c r="H104" s="552"/>
      <c r="I104" s="552"/>
      <c r="J104" s="552"/>
      <c r="K104" s="552"/>
      <c r="L104" s="552"/>
      <c r="M104" s="552"/>
      <c r="N104" s="552"/>
      <c r="O104" s="552"/>
      <c r="P104" s="552"/>
      <c r="Q104" s="552"/>
      <c r="R104" s="552"/>
      <c r="S104" s="552"/>
      <c r="T104" s="552"/>
      <c r="U104" s="552"/>
      <c r="V104" s="552"/>
      <c r="W104" s="552"/>
      <c r="X104" s="552"/>
      <c r="Y104" s="552"/>
      <c r="Z104" s="552"/>
    </row>
    <row r="105">
      <c r="A105" s="559"/>
      <c r="B105" s="560"/>
      <c r="C105" s="561"/>
      <c r="D105" s="562"/>
      <c r="E105" s="552"/>
      <c r="F105" s="552"/>
      <c r="G105" s="552"/>
      <c r="H105" s="552"/>
      <c r="I105" s="552"/>
      <c r="J105" s="552"/>
      <c r="K105" s="552"/>
      <c r="L105" s="552"/>
      <c r="M105" s="552"/>
      <c r="N105" s="552"/>
      <c r="O105" s="552"/>
      <c r="P105" s="552"/>
      <c r="Q105" s="552"/>
      <c r="R105" s="552"/>
      <c r="S105" s="552"/>
      <c r="T105" s="552"/>
      <c r="U105" s="552"/>
      <c r="V105" s="552"/>
      <c r="W105" s="552"/>
      <c r="X105" s="552"/>
      <c r="Y105" s="552"/>
      <c r="Z105" s="552"/>
    </row>
    <row r="106">
      <c r="A106" s="559"/>
      <c r="B106" s="560"/>
      <c r="C106" s="561"/>
      <c r="D106" s="562"/>
      <c r="E106" s="552"/>
      <c r="F106" s="552"/>
      <c r="G106" s="552"/>
      <c r="H106" s="552"/>
      <c r="I106" s="552"/>
      <c r="J106" s="552"/>
      <c r="K106" s="552"/>
      <c r="L106" s="552"/>
      <c r="M106" s="552"/>
      <c r="N106" s="552"/>
      <c r="O106" s="552"/>
      <c r="P106" s="552"/>
      <c r="Q106" s="552"/>
      <c r="R106" s="552"/>
      <c r="S106" s="552"/>
      <c r="T106" s="552"/>
      <c r="U106" s="552"/>
      <c r="V106" s="552"/>
      <c r="W106" s="552"/>
      <c r="X106" s="552"/>
      <c r="Y106" s="552"/>
      <c r="Z106" s="552"/>
    </row>
    <row r="107">
      <c r="A107" s="559"/>
      <c r="B107" s="560"/>
      <c r="C107" s="561"/>
      <c r="D107" s="562"/>
      <c r="E107" s="552"/>
      <c r="F107" s="552"/>
      <c r="G107" s="552"/>
      <c r="H107" s="552"/>
      <c r="I107" s="552"/>
      <c r="J107" s="552"/>
      <c r="K107" s="552"/>
      <c r="L107" s="552"/>
      <c r="M107" s="552"/>
      <c r="N107" s="552"/>
      <c r="O107" s="552"/>
      <c r="P107" s="552"/>
      <c r="Q107" s="552"/>
      <c r="R107" s="552"/>
      <c r="S107" s="552"/>
      <c r="T107" s="552"/>
      <c r="U107" s="552"/>
      <c r="V107" s="552"/>
      <c r="W107" s="552"/>
      <c r="X107" s="552"/>
      <c r="Y107" s="552"/>
      <c r="Z107" s="552"/>
    </row>
    <row r="108">
      <c r="A108" s="559"/>
      <c r="B108" s="560"/>
      <c r="C108" s="561"/>
      <c r="D108" s="562"/>
      <c r="E108" s="552"/>
      <c r="F108" s="552"/>
      <c r="G108" s="552"/>
      <c r="H108" s="552"/>
      <c r="I108" s="552"/>
      <c r="J108" s="552"/>
      <c r="K108" s="552"/>
      <c r="L108" s="552"/>
      <c r="M108" s="552"/>
      <c r="N108" s="552"/>
      <c r="O108" s="552"/>
      <c r="P108" s="552"/>
      <c r="Q108" s="552"/>
      <c r="R108" s="552"/>
      <c r="S108" s="552"/>
      <c r="T108" s="552"/>
      <c r="U108" s="552"/>
      <c r="V108" s="552"/>
      <c r="W108" s="552"/>
      <c r="X108" s="552"/>
      <c r="Y108" s="552"/>
      <c r="Z108" s="552"/>
    </row>
    <row r="109">
      <c r="A109" s="559"/>
      <c r="B109" s="560"/>
      <c r="C109" s="561"/>
      <c r="D109" s="562"/>
      <c r="E109" s="552"/>
      <c r="F109" s="552"/>
      <c r="G109" s="552"/>
      <c r="H109" s="552"/>
      <c r="I109" s="552"/>
      <c r="J109" s="552"/>
      <c r="K109" s="552"/>
      <c r="L109" s="552"/>
      <c r="M109" s="552"/>
      <c r="N109" s="552"/>
      <c r="O109" s="552"/>
      <c r="P109" s="552"/>
      <c r="Q109" s="552"/>
      <c r="R109" s="552"/>
      <c r="S109" s="552"/>
      <c r="T109" s="552"/>
      <c r="U109" s="552"/>
      <c r="V109" s="552"/>
      <c r="W109" s="552"/>
      <c r="X109" s="552"/>
      <c r="Y109" s="552"/>
      <c r="Z109" s="552"/>
    </row>
    <row r="110">
      <c r="A110" s="559"/>
      <c r="B110" s="560"/>
      <c r="C110" s="561"/>
      <c r="D110" s="562"/>
      <c r="E110" s="552"/>
      <c r="F110" s="552"/>
      <c r="G110" s="552"/>
      <c r="H110" s="552"/>
      <c r="I110" s="552"/>
      <c r="J110" s="552"/>
      <c r="K110" s="552"/>
      <c r="L110" s="552"/>
      <c r="M110" s="552"/>
      <c r="N110" s="552"/>
      <c r="O110" s="552"/>
      <c r="P110" s="552"/>
      <c r="Q110" s="552"/>
      <c r="R110" s="552"/>
      <c r="S110" s="552"/>
      <c r="T110" s="552"/>
      <c r="U110" s="552"/>
      <c r="V110" s="552"/>
      <c r="W110" s="552"/>
      <c r="X110" s="552"/>
      <c r="Y110" s="552"/>
      <c r="Z110" s="552"/>
    </row>
    <row r="111">
      <c r="A111" s="559"/>
      <c r="B111" s="560"/>
      <c r="C111" s="561"/>
      <c r="D111" s="562"/>
      <c r="E111" s="552"/>
      <c r="F111" s="552"/>
      <c r="G111" s="552"/>
      <c r="H111" s="552"/>
      <c r="I111" s="552"/>
      <c r="J111" s="552"/>
      <c r="K111" s="552"/>
      <c r="L111" s="552"/>
      <c r="M111" s="552"/>
      <c r="N111" s="552"/>
      <c r="O111" s="552"/>
      <c r="P111" s="552"/>
      <c r="Q111" s="552"/>
      <c r="R111" s="552"/>
      <c r="S111" s="552"/>
      <c r="T111" s="552"/>
      <c r="U111" s="552"/>
      <c r="V111" s="552"/>
      <c r="W111" s="552"/>
      <c r="X111" s="552"/>
      <c r="Y111" s="552"/>
      <c r="Z111" s="552"/>
    </row>
    <row r="112">
      <c r="A112" s="559"/>
      <c r="B112" s="560"/>
      <c r="C112" s="561"/>
      <c r="D112" s="562"/>
      <c r="E112" s="552"/>
      <c r="F112" s="552"/>
      <c r="G112" s="552"/>
      <c r="H112" s="552"/>
      <c r="I112" s="552"/>
      <c r="J112" s="552"/>
      <c r="K112" s="552"/>
      <c r="L112" s="552"/>
      <c r="M112" s="552"/>
      <c r="N112" s="552"/>
      <c r="O112" s="552"/>
      <c r="P112" s="552"/>
      <c r="Q112" s="552"/>
      <c r="R112" s="552"/>
      <c r="S112" s="552"/>
      <c r="T112" s="552"/>
      <c r="U112" s="552"/>
      <c r="V112" s="552"/>
      <c r="W112" s="552"/>
      <c r="X112" s="552"/>
      <c r="Y112" s="552"/>
      <c r="Z112" s="552"/>
    </row>
    <row r="113">
      <c r="A113" s="559"/>
      <c r="B113" s="560"/>
      <c r="C113" s="561"/>
      <c r="D113" s="562"/>
      <c r="E113" s="552"/>
      <c r="F113" s="552"/>
      <c r="G113" s="552"/>
      <c r="H113" s="552"/>
      <c r="I113" s="552"/>
      <c r="J113" s="552"/>
      <c r="K113" s="552"/>
      <c r="L113" s="552"/>
      <c r="M113" s="552"/>
      <c r="N113" s="552"/>
      <c r="O113" s="552"/>
      <c r="P113" s="552"/>
      <c r="Q113" s="552"/>
      <c r="R113" s="552"/>
      <c r="S113" s="552"/>
      <c r="T113" s="552"/>
      <c r="U113" s="552"/>
      <c r="V113" s="552"/>
      <c r="W113" s="552"/>
      <c r="X113" s="552"/>
      <c r="Y113" s="552"/>
      <c r="Z113" s="552"/>
    </row>
    <row r="114">
      <c r="A114" s="559"/>
      <c r="B114" s="560"/>
      <c r="C114" s="561"/>
      <c r="D114" s="562"/>
      <c r="E114" s="552"/>
      <c r="F114" s="552"/>
      <c r="G114" s="552"/>
      <c r="H114" s="552"/>
      <c r="I114" s="552"/>
      <c r="J114" s="552"/>
      <c r="K114" s="552"/>
      <c r="L114" s="552"/>
      <c r="M114" s="552"/>
      <c r="N114" s="552"/>
      <c r="O114" s="552"/>
      <c r="P114" s="552"/>
      <c r="Q114" s="552"/>
      <c r="R114" s="552"/>
      <c r="S114" s="552"/>
      <c r="T114" s="552"/>
      <c r="U114" s="552"/>
      <c r="V114" s="552"/>
      <c r="W114" s="552"/>
      <c r="X114" s="552"/>
      <c r="Y114" s="552"/>
      <c r="Z114" s="552"/>
    </row>
    <row r="115">
      <c r="A115" s="559"/>
      <c r="B115" s="560"/>
      <c r="C115" s="561"/>
      <c r="D115" s="562"/>
      <c r="E115" s="552"/>
      <c r="F115" s="552"/>
      <c r="G115" s="552"/>
      <c r="H115" s="552"/>
      <c r="I115" s="552"/>
      <c r="J115" s="552"/>
      <c r="K115" s="552"/>
      <c r="L115" s="552"/>
      <c r="M115" s="552"/>
      <c r="N115" s="552"/>
      <c r="O115" s="552"/>
      <c r="P115" s="552"/>
      <c r="Q115" s="552"/>
      <c r="R115" s="552"/>
      <c r="S115" s="552"/>
      <c r="T115" s="552"/>
      <c r="U115" s="552"/>
      <c r="V115" s="552"/>
      <c r="W115" s="552"/>
      <c r="X115" s="552"/>
      <c r="Y115" s="552"/>
      <c r="Z115" s="552"/>
    </row>
    <row r="116">
      <c r="A116" s="559"/>
      <c r="B116" s="560"/>
      <c r="C116" s="561"/>
      <c r="D116" s="562"/>
      <c r="E116" s="552"/>
      <c r="F116" s="552"/>
      <c r="G116" s="552"/>
      <c r="H116" s="552"/>
      <c r="I116" s="552"/>
      <c r="J116" s="552"/>
      <c r="K116" s="552"/>
      <c r="L116" s="552"/>
      <c r="M116" s="552"/>
      <c r="N116" s="552"/>
      <c r="O116" s="552"/>
      <c r="P116" s="552"/>
      <c r="Q116" s="552"/>
      <c r="R116" s="552"/>
      <c r="S116" s="552"/>
      <c r="T116" s="552"/>
      <c r="U116" s="552"/>
      <c r="V116" s="552"/>
      <c r="W116" s="552"/>
      <c r="X116" s="552"/>
      <c r="Y116" s="552"/>
      <c r="Z116" s="552"/>
    </row>
    <row r="117">
      <c r="A117" s="559"/>
      <c r="B117" s="560"/>
      <c r="C117" s="561"/>
      <c r="D117" s="562"/>
      <c r="E117" s="552"/>
      <c r="F117" s="552"/>
      <c r="G117" s="552"/>
      <c r="H117" s="552"/>
      <c r="I117" s="552"/>
      <c r="J117" s="552"/>
      <c r="K117" s="552"/>
      <c r="L117" s="552"/>
      <c r="M117" s="552"/>
      <c r="N117" s="552"/>
      <c r="O117" s="552"/>
      <c r="P117" s="552"/>
      <c r="Q117" s="552"/>
      <c r="R117" s="552"/>
      <c r="S117" s="552"/>
      <c r="T117" s="552"/>
      <c r="U117" s="552"/>
      <c r="V117" s="552"/>
      <c r="W117" s="552"/>
      <c r="X117" s="552"/>
      <c r="Y117" s="552"/>
      <c r="Z117" s="552"/>
    </row>
    <row r="118">
      <c r="A118" s="559"/>
      <c r="B118" s="560"/>
      <c r="C118" s="561"/>
      <c r="D118" s="562"/>
      <c r="E118" s="552"/>
      <c r="F118" s="552"/>
      <c r="G118" s="552"/>
      <c r="H118" s="552"/>
      <c r="I118" s="552"/>
      <c r="J118" s="552"/>
      <c r="K118" s="552"/>
      <c r="L118" s="552"/>
      <c r="M118" s="552"/>
      <c r="N118" s="552"/>
      <c r="O118" s="552"/>
      <c r="P118" s="552"/>
      <c r="Q118" s="552"/>
      <c r="R118" s="552"/>
      <c r="S118" s="552"/>
      <c r="T118" s="552"/>
      <c r="U118" s="552"/>
      <c r="V118" s="552"/>
      <c r="W118" s="552"/>
      <c r="X118" s="552"/>
      <c r="Y118" s="552"/>
      <c r="Z118" s="552"/>
    </row>
    <row r="119">
      <c r="A119" s="559"/>
      <c r="B119" s="560"/>
      <c r="C119" s="561"/>
      <c r="D119" s="562"/>
      <c r="E119" s="552"/>
      <c r="F119" s="552"/>
      <c r="G119" s="552"/>
      <c r="H119" s="552"/>
      <c r="I119" s="552"/>
      <c r="J119" s="552"/>
      <c r="K119" s="552"/>
      <c r="L119" s="552"/>
      <c r="M119" s="552"/>
      <c r="N119" s="552"/>
      <c r="O119" s="552"/>
      <c r="P119" s="552"/>
      <c r="Q119" s="552"/>
      <c r="R119" s="552"/>
      <c r="S119" s="552"/>
      <c r="T119" s="552"/>
      <c r="U119" s="552"/>
      <c r="V119" s="552"/>
      <c r="W119" s="552"/>
      <c r="X119" s="552"/>
      <c r="Y119" s="552"/>
      <c r="Z119" s="552"/>
    </row>
    <row r="120">
      <c r="A120" s="559"/>
      <c r="B120" s="560"/>
      <c r="C120" s="561"/>
      <c r="D120" s="562"/>
      <c r="E120" s="552"/>
      <c r="F120" s="552"/>
      <c r="G120" s="552"/>
      <c r="H120" s="552"/>
      <c r="I120" s="552"/>
      <c r="J120" s="552"/>
      <c r="K120" s="552"/>
      <c r="L120" s="552"/>
      <c r="M120" s="552"/>
      <c r="N120" s="552"/>
      <c r="O120" s="552"/>
      <c r="P120" s="552"/>
      <c r="Q120" s="552"/>
      <c r="R120" s="552"/>
      <c r="S120" s="552"/>
      <c r="T120" s="552"/>
      <c r="U120" s="552"/>
      <c r="V120" s="552"/>
      <c r="W120" s="552"/>
      <c r="X120" s="552"/>
      <c r="Y120" s="552"/>
      <c r="Z120" s="552"/>
    </row>
    <row r="121">
      <c r="A121" s="559"/>
      <c r="B121" s="560"/>
      <c r="C121" s="561"/>
      <c r="D121" s="562"/>
      <c r="E121" s="552"/>
      <c r="F121" s="552"/>
      <c r="G121" s="552"/>
      <c r="H121" s="552"/>
      <c r="I121" s="552"/>
      <c r="J121" s="552"/>
      <c r="K121" s="552"/>
      <c r="L121" s="552"/>
      <c r="M121" s="552"/>
      <c r="N121" s="552"/>
      <c r="O121" s="552"/>
      <c r="P121" s="552"/>
      <c r="Q121" s="552"/>
      <c r="R121" s="552"/>
      <c r="S121" s="552"/>
      <c r="T121" s="552"/>
      <c r="U121" s="552"/>
      <c r="V121" s="552"/>
      <c r="W121" s="552"/>
      <c r="X121" s="552"/>
      <c r="Y121" s="552"/>
      <c r="Z121" s="552"/>
    </row>
    <row r="122">
      <c r="A122" s="559"/>
      <c r="B122" s="560"/>
      <c r="C122" s="561"/>
      <c r="D122" s="562"/>
      <c r="E122" s="552"/>
      <c r="F122" s="552"/>
      <c r="G122" s="552"/>
      <c r="H122" s="552"/>
      <c r="I122" s="552"/>
      <c r="J122" s="552"/>
      <c r="K122" s="552"/>
      <c r="L122" s="552"/>
      <c r="M122" s="552"/>
      <c r="N122" s="552"/>
      <c r="O122" s="552"/>
      <c r="P122" s="552"/>
      <c r="Q122" s="552"/>
      <c r="R122" s="552"/>
      <c r="S122" s="552"/>
      <c r="T122" s="552"/>
      <c r="U122" s="552"/>
      <c r="V122" s="552"/>
      <c r="W122" s="552"/>
      <c r="X122" s="552"/>
      <c r="Y122" s="552"/>
      <c r="Z122" s="552"/>
    </row>
    <row r="123">
      <c r="A123" s="559"/>
      <c r="B123" s="560"/>
      <c r="C123" s="561"/>
      <c r="D123" s="562"/>
      <c r="E123" s="552"/>
      <c r="F123" s="552"/>
      <c r="G123" s="552"/>
      <c r="H123" s="552"/>
      <c r="I123" s="552"/>
      <c r="J123" s="552"/>
      <c r="K123" s="552"/>
      <c r="L123" s="552"/>
      <c r="M123" s="552"/>
      <c r="N123" s="552"/>
      <c r="O123" s="552"/>
      <c r="P123" s="552"/>
      <c r="Q123" s="552"/>
      <c r="R123" s="552"/>
      <c r="S123" s="552"/>
      <c r="T123" s="552"/>
      <c r="U123" s="552"/>
      <c r="V123" s="552"/>
      <c r="W123" s="552"/>
      <c r="X123" s="552"/>
      <c r="Y123" s="552"/>
      <c r="Z123" s="552"/>
    </row>
    <row r="124">
      <c r="A124" s="559"/>
      <c r="B124" s="560"/>
      <c r="C124" s="561"/>
      <c r="D124" s="562"/>
      <c r="E124" s="552"/>
      <c r="F124" s="552"/>
      <c r="G124" s="552"/>
      <c r="H124" s="552"/>
      <c r="I124" s="552"/>
      <c r="J124" s="552"/>
      <c r="K124" s="552"/>
      <c r="L124" s="552"/>
      <c r="M124" s="552"/>
      <c r="N124" s="552"/>
      <c r="O124" s="552"/>
      <c r="P124" s="552"/>
      <c r="Q124" s="552"/>
      <c r="R124" s="552"/>
      <c r="S124" s="552"/>
      <c r="T124" s="552"/>
      <c r="U124" s="552"/>
      <c r="V124" s="552"/>
      <c r="W124" s="552"/>
      <c r="X124" s="552"/>
      <c r="Y124" s="552"/>
      <c r="Z124" s="552"/>
    </row>
    <row r="125">
      <c r="A125" s="559"/>
      <c r="B125" s="560"/>
      <c r="C125" s="561"/>
      <c r="D125" s="562"/>
      <c r="E125" s="552"/>
      <c r="F125" s="552"/>
      <c r="G125" s="552"/>
      <c r="H125" s="552"/>
      <c r="I125" s="552"/>
      <c r="J125" s="552"/>
      <c r="K125" s="552"/>
      <c r="L125" s="552"/>
      <c r="M125" s="552"/>
      <c r="N125" s="552"/>
      <c r="O125" s="552"/>
      <c r="P125" s="552"/>
      <c r="Q125" s="552"/>
      <c r="R125" s="552"/>
      <c r="S125" s="552"/>
      <c r="T125" s="552"/>
      <c r="U125" s="552"/>
      <c r="V125" s="552"/>
      <c r="W125" s="552"/>
      <c r="X125" s="552"/>
      <c r="Y125" s="552"/>
      <c r="Z125" s="552"/>
    </row>
    <row r="126">
      <c r="A126" s="559"/>
      <c r="B126" s="560"/>
      <c r="C126" s="561"/>
      <c r="D126" s="562"/>
      <c r="E126" s="552"/>
      <c r="F126" s="552"/>
      <c r="G126" s="552"/>
      <c r="H126" s="552"/>
      <c r="I126" s="552"/>
      <c r="J126" s="552"/>
      <c r="K126" s="552"/>
      <c r="L126" s="552"/>
      <c r="M126" s="552"/>
      <c r="N126" s="552"/>
      <c r="O126" s="552"/>
      <c r="P126" s="552"/>
      <c r="Q126" s="552"/>
      <c r="R126" s="552"/>
      <c r="S126" s="552"/>
      <c r="T126" s="552"/>
      <c r="U126" s="552"/>
      <c r="V126" s="552"/>
      <c r="W126" s="552"/>
      <c r="X126" s="552"/>
      <c r="Y126" s="552"/>
      <c r="Z126" s="552"/>
    </row>
    <row r="127">
      <c r="A127" s="559"/>
      <c r="B127" s="560"/>
      <c r="C127" s="561"/>
      <c r="D127" s="562"/>
      <c r="E127" s="552"/>
      <c r="F127" s="552"/>
      <c r="G127" s="552"/>
      <c r="H127" s="552"/>
      <c r="I127" s="552"/>
      <c r="J127" s="552"/>
      <c r="K127" s="552"/>
      <c r="L127" s="552"/>
      <c r="M127" s="552"/>
      <c r="N127" s="552"/>
      <c r="O127" s="552"/>
      <c r="P127" s="552"/>
      <c r="Q127" s="552"/>
      <c r="R127" s="552"/>
      <c r="S127" s="552"/>
      <c r="T127" s="552"/>
      <c r="U127" s="552"/>
      <c r="V127" s="552"/>
      <c r="W127" s="552"/>
      <c r="X127" s="552"/>
      <c r="Y127" s="552"/>
      <c r="Z127" s="552"/>
    </row>
    <row r="128">
      <c r="A128" s="559"/>
      <c r="B128" s="560"/>
      <c r="C128" s="561"/>
      <c r="D128" s="562"/>
      <c r="E128" s="552"/>
      <c r="F128" s="552"/>
      <c r="G128" s="552"/>
      <c r="H128" s="552"/>
      <c r="I128" s="552"/>
      <c r="J128" s="552"/>
      <c r="K128" s="552"/>
      <c r="L128" s="552"/>
      <c r="M128" s="552"/>
      <c r="N128" s="552"/>
      <c r="O128" s="552"/>
      <c r="P128" s="552"/>
      <c r="Q128" s="552"/>
      <c r="R128" s="552"/>
      <c r="S128" s="552"/>
      <c r="T128" s="552"/>
      <c r="U128" s="552"/>
      <c r="V128" s="552"/>
      <c r="W128" s="552"/>
      <c r="X128" s="552"/>
      <c r="Y128" s="552"/>
      <c r="Z128" s="552"/>
    </row>
    <row r="129">
      <c r="A129" s="559"/>
      <c r="B129" s="560"/>
      <c r="C129" s="561"/>
      <c r="D129" s="562"/>
      <c r="E129" s="552"/>
      <c r="F129" s="552"/>
      <c r="G129" s="552"/>
      <c r="H129" s="552"/>
      <c r="I129" s="552"/>
      <c r="J129" s="552"/>
      <c r="K129" s="552"/>
      <c r="L129" s="552"/>
      <c r="M129" s="552"/>
      <c r="N129" s="552"/>
      <c r="O129" s="552"/>
      <c r="P129" s="552"/>
      <c r="Q129" s="552"/>
      <c r="R129" s="552"/>
      <c r="S129" s="552"/>
      <c r="T129" s="552"/>
      <c r="U129" s="552"/>
      <c r="V129" s="552"/>
      <c r="W129" s="552"/>
      <c r="X129" s="552"/>
      <c r="Y129" s="552"/>
      <c r="Z129" s="552"/>
    </row>
    <row r="130">
      <c r="A130" s="559"/>
      <c r="B130" s="560"/>
      <c r="C130" s="561"/>
      <c r="D130" s="562"/>
      <c r="E130" s="552"/>
      <c r="F130" s="552"/>
      <c r="G130" s="552"/>
      <c r="H130" s="552"/>
      <c r="I130" s="552"/>
      <c r="J130" s="552"/>
      <c r="K130" s="552"/>
      <c r="L130" s="552"/>
      <c r="M130" s="552"/>
      <c r="N130" s="552"/>
      <c r="O130" s="552"/>
      <c r="P130" s="552"/>
      <c r="Q130" s="552"/>
      <c r="R130" s="552"/>
      <c r="S130" s="552"/>
      <c r="T130" s="552"/>
      <c r="U130" s="552"/>
      <c r="V130" s="552"/>
      <c r="W130" s="552"/>
      <c r="X130" s="552"/>
      <c r="Y130" s="552"/>
      <c r="Z130" s="552"/>
    </row>
    <row r="131">
      <c r="A131" s="559"/>
      <c r="B131" s="560"/>
      <c r="C131" s="561"/>
      <c r="D131" s="562"/>
      <c r="E131" s="552"/>
      <c r="F131" s="552"/>
      <c r="G131" s="552"/>
      <c r="H131" s="552"/>
      <c r="I131" s="552"/>
      <c r="J131" s="552"/>
      <c r="K131" s="552"/>
      <c r="L131" s="552"/>
      <c r="M131" s="552"/>
      <c r="N131" s="552"/>
      <c r="O131" s="552"/>
      <c r="P131" s="552"/>
      <c r="Q131" s="552"/>
      <c r="R131" s="552"/>
      <c r="S131" s="552"/>
      <c r="T131" s="552"/>
      <c r="U131" s="552"/>
      <c r="V131" s="552"/>
      <c r="W131" s="552"/>
      <c r="X131" s="552"/>
      <c r="Y131" s="552"/>
      <c r="Z131" s="552"/>
    </row>
    <row r="132">
      <c r="A132" s="559"/>
      <c r="B132" s="560"/>
      <c r="C132" s="561"/>
      <c r="D132" s="562"/>
      <c r="E132" s="552"/>
      <c r="F132" s="552"/>
      <c r="G132" s="552"/>
      <c r="H132" s="552"/>
      <c r="I132" s="552"/>
      <c r="J132" s="552"/>
      <c r="K132" s="552"/>
      <c r="L132" s="552"/>
      <c r="M132" s="552"/>
      <c r="N132" s="552"/>
      <c r="O132" s="552"/>
      <c r="P132" s="552"/>
      <c r="Q132" s="552"/>
      <c r="R132" s="552"/>
      <c r="S132" s="552"/>
      <c r="T132" s="552"/>
      <c r="U132" s="552"/>
      <c r="V132" s="552"/>
      <c r="W132" s="552"/>
      <c r="X132" s="552"/>
      <c r="Y132" s="552"/>
      <c r="Z132" s="552"/>
    </row>
    <row r="133">
      <c r="A133" s="559"/>
      <c r="B133" s="560"/>
      <c r="C133" s="561"/>
      <c r="D133" s="562"/>
      <c r="E133" s="552"/>
      <c r="F133" s="552"/>
      <c r="G133" s="552"/>
      <c r="H133" s="552"/>
      <c r="I133" s="552"/>
      <c r="J133" s="552"/>
      <c r="K133" s="552"/>
      <c r="L133" s="552"/>
      <c r="M133" s="552"/>
      <c r="N133" s="552"/>
      <c r="O133" s="552"/>
      <c r="P133" s="552"/>
      <c r="Q133" s="552"/>
      <c r="R133" s="552"/>
      <c r="S133" s="552"/>
      <c r="T133" s="552"/>
      <c r="U133" s="552"/>
      <c r="V133" s="552"/>
      <c r="W133" s="552"/>
      <c r="X133" s="552"/>
      <c r="Y133" s="552"/>
      <c r="Z133" s="552"/>
    </row>
    <row r="134">
      <c r="A134" s="559"/>
      <c r="B134" s="560"/>
      <c r="C134" s="561"/>
      <c r="D134" s="562"/>
      <c r="E134" s="552"/>
      <c r="F134" s="552"/>
      <c r="G134" s="552"/>
      <c r="H134" s="552"/>
      <c r="I134" s="552"/>
      <c r="J134" s="552"/>
      <c r="K134" s="552"/>
      <c r="L134" s="552"/>
      <c r="M134" s="552"/>
      <c r="N134" s="552"/>
      <c r="O134" s="552"/>
      <c r="P134" s="552"/>
      <c r="Q134" s="552"/>
      <c r="R134" s="552"/>
      <c r="S134" s="552"/>
      <c r="T134" s="552"/>
      <c r="U134" s="552"/>
      <c r="V134" s="552"/>
      <c r="W134" s="552"/>
      <c r="X134" s="552"/>
      <c r="Y134" s="552"/>
      <c r="Z134" s="552"/>
    </row>
    <row r="135">
      <c r="A135" s="559"/>
      <c r="B135" s="560"/>
      <c r="C135" s="561"/>
      <c r="D135" s="562"/>
      <c r="E135" s="552"/>
      <c r="F135" s="552"/>
      <c r="G135" s="552"/>
      <c r="H135" s="552"/>
      <c r="I135" s="552"/>
      <c r="J135" s="552"/>
      <c r="K135" s="552"/>
      <c r="L135" s="552"/>
      <c r="M135" s="552"/>
      <c r="N135" s="552"/>
      <c r="O135" s="552"/>
      <c r="P135" s="552"/>
      <c r="Q135" s="552"/>
      <c r="R135" s="552"/>
      <c r="S135" s="552"/>
      <c r="T135" s="552"/>
      <c r="U135" s="552"/>
      <c r="V135" s="552"/>
      <c r="W135" s="552"/>
      <c r="X135" s="552"/>
      <c r="Y135" s="552"/>
      <c r="Z135" s="552"/>
    </row>
    <row r="136">
      <c r="A136" s="559"/>
      <c r="B136" s="560"/>
      <c r="C136" s="561"/>
      <c r="D136" s="562"/>
      <c r="E136" s="552"/>
      <c r="F136" s="552"/>
      <c r="G136" s="552"/>
      <c r="H136" s="552"/>
      <c r="I136" s="552"/>
      <c r="J136" s="552"/>
      <c r="K136" s="552"/>
      <c r="L136" s="552"/>
      <c r="M136" s="552"/>
      <c r="N136" s="552"/>
      <c r="O136" s="552"/>
      <c r="P136" s="552"/>
      <c r="Q136" s="552"/>
      <c r="R136" s="552"/>
      <c r="S136" s="552"/>
      <c r="T136" s="552"/>
      <c r="U136" s="552"/>
      <c r="V136" s="552"/>
      <c r="W136" s="552"/>
      <c r="X136" s="552"/>
      <c r="Y136" s="552"/>
      <c r="Z136" s="552"/>
    </row>
    <row r="137">
      <c r="A137" s="559"/>
      <c r="B137" s="560"/>
      <c r="C137" s="561"/>
      <c r="D137" s="562"/>
      <c r="E137" s="552"/>
      <c r="F137" s="552"/>
      <c r="G137" s="552"/>
      <c r="H137" s="552"/>
      <c r="I137" s="552"/>
      <c r="J137" s="552"/>
      <c r="K137" s="552"/>
      <c r="L137" s="552"/>
      <c r="M137" s="552"/>
      <c r="N137" s="552"/>
      <c r="O137" s="552"/>
      <c r="P137" s="552"/>
      <c r="Q137" s="552"/>
      <c r="R137" s="552"/>
      <c r="S137" s="552"/>
      <c r="T137" s="552"/>
      <c r="U137" s="552"/>
      <c r="V137" s="552"/>
      <c r="W137" s="552"/>
      <c r="X137" s="552"/>
      <c r="Y137" s="552"/>
      <c r="Z137" s="552"/>
    </row>
    <row r="138">
      <c r="A138" s="559"/>
      <c r="B138" s="560"/>
      <c r="C138" s="561"/>
      <c r="D138" s="562"/>
      <c r="E138" s="552"/>
      <c r="F138" s="552"/>
      <c r="G138" s="552"/>
      <c r="H138" s="552"/>
      <c r="I138" s="552"/>
      <c r="J138" s="552"/>
      <c r="K138" s="552"/>
      <c r="L138" s="552"/>
      <c r="M138" s="552"/>
      <c r="N138" s="552"/>
      <c r="O138" s="552"/>
      <c r="P138" s="552"/>
      <c r="Q138" s="552"/>
      <c r="R138" s="552"/>
      <c r="S138" s="552"/>
      <c r="T138" s="552"/>
      <c r="U138" s="552"/>
      <c r="V138" s="552"/>
      <c r="W138" s="552"/>
      <c r="X138" s="552"/>
      <c r="Y138" s="552"/>
      <c r="Z138" s="552"/>
    </row>
    <row r="139">
      <c r="A139" s="559"/>
      <c r="B139" s="560"/>
      <c r="C139" s="561"/>
      <c r="D139" s="562"/>
      <c r="E139" s="552"/>
      <c r="F139" s="552"/>
      <c r="G139" s="552"/>
      <c r="H139" s="552"/>
      <c r="I139" s="552"/>
      <c r="J139" s="552"/>
      <c r="K139" s="552"/>
      <c r="L139" s="552"/>
      <c r="M139" s="552"/>
      <c r="N139" s="552"/>
      <c r="O139" s="552"/>
      <c r="P139" s="552"/>
      <c r="Q139" s="552"/>
      <c r="R139" s="552"/>
      <c r="S139" s="552"/>
      <c r="T139" s="552"/>
      <c r="U139" s="552"/>
      <c r="V139" s="552"/>
      <c r="W139" s="552"/>
      <c r="X139" s="552"/>
      <c r="Y139" s="552"/>
      <c r="Z139" s="552"/>
    </row>
    <row r="140">
      <c r="A140" s="559"/>
      <c r="B140" s="560"/>
      <c r="C140" s="561"/>
      <c r="D140" s="562"/>
      <c r="E140" s="552"/>
      <c r="F140" s="552"/>
      <c r="G140" s="552"/>
      <c r="H140" s="552"/>
      <c r="I140" s="552"/>
      <c r="J140" s="552"/>
      <c r="K140" s="552"/>
      <c r="L140" s="552"/>
      <c r="M140" s="552"/>
      <c r="N140" s="552"/>
      <c r="O140" s="552"/>
      <c r="P140" s="552"/>
      <c r="Q140" s="552"/>
      <c r="R140" s="552"/>
      <c r="S140" s="552"/>
      <c r="T140" s="552"/>
      <c r="U140" s="552"/>
      <c r="V140" s="552"/>
      <c r="W140" s="552"/>
      <c r="X140" s="552"/>
      <c r="Y140" s="552"/>
      <c r="Z140" s="552"/>
    </row>
    <row r="141">
      <c r="A141" s="559"/>
      <c r="B141" s="560"/>
      <c r="C141" s="561"/>
      <c r="D141" s="562"/>
      <c r="E141" s="552"/>
      <c r="F141" s="552"/>
      <c r="G141" s="552"/>
      <c r="H141" s="552"/>
      <c r="I141" s="552"/>
      <c r="J141" s="552"/>
      <c r="K141" s="552"/>
      <c r="L141" s="552"/>
      <c r="M141" s="552"/>
      <c r="N141" s="552"/>
      <c r="O141" s="552"/>
      <c r="P141" s="552"/>
      <c r="Q141" s="552"/>
      <c r="R141" s="552"/>
      <c r="S141" s="552"/>
      <c r="T141" s="552"/>
      <c r="U141" s="552"/>
      <c r="V141" s="552"/>
      <c r="W141" s="552"/>
      <c r="X141" s="552"/>
      <c r="Y141" s="552"/>
      <c r="Z141" s="552"/>
    </row>
    <row r="142">
      <c r="A142" s="559"/>
      <c r="B142" s="560"/>
      <c r="C142" s="561"/>
      <c r="D142" s="562"/>
      <c r="E142" s="552"/>
      <c r="F142" s="552"/>
      <c r="G142" s="552"/>
      <c r="H142" s="552"/>
      <c r="I142" s="552"/>
      <c r="J142" s="552"/>
      <c r="K142" s="552"/>
      <c r="L142" s="552"/>
      <c r="M142" s="552"/>
      <c r="N142" s="552"/>
      <c r="O142" s="552"/>
      <c r="P142" s="552"/>
      <c r="Q142" s="552"/>
      <c r="R142" s="552"/>
      <c r="S142" s="552"/>
      <c r="T142" s="552"/>
      <c r="U142" s="552"/>
      <c r="V142" s="552"/>
      <c r="W142" s="552"/>
      <c r="X142" s="552"/>
      <c r="Y142" s="552"/>
      <c r="Z142" s="552"/>
    </row>
    <row r="143">
      <c r="A143" s="559"/>
      <c r="B143" s="560"/>
      <c r="C143" s="561"/>
      <c r="D143" s="562"/>
      <c r="E143" s="552"/>
      <c r="F143" s="552"/>
      <c r="G143" s="552"/>
      <c r="H143" s="552"/>
      <c r="I143" s="552"/>
      <c r="J143" s="552"/>
      <c r="K143" s="552"/>
      <c r="L143" s="552"/>
      <c r="M143" s="552"/>
      <c r="N143" s="552"/>
      <c r="O143" s="552"/>
      <c r="P143" s="552"/>
      <c r="Q143" s="552"/>
      <c r="R143" s="552"/>
      <c r="S143" s="552"/>
      <c r="T143" s="552"/>
      <c r="U143" s="552"/>
      <c r="V143" s="552"/>
      <c r="W143" s="552"/>
      <c r="X143" s="552"/>
      <c r="Y143" s="552"/>
      <c r="Z143" s="552"/>
    </row>
    <row r="144">
      <c r="A144" s="559"/>
      <c r="B144" s="560"/>
      <c r="C144" s="561"/>
      <c r="D144" s="562"/>
      <c r="E144" s="552"/>
      <c r="F144" s="552"/>
      <c r="G144" s="552"/>
      <c r="H144" s="552"/>
      <c r="I144" s="552"/>
      <c r="J144" s="552"/>
      <c r="K144" s="552"/>
      <c r="L144" s="552"/>
      <c r="M144" s="552"/>
      <c r="N144" s="552"/>
      <c r="O144" s="552"/>
      <c r="P144" s="552"/>
      <c r="Q144" s="552"/>
      <c r="R144" s="552"/>
      <c r="S144" s="552"/>
      <c r="T144" s="552"/>
      <c r="U144" s="552"/>
      <c r="V144" s="552"/>
      <c r="W144" s="552"/>
      <c r="X144" s="552"/>
      <c r="Y144" s="552"/>
      <c r="Z144" s="552"/>
    </row>
    <row r="145">
      <c r="A145" s="559"/>
      <c r="B145" s="560"/>
      <c r="C145" s="561"/>
      <c r="D145" s="562"/>
      <c r="E145" s="552"/>
      <c r="F145" s="552"/>
      <c r="G145" s="552"/>
      <c r="H145" s="552"/>
      <c r="I145" s="552"/>
      <c r="J145" s="552"/>
      <c r="K145" s="552"/>
      <c r="L145" s="552"/>
      <c r="M145" s="552"/>
      <c r="N145" s="552"/>
      <c r="O145" s="552"/>
      <c r="P145" s="552"/>
      <c r="Q145" s="552"/>
      <c r="R145" s="552"/>
      <c r="S145" s="552"/>
      <c r="T145" s="552"/>
      <c r="U145" s="552"/>
      <c r="V145" s="552"/>
      <c r="W145" s="552"/>
      <c r="X145" s="552"/>
      <c r="Y145" s="552"/>
      <c r="Z145" s="552"/>
    </row>
    <row r="146">
      <c r="A146" s="559"/>
      <c r="B146" s="560"/>
      <c r="C146" s="561"/>
      <c r="D146" s="562"/>
      <c r="E146" s="552"/>
      <c r="F146" s="552"/>
      <c r="G146" s="552"/>
      <c r="H146" s="552"/>
      <c r="I146" s="552"/>
      <c r="J146" s="552"/>
      <c r="K146" s="552"/>
      <c r="L146" s="552"/>
      <c r="M146" s="552"/>
      <c r="N146" s="552"/>
      <c r="O146" s="552"/>
      <c r="P146" s="552"/>
      <c r="Q146" s="552"/>
      <c r="R146" s="552"/>
      <c r="S146" s="552"/>
      <c r="T146" s="552"/>
      <c r="U146" s="552"/>
      <c r="V146" s="552"/>
      <c r="W146" s="552"/>
      <c r="X146" s="552"/>
      <c r="Y146" s="552"/>
      <c r="Z146" s="552"/>
    </row>
    <row r="147">
      <c r="A147" s="559"/>
      <c r="B147" s="560"/>
      <c r="C147" s="561"/>
      <c r="D147" s="562"/>
      <c r="E147" s="552"/>
      <c r="F147" s="552"/>
      <c r="G147" s="552"/>
      <c r="H147" s="552"/>
      <c r="I147" s="552"/>
      <c r="J147" s="552"/>
      <c r="K147" s="552"/>
      <c r="L147" s="552"/>
      <c r="M147" s="552"/>
      <c r="N147" s="552"/>
      <c r="O147" s="552"/>
      <c r="P147" s="552"/>
      <c r="Q147" s="552"/>
      <c r="R147" s="552"/>
      <c r="S147" s="552"/>
      <c r="T147" s="552"/>
      <c r="U147" s="552"/>
      <c r="V147" s="552"/>
      <c r="W147" s="552"/>
      <c r="X147" s="552"/>
      <c r="Y147" s="552"/>
      <c r="Z147" s="552"/>
    </row>
    <row r="148">
      <c r="A148" s="559"/>
      <c r="B148" s="560"/>
      <c r="C148" s="561"/>
      <c r="D148" s="562"/>
      <c r="E148" s="552"/>
      <c r="F148" s="552"/>
      <c r="G148" s="552"/>
      <c r="H148" s="552"/>
      <c r="I148" s="552"/>
      <c r="J148" s="552"/>
      <c r="K148" s="552"/>
      <c r="L148" s="552"/>
      <c r="M148" s="552"/>
      <c r="N148" s="552"/>
      <c r="O148" s="552"/>
      <c r="P148" s="552"/>
      <c r="Q148" s="552"/>
      <c r="R148" s="552"/>
      <c r="S148" s="552"/>
      <c r="T148" s="552"/>
      <c r="U148" s="552"/>
      <c r="V148" s="552"/>
      <c r="W148" s="552"/>
      <c r="X148" s="552"/>
      <c r="Y148" s="552"/>
      <c r="Z148" s="552"/>
    </row>
    <row r="149">
      <c r="A149" s="559"/>
      <c r="B149" s="560"/>
      <c r="C149" s="561"/>
      <c r="D149" s="562"/>
      <c r="E149" s="552"/>
      <c r="F149" s="552"/>
      <c r="G149" s="552"/>
      <c r="H149" s="552"/>
      <c r="I149" s="552"/>
      <c r="J149" s="552"/>
      <c r="K149" s="552"/>
      <c r="L149" s="552"/>
      <c r="M149" s="552"/>
      <c r="N149" s="552"/>
      <c r="O149" s="552"/>
      <c r="P149" s="552"/>
      <c r="Q149" s="552"/>
      <c r="R149" s="552"/>
      <c r="S149" s="552"/>
      <c r="T149" s="552"/>
      <c r="U149" s="552"/>
      <c r="V149" s="552"/>
      <c r="W149" s="552"/>
      <c r="X149" s="552"/>
      <c r="Y149" s="552"/>
      <c r="Z149" s="552"/>
    </row>
    <row r="150">
      <c r="A150" s="559"/>
      <c r="B150" s="560"/>
      <c r="C150" s="561"/>
      <c r="D150" s="562"/>
      <c r="E150" s="552"/>
      <c r="F150" s="552"/>
      <c r="G150" s="552"/>
      <c r="H150" s="552"/>
      <c r="I150" s="552"/>
      <c r="J150" s="552"/>
      <c r="K150" s="552"/>
      <c r="L150" s="552"/>
      <c r="M150" s="552"/>
      <c r="N150" s="552"/>
      <c r="O150" s="552"/>
      <c r="P150" s="552"/>
      <c r="Q150" s="552"/>
      <c r="R150" s="552"/>
      <c r="S150" s="552"/>
      <c r="T150" s="552"/>
      <c r="U150" s="552"/>
      <c r="V150" s="552"/>
      <c r="W150" s="552"/>
      <c r="X150" s="552"/>
      <c r="Y150" s="552"/>
      <c r="Z150" s="552"/>
    </row>
    <row r="151">
      <c r="A151" s="559"/>
      <c r="B151" s="560"/>
      <c r="C151" s="561"/>
      <c r="D151" s="562"/>
      <c r="E151" s="552"/>
      <c r="F151" s="552"/>
      <c r="G151" s="552"/>
      <c r="H151" s="552"/>
      <c r="I151" s="552"/>
      <c r="J151" s="552"/>
      <c r="K151" s="552"/>
      <c r="L151" s="552"/>
      <c r="M151" s="552"/>
      <c r="N151" s="552"/>
      <c r="O151" s="552"/>
      <c r="P151" s="552"/>
      <c r="Q151" s="552"/>
      <c r="R151" s="552"/>
      <c r="S151" s="552"/>
      <c r="T151" s="552"/>
      <c r="U151" s="552"/>
      <c r="V151" s="552"/>
      <c r="W151" s="552"/>
      <c r="X151" s="552"/>
      <c r="Y151" s="552"/>
      <c r="Z151" s="552"/>
    </row>
    <row r="152">
      <c r="A152" s="559"/>
      <c r="B152" s="560"/>
      <c r="C152" s="561"/>
      <c r="D152" s="562"/>
      <c r="E152" s="552"/>
      <c r="F152" s="552"/>
      <c r="G152" s="552"/>
      <c r="H152" s="552"/>
      <c r="I152" s="552"/>
      <c r="J152" s="552"/>
      <c r="K152" s="552"/>
      <c r="L152" s="552"/>
      <c r="M152" s="552"/>
      <c r="N152" s="552"/>
      <c r="O152" s="552"/>
      <c r="P152" s="552"/>
      <c r="Q152" s="552"/>
      <c r="R152" s="552"/>
      <c r="S152" s="552"/>
      <c r="T152" s="552"/>
      <c r="U152" s="552"/>
      <c r="V152" s="552"/>
      <c r="W152" s="552"/>
      <c r="X152" s="552"/>
      <c r="Y152" s="552"/>
      <c r="Z152" s="552"/>
    </row>
    <row r="153">
      <c r="A153" s="559"/>
      <c r="B153" s="560"/>
      <c r="C153" s="561"/>
      <c r="D153" s="562"/>
      <c r="E153" s="552"/>
      <c r="F153" s="552"/>
      <c r="G153" s="552"/>
      <c r="H153" s="552"/>
      <c r="I153" s="552"/>
      <c r="J153" s="552"/>
      <c r="K153" s="552"/>
      <c r="L153" s="552"/>
      <c r="M153" s="552"/>
      <c r="N153" s="552"/>
      <c r="O153" s="552"/>
      <c r="P153" s="552"/>
      <c r="Q153" s="552"/>
      <c r="R153" s="552"/>
      <c r="S153" s="552"/>
      <c r="T153" s="552"/>
      <c r="U153" s="552"/>
      <c r="V153" s="552"/>
      <c r="W153" s="552"/>
      <c r="X153" s="552"/>
      <c r="Y153" s="552"/>
      <c r="Z153" s="552"/>
    </row>
    <row r="154">
      <c r="A154" s="559"/>
      <c r="B154" s="560"/>
      <c r="C154" s="561"/>
      <c r="D154" s="562"/>
      <c r="E154" s="552"/>
      <c r="F154" s="552"/>
      <c r="G154" s="552"/>
      <c r="H154" s="552"/>
      <c r="I154" s="552"/>
      <c r="J154" s="552"/>
      <c r="K154" s="552"/>
      <c r="L154" s="552"/>
      <c r="M154" s="552"/>
      <c r="N154" s="552"/>
      <c r="O154" s="552"/>
      <c r="P154" s="552"/>
      <c r="Q154" s="552"/>
      <c r="R154" s="552"/>
      <c r="S154" s="552"/>
      <c r="T154" s="552"/>
      <c r="U154" s="552"/>
      <c r="V154" s="552"/>
      <c r="W154" s="552"/>
      <c r="X154" s="552"/>
      <c r="Y154" s="552"/>
      <c r="Z154" s="552"/>
    </row>
    <row r="155">
      <c r="A155" s="559"/>
      <c r="B155" s="560"/>
      <c r="C155" s="561"/>
      <c r="D155" s="562"/>
      <c r="E155" s="552"/>
      <c r="F155" s="552"/>
      <c r="G155" s="552"/>
      <c r="H155" s="552"/>
      <c r="I155" s="552"/>
      <c r="J155" s="552"/>
      <c r="K155" s="552"/>
      <c r="L155" s="552"/>
      <c r="M155" s="552"/>
      <c r="N155" s="552"/>
      <c r="O155" s="552"/>
      <c r="P155" s="552"/>
      <c r="Q155" s="552"/>
      <c r="R155" s="552"/>
      <c r="S155" s="552"/>
      <c r="T155" s="552"/>
      <c r="U155" s="552"/>
      <c r="V155" s="552"/>
      <c r="W155" s="552"/>
      <c r="X155" s="552"/>
      <c r="Y155" s="552"/>
      <c r="Z155" s="552"/>
    </row>
    <row r="156">
      <c r="A156" s="559"/>
      <c r="B156" s="560"/>
      <c r="C156" s="561"/>
      <c r="D156" s="562"/>
      <c r="E156" s="552"/>
      <c r="F156" s="552"/>
      <c r="G156" s="552"/>
      <c r="H156" s="552"/>
      <c r="I156" s="552"/>
      <c r="J156" s="552"/>
      <c r="K156" s="552"/>
      <c r="L156" s="552"/>
      <c r="M156" s="552"/>
      <c r="N156" s="552"/>
      <c r="O156" s="552"/>
      <c r="P156" s="552"/>
      <c r="Q156" s="552"/>
      <c r="R156" s="552"/>
      <c r="S156" s="552"/>
      <c r="T156" s="552"/>
      <c r="U156" s="552"/>
      <c r="V156" s="552"/>
      <c r="W156" s="552"/>
      <c r="X156" s="552"/>
      <c r="Y156" s="552"/>
      <c r="Z156" s="552"/>
    </row>
    <row r="157">
      <c r="A157" s="559"/>
      <c r="B157" s="560"/>
      <c r="C157" s="561"/>
      <c r="D157" s="562"/>
      <c r="E157" s="552"/>
      <c r="F157" s="552"/>
      <c r="G157" s="552"/>
      <c r="H157" s="552"/>
      <c r="I157" s="552"/>
      <c r="J157" s="552"/>
      <c r="K157" s="552"/>
      <c r="L157" s="552"/>
      <c r="M157" s="552"/>
      <c r="N157" s="552"/>
      <c r="O157" s="552"/>
      <c r="P157" s="552"/>
      <c r="Q157" s="552"/>
      <c r="R157" s="552"/>
      <c r="S157" s="552"/>
      <c r="T157" s="552"/>
      <c r="U157" s="552"/>
      <c r="V157" s="552"/>
      <c r="W157" s="552"/>
      <c r="X157" s="552"/>
      <c r="Y157" s="552"/>
      <c r="Z157" s="552"/>
    </row>
    <row r="158">
      <c r="A158" s="559"/>
      <c r="B158" s="560"/>
      <c r="C158" s="561"/>
      <c r="D158" s="562"/>
      <c r="E158" s="552"/>
      <c r="F158" s="552"/>
      <c r="G158" s="552"/>
      <c r="H158" s="552"/>
      <c r="I158" s="552"/>
      <c r="J158" s="552"/>
      <c r="K158" s="552"/>
      <c r="L158" s="552"/>
      <c r="M158" s="552"/>
      <c r="N158" s="552"/>
      <c r="O158" s="552"/>
      <c r="P158" s="552"/>
      <c r="Q158" s="552"/>
      <c r="R158" s="552"/>
      <c r="S158" s="552"/>
      <c r="T158" s="552"/>
      <c r="U158" s="552"/>
      <c r="V158" s="552"/>
      <c r="W158" s="552"/>
      <c r="X158" s="552"/>
      <c r="Y158" s="552"/>
      <c r="Z158" s="552"/>
    </row>
    <row r="159">
      <c r="A159" s="559"/>
      <c r="B159" s="560"/>
      <c r="C159" s="561"/>
      <c r="D159" s="562"/>
      <c r="E159" s="552"/>
      <c r="F159" s="552"/>
      <c r="G159" s="552"/>
      <c r="H159" s="552"/>
      <c r="I159" s="552"/>
      <c r="J159" s="552"/>
      <c r="K159" s="552"/>
      <c r="L159" s="552"/>
      <c r="M159" s="552"/>
      <c r="N159" s="552"/>
      <c r="O159" s="552"/>
      <c r="P159" s="552"/>
      <c r="Q159" s="552"/>
      <c r="R159" s="552"/>
      <c r="S159" s="552"/>
      <c r="T159" s="552"/>
      <c r="U159" s="552"/>
      <c r="V159" s="552"/>
      <c r="W159" s="552"/>
      <c r="X159" s="552"/>
      <c r="Y159" s="552"/>
      <c r="Z159" s="552"/>
    </row>
    <row r="160">
      <c r="A160" s="559"/>
      <c r="B160" s="560"/>
      <c r="C160" s="561"/>
      <c r="D160" s="562"/>
      <c r="E160" s="552"/>
      <c r="F160" s="552"/>
      <c r="G160" s="552"/>
      <c r="H160" s="552"/>
      <c r="I160" s="552"/>
      <c r="J160" s="552"/>
      <c r="K160" s="552"/>
      <c r="L160" s="552"/>
      <c r="M160" s="552"/>
      <c r="N160" s="552"/>
      <c r="O160" s="552"/>
      <c r="P160" s="552"/>
      <c r="Q160" s="552"/>
      <c r="R160" s="552"/>
      <c r="S160" s="552"/>
      <c r="T160" s="552"/>
      <c r="U160" s="552"/>
      <c r="V160" s="552"/>
      <c r="W160" s="552"/>
      <c r="X160" s="552"/>
      <c r="Y160" s="552"/>
      <c r="Z160" s="552"/>
    </row>
    <row r="161">
      <c r="A161" s="559"/>
      <c r="B161" s="560"/>
      <c r="C161" s="561"/>
      <c r="D161" s="562"/>
      <c r="E161" s="552"/>
      <c r="F161" s="552"/>
      <c r="G161" s="552"/>
      <c r="H161" s="552"/>
      <c r="I161" s="552"/>
      <c r="J161" s="552"/>
      <c r="K161" s="552"/>
      <c r="L161" s="552"/>
      <c r="M161" s="552"/>
      <c r="N161" s="552"/>
      <c r="O161" s="552"/>
      <c r="P161" s="552"/>
      <c r="Q161" s="552"/>
      <c r="R161" s="552"/>
      <c r="S161" s="552"/>
      <c r="T161" s="552"/>
      <c r="U161" s="552"/>
      <c r="V161" s="552"/>
      <c r="W161" s="552"/>
      <c r="X161" s="552"/>
      <c r="Y161" s="552"/>
      <c r="Z161" s="552"/>
    </row>
    <row r="162">
      <c r="A162" s="559"/>
      <c r="B162" s="560"/>
      <c r="C162" s="561"/>
      <c r="D162" s="562"/>
      <c r="E162" s="552"/>
      <c r="F162" s="552"/>
      <c r="G162" s="552"/>
      <c r="H162" s="552"/>
      <c r="I162" s="552"/>
      <c r="J162" s="552"/>
      <c r="K162" s="552"/>
      <c r="L162" s="552"/>
      <c r="M162" s="552"/>
      <c r="N162" s="552"/>
      <c r="O162" s="552"/>
      <c r="P162" s="552"/>
      <c r="Q162" s="552"/>
      <c r="R162" s="552"/>
      <c r="S162" s="552"/>
      <c r="T162" s="552"/>
      <c r="U162" s="552"/>
      <c r="V162" s="552"/>
      <c r="W162" s="552"/>
      <c r="X162" s="552"/>
      <c r="Y162" s="552"/>
      <c r="Z162" s="552"/>
    </row>
    <row r="163">
      <c r="A163" s="559"/>
      <c r="B163" s="560"/>
      <c r="C163" s="561"/>
      <c r="D163" s="562"/>
      <c r="E163" s="552"/>
      <c r="F163" s="552"/>
      <c r="G163" s="552"/>
      <c r="H163" s="552"/>
      <c r="I163" s="552"/>
      <c r="J163" s="552"/>
      <c r="K163" s="552"/>
      <c r="L163" s="552"/>
      <c r="M163" s="552"/>
      <c r="N163" s="552"/>
      <c r="O163" s="552"/>
      <c r="P163" s="552"/>
      <c r="Q163" s="552"/>
      <c r="R163" s="552"/>
      <c r="S163" s="552"/>
      <c r="T163" s="552"/>
      <c r="U163" s="552"/>
      <c r="V163" s="552"/>
      <c r="W163" s="552"/>
      <c r="X163" s="552"/>
      <c r="Y163" s="552"/>
      <c r="Z163" s="552"/>
    </row>
    <row r="164">
      <c r="A164" s="559"/>
      <c r="B164" s="560"/>
      <c r="C164" s="561"/>
      <c r="D164" s="562"/>
      <c r="E164" s="552"/>
      <c r="F164" s="552"/>
      <c r="G164" s="552"/>
      <c r="H164" s="552"/>
      <c r="I164" s="552"/>
      <c r="J164" s="552"/>
      <c r="K164" s="552"/>
      <c r="L164" s="552"/>
      <c r="M164" s="552"/>
      <c r="N164" s="552"/>
      <c r="O164" s="552"/>
      <c r="P164" s="552"/>
      <c r="Q164" s="552"/>
      <c r="R164" s="552"/>
      <c r="S164" s="552"/>
      <c r="T164" s="552"/>
      <c r="U164" s="552"/>
      <c r="V164" s="552"/>
      <c r="W164" s="552"/>
      <c r="X164" s="552"/>
      <c r="Y164" s="552"/>
      <c r="Z164" s="552"/>
    </row>
    <row r="165">
      <c r="A165" s="559"/>
      <c r="B165" s="560"/>
      <c r="C165" s="561"/>
      <c r="D165" s="562"/>
      <c r="E165" s="552"/>
      <c r="F165" s="552"/>
      <c r="G165" s="552"/>
      <c r="H165" s="552"/>
      <c r="I165" s="552"/>
      <c r="J165" s="552"/>
      <c r="K165" s="552"/>
      <c r="L165" s="552"/>
      <c r="M165" s="552"/>
      <c r="N165" s="552"/>
      <c r="O165" s="552"/>
      <c r="P165" s="552"/>
      <c r="Q165" s="552"/>
      <c r="R165" s="552"/>
      <c r="S165" s="552"/>
      <c r="T165" s="552"/>
      <c r="U165" s="552"/>
      <c r="V165" s="552"/>
      <c r="W165" s="552"/>
      <c r="X165" s="552"/>
      <c r="Y165" s="552"/>
      <c r="Z165" s="552"/>
    </row>
    <row r="166">
      <c r="A166" s="559"/>
      <c r="B166" s="560"/>
      <c r="C166" s="561"/>
      <c r="D166" s="562"/>
      <c r="E166" s="552"/>
      <c r="F166" s="552"/>
      <c r="G166" s="552"/>
      <c r="H166" s="552"/>
      <c r="I166" s="552"/>
      <c r="J166" s="552"/>
      <c r="K166" s="552"/>
      <c r="L166" s="552"/>
      <c r="M166" s="552"/>
      <c r="N166" s="552"/>
      <c r="O166" s="552"/>
      <c r="P166" s="552"/>
      <c r="Q166" s="552"/>
      <c r="R166" s="552"/>
      <c r="S166" s="552"/>
      <c r="T166" s="552"/>
      <c r="U166" s="552"/>
      <c r="V166" s="552"/>
      <c r="W166" s="552"/>
      <c r="X166" s="552"/>
      <c r="Y166" s="552"/>
      <c r="Z166" s="552"/>
    </row>
    <row r="167">
      <c r="A167" s="559"/>
      <c r="B167" s="560"/>
      <c r="C167" s="561"/>
      <c r="D167" s="562"/>
      <c r="E167" s="552"/>
      <c r="F167" s="552"/>
      <c r="G167" s="552"/>
      <c r="H167" s="552"/>
      <c r="I167" s="552"/>
      <c r="J167" s="552"/>
      <c r="K167" s="552"/>
      <c r="L167" s="552"/>
      <c r="M167" s="552"/>
      <c r="N167" s="552"/>
      <c r="O167" s="552"/>
      <c r="P167" s="552"/>
      <c r="Q167" s="552"/>
      <c r="R167" s="552"/>
      <c r="S167" s="552"/>
      <c r="T167" s="552"/>
      <c r="U167" s="552"/>
      <c r="V167" s="552"/>
      <c r="W167" s="552"/>
      <c r="X167" s="552"/>
      <c r="Y167" s="552"/>
      <c r="Z167" s="552"/>
    </row>
    <row r="168">
      <c r="A168" s="559"/>
      <c r="B168" s="560"/>
      <c r="C168" s="561"/>
      <c r="D168" s="562"/>
      <c r="E168" s="552"/>
      <c r="F168" s="552"/>
      <c r="G168" s="552"/>
      <c r="H168" s="552"/>
      <c r="I168" s="552"/>
      <c r="J168" s="552"/>
      <c r="K168" s="552"/>
      <c r="L168" s="552"/>
      <c r="M168" s="552"/>
      <c r="N168" s="552"/>
      <c r="O168" s="552"/>
      <c r="P168" s="552"/>
      <c r="Q168" s="552"/>
      <c r="R168" s="552"/>
      <c r="S168" s="552"/>
      <c r="T168" s="552"/>
      <c r="U168" s="552"/>
      <c r="V168" s="552"/>
      <c r="W168" s="552"/>
      <c r="X168" s="552"/>
      <c r="Y168" s="552"/>
      <c r="Z168" s="552"/>
    </row>
    <row r="169">
      <c r="A169" s="559"/>
      <c r="B169" s="560"/>
      <c r="C169" s="561"/>
      <c r="D169" s="562"/>
      <c r="E169" s="552"/>
      <c r="F169" s="552"/>
      <c r="G169" s="552"/>
      <c r="H169" s="552"/>
      <c r="I169" s="552"/>
      <c r="J169" s="552"/>
      <c r="K169" s="552"/>
      <c r="L169" s="552"/>
      <c r="M169" s="552"/>
      <c r="N169" s="552"/>
      <c r="O169" s="552"/>
      <c r="P169" s="552"/>
      <c r="Q169" s="552"/>
      <c r="R169" s="552"/>
      <c r="S169" s="552"/>
      <c r="T169" s="552"/>
      <c r="U169" s="552"/>
      <c r="V169" s="552"/>
      <c r="W169" s="552"/>
      <c r="X169" s="552"/>
      <c r="Y169" s="552"/>
      <c r="Z169" s="552"/>
    </row>
    <row r="170">
      <c r="A170" s="559"/>
      <c r="B170" s="560"/>
      <c r="C170" s="561"/>
      <c r="D170" s="562"/>
      <c r="E170" s="552"/>
      <c r="F170" s="552"/>
      <c r="G170" s="552"/>
      <c r="H170" s="552"/>
      <c r="I170" s="552"/>
      <c r="J170" s="552"/>
      <c r="K170" s="552"/>
      <c r="L170" s="552"/>
      <c r="M170" s="552"/>
      <c r="N170" s="552"/>
      <c r="O170" s="552"/>
      <c r="P170" s="552"/>
      <c r="Q170" s="552"/>
      <c r="R170" s="552"/>
      <c r="S170" s="552"/>
      <c r="T170" s="552"/>
      <c r="U170" s="552"/>
      <c r="V170" s="552"/>
      <c r="W170" s="552"/>
      <c r="X170" s="552"/>
      <c r="Y170" s="552"/>
      <c r="Z170" s="552"/>
    </row>
    <row r="171">
      <c r="A171" s="559"/>
      <c r="B171" s="560"/>
      <c r="C171" s="561"/>
      <c r="D171" s="562"/>
      <c r="E171" s="552"/>
      <c r="F171" s="552"/>
      <c r="G171" s="552"/>
      <c r="H171" s="552"/>
      <c r="I171" s="552"/>
      <c r="J171" s="552"/>
      <c r="K171" s="552"/>
      <c r="L171" s="552"/>
      <c r="M171" s="552"/>
      <c r="N171" s="552"/>
      <c r="O171" s="552"/>
      <c r="P171" s="552"/>
      <c r="Q171" s="552"/>
      <c r="R171" s="552"/>
      <c r="S171" s="552"/>
      <c r="T171" s="552"/>
      <c r="U171" s="552"/>
      <c r="V171" s="552"/>
      <c r="W171" s="552"/>
      <c r="X171" s="552"/>
      <c r="Y171" s="552"/>
      <c r="Z171" s="552"/>
    </row>
    <row r="172">
      <c r="A172" s="559"/>
      <c r="B172" s="560"/>
      <c r="C172" s="561"/>
      <c r="D172" s="562"/>
      <c r="E172" s="552"/>
      <c r="F172" s="552"/>
      <c r="G172" s="552"/>
      <c r="H172" s="552"/>
      <c r="I172" s="552"/>
      <c r="J172" s="552"/>
      <c r="K172" s="552"/>
      <c r="L172" s="552"/>
      <c r="M172" s="552"/>
      <c r="N172" s="552"/>
      <c r="O172" s="552"/>
      <c r="P172" s="552"/>
      <c r="Q172" s="552"/>
      <c r="R172" s="552"/>
      <c r="S172" s="552"/>
      <c r="T172" s="552"/>
      <c r="U172" s="552"/>
      <c r="V172" s="552"/>
      <c r="W172" s="552"/>
      <c r="X172" s="552"/>
      <c r="Y172" s="552"/>
      <c r="Z172" s="552"/>
    </row>
    <row r="173">
      <c r="A173" s="559"/>
      <c r="B173" s="560"/>
      <c r="C173" s="561"/>
      <c r="D173" s="562"/>
      <c r="E173" s="552"/>
      <c r="F173" s="552"/>
      <c r="G173" s="552"/>
      <c r="H173" s="552"/>
      <c r="I173" s="552"/>
      <c r="J173" s="552"/>
      <c r="K173" s="552"/>
      <c r="L173" s="552"/>
      <c r="M173" s="552"/>
      <c r="N173" s="552"/>
      <c r="O173" s="552"/>
      <c r="P173" s="552"/>
      <c r="Q173" s="552"/>
      <c r="R173" s="552"/>
      <c r="S173" s="552"/>
      <c r="T173" s="552"/>
      <c r="U173" s="552"/>
      <c r="V173" s="552"/>
      <c r="W173" s="552"/>
      <c r="X173" s="552"/>
      <c r="Y173" s="552"/>
      <c r="Z173" s="552"/>
    </row>
    <row r="174">
      <c r="A174" s="559"/>
      <c r="B174" s="560"/>
      <c r="C174" s="561"/>
      <c r="D174" s="562"/>
      <c r="E174" s="552"/>
      <c r="F174" s="552"/>
      <c r="G174" s="552"/>
      <c r="H174" s="552"/>
      <c r="I174" s="552"/>
      <c r="J174" s="552"/>
      <c r="K174" s="552"/>
      <c r="L174" s="552"/>
      <c r="M174" s="552"/>
      <c r="N174" s="552"/>
      <c r="O174" s="552"/>
      <c r="P174" s="552"/>
      <c r="Q174" s="552"/>
      <c r="R174" s="552"/>
      <c r="S174" s="552"/>
      <c r="T174" s="552"/>
      <c r="U174" s="552"/>
      <c r="V174" s="552"/>
      <c r="W174" s="552"/>
      <c r="X174" s="552"/>
      <c r="Y174" s="552"/>
      <c r="Z174" s="552"/>
    </row>
    <row r="175">
      <c r="A175" s="559"/>
      <c r="B175" s="560"/>
      <c r="C175" s="561"/>
      <c r="D175" s="562"/>
      <c r="E175" s="552"/>
      <c r="F175" s="552"/>
      <c r="G175" s="552"/>
      <c r="H175" s="552"/>
      <c r="I175" s="552"/>
      <c r="J175" s="552"/>
      <c r="K175" s="552"/>
      <c r="L175" s="552"/>
      <c r="M175" s="552"/>
      <c r="N175" s="552"/>
      <c r="O175" s="552"/>
      <c r="P175" s="552"/>
      <c r="Q175" s="552"/>
      <c r="R175" s="552"/>
      <c r="S175" s="552"/>
      <c r="T175" s="552"/>
      <c r="U175" s="552"/>
      <c r="V175" s="552"/>
      <c r="W175" s="552"/>
      <c r="X175" s="552"/>
      <c r="Y175" s="552"/>
      <c r="Z175" s="552"/>
    </row>
    <row r="176">
      <c r="A176" s="559"/>
      <c r="B176" s="560"/>
      <c r="C176" s="561"/>
      <c r="D176" s="562"/>
      <c r="E176" s="552"/>
      <c r="F176" s="552"/>
      <c r="G176" s="552"/>
      <c r="H176" s="552"/>
      <c r="I176" s="552"/>
      <c r="J176" s="552"/>
      <c r="K176" s="552"/>
      <c r="L176" s="552"/>
      <c r="M176" s="552"/>
      <c r="N176" s="552"/>
      <c r="O176" s="552"/>
      <c r="P176" s="552"/>
      <c r="Q176" s="552"/>
      <c r="R176" s="552"/>
      <c r="S176" s="552"/>
      <c r="T176" s="552"/>
      <c r="U176" s="552"/>
      <c r="V176" s="552"/>
      <c r="W176" s="552"/>
      <c r="X176" s="552"/>
      <c r="Y176" s="552"/>
      <c r="Z176" s="552"/>
    </row>
    <row r="177">
      <c r="A177" s="559"/>
      <c r="B177" s="560"/>
      <c r="C177" s="561"/>
      <c r="D177" s="562"/>
      <c r="E177" s="552"/>
      <c r="F177" s="552"/>
      <c r="G177" s="552"/>
      <c r="H177" s="552"/>
      <c r="I177" s="552"/>
      <c r="J177" s="552"/>
      <c r="K177" s="552"/>
      <c r="L177" s="552"/>
      <c r="M177" s="552"/>
      <c r="N177" s="552"/>
      <c r="O177" s="552"/>
      <c r="P177" s="552"/>
      <c r="Q177" s="552"/>
      <c r="R177" s="552"/>
      <c r="S177" s="552"/>
      <c r="T177" s="552"/>
      <c r="U177" s="552"/>
      <c r="V177" s="552"/>
      <c r="W177" s="552"/>
      <c r="X177" s="552"/>
      <c r="Y177" s="552"/>
      <c r="Z177" s="552"/>
    </row>
    <row r="178">
      <c r="A178" s="559"/>
      <c r="B178" s="560"/>
      <c r="C178" s="561"/>
      <c r="D178" s="562"/>
      <c r="E178" s="552"/>
      <c r="F178" s="552"/>
      <c r="G178" s="552"/>
      <c r="H178" s="552"/>
      <c r="I178" s="552"/>
      <c r="J178" s="552"/>
      <c r="K178" s="552"/>
      <c r="L178" s="552"/>
      <c r="M178" s="552"/>
      <c r="N178" s="552"/>
      <c r="O178" s="552"/>
      <c r="P178" s="552"/>
      <c r="Q178" s="552"/>
      <c r="R178" s="552"/>
      <c r="S178" s="552"/>
      <c r="T178" s="552"/>
      <c r="U178" s="552"/>
      <c r="V178" s="552"/>
      <c r="W178" s="552"/>
      <c r="X178" s="552"/>
      <c r="Y178" s="552"/>
      <c r="Z178" s="552"/>
    </row>
    <row r="179">
      <c r="A179" s="559"/>
      <c r="B179" s="560"/>
      <c r="C179" s="561"/>
      <c r="D179" s="562"/>
      <c r="E179" s="552"/>
      <c r="F179" s="552"/>
      <c r="G179" s="552"/>
      <c r="H179" s="552"/>
      <c r="I179" s="552"/>
      <c r="J179" s="552"/>
      <c r="K179" s="552"/>
      <c r="L179" s="552"/>
      <c r="M179" s="552"/>
      <c r="N179" s="552"/>
      <c r="O179" s="552"/>
      <c r="P179" s="552"/>
      <c r="Q179" s="552"/>
      <c r="R179" s="552"/>
      <c r="S179" s="552"/>
      <c r="T179" s="552"/>
      <c r="U179" s="552"/>
      <c r="V179" s="552"/>
      <c r="W179" s="552"/>
      <c r="X179" s="552"/>
      <c r="Y179" s="552"/>
      <c r="Z179" s="552"/>
    </row>
    <row r="180">
      <c r="A180" s="559"/>
      <c r="B180" s="560"/>
      <c r="C180" s="561"/>
      <c r="D180" s="562"/>
      <c r="E180" s="552"/>
      <c r="F180" s="552"/>
      <c r="G180" s="552"/>
      <c r="H180" s="552"/>
      <c r="I180" s="552"/>
      <c r="J180" s="552"/>
      <c r="K180" s="552"/>
      <c r="L180" s="552"/>
      <c r="M180" s="552"/>
      <c r="N180" s="552"/>
      <c r="O180" s="552"/>
      <c r="P180" s="552"/>
      <c r="Q180" s="552"/>
      <c r="R180" s="552"/>
      <c r="S180" s="552"/>
      <c r="T180" s="552"/>
      <c r="U180" s="552"/>
      <c r="V180" s="552"/>
      <c r="W180" s="552"/>
      <c r="X180" s="552"/>
      <c r="Y180" s="552"/>
      <c r="Z180" s="552"/>
    </row>
    <row r="181">
      <c r="A181" s="559"/>
      <c r="B181" s="560"/>
      <c r="C181" s="561"/>
      <c r="D181" s="562"/>
      <c r="E181" s="552"/>
      <c r="F181" s="552"/>
      <c r="G181" s="552"/>
      <c r="H181" s="552"/>
      <c r="I181" s="552"/>
      <c r="J181" s="552"/>
      <c r="K181" s="552"/>
      <c r="L181" s="552"/>
      <c r="M181" s="552"/>
      <c r="N181" s="552"/>
      <c r="O181" s="552"/>
      <c r="P181" s="552"/>
      <c r="Q181" s="552"/>
      <c r="R181" s="552"/>
      <c r="S181" s="552"/>
      <c r="T181" s="552"/>
      <c r="U181" s="552"/>
      <c r="V181" s="552"/>
      <c r="W181" s="552"/>
      <c r="X181" s="552"/>
      <c r="Y181" s="552"/>
      <c r="Z181" s="552"/>
    </row>
    <row r="182">
      <c r="A182" s="559"/>
      <c r="B182" s="560"/>
      <c r="C182" s="561"/>
      <c r="D182" s="562"/>
      <c r="E182" s="552"/>
      <c r="F182" s="552"/>
      <c r="G182" s="552"/>
      <c r="H182" s="552"/>
      <c r="I182" s="552"/>
      <c r="J182" s="552"/>
      <c r="K182" s="552"/>
      <c r="L182" s="552"/>
      <c r="M182" s="552"/>
      <c r="N182" s="552"/>
      <c r="O182" s="552"/>
      <c r="P182" s="552"/>
      <c r="Q182" s="552"/>
      <c r="R182" s="552"/>
      <c r="S182" s="552"/>
      <c r="T182" s="552"/>
      <c r="U182" s="552"/>
      <c r="V182" s="552"/>
      <c r="W182" s="552"/>
      <c r="X182" s="552"/>
      <c r="Y182" s="552"/>
      <c r="Z182" s="552"/>
    </row>
    <row r="183">
      <c r="A183" s="559"/>
      <c r="B183" s="560"/>
      <c r="C183" s="561"/>
      <c r="D183" s="562"/>
      <c r="E183" s="552"/>
      <c r="F183" s="552"/>
      <c r="G183" s="552"/>
      <c r="H183" s="552"/>
      <c r="I183" s="552"/>
      <c r="J183" s="552"/>
      <c r="K183" s="552"/>
      <c r="L183" s="552"/>
      <c r="M183" s="552"/>
      <c r="N183" s="552"/>
      <c r="O183" s="552"/>
      <c r="P183" s="552"/>
      <c r="Q183" s="552"/>
      <c r="R183" s="552"/>
      <c r="S183" s="552"/>
      <c r="T183" s="552"/>
      <c r="U183" s="552"/>
      <c r="V183" s="552"/>
      <c r="W183" s="552"/>
      <c r="X183" s="552"/>
      <c r="Y183" s="552"/>
      <c r="Z183" s="552"/>
    </row>
    <row r="184">
      <c r="A184" s="559"/>
      <c r="B184" s="560"/>
      <c r="C184" s="561"/>
      <c r="D184" s="562"/>
      <c r="E184" s="552"/>
      <c r="F184" s="552"/>
      <c r="G184" s="552"/>
      <c r="H184" s="552"/>
      <c r="I184" s="552"/>
      <c r="J184" s="552"/>
      <c r="K184" s="552"/>
      <c r="L184" s="552"/>
      <c r="M184" s="552"/>
      <c r="N184" s="552"/>
      <c r="O184" s="552"/>
      <c r="P184" s="552"/>
      <c r="Q184" s="552"/>
      <c r="R184" s="552"/>
      <c r="S184" s="552"/>
      <c r="T184" s="552"/>
      <c r="U184" s="552"/>
      <c r="V184" s="552"/>
      <c r="W184" s="552"/>
      <c r="X184" s="552"/>
      <c r="Y184" s="552"/>
      <c r="Z184" s="552"/>
    </row>
    <row r="185">
      <c r="A185" s="559"/>
      <c r="B185" s="560"/>
      <c r="C185" s="561"/>
      <c r="D185" s="562"/>
      <c r="E185" s="552"/>
      <c r="F185" s="552"/>
      <c r="G185" s="552"/>
      <c r="H185" s="552"/>
      <c r="I185" s="552"/>
      <c r="J185" s="552"/>
      <c r="K185" s="552"/>
      <c r="L185" s="552"/>
      <c r="M185" s="552"/>
      <c r="N185" s="552"/>
      <c r="O185" s="552"/>
      <c r="P185" s="552"/>
      <c r="Q185" s="552"/>
      <c r="R185" s="552"/>
      <c r="S185" s="552"/>
      <c r="T185" s="552"/>
      <c r="U185" s="552"/>
      <c r="V185" s="552"/>
      <c r="W185" s="552"/>
      <c r="X185" s="552"/>
      <c r="Y185" s="552"/>
      <c r="Z185" s="552"/>
    </row>
    <row r="186">
      <c r="A186" s="559"/>
      <c r="B186" s="560"/>
      <c r="C186" s="561"/>
      <c r="D186" s="562"/>
      <c r="E186" s="552"/>
      <c r="F186" s="552"/>
      <c r="G186" s="552"/>
      <c r="H186" s="552"/>
      <c r="I186" s="552"/>
      <c r="J186" s="552"/>
      <c r="K186" s="552"/>
      <c r="L186" s="552"/>
      <c r="M186" s="552"/>
      <c r="N186" s="552"/>
      <c r="O186" s="552"/>
      <c r="P186" s="552"/>
      <c r="Q186" s="552"/>
      <c r="R186" s="552"/>
      <c r="S186" s="552"/>
      <c r="T186" s="552"/>
      <c r="U186" s="552"/>
      <c r="V186" s="552"/>
      <c r="W186" s="552"/>
      <c r="X186" s="552"/>
      <c r="Y186" s="552"/>
      <c r="Z186" s="552"/>
    </row>
    <row r="187">
      <c r="A187" s="559"/>
      <c r="B187" s="560"/>
      <c r="C187" s="561"/>
      <c r="D187" s="562"/>
      <c r="E187" s="552"/>
      <c r="F187" s="552"/>
      <c r="G187" s="552"/>
      <c r="H187" s="552"/>
      <c r="I187" s="552"/>
      <c r="J187" s="552"/>
      <c r="K187" s="552"/>
      <c r="L187" s="552"/>
      <c r="M187" s="552"/>
      <c r="N187" s="552"/>
      <c r="O187" s="552"/>
      <c r="P187" s="552"/>
      <c r="Q187" s="552"/>
      <c r="R187" s="552"/>
      <c r="S187" s="552"/>
      <c r="T187" s="552"/>
      <c r="U187" s="552"/>
      <c r="V187" s="552"/>
      <c r="W187" s="552"/>
      <c r="X187" s="552"/>
      <c r="Y187" s="552"/>
      <c r="Z187" s="552"/>
    </row>
    <row r="188">
      <c r="A188" s="559"/>
      <c r="B188" s="560"/>
      <c r="C188" s="561"/>
      <c r="D188" s="562"/>
      <c r="E188" s="552"/>
      <c r="F188" s="552"/>
      <c r="G188" s="552"/>
      <c r="H188" s="552"/>
      <c r="I188" s="552"/>
      <c r="J188" s="552"/>
      <c r="K188" s="552"/>
      <c r="L188" s="552"/>
      <c r="M188" s="552"/>
      <c r="N188" s="552"/>
      <c r="O188" s="552"/>
      <c r="P188" s="552"/>
      <c r="Q188" s="552"/>
      <c r="R188" s="552"/>
      <c r="S188" s="552"/>
      <c r="T188" s="552"/>
      <c r="U188" s="552"/>
      <c r="V188" s="552"/>
      <c r="W188" s="552"/>
      <c r="X188" s="552"/>
      <c r="Y188" s="552"/>
      <c r="Z188" s="552"/>
    </row>
    <row r="189">
      <c r="A189" s="559"/>
      <c r="B189" s="560"/>
      <c r="C189" s="561"/>
      <c r="D189" s="562"/>
      <c r="E189" s="552"/>
      <c r="F189" s="552"/>
      <c r="G189" s="552"/>
      <c r="H189" s="552"/>
      <c r="I189" s="552"/>
      <c r="J189" s="552"/>
      <c r="K189" s="552"/>
      <c r="L189" s="552"/>
      <c r="M189" s="552"/>
      <c r="N189" s="552"/>
      <c r="O189" s="552"/>
      <c r="P189" s="552"/>
      <c r="Q189" s="552"/>
      <c r="R189" s="552"/>
      <c r="S189" s="552"/>
      <c r="T189" s="552"/>
      <c r="U189" s="552"/>
      <c r="V189" s="552"/>
      <c r="W189" s="552"/>
      <c r="X189" s="552"/>
      <c r="Y189" s="552"/>
      <c r="Z189" s="552"/>
    </row>
    <row r="190">
      <c r="A190" s="559"/>
      <c r="B190" s="560"/>
      <c r="C190" s="561"/>
      <c r="D190" s="562"/>
      <c r="E190" s="552"/>
      <c r="F190" s="552"/>
      <c r="G190" s="552"/>
      <c r="H190" s="552"/>
      <c r="I190" s="552"/>
      <c r="J190" s="552"/>
      <c r="K190" s="552"/>
      <c r="L190" s="552"/>
      <c r="M190" s="552"/>
      <c r="N190" s="552"/>
      <c r="O190" s="552"/>
      <c r="P190" s="552"/>
      <c r="Q190" s="552"/>
      <c r="R190" s="552"/>
      <c r="S190" s="552"/>
      <c r="T190" s="552"/>
      <c r="U190" s="552"/>
      <c r="V190" s="552"/>
      <c r="W190" s="552"/>
      <c r="X190" s="552"/>
      <c r="Y190" s="552"/>
      <c r="Z190" s="552"/>
    </row>
    <row r="191">
      <c r="A191" s="559"/>
      <c r="B191" s="560"/>
      <c r="C191" s="561"/>
      <c r="D191" s="562"/>
      <c r="E191" s="552"/>
      <c r="F191" s="552"/>
      <c r="G191" s="552"/>
      <c r="H191" s="552"/>
      <c r="I191" s="552"/>
      <c r="J191" s="552"/>
      <c r="K191" s="552"/>
      <c r="L191" s="552"/>
      <c r="M191" s="552"/>
      <c r="N191" s="552"/>
      <c r="O191" s="552"/>
      <c r="P191" s="552"/>
      <c r="Q191" s="552"/>
      <c r="R191" s="552"/>
      <c r="S191" s="552"/>
      <c r="T191" s="552"/>
      <c r="U191" s="552"/>
      <c r="V191" s="552"/>
      <c r="W191" s="552"/>
      <c r="X191" s="552"/>
      <c r="Y191" s="552"/>
      <c r="Z191" s="552"/>
    </row>
    <row r="192">
      <c r="A192" s="559"/>
      <c r="B192" s="560"/>
      <c r="C192" s="561"/>
      <c r="D192" s="562"/>
      <c r="E192" s="552"/>
      <c r="F192" s="552"/>
      <c r="G192" s="552"/>
      <c r="H192" s="552"/>
      <c r="I192" s="552"/>
      <c r="J192" s="552"/>
      <c r="K192" s="552"/>
      <c r="L192" s="552"/>
      <c r="M192" s="552"/>
      <c r="N192" s="552"/>
      <c r="O192" s="552"/>
      <c r="P192" s="552"/>
      <c r="Q192" s="552"/>
      <c r="R192" s="552"/>
      <c r="S192" s="552"/>
      <c r="T192" s="552"/>
      <c r="U192" s="552"/>
      <c r="V192" s="552"/>
      <c r="W192" s="552"/>
      <c r="X192" s="552"/>
      <c r="Y192" s="552"/>
      <c r="Z192" s="552"/>
    </row>
    <row r="193">
      <c r="A193" s="559"/>
      <c r="B193" s="560"/>
      <c r="C193" s="561"/>
      <c r="D193" s="562"/>
      <c r="E193" s="552"/>
      <c r="F193" s="552"/>
      <c r="G193" s="552"/>
      <c r="H193" s="552"/>
      <c r="I193" s="552"/>
      <c r="J193" s="552"/>
      <c r="K193" s="552"/>
      <c r="L193" s="552"/>
      <c r="M193" s="552"/>
      <c r="N193" s="552"/>
      <c r="O193" s="552"/>
      <c r="P193" s="552"/>
      <c r="Q193" s="552"/>
      <c r="R193" s="552"/>
      <c r="S193" s="552"/>
      <c r="T193" s="552"/>
      <c r="U193" s="552"/>
      <c r="V193" s="552"/>
      <c r="W193" s="552"/>
      <c r="X193" s="552"/>
      <c r="Y193" s="552"/>
      <c r="Z193" s="552"/>
    </row>
    <row r="194">
      <c r="A194" s="559"/>
      <c r="B194" s="560"/>
      <c r="C194" s="561"/>
      <c r="D194" s="562"/>
      <c r="E194" s="552"/>
      <c r="F194" s="552"/>
      <c r="G194" s="552"/>
      <c r="H194" s="552"/>
      <c r="I194" s="552"/>
      <c r="J194" s="552"/>
      <c r="K194" s="552"/>
      <c r="L194" s="552"/>
      <c r="M194" s="552"/>
      <c r="N194" s="552"/>
      <c r="O194" s="552"/>
      <c r="P194" s="552"/>
      <c r="Q194" s="552"/>
      <c r="R194" s="552"/>
      <c r="S194" s="552"/>
      <c r="T194" s="552"/>
      <c r="U194" s="552"/>
      <c r="V194" s="552"/>
      <c r="W194" s="552"/>
      <c r="X194" s="552"/>
      <c r="Y194" s="552"/>
      <c r="Z194" s="552"/>
    </row>
    <row r="195">
      <c r="A195" s="559"/>
      <c r="B195" s="560"/>
      <c r="C195" s="561"/>
      <c r="D195" s="562"/>
      <c r="E195" s="552"/>
      <c r="F195" s="552"/>
      <c r="G195" s="552"/>
      <c r="H195" s="552"/>
      <c r="I195" s="552"/>
      <c r="J195" s="552"/>
      <c r="K195" s="552"/>
      <c r="L195" s="552"/>
      <c r="M195" s="552"/>
      <c r="N195" s="552"/>
      <c r="O195" s="552"/>
      <c r="P195" s="552"/>
      <c r="Q195" s="552"/>
      <c r="R195" s="552"/>
      <c r="S195" s="552"/>
      <c r="T195" s="552"/>
      <c r="U195" s="552"/>
      <c r="V195" s="552"/>
      <c r="W195" s="552"/>
      <c r="X195" s="552"/>
      <c r="Y195" s="552"/>
      <c r="Z195" s="552"/>
    </row>
    <row r="196">
      <c r="A196" s="559"/>
      <c r="B196" s="560"/>
      <c r="C196" s="561"/>
      <c r="D196" s="562"/>
      <c r="E196" s="552"/>
      <c r="F196" s="552"/>
      <c r="G196" s="552"/>
      <c r="H196" s="552"/>
      <c r="I196" s="552"/>
      <c r="J196" s="552"/>
      <c r="K196" s="552"/>
      <c r="L196" s="552"/>
      <c r="M196" s="552"/>
      <c r="N196" s="552"/>
      <c r="O196" s="552"/>
      <c r="P196" s="552"/>
      <c r="Q196" s="552"/>
      <c r="R196" s="552"/>
      <c r="S196" s="552"/>
      <c r="T196" s="552"/>
      <c r="U196" s="552"/>
      <c r="V196" s="552"/>
      <c r="W196" s="552"/>
      <c r="X196" s="552"/>
      <c r="Y196" s="552"/>
      <c r="Z196" s="552"/>
    </row>
    <row r="197">
      <c r="A197" s="559"/>
      <c r="B197" s="560"/>
      <c r="C197" s="561"/>
      <c r="D197" s="562"/>
      <c r="E197" s="552"/>
      <c r="F197" s="552"/>
      <c r="G197" s="552"/>
      <c r="H197" s="552"/>
      <c r="I197" s="552"/>
      <c r="J197" s="552"/>
      <c r="K197" s="552"/>
      <c r="L197" s="552"/>
      <c r="M197" s="552"/>
      <c r="N197" s="552"/>
      <c r="O197" s="552"/>
      <c r="P197" s="552"/>
      <c r="Q197" s="552"/>
      <c r="R197" s="552"/>
      <c r="S197" s="552"/>
      <c r="T197" s="552"/>
      <c r="U197" s="552"/>
      <c r="V197" s="552"/>
      <c r="W197" s="552"/>
      <c r="X197" s="552"/>
      <c r="Y197" s="552"/>
      <c r="Z197" s="552"/>
    </row>
    <row r="198">
      <c r="A198" s="559"/>
      <c r="B198" s="560"/>
      <c r="C198" s="561"/>
      <c r="D198" s="562"/>
      <c r="E198" s="552"/>
      <c r="F198" s="552"/>
      <c r="G198" s="552"/>
      <c r="H198" s="552"/>
      <c r="I198" s="552"/>
      <c r="J198" s="552"/>
      <c r="K198" s="552"/>
      <c r="L198" s="552"/>
      <c r="M198" s="552"/>
      <c r="N198" s="552"/>
      <c r="O198" s="552"/>
      <c r="P198" s="552"/>
      <c r="Q198" s="552"/>
      <c r="R198" s="552"/>
      <c r="S198" s="552"/>
      <c r="T198" s="552"/>
      <c r="U198" s="552"/>
      <c r="V198" s="552"/>
      <c r="W198" s="552"/>
      <c r="X198" s="552"/>
      <c r="Y198" s="552"/>
      <c r="Z198" s="552"/>
    </row>
    <row r="199">
      <c r="A199" s="559"/>
      <c r="B199" s="560"/>
      <c r="C199" s="561"/>
      <c r="D199" s="562"/>
      <c r="E199" s="552"/>
      <c r="F199" s="552"/>
      <c r="G199" s="552"/>
      <c r="H199" s="552"/>
      <c r="I199" s="552"/>
      <c r="J199" s="552"/>
      <c r="K199" s="552"/>
      <c r="L199" s="552"/>
      <c r="M199" s="552"/>
      <c r="N199" s="552"/>
      <c r="O199" s="552"/>
      <c r="P199" s="552"/>
      <c r="Q199" s="552"/>
      <c r="R199" s="552"/>
      <c r="S199" s="552"/>
      <c r="T199" s="552"/>
      <c r="U199" s="552"/>
      <c r="V199" s="552"/>
      <c r="W199" s="552"/>
      <c r="X199" s="552"/>
      <c r="Y199" s="552"/>
      <c r="Z199" s="552"/>
    </row>
    <row r="200">
      <c r="A200" s="559"/>
      <c r="B200" s="560"/>
      <c r="C200" s="561"/>
      <c r="D200" s="562"/>
      <c r="E200" s="552"/>
      <c r="F200" s="552"/>
      <c r="G200" s="552"/>
      <c r="H200" s="552"/>
      <c r="I200" s="552"/>
      <c r="J200" s="552"/>
      <c r="K200" s="552"/>
      <c r="L200" s="552"/>
      <c r="M200" s="552"/>
      <c r="N200" s="552"/>
      <c r="O200" s="552"/>
      <c r="P200" s="552"/>
      <c r="Q200" s="552"/>
      <c r="R200" s="552"/>
      <c r="S200" s="552"/>
      <c r="T200" s="552"/>
      <c r="U200" s="552"/>
      <c r="V200" s="552"/>
      <c r="W200" s="552"/>
      <c r="X200" s="552"/>
      <c r="Y200" s="552"/>
      <c r="Z200" s="552"/>
    </row>
    <row r="201">
      <c r="A201" s="559"/>
      <c r="B201" s="560"/>
      <c r="C201" s="561"/>
      <c r="D201" s="562"/>
      <c r="E201" s="552"/>
      <c r="F201" s="552"/>
      <c r="G201" s="552"/>
      <c r="H201" s="552"/>
      <c r="I201" s="552"/>
      <c r="J201" s="552"/>
      <c r="K201" s="552"/>
      <c r="L201" s="552"/>
      <c r="M201" s="552"/>
      <c r="N201" s="552"/>
      <c r="O201" s="552"/>
      <c r="P201" s="552"/>
      <c r="Q201" s="552"/>
      <c r="R201" s="552"/>
      <c r="S201" s="552"/>
      <c r="T201" s="552"/>
      <c r="U201" s="552"/>
      <c r="V201" s="552"/>
      <c r="W201" s="552"/>
      <c r="X201" s="552"/>
      <c r="Y201" s="552"/>
      <c r="Z201" s="552"/>
    </row>
    <row r="202">
      <c r="A202" s="559"/>
      <c r="B202" s="560"/>
      <c r="C202" s="561"/>
      <c r="D202" s="562"/>
      <c r="E202" s="552"/>
      <c r="F202" s="552"/>
      <c r="G202" s="552"/>
      <c r="H202" s="552"/>
      <c r="I202" s="552"/>
      <c r="J202" s="552"/>
      <c r="K202" s="552"/>
      <c r="L202" s="552"/>
      <c r="M202" s="552"/>
      <c r="N202" s="552"/>
      <c r="O202" s="552"/>
      <c r="P202" s="552"/>
      <c r="Q202" s="552"/>
      <c r="R202" s="552"/>
      <c r="S202" s="552"/>
      <c r="T202" s="552"/>
      <c r="U202" s="552"/>
      <c r="V202" s="552"/>
      <c r="W202" s="552"/>
      <c r="X202" s="552"/>
      <c r="Y202" s="552"/>
      <c r="Z202" s="552"/>
    </row>
    <row r="203">
      <c r="A203" s="559"/>
      <c r="B203" s="560"/>
      <c r="C203" s="561"/>
      <c r="D203" s="562"/>
      <c r="E203" s="552"/>
      <c r="F203" s="552"/>
      <c r="G203" s="552"/>
      <c r="H203" s="552"/>
      <c r="I203" s="552"/>
      <c r="J203" s="552"/>
      <c r="K203" s="552"/>
      <c r="L203" s="552"/>
      <c r="M203" s="552"/>
      <c r="N203" s="552"/>
      <c r="O203" s="552"/>
      <c r="P203" s="552"/>
      <c r="Q203" s="552"/>
      <c r="R203" s="552"/>
      <c r="S203" s="552"/>
      <c r="T203" s="552"/>
      <c r="U203" s="552"/>
      <c r="V203" s="552"/>
      <c r="W203" s="552"/>
      <c r="X203" s="552"/>
      <c r="Y203" s="552"/>
      <c r="Z203" s="552"/>
    </row>
    <row r="204">
      <c r="A204" s="559"/>
      <c r="B204" s="560"/>
      <c r="C204" s="561"/>
      <c r="D204" s="562"/>
      <c r="E204" s="552"/>
      <c r="F204" s="552"/>
      <c r="G204" s="552"/>
      <c r="H204" s="552"/>
      <c r="I204" s="552"/>
      <c r="J204" s="552"/>
      <c r="K204" s="552"/>
      <c r="L204" s="552"/>
      <c r="M204" s="552"/>
      <c r="N204" s="552"/>
      <c r="O204" s="552"/>
      <c r="P204" s="552"/>
      <c r="Q204" s="552"/>
      <c r="R204" s="552"/>
      <c r="S204" s="552"/>
      <c r="T204" s="552"/>
      <c r="U204" s="552"/>
      <c r="V204" s="552"/>
      <c r="W204" s="552"/>
      <c r="X204" s="552"/>
      <c r="Y204" s="552"/>
      <c r="Z204" s="552"/>
    </row>
    <row r="205">
      <c r="A205" s="559"/>
      <c r="B205" s="560"/>
      <c r="C205" s="561"/>
      <c r="D205" s="562"/>
      <c r="E205" s="552"/>
      <c r="F205" s="552"/>
      <c r="G205" s="552"/>
      <c r="H205" s="552"/>
      <c r="I205" s="552"/>
      <c r="J205" s="552"/>
      <c r="K205" s="552"/>
      <c r="L205" s="552"/>
      <c r="M205" s="552"/>
      <c r="N205" s="552"/>
      <c r="O205" s="552"/>
      <c r="P205" s="552"/>
      <c r="Q205" s="552"/>
      <c r="R205" s="552"/>
      <c r="S205" s="552"/>
      <c r="T205" s="552"/>
      <c r="U205" s="552"/>
      <c r="V205" s="552"/>
      <c r="W205" s="552"/>
      <c r="X205" s="552"/>
      <c r="Y205" s="552"/>
      <c r="Z205" s="552"/>
    </row>
    <row r="206">
      <c r="A206" s="559"/>
      <c r="B206" s="560"/>
      <c r="C206" s="561"/>
      <c r="D206" s="562"/>
      <c r="E206" s="552"/>
      <c r="F206" s="552"/>
      <c r="G206" s="552"/>
      <c r="H206" s="552"/>
      <c r="I206" s="552"/>
      <c r="J206" s="552"/>
      <c r="K206" s="552"/>
      <c r="L206" s="552"/>
      <c r="M206" s="552"/>
      <c r="N206" s="552"/>
      <c r="O206" s="552"/>
      <c r="P206" s="552"/>
      <c r="Q206" s="552"/>
      <c r="R206" s="552"/>
      <c r="S206" s="552"/>
      <c r="T206" s="552"/>
      <c r="U206" s="552"/>
      <c r="V206" s="552"/>
      <c r="W206" s="552"/>
      <c r="X206" s="552"/>
      <c r="Y206" s="552"/>
      <c r="Z206" s="552"/>
    </row>
    <row r="207">
      <c r="A207" s="559"/>
      <c r="B207" s="560"/>
      <c r="C207" s="561"/>
      <c r="D207" s="562"/>
      <c r="E207" s="552"/>
      <c r="F207" s="552"/>
      <c r="G207" s="552"/>
      <c r="H207" s="552"/>
      <c r="I207" s="552"/>
      <c r="J207" s="552"/>
      <c r="K207" s="552"/>
      <c r="L207" s="552"/>
      <c r="M207" s="552"/>
      <c r="N207" s="552"/>
      <c r="O207" s="552"/>
      <c r="P207" s="552"/>
      <c r="Q207" s="552"/>
      <c r="R207" s="552"/>
      <c r="S207" s="552"/>
      <c r="T207" s="552"/>
      <c r="U207" s="552"/>
      <c r="V207" s="552"/>
      <c r="W207" s="552"/>
      <c r="X207" s="552"/>
      <c r="Y207" s="552"/>
      <c r="Z207" s="552"/>
    </row>
    <row r="208">
      <c r="A208" s="559"/>
      <c r="B208" s="560"/>
      <c r="C208" s="561"/>
      <c r="D208" s="562"/>
      <c r="E208" s="552"/>
      <c r="F208" s="552"/>
      <c r="G208" s="552"/>
      <c r="H208" s="552"/>
      <c r="I208" s="552"/>
      <c r="J208" s="552"/>
      <c r="K208" s="552"/>
      <c r="L208" s="552"/>
      <c r="M208" s="552"/>
      <c r="N208" s="552"/>
      <c r="O208" s="552"/>
      <c r="P208" s="552"/>
      <c r="Q208" s="552"/>
      <c r="R208" s="552"/>
      <c r="S208" s="552"/>
      <c r="T208" s="552"/>
      <c r="U208" s="552"/>
      <c r="V208" s="552"/>
      <c r="W208" s="552"/>
      <c r="X208" s="552"/>
      <c r="Y208" s="552"/>
      <c r="Z208" s="552"/>
    </row>
    <row r="209">
      <c r="A209" s="559"/>
      <c r="B209" s="560"/>
      <c r="C209" s="561"/>
      <c r="D209" s="562"/>
      <c r="E209" s="552"/>
      <c r="F209" s="552"/>
      <c r="G209" s="552"/>
      <c r="H209" s="552"/>
      <c r="I209" s="552"/>
      <c r="J209" s="552"/>
      <c r="K209" s="552"/>
      <c r="L209" s="552"/>
      <c r="M209" s="552"/>
      <c r="N209" s="552"/>
      <c r="O209" s="552"/>
      <c r="P209" s="552"/>
      <c r="Q209" s="552"/>
      <c r="R209" s="552"/>
      <c r="S209" s="552"/>
      <c r="T209" s="552"/>
      <c r="U209" s="552"/>
      <c r="V209" s="552"/>
      <c r="W209" s="552"/>
      <c r="X209" s="552"/>
      <c r="Y209" s="552"/>
      <c r="Z209" s="552"/>
    </row>
    <row r="210">
      <c r="A210" s="559"/>
      <c r="B210" s="560"/>
      <c r="C210" s="561"/>
      <c r="D210" s="562"/>
      <c r="E210" s="552"/>
      <c r="F210" s="552"/>
      <c r="G210" s="552"/>
      <c r="H210" s="552"/>
      <c r="I210" s="552"/>
      <c r="J210" s="552"/>
      <c r="K210" s="552"/>
      <c r="L210" s="552"/>
      <c r="M210" s="552"/>
      <c r="N210" s="552"/>
      <c r="O210" s="552"/>
      <c r="P210" s="552"/>
      <c r="Q210" s="552"/>
      <c r="R210" s="552"/>
      <c r="S210" s="552"/>
      <c r="T210" s="552"/>
      <c r="U210" s="552"/>
      <c r="V210" s="552"/>
      <c r="W210" s="552"/>
      <c r="X210" s="552"/>
      <c r="Y210" s="552"/>
      <c r="Z210" s="552"/>
    </row>
    <row r="211">
      <c r="A211" s="559"/>
      <c r="B211" s="560"/>
      <c r="C211" s="561"/>
      <c r="D211" s="562"/>
      <c r="E211" s="552"/>
      <c r="F211" s="552"/>
      <c r="G211" s="552"/>
      <c r="H211" s="552"/>
      <c r="I211" s="552"/>
      <c r="J211" s="552"/>
      <c r="K211" s="552"/>
      <c r="L211" s="552"/>
      <c r="M211" s="552"/>
      <c r="N211" s="552"/>
      <c r="O211" s="552"/>
      <c r="P211" s="552"/>
      <c r="Q211" s="552"/>
      <c r="R211" s="552"/>
      <c r="S211" s="552"/>
      <c r="T211" s="552"/>
      <c r="U211" s="552"/>
      <c r="V211" s="552"/>
      <c r="W211" s="552"/>
      <c r="X211" s="552"/>
      <c r="Y211" s="552"/>
      <c r="Z211" s="552"/>
    </row>
    <row r="212">
      <c r="A212" s="559"/>
      <c r="B212" s="560"/>
      <c r="C212" s="561"/>
      <c r="D212" s="562"/>
      <c r="E212" s="552"/>
      <c r="F212" s="552"/>
      <c r="G212" s="552"/>
      <c r="H212" s="552"/>
      <c r="I212" s="552"/>
      <c r="J212" s="552"/>
      <c r="K212" s="552"/>
      <c r="L212" s="552"/>
      <c r="M212" s="552"/>
      <c r="N212" s="552"/>
      <c r="O212" s="552"/>
      <c r="P212" s="552"/>
      <c r="Q212" s="552"/>
      <c r="R212" s="552"/>
      <c r="S212" s="552"/>
      <c r="T212" s="552"/>
      <c r="U212" s="552"/>
      <c r="V212" s="552"/>
      <c r="W212" s="552"/>
      <c r="X212" s="552"/>
      <c r="Y212" s="552"/>
      <c r="Z212" s="552"/>
    </row>
    <row r="213">
      <c r="A213" s="559"/>
      <c r="B213" s="560"/>
      <c r="C213" s="561"/>
      <c r="D213" s="562"/>
      <c r="E213" s="552"/>
      <c r="F213" s="552"/>
      <c r="G213" s="552"/>
      <c r="H213" s="552"/>
      <c r="I213" s="552"/>
      <c r="J213" s="552"/>
      <c r="K213" s="552"/>
      <c r="L213" s="552"/>
      <c r="M213" s="552"/>
      <c r="N213" s="552"/>
      <c r="O213" s="552"/>
      <c r="P213" s="552"/>
      <c r="Q213" s="552"/>
      <c r="R213" s="552"/>
      <c r="S213" s="552"/>
      <c r="T213" s="552"/>
      <c r="U213" s="552"/>
      <c r="V213" s="552"/>
      <c r="W213" s="552"/>
      <c r="X213" s="552"/>
      <c r="Y213" s="552"/>
      <c r="Z213" s="552"/>
    </row>
    <row r="214">
      <c r="A214" s="559"/>
      <c r="B214" s="560"/>
      <c r="C214" s="561"/>
      <c r="D214" s="562"/>
      <c r="E214" s="552"/>
      <c r="F214" s="552"/>
      <c r="G214" s="552"/>
      <c r="H214" s="552"/>
      <c r="I214" s="552"/>
      <c r="J214" s="552"/>
      <c r="K214" s="552"/>
      <c r="L214" s="552"/>
      <c r="M214" s="552"/>
      <c r="N214" s="552"/>
      <c r="O214" s="552"/>
      <c r="P214" s="552"/>
      <c r="Q214" s="552"/>
      <c r="R214" s="552"/>
      <c r="S214" s="552"/>
      <c r="T214" s="552"/>
      <c r="U214" s="552"/>
      <c r="V214" s="552"/>
      <c r="W214" s="552"/>
      <c r="X214" s="552"/>
      <c r="Y214" s="552"/>
      <c r="Z214" s="552"/>
    </row>
    <row r="215">
      <c r="A215" s="559"/>
      <c r="B215" s="560"/>
      <c r="C215" s="561"/>
      <c r="D215" s="562"/>
      <c r="E215" s="552"/>
      <c r="F215" s="552"/>
      <c r="G215" s="552"/>
      <c r="H215" s="552"/>
      <c r="I215" s="552"/>
      <c r="J215" s="552"/>
      <c r="K215" s="552"/>
      <c r="L215" s="552"/>
      <c r="M215" s="552"/>
      <c r="N215" s="552"/>
      <c r="O215" s="552"/>
      <c r="P215" s="552"/>
      <c r="Q215" s="552"/>
      <c r="R215" s="552"/>
      <c r="S215" s="552"/>
      <c r="T215" s="552"/>
      <c r="U215" s="552"/>
      <c r="V215" s="552"/>
      <c r="W215" s="552"/>
      <c r="X215" s="552"/>
      <c r="Y215" s="552"/>
      <c r="Z215" s="552"/>
    </row>
    <row r="216">
      <c r="A216" s="559"/>
      <c r="B216" s="560"/>
      <c r="C216" s="561"/>
      <c r="D216" s="562"/>
      <c r="E216" s="552"/>
      <c r="F216" s="552"/>
      <c r="G216" s="552"/>
      <c r="H216" s="552"/>
      <c r="I216" s="552"/>
      <c r="J216" s="552"/>
      <c r="K216" s="552"/>
      <c r="L216" s="552"/>
      <c r="M216" s="552"/>
      <c r="N216" s="552"/>
      <c r="O216" s="552"/>
      <c r="P216" s="552"/>
      <c r="Q216" s="552"/>
      <c r="R216" s="552"/>
      <c r="S216" s="552"/>
      <c r="T216" s="552"/>
      <c r="U216" s="552"/>
      <c r="V216" s="552"/>
      <c r="W216" s="552"/>
      <c r="X216" s="552"/>
      <c r="Y216" s="552"/>
      <c r="Z216" s="552"/>
    </row>
    <row r="217">
      <c r="A217" s="559"/>
      <c r="B217" s="560"/>
      <c r="C217" s="561"/>
      <c r="D217" s="562"/>
      <c r="E217" s="552"/>
      <c r="F217" s="552"/>
      <c r="G217" s="552"/>
      <c r="H217" s="552"/>
      <c r="I217" s="552"/>
      <c r="J217" s="552"/>
      <c r="K217" s="552"/>
      <c r="L217" s="552"/>
      <c r="M217" s="552"/>
      <c r="N217" s="552"/>
      <c r="O217" s="552"/>
      <c r="P217" s="552"/>
      <c r="Q217" s="552"/>
      <c r="R217" s="552"/>
      <c r="S217" s="552"/>
      <c r="T217" s="552"/>
      <c r="U217" s="552"/>
      <c r="V217" s="552"/>
      <c r="W217" s="552"/>
      <c r="X217" s="552"/>
      <c r="Y217" s="552"/>
      <c r="Z217" s="552"/>
    </row>
    <row r="218">
      <c r="A218" s="559"/>
      <c r="B218" s="560"/>
      <c r="C218" s="561"/>
      <c r="D218" s="562"/>
      <c r="E218" s="552"/>
      <c r="F218" s="552"/>
      <c r="G218" s="552"/>
      <c r="H218" s="552"/>
      <c r="I218" s="552"/>
      <c r="J218" s="552"/>
      <c r="K218" s="552"/>
      <c r="L218" s="552"/>
      <c r="M218" s="552"/>
      <c r="N218" s="552"/>
      <c r="O218" s="552"/>
      <c r="P218" s="552"/>
      <c r="Q218" s="552"/>
      <c r="R218" s="552"/>
      <c r="S218" s="552"/>
      <c r="T218" s="552"/>
      <c r="U218" s="552"/>
      <c r="V218" s="552"/>
      <c r="W218" s="552"/>
      <c r="X218" s="552"/>
      <c r="Y218" s="552"/>
      <c r="Z218" s="552"/>
    </row>
    <row r="219">
      <c r="A219" s="559"/>
      <c r="B219" s="560"/>
      <c r="C219" s="561"/>
      <c r="D219" s="562"/>
      <c r="E219" s="552"/>
      <c r="F219" s="552"/>
      <c r="G219" s="552"/>
      <c r="H219" s="552"/>
      <c r="I219" s="552"/>
      <c r="J219" s="552"/>
      <c r="K219" s="552"/>
      <c r="L219" s="552"/>
      <c r="M219" s="552"/>
      <c r="N219" s="552"/>
      <c r="O219" s="552"/>
      <c r="P219" s="552"/>
      <c r="Q219" s="552"/>
      <c r="R219" s="552"/>
      <c r="S219" s="552"/>
      <c r="T219" s="552"/>
      <c r="U219" s="552"/>
      <c r="V219" s="552"/>
      <c r="W219" s="552"/>
      <c r="X219" s="552"/>
      <c r="Y219" s="552"/>
      <c r="Z219" s="552"/>
    </row>
    <row r="220">
      <c r="A220" s="559"/>
      <c r="B220" s="560"/>
      <c r="C220" s="561"/>
      <c r="D220" s="562"/>
      <c r="E220" s="552"/>
      <c r="F220" s="552"/>
      <c r="G220" s="552"/>
      <c r="H220" s="552"/>
      <c r="I220" s="552"/>
      <c r="J220" s="552"/>
      <c r="K220" s="552"/>
      <c r="L220" s="552"/>
      <c r="M220" s="552"/>
      <c r="N220" s="552"/>
      <c r="O220" s="552"/>
      <c r="P220" s="552"/>
      <c r="Q220" s="552"/>
      <c r="R220" s="552"/>
      <c r="S220" s="552"/>
      <c r="T220" s="552"/>
      <c r="U220" s="552"/>
      <c r="V220" s="552"/>
      <c r="W220" s="552"/>
      <c r="X220" s="552"/>
      <c r="Y220" s="552"/>
      <c r="Z220" s="552"/>
    </row>
    <row r="221">
      <c r="A221" s="559"/>
      <c r="B221" s="560"/>
      <c r="C221" s="561"/>
      <c r="D221" s="562"/>
      <c r="E221" s="552"/>
      <c r="F221" s="552"/>
      <c r="G221" s="552"/>
      <c r="H221" s="552"/>
      <c r="I221" s="552"/>
      <c r="J221" s="552"/>
      <c r="K221" s="552"/>
      <c r="L221" s="552"/>
      <c r="M221" s="552"/>
      <c r="N221" s="552"/>
      <c r="O221" s="552"/>
      <c r="P221" s="552"/>
      <c r="Q221" s="552"/>
      <c r="R221" s="552"/>
      <c r="S221" s="552"/>
      <c r="T221" s="552"/>
      <c r="U221" s="552"/>
      <c r="V221" s="552"/>
      <c r="W221" s="552"/>
      <c r="X221" s="552"/>
      <c r="Y221" s="552"/>
      <c r="Z221" s="552"/>
    </row>
    <row r="222">
      <c r="A222" s="559"/>
      <c r="B222" s="560"/>
      <c r="C222" s="561"/>
      <c r="D222" s="562"/>
      <c r="E222" s="552"/>
      <c r="F222" s="552"/>
      <c r="G222" s="552"/>
      <c r="H222" s="552"/>
      <c r="I222" s="552"/>
      <c r="J222" s="552"/>
      <c r="K222" s="552"/>
      <c r="L222" s="552"/>
      <c r="M222" s="552"/>
      <c r="N222" s="552"/>
      <c r="O222" s="552"/>
      <c r="P222" s="552"/>
      <c r="Q222" s="552"/>
      <c r="R222" s="552"/>
      <c r="S222" s="552"/>
      <c r="T222" s="552"/>
      <c r="U222" s="552"/>
      <c r="V222" s="552"/>
      <c r="W222" s="552"/>
      <c r="X222" s="552"/>
      <c r="Y222" s="552"/>
      <c r="Z222" s="552"/>
    </row>
    <row r="223">
      <c r="A223" s="559"/>
      <c r="B223" s="560"/>
      <c r="C223" s="561"/>
      <c r="D223" s="562"/>
      <c r="E223" s="552"/>
      <c r="F223" s="552"/>
      <c r="G223" s="552"/>
      <c r="H223" s="552"/>
      <c r="I223" s="552"/>
      <c r="J223" s="552"/>
      <c r="K223" s="552"/>
      <c r="L223" s="552"/>
      <c r="M223" s="552"/>
      <c r="N223" s="552"/>
      <c r="O223" s="552"/>
      <c r="P223" s="552"/>
      <c r="Q223" s="552"/>
      <c r="R223" s="552"/>
      <c r="S223" s="552"/>
      <c r="T223" s="552"/>
      <c r="U223" s="552"/>
      <c r="V223" s="552"/>
      <c r="W223" s="552"/>
      <c r="X223" s="552"/>
      <c r="Y223" s="552"/>
      <c r="Z223" s="552"/>
    </row>
    <row r="224">
      <c r="A224" s="559"/>
      <c r="B224" s="560"/>
      <c r="C224" s="561"/>
      <c r="D224" s="562"/>
      <c r="E224" s="552"/>
      <c r="F224" s="552"/>
      <c r="G224" s="552"/>
      <c r="H224" s="552"/>
      <c r="I224" s="552"/>
      <c r="J224" s="552"/>
      <c r="K224" s="552"/>
      <c r="L224" s="552"/>
      <c r="M224" s="552"/>
      <c r="N224" s="552"/>
      <c r="O224" s="552"/>
      <c r="P224" s="552"/>
      <c r="Q224" s="552"/>
      <c r="R224" s="552"/>
      <c r="S224" s="552"/>
      <c r="T224" s="552"/>
      <c r="U224" s="552"/>
      <c r="V224" s="552"/>
      <c r="W224" s="552"/>
      <c r="X224" s="552"/>
      <c r="Y224" s="552"/>
      <c r="Z224" s="552"/>
    </row>
    <row r="225">
      <c r="A225" s="559"/>
      <c r="B225" s="560"/>
      <c r="C225" s="561"/>
      <c r="D225" s="562"/>
      <c r="E225" s="552"/>
      <c r="F225" s="552"/>
      <c r="G225" s="552"/>
      <c r="H225" s="552"/>
      <c r="I225" s="552"/>
      <c r="J225" s="552"/>
      <c r="K225" s="552"/>
      <c r="L225" s="552"/>
      <c r="M225" s="552"/>
      <c r="N225" s="552"/>
      <c r="O225" s="552"/>
      <c r="P225" s="552"/>
      <c r="Q225" s="552"/>
      <c r="R225" s="552"/>
      <c r="S225" s="552"/>
      <c r="T225" s="552"/>
      <c r="U225" s="552"/>
      <c r="V225" s="552"/>
      <c r="W225" s="552"/>
      <c r="X225" s="552"/>
      <c r="Y225" s="552"/>
      <c r="Z225" s="552"/>
    </row>
    <row r="226">
      <c r="A226" s="559"/>
      <c r="B226" s="560"/>
      <c r="C226" s="561"/>
      <c r="D226" s="562"/>
      <c r="E226" s="552"/>
      <c r="F226" s="552"/>
      <c r="G226" s="552"/>
      <c r="H226" s="552"/>
      <c r="I226" s="552"/>
      <c r="J226" s="552"/>
      <c r="K226" s="552"/>
      <c r="L226" s="552"/>
      <c r="M226" s="552"/>
      <c r="N226" s="552"/>
      <c r="O226" s="552"/>
      <c r="P226" s="552"/>
      <c r="Q226" s="552"/>
      <c r="R226" s="552"/>
      <c r="S226" s="552"/>
      <c r="T226" s="552"/>
      <c r="U226" s="552"/>
      <c r="V226" s="552"/>
      <c r="W226" s="552"/>
      <c r="X226" s="552"/>
      <c r="Y226" s="552"/>
      <c r="Z226" s="552"/>
    </row>
    <row r="227">
      <c r="A227" s="559"/>
      <c r="B227" s="560"/>
      <c r="C227" s="561"/>
      <c r="D227" s="562"/>
      <c r="E227" s="552"/>
      <c r="F227" s="552"/>
      <c r="G227" s="552"/>
      <c r="H227" s="552"/>
      <c r="I227" s="552"/>
      <c r="J227" s="552"/>
      <c r="K227" s="552"/>
      <c r="L227" s="552"/>
      <c r="M227" s="552"/>
      <c r="N227" s="552"/>
      <c r="O227" s="552"/>
      <c r="P227" s="552"/>
      <c r="Q227" s="552"/>
      <c r="R227" s="552"/>
      <c r="S227" s="552"/>
      <c r="T227" s="552"/>
      <c r="U227" s="552"/>
      <c r="V227" s="552"/>
      <c r="W227" s="552"/>
      <c r="X227" s="552"/>
      <c r="Y227" s="552"/>
      <c r="Z227" s="552"/>
    </row>
    <row r="228">
      <c r="A228" s="559"/>
      <c r="B228" s="560"/>
      <c r="C228" s="561"/>
      <c r="D228" s="562"/>
      <c r="E228" s="552"/>
      <c r="F228" s="552"/>
      <c r="G228" s="552"/>
      <c r="H228" s="552"/>
      <c r="I228" s="552"/>
      <c r="J228" s="552"/>
      <c r="K228" s="552"/>
      <c r="L228" s="552"/>
      <c r="M228" s="552"/>
      <c r="N228" s="552"/>
      <c r="O228" s="552"/>
      <c r="P228" s="552"/>
      <c r="Q228" s="552"/>
      <c r="R228" s="552"/>
      <c r="S228" s="552"/>
      <c r="T228" s="552"/>
      <c r="U228" s="552"/>
      <c r="V228" s="552"/>
      <c r="W228" s="552"/>
      <c r="X228" s="552"/>
      <c r="Y228" s="552"/>
      <c r="Z228" s="552"/>
    </row>
    <row r="229">
      <c r="A229" s="559"/>
      <c r="B229" s="560"/>
      <c r="C229" s="561"/>
      <c r="D229" s="562"/>
      <c r="E229" s="552"/>
      <c r="F229" s="552"/>
      <c r="G229" s="552"/>
      <c r="H229" s="552"/>
      <c r="I229" s="552"/>
      <c r="J229" s="552"/>
      <c r="K229" s="552"/>
      <c r="L229" s="552"/>
      <c r="M229" s="552"/>
      <c r="N229" s="552"/>
      <c r="O229" s="552"/>
      <c r="P229" s="552"/>
      <c r="Q229" s="552"/>
      <c r="R229" s="552"/>
      <c r="S229" s="552"/>
      <c r="T229" s="552"/>
      <c r="U229" s="552"/>
      <c r="V229" s="552"/>
      <c r="W229" s="552"/>
      <c r="X229" s="552"/>
      <c r="Y229" s="552"/>
      <c r="Z229" s="552"/>
    </row>
    <row r="230">
      <c r="A230" s="559"/>
      <c r="B230" s="560"/>
      <c r="C230" s="561"/>
      <c r="D230" s="562"/>
      <c r="E230" s="552"/>
      <c r="F230" s="552"/>
      <c r="G230" s="552"/>
      <c r="H230" s="552"/>
      <c r="I230" s="552"/>
      <c r="J230" s="552"/>
      <c r="K230" s="552"/>
      <c r="L230" s="552"/>
      <c r="M230" s="552"/>
      <c r="N230" s="552"/>
      <c r="O230" s="552"/>
      <c r="P230" s="552"/>
      <c r="Q230" s="552"/>
      <c r="R230" s="552"/>
      <c r="S230" s="552"/>
      <c r="T230" s="552"/>
      <c r="U230" s="552"/>
      <c r="V230" s="552"/>
      <c r="W230" s="552"/>
      <c r="X230" s="552"/>
      <c r="Y230" s="552"/>
      <c r="Z230" s="552"/>
    </row>
    <row r="231">
      <c r="A231" s="559"/>
      <c r="B231" s="560"/>
      <c r="C231" s="561"/>
      <c r="D231" s="562"/>
      <c r="E231" s="552"/>
      <c r="F231" s="552"/>
      <c r="G231" s="552"/>
      <c r="H231" s="552"/>
      <c r="I231" s="552"/>
      <c r="J231" s="552"/>
      <c r="K231" s="552"/>
      <c r="L231" s="552"/>
      <c r="M231" s="552"/>
      <c r="N231" s="552"/>
      <c r="O231" s="552"/>
      <c r="P231" s="552"/>
      <c r="Q231" s="552"/>
      <c r="R231" s="552"/>
      <c r="S231" s="552"/>
      <c r="T231" s="552"/>
      <c r="U231" s="552"/>
      <c r="V231" s="552"/>
      <c r="W231" s="552"/>
      <c r="X231" s="552"/>
      <c r="Y231" s="552"/>
      <c r="Z231" s="552"/>
    </row>
    <row r="232">
      <c r="A232" s="559"/>
      <c r="B232" s="560"/>
      <c r="C232" s="561"/>
      <c r="D232" s="562"/>
      <c r="E232" s="552"/>
      <c r="F232" s="552"/>
      <c r="G232" s="552"/>
      <c r="H232" s="552"/>
      <c r="I232" s="552"/>
      <c r="J232" s="552"/>
      <c r="K232" s="552"/>
      <c r="L232" s="552"/>
      <c r="M232" s="552"/>
      <c r="N232" s="552"/>
      <c r="O232" s="552"/>
      <c r="P232" s="552"/>
      <c r="Q232" s="552"/>
      <c r="R232" s="552"/>
      <c r="S232" s="552"/>
      <c r="T232" s="552"/>
      <c r="U232" s="552"/>
      <c r="V232" s="552"/>
      <c r="W232" s="552"/>
      <c r="X232" s="552"/>
      <c r="Y232" s="552"/>
      <c r="Z232" s="552"/>
    </row>
    <row r="233">
      <c r="A233" s="559"/>
      <c r="B233" s="560"/>
      <c r="C233" s="561"/>
      <c r="D233" s="562"/>
      <c r="E233" s="552"/>
      <c r="F233" s="552"/>
      <c r="G233" s="552"/>
      <c r="H233" s="552"/>
      <c r="I233" s="552"/>
      <c r="J233" s="552"/>
      <c r="K233" s="552"/>
      <c r="L233" s="552"/>
      <c r="M233" s="552"/>
      <c r="N233" s="552"/>
      <c r="O233" s="552"/>
      <c r="P233" s="552"/>
      <c r="Q233" s="552"/>
      <c r="R233" s="552"/>
      <c r="S233" s="552"/>
      <c r="T233" s="552"/>
      <c r="U233" s="552"/>
      <c r="V233" s="552"/>
      <c r="W233" s="552"/>
      <c r="X233" s="552"/>
      <c r="Y233" s="552"/>
      <c r="Z233" s="552"/>
    </row>
    <row r="234">
      <c r="A234" s="559"/>
      <c r="B234" s="560"/>
      <c r="C234" s="561"/>
      <c r="D234" s="562"/>
      <c r="E234" s="552"/>
      <c r="F234" s="552"/>
      <c r="G234" s="552"/>
      <c r="H234" s="552"/>
      <c r="I234" s="552"/>
      <c r="J234" s="552"/>
      <c r="K234" s="552"/>
      <c r="L234" s="552"/>
      <c r="M234" s="552"/>
      <c r="N234" s="552"/>
      <c r="O234" s="552"/>
      <c r="P234" s="552"/>
      <c r="Q234" s="552"/>
      <c r="R234" s="552"/>
      <c r="S234" s="552"/>
      <c r="T234" s="552"/>
      <c r="U234" s="552"/>
      <c r="V234" s="552"/>
      <c r="W234" s="552"/>
      <c r="X234" s="552"/>
      <c r="Y234" s="552"/>
      <c r="Z234" s="552"/>
    </row>
    <row r="235">
      <c r="A235" s="559"/>
      <c r="B235" s="560"/>
      <c r="C235" s="561"/>
      <c r="D235" s="562"/>
      <c r="E235" s="552"/>
      <c r="F235" s="552"/>
      <c r="G235" s="552"/>
      <c r="H235" s="552"/>
      <c r="I235" s="552"/>
      <c r="J235" s="552"/>
      <c r="K235" s="552"/>
      <c r="L235" s="552"/>
      <c r="M235" s="552"/>
      <c r="N235" s="552"/>
      <c r="O235" s="552"/>
      <c r="P235" s="552"/>
      <c r="Q235" s="552"/>
      <c r="R235" s="552"/>
      <c r="S235" s="552"/>
      <c r="T235" s="552"/>
      <c r="U235" s="552"/>
      <c r="V235" s="552"/>
      <c r="W235" s="552"/>
      <c r="X235" s="552"/>
      <c r="Y235" s="552"/>
      <c r="Z235" s="552"/>
    </row>
    <row r="236">
      <c r="A236" s="559"/>
      <c r="B236" s="560"/>
      <c r="C236" s="561"/>
      <c r="D236" s="562"/>
      <c r="E236" s="552"/>
      <c r="F236" s="552"/>
      <c r="G236" s="552"/>
      <c r="H236" s="552"/>
      <c r="I236" s="552"/>
      <c r="J236" s="552"/>
      <c r="K236" s="552"/>
      <c r="L236" s="552"/>
      <c r="M236" s="552"/>
      <c r="N236" s="552"/>
      <c r="O236" s="552"/>
      <c r="P236" s="552"/>
      <c r="Q236" s="552"/>
      <c r="R236" s="552"/>
      <c r="S236" s="552"/>
      <c r="T236" s="552"/>
      <c r="U236" s="552"/>
      <c r="V236" s="552"/>
      <c r="W236" s="552"/>
      <c r="X236" s="552"/>
      <c r="Y236" s="552"/>
      <c r="Z236" s="552"/>
    </row>
    <row r="237">
      <c r="A237" s="559"/>
      <c r="B237" s="560"/>
      <c r="C237" s="561"/>
      <c r="D237" s="562"/>
      <c r="E237" s="552"/>
      <c r="F237" s="552"/>
      <c r="G237" s="552"/>
      <c r="H237" s="552"/>
      <c r="I237" s="552"/>
      <c r="J237" s="552"/>
      <c r="K237" s="552"/>
      <c r="L237" s="552"/>
      <c r="M237" s="552"/>
      <c r="N237" s="552"/>
      <c r="O237" s="552"/>
      <c r="P237" s="552"/>
      <c r="Q237" s="552"/>
      <c r="R237" s="552"/>
      <c r="S237" s="552"/>
      <c r="T237" s="552"/>
      <c r="U237" s="552"/>
      <c r="V237" s="552"/>
      <c r="W237" s="552"/>
      <c r="X237" s="552"/>
      <c r="Y237" s="552"/>
      <c r="Z237" s="552"/>
    </row>
    <row r="238">
      <c r="A238" s="559"/>
      <c r="B238" s="560"/>
      <c r="C238" s="561"/>
      <c r="D238" s="562"/>
      <c r="E238" s="552"/>
      <c r="F238" s="552"/>
      <c r="G238" s="552"/>
      <c r="H238" s="552"/>
      <c r="I238" s="552"/>
      <c r="J238" s="552"/>
      <c r="K238" s="552"/>
      <c r="L238" s="552"/>
      <c r="M238" s="552"/>
      <c r="N238" s="552"/>
      <c r="O238" s="552"/>
      <c r="P238" s="552"/>
      <c r="Q238" s="552"/>
      <c r="R238" s="552"/>
      <c r="S238" s="552"/>
      <c r="T238" s="552"/>
      <c r="U238" s="552"/>
      <c r="V238" s="552"/>
      <c r="W238" s="552"/>
      <c r="X238" s="552"/>
      <c r="Y238" s="552"/>
      <c r="Z238" s="552"/>
    </row>
    <row r="239">
      <c r="A239" s="559"/>
      <c r="B239" s="560"/>
      <c r="C239" s="561"/>
      <c r="D239" s="562"/>
      <c r="E239" s="552"/>
      <c r="F239" s="552"/>
      <c r="G239" s="552"/>
      <c r="H239" s="552"/>
      <c r="I239" s="552"/>
      <c r="J239" s="552"/>
      <c r="K239" s="552"/>
      <c r="L239" s="552"/>
      <c r="M239" s="552"/>
      <c r="N239" s="552"/>
      <c r="O239" s="552"/>
      <c r="P239" s="552"/>
      <c r="Q239" s="552"/>
      <c r="R239" s="552"/>
      <c r="S239" s="552"/>
      <c r="T239" s="552"/>
      <c r="U239" s="552"/>
      <c r="V239" s="552"/>
      <c r="W239" s="552"/>
      <c r="X239" s="552"/>
      <c r="Y239" s="552"/>
      <c r="Z239" s="552"/>
    </row>
    <row r="240">
      <c r="A240" s="559"/>
      <c r="B240" s="560"/>
      <c r="C240" s="561"/>
      <c r="D240" s="562"/>
      <c r="E240" s="552"/>
      <c r="F240" s="552"/>
      <c r="G240" s="552"/>
      <c r="H240" s="552"/>
      <c r="I240" s="552"/>
      <c r="J240" s="552"/>
      <c r="K240" s="552"/>
      <c r="L240" s="552"/>
      <c r="M240" s="552"/>
      <c r="N240" s="552"/>
      <c r="O240" s="552"/>
      <c r="P240" s="552"/>
      <c r="Q240" s="552"/>
      <c r="R240" s="552"/>
      <c r="S240" s="552"/>
      <c r="T240" s="552"/>
      <c r="U240" s="552"/>
      <c r="V240" s="552"/>
      <c r="W240" s="552"/>
      <c r="X240" s="552"/>
      <c r="Y240" s="552"/>
      <c r="Z240" s="552"/>
    </row>
    <row r="241">
      <c r="A241" s="559"/>
      <c r="B241" s="560"/>
      <c r="C241" s="561"/>
      <c r="D241" s="562"/>
      <c r="E241" s="552"/>
      <c r="F241" s="552"/>
      <c r="G241" s="552"/>
      <c r="H241" s="552"/>
      <c r="I241" s="552"/>
      <c r="J241" s="552"/>
      <c r="K241" s="552"/>
      <c r="L241" s="552"/>
      <c r="M241" s="552"/>
      <c r="N241" s="552"/>
      <c r="O241" s="552"/>
      <c r="P241" s="552"/>
      <c r="Q241" s="552"/>
      <c r="R241" s="552"/>
      <c r="S241" s="552"/>
      <c r="T241" s="552"/>
      <c r="U241" s="552"/>
      <c r="V241" s="552"/>
      <c r="W241" s="552"/>
      <c r="X241" s="552"/>
      <c r="Y241" s="552"/>
      <c r="Z241" s="552"/>
    </row>
    <row r="242">
      <c r="A242" s="559"/>
      <c r="B242" s="560"/>
      <c r="C242" s="561"/>
      <c r="D242" s="562"/>
      <c r="E242" s="552"/>
      <c r="F242" s="552"/>
      <c r="G242" s="552"/>
      <c r="H242" s="552"/>
      <c r="I242" s="552"/>
      <c r="J242" s="552"/>
      <c r="K242" s="552"/>
      <c r="L242" s="552"/>
      <c r="M242" s="552"/>
      <c r="N242" s="552"/>
      <c r="O242" s="552"/>
      <c r="P242" s="552"/>
      <c r="Q242" s="552"/>
      <c r="R242" s="552"/>
      <c r="S242" s="552"/>
      <c r="T242" s="552"/>
      <c r="U242" s="552"/>
      <c r="V242" s="552"/>
      <c r="W242" s="552"/>
      <c r="X242" s="552"/>
      <c r="Y242" s="552"/>
      <c r="Z242" s="552"/>
    </row>
    <row r="243">
      <c r="A243" s="559"/>
      <c r="B243" s="560"/>
      <c r="C243" s="561"/>
      <c r="D243" s="562"/>
      <c r="E243" s="552"/>
      <c r="F243" s="552"/>
      <c r="G243" s="552"/>
      <c r="H243" s="552"/>
      <c r="I243" s="552"/>
      <c r="J243" s="552"/>
      <c r="K243" s="552"/>
      <c r="L243" s="552"/>
      <c r="M243" s="552"/>
      <c r="N243" s="552"/>
      <c r="O243" s="552"/>
      <c r="P243" s="552"/>
      <c r="Q243" s="552"/>
      <c r="R243" s="552"/>
      <c r="S243" s="552"/>
      <c r="T243" s="552"/>
      <c r="U243" s="552"/>
      <c r="V243" s="552"/>
      <c r="W243" s="552"/>
      <c r="X243" s="552"/>
      <c r="Y243" s="552"/>
      <c r="Z243" s="552"/>
    </row>
    <row r="244">
      <c r="A244" s="559"/>
      <c r="B244" s="560"/>
      <c r="C244" s="561"/>
      <c r="D244" s="562"/>
      <c r="E244" s="552"/>
      <c r="F244" s="552"/>
      <c r="G244" s="552"/>
      <c r="H244" s="552"/>
      <c r="I244" s="552"/>
      <c r="J244" s="552"/>
      <c r="K244" s="552"/>
      <c r="L244" s="552"/>
      <c r="M244" s="552"/>
      <c r="N244" s="552"/>
      <c r="O244" s="552"/>
      <c r="P244" s="552"/>
      <c r="Q244" s="552"/>
      <c r="R244" s="552"/>
      <c r="S244" s="552"/>
      <c r="T244" s="552"/>
      <c r="U244" s="552"/>
      <c r="V244" s="552"/>
      <c r="W244" s="552"/>
      <c r="X244" s="552"/>
      <c r="Y244" s="552"/>
      <c r="Z244" s="552"/>
    </row>
    <row r="245">
      <c r="A245" s="559"/>
      <c r="B245" s="560"/>
      <c r="C245" s="561"/>
      <c r="D245" s="562"/>
      <c r="E245" s="552"/>
      <c r="F245" s="552"/>
      <c r="G245" s="552"/>
      <c r="H245" s="552"/>
      <c r="I245" s="552"/>
      <c r="J245" s="552"/>
      <c r="K245" s="552"/>
      <c r="L245" s="552"/>
      <c r="M245" s="552"/>
      <c r="N245" s="552"/>
      <c r="O245" s="552"/>
      <c r="P245" s="552"/>
      <c r="Q245" s="552"/>
      <c r="R245" s="552"/>
      <c r="S245" s="552"/>
      <c r="T245" s="552"/>
      <c r="U245" s="552"/>
      <c r="V245" s="552"/>
      <c r="W245" s="552"/>
      <c r="X245" s="552"/>
      <c r="Y245" s="552"/>
      <c r="Z245" s="552"/>
    </row>
    <row r="246">
      <c r="A246" s="559"/>
      <c r="B246" s="560"/>
      <c r="C246" s="561"/>
      <c r="D246" s="562"/>
      <c r="E246" s="552"/>
      <c r="F246" s="552"/>
      <c r="G246" s="552"/>
      <c r="H246" s="552"/>
      <c r="I246" s="552"/>
      <c r="J246" s="552"/>
      <c r="K246" s="552"/>
      <c r="L246" s="552"/>
      <c r="M246" s="552"/>
      <c r="N246" s="552"/>
      <c r="O246" s="552"/>
      <c r="P246" s="552"/>
      <c r="Q246" s="552"/>
      <c r="R246" s="552"/>
      <c r="S246" s="552"/>
      <c r="T246" s="552"/>
      <c r="U246" s="552"/>
      <c r="V246" s="552"/>
      <c r="W246" s="552"/>
      <c r="X246" s="552"/>
      <c r="Y246" s="552"/>
      <c r="Z246" s="552"/>
    </row>
    <row r="247">
      <c r="A247" s="559"/>
      <c r="B247" s="560"/>
      <c r="C247" s="561"/>
      <c r="D247" s="562"/>
      <c r="E247" s="552"/>
      <c r="F247" s="552"/>
      <c r="G247" s="552"/>
      <c r="H247" s="552"/>
      <c r="I247" s="552"/>
      <c r="J247" s="552"/>
      <c r="K247" s="552"/>
      <c r="L247" s="552"/>
      <c r="M247" s="552"/>
      <c r="N247" s="552"/>
      <c r="O247" s="552"/>
      <c r="P247" s="552"/>
      <c r="Q247" s="552"/>
      <c r="R247" s="552"/>
      <c r="S247" s="552"/>
      <c r="T247" s="552"/>
      <c r="U247" s="552"/>
      <c r="V247" s="552"/>
      <c r="W247" s="552"/>
      <c r="X247" s="552"/>
      <c r="Y247" s="552"/>
      <c r="Z247" s="552"/>
    </row>
    <row r="248">
      <c r="A248" s="559"/>
      <c r="B248" s="560"/>
      <c r="C248" s="561"/>
      <c r="D248" s="562"/>
      <c r="E248" s="552"/>
      <c r="F248" s="552"/>
      <c r="G248" s="552"/>
      <c r="H248" s="552"/>
      <c r="I248" s="552"/>
      <c r="J248" s="552"/>
      <c r="K248" s="552"/>
      <c r="L248" s="552"/>
      <c r="M248" s="552"/>
      <c r="N248" s="552"/>
      <c r="O248" s="552"/>
      <c r="P248" s="552"/>
      <c r="Q248" s="552"/>
      <c r="R248" s="552"/>
      <c r="S248" s="552"/>
      <c r="T248" s="552"/>
      <c r="U248" s="552"/>
      <c r="V248" s="552"/>
      <c r="W248" s="552"/>
      <c r="X248" s="552"/>
      <c r="Y248" s="552"/>
      <c r="Z248" s="552"/>
    </row>
    <row r="249">
      <c r="A249" s="559"/>
      <c r="B249" s="560"/>
      <c r="C249" s="561"/>
      <c r="D249" s="562"/>
      <c r="E249" s="552"/>
      <c r="F249" s="552"/>
      <c r="G249" s="552"/>
      <c r="H249" s="552"/>
      <c r="I249" s="552"/>
      <c r="J249" s="552"/>
      <c r="K249" s="552"/>
      <c r="L249" s="552"/>
      <c r="M249" s="552"/>
      <c r="N249" s="552"/>
      <c r="O249" s="552"/>
      <c r="P249" s="552"/>
      <c r="Q249" s="552"/>
      <c r="R249" s="552"/>
      <c r="S249" s="552"/>
      <c r="T249" s="552"/>
      <c r="U249" s="552"/>
      <c r="V249" s="552"/>
      <c r="W249" s="552"/>
      <c r="X249" s="552"/>
      <c r="Y249" s="552"/>
      <c r="Z249" s="552"/>
    </row>
    <row r="250">
      <c r="A250" s="559"/>
      <c r="B250" s="560"/>
      <c r="C250" s="561"/>
      <c r="D250" s="562"/>
      <c r="E250" s="552"/>
      <c r="F250" s="552"/>
      <c r="G250" s="552"/>
      <c r="H250" s="552"/>
      <c r="I250" s="552"/>
      <c r="J250" s="552"/>
      <c r="K250" s="552"/>
      <c r="L250" s="552"/>
      <c r="M250" s="552"/>
      <c r="N250" s="552"/>
      <c r="O250" s="552"/>
      <c r="P250" s="552"/>
      <c r="Q250" s="552"/>
      <c r="R250" s="552"/>
      <c r="S250" s="552"/>
      <c r="T250" s="552"/>
      <c r="U250" s="552"/>
      <c r="V250" s="552"/>
      <c r="W250" s="552"/>
      <c r="X250" s="552"/>
      <c r="Y250" s="552"/>
      <c r="Z250" s="552"/>
    </row>
    <row r="251">
      <c r="A251" s="559"/>
      <c r="B251" s="560"/>
      <c r="C251" s="561"/>
      <c r="D251" s="562"/>
      <c r="E251" s="552"/>
      <c r="F251" s="552"/>
      <c r="G251" s="552"/>
      <c r="H251" s="552"/>
      <c r="I251" s="552"/>
      <c r="J251" s="552"/>
      <c r="K251" s="552"/>
      <c r="L251" s="552"/>
      <c r="M251" s="552"/>
      <c r="N251" s="552"/>
      <c r="O251" s="552"/>
      <c r="P251" s="552"/>
      <c r="Q251" s="552"/>
      <c r="R251" s="552"/>
      <c r="S251" s="552"/>
      <c r="T251" s="552"/>
      <c r="U251" s="552"/>
      <c r="V251" s="552"/>
      <c r="W251" s="552"/>
      <c r="X251" s="552"/>
      <c r="Y251" s="552"/>
      <c r="Z251" s="552"/>
    </row>
    <row r="252">
      <c r="A252" s="559"/>
      <c r="B252" s="560"/>
      <c r="C252" s="561"/>
      <c r="D252" s="562"/>
      <c r="E252" s="552"/>
      <c r="F252" s="552"/>
      <c r="G252" s="552"/>
      <c r="H252" s="552"/>
      <c r="I252" s="552"/>
      <c r="J252" s="552"/>
      <c r="K252" s="552"/>
      <c r="L252" s="552"/>
      <c r="M252" s="552"/>
      <c r="N252" s="552"/>
      <c r="O252" s="552"/>
      <c r="P252" s="552"/>
      <c r="Q252" s="552"/>
      <c r="R252" s="552"/>
      <c r="S252" s="552"/>
      <c r="T252" s="552"/>
      <c r="U252" s="552"/>
      <c r="V252" s="552"/>
      <c r="W252" s="552"/>
      <c r="X252" s="552"/>
      <c r="Y252" s="552"/>
      <c r="Z252" s="552"/>
    </row>
    <row r="253">
      <c r="A253" s="559"/>
      <c r="B253" s="560"/>
      <c r="C253" s="561"/>
      <c r="D253" s="562"/>
      <c r="E253" s="552"/>
      <c r="F253" s="552"/>
      <c r="G253" s="552"/>
      <c r="H253" s="552"/>
      <c r="I253" s="552"/>
      <c r="J253" s="552"/>
      <c r="K253" s="552"/>
      <c r="L253" s="552"/>
      <c r="M253" s="552"/>
      <c r="N253" s="552"/>
      <c r="O253" s="552"/>
      <c r="P253" s="552"/>
      <c r="Q253" s="552"/>
      <c r="R253" s="552"/>
      <c r="S253" s="552"/>
      <c r="T253" s="552"/>
      <c r="U253" s="552"/>
      <c r="V253" s="552"/>
      <c r="W253" s="552"/>
      <c r="X253" s="552"/>
      <c r="Y253" s="552"/>
      <c r="Z253" s="552"/>
    </row>
    <row r="254">
      <c r="A254" s="559"/>
      <c r="B254" s="560"/>
      <c r="C254" s="561"/>
      <c r="D254" s="562"/>
      <c r="E254" s="552"/>
      <c r="F254" s="552"/>
      <c r="G254" s="552"/>
      <c r="H254" s="552"/>
      <c r="I254" s="552"/>
      <c r="J254" s="552"/>
      <c r="K254" s="552"/>
      <c r="L254" s="552"/>
      <c r="M254" s="552"/>
      <c r="N254" s="552"/>
      <c r="O254" s="552"/>
      <c r="P254" s="552"/>
      <c r="Q254" s="552"/>
      <c r="R254" s="552"/>
      <c r="S254" s="552"/>
      <c r="T254" s="552"/>
      <c r="U254" s="552"/>
      <c r="V254" s="552"/>
      <c r="W254" s="552"/>
      <c r="X254" s="552"/>
      <c r="Y254" s="552"/>
      <c r="Z254" s="552"/>
    </row>
    <row r="255">
      <c r="A255" s="559"/>
      <c r="B255" s="560"/>
      <c r="C255" s="561"/>
      <c r="D255" s="562"/>
      <c r="E255" s="552"/>
      <c r="F255" s="552"/>
      <c r="G255" s="552"/>
      <c r="H255" s="552"/>
      <c r="I255" s="552"/>
      <c r="J255" s="552"/>
      <c r="K255" s="552"/>
      <c r="L255" s="552"/>
      <c r="M255" s="552"/>
      <c r="N255" s="552"/>
      <c r="O255" s="552"/>
      <c r="P255" s="552"/>
      <c r="Q255" s="552"/>
      <c r="R255" s="552"/>
      <c r="S255" s="552"/>
      <c r="T255" s="552"/>
      <c r="U255" s="552"/>
      <c r="V255" s="552"/>
      <c r="W255" s="552"/>
      <c r="X255" s="552"/>
      <c r="Y255" s="552"/>
      <c r="Z255" s="552"/>
    </row>
    <row r="256">
      <c r="A256" s="559"/>
      <c r="B256" s="560"/>
      <c r="C256" s="561"/>
      <c r="D256" s="562"/>
      <c r="E256" s="552"/>
      <c r="F256" s="552"/>
      <c r="G256" s="552"/>
      <c r="H256" s="552"/>
      <c r="I256" s="552"/>
      <c r="J256" s="552"/>
      <c r="K256" s="552"/>
      <c r="L256" s="552"/>
      <c r="M256" s="552"/>
      <c r="N256" s="552"/>
      <c r="O256" s="552"/>
      <c r="P256" s="552"/>
      <c r="Q256" s="552"/>
      <c r="R256" s="552"/>
      <c r="S256" s="552"/>
      <c r="T256" s="552"/>
      <c r="U256" s="552"/>
      <c r="V256" s="552"/>
      <c r="W256" s="552"/>
      <c r="X256" s="552"/>
      <c r="Y256" s="552"/>
      <c r="Z256" s="552"/>
    </row>
    <row r="257">
      <c r="A257" s="559"/>
      <c r="B257" s="560"/>
      <c r="C257" s="561"/>
      <c r="D257" s="562"/>
      <c r="E257" s="552"/>
      <c r="F257" s="552"/>
      <c r="G257" s="552"/>
      <c r="H257" s="552"/>
      <c r="I257" s="552"/>
      <c r="J257" s="552"/>
      <c r="K257" s="552"/>
      <c r="L257" s="552"/>
      <c r="M257" s="552"/>
      <c r="N257" s="552"/>
      <c r="O257" s="552"/>
      <c r="P257" s="552"/>
      <c r="Q257" s="552"/>
      <c r="R257" s="552"/>
      <c r="S257" s="552"/>
      <c r="T257" s="552"/>
      <c r="U257" s="552"/>
      <c r="V257" s="552"/>
      <c r="W257" s="552"/>
      <c r="X257" s="552"/>
      <c r="Y257" s="552"/>
      <c r="Z257" s="552"/>
    </row>
    <row r="258">
      <c r="A258" s="559"/>
      <c r="B258" s="560"/>
      <c r="C258" s="561"/>
      <c r="D258" s="562"/>
      <c r="E258" s="552"/>
      <c r="F258" s="552"/>
      <c r="G258" s="552"/>
      <c r="H258" s="552"/>
      <c r="I258" s="552"/>
      <c r="J258" s="552"/>
      <c r="K258" s="552"/>
      <c r="L258" s="552"/>
      <c r="M258" s="552"/>
      <c r="N258" s="552"/>
      <c r="O258" s="552"/>
      <c r="P258" s="552"/>
      <c r="Q258" s="552"/>
      <c r="R258" s="552"/>
      <c r="S258" s="552"/>
      <c r="T258" s="552"/>
      <c r="U258" s="552"/>
      <c r="V258" s="552"/>
      <c r="W258" s="552"/>
      <c r="X258" s="552"/>
      <c r="Y258" s="552"/>
      <c r="Z258" s="552"/>
    </row>
    <row r="259">
      <c r="A259" s="559"/>
      <c r="B259" s="560"/>
      <c r="C259" s="561"/>
      <c r="D259" s="562"/>
      <c r="E259" s="552"/>
      <c r="F259" s="552"/>
      <c r="G259" s="552"/>
      <c r="H259" s="552"/>
      <c r="I259" s="552"/>
      <c r="J259" s="552"/>
      <c r="K259" s="552"/>
      <c r="L259" s="552"/>
      <c r="M259" s="552"/>
      <c r="N259" s="552"/>
      <c r="O259" s="552"/>
      <c r="P259" s="552"/>
      <c r="Q259" s="552"/>
      <c r="R259" s="552"/>
      <c r="S259" s="552"/>
      <c r="T259" s="552"/>
      <c r="U259" s="552"/>
      <c r="V259" s="552"/>
      <c r="W259" s="552"/>
      <c r="X259" s="552"/>
      <c r="Y259" s="552"/>
      <c r="Z259" s="552"/>
    </row>
    <row r="260">
      <c r="A260" s="559"/>
      <c r="B260" s="560"/>
      <c r="C260" s="561"/>
      <c r="D260" s="562"/>
      <c r="E260" s="552"/>
      <c r="F260" s="552"/>
      <c r="G260" s="552"/>
      <c r="H260" s="552"/>
      <c r="I260" s="552"/>
      <c r="J260" s="552"/>
      <c r="K260" s="552"/>
      <c r="L260" s="552"/>
      <c r="M260" s="552"/>
      <c r="N260" s="552"/>
      <c r="O260" s="552"/>
      <c r="P260" s="552"/>
      <c r="Q260" s="552"/>
      <c r="R260" s="552"/>
      <c r="S260" s="552"/>
      <c r="T260" s="552"/>
      <c r="U260" s="552"/>
      <c r="V260" s="552"/>
      <c r="W260" s="552"/>
      <c r="X260" s="552"/>
      <c r="Y260" s="552"/>
      <c r="Z260" s="552"/>
    </row>
    <row r="261">
      <c r="A261" s="559"/>
      <c r="B261" s="560"/>
      <c r="C261" s="561"/>
      <c r="D261" s="562"/>
      <c r="E261" s="552"/>
      <c r="F261" s="552"/>
      <c r="G261" s="552"/>
      <c r="H261" s="552"/>
      <c r="I261" s="552"/>
      <c r="J261" s="552"/>
      <c r="K261" s="552"/>
      <c r="L261" s="552"/>
      <c r="M261" s="552"/>
      <c r="N261" s="552"/>
      <c r="O261" s="552"/>
      <c r="P261" s="552"/>
      <c r="Q261" s="552"/>
      <c r="R261" s="552"/>
      <c r="S261" s="552"/>
      <c r="T261" s="552"/>
      <c r="U261" s="552"/>
      <c r="V261" s="552"/>
      <c r="W261" s="552"/>
      <c r="X261" s="552"/>
      <c r="Y261" s="552"/>
      <c r="Z261" s="552"/>
    </row>
    <row r="262">
      <c r="A262" s="559"/>
      <c r="B262" s="560"/>
      <c r="C262" s="561"/>
      <c r="D262" s="562"/>
      <c r="E262" s="552"/>
      <c r="F262" s="552"/>
      <c r="G262" s="552"/>
      <c r="H262" s="552"/>
      <c r="I262" s="552"/>
      <c r="J262" s="552"/>
      <c r="K262" s="552"/>
      <c r="L262" s="552"/>
      <c r="M262" s="552"/>
      <c r="N262" s="552"/>
      <c r="O262" s="552"/>
      <c r="P262" s="552"/>
      <c r="Q262" s="552"/>
      <c r="R262" s="552"/>
      <c r="S262" s="552"/>
      <c r="T262" s="552"/>
      <c r="U262" s="552"/>
      <c r="V262" s="552"/>
      <c r="W262" s="552"/>
      <c r="X262" s="552"/>
      <c r="Y262" s="552"/>
      <c r="Z262" s="552"/>
    </row>
    <row r="263">
      <c r="A263" s="559"/>
      <c r="B263" s="560"/>
      <c r="C263" s="561"/>
      <c r="D263" s="562"/>
      <c r="E263" s="552"/>
      <c r="F263" s="552"/>
      <c r="G263" s="552"/>
      <c r="H263" s="552"/>
      <c r="I263" s="552"/>
      <c r="J263" s="552"/>
      <c r="K263" s="552"/>
      <c r="L263" s="552"/>
      <c r="M263" s="552"/>
      <c r="N263" s="552"/>
      <c r="O263" s="552"/>
      <c r="P263" s="552"/>
      <c r="Q263" s="552"/>
      <c r="R263" s="552"/>
      <c r="S263" s="552"/>
      <c r="T263" s="552"/>
      <c r="U263" s="552"/>
      <c r="V263" s="552"/>
      <c r="W263" s="552"/>
      <c r="X263" s="552"/>
      <c r="Y263" s="552"/>
      <c r="Z263" s="552"/>
    </row>
    <row r="264">
      <c r="A264" s="559"/>
      <c r="B264" s="560"/>
      <c r="C264" s="561"/>
      <c r="D264" s="562"/>
      <c r="E264" s="552"/>
      <c r="F264" s="552"/>
      <c r="G264" s="552"/>
      <c r="H264" s="552"/>
      <c r="I264" s="552"/>
      <c r="J264" s="552"/>
      <c r="K264" s="552"/>
      <c r="L264" s="552"/>
      <c r="M264" s="552"/>
      <c r="N264" s="552"/>
      <c r="O264" s="552"/>
      <c r="P264" s="552"/>
      <c r="Q264" s="552"/>
      <c r="R264" s="552"/>
      <c r="S264" s="552"/>
      <c r="T264" s="552"/>
      <c r="U264" s="552"/>
      <c r="V264" s="552"/>
      <c r="W264" s="552"/>
      <c r="X264" s="552"/>
      <c r="Y264" s="552"/>
      <c r="Z264" s="552"/>
    </row>
    <row r="265">
      <c r="A265" s="559"/>
      <c r="B265" s="560"/>
      <c r="C265" s="561"/>
      <c r="D265" s="562"/>
      <c r="E265" s="552"/>
      <c r="F265" s="552"/>
      <c r="G265" s="552"/>
      <c r="H265" s="552"/>
      <c r="I265" s="552"/>
      <c r="J265" s="552"/>
      <c r="K265" s="552"/>
      <c r="L265" s="552"/>
      <c r="M265" s="552"/>
      <c r="N265" s="552"/>
      <c r="O265" s="552"/>
      <c r="P265" s="552"/>
      <c r="Q265" s="552"/>
      <c r="R265" s="552"/>
      <c r="S265" s="552"/>
      <c r="T265" s="552"/>
      <c r="U265" s="552"/>
      <c r="V265" s="552"/>
      <c r="W265" s="552"/>
      <c r="X265" s="552"/>
      <c r="Y265" s="552"/>
      <c r="Z265" s="552"/>
    </row>
    <row r="266">
      <c r="A266" s="559"/>
      <c r="B266" s="560"/>
      <c r="C266" s="561"/>
      <c r="D266" s="562"/>
      <c r="E266" s="552"/>
      <c r="F266" s="552"/>
      <c r="G266" s="552"/>
      <c r="H266" s="552"/>
      <c r="I266" s="552"/>
      <c r="J266" s="552"/>
      <c r="K266" s="552"/>
      <c r="L266" s="552"/>
      <c r="M266" s="552"/>
      <c r="N266" s="552"/>
      <c r="O266" s="552"/>
      <c r="P266" s="552"/>
      <c r="Q266" s="552"/>
      <c r="R266" s="552"/>
      <c r="S266" s="552"/>
      <c r="T266" s="552"/>
      <c r="U266" s="552"/>
      <c r="V266" s="552"/>
      <c r="W266" s="552"/>
      <c r="X266" s="552"/>
      <c r="Y266" s="552"/>
      <c r="Z266" s="552"/>
    </row>
    <row r="267">
      <c r="A267" s="559"/>
      <c r="B267" s="560"/>
      <c r="C267" s="561"/>
      <c r="D267" s="562"/>
      <c r="E267" s="552"/>
      <c r="F267" s="552"/>
      <c r="G267" s="552"/>
      <c r="H267" s="552"/>
      <c r="I267" s="552"/>
      <c r="J267" s="552"/>
      <c r="K267" s="552"/>
      <c r="L267" s="552"/>
      <c r="M267" s="552"/>
      <c r="N267" s="552"/>
      <c r="O267" s="552"/>
      <c r="P267" s="552"/>
      <c r="Q267" s="552"/>
      <c r="R267" s="552"/>
      <c r="S267" s="552"/>
      <c r="T267" s="552"/>
      <c r="U267" s="552"/>
      <c r="V267" s="552"/>
      <c r="W267" s="552"/>
      <c r="X267" s="552"/>
      <c r="Y267" s="552"/>
      <c r="Z267" s="552"/>
    </row>
    <row r="268">
      <c r="A268" s="559"/>
      <c r="B268" s="560"/>
      <c r="C268" s="561"/>
      <c r="D268" s="562"/>
      <c r="E268" s="552"/>
      <c r="F268" s="552"/>
      <c r="G268" s="552"/>
      <c r="H268" s="552"/>
      <c r="I268" s="552"/>
      <c r="J268" s="552"/>
      <c r="K268" s="552"/>
      <c r="L268" s="552"/>
      <c r="M268" s="552"/>
      <c r="N268" s="552"/>
      <c r="O268" s="552"/>
      <c r="P268" s="552"/>
      <c r="Q268" s="552"/>
      <c r="R268" s="552"/>
      <c r="S268" s="552"/>
      <c r="T268" s="552"/>
      <c r="U268" s="552"/>
      <c r="V268" s="552"/>
      <c r="W268" s="552"/>
      <c r="X268" s="552"/>
      <c r="Y268" s="552"/>
      <c r="Z268" s="552"/>
    </row>
    <row r="269">
      <c r="A269" s="559"/>
      <c r="B269" s="560"/>
      <c r="C269" s="561"/>
      <c r="D269" s="562"/>
      <c r="E269" s="552"/>
      <c r="F269" s="552"/>
      <c r="G269" s="552"/>
      <c r="H269" s="552"/>
      <c r="I269" s="552"/>
      <c r="J269" s="552"/>
      <c r="K269" s="552"/>
      <c r="L269" s="552"/>
      <c r="M269" s="552"/>
      <c r="N269" s="552"/>
      <c r="O269" s="552"/>
      <c r="P269" s="552"/>
      <c r="Q269" s="552"/>
      <c r="R269" s="552"/>
      <c r="S269" s="552"/>
      <c r="T269" s="552"/>
      <c r="U269" s="552"/>
      <c r="V269" s="552"/>
      <c r="W269" s="552"/>
      <c r="X269" s="552"/>
      <c r="Y269" s="552"/>
      <c r="Z269" s="552"/>
    </row>
    <row r="270">
      <c r="A270" s="559"/>
      <c r="B270" s="560"/>
      <c r="C270" s="561"/>
      <c r="D270" s="562"/>
      <c r="E270" s="552"/>
      <c r="F270" s="552"/>
      <c r="G270" s="552"/>
      <c r="H270" s="552"/>
      <c r="I270" s="552"/>
      <c r="J270" s="552"/>
      <c r="K270" s="552"/>
      <c r="L270" s="552"/>
      <c r="M270" s="552"/>
      <c r="N270" s="552"/>
      <c r="O270" s="552"/>
      <c r="P270" s="552"/>
      <c r="Q270" s="552"/>
      <c r="R270" s="552"/>
      <c r="S270" s="552"/>
      <c r="T270" s="552"/>
      <c r="U270" s="552"/>
      <c r="V270" s="552"/>
      <c r="W270" s="552"/>
      <c r="X270" s="552"/>
      <c r="Y270" s="552"/>
      <c r="Z270" s="552"/>
    </row>
    <row r="271">
      <c r="A271" s="559"/>
      <c r="B271" s="560"/>
      <c r="C271" s="561"/>
      <c r="D271" s="562"/>
      <c r="E271" s="552"/>
      <c r="F271" s="552"/>
      <c r="G271" s="552"/>
      <c r="H271" s="552"/>
      <c r="I271" s="552"/>
      <c r="J271" s="552"/>
      <c r="K271" s="552"/>
      <c r="L271" s="552"/>
      <c r="M271" s="552"/>
      <c r="N271" s="552"/>
      <c r="O271" s="552"/>
      <c r="P271" s="552"/>
      <c r="Q271" s="552"/>
      <c r="R271" s="552"/>
      <c r="S271" s="552"/>
      <c r="T271" s="552"/>
      <c r="U271" s="552"/>
      <c r="V271" s="552"/>
      <c r="W271" s="552"/>
      <c r="X271" s="552"/>
      <c r="Y271" s="552"/>
      <c r="Z271" s="552"/>
    </row>
    <row r="272">
      <c r="A272" s="559"/>
      <c r="B272" s="560"/>
      <c r="C272" s="561"/>
      <c r="D272" s="562"/>
      <c r="E272" s="552"/>
      <c r="F272" s="552"/>
      <c r="G272" s="552"/>
      <c r="H272" s="552"/>
      <c r="I272" s="552"/>
      <c r="J272" s="552"/>
      <c r="K272" s="552"/>
      <c r="L272" s="552"/>
      <c r="M272" s="552"/>
      <c r="N272" s="552"/>
      <c r="O272" s="552"/>
      <c r="P272" s="552"/>
      <c r="Q272" s="552"/>
      <c r="R272" s="552"/>
      <c r="S272" s="552"/>
      <c r="T272" s="552"/>
      <c r="U272" s="552"/>
      <c r="V272" s="552"/>
      <c r="W272" s="552"/>
      <c r="X272" s="552"/>
      <c r="Y272" s="552"/>
      <c r="Z272" s="552"/>
    </row>
    <row r="273">
      <c r="A273" s="559"/>
      <c r="B273" s="560"/>
      <c r="C273" s="561"/>
      <c r="D273" s="562"/>
      <c r="E273" s="552"/>
      <c r="F273" s="552"/>
      <c r="G273" s="552"/>
      <c r="H273" s="552"/>
      <c r="I273" s="552"/>
      <c r="J273" s="552"/>
      <c r="K273" s="552"/>
      <c r="L273" s="552"/>
      <c r="M273" s="552"/>
      <c r="N273" s="552"/>
      <c r="O273" s="552"/>
      <c r="P273" s="552"/>
      <c r="Q273" s="552"/>
      <c r="R273" s="552"/>
      <c r="S273" s="552"/>
      <c r="T273" s="552"/>
      <c r="U273" s="552"/>
      <c r="V273" s="552"/>
      <c r="W273" s="552"/>
      <c r="X273" s="552"/>
      <c r="Y273" s="552"/>
      <c r="Z273" s="552"/>
    </row>
    <row r="274">
      <c r="A274" s="559"/>
      <c r="B274" s="560"/>
      <c r="C274" s="561"/>
      <c r="D274" s="562"/>
      <c r="E274" s="552"/>
      <c r="F274" s="552"/>
      <c r="G274" s="552"/>
      <c r="H274" s="552"/>
      <c r="I274" s="552"/>
      <c r="J274" s="552"/>
      <c r="K274" s="552"/>
      <c r="L274" s="552"/>
      <c r="M274" s="552"/>
      <c r="N274" s="552"/>
      <c r="O274" s="552"/>
      <c r="P274" s="552"/>
      <c r="Q274" s="552"/>
      <c r="R274" s="552"/>
      <c r="S274" s="552"/>
      <c r="T274" s="552"/>
      <c r="U274" s="552"/>
      <c r="V274" s="552"/>
      <c r="W274" s="552"/>
      <c r="X274" s="552"/>
      <c r="Y274" s="552"/>
      <c r="Z274" s="552"/>
    </row>
    <row r="275">
      <c r="A275" s="559"/>
      <c r="B275" s="560"/>
      <c r="C275" s="561"/>
      <c r="D275" s="562"/>
      <c r="E275" s="552"/>
      <c r="F275" s="552"/>
      <c r="G275" s="552"/>
      <c r="H275" s="552"/>
      <c r="I275" s="552"/>
      <c r="J275" s="552"/>
      <c r="K275" s="552"/>
      <c r="L275" s="552"/>
      <c r="M275" s="552"/>
      <c r="N275" s="552"/>
      <c r="O275" s="552"/>
      <c r="P275" s="552"/>
      <c r="Q275" s="552"/>
      <c r="R275" s="552"/>
      <c r="S275" s="552"/>
      <c r="T275" s="552"/>
      <c r="U275" s="552"/>
      <c r="V275" s="552"/>
      <c r="W275" s="552"/>
      <c r="X275" s="552"/>
      <c r="Y275" s="552"/>
      <c r="Z275" s="552"/>
    </row>
    <row r="276">
      <c r="A276" s="559"/>
      <c r="B276" s="560"/>
      <c r="C276" s="561"/>
      <c r="D276" s="562"/>
      <c r="E276" s="552"/>
      <c r="F276" s="552"/>
      <c r="G276" s="552"/>
      <c r="H276" s="552"/>
      <c r="I276" s="552"/>
      <c r="J276" s="552"/>
      <c r="K276" s="552"/>
      <c r="L276" s="552"/>
      <c r="M276" s="552"/>
      <c r="N276" s="552"/>
      <c r="O276" s="552"/>
      <c r="P276" s="552"/>
      <c r="Q276" s="552"/>
      <c r="R276" s="552"/>
      <c r="S276" s="552"/>
      <c r="T276" s="552"/>
      <c r="U276" s="552"/>
      <c r="V276" s="552"/>
      <c r="W276" s="552"/>
      <c r="X276" s="552"/>
      <c r="Y276" s="552"/>
      <c r="Z276" s="552"/>
    </row>
    <row r="277">
      <c r="A277" s="559"/>
      <c r="B277" s="560"/>
      <c r="C277" s="561"/>
      <c r="D277" s="562"/>
      <c r="E277" s="552"/>
      <c r="F277" s="552"/>
      <c r="G277" s="552"/>
      <c r="H277" s="552"/>
      <c r="I277" s="552"/>
      <c r="J277" s="552"/>
      <c r="K277" s="552"/>
      <c r="L277" s="552"/>
      <c r="M277" s="552"/>
      <c r="N277" s="552"/>
      <c r="O277" s="552"/>
      <c r="P277" s="552"/>
      <c r="Q277" s="552"/>
      <c r="R277" s="552"/>
      <c r="S277" s="552"/>
      <c r="T277" s="552"/>
      <c r="U277" s="552"/>
      <c r="V277" s="552"/>
      <c r="W277" s="552"/>
      <c r="X277" s="552"/>
      <c r="Y277" s="552"/>
      <c r="Z277" s="552"/>
    </row>
    <row r="278">
      <c r="A278" s="559"/>
      <c r="B278" s="560"/>
      <c r="C278" s="561"/>
      <c r="D278" s="562"/>
      <c r="E278" s="552"/>
      <c r="F278" s="552"/>
      <c r="G278" s="552"/>
      <c r="H278" s="552"/>
      <c r="I278" s="552"/>
      <c r="J278" s="552"/>
      <c r="K278" s="552"/>
      <c r="L278" s="552"/>
      <c r="M278" s="552"/>
      <c r="N278" s="552"/>
      <c r="O278" s="552"/>
      <c r="P278" s="552"/>
      <c r="Q278" s="552"/>
      <c r="R278" s="552"/>
      <c r="S278" s="552"/>
      <c r="T278" s="552"/>
      <c r="U278" s="552"/>
      <c r="V278" s="552"/>
      <c r="W278" s="552"/>
      <c r="X278" s="552"/>
      <c r="Y278" s="552"/>
      <c r="Z278" s="552"/>
    </row>
    <row r="279">
      <c r="A279" s="559"/>
      <c r="B279" s="560"/>
      <c r="C279" s="561"/>
      <c r="D279" s="562"/>
      <c r="E279" s="552"/>
      <c r="F279" s="552"/>
      <c r="G279" s="552"/>
      <c r="H279" s="552"/>
      <c r="I279" s="552"/>
      <c r="J279" s="552"/>
      <c r="K279" s="552"/>
      <c r="L279" s="552"/>
      <c r="M279" s="552"/>
      <c r="N279" s="552"/>
      <c r="O279" s="552"/>
      <c r="P279" s="552"/>
      <c r="Q279" s="552"/>
      <c r="R279" s="552"/>
      <c r="S279" s="552"/>
      <c r="T279" s="552"/>
      <c r="U279" s="552"/>
      <c r="V279" s="552"/>
      <c r="W279" s="552"/>
      <c r="X279" s="552"/>
      <c r="Y279" s="552"/>
      <c r="Z279" s="552"/>
    </row>
    <row r="280">
      <c r="A280" s="559"/>
      <c r="B280" s="560"/>
      <c r="C280" s="561"/>
      <c r="D280" s="562"/>
      <c r="E280" s="552"/>
      <c r="F280" s="552"/>
      <c r="G280" s="552"/>
      <c r="H280" s="552"/>
      <c r="I280" s="552"/>
      <c r="J280" s="552"/>
      <c r="K280" s="552"/>
      <c r="L280" s="552"/>
      <c r="M280" s="552"/>
      <c r="N280" s="552"/>
      <c r="O280" s="552"/>
      <c r="P280" s="552"/>
      <c r="Q280" s="552"/>
      <c r="R280" s="552"/>
      <c r="S280" s="552"/>
      <c r="T280" s="552"/>
      <c r="U280" s="552"/>
      <c r="V280" s="552"/>
      <c r="W280" s="552"/>
      <c r="X280" s="552"/>
      <c r="Y280" s="552"/>
      <c r="Z280" s="552"/>
    </row>
    <row r="281">
      <c r="A281" s="559"/>
      <c r="B281" s="560"/>
      <c r="C281" s="561"/>
      <c r="D281" s="562"/>
      <c r="E281" s="552"/>
      <c r="F281" s="552"/>
      <c r="G281" s="552"/>
      <c r="H281" s="552"/>
      <c r="I281" s="552"/>
      <c r="J281" s="552"/>
      <c r="K281" s="552"/>
      <c r="L281" s="552"/>
      <c r="M281" s="552"/>
      <c r="N281" s="552"/>
      <c r="O281" s="552"/>
      <c r="P281" s="552"/>
      <c r="Q281" s="552"/>
      <c r="R281" s="552"/>
      <c r="S281" s="552"/>
      <c r="T281" s="552"/>
      <c r="U281" s="552"/>
      <c r="V281" s="552"/>
      <c r="W281" s="552"/>
      <c r="X281" s="552"/>
      <c r="Y281" s="552"/>
      <c r="Z281" s="552"/>
    </row>
    <row r="282">
      <c r="A282" s="559"/>
      <c r="B282" s="560"/>
      <c r="C282" s="561"/>
      <c r="D282" s="562"/>
      <c r="E282" s="552"/>
      <c r="F282" s="552"/>
      <c r="G282" s="552"/>
      <c r="H282" s="552"/>
      <c r="I282" s="552"/>
      <c r="J282" s="552"/>
      <c r="K282" s="552"/>
      <c r="L282" s="552"/>
      <c r="M282" s="552"/>
      <c r="N282" s="552"/>
      <c r="O282" s="552"/>
      <c r="P282" s="552"/>
      <c r="Q282" s="552"/>
      <c r="R282" s="552"/>
      <c r="S282" s="552"/>
      <c r="T282" s="552"/>
      <c r="U282" s="552"/>
      <c r="V282" s="552"/>
      <c r="W282" s="552"/>
      <c r="X282" s="552"/>
      <c r="Y282" s="552"/>
      <c r="Z282" s="552"/>
    </row>
    <row r="283">
      <c r="A283" s="559"/>
      <c r="B283" s="560"/>
      <c r="C283" s="561"/>
      <c r="D283" s="562"/>
      <c r="E283" s="552"/>
      <c r="F283" s="552"/>
      <c r="G283" s="552"/>
      <c r="H283" s="552"/>
      <c r="I283" s="552"/>
      <c r="J283" s="552"/>
      <c r="K283" s="552"/>
      <c r="L283" s="552"/>
      <c r="M283" s="552"/>
      <c r="N283" s="552"/>
      <c r="O283" s="552"/>
      <c r="P283" s="552"/>
      <c r="Q283" s="552"/>
      <c r="R283" s="552"/>
      <c r="S283" s="552"/>
      <c r="T283" s="552"/>
      <c r="U283" s="552"/>
      <c r="V283" s="552"/>
      <c r="W283" s="552"/>
      <c r="X283" s="552"/>
      <c r="Y283" s="552"/>
      <c r="Z283" s="552"/>
    </row>
    <row r="284">
      <c r="A284" s="559"/>
      <c r="B284" s="560"/>
      <c r="C284" s="561"/>
      <c r="D284" s="562"/>
      <c r="E284" s="552"/>
      <c r="F284" s="552"/>
      <c r="G284" s="552"/>
      <c r="H284" s="552"/>
      <c r="I284" s="552"/>
      <c r="J284" s="552"/>
      <c r="K284" s="552"/>
      <c r="L284" s="552"/>
      <c r="M284" s="552"/>
      <c r="N284" s="552"/>
      <c r="O284" s="552"/>
      <c r="P284" s="552"/>
      <c r="Q284" s="552"/>
      <c r="R284" s="552"/>
      <c r="S284" s="552"/>
      <c r="T284" s="552"/>
      <c r="U284" s="552"/>
      <c r="V284" s="552"/>
      <c r="W284" s="552"/>
      <c r="X284" s="552"/>
      <c r="Y284" s="552"/>
      <c r="Z284" s="552"/>
    </row>
    <row r="285">
      <c r="A285" s="559"/>
      <c r="B285" s="560"/>
      <c r="C285" s="561"/>
      <c r="D285" s="562"/>
      <c r="E285" s="552"/>
      <c r="F285" s="552"/>
      <c r="G285" s="552"/>
      <c r="H285" s="552"/>
      <c r="I285" s="552"/>
      <c r="J285" s="552"/>
      <c r="K285" s="552"/>
      <c r="L285" s="552"/>
      <c r="M285" s="552"/>
      <c r="N285" s="552"/>
      <c r="O285" s="552"/>
      <c r="P285" s="552"/>
      <c r="Q285" s="552"/>
      <c r="R285" s="552"/>
      <c r="S285" s="552"/>
      <c r="T285" s="552"/>
      <c r="U285" s="552"/>
      <c r="V285" s="552"/>
      <c r="W285" s="552"/>
      <c r="X285" s="552"/>
      <c r="Y285" s="552"/>
      <c r="Z285" s="552"/>
    </row>
    <row r="286">
      <c r="A286" s="559"/>
      <c r="B286" s="560"/>
      <c r="C286" s="561"/>
      <c r="D286" s="562"/>
      <c r="E286" s="552"/>
      <c r="F286" s="552"/>
      <c r="G286" s="552"/>
      <c r="H286" s="552"/>
      <c r="I286" s="552"/>
      <c r="J286" s="552"/>
      <c r="K286" s="552"/>
      <c r="L286" s="552"/>
      <c r="M286" s="552"/>
      <c r="N286" s="552"/>
      <c r="O286" s="552"/>
      <c r="P286" s="552"/>
      <c r="Q286" s="552"/>
      <c r="R286" s="552"/>
      <c r="S286" s="552"/>
      <c r="T286" s="552"/>
      <c r="U286" s="552"/>
      <c r="V286" s="552"/>
      <c r="W286" s="552"/>
      <c r="X286" s="552"/>
      <c r="Y286" s="552"/>
      <c r="Z286" s="552"/>
    </row>
    <row r="287">
      <c r="A287" s="559"/>
      <c r="B287" s="560"/>
      <c r="C287" s="561"/>
      <c r="D287" s="562"/>
      <c r="E287" s="552"/>
      <c r="F287" s="552"/>
      <c r="G287" s="552"/>
      <c r="H287" s="552"/>
      <c r="I287" s="552"/>
      <c r="J287" s="552"/>
      <c r="K287" s="552"/>
      <c r="L287" s="552"/>
      <c r="M287" s="552"/>
      <c r="N287" s="552"/>
      <c r="O287" s="552"/>
      <c r="P287" s="552"/>
      <c r="Q287" s="552"/>
      <c r="R287" s="552"/>
      <c r="S287" s="552"/>
      <c r="T287" s="552"/>
      <c r="U287" s="552"/>
      <c r="V287" s="552"/>
      <c r="W287" s="552"/>
      <c r="X287" s="552"/>
      <c r="Y287" s="552"/>
      <c r="Z287" s="552"/>
    </row>
    <row r="288">
      <c r="A288" s="559"/>
      <c r="B288" s="560"/>
      <c r="C288" s="561"/>
      <c r="D288" s="562"/>
      <c r="E288" s="552"/>
      <c r="F288" s="552"/>
      <c r="G288" s="552"/>
      <c r="H288" s="552"/>
      <c r="I288" s="552"/>
      <c r="J288" s="552"/>
      <c r="K288" s="552"/>
      <c r="L288" s="552"/>
      <c r="M288" s="552"/>
      <c r="N288" s="552"/>
      <c r="O288" s="552"/>
      <c r="P288" s="552"/>
      <c r="Q288" s="552"/>
      <c r="R288" s="552"/>
      <c r="S288" s="552"/>
      <c r="T288" s="552"/>
      <c r="U288" s="552"/>
      <c r="V288" s="552"/>
      <c r="W288" s="552"/>
      <c r="X288" s="552"/>
      <c r="Y288" s="552"/>
      <c r="Z288" s="552"/>
    </row>
    <row r="289">
      <c r="A289" s="559"/>
      <c r="B289" s="560"/>
      <c r="C289" s="561"/>
      <c r="D289" s="562"/>
      <c r="E289" s="552"/>
      <c r="F289" s="552"/>
      <c r="G289" s="552"/>
      <c r="H289" s="552"/>
      <c r="I289" s="552"/>
      <c r="J289" s="552"/>
      <c r="K289" s="552"/>
      <c r="L289" s="552"/>
      <c r="M289" s="552"/>
      <c r="N289" s="552"/>
      <c r="O289" s="552"/>
      <c r="P289" s="552"/>
      <c r="Q289" s="552"/>
      <c r="R289" s="552"/>
      <c r="S289" s="552"/>
      <c r="T289" s="552"/>
      <c r="U289" s="552"/>
      <c r="V289" s="552"/>
      <c r="W289" s="552"/>
      <c r="X289" s="552"/>
      <c r="Y289" s="552"/>
      <c r="Z289" s="552"/>
    </row>
    <row r="290">
      <c r="A290" s="559"/>
      <c r="B290" s="560"/>
      <c r="C290" s="561"/>
      <c r="D290" s="562"/>
      <c r="E290" s="552"/>
      <c r="F290" s="552"/>
      <c r="G290" s="552"/>
      <c r="H290" s="552"/>
      <c r="I290" s="552"/>
      <c r="J290" s="552"/>
      <c r="K290" s="552"/>
      <c r="L290" s="552"/>
      <c r="M290" s="552"/>
      <c r="N290" s="552"/>
      <c r="O290" s="552"/>
      <c r="P290" s="552"/>
      <c r="Q290" s="552"/>
      <c r="R290" s="552"/>
      <c r="S290" s="552"/>
      <c r="T290" s="552"/>
      <c r="U290" s="552"/>
      <c r="V290" s="552"/>
      <c r="W290" s="552"/>
      <c r="X290" s="552"/>
      <c r="Y290" s="552"/>
      <c r="Z290" s="552"/>
    </row>
    <row r="291">
      <c r="A291" s="559"/>
      <c r="B291" s="560"/>
      <c r="C291" s="561"/>
      <c r="D291" s="562"/>
      <c r="E291" s="552"/>
      <c r="F291" s="552"/>
      <c r="G291" s="552"/>
      <c r="H291" s="552"/>
      <c r="I291" s="552"/>
      <c r="J291" s="552"/>
      <c r="K291" s="552"/>
      <c r="L291" s="552"/>
      <c r="M291" s="552"/>
      <c r="N291" s="552"/>
      <c r="O291" s="552"/>
      <c r="P291" s="552"/>
      <c r="Q291" s="552"/>
      <c r="R291" s="552"/>
      <c r="S291" s="552"/>
      <c r="T291" s="552"/>
      <c r="U291" s="552"/>
      <c r="V291" s="552"/>
      <c r="W291" s="552"/>
      <c r="X291" s="552"/>
      <c r="Y291" s="552"/>
      <c r="Z291" s="552"/>
    </row>
    <row r="292">
      <c r="A292" s="559"/>
      <c r="B292" s="560"/>
      <c r="C292" s="561"/>
      <c r="D292" s="562"/>
      <c r="E292" s="552"/>
      <c r="F292" s="552"/>
      <c r="G292" s="552"/>
      <c r="H292" s="552"/>
      <c r="I292" s="552"/>
      <c r="J292" s="552"/>
      <c r="K292" s="552"/>
      <c r="L292" s="552"/>
      <c r="M292" s="552"/>
      <c r="N292" s="552"/>
      <c r="O292" s="552"/>
      <c r="P292" s="552"/>
      <c r="Q292" s="552"/>
      <c r="R292" s="552"/>
      <c r="S292" s="552"/>
      <c r="T292" s="552"/>
      <c r="U292" s="552"/>
      <c r="V292" s="552"/>
      <c r="W292" s="552"/>
      <c r="X292" s="552"/>
      <c r="Y292" s="552"/>
      <c r="Z292" s="552"/>
    </row>
    <row r="293">
      <c r="A293" s="559"/>
      <c r="B293" s="560"/>
      <c r="C293" s="561"/>
      <c r="D293" s="562"/>
      <c r="E293" s="552"/>
      <c r="F293" s="552"/>
      <c r="G293" s="552"/>
      <c r="H293" s="552"/>
      <c r="I293" s="552"/>
      <c r="J293" s="552"/>
      <c r="K293" s="552"/>
      <c r="L293" s="552"/>
      <c r="M293" s="552"/>
      <c r="N293" s="552"/>
      <c r="O293" s="552"/>
      <c r="P293" s="552"/>
      <c r="Q293" s="552"/>
      <c r="R293" s="552"/>
      <c r="S293" s="552"/>
      <c r="T293" s="552"/>
      <c r="U293" s="552"/>
      <c r="V293" s="552"/>
      <c r="W293" s="552"/>
      <c r="X293" s="552"/>
      <c r="Y293" s="552"/>
      <c r="Z293" s="552"/>
    </row>
    <row r="294">
      <c r="A294" s="559"/>
      <c r="B294" s="560"/>
      <c r="C294" s="561"/>
      <c r="D294" s="562"/>
      <c r="E294" s="552"/>
      <c r="F294" s="552"/>
      <c r="G294" s="552"/>
      <c r="H294" s="552"/>
      <c r="I294" s="552"/>
      <c r="J294" s="552"/>
      <c r="K294" s="552"/>
      <c r="L294" s="552"/>
      <c r="M294" s="552"/>
      <c r="N294" s="552"/>
      <c r="O294" s="552"/>
      <c r="P294" s="552"/>
      <c r="Q294" s="552"/>
      <c r="R294" s="552"/>
      <c r="S294" s="552"/>
      <c r="T294" s="552"/>
      <c r="U294" s="552"/>
      <c r="V294" s="552"/>
      <c r="W294" s="552"/>
      <c r="X294" s="552"/>
      <c r="Y294" s="552"/>
      <c r="Z294" s="552"/>
    </row>
    <row r="295">
      <c r="A295" s="559"/>
      <c r="B295" s="560"/>
      <c r="C295" s="561"/>
      <c r="D295" s="562"/>
      <c r="E295" s="552"/>
      <c r="F295" s="552"/>
      <c r="G295" s="552"/>
      <c r="H295" s="552"/>
      <c r="I295" s="552"/>
      <c r="J295" s="552"/>
      <c r="K295" s="552"/>
      <c r="L295" s="552"/>
      <c r="M295" s="552"/>
      <c r="N295" s="552"/>
      <c r="O295" s="552"/>
      <c r="P295" s="552"/>
      <c r="Q295" s="552"/>
      <c r="R295" s="552"/>
      <c r="S295" s="552"/>
      <c r="T295" s="552"/>
      <c r="U295" s="552"/>
      <c r="V295" s="552"/>
      <c r="W295" s="552"/>
      <c r="X295" s="552"/>
      <c r="Y295" s="552"/>
      <c r="Z295" s="552"/>
    </row>
    <row r="296">
      <c r="A296" s="559"/>
      <c r="B296" s="560"/>
      <c r="C296" s="561"/>
      <c r="D296" s="562"/>
      <c r="E296" s="552"/>
      <c r="F296" s="552"/>
      <c r="G296" s="552"/>
      <c r="H296" s="552"/>
      <c r="I296" s="552"/>
      <c r="J296" s="552"/>
      <c r="K296" s="552"/>
      <c r="L296" s="552"/>
      <c r="M296" s="552"/>
      <c r="N296" s="552"/>
      <c r="O296" s="552"/>
      <c r="P296" s="552"/>
      <c r="Q296" s="552"/>
      <c r="R296" s="552"/>
      <c r="S296" s="552"/>
      <c r="T296" s="552"/>
      <c r="U296" s="552"/>
      <c r="V296" s="552"/>
      <c r="W296" s="552"/>
      <c r="X296" s="552"/>
      <c r="Y296" s="552"/>
      <c r="Z296" s="552"/>
    </row>
    <row r="297">
      <c r="A297" s="559"/>
      <c r="B297" s="560"/>
      <c r="C297" s="561"/>
      <c r="D297" s="562"/>
      <c r="E297" s="552"/>
      <c r="F297" s="552"/>
      <c r="G297" s="552"/>
      <c r="H297" s="552"/>
      <c r="I297" s="552"/>
      <c r="J297" s="552"/>
      <c r="K297" s="552"/>
      <c r="L297" s="552"/>
      <c r="M297" s="552"/>
      <c r="N297" s="552"/>
      <c r="O297" s="552"/>
      <c r="P297" s="552"/>
      <c r="Q297" s="552"/>
      <c r="R297" s="552"/>
      <c r="S297" s="552"/>
      <c r="T297" s="552"/>
      <c r="U297" s="552"/>
      <c r="V297" s="552"/>
      <c r="W297" s="552"/>
      <c r="X297" s="552"/>
      <c r="Y297" s="552"/>
      <c r="Z297" s="552"/>
    </row>
    <row r="298">
      <c r="A298" s="559"/>
      <c r="B298" s="560"/>
      <c r="C298" s="561"/>
      <c r="D298" s="562"/>
      <c r="E298" s="552"/>
      <c r="F298" s="552"/>
      <c r="G298" s="552"/>
      <c r="H298" s="552"/>
      <c r="I298" s="552"/>
      <c r="J298" s="552"/>
      <c r="K298" s="552"/>
      <c r="L298" s="552"/>
      <c r="M298" s="552"/>
      <c r="N298" s="552"/>
      <c r="O298" s="552"/>
      <c r="P298" s="552"/>
      <c r="Q298" s="552"/>
      <c r="R298" s="552"/>
      <c r="S298" s="552"/>
      <c r="T298" s="552"/>
      <c r="U298" s="552"/>
      <c r="V298" s="552"/>
      <c r="W298" s="552"/>
      <c r="X298" s="552"/>
      <c r="Y298" s="552"/>
      <c r="Z298" s="552"/>
    </row>
    <row r="299">
      <c r="A299" s="559"/>
      <c r="B299" s="560"/>
      <c r="C299" s="561"/>
      <c r="D299" s="562"/>
      <c r="E299" s="552"/>
      <c r="F299" s="552"/>
      <c r="G299" s="552"/>
      <c r="H299" s="552"/>
      <c r="I299" s="552"/>
      <c r="J299" s="552"/>
      <c r="K299" s="552"/>
      <c r="L299" s="552"/>
      <c r="M299" s="552"/>
      <c r="N299" s="552"/>
      <c r="O299" s="552"/>
      <c r="P299" s="552"/>
      <c r="Q299" s="552"/>
      <c r="R299" s="552"/>
      <c r="S299" s="552"/>
      <c r="T299" s="552"/>
      <c r="U299" s="552"/>
      <c r="V299" s="552"/>
      <c r="W299" s="552"/>
      <c r="X299" s="552"/>
      <c r="Y299" s="552"/>
      <c r="Z299" s="552"/>
    </row>
    <row r="300">
      <c r="A300" s="559"/>
      <c r="B300" s="560"/>
      <c r="C300" s="561"/>
      <c r="D300" s="562"/>
      <c r="E300" s="552"/>
      <c r="F300" s="552"/>
      <c r="G300" s="552"/>
      <c r="H300" s="552"/>
      <c r="I300" s="552"/>
      <c r="J300" s="552"/>
      <c r="K300" s="552"/>
      <c r="L300" s="552"/>
      <c r="M300" s="552"/>
      <c r="N300" s="552"/>
      <c r="O300" s="552"/>
      <c r="P300" s="552"/>
      <c r="Q300" s="552"/>
      <c r="R300" s="552"/>
      <c r="S300" s="552"/>
      <c r="T300" s="552"/>
      <c r="U300" s="552"/>
      <c r="V300" s="552"/>
      <c r="W300" s="552"/>
      <c r="X300" s="552"/>
      <c r="Y300" s="552"/>
      <c r="Z300" s="552"/>
    </row>
    <row r="301">
      <c r="A301" s="559"/>
      <c r="B301" s="560"/>
      <c r="C301" s="561"/>
      <c r="D301" s="562"/>
      <c r="E301" s="552"/>
      <c r="F301" s="552"/>
      <c r="G301" s="552"/>
      <c r="H301" s="552"/>
      <c r="I301" s="552"/>
      <c r="J301" s="552"/>
      <c r="K301" s="552"/>
      <c r="L301" s="552"/>
      <c r="M301" s="552"/>
      <c r="N301" s="552"/>
      <c r="O301" s="552"/>
      <c r="P301" s="552"/>
      <c r="Q301" s="552"/>
      <c r="R301" s="552"/>
      <c r="S301" s="552"/>
      <c r="T301" s="552"/>
      <c r="U301" s="552"/>
      <c r="V301" s="552"/>
      <c r="W301" s="552"/>
      <c r="X301" s="552"/>
      <c r="Y301" s="552"/>
      <c r="Z301" s="552"/>
    </row>
    <row r="302">
      <c r="A302" s="559"/>
      <c r="B302" s="560"/>
      <c r="C302" s="561"/>
      <c r="D302" s="562"/>
      <c r="E302" s="552"/>
      <c r="F302" s="552"/>
      <c r="G302" s="552"/>
      <c r="H302" s="552"/>
      <c r="I302" s="552"/>
      <c r="J302" s="552"/>
      <c r="K302" s="552"/>
      <c r="L302" s="552"/>
      <c r="M302" s="552"/>
      <c r="N302" s="552"/>
      <c r="O302" s="552"/>
      <c r="P302" s="552"/>
      <c r="Q302" s="552"/>
      <c r="R302" s="552"/>
      <c r="S302" s="552"/>
      <c r="T302" s="552"/>
      <c r="U302" s="552"/>
      <c r="V302" s="552"/>
      <c r="W302" s="552"/>
      <c r="X302" s="552"/>
      <c r="Y302" s="552"/>
      <c r="Z302" s="552"/>
    </row>
    <row r="303">
      <c r="A303" s="559"/>
      <c r="B303" s="560"/>
      <c r="C303" s="561"/>
      <c r="D303" s="562"/>
      <c r="E303" s="552"/>
      <c r="F303" s="552"/>
      <c r="G303" s="552"/>
      <c r="H303" s="552"/>
      <c r="I303" s="552"/>
      <c r="J303" s="552"/>
      <c r="K303" s="552"/>
      <c r="L303" s="552"/>
      <c r="M303" s="552"/>
      <c r="N303" s="552"/>
      <c r="O303" s="552"/>
      <c r="P303" s="552"/>
      <c r="Q303" s="552"/>
      <c r="R303" s="552"/>
      <c r="S303" s="552"/>
      <c r="T303" s="552"/>
      <c r="U303" s="552"/>
      <c r="V303" s="552"/>
      <c r="W303" s="552"/>
      <c r="X303" s="552"/>
      <c r="Y303" s="552"/>
      <c r="Z303" s="552"/>
    </row>
    <row r="304">
      <c r="A304" s="559"/>
      <c r="B304" s="560"/>
      <c r="C304" s="561"/>
      <c r="D304" s="562"/>
      <c r="E304" s="552"/>
      <c r="F304" s="552"/>
      <c r="G304" s="552"/>
      <c r="H304" s="552"/>
      <c r="I304" s="552"/>
      <c r="J304" s="552"/>
      <c r="K304" s="552"/>
      <c r="L304" s="552"/>
      <c r="M304" s="552"/>
      <c r="N304" s="552"/>
      <c r="O304" s="552"/>
      <c r="P304" s="552"/>
      <c r="Q304" s="552"/>
      <c r="R304" s="552"/>
      <c r="S304" s="552"/>
      <c r="T304" s="552"/>
      <c r="U304" s="552"/>
      <c r="V304" s="552"/>
      <c r="W304" s="552"/>
      <c r="X304" s="552"/>
      <c r="Y304" s="552"/>
      <c r="Z304" s="552"/>
    </row>
    <row r="305">
      <c r="A305" s="559"/>
      <c r="B305" s="560"/>
      <c r="C305" s="561"/>
      <c r="D305" s="562"/>
      <c r="E305" s="552"/>
      <c r="F305" s="552"/>
      <c r="G305" s="552"/>
      <c r="H305" s="552"/>
      <c r="I305" s="552"/>
      <c r="J305" s="552"/>
      <c r="K305" s="552"/>
      <c r="L305" s="552"/>
      <c r="M305" s="552"/>
      <c r="N305" s="552"/>
      <c r="O305" s="552"/>
      <c r="P305" s="552"/>
      <c r="Q305" s="552"/>
      <c r="R305" s="552"/>
      <c r="S305" s="552"/>
      <c r="T305" s="552"/>
      <c r="U305" s="552"/>
      <c r="V305" s="552"/>
      <c r="W305" s="552"/>
      <c r="X305" s="552"/>
      <c r="Y305" s="552"/>
      <c r="Z305" s="552"/>
    </row>
    <row r="306">
      <c r="A306" s="559"/>
      <c r="B306" s="560"/>
      <c r="C306" s="561"/>
      <c r="D306" s="562"/>
      <c r="E306" s="552"/>
      <c r="F306" s="552"/>
      <c r="G306" s="552"/>
      <c r="H306" s="552"/>
      <c r="I306" s="552"/>
      <c r="J306" s="552"/>
      <c r="K306" s="552"/>
      <c r="L306" s="552"/>
      <c r="M306" s="552"/>
      <c r="N306" s="552"/>
      <c r="O306" s="552"/>
      <c r="P306" s="552"/>
      <c r="Q306" s="552"/>
      <c r="R306" s="552"/>
      <c r="S306" s="552"/>
      <c r="T306" s="552"/>
      <c r="U306" s="552"/>
      <c r="V306" s="552"/>
      <c r="W306" s="552"/>
      <c r="X306" s="552"/>
      <c r="Y306" s="552"/>
      <c r="Z306" s="552"/>
    </row>
    <row r="307">
      <c r="A307" s="559"/>
      <c r="B307" s="560"/>
      <c r="C307" s="561"/>
      <c r="D307" s="562"/>
      <c r="E307" s="552"/>
      <c r="F307" s="552"/>
      <c r="G307" s="552"/>
      <c r="H307" s="552"/>
      <c r="I307" s="552"/>
      <c r="J307" s="552"/>
      <c r="K307" s="552"/>
      <c r="L307" s="552"/>
      <c r="M307" s="552"/>
      <c r="N307" s="552"/>
      <c r="O307" s="552"/>
      <c r="P307" s="552"/>
      <c r="Q307" s="552"/>
      <c r="R307" s="552"/>
      <c r="S307" s="552"/>
      <c r="T307" s="552"/>
      <c r="U307" s="552"/>
      <c r="V307" s="552"/>
      <c r="W307" s="552"/>
      <c r="X307" s="552"/>
      <c r="Y307" s="552"/>
      <c r="Z307" s="552"/>
    </row>
    <row r="308">
      <c r="A308" s="559"/>
      <c r="B308" s="560"/>
      <c r="C308" s="561"/>
      <c r="D308" s="562"/>
      <c r="E308" s="552"/>
      <c r="F308" s="552"/>
      <c r="G308" s="552"/>
      <c r="H308" s="552"/>
      <c r="I308" s="552"/>
      <c r="J308" s="552"/>
      <c r="K308" s="552"/>
      <c r="L308" s="552"/>
      <c r="M308" s="552"/>
      <c r="N308" s="552"/>
      <c r="O308" s="552"/>
      <c r="P308" s="552"/>
      <c r="Q308" s="552"/>
      <c r="R308" s="552"/>
      <c r="S308" s="552"/>
      <c r="T308" s="552"/>
      <c r="U308" s="552"/>
      <c r="V308" s="552"/>
      <c r="W308" s="552"/>
      <c r="X308" s="552"/>
      <c r="Y308" s="552"/>
      <c r="Z308" s="552"/>
    </row>
    <row r="309">
      <c r="A309" s="559"/>
      <c r="B309" s="560"/>
      <c r="C309" s="561"/>
      <c r="D309" s="562"/>
      <c r="E309" s="552"/>
      <c r="F309" s="552"/>
      <c r="G309" s="552"/>
      <c r="H309" s="552"/>
      <c r="I309" s="552"/>
      <c r="J309" s="552"/>
      <c r="K309" s="552"/>
      <c r="L309" s="552"/>
      <c r="M309" s="552"/>
      <c r="N309" s="552"/>
      <c r="O309" s="552"/>
      <c r="P309" s="552"/>
      <c r="Q309" s="552"/>
      <c r="R309" s="552"/>
      <c r="S309" s="552"/>
      <c r="T309" s="552"/>
      <c r="U309" s="552"/>
      <c r="V309" s="552"/>
      <c r="W309" s="552"/>
      <c r="X309" s="552"/>
      <c r="Y309" s="552"/>
      <c r="Z309" s="552"/>
    </row>
    <row r="310">
      <c r="A310" s="559"/>
      <c r="B310" s="560"/>
      <c r="C310" s="561"/>
      <c r="D310" s="562"/>
      <c r="E310" s="552"/>
      <c r="F310" s="552"/>
      <c r="G310" s="552"/>
      <c r="H310" s="552"/>
      <c r="I310" s="552"/>
      <c r="J310" s="552"/>
      <c r="K310" s="552"/>
      <c r="L310" s="552"/>
      <c r="M310" s="552"/>
      <c r="N310" s="552"/>
      <c r="O310" s="552"/>
      <c r="P310" s="552"/>
      <c r="Q310" s="552"/>
      <c r="R310" s="552"/>
      <c r="S310" s="552"/>
      <c r="T310" s="552"/>
      <c r="U310" s="552"/>
      <c r="V310" s="552"/>
      <c r="W310" s="552"/>
      <c r="X310" s="552"/>
      <c r="Y310" s="552"/>
      <c r="Z310" s="552"/>
    </row>
    <row r="311">
      <c r="A311" s="559"/>
      <c r="B311" s="560"/>
      <c r="C311" s="561"/>
      <c r="D311" s="562"/>
      <c r="E311" s="552"/>
      <c r="F311" s="552"/>
      <c r="G311" s="552"/>
      <c r="H311" s="552"/>
      <c r="I311" s="552"/>
      <c r="J311" s="552"/>
      <c r="K311" s="552"/>
      <c r="L311" s="552"/>
      <c r="M311" s="552"/>
      <c r="N311" s="552"/>
      <c r="O311" s="552"/>
      <c r="P311" s="552"/>
      <c r="Q311" s="552"/>
      <c r="R311" s="552"/>
      <c r="S311" s="552"/>
      <c r="T311" s="552"/>
      <c r="U311" s="552"/>
      <c r="V311" s="552"/>
      <c r="W311" s="552"/>
      <c r="X311" s="552"/>
      <c r="Y311" s="552"/>
      <c r="Z311" s="552"/>
    </row>
    <row r="312">
      <c r="A312" s="559"/>
      <c r="B312" s="560"/>
      <c r="C312" s="561"/>
      <c r="D312" s="562"/>
      <c r="E312" s="552"/>
      <c r="F312" s="552"/>
      <c r="G312" s="552"/>
      <c r="H312" s="552"/>
      <c r="I312" s="552"/>
      <c r="J312" s="552"/>
      <c r="K312" s="552"/>
      <c r="L312" s="552"/>
      <c r="M312" s="552"/>
      <c r="N312" s="552"/>
      <c r="O312" s="552"/>
      <c r="P312" s="552"/>
      <c r="Q312" s="552"/>
      <c r="R312" s="552"/>
      <c r="S312" s="552"/>
      <c r="T312" s="552"/>
      <c r="U312" s="552"/>
      <c r="V312" s="552"/>
      <c r="W312" s="552"/>
      <c r="X312" s="552"/>
      <c r="Y312" s="552"/>
      <c r="Z312" s="552"/>
    </row>
    <row r="313">
      <c r="A313" s="559"/>
      <c r="B313" s="560"/>
      <c r="C313" s="561"/>
      <c r="D313" s="562"/>
      <c r="E313" s="552"/>
      <c r="F313" s="552"/>
      <c r="G313" s="552"/>
      <c r="H313" s="552"/>
      <c r="I313" s="552"/>
      <c r="J313" s="552"/>
      <c r="K313" s="552"/>
      <c r="L313" s="552"/>
      <c r="M313" s="552"/>
      <c r="N313" s="552"/>
      <c r="O313" s="552"/>
      <c r="P313" s="552"/>
      <c r="Q313" s="552"/>
      <c r="R313" s="552"/>
      <c r="S313" s="552"/>
      <c r="T313" s="552"/>
      <c r="U313" s="552"/>
      <c r="V313" s="552"/>
      <c r="W313" s="552"/>
      <c r="X313" s="552"/>
      <c r="Y313" s="552"/>
      <c r="Z313" s="552"/>
    </row>
    <row r="314">
      <c r="A314" s="559"/>
      <c r="B314" s="560"/>
      <c r="C314" s="561"/>
      <c r="D314" s="562"/>
      <c r="E314" s="552"/>
      <c r="F314" s="552"/>
      <c r="G314" s="552"/>
      <c r="H314" s="552"/>
      <c r="I314" s="552"/>
      <c r="J314" s="552"/>
      <c r="K314" s="552"/>
      <c r="L314" s="552"/>
      <c r="M314" s="552"/>
      <c r="N314" s="552"/>
      <c r="O314" s="552"/>
      <c r="P314" s="552"/>
      <c r="Q314" s="552"/>
      <c r="R314" s="552"/>
      <c r="S314" s="552"/>
      <c r="T314" s="552"/>
      <c r="U314" s="552"/>
      <c r="V314" s="552"/>
      <c r="W314" s="552"/>
      <c r="X314" s="552"/>
      <c r="Y314" s="552"/>
      <c r="Z314" s="552"/>
    </row>
    <row r="315">
      <c r="A315" s="559"/>
      <c r="B315" s="560"/>
      <c r="C315" s="561"/>
      <c r="D315" s="562"/>
      <c r="E315" s="552"/>
      <c r="F315" s="552"/>
      <c r="G315" s="552"/>
      <c r="H315" s="552"/>
      <c r="I315" s="552"/>
      <c r="J315" s="552"/>
      <c r="K315" s="552"/>
      <c r="L315" s="552"/>
      <c r="M315" s="552"/>
      <c r="N315" s="552"/>
      <c r="O315" s="552"/>
      <c r="P315" s="552"/>
      <c r="Q315" s="552"/>
      <c r="R315" s="552"/>
      <c r="S315" s="552"/>
      <c r="T315" s="552"/>
      <c r="U315" s="552"/>
      <c r="V315" s="552"/>
      <c r="W315" s="552"/>
      <c r="X315" s="552"/>
      <c r="Y315" s="552"/>
      <c r="Z315" s="552"/>
    </row>
    <row r="316">
      <c r="A316" s="559"/>
      <c r="B316" s="560"/>
      <c r="C316" s="561"/>
      <c r="D316" s="562"/>
      <c r="E316" s="552"/>
      <c r="F316" s="552"/>
      <c r="G316" s="552"/>
      <c r="H316" s="552"/>
      <c r="I316" s="552"/>
      <c r="J316" s="552"/>
      <c r="K316" s="552"/>
      <c r="L316" s="552"/>
      <c r="M316" s="552"/>
      <c r="N316" s="552"/>
      <c r="O316" s="552"/>
      <c r="P316" s="552"/>
      <c r="Q316" s="552"/>
      <c r="R316" s="552"/>
      <c r="S316" s="552"/>
      <c r="T316" s="552"/>
      <c r="U316" s="552"/>
      <c r="V316" s="552"/>
      <c r="W316" s="552"/>
      <c r="X316" s="552"/>
      <c r="Y316" s="552"/>
      <c r="Z316" s="552"/>
    </row>
    <row r="317">
      <c r="A317" s="559"/>
      <c r="B317" s="560"/>
      <c r="C317" s="561"/>
      <c r="D317" s="562"/>
      <c r="E317" s="552"/>
      <c r="F317" s="552"/>
      <c r="G317" s="552"/>
      <c r="H317" s="552"/>
      <c r="I317" s="552"/>
      <c r="J317" s="552"/>
      <c r="K317" s="552"/>
      <c r="L317" s="552"/>
      <c r="M317" s="552"/>
      <c r="N317" s="552"/>
      <c r="O317" s="552"/>
      <c r="P317" s="552"/>
      <c r="Q317" s="552"/>
      <c r="R317" s="552"/>
      <c r="S317" s="552"/>
      <c r="T317" s="552"/>
      <c r="U317" s="552"/>
      <c r="V317" s="552"/>
      <c r="W317" s="552"/>
      <c r="X317" s="552"/>
      <c r="Y317" s="552"/>
      <c r="Z317" s="552"/>
    </row>
    <row r="318">
      <c r="A318" s="559"/>
      <c r="B318" s="560"/>
      <c r="C318" s="561"/>
      <c r="D318" s="562"/>
      <c r="E318" s="552"/>
      <c r="F318" s="552"/>
      <c r="G318" s="552"/>
      <c r="H318" s="552"/>
      <c r="I318" s="552"/>
      <c r="J318" s="552"/>
      <c r="K318" s="552"/>
      <c r="L318" s="552"/>
      <c r="M318" s="552"/>
      <c r="N318" s="552"/>
      <c r="O318" s="552"/>
      <c r="P318" s="552"/>
      <c r="Q318" s="552"/>
      <c r="R318" s="552"/>
      <c r="S318" s="552"/>
      <c r="T318" s="552"/>
      <c r="U318" s="552"/>
      <c r="V318" s="552"/>
      <c r="W318" s="552"/>
      <c r="X318" s="552"/>
      <c r="Y318" s="552"/>
      <c r="Z318" s="552"/>
    </row>
    <row r="319">
      <c r="A319" s="559"/>
      <c r="B319" s="560"/>
      <c r="C319" s="561"/>
      <c r="D319" s="562"/>
      <c r="E319" s="552"/>
      <c r="F319" s="552"/>
      <c r="G319" s="552"/>
      <c r="H319" s="552"/>
      <c r="I319" s="552"/>
      <c r="J319" s="552"/>
      <c r="K319" s="552"/>
      <c r="L319" s="552"/>
      <c r="M319" s="552"/>
      <c r="N319" s="552"/>
      <c r="O319" s="552"/>
      <c r="P319" s="552"/>
      <c r="Q319" s="552"/>
      <c r="R319" s="552"/>
      <c r="S319" s="552"/>
      <c r="T319" s="552"/>
      <c r="U319" s="552"/>
      <c r="V319" s="552"/>
      <c r="W319" s="552"/>
      <c r="X319" s="552"/>
      <c r="Y319" s="552"/>
      <c r="Z319" s="552"/>
    </row>
    <row r="320">
      <c r="A320" s="559"/>
      <c r="B320" s="560"/>
      <c r="C320" s="561"/>
      <c r="D320" s="562"/>
      <c r="E320" s="552"/>
      <c r="F320" s="552"/>
      <c r="G320" s="552"/>
      <c r="H320" s="552"/>
      <c r="I320" s="552"/>
      <c r="J320" s="552"/>
      <c r="K320" s="552"/>
      <c r="L320" s="552"/>
      <c r="M320" s="552"/>
      <c r="N320" s="552"/>
      <c r="O320" s="552"/>
      <c r="P320" s="552"/>
      <c r="Q320" s="552"/>
      <c r="R320" s="552"/>
      <c r="S320" s="552"/>
      <c r="T320" s="552"/>
      <c r="U320" s="552"/>
      <c r="V320" s="552"/>
      <c r="W320" s="552"/>
      <c r="X320" s="552"/>
      <c r="Y320" s="552"/>
      <c r="Z320" s="552"/>
    </row>
    <row r="321">
      <c r="A321" s="559"/>
      <c r="B321" s="560"/>
      <c r="C321" s="561"/>
      <c r="D321" s="562"/>
      <c r="E321" s="552"/>
      <c r="F321" s="552"/>
      <c r="G321" s="552"/>
      <c r="H321" s="552"/>
      <c r="I321" s="552"/>
      <c r="J321" s="552"/>
      <c r="K321" s="552"/>
      <c r="L321" s="552"/>
      <c r="M321" s="552"/>
      <c r="N321" s="552"/>
      <c r="O321" s="552"/>
      <c r="P321" s="552"/>
      <c r="Q321" s="552"/>
      <c r="R321" s="552"/>
      <c r="S321" s="552"/>
      <c r="T321" s="552"/>
      <c r="U321" s="552"/>
      <c r="V321" s="552"/>
      <c r="W321" s="552"/>
      <c r="X321" s="552"/>
      <c r="Y321" s="552"/>
      <c r="Z321" s="552"/>
    </row>
    <row r="322">
      <c r="A322" s="559"/>
      <c r="B322" s="560"/>
      <c r="C322" s="561"/>
      <c r="D322" s="562"/>
      <c r="E322" s="552"/>
      <c r="F322" s="552"/>
      <c r="G322" s="552"/>
      <c r="H322" s="552"/>
      <c r="I322" s="552"/>
      <c r="J322" s="552"/>
      <c r="K322" s="552"/>
      <c r="L322" s="552"/>
      <c r="M322" s="552"/>
      <c r="N322" s="552"/>
      <c r="O322" s="552"/>
      <c r="P322" s="552"/>
      <c r="Q322" s="552"/>
      <c r="R322" s="552"/>
      <c r="S322" s="552"/>
      <c r="T322" s="552"/>
      <c r="U322" s="552"/>
      <c r="V322" s="552"/>
      <c r="W322" s="552"/>
      <c r="X322" s="552"/>
      <c r="Y322" s="552"/>
      <c r="Z322" s="552"/>
    </row>
    <row r="323">
      <c r="A323" s="559"/>
      <c r="B323" s="560"/>
      <c r="C323" s="561"/>
      <c r="D323" s="562"/>
      <c r="E323" s="552"/>
      <c r="F323" s="552"/>
      <c r="G323" s="552"/>
      <c r="H323" s="552"/>
      <c r="I323" s="552"/>
      <c r="J323" s="552"/>
      <c r="K323" s="552"/>
      <c r="L323" s="552"/>
      <c r="M323" s="552"/>
      <c r="N323" s="552"/>
      <c r="O323" s="552"/>
      <c r="P323" s="552"/>
      <c r="Q323" s="552"/>
      <c r="R323" s="552"/>
      <c r="S323" s="552"/>
      <c r="T323" s="552"/>
      <c r="U323" s="552"/>
      <c r="V323" s="552"/>
      <c r="W323" s="552"/>
      <c r="X323" s="552"/>
      <c r="Y323" s="552"/>
      <c r="Z323" s="552"/>
    </row>
    <row r="324">
      <c r="A324" s="559"/>
      <c r="B324" s="560"/>
      <c r="C324" s="561"/>
      <c r="D324" s="562"/>
      <c r="E324" s="552"/>
      <c r="F324" s="552"/>
      <c r="G324" s="552"/>
      <c r="H324" s="552"/>
      <c r="I324" s="552"/>
      <c r="J324" s="552"/>
      <c r="K324" s="552"/>
      <c r="L324" s="552"/>
      <c r="M324" s="552"/>
      <c r="N324" s="552"/>
      <c r="O324" s="552"/>
      <c r="P324" s="552"/>
      <c r="Q324" s="552"/>
      <c r="R324" s="552"/>
      <c r="S324" s="552"/>
      <c r="T324" s="552"/>
      <c r="U324" s="552"/>
      <c r="V324" s="552"/>
      <c r="W324" s="552"/>
      <c r="X324" s="552"/>
      <c r="Y324" s="552"/>
      <c r="Z324" s="552"/>
    </row>
    <row r="325">
      <c r="A325" s="559"/>
      <c r="B325" s="560"/>
      <c r="C325" s="561"/>
      <c r="D325" s="562"/>
      <c r="E325" s="552"/>
      <c r="F325" s="552"/>
      <c r="G325" s="552"/>
      <c r="H325" s="552"/>
      <c r="I325" s="552"/>
      <c r="J325" s="552"/>
      <c r="K325" s="552"/>
      <c r="L325" s="552"/>
      <c r="M325" s="552"/>
      <c r="N325" s="552"/>
      <c r="O325" s="552"/>
      <c r="P325" s="552"/>
      <c r="Q325" s="552"/>
      <c r="R325" s="552"/>
      <c r="S325" s="552"/>
      <c r="T325" s="552"/>
      <c r="U325" s="552"/>
      <c r="V325" s="552"/>
      <c r="W325" s="552"/>
      <c r="X325" s="552"/>
      <c r="Y325" s="552"/>
      <c r="Z325" s="552"/>
    </row>
    <row r="326">
      <c r="A326" s="559"/>
      <c r="B326" s="560"/>
      <c r="C326" s="561"/>
      <c r="D326" s="562"/>
      <c r="E326" s="552"/>
      <c r="F326" s="552"/>
      <c r="G326" s="552"/>
      <c r="H326" s="552"/>
      <c r="I326" s="552"/>
      <c r="J326" s="552"/>
      <c r="K326" s="552"/>
      <c r="L326" s="552"/>
      <c r="M326" s="552"/>
      <c r="N326" s="552"/>
      <c r="O326" s="552"/>
      <c r="P326" s="552"/>
      <c r="Q326" s="552"/>
      <c r="R326" s="552"/>
      <c r="S326" s="552"/>
      <c r="T326" s="552"/>
      <c r="U326" s="552"/>
      <c r="V326" s="552"/>
      <c r="W326" s="552"/>
      <c r="X326" s="552"/>
      <c r="Y326" s="552"/>
      <c r="Z326" s="552"/>
    </row>
    <row r="327">
      <c r="A327" s="559"/>
      <c r="B327" s="560"/>
      <c r="C327" s="561"/>
      <c r="D327" s="562"/>
      <c r="E327" s="552"/>
      <c r="F327" s="552"/>
      <c r="G327" s="552"/>
      <c r="H327" s="552"/>
      <c r="I327" s="552"/>
      <c r="J327" s="552"/>
      <c r="K327" s="552"/>
      <c r="L327" s="552"/>
      <c r="M327" s="552"/>
      <c r="N327" s="552"/>
      <c r="O327" s="552"/>
      <c r="P327" s="552"/>
      <c r="Q327" s="552"/>
      <c r="R327" s="552"/>
      <c r="S327" s="552"/>
      <c r="T327" s="552"/>
      <c r="U327" s="552"/>
      <c r="V327" s="552"/>
      <c r="W327" s="552"/>
      <c r="X327" s="552"/>
      <c r="Y327" s="552"/>
      <c r="Z327" s="552"/>
    </row>
    <row r="328">
      <c r="A328" s="559"/>
      <c r="B328" s="560"/>
      <c r="C328" s="561"/>
      <c r="D328" s="562"/>
      <c r="E328" s="552"/>
      <c r="F328" s="552"/>
      <c r="G328" s="552"/>
      <c r="H328" s="552"/>
      <c r="I328" s="552"/>
      <c r="J328" s="552"/>
      <c r="K328" s="552"/>
      <c r="L328" s="552"/>
      <c r="M328" s="552"/>
      <c r="N328" s="552"/>
      <c r="O328" s="552"/>
      <c r="P328" s="552"/>
      <c r="Q328" s="552"/>
      <c r="R328" s="552"/>
      <c r="S328" s="552"/>
      <c r="T328" s="552"/>
      <c r="U328" s="552"/>
      <c r="V328" s="552"/>
      <c r="W328" s="552"/>
      <c r="X328" s="552"/>
      <c r="Y328" s="552"/>
      <c r="Z328" s="552"/>
    </row>
    <row r="329">
      <c r="A329" s="559"/>
      <c r="B329" s="560"/>
      <c r="C329" s="561"/>
      <c r="D329" s="562"/>
      <c r="E329" s="552"/>
      <c r="F329" s="552"/>
      <c r="G329" s="552"/>
      <c r="H329" s="552"/>
      <c r="I329" s="552"/>
      <c r="J329" s="552"/>
      <c r="K329" s="552"/>
      <c r="L329" s="552"/>
      <c r="M329" s="552"/>
      <c r="N329" s="552"/>
      <c r="O329" s="552"/>
      <c r="P329" s="552"/>
      <c r="Q329" s="552"/>
      <c r="R329" s="552"/>
      <c r="S329" s="552"/>
      <c r="T329" s="552"/>
      <c r="U329" s="552"/>
      <c r="V329" s="552"/>
      <c r="W329" s="552"/>
      <c r="X329" s="552"/>
      <c r="Y329" s="552"/>
      <c r="Z329" s="552"/>
    </row>
    <row r="330">
      <c r="A330" s="559"/>
      <c r="B330" s="560"/>
      <c r="C330" s="561"/>
      <c r="D330" s="562"/>
      <c r="E330" s="552"/>
      <c r="F330" s="552"/>
      <c r="G330" s="552"/>
      <c r="H330" s="552"/>
      <c r="I330" s="552"/>
      <c r="J330" s="552"/>
      <c r="K330" s="552"/>
      <c r="L330" s="552"/>
      <c r="M330" s="552"/>
      <c r="N330" s="552"/>
      <c r="O330" s="552"/>
      <c r="P330" s="552"/>
      <c r="Q330" s="552"/>
      <c r="R330" s="552"/>
      <c r="S330" s="552"/>
      <c r="T330" s="552"/>
      <c r="U330" s="552"/>
      <c r="V330" s="552"/>
      <c r="W330" s="552"/>
      <c r="X330" s="552"/>
      <c r="Y330" s="552"/>
      <c r="Z330" s="552"/>
    </row>
    <row r="331">
      <c r="A331" s="559"/>
      <c r="B331" s="560"/>
      <c r="C331" s="561"/>
      <c r="D331" s="562"/>
      <c r="E331" s="552"/>
      <c r="F331" s="552"/>
      <c r="G331" s="552"/>
      <c r="H331" s="552"/>
      <c r="I331" s="552"/>
      <c r="J331" s="552"/>
      <c r="K331" s="552"/>
      <c r="L331" s="552"/>
      <c r="M331" s="552"/>
      <c r="N331" s="552"/>
      <c r="O331" s="552"/>
      <c r="P331" s="552"/>
      <c r="Q331" s="552"/>
      <c r="R331" s="552"/>
      <c r="S331" s="552"/>
      <c r="T331" s="552"/>
      <c r="U331" s="552"/>
      <c r="V331" s="552"/>
      <c r="W331" s="552"/>
      <c r="X331" s="552"/>
      <c r="Y331" s="552"/>
      <c r="Z331" s="552"/>
    </row>
    <row r="332">
      <c r="A332" s="559"/>
      <c r="B332" s="560"/>
      <c r="C332" s="561"/>
      <c r="D332" s="562"/>
      <c r="E332" s="552"/>
      <c r="F332" s="552"/>
      <c r="G332" s="552"/>
      <c r="H332" s="552"/>
      <c r="I332" s="552"/>
      <c r="J332" s="552"/>
      <c r="K332" s="552"/>
      <c r="L332" s="552"/>
      <c r="M332" s="552"/>
      <c r="N332" s="552"/>
      <c r="O332" s="552"/>
      <c r="P332" s="552"/>
      <c r="Q332" s="552"/>
      <c r="R332" s="552"/>
      <c r="S332" s="552"/>
      <c r="T332" s="552"/>
      <c r="U332" s="552"/>
      <c r="V332" s="552"/>
      <c r="W332" s="552"/>
      <c r="X332" s="552"/>
      <c r="Y332" s="552"/>
      <c r="Z332" s="552"/>
    </row>
    <row r="333">
      <c r="A333" s="559"/>
      <c r="B333" s="560"/>
      <c r="C333" s="561"/>
      <c r="D333" s="562"/>
      <c r="E333" s="552"/>
      <c r="F333" s="552"/>
      <c r="G333" s="552"/>
      <c r="H333" s="552"/>
      <c r="I333" s="552"/>
      <c r="J333" s="552"/>
      <c r="K333" s="552"/>
      <c r="L333" s="552"/>
      <c r="M333" s="552"/>
      <c r="N333" s="552"/>
      <c r="O333" s="552"/>
      <c r="P333" s="552"/>
      <c r="Q333" s="552"/>
      <c r="R333" s="552"/>
      <c r="S333" s="552"/>
      <c r="T333" s="552"/>
      <c r="U333" s="552"/>
      <c r="V333" s="552"/>
      <c r="W333" s="552"/>
      <c r="X333" s="552"/>
      <c r="Y333" s="552"/>
      <c r="Z333" s="552"/>
    </row>
    <row r="334">
      <c r="A334" s="559"/>
      <c r="B334" s="560"/>
      <c r="C334" s="561"/>
      <c r="D334" s="562"/>
      <c r="E334" s="552"/>
      <c r="F334" s="552"/>
      <c r="G334" s="552"/>
      <c r="H334" s="552"/>
      <c r="I334" s="552"/>
      <c r="J334" s="552"/>
      <c r="K334" s="552"/>
      <c r="L334" s="552"/>
      <c r="M334" s="552"/>
      <c r="N334" s="552"/>
      <c r="O334" s="552"/>
      <c r="P334" s="552"/>
      <c r="Q334" s="552"/>
      <c r="R334" s="552"/>
      <c r="S334" s="552"/>
      <c r="T334" s="552"/>
      <c r="U334" s="552"/>
      <c r="V334" s="552"/>
      <c r="W334" s="552"/>
      <c r="X334" s="552"/>
      <c r="Y334" s="552"/>
      <c r="Z334" s="552"/>
    </row>
    <row r="335">
      <c r="A335" s="559"/>
      <c r="B335" s="560"/>
      <c r="C335" s="561"/>
      <c r="D335" s="562"/>
      <c r="E335" s="552"/>
      <c r="F335" s="552"/>
      <c r="G335" s="552"/>
      <c r="H335" s="552"/>
      <c r="I335" s="552"/>
      <c r="J335" s="552"/>
      <c r="K335" s="552"/>
      <c r="L335" s="552"/>
      <c r="M335" s="552"/>
      <c r="N335" s="552"/>
      <c r="O335" s="552"/>
      <c r="P335" s="552"/>
      <c r="Q335" s="552"/>
      <c r="R335" s="552"/>
      <c r="S335" s="552"/>
      <c r="T335" s="552"/>
      <c r="U335" s="552"/>
      <c r="V335" s="552"/>
      <c r="W335" s="552"/>
      <c r="X335" s="552"/>
      <c r="Y335" s="552"/>
      <c r="Z335" s="552"/>
    </row>
    <row r="336">
      <c r="A336" s="559"/>
      <c r="B336" s="560"/>
      <c r="C336" s="561"/>
      <c r="D336" s="562"/>
      <c r="E336" s="552"/>
      <c r="F336" s="552"/>
      <c r="G336" s="552"/>
      <c r="H336" s="552"/>
      <c r="I336" s="552"/>
      <c r="J336" s="552"/>
      <c r="K336" s="552"/>
      <c r="L336" s="552"/>
      <c r="M336" s="552"/>
      <c r="N336" s="552"/>
      <c r="O336" s="552"/>
      <c r="P336" s="552"/>
      <c r="Q336" s="552"/>
      <c r="R336" s="552"/>
      <c r="S336" s="552"/>
      <c r="T336" s="552"/>
      <c r="U336" s="552"/>
      <c r="V336" s="552"/>
      <c r="W336" s="552"/>
      <c r="X336" s="552"/>
      <c r="Y336" s="552"/>
      <c r="Z336" s="552"/>
    </row>
    <row r="337">
      <c r="A337" s="559"/>
      <c r="B337" s="560"/>
      <c r="C337" s="561"/>
      <c r="D337" s="562"/>
      <c r="E337" s="552"/>
      <c r="F337" s="552"/>
      <c r="G337" s="552"/>
      <c r="H337" s="552"/>
      <c r="I337" s="552"/>
      <c r="J337" s="552"/>
      <c r="K337" s="552"/>
      <c r="L337" s="552"/>
      <c r="M337" s="552"/>
      <c r="N337" s="552"/>
      <c r="O337" s="552"/>
      <c r="P337" s="552"/>
      <c r="Q337" s="552"/>
      <c r="R337" s="552"/>
      <c r="S337" s="552"/>
      <c r="T337" s="552"/>
      <c r="U337" s="552"/>
      <c r="V337" s="552"/>
      <c r="W337" s="552"/>
      <c r="X337" s="552"/>
      <c r="Y337" s="552"/>
      <c r="Z337" s="552"/>
    </row>
    <row r="338">
      <c r="A338" s="559"/>
      <c r="B338" s="560"/>
      <c r="C338" s="561"/>
      <c r="D338" s="562"/>
      <c r="E338" s="552"/>
      <c r="F338" s="552"/>
      <c r="G338" s="552"/>
      <c r="H338" s="552"/>
      <c r="I338" s="552"/>
      <c r="J338" s="552"/>
      <c r="K338" s="552"/>
      <c r="L338" s="552"/>
      <c r="M338" s="552"/>
      <c r="N338" s="552"/>
      <c r="O338" s="552"/>
      <c r="P338" s="552"/>
      <c r="Q338" s="552"/>
      <c r="R338" s="552"/>
      <c r="S338" s="552"/>
      <c r="T338" s="552"/>
      <c r="U338" s="552"/>
      <c r="V338" s="552"/>
      <c r="W338" s="552"/>
      <c r="X338" s="552"/>
      <c r="Y338" s="552"/>
      <c r="Z338" s="552"/>
    </row>
    <row r="339">
      <c r="A339" s="559"/>
      <c r="B339" s="560"/>
      <c r="C339" s="561"/>
      <c r="D339" s="562"/>
      <c r="E339" s="552"/>
      <c r="F339" s="552"/>
      <c r="G339" s="552"/>
      <c r="H339" s="552"/>
      <c r="I339" s="552"/>
      <c r="J339" s="552"/>
      <c r="K339" s="552"/>
      <c r="L339" s="552"/>
      <c r="M339" s="552"/>
      <c r="N339" s="552"/>
      <c r="O339" s="552"/>
      <c r="P339" s="552"/>
      <c r="Q339" s="552"/>
      <c r="R339" s="552"/>
      <c r="S339" s="552"/>
      <c r="T339" s="552"/>
      <c r="U339" s="552"/>
      <c r="V339" s="552"/>
      <c r="W339" s="552"/>
      <c r="X339" s="552"/>
      <c r="Y339" s="552"/>
      <c r="Z339" s="552"/>
    </row>
    <row r="340">
      <c r="A340" s="559"/>
      <c r="B340" s="560"/>
      <c r="C340" s="561"/>
      <c r="D340" s="562"/>
      <c r="E340" s="552"/>
      <c r="F340" s="552"/>
      <c r="G340" s="552"/>
      <c r="H340" s="552"/>
      <c r="I340" s="552"/>
      <c r="J340" s="552"/>
      <c r="K340" s="552"/>
      <c r="L340" s="552"/>
      <c r="M340" s="552"/>
      <c r="N340" s="552"/>
      <c r="O340" s="552"/>
      <c r="P340" s="552"/>
      <c r="Q340" s="552"/>
      <c r="R340" s="552"/>
      <c r="S340" s="552"/>
      <c r="T340" s="552"/>
      <c r="U340" s="552"/>
      <c r="V340" s="552"/>
      <c r="W340" s="552"/>
      <c r="X340" s="552"/>
      <c r="Y340" s="552"/>
      <c r="Z340" s="552"/>
    </row>
    <row r="341">
      <c r="A341" s="559"/>
      <c r="B341" s="560"/>
      <c r="C341" s="561"/>
      <c r="D341" s="562"/>
      <c r="E341" s="552"/>
      <c r="F341" s="552"/>
      <c r="G341" s="552"/>
      <c r="H341" s="552"/>
      <c r="I341" s="552"/>
      <c r="J341" s="552"/>
      <c r="K341" s="552"/>
      <c r="L341" s="552"/>
      <c r="M341" s="552"/>
      <c r="N341" s="552"/>
      <c r="O341" s="552"/>
      <c r="P341" s="552"/>
      <c r="Q341" s="552"/>
      <c r="R341" s="552"/>
      <c r="S341" s="552"/>
      <c r="T341" s="552"/>
      <c r="U341" s="552"/>
      <c r="V341" s="552"/>
      <c r="W341" s="552"/>
      <c r="X341" s="552"/>
      <c r="Y341" s="552"/>
      <c r="Z341" s="552"/>
    </row>
    <row r="342">
      <c r="A342" s="559"/>
      <c r="B342" s="560"/>
      <c r="C342" s="561"/>
      <c r="D342" s="562"/>
      <c r="E342" s="552"/>
      <c r="F342" s="552"/>
      <c r="G342" s="552"/>
      <c r="H342" s="552"/>
      <c r="I342" s="552"/>
      <c r="J342" s="552"/>
      <c r="K342" s="552"/>
      <c r="L342" s="552"/>
      <c r="M342" s="552"/>
      <c r="N342" s="552"/>
      <c r="O342" s="552"/>
      <c r="P342" s="552"/>
      <c r="Q342" s="552"/>
      <c r="R342" s="552"/>
      <c r="S342" s="552"/>
      <c r="T342" s="552"/>
      <c r="U342" s="552"/>
      <c r="V342" s="552"/>
      <c r="W342" s="552"/>
      <c r="X342" s="552"/>
      <c r="Y342" s="552"/>
      <c r="Z342" s="552"/>
    </row>
    <row r="343">
      <c r="A343" s="559"/>
      <c r="B343" s="560"/>
      <c r="C343" s="561"/>
      <c r="D343" s="562"/>
      <c r="E343" s="552"/>
      <c r="F343" s="552"/>
      <c r="G343" s="552"/>
      <c r="H343" s="552"/>
      <c r="I343" s="552"/>
      <c r="J343" s="552"/>
      <c r="K343" s="552"/>
      <c r="L343" s="552"/>
      <c r="M343" s="552"/>
      <c r="N343" s="552"/>
      <c r="O343" s="552"/>
      <c r="P343" s="552"/>
      <c r="Q343" s="552"/>
      <c r="R343" s="552"/>
      <c r="S343" s="552"/>
      <c r="T343" s="552"/>
      <c r="U343" s="552"/>
      <c r="V343" s="552"/>
      <c r="W343" s="552"/>
      <c r="X343" s="552"/>
      <c r="Y343" s="552"/>
      <c r="Z343" s="552"/>
    </row>
    <row r="344">
      <c r="A344" s="559"/>
      <c r="B344" s="560"/>
      <c r="C344" s="561"/>
      <c r="D344" s="562"/>
      <c r="E344" s="552"/>
      <c r="F344" s="552"/>
      <c r="G344" s="552"/>
      <c r="H344" s="552"/>
      <c r="I344" s="552"/>
      <c r="J344" s="552"/>
      <c r="K344" s="552"/>
      <c r="L344" s="552"/>
      <c r="M344" s="552"/>
      <c r="N344" s="552"/>
      <c r="O344" s="552"/>
      <c r="P344" s="552"/>
      <c r="Q344" s="552"/>
      <c r="R344" s="552"/>
      <c r="S344" s="552"/>
      <c r="T344" s="552"/>
      <c r="U344" s="552"/>
      <c r="V344" s="552"/>
      <c r="W344" s="552"/>
      <c r="X344" s="552"/>
      <c r="Y344" s="552"/>
      <c r="Z344" s="552"/>
    </row>
    <row r="345">
      <c r="A345" s="559"/>
      <c r="B345" s="560"/>
      <c r="C345" s="561"/>
      <c r="D345" s="562"/>
      <c r="E345" s="552"/>
      <c r="F345" s="552"/>
      <c r="G345" s="552"/>
      <c r="H345" s="552"/>
      <c r="I345" s="552"/>
      <c r="J345" s="552"/>
      <c r="K345" s="552"/>
      <c r="L345" s="552"/>
      <c r="M345" s="552"/>
      <c r="N345" s="552"/>
      <c r="O345" s="552"/>
      <c r="P345" s="552"/>
      <c r="Q345" s="552"/>
      <c r="R345" s="552"/>
      <c r="S345" s="552"/>
      <c r="T345" s="552"/>
      <c r="U345" s="552"/>
      <c r="V345" s="552"/>
      <c r="W345" s="552"/>
      <c r="X345" s="552"/>
      <c r="Y345" s="552"/>
      <c r="Z345" s="552"/>
    </row>
    <row r="346">
      <c r="A346" s="559"/>
      <c r="B346" s="560"/>
      <c r="C346" s="561"/>
      <c r="D346" s="562"/>
      <c r="E346" s="552"/>
      <c r="F346" s="552"/>
      <c r="G346" s="552"/>
      <c r="H346" s="552"/>
      <c r="I346" s="552"/>
      <c r="J346" s="552"/>
      <c r="K346" s="552"/>
      <c r="L346" s="552"/>
      <c r="M346" s="552"/>
      <c r="N346" s="552"/>
      <c r="O346" s="552"/>
      <c r="P346" s="552"/>
      <c r="Q346" s="552"/>
      <c r="R346" s="552"/>
      <c r="S346" s="552"/>
      <c r="T346" s="552"/>
      <c r="U346" s="552"/>
      <c r="V346" s="552"/>
      <c r="W346" s="552"/>
      <c r="X346" s="552"/>
      <c r="Y346" s="552"/>
      <c r="Z346" s="552"/>
    </row>
    <row r="347">
      <c r="A347" s="559"/>
      <c r="B347" s="560"/>
      <c r="C347" s="561"/>
      <c r="D347" s="562"/>
      <c r="E347" s="552"/>
      <c r="F347" s="552"/>
      <c r="G347" s="552"/>
      <c r="H347" s="552"/>
      <c r="I347" s="552"/>
      <c r="J347" s="552"/>
      <c r="K347" s="552"/>
      <c r="L347" s="552"/>
      <c r="M347" s="552"/>
      <c r="N347" s="552"/>
      <c r="O347" s="552"/>
      <c r="P347" s="552"/>
      <c r="Q347" s="552"/>
      <c r="R347" s="552"/>
      <c r="S347" s="552"/>
      <c r="T347" s="552"/>
      <c r="U347" s="552"/>
      <c r="V347" s="552"/>
      <c r="W347" s="552"/>
      <c r="X347" s="552"/>
      <c r="Y347" s="552"/>
      <c r="Z347" s="552"/>
    </row>
    <row r="348">
      <c r="A348" s="559"/>
      <c r="B348" s="560"/>
      <c r="C348" s="561"/>
      <c r="D348" s="562"/>
      <c r="E348" s="552"/>
      <c r="F348" s="552"/>
      <c r="G348" s="552"/>
      <c r="H348" s="552"/>
      <c r="I348" s="552"/>
      <c r="J348" s="552"/>
      <c r="K348" s="552"/>
      <c r="L348" s="552"/>
      <c r="M348" s="552"/>
      <c r="N348" s="552"/>
      <c r="O348" s="552"/>
      <c r="P348" s="552"/>
      <c r="Q348" s="552"/>
      <c r="R348" s="552"/>
      <c r="S348" s="552"/>
      <c r="T348" s="552"/>
      <c r="U348" s="552"/>
      <c r="V348" s="552"/>
      <c r="W348" s="552"/>
      <c r="X348" s="552"/>
      <c r="Y348" s="552"/>
      <c r="Z348" s="552"/>
    </row>
    <row r="349">
      <c r="A349" s="559"/>
      <c r="B349" s="560"/>
      <c r="C349" s="561"/>
      <c r="D349" s="562"/>
      <c r="E349" s="552"/>
      <c r="F349" s="552"/>
      <c r="G349" s="552"/>
      <c r="H349" s="552"/>
      <c r="I349" s="552"/>
      <c r="J349" s="552"/>
      <c r="K349" s="552"/>
      <c r="L349" s="552"/>
      <c r="M349" s="552"/>
      <c r="N349" s="552"/>
      <c r="O349" s="552"/>
      <c r="P349" s="552"/>
      <c r="Q349" s="552"/>
      <c r="R349" s="552"/>
      <c r="S349" s="552"/>
      <c r="T349" s="552"/>
      <c r="U349" s="552"/>
      <c r="V349" s="552"/>
      <c r="W349" s="552"/>
      <c r="X349" s="552"/>
      <c r="Y349" s="552"/>
      <c r="Z349" s="552"/>
    </row>
    <row r="350">
      <c r="A350" s="559"/>
      <c r="B350" s="560"/>
      <c r="C350" s="561"/>
      <c r="D350" s="562"/>
      <c r="E350" s="552"/>
      <c r="F350" s="552"/>
      <c r="G350" s="552"/>
      <c r="H350" s="552"/>
      <c r="I350" s="552"/>
      <c r="J350" s="552"/>
      <c r="K350" s="552"/>
      <c r="L350" s="552"/>
      <c r="M350" s="552"/>
      <c r="N350" s="552"/>
      <c r="O350" s="552"/>
      <c r="P350" s="552"/>
      <c r="Q350" s="552"/>
      <c r="R350" s="552"/>
      <c r="S350" s="552"/>
      <c r="T350" s="552"/>
      <c r="U350" s="552"/>
      <c r="V350" s="552"/>
      <c r="W350" s="552"/>
      <c r="X350" s="552"/>
      <c r="Y350" s="552"/>
      <c r="Z350" s="552"/>
    </row>
    <row r="351">
      <c r="A351" s="559"/>
      <c r="B351" s="560"/>
      <c r="C351" s="561"/>
      <c r="D351" s="562"/>
      <c r="E351" s="552"/>
      <c r="F351" s="552"/>
      <c r="G351" s="552"/>
      <c r="H351" s="552"/>
      <c r="I351" s="552"/>
      <c r="J351" s="552"/>
      <c r="K351" s="552"/>
      <c r="L351" s="552"/>
      <c r="M351" s="552"/>
      <c r="N351" s="552"/>
      <c r="O351" s="552"/>
      <c r="P351" s="552"/>
      <c r="Q351" s="552"/>
      <c r="R351" s="552"/>
      <c r="S351" s="552"/>
      <c r="T351" s="552"/>
      <c r="U351" s="552"/>
      <c r="V351" s="552"/>
      <c r="W351" s="552"/>
      <c r="X351" s="552"/>
      <c r="Y351" s="552"/>
      <c r="Z351" s="552"/>
    </row>
    <row r="352">
      <c r="A352" s="559"/>
      <c r="B352" s="560"/>
      <c r="C352" s="561"/>
      <c r="D352" s="562"/>
      <c r="E352" s="552"/>
      <c r="F352" s="552"/>
      <c r="G352" s="552"/>
      <c r="H352" s="552"/>
      <c r="I352" s="552"/>
      <c r="J352" s="552"/>
      <c r="K352" s="552"/>
      <c r="L352" s="552"/>
      <c r="M352" s="552"/>
      <c r="N352" s="552"/>
      <c r="O352" s="552"/>
      <c r="P352" s="552"/>
      <c r="Q352" s="552"/>
      <c r="R352" s="552"/>
      <c r="S352" s="552"/>
      <c r="T352" s="552"/>
      <c r="U352" s="552"/>
      <c r="V352" s="552"/>
      <c r="W352" s="552"/>
      <c r="X352" s="552"/>
      <c r="Y352" s="552"/>
      <c r="Z352" s="552"/>
    </row>
    <row r="353">
      <c r="A353" s="559"/>
      <c r="B353" s="560"/>
      <c r="C353" s="561"/>
      <c r="D353" s="562"/>
      <c r="E353" s="552"/>
      <c r="F353" s="552"/>
      <c r="G353" s="552"/>
      <c r="H353" s="552"/>
      <c r="I353" s="552"/>
      <c r="J353" s="552"/>
      <c r="K353" s="552"/>
      <c r="L353" s="552"/>
      <c r="M353" s="552"/>
      <c r="N353" s="552"/>
      <c r="O353" s="552"/>
      <c r="P353" s="552"/>
      <c r="Q353" s="552"/>
      <c r="R353" s="552"/>
      <c r="S353" s="552"/>
      <c r="T353" s="552"/>
      <c r="U353" s="552"/>
      <c r="V353" s="552"/>
      <c r="W353" s="552"/>
      <c r="X353" s="552"/>
      <c r="Y353" s="552"/>
      <c r="Z353" s="552"/>
    </row>
    <row r="354">
      <c r="A354" s="559"/>
      <c r="B354" s="560"/>
      <c r="C354" s="561"/>
      <c r="D354" s="562"/>
      <c r="E354" s="552"/>
      <c r="F354" s="552"/>
      <c r="G354" s="552"/>
      <c r="H354" s="552"/>
      <c r="I354" s="552"/>
      <c r="J354" s="552"/>
      <c r="K354" s="552"/>
      <c r="L354" s="552"/>
      <c r="M354" s="552"/>
      <c r="N354" s="552"/>
      <c r="O354" s="552"/>
      <c r="P354" s="552"/>
      <c r="Q354" s="552"/>
      <c r="R354" s="552"/>
      <c r="S354" s="552"/>
      <c r="T354" s="552"/>
      <c r="U354" s="552"/>
      <c r="V354" s="552"/>
      <c r="W354" s="552"/>
      <c r="X354" s="552"/>
      <c r="Y354" s="552"/>
      <c r="Z354" s="552"/>
    </row>
    <row r="355">
      <c r="A355" s="559"/>
      <c r="B355" s="560"/>
      <c r="C355" s="561"/>
      <c r="D355" s="562"/>
      <c r="E355" s="552"/>
      <c r="F355" s="552"/>
      <c r="G355" s="552"/>
      <c r="H355" s="552"/>
      <c r="I355" s="552"/>
      <c r="J355" s="552"/>
      <c r="K355" s="552"/>
      <c r="L355" s="552"/>
      <c r="M355" s="552"/>
      <c r="N355" s="552"/>
      <c r="O355" s="552"/>
      <c r="P355" s="552"/>
      <c r="Q355" s="552"/>
      <c r="R355" s="552"/>
      <c r="S355" s="552"/>
      <c r="T355" s="552"/>
      <c r="U355" s="552"/>
      <c r="V355" s="552"/>
      <c r="W355" s="552"/>
      <c r="X355" s="552"/>
      <c r="Y355" s="552"/>
      <c r="Z355" s="552"/>
    </row>
    <row r="356">
      <c r="A356" s="559"/>
      <c r="B356" s="560"/>
      <c r="C356" s="561"/>
      <c r="D356" s="562"/>
      <c r="E356" s="552"/>
      <c r="F356" s="552"/>
      <c r="G356" s="552"/>
      <c r="H356" s="552"/>
      <c r="I356" s="552"/>
      <c r="J356" s="552"/>
      <c r="K356" s="552"/>
      <c r="L356" s="552"/>
      <c r="M356" s="552"/>
      <c r="N356" s="552"/>
      <c r="O356" s="552"/>
      <c r="P356" s="552"/>
      <c r="Q356" s="552"/>
      <c r="R356" s="552"/>
      <c r="S356" s="552"/>
      <c r="T356" s="552"/>
      <c r="U356" s="552"/>
      <c r="V356" s="552"/>
      <c r="W356" s="552"/>
      <c r="X356" s="552"/>
      <c r="Y356" s="552"/>
      <c r="Z356" s="552"/>
    </row>
    <row r="357">
      <c r="A357" s="559"/>
      <c r="B357" s="560"/>
      <c r="C357" s="561"/>
      <c r="D357" s="562"/>
      <c r="E357" s="552"/>
      <c r="F357" s="552"/>
      <c r="G357" s="552"/>
      <c r="H357" s="552"/>
      <c r="I357" s="552"/>
      <c r="J357" s="552"/>
      <c r="K357" s="552"/>
      <c r="L357" s="552"/>
      <c r="M357" s="552"/>
      <c r="N357" s="552"/>
      <c r="O357" s="552"/>
      <c r="P357" s="552"/>
      <c r="Q357" s="552"/>
      <c r="R357" s="552"/>
      <c r="S357" s="552"/>
      <c r="T357" s="552"/>
      <c r="U357" s="552"/>
      <c r="V357" s="552"/>
      <c r="W357" s="552"/>
      <c r="X357" s="552"/>
      <c r="Y357" s="552"/>
      <c r="Z357" s="552"/>
    </row>
    <row r="358">
      <c r="A358" s="559"/>
      <c r="B358" s="560"/>
      <c r="C358" s="561"/>
      <c r="D358" s="562"/>
      <c r="E358" s="552"/>
      <c r="F358" s="552"/>
      <c r="G358" s="552"/>
      <c r="H358" s="552"/>
      <c r="I358" s="552"/>
      <c r="J358" s="552"/>
      <c r="K358" s="552"/>
      <c r="L358" s="552"/>
      <c r="M358" s="552"/>
      <c r="N358" s="552"/>
      <c r="O358" s="552"/>
      <c r="P358" s="552"/>
      <c r="Q358" s="552"/>
      <c r="R358" s="552"/>
      <c r="S358" s="552"/>
      <c r="T358" s="552"/>
      <c r="U358" s="552"/>
      <c r="V358" s="552"/>
      <c r="W358" s="552"/>
      <c r="X358" s="552"/>
      <c r="Y358" s="552"/>
      <c r="Z358" s="552"/>
    </row>
    <row r="359">
      <c r="A359" s="559"/>
      <c r="B359" s="560"/>
      <c r="C359" s="561"/>
      <c r="D359" s="562"/>
      <c r="E359" s="552"/>
      <c r="F359" s="552"/>
      <c r="G359" s="552"/>
      <c r="H359" s="552"/>
      <c r="I359" s="552"/>
      <c r="J359" s="552"/>
      <c r="K359" s="552"/>
      <c r="L359" s="552"/>
      <c r="M359" s="552"/>
      <c r="N359" s="552"/>
      <c r="O359" s="552"/>
      <c r="P359" s="552"/>
      <c r="Q359" s="552"/>
      <c r="R359" s="552"/>
      <c r="S359" s="552"/>
      <c r="T359" s="552"/>
      <c r="U359" s="552"/>
      <c r="V359" s="552"/>
      <c r="W359" s="552"/>
      <c r="X359" s="552"/>
      <c r="Y359" s="552"/>
      <c r="Z359" s="552"/>
    </row>
    <row r="360">
      <c r="A360" s="559"/>
      <c r="B360" s="560"/>
      <c r="C360" s="561"/>
      <c r="D360" s="562"/>
      <c r="E360" s="552"/>
      <c r="F360" s="552"/>
      <c r="G360" s="552"/>
      <c r="H360" s="552"/>
      <c r="I360" s="552"/>
      <c r="J360" s="552"/>
      <c r="K360" s="552"/>
      <c r="L360" s="552"/>
      <c r="M360" s="552"/>
      <c r="N360" s="552"/>
      <c r="O360" s="552"/>
      <c r="P360" s="552"/>
      <c r="Q360" s="552"/>
      <c r="R360" s="552"/>
      <c r="S360" s="552"/>
      <c r="T360" s="552"/>
      <c r="U360" s="552"/>
      <c r="V360" s="552"/>
      <c r="W360" s="552"/>
      <c r="X360" s="552"/>
      <c r="Y360" s="552"/>
      <c r="Z360" s="552"/>
    </row>
    <row r="361">
      <c r="A361" s="559"/>
      <c r="B361" s="560"/>
      <c r="C361" s="561"/>
      <c r="D361" s="562"/>
      <c r="E361" s="552"/>
      <c r="F361" s="552"/>
      <c r="G361" s="552"/>
      <c r="H361" s="552"/>
      <c r="I361" s="552"/>
      <c r="J361" s="552"/>
      <c r="K361" s="552"/>
      <c r="L361" s="552"/>
      <c r="M361" s="552"/>
      <c r="N361" s="552"/>
      <c r="O361" s="552"/>
      <c r="P361" s="552"/>
      <c r="Q361" s="552"/>
      <c r="R361" s="552"/>
      <c r="S361" s="552"/>
      <c r="T361" s="552"/>
      <c r="U361" s="552"/>
      <c r="V361" s="552"/>
      <c r="W361" s="552"/>
      <c r="X361" s="552"/>
      <c r="Y361" s="552"/>
      <c r="Z361" s="552"/>
    </row>
    <row r="362">
      <c r="A362" s="559"/>
      <c r="B362" s="560"/>
      <c r="C362" s="561"/>
      <c r="D362" s="562"/>
      <c r="E362" s="552"/>
      <c r="F362" s="552"/>
      <c r="G362" s="552"/>
      <c r="H362" s="552"/>
      <c r="I362" s="552"/>
      <c r="J362" s="552"/>
      <c r="K362" s="552"/>
      <c r="L362" s="552"/>
      <c r="M362" s="552"/>
      <c r="N362" s="552"/>
      <c r="O362" s="552"/>
      <c r="P362" s="552"/>
      <c r="Q362" s="552"/>
      <c r="R362" s="552"/>
      <c r="S362" s="552"/>
      <c r="T362" s="552"/>
      <c r="U362" s="552"/>
      <c r="V362" s="552"/>
      <c r="W362" s="552"/>
      <c r="X362" s="552"/>
      <c r="Y362" s="552"/>
      <c r="Z362" s="552"/>
    </row>
    <row r="363">
      <c r="A363" s="559"/>
      <c r="B363" s="560"/>
      <c r="C363" s="561"/>
      <c r="D363" s="562"/>
      <c r="E363" s="552"/>
      <c r="F363" s="552"/>
      <c r="G363" s="552"/>
      <c r="H363" s="552"/>
      <c r="I363" s="552"/>
      <c r="J363" s="552"/>
      <c r="K363" s="552"/>
      <c r="L363" s="552"/>
      <c r="M363" s="552"/>
      <c r="N363" s="552"/>
      <c r="O363" s="552"/>
      <c r="P363" s="552"/>
      <c r="Q363" s="552"/>
      <c r="R363" s="552"/>
      <c r="S363" s="552"/>
      <c r="T363" s="552"/>
      <c r="U363" s="552"/>
      <c r="V363" s="552"/>
      <c r="W363" s="552"/>
      <c r="X363" s="552"/>
      <c r="Y363" s="552"/>
      <c r="Z363" s="552"/>
    </row>
    <row r="364">
      <c r="A364" s="559"/>
      <c r="B364" s="560"/>
      <c r="C364" s="561"/>
      <c r="D364" s="562"/>
      <c r="E364" s="552"/>
      <c r="F364" s="552"/>
      <c r="G364" s="552"/>
      <c r="H364" s="552"/>
      <c r="I364" s="552"/>
      <c r="J364" s="552"/>
      <c r="K364" s="552"/>
      <c r="L364" s="552"/>
      <c r="M364" s="552"/>
      <c r="N364" s="552"/>
      <c r="O364" s="552"/>
      <c r="P364" s="552"/>
      <c r="Q364" s="552"/>
      <c r="R364" s="552"/>
      <c r="S364" s="552"/>
      <c r="T364" s="552"/>
      <c r="U364" s="552"/>
      <c r="V364" s="552"/>
      <c r="W364" s="552"/>
      <c r="X364" s="552"/>
      <c r="Y364" s="552"/>
      <c r="Z364" s="552"/>
    </row>
    <row r="365">
      <c r="A365" s="559"/>
      <c r="B365" s="560"/>
      <c r="C365" s="561"/>
      <c r="D365" s="562"/>
      <c r="E365" s="552"/>
      <c r="F365" s="552"/>
      <c r="G365" s="552"/>
      <c r="H365" s="552"/>
      <c r="I365" s="552"/>
      <c r="J365" s="552"/>
      <c r="K365" s="552"/>
      <c r="L365" s="552"/>
      <c r="M365" s="552"/>
      <c r="N365" s="552"/>
      <c r="O365" s="552"/>
      <c r="P365" s="552"/>
      <c r="Q365" s="552"/>
      <c r="R365" s="552"/>
      <c r="S365" s="552"/>
      <c r="T365" s="552"/>
      <c r="U365" s="552"/>
      <c r="V365" s="552"/>
      <c r="W365" s="552"/>
      <c r="X365" s="552"/>
      <c r="Y365" s="552"/>
      <c r="Z365" s="552"/>
    </row>
    <row r="366">
      <c r="A366" s="559"/>
      <c r="B366" s="560"/>
      <c r="C366" s="561"/>
      <c r="D366" s="562"/>
      <c r="E366" s="552"/>
      <c r="F366" s="552"/>
      <c r="G366" s="552"/>
      <c r="H366" s="552"/>
      <c r="I366" s="552"/>
      <c r="J366" s="552"/>
      <c r="K366" s="552"/>
      <c r="L366" s="552"/>
      <c r="M366" s="552"/>
      <c r="N366" s="552"/>
      <c r="O366" s="552"/>
      <c r="P366" s="552"/>
      <c r="Q366" s="552"/>
      <c r="R366" s="552"/>
      <c r="S366" s="552"/>
      <c r="T366" s="552"/>
      <c r="U366" s="552"/>
      <c r="V366" s="552"/>
      <c r="W366" s="552"/>
      <c r="X366" s="552"/>
      <c r="Y366" s="552"/>
      <c r="Z366" s="552"/>
    </row>
    <row r="367">
      <c r="A367" s="559"/>
      <c r="B367" s="560"/>
      <c r="C367" s="561"/>
      <c r="D367" s="562"/>
      <c r="E367" s="552"/>
      <c r="F367" s="552"/>
      <c r="G367" s="552"/>
      <c r="H367" s="552"/>
      <c r="I367" s="552"/>
      <c r="J367" s="552"/>
      <c r="K367" s="552"/>
      <c r="L367" s="552"/>
      <c r="M367" s="552"/>
      <c r="N367" s="552"/>
      <c r="O367" s="552"/>
      <c r="P367" s="552"/>
      <c r="Q367" s="552"/>
      <c r="R367" s="552"/>
      <c r="S367" s="552"/>
      <c r="T367" s="552"/>
      <c r="U367" s="552"/>
      <c r="V367" s="552"/>
      <c r="W367" s="552"/>
      <c r="X367" s="552"/>
      <c r="Y367" s="552"/>
      <c r="Z367" s="552"/>
    </row>
    <row r="368">
      <c r="A368" s="559"/>
      <c r="B368" s="560"/>
      <c r="C368" s="561"/>
      <c r="D368" s="562"/>
      <c r="E368" s="552"/>
      <c r="F368" s="552"/>
      <c r="G368" s="552"/>
      <c r="H368" s="552"/>
      <c r="I368" s="552"/>
      <c r="J368" s="552"/>
      <c r="K368" s="552"/>
      <c r="L368" s="552"/>
      <c r="M368" s="552"/>
      <c r="N368" s="552"/>
      <c r="O368" s="552"/>
      <c r="P368" s="552"/>
      <c r="Q368" s="552"/>
      <c r="R368" s="552"/>
      <c r="S368" s="552"/>
      <c r="T368" s="552"/>
      <c r="U368" s="552"/>
      <c r="V368" s="552"/>
      <c r="W368" s="552"/>
      <c r="X368" s="552"/>
      <c r="Y368" s="552"/>
      <c r="Z368" s="552"/>
    </row>
    <row r="369">
      <c r="A369" s="559"/>
      <c r="B369" s="560"/>
      <c r="C369" s="561"/>
      <c r="D369" s="562"/>
      <c r="E369" s="552"/>
      <c r="F369" s="552"/>
      <c r="G369" s="552"/>
      <c r="H369" s="552"/>
      <c r="I369" s="552"/>
      <c r="J369" s="552"/>
      <c r="K369" s="552"/>
      <c r="L369" s="552"/>
      <c r="M369" s="552"/>
      <c r="N369" s="552"/>
      <c r="O369" s="552"/>
      <c r="P369" s="552"/>
      <c r="Q369" s="552"/>
      <c r="R369" s="552"/>
      <c r="S369" s="552"/>
      <c r="T369" s="552"/>
      <c r="U369" s="552"/>
      <c r="V369" s="552"/>
      <c r="W369" s="552"/>
      <c r="X369" s="552"/>
      <c r="Y369" s="552"/>
      <c r="Z369" s="552"/>
    </row>
    <row r="370">
      <c r="A370" s="559"/>
      <c r="B370" s="560"/>
      <c r="C370" s="561"/>
      <c r="D370" s="562"/>
      <c r="E370" s="552"/>
      <c r="F370" s="552"/>
      <c r="G370" s="552"/>
      <c r="H370" s="552"/>
      <c r="I370" s="552"/>
      <c r="J370" s="552"/>
      <c r="K370" s="552"/>
      <c r="L370" s="552"/>
      <c r="M370" s="552"/>
      <c r="N370" s="552"/>
      <c r="O370" s="552"/>
      <c r="P370" s="552"/>
      <c r="Q370" s="552"/>
      <c r="R370" s="552"/>
      <c r="S370" s="552"/>
      <c r="T370" s="552"/>
      <c r="U370" s="552"/>
      <c r="V370" s="552"/>
      <c r="W370" s="552"/>
      <c r="X370" s="552"/>
      <c r="Y370" s="552"/>
      <c r="Z370" s="552"/>
    </row>
    <row r="371">
      <c r="A371" s="559"/>
      <c r="B371" s="560"/>
      <c r="C371" s="561"/>
      <c r="D371" s="562"/>
      <c r="E371" s="552"/>
      <c r="F371" s="552"/>
      <c r="G371" s="552"/>
      <c r="H371" s="552"/>
      <c r="I371" s="552"/>
      <c r="J371" s="552"/>
      <c r="K371" s="552"/>
      <c r="L371" s="552"/>
      <c r="M371" s="552"/>
      <c r="N371" s="552"/>
      <c r="O371" s="552"/>
      <c r="P371" s="552"/>
      <c r="Q371" s="552"/>
      <c r="R371" s="552"/>
      <c r="S371" s="552"/>
      <c r="T371" s="552"/>
      <c r="U371" s="552"/>
      <c r="V371" s="552"/>
      <c r="W371" s="552"/>
      <c r="X371" s="552"/>
      <c r="Y371" s="552"/>
      <c r="Z371" s="552"/>
    </row>
    <row r="372">
      <c r="A372" s="559"/>
      <c r="B372" s="560"/>
      <c r="C372" s="561"/>
      <c r="D372" s="562"/>
      <c r="E372" s="552"/>
      <c r="F372" s="552"/>
      <c r="G372" s="552"/>
      <c r="H372" s="552"/>
      <c r="I372" s="552"/>
      <c r="J372" s="552"/>
      <c r="K372" s="552"/>
      <c r="L372" s="552"/>
      <c r="M372" s="552"/>
      <c r="N372" s="552"/>
      <c r="O372" s="552"/>
      <c r="P372" s="552"/>
      <c r="Q372" s="552"/>
      <c r="R372" s="552"/>
      <c r="S372" s="552"/>
      <c r="T372" s="552"/>
      <c r="U372" s="552"/>
      <c r="V372" s="552"/>
      <c r="W372" s="552"/>
      <c r="X372" s="552"/>
      <c r="Y372" s="552"/>
      <c r="Z372" s="552"/>
    </row>
    <row r="373">
      <c r="A373" s="559"/>
      <c r="B373" s="560"/>
      <c r="C373" s="561"/>
      <c r="D373" s="562"/>
      <c r="E373" s="552"/>
      <c r="F373" s="552"/>
      <c r="G373" s="552"/>
      <c r="H373" s="552"/>
      <c r="I373" s="552"/>
      <c r="J373" s="552"/>
      <c r="K373" s="552"/>
      <c r="L373" s="552"/>
      <c r="M373" s="552"/>
      <c r="N373" s="552"/>
      <c r="O373" s="552"/>
      <c r="P373" s="552"/>
      <c r="Q373" s="552"/>
      <c r="R373" s="552"/>
      <c r="S373" s="552"/>
      <c r="T373" s="552"/>
      <c r="U373" s="552"/>
      <c r="V373" s="552"/>
      <c r="W373" s="552"/>
      <c r="X373" s="552"/>
      <c r="Y373" s="552"/>
      <c r="Z373" s="552"/>
    </row>
    <row r="374">
      <c r="A374" s="559"/>
      <c r="B374" s="560"/>
      <c r="C374" s="561"/>
      <c r="D374" s="562"/>
      <c r="E374" s="552"/>
      <c r="F374" s="552"/>
      <c r="G374" s="552"/>
      <c r="H374" s="552"/>
      <c r="I374" s="552"/>
      <c r="J374" s="552"/>
      <c r="K374" s="552"/>
      <c r="L374" s="552"/>
      <c r="M374" s="552"/>
      <c r="N374" s="552"/>
      <c r="O374" s="552"/>
      <c r="P374" s="552"/>
      <c r="Q374" s="552"/>
      <c r="R374" s="552"/>
      <c r="S374" s="552"/>
      <c r="T374" s="552"/>
      <c r="U374" s="552"/>
      <c r="V374" s="552"/>
      <c r="W374" s="552"/>
      <c r="X374" s="552"/>
      <c r="Y374" s="552"/>
      <c r="Z374" s="552"/>
    </row>
    <row r="375">
      <c r="A375" s="559"/>
      <c r="B375" s="560"/>
      <c r="C375" s="561"/>
      <c r="D375" s="562"/>
      <c r="E375" s="552"/>
      <c r="F375" s="552"/>
      <c r="G375" s="552"/>
      <c r="H375" s="552"/>
      <c r="I375" s="552"/>
      <c r="J375" s="552"/>
      <c r="K375" s="552"/>
      <c r="L375" s="552"/>
      <c r="M375" s="552"/>
      <c r="N375" s="552"/>
      <c r="O375" s="552"/>
      <c r="P375" s="552"/>
      <c r="Q375" s="552"/>
      <c r="R375" s="552"/>
      <c r="S375" s="552"/>
      <c r="T375" s="552"/>
      <c r="U375" s="552"/>
      <c r="V375" s="552"/>
      <c r="W375" s="552"/>
      <c r="X375" s="552"/>
      <c r="Y375" s="552"/>
      <c r="Z375" s="552"/>
    </row>
    <row r="376">
      <c r="A376" s="559"/>
      <c r="B376" s="560"/>
      <c r="C376" s="561"/>
      <c r="D376" s="562"/>
      <c r="E376" s="552"/>
      <c r="F376" s="552"/>
      <c r="G376" s="552"/>
      <c r="H376" s="552"/>
      <c r="I376" s="552"/>
      <c r="J376" s="552"/>
      <c r="K376" s="552"/>
      <c r="L376" s="552"/>
      <c r="M376" s="552"/>
      <c r="N376" s="552"/>
      <c r="O376" s="552"/>
      <c r="P376" s="552"/>
      <c r="Q376" s="552"/>
      <c r="R376" s="552"/>
      <c r="S376" s="552"/>
      <c r="T376" s="552"/>
      <c r="U376" s="552"/>
      <c r="V376" s="552"/>
      <c r="W376" s="552"/>
      <c r="X376" s="552"/>
      <c r="Y376" s="552"/>
      <c r="Z376" s="552"/>
    </row>
    <row r="377">
      <c r="A377" s="559"/>
      <c r="B377" s="560"/>
      <c r="C377" s="561"/>
      <c r="D377" s="562"/>
      <c r="E377" s="552"/>
      <c r="F377" s="552"/>
      <c r="G377" s="552"/>
      <c r="H377" s="552"/>
      <c r="I377" s="552"/>
      <c r="J377" s="552"/>
      <c r="K377" s="552"/>
      <c r="L377" s="552"/>
      <c r="M377" s="552"/>
      <c r="N377" s="552"/>
      <c r="O377" s="552"/>
      <c r="P377" s="552"/>
      <c r="Q377" s="552"/>
      <c r="R377" s="552"/>
      <c r="S377" s="552"/>
      <c r="T377" s="552"/>
      <c r="U377" s="552"/>
      <c r="V377" s="552"/>
      <c r="W377" s="552"/>
      <c r="X377" s="552"/>
      <c r="Y377" s="552"/>
      <c r="Z377" s="552"/>
    </row>
    <row r="378">
      <c r="A378" s="559"/>
      <c r="B378" s="560"/>
      <c r="C378" s="561"/>
      <c r="D378" s="562"/>
      <c r="E378" s="552"/>
      <c r="F378" s="552"/>
      <c r="G378" s="552"/>
      <c r="H378" s="552"/>
      <c r="I378" s="552"/>
      <c r="J378" s="552"/>
      <c r="K378" s="552"/>
      <c r="L378" s="552"/>
      <c r="M378" s="552"/>
      <c r="N378" s="552"/>
      <c r="O378" s="552"/>
      <c r="P378" s="552"/>
      <c r="Q378" s="552"/>
      <c r="R378" s="552"/>
      <c r="S378" s="552"/>
      <c r="T378" s="552"/>
      <c r="U378" s="552"/>
      <c r="V378" s="552"/>
      <c r="W378" s="552"/>
      <c r="X378" s="552"/>
      <c r="Y378" s="552"/>
      <c r="Z378" s="552"/>
    </row>
    <row r="379">
      <c r="A379" s="559"/>
      <c r="B379" s="560"/>
      <c r="C379" s="561"/>
      <c r="D379" s="562"/>
      <c r="E379" s="552"/>
      <c r="F379" s="552"/>
      <c r="G379" s="552"/>
      <c r="H379" s="552"/>
      <c r="I379" s="552"/>
      <c r="J379" s="552"/>
      <c r="K379" s="552"/>
      <c r="L379" s="552"/>
      <c r="M379" s="552"/>
      <c r="N379" s="552"/>
      <c r="O379" s="552"/>
      <c r="P379" s="552"/>
      <c r="Q379" s="552"/>
      <c r="R379" s="552"/>
      <c r="S379" s="552"/>
      <c r="T379" s="552"/>
      <c r="U379" s="552"/>
      <c r="V379" s="552"/>
      <c r="W379" s="552"/>
      <c r="X379" s="552"/>
      <c r="Y379" s="552"/>
      <c r="Z379" s="552"/>
    </row>
    <row r="380">
      <c r="A380" s="559"/>
      <c r="B380" s="560"/>
      <c r="C380" s="561"/>
      <c r="D380" s="562"/>
      <c r="E380" s="552"/>
      <c r="F380" s="552"/>
      <c r="G380" s="552"/>
      <c r="H380" s="552"/>
      <c r="I380" s="552"/>
      <c r="J380" s="552"/>
      <c r="K380" s="552"/>
      <c r="L380" s="552"/>
      <c r="M380" s="552"/>
      <c r="N380" s="552"/>
      <c r="O380" s="552"/>
      <c r="P380" s="552"/>
      <c r="Q380" s="552"/>
      <c r="R380" s="552"/>
      <c r="S380" s="552"/>
      <c r="T380" s="552"/>
      <c r="U380" s="552"/>
      <c r="V380" s="552"/>
      <c r="W380" s="552"/>
      <c r="X380" s="552"/>
      <c r="Y380" s="552"/>
      <c r="Z380" s="552"/>
    </row>
    <row r="381">
      <c r="A381" s="559"/>
      <c r="B381" s="560"/>
      <c r="C381" s="561"/>
      <c r="D381" s="562"/>
      <c r="E381" s="552"/>
      <c r="F381" s="552"/>
      <c r="G381" s="552"/>
      <c r="H381" s="552"/>
      <c r="I381" s="552"/>
      <c r="J381" s="552"/>
      <c r="K381" s="552"/>
      <c r="L381" s="552"/>
      <c r="M381" s="552"/>
      <c r="N381" s="552"/>
      <c r="O381" s="552"/>
      <c r="P381" s="552"/>
      <c r="Q381" s="552"/>
      <c r="R381" s="552"/>
      <c r="S381" s="552"/>
      <c r="T381" s="552"/>
      <c r="U381" s="552"/>
      <c r="V381" s="552"/>
      <c r="W381" s="552"/>
      <c r="X381" s="552"/>
      <c r="Y381" s="552"/>
      <c r="Z381" s="552"/>
    </row>
    <row r="382">
      <c r="A382" s="559"/>
      <c r="B382" s="560"/>
      <c r="C382" s="561"/>
      <c r="D382" s="562"/>
      <c r="E382" s="552"/>
      <c r="F382" s="552"/>
      <c r="G382" s="552"/>
      <c r="H382" s="552"/>
      <c r="I382" s="552"/>
      <c r="J382" s="552"/>
      <c r="K382" s="552"/>
      <c r="L382" s="552"/>
      <c r="M382" s="552"/>
      <c r="N382" s="552"/>
      <c r="O382" s="552"/>
      <c r="P382" s="552"/>
      <c r="Q382" s="552"/>
      <c r="R382" s="552"/>
      <c r="S382" s="552"/>
      <c r="T382" s="552"/>
      <c r="U382" s="552"/>
      <c r="V382" s="552"/>
      <c r="W382" s="552"/>
      <c r="X382" s="552"/>
      <c r="Y382" s="552"/>
      <c r="Z382" s="552"/>
    </row>
    <row r="383">
      <c r="A383" s="559"/>
      <c r="B383" s="560"/>
      <c r="C383" s="561"/>
      <c r="D383" s="562"/>
      <c r="E383" s="552"/>
      <c r="F383" s="552"/>
      <c r="G383" s="552"/>
      <c r="H383" s="552"/>
      <c r="I383" s="552"/>
      <c r="J383" s="552"/>
      <c r="K383" s="552"/>
      <c r="L383" s="552"/>
      <c r="M383" s="552"/>
      <c r="N383" s="552"/>
      <c r="O383" s="552"/>
      <c r="P383" s="552"/>
      <c r="Q383" s="552"/>
      <c r="R383" s="552"/>
      <c r="S383" s="552"/>
      <c r="T383" s="552"/>
      <c r="U383" s="552"/>
      <c r="V383" s="552"/>
      <c r="W383" s="552"/>
      <c r="X383" s="552"/>
      <c r="Y383" s="552"/>
      <c r="Z383" s="552"/>
    </row>
    <row r="384">
      <c r="A384" s="559"/>
      <c r="B384" s="560"/>
      <c r="C384" s="561"/>
      <c r="D384" s="562"/>
      <c r="E384" s="552"/>
      <c r="F384" s="552"/>
      <c r="G384" s="552"/>
      <c r="H384" s="552"/>
      <c r="I384" s="552"/>
      <c r="J384" s="552"/>
      <c r="K384" s="552"/>
      <c r="L384" s="552"/>
      <c r="M384" s="552"/>
      <c r="N384" s="552"/>
      <c r="O384" s="552"/>
      <c r="P384" s="552"/>
      <c r="Q384" s="552"/>
      <c r="R384" s="552"/>
      <c r="S384" s="552"/>
      <c r="T384" s="552"/>
      <c r="U384" s="552"/>
      <c r="V384" s="552"/>
      <c r="W384" s="552"/>
      <c r="X384" s="552"/>
      <c r="Y384" s="552"/>
      <c r="Z384" s="552"/>
    </row>
    <row r="385">
      <c r="A385" s="559"/>
      <c r="B385" s="560"/>
      <c r="C385" s="561"/>
      <c r="D385" s="562"/>
      <c r="E385" s="552"/>
      <c r="F385" s="552"/>
      <c r="G385" s="552"/>
      <c r="H385" s="552"/>
      <c r="I385" s="552"/>
      <c r="J385" s="552"/>
      <c r="K385" s="552"/>
      <c r="L385" s="552"/>
      <c r="M385" s="552"/>
      <c r="N385" s="552"/>
      <c r="O385" s="552"/>
      <c r="P385" s="552"/>
      <c r="Q385" s="552"/>
      <c r="R385" s="552"/>
      <c r="S385" s="552"/>
      <c r="T385" s="552"/>
      <c r="U385" s="552"/>
      <c r="V385" s="552"/>
      <c r="W385" s="552"/>
      <c r="X385" s="552"/>
      <c r="Y385" s="552"/>
      <c r="Z385" s="552"/>
    </row>
    <row r="386">
      <c r="A386" s="559"/>
      <c r="B386" s="560"/>
      <c r="C386" s="561"/>
      <c r="D386" s="562"/>
      <c r="E386" s="552"/>
      <c r="F386" s="552"/>
      <c r="G386" s="552"/>
      <c r="H386" s="552"/>
      <c r="I386" s="552"/>
      <c r="J386" s="552"/>
      <c r="K386" s="552"/>
      <c r="L386" s="552"/>
      <c r="M386" s="552"/>
      <c r="N386" s="552"/>
      <c r="O386" s="552"/>
      <c r="P386" s="552"/>
      <c r="Q386" s="552"/>
      <c r="R386" s="552"/>
      <c r="S386" s="552"/>
      <c r="T386" s="552"/>
      <c r="U386" s="552"/>
      <c r="V386" s="552"/>
      <c r="W386" s="552"/>
      <c r="X386" s="552"/>
      <c r="Y386" s="552"/>
      <c r="Z386" s="552"/>
    </row>
    <row r="387">
      <c r="A387" s="559"/>
      <c r="B387" s="560"/>
      <c r="C387" s="561"/>
      <c r="D387" s="562"/>
      <c r="E387" s="552"/>
      <c r="F387" s="552"/>
      <c r="G387" s="552"/>
      <c r="H387" s="552"/>
      <c r="I387" s="552"/>
      <c r="J387" s="552"/>
      <c r="K387" s="552"/>
      <c r="L387" s="552"/>
      <c r="M387" s="552"/>
      <c r="N387" s="552"/>
      <c r="O387" s="552"/>
      <c r="P387" s="552"/>
      <c r="Q387" s="552"/>
      <c r="R387" s="552"/>
      <c r="S387" s="552"/>
      <c r="T387" s="552"/>
      <c r="U387" s="552"/>
      <c r="V387" s="552"/>
      <c r="W387" s="552"/>
      <c r="X387" s="552"/>
      <c r="Y387" s="552"/>
      <c r="Z387" s="552"/>
    </row>
    <row r="388">
      <c r="A388" s="559"/>
      <c r="B388" s="560"/>
      <c r="C388" s="561"/>
      <c r="D388" s="562"/>
      <c r="E388" s="552"/>
      <c r="F388" s="552"/>
      <c r="G388" s="552"/>
      <c r="H388" s="552"/>
      <c r="I388" s="552"/>
      <c r="J388" s="552"/>
      <c r="K388" s="552"/>
      <c r="L388" s="552"/>
      <c r="M388" s="552"/>
      <c r="N388" s="552"/>
      <c r="O388" s="552"/>
      <c r="P388" s="552"/>
      <c r="Q388" s="552"/>
      <c r="R388" s="552"/>
      <c r="S388" s="552"/>
      <c r="T388" s="552"/>
      <c r="U388" s="552"/>
      <c r="V388" s="552"/>
      <c r="W388" s="552"/>
      <c r="X388" s="552"/>
      <c r="Y388" s="552"/>
      <c r="Z388" s="552"/>
    </row>
    <row r="389">
      <c r="A389" s="559"/>
      <c r="B389" s="560"/>
      <c r="C389" s="561"/>
      <c r="D389" s="562"/>
      <c r="E389" s="552"/>
      <c r="F389" s="552"/>
      <c r="G389" s="552"/>
      <c r="H389" s="552"/>
      <c r="I389" s="552"/>
      <c r="J389" s="552"/>
      <c r="K389" s="552"/>
      <c r="L389" s="552"/>
      <c r="M389" s="552"/>
      <c r="N389" s="552"/>
      <c r="O389" s="552"/>
      <c r="P389" s="552"/>
      <c r="Q389" s="552"/>
      <c r="R389" s="552"/>
      <c r="S389" s="552"/>
      <c r="T389" s="552"/>
      <c r="U389" s="552"/>
      <c r="V389" s="552"/>
      <c r="W389" s="552"/>
      <c r="X389" s="552"/>
      <c r="Y389" s="552"/>
      <c r="Z389" s="552"/>
    </row>
    <row r="390">
      <c r="A390" s="559"/>
      <c r="B390" s="560"/>
      <c r="C390" s="561"/>
      <c r="D390" s="562"/>
      <c r="E390" s="552"/>
      <c r="F390" s="552"/>
      <c r="G390" s="552"/>
      <c r="H390" s="552"/>
      <c r="I390" s="552"/>
      <c r="J390" s="552"/>
      <c r="K390" s="552"/>
      <c r="L390" s="552"/>
      <c r="M390" s="552"/>
      <c r="N390" s="552"/>
      <c r="O390" s="552"/>
      <c r="P390" s="552"/>
      <c r="Q390" s="552"/>
      <c r="R390" s="552"/>
      <c r="S390" s="552"/>
      <c r="T390" s="552"/>
      <c r="U390" s="552"/>
      <c r="V390" s="552"/>
      <c r="W390" s="552"/>
      <c r="X390" s="552"/>
      <c r="Y390" s="552"/>
      <c r="Z390" s="552"/>
    </row>
    <row r="391">
      <c r="A391" s="559"/>
      <c r="B391" s="560"/>
      <c r="C391" s="561"/>
      <c r="D391" s="562"/>
      <c r="E391" s="552"/>
      <c r="F391" s="552"/>
      <c r="G391" s="552"/>
      <c r="H391" s="552"/>
      <c r="I391" s="552"/>
      <c r="J391" s="552"/>
      <c r="K391" s="552"/>
      <c r="L391" s="552"/>
      <c r="M391" s="552"/>
      <c r="N391" s="552"/>
      <c r="O391" s="552"/>
      <c r="P391" s="552"/>
      <c r="Q391" s="552"/>
      <c r="R391" s="552"/>
      <c r="S391" s="552"/>
      <c r="T391" s="552"/>
      <c r="U391" s="552"/>
      <c r="V391" s="552"/>
      <c r="W391" s="552"/>
      <c r="X391" s="552"/>
      <c r="Y391" s="552"/>
      <c r="Z391" s="552"/>
    </row>
    <row r="392">
      <c r="A392" s="559"/>
      <c r="B392" s="560"/>
      <c r="C392" s="561"/>
      <c r="D392" s="562"/>
      <c r="E392" s="552"/>
      <c r="F392" s="552"/>
      <c r="G392" s="552"/>
      <c r="H392" s="552"/>
      <c r="I392" s="552"/>
      <c r="J392" s="552"/>
      <c r="K392" s="552"/>
      <c r="L392" s="552"/>
      <c r="M392" s="552"/>
      <c r="N392" s="552"/>
      <c r="O392" s="552"/>
      <c r="P392" s="552"/>
      <c r="Q392" s="552"/>
      <c r="R392" s="552"/>
      <c r="S392" s="552"/>
      <c r="T392" s="552"/>
      <c r="U392" s="552"/>
      <c r="V392" s="552"/>
      <c r="W392" s="552"/>
      <c r="X392" s="552"/>
      <c r="Y392" s="552"/>
      <c r="Z392" s="552"/>
    </row>
    <row r="393">
      <c r="A393" s="559"/>
      <c r="B393" s="560"/>
      <c r="C393" s="561"/>
      <c r="D393" s="562"/>
      <c r="E393" s="552"/>
      <c r="F393" s="552"/>
      <c r="G393" s="552"/>
      <c r="H393" s="552"/>
      <c r="I393" s="552"/>
      <c r="J393" s="552"/>
      <c r="K393" s="552"/>
      <c r="L393" s="552"/>
      <c r="M393" s="552"/>
      <c r="N393" s="552"/>
      <c r="O393" s="552"/>
      <c r="P393" s="552"/>
      <c r="Q393" s="552"/>
      <c r="R393" s="552"/>
      <c r="S393" s="552"/>
      <c r="T393" s="552"/>
      <c r="U393" s="552"/>
      <c r="V393" s="552"/>
      <c r="W393" s="552"/>
      <c r="X393" s="552"/>
      <c r="Y393" s="552"/>
      <c r="Z393" s="552"/>
    </row>
    <row r="394">
      <c r="A394" s="559"/>
      <c r="B394" s="560"/>
      <c r="C394" s="561"/>
      <c r="D394" s="562"/>
      <c r="E394" s="552"/>
      <c r="F394" s="552"/>
      <c r="G394" s="552"/>
      <c r="H394" s="552"/>
      <c r="I394" s="552"/>
      <c r="J394" s="552"/>
      <c r="K394" s="552"/>
      <c r="L394" s="552"/>
      <c r="M394" s="552"/>
      <c r="N394" s="552"/>
      <c r="O394" s="552"/>
      <c r="P394" s="552"/>
      <c r="Q394" s="552"/>
      <c r="R394" s="552"/>
      <c r="S394" s="552"/>
      <c r="T394" s="552"/>
      <c r="U394" s="552"/>
      <c r="V394" s="552"/>
      <c r="W394" s="552"/>
      <c r="X394" s="552"/>
      <c r="Y394" s="552"/>
      <c r="Z394" s="552"/>
    </row>
    <row r="395">
      <c r="A395" s="559"/>
      <c r="B395" s="560"/>
      <c r="C395" s="561"/>
      <c r="D395" s="562"/>
      <c r="E395" s="552"/>
      <c r="F395" s="552"/>
      <c r="G395" s="552"/>
      <c r="H395" s="552"/>
      <c r="I395" s="552"/>
      <c r="J395" s="552"/>
      <c r="K395" s="552"/>
      <c r="L395" s="552"/>
      <c r="M395" s="552"/>
      <c r="N395" s="552"/>
      <c r="O395" s="552"/>
      <c r="P395" s="552"/>
      <c r="Q395" s="552"/>
      <c r="R395" s="552"/>
      <c r="S395" s="552"/>
      <c r="T395" s="552"/>
      <c r="U395" s="552"/>
      <c r="V395" s="552"/>
      <c r="W395" s="552"/>
      <c r="X395" s="552"/>
      <c r="Y395" s="552"/>
      <c r="Z395" s="552"/>
    </row>
    <row r="396">
      <c r="A396" s="559"/>
      <c r="B396" s="560"/>
      <c r="C396" s="561"/>
      <c r="D396" s="562"/>
      <c r="E396" s="552"/>
      <c r="F396" s="552"/>
      <c r="G396" s="552"/>
      <c r="H396" s="552"/>
      <c r="I396" s="552"/>
      <c r="J396" s="552"/>
      <c r="K396" s="552"/>
      <c r="L396" s="552"/>
      <c r="M396" s="552"/>
      <c r="N396" s="552"/>
      <c r="O396" s="552"/>
      <c r="P396" s="552"/>
      <c r="Q396" s="552"/>
      <c r="R396" s="552"/>
      <c r="S396" s="552"/>
      <c r="T396" s="552"/>
      <c r="U396" s="552"/>
      <c r="V396" s="552"/>
      <c r="W396" s="552"/>
      <c r="X396" s="552"/>
      <c r="Y396" s="552"/>
      <c r="Z396" s="552"/>
    </row>
    <row r="397">
      <c r="A397" s="559"/>
      <c r="B397" s="560"/>
      <c r="C397" s="561"/>
      <c r="D397" s="562"/>
      <c r="E397" s="552"/>
      <c r="F397" s="552"/>
      <c r="G397" s="552"/>
      <c r="H397" s="552"/>
      <c r="I397" s="552"/>
      <c r="J397" s="552"/>
      <c r="K397" s="552"/>
      <c r="L397" s="552"/>
      <c r="M397" s="552"/>
      <c r="N397" s="552"/>
      <c r="O397" s="552"/>
      <c r="P397" s="552"/>
      <c r="Q397" s="552"/>
      <c r="R397" s="552"/>
      <c r="S397" s="552"/>
      <c r="T397" s="552"/>
      <c r="U397" s="552"/>
      <c r="V397" s="552"/>
      <c r="W397" s="552"/>
      <c r="X397" s="552"/>
      <c r="Y397" s="552"/>
      <c r="Z397" s="552"/>
    </row>
    <row r="398">
      <c r="A398" s="559"/>
      <c r="B398" s="560"/>
      <c r="C398" s="561"/>
      <c r="D398" s="562"/>
      <c r="E398" s="552"/>
      <c r="F398" s="552"/>
      <c r="G398" s="552"/>
      <c r="H398" s="552"/>
      <c r="I398" s="552"/>
      <c r="J398" s="552"/>
      <c r="K398" s="552"/>
      <c r="L398" s="552"/>
      <c r="M398" s="552"/>
      <c r="N398" s="552"/>
      <c r="O398" s="552"/>
      <c r="P398" s="552"/>
      <c r="Q398" s="552"/>
      <c r="R398" s="552"/>
      <c r="S398" s="552"/>
      <c r="T398" s="552"/>
      <c r="U398" s="552"/>
      <c r="V398" s="552"/>
      <c r="W398" s="552"/>
      <c r="X398" s="552"/>
      <c r="Y398" s="552"/>
      <c r="Z398" s="552"/>
    </row>
    <row r="399">
      <c r="A399" s="559"/>
      <c r="B399" s="560"/>
      <c r="C399" s="561"/>
      <c r="D399" s="562"/>
      <c r="E399" s="552"/>
      <c r="F399" s="552"/>
      <c r="G399" s="552"/>
      <c r="H399" s="552"/>
      <c r="I399" s="552"/>
      <c r="J399" s="552"/>
      <c r="K399" s="552"/>
      <c r="L399" s="552"/>
      <c r="M399" s="552"/>
      <c r="N399" s="552"/>
      <c r="O399" s="552"/>
      <c r="P399" s="552"/>
      <c r="Q399" s="552"/>
      <c r="R399" s="552"/>
      <c r="S399" s="552"/>
      <c r="T399" s="552"/>
      <c r="U399" s="552"/>
      <c r="V399" s="552"/>
      <c r="W399" s="552"/>
      <c r="X399" s="552"/>
      <c r="Y399" s="552"/>
      <c r="Z399" s="552"/>
    </row>
    <row r="400">
      <c r="A400" s="559"/>
      <c r="B400" s="560"/>
      <c r="C400" s="561"/>
      <c r="D400" s="562"/>
      <c r="E400" s="552"/>
      <c r="F400" s="552"/>
      <c r="G400" s="552"/>
      <c r="H400" s="552"/>
      <c r="I400" s="552"/>
      <c r="J400" s="552"/>
      <c r="K400" s="552"/>
      <c r="L400" s="552"/>
      <c r="M400" s="552"/>
      <c r="N400" s="552"/>
      <c r="O400" s="552"/>
      <c r="P400" s="552"/>
      <c r="Q400" s="552"/>
      <c r="R400" s="552"/>
      <c r="S400" s="552"/>
      <c r="T400" s="552"/>
      <c r="U400" s="552"/>
      <c r="V400" s="552"/>
      <c r="W400" s="552"/>
      <c r="X400" s="552"/>
      <c r="Y400" s="552"/>
      <c r="Z400" s="552"/>
    </row>
    <row r="401">
      <c r="A401" s="559"/>
      <c r="B401" s="560"/>
      <c r="C401" s="561"/>
      <c r="D401" s="562"/>
      <c r="E401" s="552"/>
      <c r="F401" s="552"/>
      <c r="G401" s="552"/>
      <c r="H401" s="552"/>
      <c r="I401" s="552"/>
      <c r="J401" s="552"/>
      <c r="K401" s="552"/>
      <c r="L401" s="552"/>
      <c r="M401" s="552"/>
      <c r="N401" s="552"/>
      <c r="O401" s="552"/>
      <c r="P401" s="552"/>
      <c r="Q401" s="552"/>
      <c r="R401" s="552"/>
      <c r="S401" s="552"/>
      <c r="T401" s="552"/>
      <c r="U401" s="552"/>
      <c r="V401" s="552"/>
      <c r="W401" s="552"/>
      <c r="X401" s="552"/>
      <c r="Y401" s="552"/>
      <c r="Z401" s="552"/>
    </row>
    <row r="402">
      <c r="A402" s="559"/>
      <c r="B402" s="560"/>
      <c r="C402" s="561"/>
      <c r="D402" s="562"/>
      <c r="E402" s="552"/>
      <c r="F402" s="552"/>
      <c r="G402" s="552"/>
      <c r="H402" s="552"/>
      <c r="I402" s="552"/>
      <c r="J402" s="552"/>
      <c r="K402" s="552"/>
      <c r="L402" s="552"/>
      <c r="M402" s="552"/>
      <c r="N402" s="552"/>
      <c r="O402" s="552"/>
      <c r="P402" s="552"/>
      <c r="Q402" s="552"/>
      <c r="R402" s="552"/>
      <c r="S402" s="552"/>
      <c r="T402" s="552"/>
      <c r="U402" s="552"/>
      <c r="V402" s="552"/>
      <c r="W402" s="552"/>
      <c r="X402" s="552"/>
      <c r="Y402" s="552"/>
      <c r="Z402" s="552"/>
    </row>
    <row r="403">
      <c r="A403" s="559"/>
      <c r="B403" s="560"/>
      <c r="C403" s="561"/>
      <c r="D403" s="562"/>
      <c r="E403" s="552"/>
      <c r="F403" s="552"/>
      <c r="G403" s="552"/>
      <c r="H403" s="552"/>
      <c r="I403" s="552"/>
      <c r="J403" s="552"/>
      <c r="K403" s="552"/>
      <c r="L403" s="552"/>
      <c r="M403" s="552"/>
      <c r="N403" s="552"/>
      <c r="O403" s="552"/>
      <c r="P403" s="552"/>
      <c r="Q403" s="552"/>
      <c r="R403" s="552"/>
      <c r="S403" s="552"/>
      <c r="T403" s="552"/>
      <c r="U403" s="552"/>
      <c r="V403" s="552"/>
      <c r="W403" s="552"/>
      <c r="X403" s="552"/>
      <c r="Y403" s="552"/>
      <c r="Z403" s="552"/>
    </row>
    <row r="404">
      <c r="A404" s="559"/>
      <c r="B404" s="560"/>
      <c r="C404" s="561"/>
      <c r="D404" s="562"/>
      <c r="E404" s="552"/>
      <c r="F404" s="552"/>
      <c r="G404" s="552"/>
      <c r="H404" s="552"/>
      <c r="I404" s="552"/>
      <c r="J404" s="552"/>
      <c r="K404" s="552"/>
      <c r="L404" s="552"/>
      <c r="M404" s="552"/>
      <c r="N404" s="552"/>
      <c r="O404" s="552"/>
      <c r="P404" s="552"/>
      <c r="Q404" s="552"/>
      <c r="R404" s="552"/>
      <c r="S404" s="552"/>
      <c r="T404" s="552"/>
      <c r="U404" s="552"/>
      <c r="V404" s="552"/>
      <c r="W404" s="552"/>
      <c r="X404" s="552"/>
      <c r="Y404" s="552"/>
      <c r="Z404" s="552"/>
    </row>
    <row r="405">
      <c r="A405" s="559"/>
      <c r="B405" s="560"/>
      <c r="C405" s="561"/>
      <c r="D405" s="562"/>
      <c r="E405" s="552"/>
      <c r="F405" s="552"/>
      <c r="G405" s="552"/>
      <c r="H405" s="552"/>
      <c r="I405" s="552"/>
      <c r="J405" s="552"/>
      <c r="K405" s="552"/>
      <c r="L405" s="552"/>
      <c r="M405" s="552"/>
      <c r="N405" s="552"/>
      <c r="O405" s="552"/>
      <c r="P405" s="552"/>
      <c r="Q405" s="552"/>
      <c r="R405" s="552"/>
      <c r="S405" s="552"/>
      <c r="T405" s="552"/>
      <c r="U405" s="552"/>
      <c r="V405" s="552"/>
      <c r="W405" s="552"/>
      <c r="X405" s="552"/>
      <c r="Y405" s="552"/>
      <c r="Z405" s="552"/>
    </row>
    <row r="406">
      <c r="A406" s="559"/>
      <c r="B406" s="560"/>
      <c r="C406" s="561"/>
      <c r="D406" s="562"/>
      <c r="E406" s="552"/>
      <c r="F406" s="552"/>
      <c r="G406" s="552"/>
      <c r="H406" s="552"/>
      <c r="I406" s="552"/>
      <c r="J406" s="552"/>
      <c r="K406" s="552"/>
      <c r="L406" s="552"/>
      <c r="M406" s="552"/>
      <c r="N406" s="552"/>
      <c r="O406" s="552"/>
      <c r="P406" s="552"/>
      <c r="Q406" s="552"/>
      <c r="R406" s="552"/>
      <c r="S406" s="552"/>
      <c r="T406" s="552"/>
      <c r="U406" s="552"/>
      <c r="V406" s="552"/>
      <c r="W406" s="552"/>
      <c r="X406" s="552"/>
      <c r="Y406" s="552"/>
      <c r="Z406" s="552"/>
    </row>
    <row r="407">
      <c r="A407" s="559"/>
      <c r="B407" s="560"/>
      <c r="C407" s="561"/>
      <c r="D407" s="562"/>
      <c r="E407" s="552"/>
      <c r="F407" s="552"/>
      <c r="G407" s="552"/>
      <c r="H407" s="552"/>
      <c r="I407" s="552"/>
      <c r="J407" s="552"/>
      <c r="K407" s="552"/>
      <c r="L407" s="552"/>
      <c r="M407" s="552"/>
      <c r="N407" s="552"/>
      <c r="O407" s="552"/>
      <c r="P407" s="552"/>
      <c r="Q407" s="552"/>
      <c r="R407" s="552"/>
      <c r="S407" s="552"/>
      <c r="T407" s="552"/>
      <c r="U407" s="552"/>
      <c r="V407" s="552"/>
      <c r="W407" s="552"/>
      <c r="X407" s="552"/>
      <c r="Y407" s="552"/>
      <c r="Z407" s="552"/>
    </row>
    <row r="408">
      <c r="A408" s="559"/>
      <c r="B408" s="560"/>
      <c r="C408" s="561"/>
      <c r="D408" s="562"/>
      <c r="E408" s="552"/>
      <c r="F408" s="552"/>
      <c r="G408" s="552"/>
      <c r="H408" s="552"/>
      <c r="I408" s="552"/>
      <c r="J408" s="552"/>
      <c r="K408" s="552"/>
      <c r="L408" s="552"/>
      <c r="M408" s="552"/>
      <c r="N408" s="552"/>
      <c r="O408" s="552"/>
      <c r="P408" s="552"/>
      <c r="Q408" s="552"/>
      <c r="R408" s="552"/>
      <c r="S408" s="552"/>
      <c r="T408" s="552"/>
      <c r="U408" s="552"/>
      <c r="V408" s="552"/>
      <c r="W408" s="552"/>
      <c r="X408" s="552"/>
      <c r="Y408" s="552"/>
      <c r="Z408" s="552"/>
    </row>
    <row r="409">
      <c r="A409" s="559"/>
      <c r="B409" s="560"/>
      <c r="C409" s="561"/>
      <c r="D409" s="562"/>
      <c r="E409" s="552"/>
      <c r="F409" s="552"/>
      <c r="G409" s="552"/>
      <c r="H409" s="552"/>
      <c r="I409" s="552"/>
      <c r="J409" s="552"/>
      <c r="K409" s="552"/>
      <c r="L409" s="552"/>
      <c r="M409" s="552"/>
      <c r="N409" s="552"/>
      <c r="O409" s="552"/>
      <c r="P409" s="552"/>
      <c r="Q409" s="552"/>
      <c r="R409" s="552"/>
      <c r="S409" s="552"/>
      <c r="T409" s="552"/>
      <c r="U409" s="552"/>
      <c r="V409" s="552"/>
      <c r="W409" s="552"/>
      <c r="X409" s="552"/>
      <c r="Y409" s="552"/>
      <c r="Z409" s="552"/>
    </row>
    <row r="410">
      <c r="A410" s="559"/>
      <c r="B410" s="560"/>
      <c r="C410" s="561"/>
      <c r="D410" s="562"/>
      <c r="E410" s="552"/>
      <c r="F410" s="552"/>
      <c r="G410" s="552"/>
      <c r="H410" s="552"/>
      <c r="I410" s="552"/>
      <c r="J410" s="552"/>
      <c r="K410" s="552"/>
      <c r="L410" s="552"/>
      <c r="M410" s="552"/>
      <c r="N410" s="552"/>
      <c r="O410" s="552"/>
      <c r="P410" s="552"/>
      <c r="Q410" s="552"/>
      <c r="R410" s="552"/>
      <c r="S410" s="552"/>
      <c r="T410" s="552"/>
      <c r="U410" s="552"/>
      <c r="V410" s="552"/>
      <c r="W410" s="552"/>
      <c r="X410" s="552"/>
      <c r="Y410" s="552"/>
      <c r="Z410" s="552"/>
    </row>
    <row r="411">
      <c r="A411" s="559"/>
      <c r="B411" s="560"/>
      <c r="C411" s="561"/>
      <c r="D411" s="562"/>
      <c r="E411" s="552"/>
      <c r="F411" s="552"/>
      <c r="G411" s="552"/>
      <c r="H411" s="552"/>
      <c r="I411" s="552"/>
      <c r="J411" s="552"/>
      <c r="K411" s="552"/>
      <c r="L411" s="552"/>
      <c r="M411" s="552"/>
      <c r="N411" s="552"/>
      <c r="O411" s="552"/>
      <c r="P411" s="552"/>
      <c r="Q411" s="552"/>
      <c r="R411" s="552"/>
      <c r="S411" s="552"/>
      <c r="T411" s="552"/>
      <c r="U411" s="552"/>
      <c r="V411" s="552"/>
      <c r="W411" s="552"/>
      <c r="X411" s="552"/>
      <c r="Y411" s="552"/>
      <c r="Z411" s="552"/>
    </row>
    <row r="412">
      <c r="A412" s="559"/>
      <c r="B412" s="560"/>
      <c r="C412" s="561"/>
      <c r="D412" s="562"/>
      <c r="E412" s="552"/>
      <c r="F412" s="552"/>
      <c r="G412" s="552"/>
      <c r="H412" s="552"/>
      <c r="I412" s="552"/>
      <c r="J412" s="552"/>
      <c r="K412" s="552"/>
      <c r="L412" s="552"/>
      <c r="M412" s="552"/>
      <c r="N412" s="552"/>
      <c r="O412" s="552"/>
      <c r="P412" s="552"/>
      <c r="Q412" s="552"/>
      <c r="R412" s="552"/>
      <c r="S412" s="552"/>
      <c r="T412" s="552"/>
      <c r="U412" s="552"/>
      <c r="V412" s="552"/>
      <c r="W412" s="552"/>
      <c r="X412" s="552"/>
      <c r="Y412" s="552"/>
      <c r="Z412" s="552"/>
    </row>
    <row r="413">
      <c r="A413" s="559"/>
      <c r="B413" s="560"/>
      <c r="C413" s="561"/>
      <c r="D413" s="562"/>
      <c r="E413" s="552"/>
      <c r="F413" s="552"/>
      <c r="G413" s="552"/>
      <c r="H413" s="552"/>
      <c r="I413" s="552"/>
      <c r="J413" s="552"/>
      <c r="K413" s="552"/>
      <c r="L413" s="552"/>
      <c r="M413" s="552"/>
      <c r="N413" s="552"/>
      <c r="O413" s="552"/>
      <c r="P413" s="552"/>
      <c r="Q413" s="552"/>
      <c r="R413" s="552"/>
      <c r="S413" s="552"/>
      <c r="T413" s="552"/>
      <c r="U413" s="552"/>
      <c r="V413" s="552"/>
      <c r="W413" s="552"/>
      <c r="X413" s="552"/>
      <c r="Y413" s="552"/>
      <c r="Z413" s="552"/>
    </row>
    <row r="414">
      <c r="A414" s="559"/>
      <c r="B414" s="560"/>
      <c r="C414" s="561"/>
      <c r="D414" s="562"/>
      <c r="E414" s="552"/>
      <c r="F414" s="552"/>
      <c r="G414" s="552"/>
      <c r="H414" s="552"/>
      <c r="I414" s="552"/>
      <c r="J414" s="552"/>
      <c r="K414" s="552"/>
      <c r="L414" s="552"/>
      <c r="M414" s="552"/>
      <c r="N414" s="552"/>
      <c r="O414" s="552"/>
      <c r="P414" s="552"/>
      <c r="Q414" s="552"/>
      <c r="R414" s="552"/>
      <c r="S414" s="552"/>
      <c r="T414" s="552"/>
      <c r="U414" s="552"/>
      <c r="V414" s="552"/>
      <c r="W414" s="552"/>
      <c r="X414" s="552"/>
      <c r="Y414" s="552"/>
      <c r="Z414" s="552"/>
    </row>
    <row r="415">
      <c r="A415" s="559"/>
      <c r="B415" s="560"/>
      <c r="C415" s="561"/>
      <c r="D415" s="562"/>
      <c r="E415" s="552"/>
      <c r="F415" s="552"/>
      <c r="G415" s="552"/>
      <c r="H415" s="552"/>
      <c r="I415" s="552"/>
      <c r="J415" s="552"/>
      <c r="K415" s="552"/>
      <c r="L415" s="552"/>
      <c r="M415" s="552"/>
      <c r="N415" s="552"/>
      <c r="O415" s="552"/>
      <c r="P415" s="552"/>
      <c r="Q415" s="552"/>
      <c r="R415" s="552"/>
      <c r="S415" s="552"/>
      <c r="T415" s="552"/>
      <c r="U415" s="552"/>
      <c r="V415" s="552"/>
      <c r="W415" s="552"/>
      <c r="X415" s="552"/>
      <c r="Y415" s="552"/>
      <c r="Z415" s="552"/>
    </row>
    <row r="416">
      <c r="A416" s="559"/>
      <c r="B416" s="560"/>
      <c r="C416" s="561"/>
      <c r="D416" s="562"/>
      <c r="E416" s="552"/>
      <c r="F416" s="552"/>
      <c r="G416" s="552"/>
      <c r="H416" s="552"/>
      <c r="I416" s="552"/>
      <c r="J416" s="552"/>
      <c r="K416" s="552"/>
      <c r="L416" s="552"/>
      <c r="M416" s="552"/>
      <c r="N416" s="552"/>
      <c r="O416" s="552"/>
      <c r="P416" s="552"/>
      <c r="Q416" s="552"/>
      <c r="R416" s="552"/>
      <c r="S416" s="552"/>
      <c r="T416" s="552"/>
      <c r="U416" s="552"/>
      <c r="V416" s="552"/>
      <c r="W416" s="552"/>
      <c r="X416" s="552"/>
      <c r="Y416" s="552"/>
      <c r="Z416" s="552"/>
    </row>
    <row r="417">
      <c r="A417" s="559"/>
      <c r="B417" s="560"/>
      <c r="C417" s="561"/>
      <c r="D417" s="562"/>
      <c r="E417" s="552"/>
      <c r="F417" s="552"/>
      <c r="G417" s="552"/>
      <c r="H417" s="552"/>
      <c r="I417" s="552"/>
      <c r="J417" s="552"/>
      <c r="K417" s="552"/>
      <c r="L417" s="552"/>
      <c r="M417" s="552"/>
      <c r="N417" s="552"/>
      <c r="O417" s="552"/>
      <c r="P417" s="552"/>
      <c r="Q417" s="552"/>
      <c r="R417" s="552"/>
      <c r="S417" s="552"/>
      <c r="T417" s="552"/>
      <c r="U417" s="552"/>
      <c r="V417" s="552"/>
      <c r="W417" s="552"/>
      <c r="X417" s="552"/>
      <c r="Y417" s="552"/>
      <c r="Z417" s="552"/>
    </row>
    <row r="418">
      <c r="A418" s="559"/>
      <c r="B418" s="560"/>
      <c r="C418" s="561"/>
      <c r="D418" s="562"/>
      <c r="E418" s="552"/>
      <c r="F418" s="552"/>
      <c r="G418" s="552"/>
      <c r="H418" s="552"/>
      <c r="I418" s="552"/>
      <c r="J418" s="552"/>
      <c r="K418" s="552"/>
      <c r="L418" s="552"/>
      <c r="M418" s="552"/>
      <c r="N418" s="552"/>
      <c r="O418" s="552"/>
      <c r="P418" s="552"/>
      <c r="Q418" s="552"/>
      <c r="R418" s="552"/>
      <c r="S418" s="552"/>
      <c r="T418" s="552"/>
      <c r="U418" s="552"/>
      <c r="V418" s="552"/>
      <c r="W418" s="552"/>
      <c r="X418" s="552"/>
      <c r="Y418" s="552"/>
      <c r="Z418" s="552"/>
    </row>
    <row r="419">
      <c r="A419" s="559"/>
      <c r="B419" s="560"/>
      <c r="C419" s="561"/>
      <c r="D419" s="562"/>
      <c r="E419" s="552"/>
      <c r="F419" s="552"/>
      <c r="G419" s="552"/>
      <c r="H419" s="552"/>
      <c r="I419" s="552"/>
      <c r="J419" s="552"/>
      <c r="K419" s="552"/>
      <c r="L419" s="552"/>
      <c r="M419" s="552"/>
      <c r="N419" s="552"/>
      <c r="O419" s="552"/>
      <c r="P419" s="552"/>
      <c r="Q419" s="552"/>
      <c r="R419" s="552"/>
      <c r="S419" s="552"/>
      <c r="T419" s="552"/>
      <c r="U419" s="552"/>
      <c r="V419" s="552"/>
      <c r="W419" s="552"/>
      <c r="X419" s="552"/>
      <c r="Y419" s="552"/>
      <c r="Z419" s="552"/>
    </row>
    <row r="420">
      <c r="A420" s="559"/>
      <c r="B420" s="560"/>
      <c r="C420" s="561"/>
      <c r="D420" s="562"/>
      <c r="E420" s="552"/>
      <c r="F420" s="552"/>
      <c r="G420" s="552"/>
      <c r="H420" s="552"/>
      <c r="I420" s="552"/>
      <c r="J420" s="552"/>
      <c r="K420" s="552"/>
      <c r="L420" s="552"/>
      <c r="M420" s="552"/>
      <c r="N420" s="552"/>
      <c r="O420" s="552"/>
      <c r="P420" s="552"/>
      <c r="Q420" s="552"/>
      <c r="R420" s="552"/>
      <c r="S420" s="552"/>
      <c r="T420" s="552"/>
      <c r="U420" s="552"/>
      <c r="V420" s="552"/>
      <c r="W420" s="552"/>
      <c r="X420" s="552"/>
      <c r="Y420" s="552"/>
      <c r="Z420" s="552"/>
    </row>
    <row r="421">
      <c r="A421" s="559"/>
      <c r="B421" s="560"/>
      <c r="C421" s="561"/>
      <c r="D421" s="562"/>
      <c r="E421" s="552"/>
      <c r="F421" s="552"/>
      <c r="G421" s="552"/>
      <c r="H421" s="552"/>
      <c r="I421" s="552"/>
      <c r="J421" s="552"/>
      <c r="K421" s="552"/>
      <c r="L421" s="552"/>
      <c r="M421" s="552"/>
      <c r="N421" s="552"/>
      <c r="O421" s="552"/>
      <c r="P421" s="552"/>
      <c r="Q421" s="552"/>
      <c r="R421" s="552"/>
      <c r="S421" s="552"/>
      <c r="T421" s="552"/>
      <c r="U421" s="552"/>
      <c r="V421" s="552"/>
      <c r="W421" s="552"/>
      <c r="X421" s="552"/>
      <c r="Y421" s="552"/>
      <c r="Z421" s="552"/>
    </row>
    <row r="422">
      <c r="A422" s="559"/>
      <c r="B422" s="560"/>
      <c r="C422" s="561"/>
      <c r="D422" s="562"/>
      <c r="E422" s="552"/>
      <c r="F422" s="552"/>
      <c r="G422" s="552"/>
      <c r="H422" s="552"/>
      <c r="I422" s="552"/>
      <c r="J422" s="552"/>
      <c r="K422" s="552"/>
      <c r="L422" s="552"/>
      <c r="M422" s="552"/>
      <c r="N422" s="552"/>
      <c r="O422" s="552"/>
      <c r="P422" s="552"/>
      <c r="Q422" s="552"/>
      <c r="R422" s="552"/>
      <c r="S422" s="552"/>
      <c r="T422" s="552"/>
      <c r="U422" s="552"/>
      <c r="V422" s="552"/>
      <c r="W422" s="552"/>
      <c r="X422" s="552"/>
      <c r="Y422" s="552"/>
      <c r="Z422" s="552"/>
    </row>
    <row r="423">
      <c r="A423" s="559"/>
      <c r="B423" s="560"/>
      <c r="C423" s="561"/>
      <c r="D423" s="562"/>
      <c r="E423" s="552"/>
      <c r="F423" s="552"/>
      <c r="G423" s="552"/>
      <c r="H423" s="552"/>
      <c r="I423" s="552"/>
      <c r="J423" s="552"/>
      <c r="K423" s="552"/>
      <c r="L423" s="552"/>
      <c r="M423" s="552"/>
      <c r="N423" s="552"/>
      <c r="O423" s="552"/>
      <c r="P423" s="552"/>
      <c r="Q423" s="552"/>
      <c r="R423" s="552"/>
      <c r="S423" s="552"/>
      <c r="T423" s="552"/>
      <c r="U423" s="552"/>
      <c r="V423" s="552"/>
      <c r="W423" s="552"/>
      <c r="X423" s="552"/>
      <c r="Y423" s="552"/>
      <c r="Z423" s="552"/>
    </row>
    <row r="424">
      <c r="A424" s="559"/>
      <c r="B424" s="560"/>
      <c r="C424" s="561"/>
      <c r="D424" s="562"/>
      <c r="E424" s="552"/>
      <c r="F424" s="552"/>
      <c r="G424" s="552"/>
      <c r="H424" s="552"/>
      <c r="I424" s="552"/>
      <c r="J424" s="552"/>
      <c r="K424" s="552"/>
      <c r="L424" s="552"/>
      <c r="M424" s="552"/>
      <c r="N424" s="552"/>
      <c r="O424" s="552"/>
      <c r="P424" s="552"/>
      <c r="Q424" s="552"/>
      <c r="R424" s="552"/>
      <c r="S424" s="552"/>
      <c r="T424" s="552"/>
      <c r="U424" s="552"/>
      <c r="V424" s="552"/>
      <c r="W424" s="552"/>
      <c r="X424" s="552"/>
      <c r="Y424" s="552"/>
      <c r="Z424" s="552"/>
    </row>
    <row r="425">
      <c r="A425" s="559"/>
      <c r="B425" s="560"/>
      <c r="C425" s="561"/>
      <c r="D425" s="562"/>
      <c r="E425" s="552"/>
      <c r="F425" s="552"/>
      <c r="G425" s="552"/>
      <c r="H425" s="552"/>
      <c r="I425" s="552"/>
      <c r="J425" s="552"/>
      <c r="K425" s="552"/>
      <c r="L425" s="552"/>
      <c r="M425" s="552"/>
      <c r="N425" s="552"/>
      <c r="O425" s="552"/>
      <c r="P425" s="552"/>
      <c r="Q425" s="552"/>
      <c r="R425" s="552"/>
      <c r="S425" s="552"/>
      <c r="T425" s="552"/>
      <c r="U425" s="552"/>
      <c r="V425" s="552"/>
      <c r="W425" s="552"/>
      <c r="X425" s="552"/>
      <c r="Y425" s="552"/>
      <c r="Z425" s="552"/>
    </row>
    <row r="426">
      <c r="A426" s="559"/>
      <c r="B426" s="560"/>
      <c r="C426" s="561"/>
      <c r="D426" s="562"/>
      <c r="E426" s="552"/>
      <c r="F426" s="552"/>
      <c r="G426" s="552"/>
      <c r="H426" s="552"/>
      <c r="I426" s="552"/>
      <c r="J426" s="552"/>
      <c r="K426" s="552"/>
      <c r="L426" s="552"/>
      <c r="M426" s="552"/>
      <c r="N426" s="552"/>
      <c r="O426" s="552"/>
      <c r="P426" s="552"/>
      <c r="Q426" s="552"/>
      <c r="R426" s="552"/>
      <c r="S426" s="552"/>
      <c r="T426" s="552"/>
      <c r="U426" s="552"/>
      <c r="V426" s="552"/>
      <c r="W426" s="552"/>
      <c r="X426" s="552"/>
      <c r="Y426" s="552"/>
      <c r="Z426" s="552"/>
    </row>
    <row r="427">
      <c r="A427" s="559"/>
      <c r="B427" s="560"/>
      <c r="C427" s="561"/>
      <c r="D427" s="562"/>
      <c r="E427" s="552"/>
      <c r="F427" s="552"/>
      <c r="G427" s="552"/>
      <c r="H427" s="552"/>
      <c r="I427" s="552"/>
      <c r="J427" s="552"/>
      <c r="K427" s="552"/>
      <c r="L427" s="552"/>
      <c r="M427" s="552"/>
      <c r="N427" s="552"/>
      <c r="O427" s="552"/>
      <c r="P427" s="552"/>
      <c r="Q427" s="552"/>
      <c r="R427" s="552"/>
      <c r="S427" s="552"/>
      <c r="T427" s="552"/>
      <c r="U427" s="552"/>
      <c r="V427" s="552"/>
      <c r="W427" s="552"/>
      <c r="X427" s="552"/>
      <c r="Y427" s="552"/>
      <c r="Z427" s="552"/>
    </row>
    <row r="428">
      <c r="A428" s="559"/>
      <c r="B428" s="560"/>
      <c r="C428" s="561"/>
      <c r="D428" s="562"/>
      <c r="E428" s="552"/>
      <c r="F428" s="552"/>
      <c r="G428" s="552"/>
      <c r="H428" s="552"/>
      <c r="I428" s="552"/>
      <c r="J428" s="552"/>
      <c r="K428" s="552"/>
      <c r="L428" s="552"/>
      <c r="M428" s="552"/>
      <c r="N428" s="552"/>
      <c r="O428" s="552"/>
      <c r="P428" s="552"/>
      <c r="Q428" s="552"/>
      <c r="R428" s="552"/>
      <c r="S428" s="552"/>
      <c r="T428" s="552"/>
      <c r="U428" s="552"/>
      <c r="V428" s="552"/>
      <c r="W428" s="552"/>
      <c r="X428" s="552"/>
      <c r="Y428" s="552"/>
      <c r="Z428" s="552"/>
    </row>
    <row r="429">
      <c r="A429" s="559"/>
      <c r="B429" s="560"/>
      <c r="C429" s="561"/>
      <c r="D429" s="562"/>
      <c r="E429" s="552"/>
      <c r="F429" s="552"/>
      <c r="G429" s="552"/>
      <c r="H429" s="552"/>
      <c r="I429" s="552"/>
      <c r="J429" s="552"/>
      <c r="K429" s="552"/>
      <c r="L429" s="552"/>
      <c r="M429" s="552"/>
      <c r="N429" s="552"/>
      <c r="O429" s="552"/>
      <c r="P429" s="552"/>
      <c r="Q429" s="552"/>
      <c r="R429" s="552"/>
      <c r="S429" s="552"/>
      <c r="T429" s="552"/>
      <c r="U429" s="552"/>
      <c r="V429" s="552"/>
      <c r="W429" s="552"/>
      <c r="X429" s="552"/>
      <c r="Y429" s="552"/>
      <c r="Z429" s="552"/>
    </row>
    <row r="430">
      <c r="A430" s="559"/>
      <c r="B430" s="560"/>
      <c r="C430" s="561"/>
      <c r="D430" s="562"/>
      <c r="E430" s="552"/>
      <c r="F430" s="552"/>
      <c r="G430" s="552"/>
      <c r="H430" s="552"/>
      <c r="I430" s="552"/>
      <c r="J430" s="552"/>
      <c r="K430" s="552"/>
      <c r="L430" s="552"/>
      <c r="M430" s="552"/>
      <c r="N430" s="552"/>
      <c r="O430" s="552"/>
      <c r="P430" s="552"/>
      <c r="Q430" s="552"/>
      <c r="R430" s="552"/>
      <c r="S430" s="552"/>
      <c r="T430" s="552"/>
      <c r="U430" s="552"/>
      <c r="V430" s="552"/>
      <c r="W430" s="552"/>
      <c r="X430" s="552"/>
      <c r="Y430" s="552"/>
      <c r="Z430" s="552"/>
    </row>
    <row r="431">
      <c r="A431" s="559"/>
      <c r="B431" s="560"/>
      <c r="C431" s="561"/>
      <c r="D431" s="562"/>
      <c r="E431" s="552"/>
      <c r="F431" s="552"/>
      <c r="G431" s="552"/>
      <c r="H431" s="552"/>
      <c r="I431" s="552"/>
      <c r="J431" s="552"/>
      <c r="K431" s="552"/>
      <c r="L431" s="552"/>
      <c r="M431" s="552"/>
      <c r="N431" s="552"/>
      <c r="O431" s="552"/>
      <c r="P431" s="552"/>
      <c r="Q431" s="552"/>
      <c r="R431" s="552"/>
      <c r="S431" s="552"/>
      <c r="T431" s="552"/>
      <c r="U431" s="552"/>
      <c r="V431" s="552"/>
      <c r="W431" s="552"/>
      <c r="X431" s="552"/>
      <c r="Y431" s="552"/>
      <c r="Z431" s="552"/>
    </row>
    <row r="432">
      <c r="A432" s="559"/>
      <c r="B432" s="560"/>
      <c r="C432" s="561"/>
      <c r="D432" s="562"/>
      <c r="E432" s="552"/>
      <c r="F432" s="552"/>
      <c r="G432" s="552"/>
      <c r="H432" s="552"/>
      <c r="I432" s="552"/>
      <c r="J432" s="552"/>
      <c r="K432" s="552"/>
      <c r="L432" s="552"/>
      <c r="M432" s="552"/>
      <c r="N432" s="552"/>
      <c r="O432" s="552"/>
      <c r="P432" s="552"/>
      <c r="Q432" s="552"/>
      <c r="R432" s="552"/>
      <c r="S432" s="552"/>
      <c r="T432" s="552"/>
      <c r="U432" s="552"/>
      <c r="V432" s="552"/>
      <c r="W432" s="552"/>
      <c r="X432" s="552"/>
      <c r="Y432" s="552"/>
      <c r="Z432" s="552"/>
    </row>
    <row r="433">
      <c r="A433" s="559"/>
      <c r="B433" s="560"/>
      <c r="C433" s="561"/>
      <c r="D433" s="562"/>
      <c r="E433" s="552"/>
      <c r="F433" s="552"/>
      <c r="G433" s="552"/>
      <c r="H433" s="552"/>
      <c r="I433" s="552"/>
      <c r="J433" s="552"/>
      <c r="K433" s="552"/>
      <c r="L433" s="552"/>
      <c r="M433" s="552"/>
      <c r="N433" s="552"/>
      <c r="O433" s="552"/>
      <c r="P433" s="552"/>
      <c r="Q433" s="552"/>
      <c r="R433" s="552"/>
      <c r="S433" s="552"/>
      <c r="T433" s="552"/>
      <c r="U433" s="552"/>
      <c r="V433" s="552"/>
      <c r="W433" s="552"/>
      <c r="X433" s="552"/>
      <c r="Y433" s="552"/>
      <c r="Z433" s="552"/>
    </row>
    <row r="434">
      <c r="A434" s="559"/>
      <c r="B434" s="560"/>
      <c r="C434" s="561"/>
      <c r="D434" s="562"/>
      <c r="E434" s="552"/>
      <c r="F434" s="552"/>
      <c r="G434" s="552"/>
      <c r="H434" s="552"/>
      <c r="I434" s="552"/>
      <c r="J434" s="552"/>
      <c r="K434" s="552"/>
      <c r="L434" s="552"/>
      <c r="M434" s="552"/>
      <c r="N434" s="552"/>
      <c r="O434" s="552"/>
      <c r="P434" s="552"/>
      <c r="Q434" s="552"/>
      <c r="R434" s="552"/>
      <c r="S434" s="552"/>
      <c r="T434" s="552"/>
      <c r="U434" s="552"/>
      <c r="V434" s="552"/>
      <c r="W434" s="552"/>
      <c r="X434" s="552"/>
      <c r="Y434" s="552"/>
      <c r="Z434" s="552"/>
    </row>
    <row r="435">
      <c r="A435" s="559"/>
      <c r="B435" s="560"/>
      <c r="C435" s="561"/>
      <c r="D435" s="562"/>
      <c r="E435" s="552"/>
      <c r="F435" s="552"/>
      <c r="G435" s="552"/>
      <c r="H435" s="552"/>
      <c r="I435" s="552"/>
      <c r="J435" s="552"/>
      <c r="K435" s="552"/>
      <c r="L435" s="552"/>
      <c r="M435" s="552"/>
      <c r="N435" s="552"/>
      <c r="O435" s="552"/>
      <c r="P435" s="552"/>
      <c r="Q435" s="552"/>
      <c r="R435" s="552"/>
      <c r="S435" s="552"/>
      <c r="T435" s="552"/>
      <c r="U435" s="552"/>
      <c r="V435" s="552"/>
      <c r="W435" s="552"/>
      <c r="X435" s="552"/>
      <c r="Y435" s="552"/>
      <c r="Z435" s="552"/>
    </row>
    <row r="436">
      <c r="A436" s="559"/>
      <c r="B436" s="560"/>
      <c r="C436" s="561"/>
      <c r="D436" s="562"/>
      <c r="E436" s="552"/>
      <c r="F436" s="552"/>
      <c r="G436" s="552"/>
      <c r="H436" s="552"/>
      <c r="I436" s="552"/>
      <c r="J436" s="552"/>
      <c r="K436" s="552"/>
      <c r="L436" s="552"/>
      <c r="M436" s="552"/>
      <c r="N436" s="552"/>
      <c r="O436" s="552"/>
      <c r="P436" s="552"/>
      <c r="Q436" s="552"/>
      <c r="R436" s="552"/>
      <c r="S436" s="552"/>
      <c r="T436" s="552"/>
      <c r="U436" s="552"/>
      <c r="V436" s="552"/>
      <c r="W436" s="552"/>
      <c r="X436" s="552"/>
      <c r="Y436" s="552"/>
      <c r="Z436" s="552"/>
    </row>
    <row r="437">
      <c r="A437" s="559"/>
      <c r="B437" s="560"/>
      <c r="C437" s="561"/>
      <c r="D437" s="562"/>
      <c r="E437" s="552"/>
      <c r="F437" s="552"/>
      <c r="G437" s="552"/>
      <c r="H437" s="552"/>
      <c r="I437" s="552"/>
      <c r="J437" s="552"/>
      <c r="K437" s="552"/>
      <c r="L437" s="552"/>
      <c r="M437" s="552"/>
      <c r="N437" s="552"/>
      <c r="O437" s="552"/>
      <c r="P437" s="552"/>
      <c r="Q437" s="552"/>
      <c r="R437" s="552"/>
      <c r="S437" s="552"/>
      <c r="T437" s="552"/>
      <c r="U437" s="552"/>
      <c r="V437" s="552"/>
      <c r="W437" s="552"/>
      <c r="X437" s="552"/>
      <c r="Y437" s="552"/>
      <c r="Z437" s="552"/>
    </row>
    <row r="438">
      <c r="A438" s="559"/>
      <c r="B438" s="560"/>
      <c r="C438" s="561"/>
      <c r="D438" s="562"/>
      <c r="E438" s="552"/>
      <c r="F438" s="552"/>
      <c r="G438" s="552"/>
      <c r="H438" s="552"/>
      <c r="I438" s="552"/>
      <c r="J438" s="552"/>
      <c r="K438" s="552"/>
      <c r="L438" s="552"/>
      <c r="M438" s="552"/>
      <c r="N438" s="552"/>
      <c r="O438" s="552"/>
      <c r="P438" s="552"/>
      <c r="Q438" s="552"/>
      <c r="R438" s="552"/>
      <c r="S438" s="552"/>
      <c r="T438" s="552"/>
      <c r="U438" s="552"/>
      <c r="V438" s="552"/>
      <c r="W438" s="552"/>
      <c r="X438" s="552"/>
      <c r="Y438" s="552"/>
      <c r="Z438" s="552"/>
    </row>
    <row r="439">
      <c r="A439" s="559"/>
      <c r="B439" s="560"/>
      <c r="C439" s="561"/>
      <c r="D439" s="562"/>
      <c r="E439" s="552"/>
      <c r="F439" s="552"/>
      <c r="G439" s="552"/>
      <c r="H439" s="552"/>
      <c r="I439" s="552"/>
      <c r="J439" s="552"/>
      <c r="K439" s="552"/>
      <c r="L439" s="552"/>
      <c r="M439" s="552"/>
      <c r="N439" s="552"/>
      <c r="O439" s="552"/>
      <c r="P439" s="552"/>
      <c r="Q439" s="552"/>
      <c r="R439" s="552"/>
      <c r="S439" s="552"/>
      <c r="T439" s="552"/>
      <c r="U439" s="552"/>
      <c r="V439" s="552"/>
      <c r="W439" s="552"/>
      <c r="X439" s="552"/>
      <c r="Y439" s="552"/>
      <c r="Z439" s="552"/>
    </row>
    <row r="440">
      <c r="A440" s="559"/>
      <c r="B440" s="560"/>
      <c r="C440" s="561"/>
      <c r="D440" s="562"/>
      <c r="E440" s="552"/>
      <c r="F440" s="552"/>
      <c r="G440" s="552"/>
      <c r="H440" s="552"/>
      <c r="I440" s="552"/>
      <c r="J440" s="552"/>
      <c r="K440" s="552"/>
      <c r="L440" s="552"/>
      <c r="M440" s="552"/>
      <c r="N440" s="552"/>
      <c r="O440" s="552"/>
      <c r="P440" s="552"/>
      <c r="Q440" s="552"/>
      <c r="R440" s="552"/>
      <c r="S440" s="552"/>
      <c r="T440" s="552"/>
      <c r="U440" s="552"/>
      <c r="V440" s="552"/>
      <c r="W440" s="552"/>
      <c r="X440" s="552"/>
      <c r="Y440" s="552"/>
      <c r="Z440" s="552"/>
    </row>
    <row r="441">
      <c r="A441" s="559"/>
      <c r="B441" s="560"/>
      <c r="C441" s="561"/>
      <c r="D441" s="562"/>
      <c r="E441" s="552"/>
      <c r="F441" s="552"/>
      <c r="G441" s="552"/>
      <c r="H441" s="552"/>
      <c r="I441" s="552"/>
      <c r="J441" s="552"/>
      <c r="K441" s="552"/>
      <c r="L441" s="552"/>
      <c r="M441" s="552"/>
      <c r="N441" s="552"/>
      <c r="O441" s="552"/>
      <c r="P441" s="552"/>
      <c r="Q441" s="552"/>
      <c r="R441" s="552"/>
      <c r="S441" s="552"/>
      <c r="T441" s="552"/>
      <c r="U441" s="552"/>
      <c r="V441" s="552"/>
      <c r="W441" s="552"/>
      <c r="X441" s="552"/>
      <c r="Y441" s="552"/>
      <c r="Z441" s="552"/>
    </row>
    <row r="442">
      <c r="A442" s="559"/>
      <c r="B442" s="560"/>
      <c r="C442" s="561"/>
      <c r="D442" s="562"/>
      <c r="E442" s="552"/>
      <c r="F442" s="552"/>
      <c r="G442" s="552"/>
      <c r="H442" s="552"/>
      <c r="I442" s="552"/>
      <c r="J442" s="552"/>
      <c r="K442" s="552"/>
      <c r="L442" s="552"/>
      <c r="M442" s="552"/>
      <c r="N442" s="552"/>
      <c r="O442" s="552"/>
      <c r="P442" s="552"/>
      <c r="Q442" s="552"/>
      <c r="R442" s="552"/>
      <c r="S442" s="552"/>
      <c r="T442" s="552"/>
      <c r="U442" s="552"/>
      <c r="V442" s="552"/>
      <c r="W442" s="552"/>
      <c r="X442" s="552"/>
      <c r="Y442" s="552"/>
      <c r="Z442" s="552"/>
    </row>
    <row r="443">
      <c r="A443" s="559"/>
      <c r="B443" s="560"/>
      <c r="C443" s="561"/>
      <c r="D443" s="562"/>
      <c r="E443" s="552"/>
      <c r="F443" s="552"/>
      <c r="G443" s="552"/>
      <c r="H443" s="552"/>
      <c r="I443" s="552"/>
      <c r="J443" s="552"/>
      <c r="K443" s="552"/>
      <c r="L443" s="552"/>
      <c r="M443" s="552"/>
      <c r="N443" s="552"/>
      <c r="O443" s="552"/>
      <c r="P443" s="552"/>
      <c r="Q443" s="552"/>
      <c r="R443" s="552"/>
      <c r="S443" s="552"/>
      <c r="T443" s="552"/>
      <c r="U443" s="552"/>
      <c r="V443" s="552"/>
      <c r="W443" s="552"/>
      <c r="X443" s="552"/>
      <c r="Y443" s="552"/>
      <c r="Z443" s="552"/>
    </row>
    <row r="444">
      <c r="A444" s="559"/>
      <c r="B444" s="560"/>
      <c r="C444" s="561"/>
      <c r="D444" s="562"/>
      <c r="E444" s="552"/>
      <c r="F444" s="552"/>
      <c r="G444" s="552"/>
      <c r="H444" s="552"/>
      <c r="I444" s="552"/>
      <c r="J444" s="552"/>
      <c r="K444" s="552"/>
      <c r="L444" s="552"/>
      <c r="M444" s="552"/>
      <c r="N444" s="552"/>
      <c r="O444" s="552"/>
      <c r="P444" s="552"/>
      <c r="Q444" s="552"/>
      <c r="R444" s="552"/>
      <c r="S444" s="552"/>
      <c r="T444" s="552"/>
      <c r="U444" s="552"/>
      <c r="V444" s="552"/>
      <c r="W444" s="552"/>
      <c r="X444" s="552"/>
      <c r="Y444" s="552"/>
      <c r="Z444" s="552"/>
    </row>
    <row r="445">
      <c r="A445" s="559"/>
      <c r="B445" s="560"/>
      <c r="C445" s="561"/>
      <c r="D445" s="562"/>
      <c r="E445" s="552"/>
      <c r="F445" s="552"/>
      <c r="G445" s="552"/>
      <c r="H445" s="552"/>
      <c r="I445" s="552"/>
      <c r="J445" s="552"/>
      <c r="K445" s="552"/>
      <c r="L445" s="552"/>
      <c r="M445" s="552"/>
      <c r="N445" s="552"/>
      <c r="O445" s="552"/>
      <c r="P445" s="552"/>
      <c r="Q445" s="552"/>
      <c r="R445" s="552"/>
      <c r="S445" s="552"/>
      <c r="T445" s="552"/>
      <c r="U445" s="552"/>
      <c r="V445" s="552"/>
      <c r="W445" s="552"/>
      <c r="X445" s="552"/>
      <c r="Y445" s="552"/>
      <c r="Z445" s="552"/>
    </row>
    <row r="446">
      <c r="A446" s="559"/>
      <c r="B446" s="560"/>
      <c r="C446" s="561"/>
      <c r="D446" s="562"/>
      <c r="E446" s="552"/>
      <c r="F446" s="552"/>
      <c r="G446" s="552"/>
      <c r="H446" s="552"/>
      <c r="I446" s="552"/>
      <c r="J446" s="552"/>
      <c r="K446" s="552"/>
      <c r="L446" s="552"/>
      <c r="M446" s="552"/>
      <c r="N446" s="552"/>
      <c r="O446" s="552"/>
      <c r="P446" s="552"/>
      <c r="Q446" s="552"/>
      <c r="R446" s="552"/>
      <c r="S446" s="552"/>
      <c r="T446" s="552"/>
      <c r="U446" s="552"/>
      <c r="V446" s="552"/>
      <c r="W446" s="552"/>
      <c r="X446" s="552"/>
      <c r="Y446" s="552"/>
      <c r="Z446" s="552"/>
    </row>
    <row r="447">
      <c r="A447" s="559"/>
      <c r="B447" s="560"/>
      <c r="C447" s="561"/>
      <c r="D447" s="562"/>
      <c r="E447" s="552"/>
      <c r="F447" s="552"/>
      <c r="G447" s="552"/>
      <c r="H447" s="552"/>
      <c r="I447" s="552"/>
      <c r="J447" s="552"/>
      <c r="K447" s="552"/>
      <c r="L447" s="552"/>
      <c r="M447" s="552"/>
      <c r="N447" s="552"/>
      <c r="O447" s="552"/>
      <c r="P447" s="552"/>
      <c r="Q447" s="552"/>
      <c r="R447" s="552"/>
      <c r="S447" s="552"/>
      <c r="T447" s="552"/>
      <c r="U447" s="552"/>
      <c r="V447" s="552"/>
      <c r="W447" s="552"/>
      <c r="X447" s="552"/>
      <c r="Y447" s="552"/>
      <c r="Z447" s="552"/>
    </row>
    <row r="448">
      <c r="A448" s="559"/>
      <c r="B448" s="560"/>
      <c r="C448" s="561"/>
      <c r="D448" s="562"/>
      <c r="E448" s="552"/>
      <c r="F448" s="552"/>
      <c r="G448" s="552"/>
      <c r="H448" s="552"/>
      <c r="I448" s="552"/>
      <c r="J448" s="552"/>
      <c r="K448" s="552"/>
      <c r="L448" s="552"/>
      <c r="M448" s="552"/>
      <c r="N448" s="552"/>
      <c r="O448" s="552"/>
      <c r="P448" s="552"/>
      <c r="Q448" s="552"/>
      <c r="R448" s="552"/>
      <c r="S448" s="552"/>
      <c r="T448" s="552"/>
      <c r="U448" s="552"/>
      <c r="V448" s="552"/>
      <c r="W448" s="552"/>
      <c r="X448" s="552"/>
      <c r="Y448" s="552"/>
      <c r="Z448" s="552"/>
    </row>
    <row r="449">
      <c r="A449" s="559"/>
      <c r="B449" s="560"/>
      <c r="C449" s="561"/>
      <c r="D449" s="562"/>
      <c r="E449" s="552"/>
      <c r="F449" s="552"/>
      <c r="G449" s="552"/>
      <c r="H449" s="552"/>
      <c r="I449" s="552"/>
      <c r="J449" s="552"/>
      <c r="K449" s="552"/>
      <c r="L449" s="552"/>
      <c r="M449" s="552"/>
      <c r="N449" s="552"/>
      <c r="O449" s="552"/>
      <c r="P449" s="552"/>
      <c r="Q449" s="552"/>
      <c r="R449" s="552"/>
      <c r="S449" s="552"/>
      <c r="T449" s="552"/>
      <c r="U449" s="552"/>
      <c r="V449" s="552"/>
      <c r="W449" s="552"/>
      <c r="X449" s="552"/>
      <c r="Y449" s="552"/>
      <c r="Z449" s="552"/>
    </row>
    <row r="450">
      <c r="A450" s="559"/>
      <c r="B450" s="560"/>
      <c r="C450" s="561"/>
      <c r="D450" s="562"/>
      <c r="E450" s="552"/>
      <c r="F450" s="552"/>
      <c r="G450" s="552"/>
      <c r="H450" s="552"/>
      <c r="I450" s="552"/>
      <c r="J450" s="552"/>
      <c r="K450" s="552"/>
      <c r="L450" s="552"/>
      <c r="M450" s="552"/>
      <c r="N450" s="552"/>
      <c r="O450" s="552"/>
      <c r="P450" s="552"/>
      <c r="Q450" s="552"/>
      <c r="R450" s="552"/>
      <c r="S450" s="552"/>
      <c r="T450" s="552"/>
      <c r="U450" s="552"/>
      <c r="V450" s="552"/>
      <c r="W450" s="552"/>
      <c r="X450" s="552"/>
      <c r="Y450" s="552"/>
      <c r="Z450" s="552"/>
    </row>
    <row r="451">
      <c r="A451" s="559"/>
      <c r="B451" s="560"/>
      <c r="C451" s="561"/>
      <c r="D451" s="562"/>
      <c r="E451" s="552"/>
      <c r="F451" s="552"/>
      <c r="G451" s="552"/>
      <c r="H451" s="552"/>
      <c r="I451" s="552"/>
      <c r="J451" s="552"/>
      <c r="K451" s="552"/>
      <c r="L451" s="552"/>
      <c r="M451" s="552"/>
      <c r="N451" s="552"/>
      <c r="O451" s="552"/>
      <c r="P451" s="552"/>
      <c r="Q451" s="552"/>
      <c r="R451" s="552"/>
      <c r="S451" s="552"/>
      <c r="T451" s="552"/>
      <c r="U451" s="552"/>
      <c r="V451" s="552"/>
      <c r="W451" s="552"/>
      <c r="X451" s="552"/>
      <c r="Y451" s="552"/>
      <c r="Z451" s="552"/>
    </row>
    <row r="452">
      <c r="A452" s="559"/>
      <c r="B452" s="560"/>
      <c r="C452" s="561"/>
      <c r="D452" s="562"/>
      <c r="E452" s="552"/>
      <c r="F452" s="552"/>
      <c r="G452" s="552"/>
      <c r="H452" s="552"/>
      <c r="I452" s="552"/>
      <c r="J452" s="552"/>
      <c r="K452" s="552"/>
      <c r="L452" s="552"/>
      <c r="M452" s="552"/>
      <c r="N452" s="552"/>
      <c r="O452" s="552"/>
      <c r="P452" s="552"/>
      <c r="Q452" s="552"/>
      <c r="R452" s="552"/>
      <c r="S452" s="552"/>
      <c r="T452" s="552"/>
      <c r="U452" s="552"/>
      <c r="V452" s="552"/>
      <c r="W452" s="552"/>
      <c r="X452" s="552"/>
      <c r="Y452" s="552"/>
      <c r="Z452" s="552"/>
    </row>
    <row r="453">
      <c r="A453" s="559"/>
      <c r="B453" s="560"/>
      <c r="C453" s="561"/>
      <c r="D453" s="562"/>
      <c r="E453" s="552"/>
      <c r="F453" s="552"/>
      <c r="G453" s="552"/>
      <c r="H453" s="552"/>
      <c r="I453" s="552"/>
      <c r="J453" s="552"/>
      <c r="K453" s="552"/>
      <c r="L453" s="552"/>
      <c r="M453" s="552"/>
      <c r="N453" s="552"/>
      <c r="O453" s="552"/>
      <c r="P453" s="552"/>
      <c r="Q453" s="552"/>
      <c r="R453" s="552"/>
      <c r="S453" s="552"/>
      <c r="T453" s="552"/>
      <c r="U453" s="552"/>
      <c r="V453" s="552"/>
      <c r="W453" s="552"/>
      <c r="X453" s="552"/>
      <c r="Y453" s="552"/>
      <c r="Z453" s="552"/>
    </row>
    <row r="454">
      <c r="A454" s="559"/>
      <c r="B454" s="560"/>
      <c r="C454" s="561"/>
      <c r="D454" s="562"/>
      <c r="E454" s="552"/>
      <c r="F454" s="552"/>
      <c r="G454" s="552"/>
      <c r="H454" s="552"/>
      <c r="I454" s="552"/>
      <c r="J454" s="552"/>
      <c r="K454" s="552"/>
      <c r="L454" s="552"/>
      <c r="M454" s="552"/>
      <c r="N454" s="552"/>
      <c r="O454" s="552"/>
      <c r="P454" s="552"/>
      <c r="Q454" s="552"/>
      <c r="R454" s="552"/>
      <c r="S454" s="552"/>
      <c r="T454" s="552"/>
      <c r="U454" s="552"/>
      <c r="V454" s="552"/>
      <c r="W454" s="552"/>
      <c r="X454" s="552"/>
      <c r="Y454" s="552"/>
      <c r="Z454" s="552"/>
    </row>
    <row r="455">
      <c r="A455" s="559"/>
      <c r="B455" s="560"/>
      <c r="C455" s="561"/>
      <c r="D455" s="562"/>
      <c r="E455" s="552"/>
      <c r="F455" s="552"/>
      <c r="G455" s="552"/>
      <c r="H455" s="552"/>
      <c r="I455" s="552"/>
      <c r="J455" s="552"/>
      <c r="K455" s="552"/>
      <c r="L455" s="552"/>
      <c r="M455" s="552"/>
      <c r="N455" s="552"/>
      <c r="O455" s="552"/>
      <c r="P455" s="552"/>
      <c r="Q455" s="552"/>
      <c r="R455" s="552"/>
      <c r="S455" s="552"/>
      <c r="T455" s="552"/>
      <c r="U455" s="552"/>
      <c r="V455" s="552"/>
      <c r="W455" s="552"/>
      <c r="X455" s="552"/>
      <c r="Y455" s="552"/>
      <c r="Z455" s="552"/>
    </row>
    <row r="456">
      <c r="A456" s="559"/>
      <c r="B456" s="560"/>
      <c r="C456" s="561"/>
      <c r="D456" s="562"/>
      <c r="E456" s="552"/>
      <c r="F456" s="552"/>
      <c r="G456" s="552"/>
      <c r="H456" s="552"/>
      <c r="I456" s="552"/>
      <c r="J456" s="552"/>
      <c r="K456" s="552"/>
      <c r="L456" s="552"/>
      <c r="M456" s="552"/>
      <c r="N456" s="552"/>
      <c r="O456" s="552"/>
      <c r="P456" s="552"/>
      <c r="Q456" s="552"/>
      <c r="R456" s="552"/>
      <c r="S456" s="552"/>
      <c r="T456" s="552"/>
      <c r="U456" s="552"/>
      <c r="V456" s="552"/>
      <c r="W456" s="552"/>
      <c r="X456" s="552"/>
      <c r="Y456" s="552"/>
      <c r="Z456" s="552"/>
    </row>
    <row r="457">
      <c r="A457" s="559"/>
      <c r="B457" s="560"/>
      <c r="C457" s="561"/>
      <c r="D457" s="562"/>
      <c r="E457" s="552"/>
      <c r="F457" s="552"/>
      <c r="G457" s="552"/>
      <c r="H457" s="552"/>
      <c r="I457" s="552"/>
      <c r="J457" s="552"/>
      <c r="K457" s="552"/>
      <c r="L457" s="552"/>
      <c r="M457" s="552"/>
      <c r="N457" s="552"/>
      <c r="O457" s="552"/>
      <c r="P457" s="552"/>
      <c r="Q457" s="552"/>
      <c r="R457" s="552"/>
      <c r="S457" s="552"/>
      <c r="T457" s="552"/>
      <c r="U457" s="552"/>
      <c r="V457" s="552"/>
      <c r="W457" s="552"/>
      <c r="X457" s="552"/>
      <c r="Y457" s="552"/>
      <c r="Z457" s="552"/>
    </row>
    <row r="458">
      <c r="A458" s="559"/>
      <c r="B458" s="560"/>
      <c r="C458" s="561"/>
      <c r="D458" s="562"/>
      <c r="E458" s="552"/>
      <c r="F458" s="552"/>
      <c r="G458" s="552"/>
      <c r="H458" s="552"/>
      <c r="I458" s="552"/>
      <c r="J458" s="552"/>
      <c r="K458" s="552"/>
      <c r="L458" s="552"/>
      <c r="M458" s="552"/>
      <c r="N458" s="552"/>
      <c r="O458" s="552"/>
      <c r="P458" s="552"/>
      <c r="Q458" s="552"/>
      <c r="R458" s="552"/>
      <c r="S458" s="552"/>
      <c r="T458" s="552"/>
      <c r="U458" s="552"/>
      <c r="V458" s="552"/>
      <c r="W458" s="552"/>
      <c r="X458" s="552"/>
      <c r="Y458" s="552"/>
      <c r="Z458" s="552"/>
    </row>
    <row r="459">
      <c r="A459" s="559"/>
      <c r="B459" s="560"/>
      <c r="C459" s="561"/>
      <c r="D459" s="562"/>
      <c r="E459" s="552"/>
      <c r="F459" s="552"/>
      <c r="G459" s="552"/>
      <c r="H459" s="552"/>
      <c r="I459" s="552"/>
      <c r="J459" s="552"/>
      <c r="K459" s="552"/>
      <c r="L459" s="552"/>
      <c r="M459" s="552"/>
      <c r="N459" s="552"/>
      <c r="O459" s="552"/>
      <c r="P459" s="552"/>
      <c r="Q459" s="552"/>
      <c r="R459" s="552"/>
      <c r="S459" s="552"/>
      <c r="T459" s="552"/>
      <c r="U459" s="552"/>
      <c r="V459" s="552"/>
      <c r="W459" s="552"/>
      <c r="X459" s="552"/>
      <c r="Y459" s="552"/>
      <c r="Z459" s="552"/>
    </row>
    <row r="460">
      <c r="A460" s="559"/>
      <c r="B460" s="560"/>
      <c r="C460" s="561"/>
      <c r="D460" s="562"/>
      <c r="E460" s="552"/>
      <c r="F460" s="552"/>
      <c r="G460" s="552"/>
      <c r="H460" s="552"/>
      <c r="I460" s="552"/>
      <c r="J460" s="552"/>
      <c r="K460" s="552"/>
      <c r="L460" s="552"/>
      <c r="M460" s="552"/>
      <c r="N460" s="552"/>
      <c r="O460" s="552"/>
      <c r="P460" s="552"/>
      <c r="Q460" s="552"/>
      <c r="R460" s="552"/>
      <c r="S460" s="552"/>
      <c r="T460" s="552"/>
      <c r="U460" s="552"/>
      <c r="V460" s="552"/>
      <c r="W460" s="552"/>
      <c r="X460" s="552"/>
      <c r="Y460" s="552"/>
      <c r="Z460" s="552"/>
    </row>
    <row r="461">
      <c r="A461" s="559"/>
      <c r="B461" s="560"/>
      <c r="C461" s="561"/>
      <c r="D461" s="562"/>
      <c r="E461" s="552"/>
      <c r="F461" s="552"/>
      <c r="G461" s="552"/>
      <c r="H461" s="552"/>
      <c r="I461" s="552"/>
      <c r="J461" s="552"/>
      <c r="K461" s="552"/>
      <c r="L461" s="552"/>
      <c r="M461" s="552"/>
      <c r="N461" s="552"/>
      <c r="O461" s="552"/>
      <c r="P461" s="552"/>
      <c r="Q461" s="552"/>
      <c r="R461" s="552"/>
      <c r="S461" s="552"/>
      <c r="T461" s="552"/>
      <c r="U461" s="552"/>
      <c r="V461" s="552"/>
      <c r="W461" s="552"/>
      <c r="X461" s="552"/>
      <c r="Y461" s="552"/>
      <c r="Z461" s="552"/>
    </row>
    <row r="462">
      <c r="A462" s="559"/>
      <c r="B462" s="560"/>
      <c r="C462" s="561"/>
      <c r="D462" s="562"/>
      <c r="E462" s="552"/>
      <c r="F462" s="552"/>
      <c r="G462" s="552"/>
      <c r="H462" s="552"/>
      <c r="I462" s="552"/>
      <c r="J462" s="552"/>
      <c r="K462" s="552"/>
      <c r="L462" s="552"/>
      <c r="M462" s="552"/>
      <c r="N462" s="552"/>
      <c r="O462" s="552"/>
      <c r="P462" s="552"/>
      <c r="Q462" s="552"/>
      <c r="R462" s="552"/>
      <c r="S462" s="552"/>
      <c r="T462" s="552"/>
      <c r="U462" s="552"/>
      <c r="V462" s="552"/>
      <c r="W462" s="552"/>
      <c r="X462" s="552"/>
      <c r="Y462" s="552"/>
      <c r="Z462" s="552"/>
    </row>
    <row r="463">
      <c r="A463" s="559"/>
      <c r="B463" s="560"/>
      <c r="C463" s="561"/>
      <c r="D463" s="562"/>
      <c r="E463" s="552"/>
      <c r="F463" s="552"/>
      <c r="G463" s="552"/>
      <c r="H463" s="552"/>
      <c r="I463" s="552"/>
      <c r="J463" s="552"/>
      <c r="K463" s="552"/>
      <c r="L463" s="552"/>
      <c r="M463" s="552"/>
      <c r="N463" s="552"/>
      <c r="O463" s="552"/>
      <c r="P463" s="552"/>
      <c r="Q463" s="552"/>
      <c r="R463" s="552"/>
      <c r="S463" s="552"/>
      <c r="T463" s="552"/>
      <c r="U463" s="552"/>
      <c r="V463" s="552"/>
      <c r="W463" s="552"/>
      <c r="X463" s="552"/>
      <c r="Y463" s="552"/>
      <c r="Z463" s="552"/>
    </row>
    <row r="464">
      <c r="A464" s="559"/>
      <c r="B464" s="560"/>
      <c r="C464" s="561"/>
      <c r="D464" s="562"/>
      <c r="E464" s="552"/>
      <c r="F464" s="552"/>
      <c r="G464" s="552"/>
      <c r="H464" s="552"/>
      <c r="I464" s="552"/>
      <c r="J464" s="552"/>
      <c r="K464" s="552"/>
      <c r="L464" s="552"/>
      <c r="M464" s="552"/>
      <c r="N464" s="552"/>
      <c r="O464" s="552"/>
      <c r="P464" s="552"/>
      <c r="Q464" s="552"/>
      <c r="R464" s="552"/>
      <c r="S464" s="552"/>
      <c r="T464" s="552"/>
      <c r="U464" s="552"/>
      <c r="V464" s="552"/>
      <c r="W464" s="552"/>
      <c r="X464" s="552"/>
      <c r="Y464" s="552"/>
      <c r="Z464" s="552"/>
    </row>
    <row r="465">
      <c r="A465" s="559"/>
      <c r="B465" s="560"/>
      <c r="C465" s="561"/>
      <c r="D465" s="562"/>
      <c r="E465" s="552"/>
      <c r="F465" s="552"/>
      <c r="G465" s="552"/>
      <c r="H465" s="552"/>
      <c r="I465" s="552"/>
      <c r="J465" s="552"/>
      <c r="K465" s="552"/>
      <c r="L465" s="552"/>
      <c r="M465" s="552"/>
      <c r="N465" s="552"/>
      <c r="O465" s="552"/>
      <c r="P465" s="552"/>
      <c r="Q465" s="552"/>
      <c r="R465" s="552"/>
      <c r="S465" s="552"/>
      <c r="T465" s="552"/>
      <c r="U465" s="552"/>
      <c r="V465" s="552"/>
      <c r="W465" s="552"/>
      <c r="X465" s="552"/>
      <c r="Y465" s="552"/>
      <c r="Z465" s="552"/>
    </row>
    <row r="466">
      <c r="A466" s="559"/>
      <c r="B466" s="560"/>
      <c r="C466" s="561"/>
      <c r="D466" s="562"/>
      <c r="E466" s="552"/>
      <c r="F466" s="552"/>
      <c r="G466" s="552"/>
      <c r="H466" s="552"/>
      <c r="I466" s="552"/>
      <c r="J466" s="552"/>
      <c r="K466" s="552"/>
      <c r="L466" s="552"/>
      <c r="M466" s="552"/>
      <c r="N466" s="552"/>
      <c r="O466" s="552"/>
      <c r="P466" s="552"/>
      <c r="Q466" s="552"/>
      <c r="R466" s="552"/>
      <c r="S466" s="552"/>
      <c r="T466" s="552"/>
      <c r="U466" s="552"/>
      <c r="V466" s="552"/>
      <c r="W466" s="552"/>
      <c r="X466" s="552"/>
      <c r="Y466" s="552"/>
      <c r="Z466" s="552"/>
    </row>
    <row r="467">
      <c r="A467" s="559"/>
      <c r="B467" s="560"/>
      <c r="C467" s="561"/>
      <c r="D467" s="562"/>
      <c r="E467" s="552"/>
      <c r="F467" s="552"/>
      <c r="G467" s="552"/>
      <c r="H467" s="552"/>
      <c r="I467" s="552"/>
      <c r="J467" s="552"/>
      <c r="K467" s="552"/>
      <c r="L467" s="552"/>
      <c r="M467" s="552"/>
      <c r="N467" s="552"/>
      <c r="O467" s="552"/>
      <c r="P467" s="552"/>
      <c r="Q467" s="552"/>
      <c r="R467" s="552"/>
      <c r="S467" s="552"/>
      <c r="T467" s="552"/>
      <c r="U467" s="552"/>
      <c r="V467" s="552"/>
      <c r="W467" s="552"/>
      <c r="X467" s="552"/>
      <c r="Y467" s="552"/>
      <c r="Z467" s="552"/>
    </row>
    <row r="468">
      <c r="A468" s="559"/>
      <c r="B468" s="560"/>
      <c r="C468" s="561"/>
      <c r="D468" s="562"/>
      <c r="E468" s="552"/>
      <c r="F468" s="552"/>
      <c r="G468" s="552"/>
      <c r="H468" s="552"/>
      <c r="I468" s="552"/>
      <c r="J468" s="552"/>
      <c r="K468" s="552"/>
      <c r="L468" s="552"/>
      <c r="M468" s="552"/>
      <c r="N468" s="552"/>
      <c r="O468" s="552"/>
      <c r="P468" s="552"/>
      <c r="Q468" s="552"/>
      <c r="R468" s="552"/>
      <c r="S468" s="552"/>
      <c r="T468" s="552"/>
      <c r="U468" s="552"/>
      <c r="V468" s="552"/>
      <c r="W468" s="552"/>
      <c r="X468" s="552"/>
      <c r="Y468" s="552"/>
      <c r="Z468" s="552"/>
    </row>
    <row r="469">
      <c r="A469" s="559"/>
      <c r="B469" s="560"/>
      <c r="C469" s="561"/>
      <c r="D469" s="562"/>
      <c r="E469" s="552"/>
      <c r="F469" s="552"/>
      <c r="G469" s="552"/>
      <c r="H469" s="552"/>
      <c r="I469" s="552"/>
      <c r="J469" s="552"/>
      <c r="K469" s="552"/>
      <c r="L469" s="552"/>
      <c r="M469" s="552"/>
      <c r="N469" s="552"/>
      <c r="O469" s="552"/>
      <c r="P469" s="552"/>
      <c r="Q469" s="552"/>
      <c r="R469" s="552"/>
      <c r="S469" s="552"/>
      <c r="T469" s="552"/>
      <c r="U469" s="552"/>
      <c r="V469" s="552"/>
      <c r="W469" s="552"/>
      <c r="X469" s="552"/>
      <c r="Y469" s="552"/>
      <c r="Z469" s="552"/>
    </row>
    <row r="470">
      <c r="A470" s="559"/>
      <c r="B470" s="560"/>
      <c r="C470" s="561"/>
      <c r="D470" s="562"/>
      <c r="E470" s="552"/>
      <c r="F470" s="552"/>
      <c r="G470" s="552"/>
      <c r="H470" s="552"/>
      <c r="I470" s="552"/>
      <c r="J470" s="552"/>
      <c r="K470" s="552"/>
      <c r="L470" s="552"/>
      <c r="M470" s="552"/>
      <c r="N470" s="552"/>
      <c r="O470" s="552"/>
      <c r="P470" s="552"/>
      <c r="Q470" s="552"/>
      <c r="R470" s="552"/>
      <c r="S470" s="552"/>
      <c r="T470" s="552"/>
      <c r="U470" s="552"/>
      <c r="V470" s="552"/>
      <c r="W470" s="552"/>
      <c r="X470" s="552"/>
      <c r="Y470" s="552"/>
      <c r="Z470" s="552"/>
    </row>
    <row r="471">
      <c r="A471" s="559"/>
      <c r="B471" s="560"/>
      <c r="C471" s="561"/>
      <c r="D471" s="562"/>
      <c r="E471" s="552"/>
      <c r="F471" s="552"/>
      <c r="G471" s="552"/>
      <c r="H471" s="552"/>
      <c r="I471" s="552"/>
      <c r="J471" s="552"/>
      <c r="K471" s="552"/>
      <c r="L471" s="552"/>
      <c r="M471" s="552"/>
      <c r="N471" s="552"/>
      <c r="O471" s="552"/>
      <c r="P471" s="552"/>
      <c r="Q471" s="552"/>
      <c r="R471" s="552"/>
      <c r="S471" s="552"/>
      <c r="T471" s="552"/>
      <c r="U471" s="552"/>
      <c r="V471" s="552"/>
      <c r="W471" s="552"/>
      <c r="X471" s="552"/>
      <c r="Y471" s="552"/>
      <c r="Z471" s="552"/>
    </row>
    <row r="472">
      <c r="A472" s="559"/>
      <c r="B472" s="560"/>
      <c r="C472" s="561"/>
      <c r="D472" s="562"/>
      <c r="E472" s="552"/>
      <c r="F472" s="552"/>
      <c r="G472" s="552"/>
      <c r="H472" s="552"/>
      <c r="I472" s="552"/>
      <c r="J472" s="552"/>
      <c r="K472" s="552"/>
      <c r="L472" s="552"/>
      <c r="M472" s="552"/>
      <c r="N472" s="552"/>
      <c r="O472" s="552"/>
      <c r="P472" s="552"/>
      <c r="Q472" s="552"/>
      <c r="R472" s="552"/>
      <c r="S472" s="552"/>
      <c r="T472" s="552"/>
      <c r="U472" s="552"/>
      <c r="V472" s="552"/>
      <c r="W472" s="552"/>
      <c r="X472" s="552"/>
      <c r="Y472" s="552"/>
      <c r="Z472" s="552"/>
    </row>
    <row r="473">
      <c r="A473" s="559"/>
      <c r="B473" s="560"/>
      <c r="C473" s="561"/>
      <c r="D473" s="562"/>
      <c r="E473" s="552"/>
      <c r="F473" s="552"/>
      <c r="G473" s="552"/>
      <c r="H473" s="552"/>
      <c r="I473" s="552"/>
      <c r="J473" s="552"/>
      <c r="K473" s="552"/>
      <c r="L473" s="552"/>
      <c r="M473" s="552"/>
      <c r="N473" s="552"/>
      <c r="O473" s="552"/>
      <c r="P473" s="552"/>
      <c r="Q473" s="552"/>
      <c r="R473" s="552"/>
      <c r="S473" s="552"/>
      <c r="T473" s="552"/>
      <c r="U473" s="552"/>
      <c r="V473" s="552"/>
      <c r="W473" s="552"/>
      <c r="X473" s="552"/>
      <c r="Y473" s="552"/>
      <c r="Z473" s="552"/>
    </row>
    <row r="474">
      <c r="A474" s="559"/>
      <c r="B474" s="560"/>
      <c r="C474" s="561"/>
      <c r="D474" s="562"/>
      <c r="E474" s="552"/>
      <c r="F474" s="552"/>
      <c r="G474" s="552"/>
      <c r="H474" s="552"/>
      <c r="I474" s="552"/>
      <c r="J474" s="552"/>
      <c r="K474" s="552"/>
      <c r="L474" s="552"/>
      <c r="M474" s="552"/>
      <c r="N474" s="552"/>
      <c r="O474" s="552"/>
      <c r="P474" s="552"/>
      <c r="Q474" s="552"/>
      <c r="R474" s="552"/>
      <c r="S474" s="552"/>
      <c r="T474" s="552"/>
      <c r="U474" s="552"/>
      <c r="V474" s="552"/>
      <c r="W474" s="552"/>
      <c r="X474" s="552"/>
      <c r="Y474" s="552"/>
      <c r="Z474" s="552"/>
    </row>
    <row r="475">
      <c r="A475" s="559"/>
      <c r="B475" s="560"/>
      <c r="C475" s="561"/>
      <c r="D475" s="562"/>
      <c r="E475" s="552"/>
      <c r="F475" s="552"/>
      <c r="G475" s="552"/>
      <c r="H475" s="552"/>
      <c r="I475" s="552"/>
      <c r="J475" s="552"/>
      <c r="K475" s="552"/>
      <c r="L475" s="552"/>
      <c r="M475" s="552"/>
      <c r="N475" s="552"/>
      <c r="O475" s="552"/>
      <c r="P475" s="552"/>
      <c r="Q475" s="552"/>
      <c r="R475" s="552"/>
      <c r="S475" s="552"/>
      <c r="T475" s="552"/>
      <c r="U475" s="552"/>
      <c r="V475" s="552"/>
      <c r="W475" s="552"/>
      <c r="X475" s="552"/>
      <c r="Y475" s="552"/>
      <c r="Z475" s="552"/>
    </row>
    <row r="476">
      <c r="A476" s="559"/>
      <c r="B476" s="560"/>
      <c r="C476" s="561"/>
      <c r="D476" s="562"/>
      <c r="E476" s="552"/>
      <c r="F476" s="552"/>
      <c r="G476" s="552"/>
      <c r="H476" s="552"/>
      <c r="I476" s="552"/>
      <c r="J476" s="552"/>
      <c r="K476" s="552"/>
      <c r="L476" s="552"/>
      <c r="M476" s="552"/>
      <c r="N476" s="552"/>
      <c r="O476" s="552"/>
      <c r="P476" s="552"/>
      <c r="Q476" s="552"/>
      <c r="R476" s="552"/>
      <c r="S476" s="552"/>
      <c r="T476" s="552"/>
      <c r="U476" s="552"/>
      <c r="V476" s="552"/>
      <c r="W476" s="552"/>
      <c r="X476" s="552"/>
      <c r="Y476" s="552"/>
      <c r="Z476" s="552"/>
    </row>
    <row r="477">
      <c r="A477" s="559"/>
      <c r="B477" s="560"/>
      <c r="C477" s="561"/>
      <c r="D477" s="562"/>
      <c r="E477" s="552"/>
      <c r="F477" s="552"/>
      <c r="G477" s="552"/>
      <c r="H477" s="552"/>
      <c r="I477" s="552"/>
      <c r="J477" s="552"/>
      <c r="K477" s="552"/>
      <c r="L477" s="552"/>
      <c r="M477" s="552"/>
      <c r="N477" s="552"/>
      <c r="O477" s="552"/>
      <c r="P477" s="552"/>
      <c r="Q477" s="552"/>
      <c r="R477" s="552"/>
      <c r="S477" s="552"/>
      <c r="T477" s="552"/>
      <c r="U477" s="552"/>
      <c r="V477" s="552"/>
      <c r="W477" s="552"/>
      <c r="X477" s="552"/>
      <c r="Y477" s="552"/>
      <c r="Z477" s="552"/>
    </row>
    <row r="478">
      <c r="A478" s="559"/>
      <c r="B478" s="560"/>
      <c r="C478" s="561"/>
      <c r="D478" s="562"/>
      <c r="E478" s="552"/>
      <c r="F478" s="552"/>
      <c r="G478" s="552"/>
      <c r="H478" s="552"/>
      <c r="I478" s="552"/>
      <c r="J478" s="552"/>
      <c r="K478" s="552"/>
      <c r="L478" s="552"/>
      <c r="M478" s="552"/>
      <c r="N478" s="552"/>
      <c r="O478" s="552"/>
      <c r="P478" s="552"/>
      <c r="Q478" s="552"/>
      <c r="R478" s="552"/>
      <c r="S478" s="552"/>
      <c r="T478" s="552"/>
      <c r="U478" s="552"/>
      <c r="V478" s="552"/>
      <c r="W478" s="552"/>
      <c r="X478" s="552"/>
      <c r="Y478" s="552"/>
      <c r="Z478" s="552"/>
    </row>
    <row r="479">
      <c r="A479" s="559"/>
      <c r="B479" s="560"/>
      <c r="C479" s="561"/>
      <c r="D479" s="562"/>
      <c r="E479" s="552"/>
      <c r="F479" s="552"/>
      <c r="G479" s="552"/>
      <c r="H479" s="552"/>
      <c r="I479" s="552"/>
      <c r="J479" s="552"/>
      <c r="K479" s="552"/>
      <c r="L479" s="552"/>
      <c r="M479" s="552"/>
      <c r="N479" s="552"/>
      <c r="O479" s="552"/>
      <c r="P479" s="552"/>
      <c r="Q479" s="552"/>
      <c r="R479" s="552"/>
      <c r="S479" s="552"/>
      <c r="T479" s="552"/>
      <c r="U479" s="552"/>
      <c r="V479" s="552"/>
      <c r="W479" s="552"/>
      <c r="X479" s="552"/>
      <c r="Y479" s="552"/>
      <c r="Z479" s="552"/>
    </row>
    <row r="480">
      <c r="A480" s="559"/>
      <c r="B480" s="560"/>
      <c r="C480" s="561"/>
      <c r="D480" s="562"/>
      <c r="E480" s="552"/>
      <c r="F480" s="552"/>
      <c r="G480" s="552"/>
      <c r="H480" s="552"/>
      <c r="I480" s="552"/>
      <c r="J480" s="552"/>
      <c r="K480" s="552"/>
      <c r="L480" s="552"/>
      <c r="M480" s="552"/>
      <c r="N480" s="552"/>
      <c r="O480" s="552"/>
      <c r="P480" s="552"/>
      <c r="Q480" s="552"/>
      <c r="R480" s="552"/>
      <c r="S480" s="552"/>
      <c r="T480" s="552"/>
      <c r="U480" s="552"/>
      <c r="V480" s="552"/>
      <c r="W480" s="552"/>
      <c r="X480" s="552"/>
      <c r="Y480" s="552"/>
      <c r="Z480" s="552"/>
    </row>
    <row r="481">
      <c r="A481" s="559"/>
      <c r="B481" s="560"/>
      <c r="C481" s="561"/>
      <c r="D481" s="562"/>
      <c r="E481" s="552"/>
      <c r="F481" s="552"/>
      <c r="G481" s="552"/>
      <c r="H481" s="552"/>
      <c r="I481" s="552"/>
      <c r="J481" s="552"/>
      <c r="K481" s="552"/>
      <c r="L481" s="552"/>
      <c r="M481" s="552"/>
      <c r="N481" s="552"/>
      <c r="O481" s="552"/>
      <c r="P481" s="552"/>
      <c r="Q481" s="552"/>
      <c r="R481" s="552"/>
      <c r="S481" s="552"/>
      <c r="T481" s="552"/>
      <c r="U481" s="552"/>
      <c r="V481" s="552"/>
      <c r="W481" s="552"/>
      <c r="X481" s="552"/>
      <c r="Y481" s="552"/>
      <c r="Z481" s="552"/>
    </row>
    <row r="482">
      <c r="A482" s="559"/>
      <c r="B482" s="560"/>
      <c r="C482" s="561"/>
      <c r="D482" s="562"/>
      <c r="E482" s="552"/>
      <c r="F482" s="552"/>
      <c r="G482" s="552"/>
      <c r="H482" s="552"/>
      <c r="I482" s="552"/>
      <c r="J482" s="552"/>
      <c r="K482" s="552"/>
      <c r="L482" s="552"/>
      <c r="M482" s="552"/>
      <c r="N482" s="552"/>
      <c r="O482" s="552"/>
      <c r="P482" s="552"/>
      <c r="Q482" s="552"/>
      <c r="R482" s="552"/>
      <c r="S482" s="552"/>
      <c r="T482" s="552"/>
      <c r="U482" s="552"/>
      <c r="V482" s="552"/>
      <c r="W482" s="552"/>
      <c r="X482" s="552"/>
      <c r="Y482" s="552"/>
      <c r="Z482" s="552"/>
    </row>
    <row r="483">
      <c r="A483" s="559"/>
      <c r="B483" s="560"/>
      <c r="C483" s="561"/>
      <c r="D483" s="562"/>
      <c r="E483" s="552"/>
      <c r="F483" s="552"/>
      <c r="G483" s="552"/>
      <c r="H483" s="552"/>
      <c r="I483" s="552"/>
      <c r="J483" s="552"/>
      <c r="K483" s="552"/>
      <c r="L483" s="552"/>
      <c r="M483" s="552"/>
      <c r="N483" s="552"/>
      <c r="O483" s="552"/>
      <c r="P483" s="552"/>
      <c r="Q483" s="552"/>
      <c r="R483" s="552"/>
      <c r="S483" s="552"/>
      <c r="T483" s="552"/>
      <c r="U483" s="552"/>
      <c r="V483" s="552"/>
      <c r="W483" s="552"/>
      <c r="X483" s="552"/>
      <c r="Y483" s="552"/>
      <c r="Z483" s="552"/>
    </row>
    <row r="484">
      <c r="A484" s="559"/>
      <c r="B484" s="560"/>
      <c r="C484" s="561"/>
      <c r="D484" s="562"/>
      <c r="E484" s="552"/>
      <c r="F484" s="552"/>
      <c r="G484" s="552"/>
      <c r="H484" s="552"/>
      <c r="I484" s="552"/>
      <c r="J484" s="552"/>
      <c r="K484" s="552"/>
      <c r="L484" s="552"/>
      <c r="M484" s="552"/>
      <c r="N484" s="552"/>
      <c r="O484" s="552"/>
      <c r="P484" s="552"/>
      <c r="Q484" s="552"/>
      <c r="R484" s="552"/>
      <c r="S484" s="552"/>
      <c r="T484" s="552"/>
      <c r="U484" s="552"/>
      <c r="V484" s="552"/>
      <c r="W484" s="552"/>
      <c r="X484" s="552"/>
      <c r="Y484" s="552"/>
      <c r="Z484" s="552"/>
    </row>
    <row r="485">
      <c r="A485" s="559"/>
      <c r="B485" s="560"/>
      <c r="C485" s="561"/>
      <c r="D485" s="562"/>
      <c r="E485" s="552"/>
      <c r="F485" s="552"/>
      <c r="G485" s="552"/>
      <c r="H485" s="552"/>
      <c r="I485" s="552"/>
      <c r="J485" s="552"/>
      <c r="K485" s="552"/>
      <c r="L485" s="552"/>
      <c r="M485" s="552"/>
      <c r="N485" s="552"/>
      <c r="O485" s="552"/>
      <c r="P485" s="552"/>
      <c r="Q485" s="552"/>
      <c r="R485" s="552"/>
      <c r="S485" s="552"/>
      <c r="T485" s="552"/>
      <c r="U485" s="552"/>
      <c r="V485" s="552"/>
      <c r="W485" s="552"/>
      <c r="X485" s="552"/>
      <c r="Y485" s="552"/>
      <c r="Z485" s="552"/>
    </row>
    <row r="486">
      <c r="A486" s="559"/>
      <c r="B486" s="560"/>
      <c r="C486" s="561"/>
      <c r="D486" s="562"/>
      <c r="E486" s="552"/>
      <c r="F486" s="552"/>
      <c r="G486" s="552"/>
      <c r="H486" s="552"/>
      <c r="I486" s="552"/>
      <c r="J486" s="552"/>
      <c r="K486" s="552"/>
      <c r="L486" s="552"/>
      <c r="M486" s="552"/>
      <c r="N486" s="552"/>
      <c r="O486" s="552"/>
      <c r="P486" s="552"/>
      <c r="Q486" s="552"/>
      <c r="R486" s="552"/>
      <c r="S486" s="552"/>
      <c r="T486" s="552"/>
      <c r="U486" s="552"/>
      <c r="V486" s="552"/>
      <c r="W486" s="552"/>
      <c r="X486" s="552"/>
      <c r="Y486" s="552"/>
      <c r="Z486" s="552"/>
    </row>
    <row r="487">
      <c r="A487" s="559"/>
      <c r="B487" s="560"/>
      <c r="C487" s="561"/>
      <c r="D487" s="562"/>
      <c r="E487" s="552"/>
      <c r="F487" s="552"/>
      <c r="G487" s="552"/>
      <c r="H487" s="552"/>
      <c r="I487" s="552"/>
      <c r="J487" s="552"/>
      <c r="K487" s="552"/>
      <c r="L487" s="552"/>
      <c r="M487" s="552"/>
      <c r="N487" s="552"/>
      <c r="O487" s="552"/>
      <c r="P487" s="552"/>
      <c r="Q487" s="552"/>
      <c r="R487" s="552"/>
      <c r="S487" s="552"/>
      <c r="T487" s="552"/>
      <c r="U487" s="552"/>
      <c r="V487" s="552"/>
      <c r="W487" s="552"/>
      <c r="X487" s="552"/>
      <c r="Y487" s="552"/>
      <c r="Z487" s="552"/>
    </row>
    <row r="488">
      <c r="A488" s="559"/>
      <c r="B488" s="560"/>
      <c r="C488" s="561"/>
      <c r="D488" s="562"/>
      <c r="E488" s="552"/>
      <c r="F488" s="552"/>
      <c r="G488" s="552"/>
      <c r="H488" s="552"/>
      <c r="I488" s="552"/>
      <c r="J488" s="552"/>
      <c r="K488" s="552"/>
      <c r="L488" s="552"/>
      <c r="M488" s="552"/>
      <c r="N488" s="552"/>
      <c r="O488" s="552"/>
      <c r="P488" s="552"/>
      <c r="Q488" s="552"/>
      <c r="R488" s="552"/>
      <c r="S488" s="552"/>
      <c r="T488" s="552"/>
      <c r="U488" s="552"/>
      <c r="V488" s="552"/>
      <c r="W488" s="552"/>
      <c r="X488" s="552"/>
      <c r="Y488" s="552"/>
      <c r="Z488" s="552"/>
    </row>
    <row r="489">
      <c r="A489" s="559"/>
      <c r="B489" s="560"/>
      <c r="C489" s="561"/>
      <c r="D489" s="562"/>
      <c r="E489" s="552"/>
      <c r="F489" s="552"/>
      <c r="G489" s="552"/>
      <c r="H489" s="552"/>
      <c r="I489" s="552"/>
      <c r="J489" s="552"/>
      <c r="K489" s="552"/>
      <c r="L489" s="552"/>
      <c r="M489" s="552"/>
      <c r="N489" s="552"/>
      <c r="O489" s="552"/>
      <c r="P489" s="552"/>
      <c r="Q489" s="552"/>
      <c r="R489" s="552"/>
      <c r="S489" s="552"/>
      <c r="T489" s="552"/>
      <c r="U489" s="552"/>
      <c r="V489" s="552"/>
      <c r="W489" s="552"/>
      <c r="X489" s="552"/>
      <c r="Y489" s="552"/>
      <c r="Z489" s="552"/>
    </row>
    <row r="490">
      <c r="A490" s="559"/>
      <c r="B490" s="560"/>
      <c r="C490" s="561"/>
      <c r="D490" s="562"/>
      <c r="E490" s="552"/>
      <c r="F490" s="552"/>
      <c r="G490" s="552"/>
      <c r="H490" s="552"/>
      <c r="I490" s="552"/>
      <c r="J490" s="552"/>
      <c r="K490" s="552"/>
      <c r="L490" s="552"/>
      <c r="M490" s="552"/>
      <c r="N490" s="552"/>
      <c r="O490" s="552"/>
      <c r="P490" s="552"/>
      <c r="Q490" s="552"/>
      <c r="R490" s="552"/>
      <c r="S490" s="552"/>
      <c r="T490" s="552"/>
      <c r="U490" s="552"/>
      <c r="V490" s="552"/>
      <c r="W490" s="552"/>
      <c r="X490" s="552"/>
      <c r="Y490" s="552"/>
      <c r="Z490" s="552"/>
    </row>
    <row r="491">
      <c r="A491" s="559"/>
      <c r="B491" s="560"/>
      <c r="C491" s="561"/>
      <c r="D491" s="562"/>
      <c r="E491" s="552"/>
      <c r="F491" s="552"/>
      <c r="G491" s="552"/>
      <c r="H491" s="552"/>
      <c r="I491" s="552"/>
      <c r="J491" s="552"/>
      <c r="K491" s="552"/>
      <c r="L491" s="552"/>
      <c r="M491" s="552"/>
      <c r="N491" s="552"/>
      <c r="O491" s="552"/>
      <c r="P491" s="552"/>
      <c r="Q491" s="552"/>
      <c r="R491" s="552"/>
      <c r="S491" s="552"/>
      <c r="T491" s="552"/>
      <c r="U491" s="552"/>
      <c r="V491" s="552"/>
      <c r="W491" s="552"/>
      <c r="X491" s="552"/>
      <c r="Y491" s="552"/>
      <c r="Z491" s="552"/>
    </row>
    <row r="492">
      <c r="A492" s="559"/>
      <c r="B492" s="560"/>
      <c r="C492" s="561"/>
      <c r="D492" s="562"/>
      <c r="E492" s="552"/>
      <c r="F492" s="552"/>
      <c r="G492" s="552"/>
      <c r="H492" s="552"/>
      <c r="I492" s="552"/>
      <c r="J492" s="552"/>
      <c r="K492" s="552"/>
      <c r="L492" s="552"/>
      <c r="M492" s="552"/>
      <c r="N492" s="552"/>
      <c r="O492" s="552"/>
      <c r="P492" s="552"/>
      <c r="Q492" s="552"/>
      <c r="R492" s="552"/>
      <c r="S492" s="552"/>
      <c r="T492" s="552"/>
      <c r="U492" s="552"/>
      <c r="V492" s="552"/>
      <c r="W492" s="552"/>
      <c r="X492" s="552"/>
      <c r="Y492" s="552"/>
      <c r="Z492" s="552"/>
    </row>
    <row r="493">
      <c r="A493" s="559"/>
      <c r="B493" s="560"/>
      <c r="C493" s="561"/>
      <c r="D493" s="562"/>
      <c r="E493" s="552"/>
      <c r="F493" s="552"/>
      <c r="G493" s="552"/>
      <c r="H493" s="552"/>
      <c r="I493" s="552"/>
      <c r="J493" s="552"/>
      <c r="K493" s="552"/>
      <c r="L493" s="552"/>
      <c r="M493" s="552"/>
      <c r="N493" s="552"/>
      <c r="O493" s="552"/>
      <c r="P493" s="552"/>
      <c r="Q493" s="552"/>
      <c r="R493" s="552"/>
      <c r="S493" s="552"/>
      <c r="T493" s="552"/>
      <c r="U493" s="552"/>
      <c r="V493" s="552"/>
      <c r="W493" s="552"/>
      <c r="X493" s="552"/>
      <c r="Y493" s="552"/>
      <c r="Z493" s="552"/>
    </row>
    <row r="494">
      <c r="A494" s="559"/>
      <c r="B494" s="560"/>
      <c r="C494" s="561"/>
      <c r="D494" s="562"/>
      <c r="E494" s="552"/>
      <c r="F494" s="552"/>
      <c r="G494" s="552"/>
      <c r="H494" s="552"/>
      <c r="I494" s="552"/>
      <c r="J494" s="552"/>
      <c r="K494" s="552"/>
      <c r="L494" s="552"/>
      <c r="M494" s="552"/>
      <c r="N494" s="552"/>
      <c r="O494" s="552"/>
      <c r="P494" s="552"/>
      <c r="Q494" s="552"/>
      <c r="R494" s="552"/>
      <c r="S494" s="552"/>
      <c r="T494" s="552"/>
      <c r="U494" s="552"/>
      <c r="V494" s="552"/>
      <c r="W494" s="552"/>
      <c r="X494" s="552"/>
      <c r="Y494" s="552"/>
      <c r="Z494" s="552"/>
    </row>
    <row r="495">
      <c r="A495" s="559"/>
      <c r="B495" s="560"/>
      <c r="C495" s="561"/>
      <c r="D495" s="562"/>
      <c r="E495" s="552"/>
      <c r="F495" s="552"/>
      <c r="G495" s="552"/>
      <c r="H495" s="552"/>
      <c r="I495" s="552"/>
      <c r="J495" s="552"/>
      <c r="K495" s="552"/>
      <c r="L495" s="552"/>
      <c r="M495" s="552"/>
      <c r="N495" s="552"/>
      <c r="O495" s="552"/>
      <c r="P495" s="552"/>
      <c r="Q495" s="552"/>
      <c r="R495" s="552"/>
      <c r="S495" s="552"/>
      <c r="T495" s="552"/>
      <c r="U495" s="552"/>
      <c r="V495" s="552"/>
      <c r="W495" s="552"/>
      <c r="X495" s="552"/>
      <c r="Y495" s="552"/>
      <c r="Z495" s="552"/>
    </row>
    <row r="496">
      <c r="A496" s="559"/>
      <c r="B496" s="560"/>
      <c r="C496" s="561"/>
      <c r="D496" s="562"/>
      <c r="E496" s="552"/>
      <c r="F496" s="552"/>
      <c r="G496" s="552"/>
      <c r="H496" s="552"/>
      <c r="I496" s="552"/>
      <c r="J496" s="552"/>
      <c r="K496" s="552"/>
      <c r="L496" s="552"/>
      <c r="M496" s="552"/>
      <c r="N496" s="552"/>
      <c r="O496" s="552"/>
      <c r="P496" s="552"/>
      <c r="Q496" s="552"/>
      <c r="R496" s="552"/>
      <c r="S496" s="552"/>
      <c r="T496" s="552"/>
      <c r="U496" s="552"/>
      <c r="V496" s="552"/>
      <c r="W496" s="552"/>
      <c r="X496" s="552"/>
      <c r="Y496" s="552"/>
      <c r="Z496" s="552"/>
    </row>
    <row r="497">
      <c r="A497" s="559"/>
      <c r="B497" s="560"/>
      <c r="C497" s="561"/>
      <c r="D497" s="562"/>
      <c r="E497" s="552"/>
      <c r="F497" s="552"/>
      <c r="G497" s="552"/>
      <c r="H497" s="552"/>
      <c r="I497" s="552"/>
      <c r="J497" s="552"/>
      <c r="K497" s="552"/>
      <c r="L497" s="552"/>
      <c r="M497" s="552"/>
      <c r="N497" s="552"/>
      <c r="O497" s="552"/>
      <c r="P497" s="552"/>
      <c r="Q497" s="552"/>
      <c r="R497" s="552"/>
      <c r="S497" s="552"/>
      <c r="T497" s="552"/>
      <c r="U497" s="552"/>
      <c r="V497" s="552"/>
      <c r="W497" s="552"/>
      <c r="X497" s="552"/>
      <c r="Y497" s="552"/>
      <c r="Z497" s="552"/>
    </row>
    <row r="498">
      <c r="A498" s="559"/>
      <c r="B498" s="560"/>
      <c r="C498" s="561"/>
      <c r="D498" s="562"/>
      <c r="E498" s="552"/>
      <c r="F498" s="552"/>
      <c r="G498" s="552"/>
      <c r="H498" s="552"/>
      <c r="I498" s="552"/>
      <c r="J498" s="552"/>
      <c r="K498" s="552"/>
      <c r="L498" s="552"/>
      <c r="M498" s="552"/>
      <c r="N498" s="552"/>
      <c r="O498" s="552"/>
      <c r="P498" s="552"/>
      <c r="Q498" s="552"/>
      <c r="R498" s="552"/>
      <c r="S498" s="552"/>
      <c r="T498" s="552"/>
      <c r="U498" s="552"/>
      <c r="V498" s="552"/>
      <c r="W498" s="552"/>
      <c r="X498" s="552"/>
      <c r="Y498" s="552"/>
      <c r="Z498" s="552"/>
    </row>
    <row r="499">
      <c r="A499" s="559"/>
      <c r="B499" s="560"/>
      <c r="C499" s="561"/>
      <c r="D499" s="562"/>
      <c r="E499" s="552"/>
      <c r="F499" s="552"/>
      <c r="G499" s="552"/>
      <c r="H499" s="552"/>
      <c r="I499" s="552"/>
      <c r="J499" s="552"/>
      <c r="K499" s="552"/>
      <c r="L499" s="552"/>
      <c r="M499" s="552"/>
      <c r="N499" s="552"/>
      <c r="O499" s="552"/>
      <c r="P499" s="552"/>
      <c r="Q499" s="552"/>
      <c r="R499" s="552"/>
      <c r="S499" s="552"/>
      <c r="T499" s="552"/>
      <c r="U499" s="552"/>
      <c r="V499" s="552"/>
      <c r="W499" s="552"/>
      <c r="X499" s="552"/>
      <c r="Y499" s="552"/>
      <c r="Z499" s="552"/>
    </row>
    <row r="500">
      <c r="A500" s="559"/>
      <c r="B500" s="560"/>
      <c r="C500" s="561"/>
      <c r="D500" s="562"/>
      <c r="E500" s="552"/>
      <c r="F500" s="552"/>
      <c r="G500" s="552"/>
      <c r="H500" s="552"/>
      <c r="I500" s="552"/>
      <c r="J500" s="552"/>
      <c r="K500" s="552"/>
      <c r="L500" s="552"/>
      <c r="M500" s="552"/>
      <c r="N500" s="552"/>
      <c r="O500" s="552"/>
      <c r="P500" s="552"/>
      <c r="Q500" s="552"/>
      <c r="R500" s="552"/>
      <c r="S500" s="552"/>
      <c r="T500" s="552"/>
      <c r="U500" s="552"/>
      <c r="V500" s="552"/>
      <c r="W500" s="552"/>
      <c r="X500" s="552"/>
      <c r="Y500" s="552"/>
      <c r="Z500" s="552"/>
    </row>
    <row r="501">
      <c r="A501" s="559"/>
      <c r="B501" s="560"/>
      <c r="C501" s="561"/>
      <c r="D501" s="562"/>
      <c r="E501" s="552"/>
      <c r="F501" s="552"/>
      <c r="G501" s="552"/>
      <c r="H501" s="552"/>
      <c r="I501" s="552"/>
      <c r="J501" s="552"/>
      <c r="K501" s="552"/>
      <c r="L501" s="552"/>
      <c r="M501" s="552"/>
      <c r="N501" s="552"/>
      <c r="O501" s="552"/>
      <c r="P501" s="552"/>
      <c r="Q501" s="552"/>
      <c r="R501" s="552"/>
      <c r="S501" s="552"/>
      <c r="T501" s="552"/>
      <c r="U501" s="552"/>
      <c r="V501" s="552"/>
      <c r="W501" s="552"/>
      <c r="X501" s="552"/>
      <c r="Y501" s="552"/>
      <c r="Z501" s="552"/>
    </row>
    <row r="502">
      <c r="A502" s="559"/>
      <c r="B502" s="560"/>
      <c r="C502" s="561"/>
      <c r="D502" s="562"/>
      <c r="E502" s="552"/>
      <c r="F502" s="552"/>
      <c r="G502" s="552"/>
      <c r="H502" s="552"/>
      <c r="I502" s="552"/>
      <c r="J502" s="552"/>
      <c r="K502" s="552"/>
      <c r="L502" s="552"/>
      <c r="M502" s="552"/>
      <c r="N502" s="552"/>
      <c r="O502" s="552"/>
      <c r="P502" s="552"/>
      <c r="Q502" s="552"/>
      <c r="R502" s="552"/>
      <c r="S502" s="552"/>
      <c r="T502" s="552"/>
      <c r="U502" s="552"/>
      <c r="V502" s="552"/>
      <c r="W502" s="552"/>
      <c r="X502" s="552"/>
      <c r="Y502" s="552"/>
      <c r="Z502" s="552"/>
    </row>
    <row r="503">
      <c r="A503" s="559"/>
      <c r="B503" s="560"/>
      <c r="C503" s="561"/>
      <c r="D503" s="562"/>
      <c r="E503" s="552"/>
      <c r="F503" s="552"/>
      <c r="G503" s="552"/>
      <c r="H503" s="552"/>
      <c r="I503" s="552"/>
      <c r="J503" s="552"/>
      <c r="K503" s="552"/>
      <c r="L503" s="552"/>
      <c r="M503" s="552"/>
      <c r="N503" s="552"/>
      <c r="O503" s="552"/>
      <c r="P503" s="552"/>
      <c r="Q503" s="552"/>
      <c r="R503" s="552"/>
      <c r="S503" s="552"/>
      <c r="T503" s="552"/>
      <c r="U503" s="552"/>
      <c r="V503" s="552"/>
      <c r="W503" s="552"/>
      <c r="X503" s="552"/>
      <c r="Y503" s="552"/>
      <c r="Z503" s="552"/>
    </row>
    <row r="504">
      <c r="A504" s="559"/>
      <c r="B504" s="560"/>
      <c r="C504" s="561"/>
      <c r="D504" s="562"/>
      <c r="E504" s="552"/>
      <c r="F504" s="552"/>
      <c r="G504" s="552"/>
      <c r="H504" s="552"/>
      <c r="I504" s="552"/>
      <c r="J504" s="552"/>
      <c r="K504" s="552"/>
      <c r="L504" s="552"/>
      <c r="M504" s="552"/>
      <c r="N504" s="552"/>
      <c r="O504" s="552"/>
      <c r="P504" s="552"/>
      <c r="Q504" s="552"/>
      <c r="R504" s="552"/>
      <c r="S504" s="552"/>
      <c r="T504" s="552"/>
      <c r="U504" s="552"/>
      <c r="V504" s="552"/>
      <c r="W504" s="552"/>
      <c r="X504" s="552"/>
      <c r="Y504" s="552"/>
      <c r="Z504" s="552"/>
    </row>
    <row r="505">
      <c r="A505" s="559"/>
      <c r="B505" s="560"/>
      <c r="C505" s="561"/>
      <c r="D505" s="562"/>
      <c r="E505" s="552"/>
      <c r="F505" s="552"/>
      <c r="G505" s="552"/>
      <c r="H505" s="552"/>
      <c r="I505" s="552"/>
      <c r="J505" s="552"/>
      <c r="K505" s="552"/>
      <c r="L505" s="552"/>
      <c r="M505" s="552"/>
      <c r="N505" s="552"/>
      <c r="O505" s="552"/>
      <c r="P505" s="552"/>
      <c r="Q505" s="552"/>
      <c r="R505" s="552"/>
      <c r="S505" s="552"/>
      <c r="T505" s="552"/>
      <c r="U505" s="552"/>
      <c r="V505" s="552"/>
      <c r="W505" s="552"/>
      <c r="X505" s="552"/>
      <c r="Y505" s="552"/>
      <c r="Z505" s="552"/>
    </row>
    <row r="506">
      <c r="A506" s="559"/>
      <c r="B506" s="560"/>
      <c r="C506" s="561"/>
      <c r="D506" s="562"/>
      <c r="E506" s="552"/>
      <c r="F506" s="552"/>
      <c r="G506" s="552"/>
      <c r="H506" s="552"/>
      <c r="I506" s="552"/>
      <c r="J506" s="552"/>
      <c r="K506" s="552"/>
      <c r="L506" s="552"/>
      <c r="M506" s="552"/>
      <c r="N506" s="552"/>
      <c r="O506" s="552"/>
      <c r="P506" s="552"/>
      <c r="Q506" s="552"/>
      <c r="R506" s="552"/>
      <c r="S506" s="552"/>
      <c r="T506" s="552"/>
      <c r="U506" s="552"/>
      <c r="V506" s="552"/>
      <c r="W506" s="552"/>
      <c r="X506" s="552"/>
      <c r="Y506" s="552"/>
      <c r="Z506" s="552"/>
    </row>
    <row r="507">
      <c r="A507" s="559"/>
      <c r="B507" s="560"/>
      <c r="C507" s="561"/>
      <c r="D507" s="562"/>
      <c r="E507" s="552"/>
      <c r="F507" s="552"/>
      <c r="G507" s="552"/>
      <c r="H507" s="552"/>
      <c r="I507" s="552"/>
      <c r="J507" s="552"/>
      <c r="K507" s="552"/>
      <c r="L507" s="552"/>
      <c r="M507" s="552"/>
      <c r="N507" s="552"/>
      <c r="O507" s="552"/>
      <c r="P507" s="552"/>
      <c r="Q507" s="552"/>
      <c r="R507" s="552"/>
      <c r="S507" s="552"/>
      <c r="T507" s="552"/>
      <c r="U507" s="552"/>
      <c r="V507" s="552"/>
      <c r="W507" s="552"/>
      <c r="X507" s="552"/>
      <c r="Y507" s="552"/>
      <c r="Z507" s="552"/>
    </row>
    <row r="508">
      <c r="A508" s="559"/>
      <c r="B508" s="560"/>
      <c r="C508" s="561"/>
      <c r="D508" s="562"/>
      <c r="E508" s="552"/>
      <c r="F508" s="552"/>
      <c r="G508" s="552"/>
      <c r="H508" s="552"/>
      <c r="I508" s="552"/>
      <c r="J508" s="552"/>
      <c r="K508" s="552"/>
      <c r="L508" s="552"/>
      <c r="M508" s="552"/>
      <c r="N508" s="552"/>
      <c r="O508" s="552"/>
      <c r="P508" s="552"/>
      <c r="Q508" s="552"/>
      <c r="R508" s="552"/>
      <c r="S508" s="552"/>
      <c r="T508" s="552"/>
      <c r="U508" s="552"/>
      <c r="V508" s="552"/>
      <c r="W508" s="552"/>
      <c r="X508" s="552"/>
      <c r="Y508" s="552"/>
      <c r="Z508" s="552"/>
    </row>
    <row r="509">
      <c r="A509" s="559"/>
      <c r="B509" s="560"/>
      <c r="C509" s="561"/>
      <c r="D509" s="562"/>
      <c r="E509" s="552"/>
      <c r="F509" s="552"/>
      <c r="G509" s="552"/>
      <c r="H509" s="552"/>
      <c r="I509" s="552"/>
      <c r="J509" s="552"/>
      <c r="K509" s="552"/>
      <c r="L509" s="552"/>
      <c r="M509" s="552"/>
      <c r="N509" s="552"/>
      <c r="O509" s="552"/>
      <c r="P509" s="552"/>
      <c r="Q509" s="552"/>
      <c r="R509" s="552"/>
      <c r="S509" s="552"/>
      <c r="T509" s="552"/>
      <c r="U509" s="552"/>
      <c r="V509" s="552"/>
      <c r="W509" s="552"/>
      <c r="X509" s="552"/>
      <c r="Y509" s="552"/>
      <c r="Z509" s="552"/>
    </row>
    <row r="510">
      <c r="A510" s="559"/>
      <c r="B510" s="560"/>
      <c r="C510" s="561"/>
      <c r="D510" s="562"/>
      <c r="E510" s="552"/>
      <c r="F510" s="552"/>
      <c r="G510" s="552"/>
      <c r="H510" s="552"/>
      <c r="I510" s="552"/>
      <c r="J510" s="552"/>
      <c r="K510" s="552"/>
      <c r="L510" s="552"/>
      <c r="M510" s="552"/>
      <c r="N510" s="552"/>
      <c r="O510" s="552"/>
      <c r="P510" s="552"/>
      <c r="Q510" s="552"/>
      <c r="R510" s="552"/>
      <c r="S510" s="552"/>
      <c r="T510" s="552"/>
      <c r="U510" s="552"/>
      <c r="V510" s="552"/>
      <c r="W510" s="552"/>
      <c r="X510" s="552"/>
      <c r="Y510" s="552"/>
      <c r="Z510" s="552"/>
    </row>
    <row r="511">
      <c r="A511" s="559"/>
      <c r="B511" s="560"/>
      <c r="C511" s="561"/>
      <c r="D511" s="562"/>
      <c r="E511" s="552"/>
      <c r="F511" s="552"/>
      <c r="G511" s="552"/>
      <c r="H511" s="552"/>
      <c r="I511" s="552"/>
      <c r="J511" s="552"/>
      <c r="K511" s="552"/>
      <c r="L511" s="552"/>
      <c r="M511" s="552"/>
      <c r="N511" s="552"/>
      <c r="O511" s="552"/>
      <c r="P511" s="552"/>
      <c r="Q511" s="552"/>
      <c r="R511" s="552"/>
      <c r="S511" s="552"/>
      <c r="T511" s="552"/>
      <c r="U511" s="552"/>
      <c r="V511" s="552"/>
      <c r="W511" s="552"/>
      <c r="X511" s="552"/>
      <c r="Y511" s="552"/>
      <c r="Z511" s="552"/>
    </row>
    <row r="512">
      <c r="A512" s="559"/>
      <c r="B512" s="560"/>
      <c r="C512" s="561"/>
      <c r="D512" s="562"/>
      <c r="E512" s="552"/>
      <c r="F512" s="552"/>
      <c r="G512" s="552"/>
      <c r="H512" s="552"/>
      <c r="I512" s="552"/>
      <c r="J512" s="552"/>
      <c r="K512" s="552"/>
      <c r="L512" s="552"/>
      <c r="M512" s="552"/>
      <c r="N512" s="552"/>
      <c r="O512" s="552"/>
      <c r="P512" s="552"/>
      <c r="Q512" s="552"/>
      <c r="R512" s="552"/>
      <c r="S512" s="552"/>
      <c r="T512" s="552"/>
      <c r="U512" s="552"/>
      <c r="V512" s="552"/>
      <c r="W512" s="552"/>
      <c r="X512" s="552"/>
      <c r="Y512" s="552"/>
      <c r="Z512" s="552"/>
    </row>
    <row r="513">
      <c r="A513" s="559"/>
      <c r="B513" s="560"/>
      <c r="C513" s="561"/>
      <c r="D513" s="562"/>
      <c r="E513" s="552"/>
      <c r="F513" s="552"/>
      <c r="G513" s="552"/>
      <c r="H513" s="552"/>
      <c r="I513" s="552"/>
      <c r="J513" s="552"/>
      <c r="K513" s="552"/>
      <c r="L513" s="552"/>
      <c r="M513" s="552"/>
      <c r="N513" s="552"/>
      <c r="O513" s="552"/>
      <c r="P513" s="552"/>
      <c r="Q513" s="552"/>
      <c r="R513" s="552"/>
      <c r="S513" s="552"/>
      <c r="T513" s="552"/>
      <c r="U513" s="552"/>
      <c r="V513" s="552"/>
      <c r="W513" s="552"/>
      <c r="X513" s="552"/>
      <c r="Y513" s="552"/>
      <c r="Z513" s="552"/>
    </row>
    <row r="514">
      <c r="A514" s="559"/>
      <c r="B514" s="560"/>
      <c r="C514" s="561"/>
      <c r="D514" s="562"/>
      <c r="E514" s="552"/>
      <c r="F514" s="552"/>
      <c r="G514" s="552"/>
      <c r="H514" s="552"/>
      <c r="I514" s="552"/>
      <c r="J514" s="552"/>
      <c r="K514" s="552"/>
      <c r="L514" s="552"/>
      <c r="M514" s="552"/>
      <c r="N514" s="552"/>
      <c r="O514" s="552"/>
      <c r="P514" s="552"/>
      <c r="Q514" s="552"/>
      <c r="R514" s="552"/>
      <c r="S514" s="552"/>
      <c r="T514" s="552"/>
      <c r="U514" s="552"/>
      <c r="V514" s="552"/>
      <c r="W514" s="552"/>
      <c r="X514" s="552"/>
      <c r="Y514" s="552"/>
      <c r="Z514" s="552"/>
    </row>
    <row r="515">
      <c r="A515" s="559"/>
      <c r="B515" s="560"/>
      <c r="C515" s="561"/>
      <c r="D515" s="562"/>
      <c r="E515" s="552"/>
      <c r="F515" s="552"/>
      <c r="G515" s="552"/>
      <c r="H515" s="552"/>
      <c r="I515" s="552"/>
      <c r="J515" s="552"/>
      <c r="K515" s="552"/>
      <c r="L515" s="552"/>
      <c r="M515" s="552"/>
      <c r="N515" s="552"/>
      <c r="O515" s="552"/>
      <c r="P515" s="552"/>
      <c r="Q515" s="552"/>
      <c r="R515" s="552"/>
      <c r="S515" s="552"/>
      <c r="T515" s="552"/>
      <c r="U515" s="552"/>
      <c r="V515" s="552"/>
      <c r="W515" s="552"/>
      <c r="X515" s="552"/>
      <c r="Y515" s="552"/>
      <c r="Z515" s="552"/>
    </row>
    <row r="516">
      <c r="A516" s="559"/>
      <c r="B516" s="560"/>
      <c r="C516" s="561"/>
      <c r="D516" s="562"/>
      <c r="E516" s="552"/>
      <c r="F516" s="552"/>
      <c r="G516" s="552"/>
      <c r="H516" s="552"/>
      <c r="I516" s="552"/>
      <c r="J516" s="552"/>
      <c r="K516" s="552"/>
      <c r="L516" s="552"/>
      <c r="M516" s="552"/>
      <c r="N516" s="552"/>
      <c r="O516" s="552"/>
      <c r="P516" s="552"/>
      <c r="Q516" s="552"/>
      <c r="R516" s="552"/>
      <c r="S516" s="552"/>
      <c r="T516" s="552"/>
      <c r="U516" s="552"/>
      <c r="V516" s="552"/>
      <c r="W516" s="552"/>
      <c r="X516" s="552"/>
      <c r="Y516" s="552"/>
      <c r="Z516" s="552"/>
    </row>
    <row r="517">
      <c r="A517" s="559"/>
      <c r="B517" s="560"/>
      <c r="C517" s="561"/>
      <c r="D517" s="562"/>
      <c r="E517" s="552"/>
      <c r="F517" s="552"/>
      <c r="G517" s="552"/>
      <c r="H517" s="552"/>
      <c r="I517" s="552"/>
      <c r="J517" s="552"/>
      <c r="K517" s="552"/>
      <c r="L517" s="552"/>
      <c r="M517" s="552"/>
      <c r="N517" s="552"/>
      <c r="O517" s="552"/>
      <c r="P517" s="552"/>
      <c r="Q517" s="552"/>
      <c r="R517" s="552"/>
      <c r="S517" s="552"/>
      <c r="T517" s="552"/>
      <c r="U517" s="552"/>
      <c r="V517" s="552"/>
      <c r="W517" s="552"/>
      <c r="X517" s="552"/>
      <c r="Y517" s="552"/>
      <c r="Z517" s="552"/>
    </row>
    <row r="518">
      <c r="A518" s="559"/>
      <c r="B518" s="560"/>
      <c r="C518" s="561"/>
      <c r="D518" s="562"/>
      <c r="E518" s="552"/>
      <c r="F518" s="552"/>
      <c r="G518" s="552"/>
      <c r="H518" s="552"/>
      <c r="I518" s="552"/>
      <c r="J518" s="552"/>
      <c r="K518" s="552"/>
      <c r="L518" s="552"/>
      <c r="M518" s="552"/>
      <c r="N518" s="552"/>
      <c r="O518" s="552"/>
      <c r="P518" s="552"/>
      <c r="Q518" s="552"/>
      <c r="R518" s="552"/>
      <c r="S518" s="552"/>
      <c r="T518" s="552"/>
      <c r="U518" s="552"/>
      <c r="V518" s="552"/>
      <c r="W518" s="552"/>
      <c r="X518" s="552"/>
      <c r="Y518" s="552"/>
      <c r="Z518" s="552"/>
    </row>
    <row r="519">
      <c r="A519" s="559"/>
      <c r="B519" s="560"/>
      <c r="C519" s="561"/>
      <c r="D519" s="562"/>
      <c r="E519" s="552"/>
      <c r="F519" s="552"/>
      <c r="G519" s="552"/>
      <c r="H519" s="552"/>
      <c r="I519" s="552"/>
      <c r="J519" s="552"/>
      <c r="K519" s="552"/>
      <c r="L519" s="552"/>
      <c r="M519" s="552"/>
      <c r="N519" s="552"/>
      <c r="O519" s="552"/>
      <c r="P519" s="552"/>
      <c r="Q519" s="552"/>
      <c r="R519" s="552"/>
      <c r="S519" s="552"/>
      <c r="T519" s="552"/>
      <c r="U519" s="552"/>
      <c r="V519" s="552"/>
      <c r="W519" s="552"/>
      <c r="X519" s="552"/>
      <c r="Y519" s="552"/>
      <c r="Z519" s="552"/>
    </row>
    <row r="520">
      <c r="A520" s="559"/>
      <c r="B520" s="560"/>
      <c r="C520" s="561"/>
      <c r="D520" s="562"/>
      <c r="E520" s="552"/>
      <c r="F520" s="552"/>
      <c r="G520" s="552"/>
      <c r="H520" s="552"/>
      <c r="I520" s="552"/>
      <c r="J520" s="552"/>
      <c r="K520" s="552"/>
      <c r="L520" s="552"/>
      <c r="M520" s="552"/>
      <c r="N520" s="552"/>
      <c r="O520" s="552"/>
      <c r="P520" s="552"/>
      <c r="Q520" s="552"/>
      <c r="R520" s="552"/>
      <c r="S520" s="552"/>
      <c r="T520" s="552"/>
      <c r="U520" s="552"/>
      <c r="V520" s="552"/>
      <c r="W520" s="552"/>
      <c r="X520" s="552"/>
      <c r="Y520" s="552"/>
      <c r="Z520" s="552"/>
    </row>
    <row r="521">
      <c r="A521" s="559"/>
      <c r="B521" s="560"/>
      <c r="C521" s="561"/>
      <c r="D521" s="562"/>
      <c r="E521" s="552"/>
      <c r="F521" s="552"/>
      <c r="G521" s="552"/>
      <c r="H521" s="552"/>
      <c r="I521" s="552"/>
      <c r="J521" s="552"/>
      <c r="K521" s="552"/>
      <c r="L521" s="552"/>
      <c r="M521" s="552"/>
      <c r="N521" s="552"/>
      <c r="O521" s="552"/>
      <c r="P521" s="552"/>
      <c r="Q521" s="552"/>
      <c r="R521" s="552"/>
      <c r="S521" s="552"/>
      <c r="T521" s="552"/>
      <c r="U521" s="552"/>
      <c r="V521" s="552"/>
      <c r="W521" s="552"/>
      <c r="X521" s="552"/>
      <c r="Y521" s="552"/>
      <c r="Z521" s="552"/>
    </row>
    <row r="522">
      <c r="A522" s="559"/>
      <c r="B522" s="560"/>
      <c r="C522" s="561"/>
      <c r="D522" s="562"/>
      <c r="E522" s="552"/>
      <c r="F522" s="552"/>
      <c r="G522" s="552"/>
      <c r="H522" s="552"/>
      <c r="I522" s="552"/>
      <c r="J522" s="552"/>
      <c r="K522" s="552"/>
      <c r="L522" s="552"/>
      <c r="M522" s="552"/>
      <c r="N522" s="552"/>
      <c r="O522" s="552"/>
      <c r="P522" s="552"/>
      <c r="Q522" s="552"/>
      <c r="R522" s="552"/>
      <c r="S522" s="552"/>
      <c r="T522" s="552"/>
      <c r="U522" s="552"/>
      <c r="V522" s="552"/>
      <c r="W522" s="552"/>
      <c r="X522" s="552"/>
      <c r="Y522" s="552"/>
      <c r="Z522" s="552"/>
    </row>
    <row r="523">
      <c r="A523" s="559"/>
      <c r="B523" s="560"/>
      <c r="C523" s="561"/>
      <c r="D523" s="562"/>
      <c r="E523" s="552"/>
      <c r="F523" s="552"/>
      <c r="G523" s="552"/>
      <c r="H523" s="552"/>
      <c r="I523" s="552"/>
      <c r="J523" s="552"/>
      <c r="K523" s="552"/>
      <c r="L523" s="552"/>
      <c r="M523" s="552"/>
      <c r="N523" s="552"/>
      <c r="O523" s="552"/>
      <c r="P523" s="552"/>
      <c r="Q523" s="552"/>
      <c r="R523" s="552"/>
      <c r="S523" s="552"/>
      <c r="T523" s="552"/>
      <c r="U523" s="552"/>
      <c r="V523" s="552"/>
      <c r="W523" s="552"/>
      <c r="X523" s="552"/>
      <c r="Y523" s="552"/>
      <c r="Z523" s="552"/>
    </row>
    <row r="524">
      <c r="A524" s="559"/>
      <c r="B524" s="560"/>
      <c r="C524" s="561"/>
      <c r="D524" s="562"/>
      <c r="E524" s="552"/>
      <c r="F524" s="552"/>
      <c r="G524" s="552"/>
      <c r="H524" s="552"/>
      <c r="I524" s="552"/>
      <c r="J524" s="552"/>
      <c r="K524" s="552"/>
      <c r="L524" s="552"/>
      <c r="M524" s="552"/>
      <c r="N524" s="552"/>
      <c r="O524" s="552"/>
      <c r="P524" s="552"/>
      <c r="Q524" s="552"/>
      <c r="R524" s="552"/>
      <c r="S524" s="552"/>
      <c r="T524" s="552"/>
      <c r="U524" s="552"/>
      <c r="V524" s="552"/>
      <c r="W524" s="552"/>
      <c r="X524" s="552"/>
      <c r="Y524" s="552"/>
      <c r="Z524" s="552"/>
    </row>
    <row r="525">
      <c r="A525" s="559"/>
      <c r="B525" s="560"/>
      <c r="C525" s="561"/>
      <c r="D525" s="562"/>
      <c r="E525" s="552"/>
      <c r="F525" s="552"/>
      <c r="G525" s="552"/>
      <c r="H525" s="552"/>
      <c r="I525" s="552"/>
      <c r="J525" s="552"/>
      <c r="K525" s="552"/>
      <c r="L525" s="552"/>
      <c r="M525" s="552"/>
      <c r="N525" s="552"/>
      <c r="O525" s="552"/>
      <c r="P525" s="552"/>
      <c r="Q525" s="552"/>
      <c r="R525" s="552"/>
      <c r="S525" s="552"/>
      <c r="T525" s="552"/>
      <c r="U525" s="552"/>
      <c r="V525" s="552"/>
      <c r="W525" s="552"/>
      <c r="X525" s="552"/>
      <c r="Y525" s="552"/>
      <c r="Z525" s="552"/>
    </row>
    <row r="526">
      <c r="A526" s="559"/>
      <c r="B526" s="560"/>
      <c r="C526" s="561"/>
      <c r="D526" s="562"/>
      <c r="E526" s="552"/>
      <c r="F526" s="552"/>
      <c r="G526" s="552"/>
      <c r="H526" s="552"/>
      <c r="I526" s="552"/>
      <c r="J526" s="552"/>
      <c r="K526" s="552"/>
      <c r="L526" s="552"/>
      <c r="M526" s="552"/>
      <c r="N526" s="552"/>
      <c r="O526" s="552"/>
      <c r="P526" s="552"/>
      <c r="Q526" s="552"/>
      <c r="R526" s="552"/>
      <c r="S526" s="552"/>
      <c r="T526" s="552"/>
      <c r="U526" s="552"/>
      <c r="V526" s="552"/>
      <c r="W526" s="552"/>
      <c r="X526" s="552"/>
      <c r="Y526" s="552"/>
      <c r="Z526" s="552"/>
    </row>
    <row r="527">
      <c r="A527" s="559"/>
      <c r="B527" s="560"/>
      <c r="C527" s="561"/>
      <c r="D527" s="562"/>
      <c r="E527" s="552"/>
      <c r="F527" s="552"/>
      <c r="G527" s="552"/>
      <c r="H527" s="552"/>
      <c r="I527" s="552"/>
      <c r="J527" s="552"/>
      <c r="K527" s="552"/>
      <c r="L527" s="552"/>
      <c r="M527" s="552"/>
      <c r="N527" s="552"/>
      <c r="O527" s="552"/>
      <c r="P527" s="552"/>
      <c r="Q527" s="552"/>
      <c r="R527" s="552"/>
      <c r="S527" s="552"/>
      <c r="T527" s="552"/>
      <c r="U527" s="552"/>
      <c r="V527" s="552"/>
      <c r="W527" s="552"/>
      <c r="X527" s="552"/>
      <c r="Y527" s="552"/>
      <c r="Z527" s="552"/>
    </row>
    <row r="528">
      <c r="A528" s="559"/>
      <c r="B528" s="560"/>
      <c r="C528" s="561"/>
      <c r="D528" s="562"/>
      <c r="E528" s="552"/>
      <c r="F528" s="552"/>
      <c r="G528" s="552"/>
      <c r="H528" s="552"/>
      <c r="I528" s="552"/>
      <c r="J528" s="552"/>
      <c r="K528" s="552"/>
      <c r="L528" s="552"/>
      <c r="M528" s="552"/>
      <c r="N528" s="552"/>
      <c r="O528" s="552"/>
      <c r="P528" s="552"/>
      <c r="Q528" s="552"/>
      <c r="R528" s="552"/>
      <c r="S528" s="552"/>
      <c r="T528" s="552"/>
      <c r="U528" s="552"/>
      <c r="V528" s="552"/>
      <c r="W528" s="552"/>
      <c r="X528" s="552"/>
      <c r="Y528" s="552"/>
      <c r="Z528" s="552"/>
    </row>
    <row r="529">
      <c r="A529" s="559"/>
      <c r="B529" s="560"/>
      <c r="C529" s="561"/>
      <c r="D529" s="562"/>
      <c r="E529" s="552"/>
      <c r="F529" s="552"/>
      <c r="G529" s="552"/>
      <c r="H529" s="552"/>
      <c r="I529" s="552"/>
      <c r="J529" s="552"/>
      <c r="K529" s="552"/>
      <c r="L529" s="552"/>
      <c r="M529" s="552"/>
      <c r="N529" s="552"/>
      <c r="O529" s="552"/>
      <c r="P529" s="552"/>
      <c r="Q529" s="552"/>
      <c r="R529" s="552"/>
      <c r="S529" s="552"/>
      <c r="T529" s="552"/>
      <c r="U529" s="552"/>
      <c r="V529" s="552"/>
      <c r="W529" s="552"/>
      <c r="X529" s="552"/>
      <c r="Y529" s="552"/>
      <c r="Z529" s="552"/>
    </row>
    <row r="530">
      <c r="A530" s="559"/>
      <c r="B530" s="560"/>
      <c r="C530" s="561"/>
      <c r="D530" s="562"/>
      <c r="E530" s="552"/>
      <c r="F530" s="552"/>
      <c r="G530" s="552"/>
      <c r="H530" s="552"/>
      <c r="I530" s="552"/>
      <c r="J530" s="552"/>
      <c r="K530" s="552"/>
      <c r="L530" s="552"/>
      <c r="M530" s="552"/>
      <c r="N530" s="552"/>
      <c r="O530" s="552"/>
      <c r="P530" s="552"/>
      <c r="Q530" s="552"/>
      <c r="R530" s="552"/>
      <c r="S530" s="552"/>
      <c r="T530" s="552"/>
      <c r="U530" s="552"/>
      <c r="V530" s="552"/>
      <c r="W530" s="552"/>
      <c r="X530" s="552"/>
      <c r="Y530" s="552"/>
      <c r="Z530" s="552"/>
    </row>
    <row r="531">
      <c r="A531" s="559"/>
      <c r="B531" s="560"/>
      <c r="C531" s="561"/>
      <c r="D531" s="562"/>
      <c r="E531" s="552"/>
      <c r="F531" s="552"/>
      <c r="G531" s="552"/>
      <c r="H531" s="552"/>
      <c r="I531" s="552"/>
      <c r="J531" s="552"/>
      <c r="K531" s="552"/>
      <c r="L531" s="552"/>
      <c r="M531" s="552"/>
      <c r="N531" s="552"/>
      <c r="O531" s="552"/>
      <c r="P531" s="552"/>
      <c r="Q531" s="552"/>
      <c r="R531" s="552"/>
      <c r="S531" s="552"/>
      <c r="T531" s="552"/>
      <c r="U531" s="552"/>
      <c r="V531" s="552"/>
      <c r="W531" s="552"/>
      <c r="X531" s="552"/>
      <c r="Y531" s="552"/>
      <c r="Z531" s="552"/>
    </row>
    <row r="532">
      <c r="A532" s="559"/>
      <c r="B532" s="560"/>
      <c r="C532" s="561"/>
      <c r="D532" s="562"/>
      <c r="E532" s="552"/>
      <c r="F532" s="552"/>
      <c r="G532" s="552"/>
      <c r="H532" s="552"/>
      <c r="I532" s="552"/>
      <c r="J532" s="552"/>
      <c r="K532" s="552"/>
      <c r="L532" s="552"/>
      <c r="M532" s="552"/>
      <c r="N532" s="552"/>
      <c r="O532" s="552"/>
      <c r="P532" s="552"/>
      <c r="Q532" s="552"/>
      <c r="R532" s="552"/>
      <c r="S532" s="552"/>
      <c r="T532" s="552"/>
      <c r="U532" s="552"/>
      <c r="V532" s="552"/>
      <c r="W532" s="552"/>
      <c r="X532" s="552"/>
      <c r="Y532" s="552"/>
      <c r="Z532" s="552"/>
    </row>
    <row r="533">
      <c r="A533" s="559"/>
      <c r="B533" s="560"/>
      <c r="C533" s="561"/>
      <c r="D533" s="562"/>
      <c r="E533" s="552"/>
      <c r="F533" s="552"/>
      <c r="G533" s="552"/>
      <c r="H533" s="552"/>
      <c r="I533" s="552"/>
      <c r="J533" s="552"/>
      <c r="K533" s="552"/>
      <c r="L533" s="552"/>
      <c r="M533" s="552"/>
      <c r="N533" s="552"/>
      <c r="O533" s="552"/>
      <c r="P533" s="552"/>
      <c r="Q533" s="552"/>
      <c r="R533" s="552"/>
      <c r="S533" s="552"/>
      <c r="T533" s="552"/>
      <c r="U533" s="552"/>
      <c r="V533" s="552"/>
      <c r="W533" s="552"/>
      <c r="X533" s="552"/>
      <c r="Y533" s="552"/>
      <c r="Z533" s="552"/>
    </row>
    <row r="534">
      <c r="A534" s="559"/>
      <c r="B534" s="560"/>
      <c r="C534" s="561"/>
      <c r="D534" s="562"/>
      <c r="E534" s="552"/>
      <c r="F534" s="552"/>
      <c r="G534" s="552"/>
      <c r="H534" s="552"/>
      <c r="I534" s="552"/>
      <c r="J534" s="552"/>
      <c r="K534" s="552"/>
      <c r="L534" s="552"/>
      <c r="M534" s="552"/>
      <c r="N534" s="552"/>
      <c r="O534" s="552"/>
      <c r="P534" s="552"/>
      <c r="Q534" s="552"/>
      <c r="R534" s="552"/>
      <c r="S534" s="552"/>
      <c r="T534" s="552"/>
      <c r="U534" s="552"/>
      <c r="V534" s="552"/>
      <c r="W534" s="552"/>
      <c r="X534" s="552"/>
      <c r="Y534" s="552"/>
      <c r="Z534" s="552"/>
    </row>
    <row r="535">
      <c r="A535" s="559"/>
      <c r="B535" s="560"/>
      <c r="C535" s="561"/>
      <c r="D535" s="562"/>
      <c r="E535" s="552"/>
      <c r="F535" s="552"/>
      <c r="G535" s="552"/>
      <c r="H535" s="552"/>
      <c r="I535" s="552"/>
      <c r="J535" s="552"/>
      <c r="K535" s="552"/>
      <c r="L535" s="552"/>
      <c r="M535" s="552"/>
      <c r="N535" s="552"/>
      <c r="O535" s="552"/>
      <c r="P535" s="552"/>
      <c r="Q535" s="552"/>
      <c r="R535" s="552"/>
      <c r="S535" s="552"/>
      <c r="T535" s="552"/>
      <c r="U535" s="552"/>
      <c r="V535" s="552"/>
      <c r="W535" s="552"/>
      <c r="X535" s="552"/>
      <c r="Y535" s="552"/>
      <c r="Z535" s="552"/>
    </row>
    <row r="536">
      <c r="A536" s="559"/>
      <c r="B536" s="560"/>
      <c r="C536" s="561"/>
      <c r="D536" s="562"/>
      <c r="E536" s="552"/>
      <c r="F536" s="552"/>
      <c r="G536" s="552"/>
      <c r="H536" s="552"/>
      <c r="I536" s="552"/>
      <c r="J536" s="552"/>
      <c r="K536" s="552"/>
      <c r="L536" s="552"/>
      <c r="M536" s="552"/>
      <c r="N536" s="552"/>
      <c r="O536" s="552"/>
      <c r="P536" s="552"/>
      <c r="Q536" s="552"/>
      <c r="R536" s="552"/>
      <c r="S536" s="552"/>
      <c r="T536" s="552"/>
      <c r="U536" s="552"/>
      <c r="V536" s="552"/>
      <c r="W536" s="552"/>
      <c r="X536" s="552"/>
      <c r="Y536" s="552"/>
      <c r="Z536" s="552"/>
    </row>
    <row r="537">
      <c r="A537" s="559"/>
      <c r="B537" s="560"/>
      <c r="C537" s="561"/>
      <c r="D537" s="562"/>
      <c r="E537" s="552"/>
      <c r="F537" s="552"/>
      <c r="G537" s="552"/>
      <c r="H537" s="552"/>
      <c r="I537" s="552"/>
      <c r="J537" s="552"/>
      <c r="K537" s="552"/>
      <c r="L537" s="552"/>
      <c r="M537" s="552"/>
      <c r="N537" s="552"/>
      <c r="O537" s="552"/>
      <c r="P537" s="552"/>
      <c r="Q537" s="552"/>
      <c r="R537" s="552"/>
      <c r="S537" s="552"/>
      <c r="T537" s="552"/>
      <c r="U537" s="552"/>
      <c r="V537" s="552"/>
      <c r="W537" s="552"/>
      <c r="X537" s="552"/>
      <c r="Y537" s="552"/>
      <c r="Z537" s="552"/>
    </row>
    <row r="538">
      <c r="A538" s="559"/>
      <c r="B538" s="560"/>
      <c r="C538" s="561"/>
      <c r="D538" s="562"/>
      <c r="E538" s="552"/>
      <c r="F538" s="552"/>
      <c r="G538" s="552"/>
      <c r="H538" s="552"/>
      <c r="I538" s="552"/>
      <c r="J538" s="552"/>
      <c r="K538" s="552"/>
      <c r="L538" s="552"/>
      <c r="M538" s="552"/>
      <c r="N538" s="552"/>
      <c r="O538" s="552"/>
      <c r="P538" s="552"/>
      <c r="Q538" s="552"/>
      <c r="R538" s="552"/>
      <c r="S538" s="552"/>
      <c r="T538" s="552"/>
      <c r="U538" s="552"/>
      <c r="V538" s="552"/>
      <c r="W538" s="552"/>
      <c r="X538" s="552"/>
      <c r="Y538" s="552"/>
      <c r="Z538" s="552"/>
    </row>
    <row r="539">
      <c r="A539" s="559"/>
      <c r="B539" s="560"/>
      <c r="C539" s="561"/>
      <c r="D539" s="562"/>
      <c r="E539" s="552"/>
      <c r="F539" s="552"/>
      <c r="G539" s="552"/>
      <c r="H539" s="552"/>
      <c r="I539" s="552"/>
      <c r="J539" s="552"/>
      <c r="K539" s="552"/>
      <c r="L539" s="552"/>
      <c r="M539" s="552"/>
      <c r="N539" s="552"/>
      <c r="O539" s="552"/>
      <c r="P539" s="552"/>
      <c r="Q539" s="552"/>
      <c r="R539" s="552"/>
      <c r="S539" s="552"/>
      <c r="T539" s="552"/>
      <c r="U539" s="552"/>
      <c r="V539" s="552"/>
      <c r="W539" s="552"/>
      <c r="X539" s="552"/>
      <c r="Y539" s="552"/>
      <c r="Z539" s="552"/>
    </row>
    <row r="540">
      <c r="A540" s="559"/>
      <c r="B540" s="560"/>
      <c r="C540" s="561"/>
      <c r="D540" s="562"/>
      <c r="E540" s="552"/>
      <c r="F540" s="552"/>
      <c r="G540" s="552"/>
      <c r="H540" s="552"/>
      <c r="I540" s="552"/>
      <c r="J540" s="552"/>
      <c r="K540" s="552"/>
      <c r="L540" s="552"/>
      <c r="M540" s="552"/>
      <c r="N540" s="552"/>
      <c r="O540" s="552"/>
      <c r="P540" s="552"/>
      <c r="Q540" s="552"/>
      <c r="R540" s="552"/>
      <c r="S540" s="552"/>
      <c r="T540" s="552"/>
      <c r="U540" s="552"/>
      <c r="V540" s="552"/>
      <c r="W540" s="552"/>
      <c r="X540" s="552"/>
      <c r="Y540" s="552"/>
      <c r="Z540" s="552"/>
    </row>
    <row r="541">
      <c r="A541" s="559"/>
      <c r="B541" s="560"/>
      <c r="C541" s="561"/>
      <c r="D541" s="562"/>
      <c r="E541" s="552"/>
      <c r="F541" s="552"/>
      <c r="G541" s="552"/>
      <c r="H541" s="552"/>
      <c r="I541" s="552"/>
      <c r="J541" s="552"/>
      <c r="K541" s="552"/>
      <c r="L541" s="552"/>
      <c r="M541" s="552"/>
      <c r="N541" s="552"/>
      <c r="O541" s="552"/>
      <c r="P541" s="552"/>
      <c r="Q541" s="552"/>
      <c r="R541" s="552"/>
      <c r="S541" s="552"/>
      <c r="T541" s="552"/>
      <c r="U541" s="552"/>
      <c r="V541" s="552"/>
      <c r="W541" s="552"/>
      <c r="X541" s="552"/>
      <c r="Y541" s="552"/>
      <c r="Z541" s="552"/>
    </row>
    <row r="542">
      <c r="A542" s="559"/>
      <c r="B542" s="560"/>
      <c r="C542" s="561"/>
      <c r="D542" s="562"/>
      <c r="E542" s="552"/>
      <c r="F542" s="552"/>
      <c r="G542" s="552"/>
      <c r="H542" s="552"/>
      <c r="I542" s="552"/>
      <c r="J542" s="552"/>
      <c r="K542" s="552"/>
      <c r="L542" s="552"/>
      <c r="M542" s="552"/>
      <c r="N542" s="552"/>
      <c r="O542" s="552"/>
      <c r="P542" s="552"/>
      <c r="Q542" s="552"/>
      <c r="R542" s="552"/>
      <c r="S542" s="552"/>
      <c r="T542" s="552"/>
      <c r="U542" s="552"/>
      <c r="V542" s="552"/>
      <c r="W542" s="552"/>
      <c r="X542" s="552"/>
      <c r="Y542" s="552"/>
      <c r="Z542" s="552"/>
    </row>
    <row r="543">
      <c r="A543" s="559"/>
      <c r="B543" s="560"/>
      <c r="C543" s="561"/>
      <c r="D543" s="562"/>
      <c r="E543" s="552"/>
      <c r="F543" s="552"/>
      <c r="G543" s="552"/>
      <c r="H543" s="552"/>
      <c r="I543" s="552"/>
      <c r="J543" s="552"/>
      <c r="K543" s="552"/>
      <c r="L543" s="552"/>
      <c r="M543" s="552"/>
      <c r="N543" s="552"/>
      <c r="O543" s="552"/>
      <c r="P543" s="552"/>
      <c r="Q543" s="552"/>
      <c r="R543" s="552"/>
      <c r="S543" s="552"/>
      <c r="T543" s="552"/>
      <c r="U543" s="552"/>
      <c r="V543" s="552"/>
      <c r="W543" s="552"/>
      <c r="X543" s="552"/>
      <c r="Y543" s="552"/>
      <c r="Z543" s="552"/>
    </row>
    <row r="544">
      <c r="A544" s="559"/>
      <c r="B544" s="560"/>
      <c r="C544" s="561"/>
      <c r="D544" s="562"/>
      <c r="E544" s="552"/>
      <c r="F544" s="552"/>
      <c r="G544" s="552"/>
      <c r="H544" s="552"/>
      <c r="I544" s="552"/>
      <c r="J544" s="552"/>
      <c r="K544" s="552"/>
      <c r="L544" s="552"/>
      <c r="M544" s="552"/>
      <c r="N544" s="552"/>
      <c r="O544" s="552"/>
      <c r="P544" s="552"/>
      <c r="Q544" s="552"/>
      <c r="R544" s="552"/>
      <c r="S544" s="552"/>
      <c r="T544" s="552"/>
      <c r="U544" s="552"/>
      <c r="V544" s="552"/>
      <c r="W544" s="552"/>
      <c r="X544" s="552"/>
      <c r="Y544" s="552"/>
      <c r="Z544" s="552"/>
    </row>
    <row r="545">
      <c r="A545" s="559"/>
      <c r="B545" s="560"/>
      <c r="C545" s="561"/>
      <c r="D545" s="562"/>
      <c r="E545" s="552"/>
      <c r="F545" s="552"/>
      <c r="G545" s="552"/>
      <c r="H545" s="552"/>
      <c r="I545" s="552"/>
      <c r="J545" s="552"/>
      <c r="K545" s="552"/>
      <c r="L545" s="552"/>
      <c r="M545" s="552"/>
      <c r="N545" s="552"/>
      <c r="O545" s="552"/>
      <c r="P545" s="552"/>
      <c r="Q545" s="552"/>
      <c r="R545" s="552"/>
      <c r="S545" s="552"/>
      <c r="T545" s="552"/>
      <c r="U545" s="552"/>
      <c r="V545" s="552"/>
      <c r="W545" s="552"/>
      <c r="X545" s="552"/>
      <c r="Y545" s="552"/>
      <c r="Z545" s="552"/>
    </row>
    <row r="546">
      <c r="A546" s="559"/>
      <c r="B546" s="560"/>
      <c r="C546" s="561"/>
      <c r="D546" s="562"/>
      <c r="E546" s="552"/>
      <c r="F546" s="552"/>
      <c r="G546" s="552"/>
      <c r="H546" s="552"/>
      <c r="I546" s="552"/>
      <c r="J546" s="552"/>
      <c r="K546" s="552"/>
      <c r="L546" s="552"/>
      <c r="M546" s="552"/>
      <c r="N546" s="552"/>
      <c r="O546" s="552"/>
      <c r="P546" s="552"/>
      <c r="Q546" s="552"/>
      <c r="R546" s="552"/>
      <c r="S546" s="552"/>
      <c r="T546" s="552"/>
      <c r="U546" s="552"/>
      <c r="V546" s="552"/>
      <c r="W546" s="552"/>
      <c r="X546" s="552"/>
      <c r="Y546" s="552"/>
      <c r="Z546" s="552"/>
    </row>
    <row r="547">
      <c r="A547" s="559"/>
      <c r="B547" s="560"/>
      <c r="C547" s="561"/>
      <c r="D547" s="562"/>
      <c r="E547" s="552"/>
      <c r="F547" s="552"/>
      <c r="G547" s="552"/>
      <c r="H547" s="552"/>
      <c r="I547" s="552"/>
      <c r="J547" s="552"/>
      <c r="K547" s="552"/>
      <c r="L547" s="552"/>
      <c r="M547" s="552"/>
      <c r="N547" s="552"/>
      <c r="O547" s="552"/>
      <c r="P547" s="552"/>
      <c r="Q547" s="552"/>
      <c r="R547" s="552"/>
      <c r="S547" s="552"/>
      <c r="T547" s="552"/>
      <c r="U547" s="552"/>
      <c r="V547" s="552"/>
      <c r="W547" s="552"/>
      <c r="X547" s="552"/>
      <c r="Y547" s="552"/>
      <c r="Z547" s="552"/>
    </row>
    <row r="548">
      <c r="A548" s="559"/>
      <c r="B548" s="560"/>
      <c r="C548" s="561"/>
      <c r="D548" s="562"/>
      <c r="E548" s="552"/>
      <c r="F548" s="552"/>
      <c r="G548" s="552"/>
      <c r="H548" s="552"/>
      <c r="I548" s="552"/>
      <c r="J548" s="552"/>
      <c r="K548" s="552"/>
      <c r="L548" s="552"/>
      <c r="M548" s="552"/>
      <c r="N548" s="552"/>
      <c r="O548" s="552"/>
      <c r="P548" s="552"/>
      <c r="Q548" s="552"/>
      <c r="R548" s="552"/>
      <c r="S548" s="552"/>
      <c r="T548" s="552"/>
      <c r="U548" s="552"/>
      <c r="V548" s="552"/>
      <c r="W548" s="552"/>
      <c r="X548" s="552"/>
      <c r="Y548" s="552"/>
      <c r="Z548" s="552"/>
    </row>
    <row r="549">
      <c r="A549" s="559"/>
      <c r="B549" s="560"/>
      <c r="C549" s="561"/>
      <c r="D549" s="562"/>
      <c r="E549" s="552"/>
      <c r="F549" s="552"/>
      <c r="G549" s="552"/>
      <c r="H549" s="552"/>
      <c r="I549" s="552"/>
      <c r="J549" s="552"/>
      <c r="K549" s="552"/>
      <c r="L549" s="552"/>
      <c r="M549" s="552"/>
      <c r="N549" s="552"/>
      <c r="O549" s="552"/>
      <c r="P549" s="552"/>
      <c r="Q549" s="552"/>
      <c r="R549" s="552"/>
      <c r="S549" s="552"/>
      <c r="T549" s="552"/>
      <c r="U549" s="552"/>
      <c r="V549" s="552"/>
      <c r="W549" s="552"/>
      <c r="X549" s="552"/>
      <c r="Y549" s="552"/>
      <c r="Z549" s="552"/>
    </row>
    <row r="550">
      <c r="A550" s="559"/>
      <c r="B550" s="560"/>
      <c r="C550" s="561"/>
      <c r="D550" s="562"/>
      <c r="E550" s="552"/>
      <c r="F550" s="552"/>
      <c r="G550" s="552"/>
      <c r="H550" s="552"/>
      <c r="I550" s="552"/>
      <c r="J550" s="552"/>
      <c r="K550" s="552"/>
      <c r="L550" s="552"/>
      <c r="M550" s="552"/>
      <c r="N550" s="552"/>
      <c r="O550" s="552"/>
      <c r="P550" s="552"/>
      <c r="Q550" s="552"/>
      <c r="R550" s="552"/>
      <c r="S550" s="552"/>
      <c r="T550" s="552"/>
      <c r="U550" s="552"/>
      <c r="V550" s="552"/>
      <c r="W550" s="552"/>
      <c r="X550" s="552"/>
      <c r="Y550" s="552"/>
      <c r="Z550" s="552"/>
    </row>
    <row r="551">
      <c r="A551" s="559"/>
      <c r="B551" s="560"/>
      <c r="C551" s="561"/>
      <c r="D551" s="562"/>
      <c r="E551" s="552"/>
      <c r="F551" s="552"/>
      <c r="G551" s="552"/>
      <c r="H551" s="552"/>
      <c r="I551" s="552"/>
      <c r="J551" s="552"/>
      <c r="K551" s="552"/>
      <c r="L551" s="552"/>
      <c r="M551" s="552"/>
      <c r="N551" s="552"/>
      <c r="O551" s="552"/>
      <c r="P551" s="552"/>
      <c r="Q551" s="552"/>
      <c r="R551" s="552"/>
      <c r="S551" s="552"/>
      <c r="T551" s="552"/>
      <c r="U551" s="552"/>
      <c r="V551" s="552"/>
      <c r="W551" s="552"/>
      <c r="X551" s="552"/>
      <c r="Y551" s="552"/>
      <c r="Z551" s="552"/>
    </row>
    <row r="552">
      <c r="A552" s="559"/>
      <c r="B552" s="560"/>
      <c r="C552" s="561"/>
      <c r="D552" s="562"/>
      <c r="E552" s="552"/>
      <c r="F552" s="552"/>
      <c r="G552" s="552"/>
      <c r="H552" s="552"/>
      <c r="I552" s="552"/>
      <c r="J552" s="552"/>
      <c r="K552" s="552"/>
      <c r="L552" s="552"/>
      <c r="M552" s="552"/>
      <c r="N552" s="552"/>
      <c r="O552" s="552"/>
      <c r="P552" s="552"/>
      <c r="Q552" s="552"/>
      <c r="R552" s="552"/>
      <c r="S552" s="552"/>
      <c r="T552" s="552"/>
      <c r="U552" s="552"/>
      <c r="V552" s="552"/>
      <c r="W552" s="552"/>
      <c r="X552" s="552"/>
      <c r="Y552" s="552"/>
      <c r="Z552" s="552"/>
    </row>
    <row r="553">
      <c r="A553" s="559"/>
      <c r="B553" s="560"/>
      <c r="C553" s="561"/>
      <c r="D553" s="562"/>
      <c r="E553" s="552"/>
      <c r="F553" s="552"/>
      <c r="G553" s="552"/>
      <c r="H553" s="552"/>
      <c r="I553" s="552"/>
      <c r="J553" s="552"/>
      <c r="K553" s="552"/>
      <c r="L553" s="552"/>
      <c r="M553" s="552"/>
      <c r="N553" s="552"/>
      <c r="O553" s="552"/>
      <c r="P553" s="552"/>
      <c r="Q553" s="552"/>
      <c r="R553" s="552"/>
      <c r="S553" s="552"/>
      <c r="T553" s="552"/>
      <c r="U553" s="552"/>
      <c r="V553" s="552"/>
      <c r="W553" s="552"/>
      <c r="X553" s="552"/>
      <c r="Y553" s="552"/>
      <c r="Z553" s="552"/>
    </row>
    <row r="554">
      <c r="A554" s="559"/>
      <c r="B554" s="560"/>
      <c r="C554" s="561"/>
      <c r="D554" s="562"/>
      <c r="E554" s="552"/>
      <c r="F554" s="552"/>
      <c r="G554" s="552"/>
      <c r="H554" s="552"/>
      <c r="I554" s="552"/>
      <c r="J554" s="552"/>
      <c r="K554" s="552"/>
      <c r="L554" s="552"/>
      <c r="M554" s="552"/>
      <c r="N554" s="552"/>
      <c r="O554" s="552"/>
      <c r="P554" s="552"/>
      <c r="Q554" s="552"/>
      <c r="R554" s="552"/>
      <c r="S554" s="552"/>
      <c r="T554" s="552"/>
      <c r="U554" s="552"/>
      <c r="V554" s="552"/>
      <c r="W554" s="552"/>
      <c r="X554" s="552"/>
      <c r="Y554" s="552"/>
      <c r="Z554" s="552"/>
    </row>
    <row r="555">
      <c r="A555" s="559"/>
      <c r="B555" s="560"/>
      <c r="C555" s="561"/>
      <c r="D555" s="562"/>
      <c r="E555" s="552"/>
      <c r="F555" s="552"/>
      <c r="G555" s="552"/>
      <c r="H555" s="552"/>
      <c r="I555" s="552"/>
      <c r="J555" s="552"/>
      <c r="K555" s="552"/>
      <c r="L555" s="552"/>
      <c r="M555" s="552"/>
      <c r="N555" s="552"/>
      <c r="O555" s="552"/>
      <c r="P555" s="552"/>
      <c r="Q555" s="552"/>
      <c r="R555" s="552"/>
      <c r="S555" s="552"/>
      <c r="T555" s="552"/>
      <c r="U555" s="552"/>
      <c r="V555" s="552"/>
      <c r="W555" s="552"/>
      <c r="X555" s="552"/>
      <c r="Y555" s="552"/>
      <c r="Z555" s="552"/>
    </row>
    <row r="556">
      <c r="A556" s="559"/>
      <c r="B556" s="560"/>
      <c r="C556" s="561"/>
      <c r="D556" s="562"/>
      <c r="E556" s="552"/>
      <c r="F556" s="552"/>
      <c r="G556" s="552"/>
      <c r="H556" s="552"/>
      <c r="I556" s="552"/>
      <c r="J556" s="552"/>
      <c r="K556" s="552"/>
      <c r="L556" s="552"/>
      <c r="M556" s="552"/>
      <c r="N556" s="552"/>
      <c r="O556" s="552"/>
      <c r="P556" s="552"/>
      <c r="Q556" s="552"/>
      <c r="R556" s="552"/>
      <c r="S556" s="552"/>
      <c r="T556" s="552"/>
      <c r="U556" s="552"/>
      <c r="V556" s="552"/>
      <c r="W556" s="552"/>
      <c r="X556" s="552"/>
      <c r="Y556" s="552"/>
      <c r="Z556" s="552"/>
    </row>
    <row r="557">
      <c r="A557" s="559"/>
      <c r="B557" s="560"/>
      <c r="C557" s="561"/>
      <c r="D557" s="562"/>
      <c r="E557" s="552"/>
      <c r="F557" s="552"/>
      <c r="G557" s="552"/>
      <c r="H557" s="552"/>
      <c r="I557" s="552"/>
      <c r="J557" s="552"/>
      <c r="K557" s="552"/>
      <c r="L557" s="552"/>
      <c r="M557" s="552"/>
      <c r="N557" s="552"/>
      <c r="O557" s="552"/>
      <c r="P557" s="552"/>
      <c r="Q557" s="552"/>
      <c r="R557" s="552"/>
      <c r="S557" s="552"/>
      <c r="T557" s="552"/>
      <c r="U557" s="552"/>
      <c r="V557" s="552"/>
      <c r="W557" s="552"/>
      <c r="X557" s="552"/>
      <c r="Y557" s="552"/>
      <c r="Z557" s="552"/>
    </row>
    <row r="558">
      <c r="A558" s="559"/>
      <c r="B558" s="560"/>
      <c r="C558" s="561"/>
      <c r="D558" s="562"/>
      <c r="E558" s="552"/>
      <c r="F558" s="552"/>
      <c r="G558" s="552"/>
      <c r="H558" s="552"/>
      <c r="I558" s="552"/>
      <c r="J558" s="552"/>
      <c r="K558" s="552"/>
      <c r="L558" s="552"/>
      <c r="M558" s="552"/>
      <c r="N558" s="552"/>
      <c r="O558" s="552"/>
      <c r="P558" s="552"/>
      <c r="Q558" s="552"/>
      <c r="R558" s="552"/>
      <c r="S558" s="552"/>
      <c r="T558" s="552"/>
      <c r="U558" s="552"/>
      <c r="V558" s="552"/>
      <c r="W558" s="552"/>
      <c r="X558" s="552"/>
      <c r="Y558" s="552"/>
      <c r="Z558" s="552"/>
    </row>
    <row r="559">
      <c r="A559" s="559"/>
      <c r="B559" s="560"/>
      <c r="C559" s="561"/>
      <c r="D559" s="562"/>
      <c r="E559" s="552"/>
      <c r="F559" s="552"/>
      <c r="G559" s="552"/>
      <c r="H559" s="552"/>
      <c r="I559" s="552"/>
      <c r="J559" s="552"/>
      <c r="K559" s="552"/>
      <c r="L559" s="552"/>
      <c r="M559" s="552"/>
      <c r="N559" s="552"/>
      <c r="O559" s="552"/>
      <c r="P559" s="552"/>
      <c r="Q559" s="552"/>
      <c r="R559" s="552"/>
      <c r="S559" s="552"/>
      <c r="T559" s="552"/>
      <c r="U559" s="552"/>
      <c r="V559" s="552"/>
      <c r="W559" s="552"/>
      <c r="X559" s="552"/>
      <c r="Y559" s="552"/>
      <c r="Z559" s="552"/>
    </row>
    <row r="560">
      <c r="A560" s="559"/>
      <c r="B560" s="560"/>
      <c r="C560" s="561"/>
      <c r="D560" s="562"/>
      <c r="E560" s="552"/>
      <c r="F560" s="552"/>
      <c r="G560" s="552"/>
      <c r="H560" s="552"/>
      <c r="I560" s="552"/>
      <c r="J560" s="552"/>
      <c r="K560" s="552"/>
      <c r="L560" s="552"/>
      <c r="M560" s="552"/>
      <c r="N560" s="552"/>
      <c r="O560" s="552"/>
      <c r="P560" s="552"/>
      <c r="Q560" s="552"/>
      <c r="R560" s="552"/>
      <c r="S560" s="552"/>
      <c r="T560" s="552"/>
      <c r="U560" s="552"/>
      <c r="V560" s="552"/>
      <c r="W560" s="552"/>
      <c r="X560" s="552"/>
      <c r="Y560" s="552"/>
      <c r="Z560" s="552"/>
    </row>
    <row r="561">
      <c r="A561" s="559"/>
      <c r="B561" s="560"/>
      <c r="C561" s="561"/>
      <c r="D561" s="562"/>
      <c r="E561" s="552"/>
      <c r="F561" s="552"/>
      <c r="G561" s="552"/>
      <c r="H561" s="552"/>
      <c r="I561" s="552"/>
      <c r="J561" s="552"/>
      <c r="K561" s="552"/>
      <c r="L561" s="552"/>
      <c r="M561" s="552"/>
      <c r="N561" s="552"/>
      <c r="O561" s="552"/>
      <c r="P561" s="552"/>
      <c r="Q561" s="552"/>
      <c r="R561" s="552"/>
      <c r="S561" s="552"/>
      <c r="T561" s="552"/>
      <c r="U561" s="552"/>
      <c r="V561" s="552"/>
      <c r="W561" s="552"/>
      <c r="X561" s="552"/>
      <c r="Y561" s="552"/>
      <c r="Z561" s="552"/>
    </row>
    <row r="562">
      <c r="A562" s="559"/>
      <c r="B562" s="560"/>
      <c r="C562" s="561"/>
      <c r="D562" s="562"/>
      <c r="E562" s="552"/>
      <c r="F562" s="552"/>
      <c r="G562" s="552"/>
      <c r="H562" s="552"/>
      <c r="I562" s="552"/>
      <c r="J562" s="552"/>
      <c r="K562" s="552"/>
      <c r="L562" s="552"/>
      <c r="M562" s="552"/>
      <c r="N562" s="552"/>
      <c r="O562" s="552"/>
      <c r="P562" s="552"/>
      <c r="Q562" s="552"/>
      <c r="R562" s="552"/>
      <c r="S562" s="552"/>
      <c r="T562" s="552"/>
      <c r="U562" s="552"/>
      <c r="V562" s="552"/>
      <c r="W562" s="552"/>
      <c r="X562" s="552"/>
      <c r="Y562" s="552"/>
      <c r="Z562" s="552"/>
    </row>
    <row r="563">
      <c r="A563" s="559"/>
      <c r="B563" s="560"/>
      <c r="C563" s="561"/>
      <c r="D563" s="562"/>
      <c r="E563" s="552"/>
      <c r="F563" s="552"/>
      <c r="G563" s="552"/>
      <c r="H563" s="552"/>
      <c r="I563" s="552"/>
      <c r="J563" s="552"/>
      <c r="K563" s="552"/>
      <c r="L563" s="552"/>
      <c r="M563" s="552"/>
      <c r="N563" s="552"/>
      <c r="O563" s="552"/>
      <c r="P563" s="552"/>
      <c r="Q563" s="552"/>
      <c r="R563" s="552"/>
      <c r="S563" s="552"/>
      <c r="T563" s="552"/>
      <c r="U563" s="552"/>
      <c r="V563" s="552"/>
      <c r="W563" s="552"/>
      <c r="X563" s="552"/>
      <c r="Y563" s="552"/>
      <c r="Z563" s="552"/>
    </row>
    <row r="564">
      <c r="A564" s="559"/>
      <c r="B564" s="560"/>
      <c r="C564" s="561"/>
      <c r="D564" s="562"/>
      <c r="E564" s="552"/>
      <c r="F564" s="552"/>
      <c r="G564" s="552"/>
      <c r="H564" s="552"/>
      <c r="I564" s="552"/>
      <c r="J564" s="552"/>
      <c r="K564" s="552"/>
      <c r="L564" s="552"/>
      <c r="M564" s="552"/>
      <c r="N564" s="552"/>
      <c r="O564" s="552"/>
      <c r="P564" s="552"/>
      <c r="Q564" s="552"/>
      <c r="R564" s="552"/>
      <c r="S564" s="552"/>
      <c r="T564" s="552"/>
      <c r="U564" s="552"/>
      <c r="V564" s="552"/>
      <c r="W564" s="552"/>
      <c r="X564" s="552"/>
      <c r="Y564" s="552"/>
      <c r="Z564" s="552"/>
    </row>
    <row r="565">
      <c r="A565" s="559"/>
      <c r="B565" s="560"/>
      <c r="C565" s="561"/>
      <c r="D565" s="562"/>
      <c r="E565" s="552"/>
      <c r="F565" s="552"/>
      <c r="G565" s="552"/>
      <c r="H565" s="552"/>
      <c r="I565" s="552"/>
      <c r="J565" s="552"/>
      <c r="K565" s="552"/>
      <c r="L565" s="552"/>
      <c r="M565" s="552"/>
      <c r="N565" s="552"/>
      <c r="O565" s="552"/>
      <c r="P565" s="552"/>
      <c r="Q565" s="552"/>
      <c r="R565" s="552"/>
      <c r="S565" s="552"/>
      <c r="T565" s="552"/>
      <c r="U565" s="552"/>
      <c r="V565" s="552"/>
      <c r="W565" s="552"/>
      <c r="X565" s="552"/>
      <c r="Y565" s="552"/>
      <c r="Z565" s="552"/>
    </row>
    <row r="566">
      <c r="A566" s="559"/>
      <c r="B566" s="560"/>
      <c r="C566" s="561"/>
      <c r="D566" s="562"/>
      <c r="E566" s="552"/>
      <c r="F566" s="552"/>
      <c r="G566" s="552"/>
      <c r="H566" s="552"/>
      <c r="I566" s="552"/>
      <c r="J566" s="552"/>
      <c r="K566" s="552"/>
      <c r="L566" s="552"/>
      <c r="M566" s="552"/>
      <c r="N566" s="552"/>
      <c r="O566" s="552"/>
      <c r="P566" s="552"/>
      <c r="Q566" s="552"/>
      <c r="R566" s="552"/>
      <c r="S566" s="552"/>
      <c r="T566" s="552"/>
      <c r="U566" s="552"/>
      <c r="V566" s="552"/>
      <c r="W566" s="552"/>
      <c r="X566" s="552"/>
      <c r="Y566" s="552"/>
      <c r="Z566" s="552"/>
    </row>
    <row r="567">
      <c r="A567" s="559"/>
      <c r="B567" s="560"/>
      <c r="C567" s="561"/>
      <c r="D567" s="562"/>
      <c r="E567" s="552"/>
      <c r="F567" s="552"/>
      <c r="G567" s="552"/>
      <c r="H567" s="552"/>
      <c r="I567" s="552"/>
      <c r="J567" s="552"/>
      <c r="K567" s="552"/>
      <c r="L567" s="552"/>
      <c r="M567" s="552"/>
      <c r="N567" s="552"/>
      <c r="O567" s="552"/>
      <c r="P567" s="552"/>
      <c r="Q567" s="552"/>
      <c r="R567" s="552"/>
      <c r="S567" s="552"/>
      <c r="T567" s="552"/>
      <c r="U567" s="552"/>
      <c r="V567" s="552"/>
      <c r="W567" s="552"/>
      <c r="X567" s="552"/>
      <c r="Y567" s="552"/>
      <c r="Z567" s="552"/>
    </row>
    <row r="568">
      <c r="A568" s="559"/>
      <c r="B568" s="560"/>
      <c r="C568" s="561"/>
      <c r="D568" s="562"/>
      <c r="E568" s="552"/>
      <c r="F568" s="552"/>
      <c r="G568" s="552"/>
      <c r="H568" s="552"/>
      <c r="I568" s="552"/>
      <c r="J568" s="552"/>
      <c r="K568" s="552"/>
      <c r="L568" s="552"/>
      <c r="M568" s="552"/>
      <c r="N568" s="552"/>
      <c r="O568" s="552"/>
      <c r="P568" s="552"/>
      <c r="Q568" s="552"/>
      <c r="R568" s="552"/>
      <c r="S568" s="552"/>
      <c r="T568" s="552"/>
      <c r="U568" s="552"/>
      <c r="V568" s="552"/>
      <c r="W568" s="552"/>
      <c r="X568" s="552"/>
      <c r="Y568" s="552"/>
      <c r="Z568" s="552"/>
    </row>
    <row r="569">
      <c r="A569" s="559"/>
      <c r="B569" s="560"/>
      <c r="C569" s="561"/>
      <c r="D569" s="562"/>
      <c r="E569" s="552"/>
      <c r="F569" s="552"/>
      <c r="G569" s="552"/>
      <c r="H569" s="552"/>
      <c r="I569" s="552"/>
      <c r="J569" s="552"/>
      <c r="K569" s="552"/>
      <c r="L569" s="552"/>
      <c r="M569" s="552"/>
      <c r="N569" s="552"/>
      <c r="O569" s="552"/>
      <c r="P569" s="552"/>
      <c r="Q569" s="552"/>
      <c r="R569" s="552"/>
      <c r="S569" s="552"/>
      <c r="T569" s="552"/>
      <c r="U569" s="552"/>
      <c r="V569" s="552"/>
      <c r="W569" s="552"/>
      <c r="X569" s="552"/>
      <c r="Y569" s="552"/>
      <c r="Z569" s="552"/>
    </row>
    <row r="570">
      <c r="A570" s="559"/>
      <c r="B570" s="560"/>
      <c r="C570" s="561"/>
      <c r="D570" s="562"/>
      <c r="E570" s="552"/>
      <c r="F570" s="552"/>
      <c r="G570" s="552"/>
      <c r="H570" s="552"/>
      <c r="I570" s="552"/>
      <c r="J570" s="552"/>
      <c r="K570" s="552"/>
      <c r="L570" s="552"/>
      <c r="M570" s="552"/>
      <c r="N570" s="552"/>
      <c r="O570" s="552"/>
      <c r="P570" s="552"/>
      <c r="Q570" s="552"/>
      <c r="R570" s="552"/>
      <c r="S570" s="552"/>
      <c r="T570" s="552"/>
      <c r="U570" s="552"/>
      <c r="V570" s="552"/>
      <c r="W570" s="552"/>
      <c r="X570" s="552"/>
      <c r="Y570" s="552"/>
      <c r="Z570" s="552"/>
    </row>
    <row r="571">
      <c r="A571" s="559"/>
      <c r="B571" s="560"/>
      <c r="C571" s="561"/>
      <c r="D571" s="562"/>
      <c r="E571" s="552"/>
      <c r="F571" s="552"/>
      <c r="G571" s="552"/>
      <c r="H571" s="552"/>
      <c r="I571" s="552"/>
      <c r="J571" s="552"/>
      <c r="K571" s="552"/>
      <c r="L571" s="552"/>
      <c r="M571" s="552"/>
      <c r="N571" s="552"/>
      <c r="O571" s="552"/>
      <c r="P571" s="552"/>
      <c r="Q571" s="552"/>
      <c r="R571" s="552"/>
      <c r="S571" s="552"/>
      <c r="T571" s="552"/>
      <c r="U571" s="552"/>
      <c r="V571" s="552"/>
      <c r="W571" s="552"/>
      <c r="X571" s="552"/>
      <c r="Y571" s="552"/>
      <c r="Z571" s="552"/>
    </row>
    <row r="572">
      <c r="A572" s="559"/>
      <c r="B572" s="560"/>
      <c r="C572" s="561"/>
      <c r="D572" s="562"/>
      <c r="E572" s="552"/>
      <c r="F572" s="552"/>
      <c r="G572" s="552"/>
      <c r="H572" s="552"/>
      <c r="I572" s="552"/>
      <c r="J572" s="552"/>
      <c r="K572" s="552"/>
      <c r="L572" s="552"/>
      <c r="M572" s="552"/>
      <c r="N572" s="552"/>
      <c r="O572" s="552"/>
      <c r="P572" s="552"/>
      <c r="Q572" s="552"/>
      <c r="R572" s="552"/>
      <c r="S572" s="552"/>
      <c r="T572" s="552"/>
      <c r="U572" s="552"/>
      <c r="V572" s="552"/>
      <c r="W572" s="552"/>
      <c r="X572" s="552"/>
      <c r="Y572" s="552"/>
      <c r="Z572" s="552"/>
    </row>
    <row r="573">
      <c r="A573" s="559"/>
      <c r="B573" s="560"/>
      <c r="C573" s="561"/>
      <c r="D573" s="562"/>
      <c r="E573" s="552"/>
      <c r="F573" s="552"/>
      <c r="G573" s="552"/>
      <c r="H573" s="552"/>
      <c r="I573" s="552"/>
      <c r="J573" s="552"/>
      <c r="K573" s="552"/>
      <c r="L573" s="552"/>
      <c r="M573" s="552"/>
      <c r="N573" s="552"/>
      <c r="O573" s="552"/>
      <c r="P573" s="552"/>
      <c r="Q573" s="552"/>
      <c r="R573" s="552"/>
      <c r="S573" s="552"/>
      <c r="T573" s="552"/>
      <c r="U573" s="552"/>
      <c r="V573" s="552"/>
      <c r="W573" s="552"/>
      <c r="X573" s="552"/>
      <c r="Y573" s="552"/>
      <c r="Z573" s="552"/>
    </row>
    <row r="574">
      <c r="A574" s="559"/>
      <c r="B574" s="560"/>
      <c r="C574" s="561"/>
      <c r="D574" s="562"/>
      <c r="E574" s="552"/>
      <c r="F574" s="552"/>
      <c r="G574" s="552"/>
      <c r="H574" s="552"/>
      <c r="I574" s="552"/>
      <c r="J574" s="552"/>
      <c r="K574" s="552"/>
      <c r="L574" s="552"/>
      <c r="M574" s="552"/>
      <c r="N574" s="552"/>
      <c r="O574" s="552"/>
      <c r="P574" s="552"/>
      <c r="Q574" s="552"/>
      <c r="R574" s="552"/>
      <c r="S574" s="552"/>
      <c r="T574" s="552"/>
      <c r="U574" s="552"/>
      <c r="V574" s="552"/>
      <c r="W574" s="552"/>
      <c r="X574" s="552"/>
      <c r="Y574" s="552"/>
      <c r="Z574" s="552"/>
    </row>
    <row r="575">
      <c r="A575" s="559"/>
      <c r="B575" s="560"/>
      <c r="C575" s="561"/>
      <c r="D575" s="562"/>
      <c r="E575" s="552"/>
      <c r="F575" s="552"/>
      <c r="G575" s="552"/>
      <c r="H575" s="552"/>
      <c r="I575" s="552"/>
      <c r="J575" s="552"/>
      <c r="K575" s="552"/>
      <c r="L575" s="552"/>
      <c r="M575" s="552"/>
      <c r="N575" s="552"/>
      <c r="O575" s="552"/>
      <c r="P575" s="552"/>
      <c r="Q575" s="552"/>
      <c r="R575" s="552"/>
      <c r="S575" s="552"/>
      <c r="T575" s="552"/>
      <c r="U575" s="552"/>
      <c r="V575" s="552"/>
      <c r="W575" s="552"/>
      <c r="X575" s="552"/>
      <c r="Y575" s="552"/>
      <c r="Z575" s="552"/>
    </row>
    <row r="576">
      <c r="A576" s="559"/>
      <c r="B576" s="560"/>
      <c r="C576" s="561"/>
      <c r="D576" s="562"/>
      <c r="E576" s="552"/>
      <c r="F576" s="552"/>
      <c r="G576" s="552"/>
      <c r="H576" s="552"/>
      <c r="I576" s="552"/>
      <c r="J576" s="552"/>
      <c r="K576" s="552"/>
      <c r="L576" s="552"/>
      <c r="M576" s="552"/>
      <c r="N576" s="552"/>
      <c r="O576" s="552"/>
      <c r="P576" s="552"/>
      <c r="Q576" s="552"/>
      <c r="R576" s="552"/>
      <c r="S576" s="552"/>
      <c r="T576" s="552"/>
      <c r="U576" s="552"/>
      <c r="V576" s="552"/>
      <c r="W576" s="552"/>
      <c r="X576" s="552"/>
      <c r="Y576" s="552"/>
      <c r="Z576" s="552"/>
    </row>
    <row r="577">
      <c r="A577" s="559"/>
      <c r="B577" s="560"/>
      <c r="C577" s="561"/>
      <c r="D577" s="562"/>
      <c r="E577" s="552"/>
      <c r="F577" s="552"/>
      <c r="G577" s="552"/>
      <c r="H577" s="552"/>
      <c r="I577" s="552"/>
      <c r="J577" s="552"/>
      <c r="K577" s="552"/>
      <c r="L577" s="552"/>
      <c r="M577" s="552"/>
      <c r="N577" s="552"/>
      <c r="O577" s="552"/>
      <c r="P577" s="552"/>
      <c r="Q577" s="552"/>
      <c r="R577" s="552"/>
      <c r="S577" s="552"/>
      <c r="T577" s="552"/>
      <c r="U577" s="552"/>
      <c r="V577" s="552"/>
      <c r="W577" s="552"/>
      <c r="X577" s="552"/>
      <c r="Y577" s="552"/>
      <c r="Z577" s="552"/>
    </row>
    <row r="578">
      <c r="A578" s="559"/>
      <c r="B578" s="560"/>
      <c r="C578" s="561"/>
      <c r="D578" s="562"/>
      <c r="E578" s="552"/>
      <c r="F578" s="552"/>
      <c r="G578" s="552"/>
      <c r="H578" s="552"/>
      <c r="I578" s="552"/>
      <c r="J578" s="552"/>
      <c r="K578" s="552"/>
      <c r="L578" s="552"/>
      <c r="M578" s="552"/>
      <c r="N578" s="552"/>
      <c r="O578" s="552"/>
      <c r="P578" s="552"/>
      <c r="Q578" s="552"/>
      <c r="R578" s="552"/>
      <c r="S578" s="552"/>
      <c r="T578" s="552"/>
      <c r="U578" s="552"/>
      <c r="V578" s="552"/>
      <c r="W578" s="552"/>
      <c r="X578" s="552"/>
      <c r="Y578" s="552"/>
      <c r="Z578" s="552"/>
    </row>
    <row r="579">
      <c r="A579" s="559"/>
      <c r="B579" s="560"/>
      <c r="C579" s="561"/>
      <c r="D579" s="562"/>
      <c r="E579" s="552"/>
      <c r="F579" s="552"/>
      <c r="G579" s="552"/>
      <c r="H579" s="552"/>
      <c r="I579" s="552"/>
      <c r="J579" s="552"/>
      <c r="K579" s="552"/>
      <c r="L579" s="552"/>
      <c r="M579" s="552"/>
      <c r="N579" s="552"/>
      <c r="O579" s="552"/>
      <c r="P579" s="552"/>
      <c r="Q579" s="552"/>
      <c r="R579" s="552"/>
      <c r="S579" s="552"/>
      <c r="T579" s="552"/>
      <c r="U579" s="552"/>
      <c r="V579" s="552"/>
      <c r="W579" s="552"/>
      <c r="X579" s="552"/>
      <c r="Y579" s="552"/>
      <c r="Z579" s="552"/>
    </row>
    <row r="580">
      <c r="A580" s="559"/>
      <c r="B580" s="560"/>
      <c r="C580" s="561"/>
      <c r="D580" s="562"/>
      <c r="E580" s="552"/>
      <c r="F580" s="552"/>
      <c r="G580" s="552"/>
      <c r="H580" s="552"/>
      <c r="I580" s="552"/>
      <c r="J580" s="552"/>
      <c r="K580" s="552"/>
      <c r="L580" s="552"/>
      <c r="M580" s="552"/>
      <c r="N580" s="552"/>
      <c r="O580" s="552"/>
      <c r="P580" s="552"/>
      <c r="Q580" s="552"/>
      <c r="R580" s="552"/>
      <c r="S580" s="552"/>
      <c r="T580" s="552"/>
      <c r="U580" s="552"/>
      <c r="V580" s="552"/>
      <c r="W580" s="552"/>
      <c r="X580" s="552"/>
      <c r="Y580" s="552"/>
      <c r="Z580" s="552"/>
    </row>
    <row r="581">
      <c r="A581" s="559"/>
      <c r="B581" s="560"/>
      <c r="C581" s="561"/>
      <c r="D581" s="562"/>
      <c r="E581" s="552"/>
      <c r="F581" s="552"/>
      <c r="G581" s="552"/>
      <c r="H581" s="552"/>
      <c r="I581" s="552"/>
      <c r="J581" s="552"/>
      <c r="K581" s="552"/>
      <c r="L581" s="552"/>
      <c r="M581" s="552"/>
      <c r="N581" s="552"/>
      <c r="O581" s="552"/>
      <c r="P581" s="552"/>
      <c r="Q581" s="552"/>
      <c r="R581" s="552"/>
      <c r="S581" s="552"/>
      <c r="T581" s="552"/>
      <c r="U581" s="552"/>
      <c r="V581" s="552"/>
      <c r="W581" s="552"/>
      <c r="X581" s="552"/>
      <c r="Y581" s="552"/>
      <c r="Z581" s="552"/>
    </row>
    <row r="582">
      <c r="A582" s="559"/>
      <c r="B582" s="560"/>
      <c r="C582" s="561"/>
      <c r="D582" s="562"/>
      <c r="E582" s="552"/>
      <c r="F582" s="552"/>
      <c r="G582" s="552"/>
      <c r="H582" s="552"/>
      <c r="I582" s="552"/>
      <c r="J582" s="552"/>
      <c r="K582" s="552"/>
      <c r="L582" s="552"/>
      <c r="M582" s="552"/>
      <c r="N582" s="552"/>
      <c r="O582" s="552"/>
      <c r="P582" s="552"/>
      <c r="Q582" s="552"/>
      <c r="R582" s="552"/>
      <c r="S582" s="552"/>
      <c r="T582" s="552"/>
      <c r="U582" s="552"/>
      <c r="V582" s="552"/>
      <c r="W582" s="552"/>
      <c r="X582" s="552"/>
      <c r="Y582" s="552"/>
      <c r="Z582" s="552"/>
    </row>
    <row r="583">
      <c r="A583" s="559"/>
      <c r="B583" s="560"/>
      <c r="C583" s="561"/>
      <c r="D583" s="562"/>
      <c r="E583" s="552"/>
      <c r="F583" s="552"/>
      <c r="G583" s="552"/>
      <c r="H583" s="552"/>
      <c r="I583" s="552"/>
      <c r="J583" s="552"/>
      <c r="K583" s="552"/>
      <c r="L583" s="552"/>
      <c r="M583" s="552"/>
      <c r="N583" s="552"/>
      <c r="O583" s="552"/>
      <c r="P583" s="552"/>
      <c r="Q583" s="552"/>
      <c r="R583" s="552"/>
      <c r="S583" s="552"/>
      <c r="T583" s="552"/>
      <c r="U583" s="552"/>
      <c r="V583" s="552"/>
      <c r="W583" s="552"/>
      <c r="X583" s="552"/>
      <c r="Y583" s="552"/>
      <c r="Z583" s="552"/>
    </row>
    <row r="584">
      <c r="A584" s="559"/>
      <c r="B584" s="560"/>
      <c r="C584" s="561"/>
      <c r="D584" s="562"/>
      <c r="E584" s="552"/>
      <c r="F584" s="552"/>
      <c r="G584" s="552"/>
      <c r="H584" s="552"/>
      <c r="I584" s="552"/>
      <c r="J584" s="552"/>
      <c r="K584" s="552"/>
      <c r="L584" s="552"/>
      <c r="M584" s="552"/>
      <c r="N584" s="552"/>
      <c r="O584" s="552"/>
      <c r="P584" s="552"/>
      <c r="Q584" s="552"/>
      <c r="R584" s="552"/>
      <c r="S584" s="552"/>
      <c r="T584" s="552"/>
      <c r="U584" s="552"/>
      <c r="V584" s="552"/>
      <c r="W584" s="552"/>
      <c r="X584" s="552"/>
      <c r="Y584" s="552"/>
      <c r="Z584" s="552"/>
    </row>
    <row r="585">
      <c r="A585" s="559"/>
      <c r="B585" s="560"/>
      <c r="C585" s="561"/>
      <c r="D585" s="562"/>
      <c r="E585" s="552"/>
      <c r="F585" s="552"/>
      <c r="G585" s="552"/>
      <c r="H585" s="552"/>
      <c r="I585" s="552"/>
      <c r="J585" s="552"/>
      <c r="K585" s="552"/>
      <c r="L585" s="552"/>
      <c r="M585" s="552"/>
      <c r="N585" s="552"/>
      <c r="O585" s="552"/>
      <c r="P585" s="552"/>
      <c r="Q585" s="552"/>
      <c r="R585" s="552"/>
      <c r="S585" s="552"/>
      <c r="T585" s="552"/>
      <c r="U585" s="552"/>
      <c r="V585" s="552"/>
      <c r="W585" s="552"/>
      <c r="X585" s="552"/>
      <c r="Y585" s="552"/>
      <c r="Z585" s="552"/>
    </row>
    <row r="586">
      <c r="A586" s="559"/>
      <c r="B586" s="560"/>
      <c r="C586" s="561"/>
      <c r="D586" s="562"/>
      <c r="E586" s="552"/>
      <c r="F586" s="552"/>
      <c r="G586" s="552"/>
      <c r="H586" s="552"/>
      <c r="I586" s="552"/>
      <c r="J586" s="552"/>
      <c r="K586" s="552"/>
      <c r="L586" s="552"/>
      <c r="M586" s="552"/>
      <c r="N586" s="552"/>
      <c r="O586" s="552"/>
      <c r="P586" s="552"/>
      <c r="Q586" s="552"/>
      <c r="R586" s="552"/>
      <c r="S586" s="552"/>
      <c r="T586" s="552"/>
      <c r="U586" s="552"/>
      <c r="V586" s="552"/>
      <c r="W586" s="552"/>
      <c r="X586" s="552"/>
      <c r="Y586" s="552"/>
      <c r="Z586" s="552"/>
    </row>
    <row r="587">
      <c r="A587" s="559"/>
      <c r="B587" s="560"/>
      <c r="C587" s="561"/>
      <c r="D587" s="562"/>
      <c r="E587" s="552"/>
      <c r="F587" s="552"/>
      <c r="G587" s="552"/>
      <c r="H587" s="552"/>
      <c r="I587" s="552"/>
      <c r="J587" s="552"/>
      <c r="K587" s="552"/>
      <c r="L587" s="552"/>
      <c r="M587" s="552"/>
      <c r="N587" s="552"/>
      <c r="O587" s="552"/>
      <c r="P587" s="552"/>
      <c r="Q587" s="552"/>
      <c r="R587" s="552"/>
      <c r="S587" s="552"/>
      <c r="T587" s="552"/>
      <c r="U587" s="552"/>
      <c r="V587" s="552"/>
      <c r="W587" s="552"/>
      <c r="X587" s="552"/>
      <c r="Y587" s="552"/>
      <c r="Z587" s="552"/>
    </row>
    <row r="588">
      <c r="A588" s="559"/>
      <c r="B588" s="560"/>
      <c r="C588" s="561"/>
      <c r="D588" s="562"/>
      <c r="E588" s="552"/>
      <c r="F588" s="552"/>
      <c r="G588" s="552"/>
      <c r="H588" s="552"/>
      <c r="I588" s="552"/>
      <c r="J588" s="552"/>
      <c r="K588" s="552"/>
      <c r="L588" s="552"/>
      <c r="M588" s="552"/>
      <c r="N588" s="552"/>
      <c r="O588" s="552"/>
      <c r="P588" s="552"/>
      <c r="Q588" s="552"/>
      <c r="R588" s="552"/>
      <c r="S588" s="552"/>
      <c r="T588" s="552"/>
      <c r="U588" s="552"/>
      <c r="V588" s="552"/>
      <c r="W588" s="552"/>
      <c r="X588" s="552"/>
      <c r="Y588" s="552"/>
      <c r="Z588" s="552"/>
    </row>
    <row r="589">
      <c r="A589" s="559"/>
      <c r="B589" s="560"/>
      <c r="C589" s="561"/>
      <c r="D589" s="562"/>
      <c r="E589" s="552"/>
      <c r="F589" s="552"/>
      <c r="G589" s="552"/>
      <c r="H589" s="552"/>
      <c r="I589" s="552"/>
      <c r="J589" s="552"/>
      <c r="K589" s="552"/>
      <c r="L589" s="552"/>
      <c r="M589" s="552"/>
      <c r="N589" s="552"/>
      <c r="O589" s="552"/>
      <c r="P589" s="552"/>
      <c r="Q589" s="552"/>
      <c r="R589" s="552"/>
      <c r="S589" s="552"/>
      <c r="T589" s="552"/>
      <c r="U589" s="552"/>
      <c r="V589" s="552"/>
      <c r="W589" s="552"/>
      <c r="X589" s="552"/>
      <c r="Y589" s="552"/>
      <c r="Z589" s="552"/>
    </row>
    <row r="590">
      <c r="A590" s="559"/>
      <c r="B590" s="560"/>
      <c r="C590" s="561"/>
      <c r="D590" s="562"/>
      <c r="E590" s="552"/>
      <c r="F590" s="552"/>
      <c r="G590" s="552"/>
      <c r="H590" s="552"/>
      <c r="I590" s="552"/>
      <c r="J590" s="552"/>
      <c r="K590" s="552"/>
      <c r="L590" s="552"/>
      <c r="M590" s="552"/>
      <c r="N590" s="552"/>
      <c r="O590" s="552"/>
      <c r="P590" s="552"/>
      <c r="Q590" s="552"/>
      <c r="R590" s="552"/>
      <c r="S590" s="552"/>
      <c r="T590" s="552"/>
      <c r="U590" s="552"/>
      <c r="V590" s="552"/>
      <c r="W590" s="552"/>
      <c r="X590" s="552"/>
      <c r="Y590" s="552"/>
      <c r="Z590" s="552"/>
    </row>
    <row r="591">
      <c r="A591" s="559"/>
      <c r="B591" s="560"/>
      <c r="C591" s="561"/>
      <c r="D591" s="562"/>
      <c r="E591" s="552"/>
      <c r="F591" s="552"/>
      <c r="G591" s="552"/>
      <c r="H591" s="552"/>
      <c r="I591" s="552"/>
      <c r="J591" s="552"/>
      <c r="K591" s="552"/>
      <c r="L591" s="552"/>
      <c r="M591" s="552"/>
      <c r="N591" s="552"/>
      <c r="O591" s="552"/>
      <c r="P591" s="552"/>
      <c r="Q591" s="552"/>
      <c r="R591" s="552"/>
      <c r="S591" s="552"/>
      <c r="T591" s="552"/>
      <c r="U591" s="552"/>
      <c r="V591" s="552"/>
      <c r="W591" s="552"/>
      <c r="X591" s="552"/>
      <c r="Y591" s="552"/>
      <c r="Z591" s="552"/>
    </row>
    <row r="592">
      <c r="A592" s="559"/>
      <c r="B592" s="560"/>
      <c r="C592" s="561"/>
      <c r="D592" s="562"/>
      <c r="E592" s="552"/>
      <c r="F592" s="552"/>
      <c r="G592" s="552"/>
      <c r="H592" s="552"/>
      <c r="I592" s="552"/>
      <c r="J592" s="552"/>
      <c r="K592" s="552"/>
      <c r="L592" s="552"/>
      <c r="M592" s="552"/>
      <c r="N592" s="552"/>
      <c r="O592" s="552"/>
      <c r="P592" s="552"/>
      <c r="Q592" s="552"/>
      <c r="R592" s="552"/>
      <c r="S592" s="552"/>
      <c r="T592" s="552"/>
      <c r="U592" s="552"/>
      <c r="V592" s="552"/>
      <c r="W592" s="552"/>
      <c r="X592" s="552"/>
      <c r="Y592" s="552"/>
      <c r="Z592" s="552"/>
    </row>
    <row r="593">
      <c r="A593" s="559"/>
      <c r="B593" s="560"/>
      <c r="C593" s="561"/>
      <c r="D593" s="562"/>
      <c r="E593" s="552"/>
      <c r="F593" s="552"/>
      <c r="G593" s="552"/>
      <c r="H593" s="552"/>
      <c r="I593" s="552"/>
      <c r="J593" s="552"/>
      <c r="K593" s="552"/>
      <c r="L593" s="552"/>
      <c r="M593" s="552"/>
      <c r="N593" s="552"/>
      <c r="O593" s="552"/>
      <c r="P593" s="552"/>
      <c r="Q593" s="552"/>
      <c r="R593" s="552"/>
      <c r="S593" s="552"/>
      <c r="T593" s="552"/>
      <c r="U593" s="552"/>
      <c r="V593" s="552"/>
      <c r="W593" s="552"/>
      <c r="X593" s="552"/>
      <c r="Y593" s="552"/>
      <c r="Z593" s="552"/>
    </row>
    <row r="594">
      <c r="A594" s="559"/>
      <c r="B594" s="560"/>
      <c r="C594" s="561"/>
      <c r="D594" s="562"/>
      <c r="E594" s="552"/>
      <c r="F594" s="552"/>
      <c r="G594" s="552"/>
      <c r="H594" s="552"/>
      <c r="I594" s="552"/>
      <c r="J594" s="552"/>
      <c r="K594" s="552"/>
      <c r="L594" s="552"/>
      <c r="M594" s="552"/>
      <c r="N594" s="552"/>
      <c r="O594" s="552"/>
      <c r="P594" s="552"/>
      <c r="Q594" s="552"/>
      <c r="R594" s="552"/>
      <c r="S594" s="552"/>
      <c r="T594" s="552"/>
      <c r="U594" s="552"/>
      <c r="V594" s="552"/>
      <c r="W594" s="552"/>
      <c r="X594" s="552"/>
      <c r="Y594" s="552"/>
      <c r="Z594" s="552"/>
    </row>
    <row r="595">
      <c r="A595" s="559"/>
      <c r="B595" s="560"/>
      <c r="C595" s="561"/>
      <c r="D595" s="562"/>
      <c r="E595" s="552"/>
      <c r="F595" s="552"/>
      <c r="G595" s="552"/>
      <c r="H595" s="552"/>
      <c r="I595" s="552"/>
      <c r="J595" s="552"/>
      <c r="K595" s="552"/>
      <c r="L595" s="552"/>
      <c r="M595" s="552"/>
      <c r="N595" s="552"/>
      <c r="O595" s="552"/>
      <c r="P595" s="552"/>
      <c r="Q595" s="552"/>
      <c r="R595" s="552"/>
      <c r="S595" s="552"/>
      <c r="T595" s="552"/>
      <c r="U595" s="552"/>
      <c r="V595" s="552"/>
      <c r="W595" s="552"/>
      <c r="X595" s="552"/>
      <c r="Y595" s="552"/>
      <c r="Z595" s="552"/>
    </row>
    <row r="596">
      <c r="A596" s="559"/>
      <c r="B596" s="560"/>
      <c r="C596" s="561"/>
      <c r="D596" s="562"/>
      <c r="E596" s="552"/>
      <c r="F596" s="552"/>
      <c r="G596" s="552"/>
      <c r="H596" s="552"/>
      <c r="I596" s="552"/>
      <c r="J596" s="552"/>
      <c r="K596" s="552"/>
      <c r="L596" s="552"/>
      <c r="M596" s="552"/>
      <c r="N596" s="552"/>
      <c r="O596" s="552"/>
      <c r="P596" s="552"/>
      <c r="Q596" s="552"/>
      <c r="R596" s="552"/>
      <c r="S596" s="552"/>
      <c r="T596" s="552"/>
      <c r="U596" s="552"/>
      <c r="V596" s="552"/>
      <c r="W596" s="552"/>
      <c r="X596" s="552"/>
      <c r="Y596" s="552"/>
      <c r="Z596" s="552"/>
    </row>
    <row r="597">
      <c r="A597" s="559"/>
      <c r="B597" s="560"/>
      <c r="C597" s="561"/>
      <c r="D597" s="562"/>
      <c r="E597" s="552"/>
      <c r="F597" s="552"/>
      <c r="G597" s="552"/>
      <c r="H597" s="552"/>
      <c r="I597" s="552"/>
      <c r="J597" s="552"/>
      <c r="K597" s="552"/>
      <c r="L597" s="552"/>
      <c r="M597" s="552"/>
      <c r="N597" s="552"/>
      <c r="O597" s="552"/>
      <c r="P597" s="552"/>
      <c r="Q597" s="552"/>
      <c r="R597" s="552"/>
      <c r="S597" s="552"/>
      <c r="T597" s="552"/>
      <c r="U597" s="552"/>
      <c r="V597" s="552"/>
      <c r="W597" s="552"/>
      <c r="X597" s="552"/>
      <c r="Y597" s="552"/>
      <c r="Z597" s="552"/>
    </row>
    <row r="598">
      <c r="A598" s="559"/>
      <c r="B598" s="560"/>
      <c r="C598" s="561"/>
      <c r="D598" s="562"/>
      <c r="E598" s="552"/>
      <c r="F598" s="552"/>
      <c r="G598" s="552"/>
      <c r="H598" s="552"/>
      <c r="I598" s="552"/>
      <c r="J598" s="552"/>
      <c r="K598" s="552"/>
      <c r="L598" s="552"/>
      <c r="M598" s="552"/>
      <c r="N598" s="552"/>
      <c r="O598" s="552"/>
      <c r="P598" s="552"/>
      <c r="Q598" s="552"/>
      <c r="R598" s="552"/>
      <c r="S598" s="552"/>
      <c r="T598" s="552"/>
      <c r="U598" s="552"/>
      <c r="V598" s="552"/>
      <c r="W598" s="552"/>
      <c r="X598" s="552"/>
      <c r="Y598" s="552"/>
      <c r="Z598" s="552"/>
    </row>
    <row r="599">
      <c r="A599" s="559"/>
      <c r="B599" s="560"/>
      <c r="C599" s="561"/>
      <c r="D599" s="562"/>
      <c r="E599" s="552"/>
      <c r="F599" s="552"/>
      <c r="G599" s="552"/>
      <c r="H599" s="552"/>
      <c r="I599" s="552"/>
      <c r="J599" s="552"/>
      <c r="K599" s="552"/>
      <c r="L599" s="552"/>
      <c r="M599" s="552"/>
      <c r="N599" s="552"/>
      <c r="O599" s="552"/>
      <c r="P599" s="552"/>
      <c r="Q599" s="552"/>
      <c r="R599" s="552"/>
      <c r="S599" s="552"/>
      <c r="T599" s="552"/>
      <c r="U599" s="552"/>
      <c r="V599" s="552"/>
      <c r="W599" s="552"/>
      <c r="X599" s="552"/>
      <c r="Y599" s="552"/>
      <c r="Z599" s="552"/>
    </row>
    <row r="600">
      <c r="A600" s="559"/>
      <c r="B600" s="560"/>
      <c r="C600" s="561"/>
      <c r="D600" s="562"/>
      <c r="E600" s="552"/>
      <c r="F600" s="552"/>
      <c r="G600" s="552"/>
      <c r="H600" s="552"/>
      <c r="I600" s="552"/>
      <c r="J600" s="552"/>
      <c r="K600" s="552"/>
      <c r="L600" s="552"/>
      <c r="M600" s="552"/>
      <c r="N600" s="552"/>
      <c r="O600" s="552"/>
      <c r="P600" s="552"/>
      <c r="Q600" s="552"/>
      <c r="R600" s="552"/>
      <c r="S600" s="552"/>
      <c r="T600" s="552"/>
      <c r="U600" s="552"/>
      <c r="V600" s="552"/>
      <c r="W600" s="552"/>
      <c r="X600" s="552"/>
      <c r="Y600" s="552"/>
      <c r="Z600" s="552"/>
    </row>
    <row r="601">
      <c r="A601" s="559"/>
      <c r="B601" s="560"/>
      <c r="C601" s="561"/>
      <c r="D601" s="562"/>
      <c r="E601" s="552"/>
      <c r="F601" s="552"/>
      <c r="G601" s="552"/>
      <c r="H601" s="552"/>
      <c r="I601" s="552"/>
      <c r="J601" s="552"/>
      <c r="K601" s="552"/>
      <c r="L601" s="552"/>
      <c r="M601" s="552"/>
      <c r="N601" s="552"/>
      <c r="O601" s="552"/>
      <c r="P601" s="552"/>
      <c r="Q601" s="552"/>
      <c r="R601" s="552"/>
      <c r="S601" s="552"/>
      <c r="T601" s="552"/>
      <c r="U601" s="552"/>
      <c r="V601" s="552"/>
      <c r="W601" s="552"/>
      <c r="X601" s="552"/>
      <c r="Y601" s="552"/>
      <c r="Z601" s="552"/>
    </row>
    <row r="602">
      <c r="A602" s="559"/>
      <c r="B602" s="560"/>
      <c r="C602" s="561"/>
      <c r="D602" s="562"/>
      <c r="E602" s="552"/>
      <c r="F602" s="552"/>
      <c r="G602" s="552"/>
      <c r="H602" s="552"/>
      <c r="I602" s="552"/>
      <c r="J602" s="552"/>
      <c r="K602" s="552"/>
      <c r="L602" s="552"/>
      <c r="M602" s="552"/>
      <c r="N602" s="552"/>
      <c r="O602" s="552"/>
      <c r="P602" s="552"/>
      <c r="Q602" s="552"/>
      <c r="R602" s="552"/>
      <c r="S602" s="552"/>
      <c r="T602" s="552"/>
      <c r="U602" s="552"/>
      <c r="V602" s="552"/>
      <c r="W602" s="552"/>
      <c r="X602" s="552"/>
      <c r="Y602" s="552"/>
      <c r="Z602" s="552"/>
    </row>
    <row r="603">
      <c r="A603" s="559"/>
      <c r="B603" s="560"/>
      <c r="C603" s="561"/>
      <c r="D603" s="562"/>
      <c r="E603" s="552"/>
      <c r="F603" s="552"/>
      <c r="G603" s="552"/>
      <c r="H603" s="552"/>
      <c r="I603" s="552"/>
      <c r="J603" s="552"/>
      <c r="K603" s="552"/>
      <c r="L603" s="552"/>
      <c r="M603" s="552"/>
      <c r="N603" s="552"/>
      <c r="O603" s="552"/>
      <c r="P603" s="552"/>
      <c r="Q603" s="552"/>
      <c r="R603" s="552"/>
      <c r="S603" s="552"/>
      <c r="T603" s="552"/>
      <c r="U603" s="552"/>
      <c r="V603" s="552"/>
      <c r="W603" s="552"/>
      <c r="X603" s="552"/>
      <c r="Y603" s="552"/>
      <c r="Z603" s="552"/>
    </row>
    <row r="604">
      <c r="A604" s="559"/>
      <c r="B604" s="560"/>
      <c r="C604" s="561"/>
      <c r="D604" s="562"/>
      <c r="E604" s="552"/>
      <c r="F604" s="552"/>
      <c r="G604" s="552"/>
      <c r="H604" s="552"/>
      <c r="I604" s="552"/>
      <c r="J604" s="552"/>
      <c r="K604" s="552"/>
      <c r="L604" s="552"/>
      <c r="M604" s="552"/>
      <c r="N604" s="552"/>
      <c r="O604" s="552"/>
      <c r="P604" s="552"/>
      <c r="Q604" s="552"/>
      <c r="R604" s="552"/>
      <c r="S604" s="552"/>
      <c r="T604" s="552"/>
      <c r="U604" s="552"/>
      <c r="V604" s="552"/>
      <c r="W604" s="552"/>
      <c r="X604" s="552"/>
      <c r="Y604" s="552"/>
      <c r="Z604" s="552"/>
    </row>
    <row r="605">
      <c r="A605" s="559"/>
      <c r="B605" s="560"/>
      <c r="C605" s="561"/>
      <c r="D605" s="562"/>
      <c r="E605" s="552"/>
      <c r="F605" s="552"/>
      <c r="G605" s="552"/>
      <c r="H605" s="552"/>
      <c r="I605" s="552"/>
      <c r="J605" s="552"/>
      <c r="K605" s="552"/>
      <c r="L605" s="552"/>
      <c r="M605" s="552"/>
      <c r="N605" s="552"/>
      <c r="O605" s="552"/>
      <c r="P605" s="552"/>
      <c r="Q605" s="552"/>
      <c r="R605" s="552"/>
      <c r="S605" s="552"/>
      <c r="T605" s="552"/>
      <c r="U605" s="552"/>
      <c r="V605" s="552"/>
      <c r="W605" s="552"/>
      <c r="X605" s="552"/>
      <c r="Y605" s="552"/>
      <c r="Z605" s="552"/>
    </row>
    <row r="606">
      <c r="A606" s="559"/>
      <c r="B606" s="560"/>
      <c r="C606" s="561"/>
      <c r="D606" s="562"/>
      <c r="E606" s="552"/>
      <c r="F606" s="552"/>
      <c r="G606" s="552"/>
      <c r="H606" s="552"/>
      <c r="I606" s="552"/>
      <c r="J606" s="552"/>
      <c r="K606" s="552"/>
      <c r="L606" s="552"/>
      <c r="M606" s="552"/>
      <c r="N606" s="552"/>
      <c r="O606" s="552"/>
      <c r="P606" s="552"/>
      <c r="Q606" s="552"/>
      <c r="R606" s="552"/>
      <c r="S606" s="552"/>
      <c r="T606" s="552"/>
      <c r="U606" s="552"/>
      <c r="V606" s="552"/>
      <c r="W606" s="552"/>
      <c r="X606" s="552"/>
      <c r="Y606" s="552"/>
      <c r="Z606" s="552"/>
    </row>
    <row r="607">
      <c r="A607" s="559"/>
      <c r="B607" s="560"/>
      <c r="C607" s="561"/>
      <c r="D607" s="562"/>
      <c r="E607" s="552"/>
      <c r="F607" s="552"/>
      <c r="G607" s="552"/>
      <c r="H607" s="552"/>
      <c r="I607" s="552"/>
      <c r="J607" s="552"/>
      <c r="K607" s="552"/>
      <c r="L607" s="552"/>
      <c r="M607" s="552"/>
      <c r="N607" s="552"/>
      <c r="O607" s="552"/>
      <c r="P607" s="552"/>
      <c r="Q607" s="552"/>
      <c r="R607" s="552"/>
      <c r="S607" s="552"/>
      <c r="T607" s="552"/>
      <c r="U607" s="552"/>
      <c r="V607" s="552"/>
      <c r="W607" s="552"/>
      <c r="X607" s="552"/>
      <c r="Y607" s="552"/>
      <c r="Z607" s="552"/>
    </row>
    <row r="608">
      <c r="A608" s="559"/>
      <c r="B608" s="560"/>
      <c r="C608" s="561"/>
      <c r="D608" s="562"/>
      <c r="E608" s="552"/>
      <c r="F608" s="552"/>
      <c r="G608" s="552"/>
      <c r="H608" s="552"/>
      <c r="I608" s="552"/>
      <c r="J608" s="552"/>
      <c r="K608" s="552"/>
      <c r="L608" s="552"/>
      <c r="M608" s="552"/>
      <c r="N608" s="552"/>
      <c r="O608" s="552"/>
      <c r="P608" s="552"/>
      <c r="Q608" s="552"/>
      <c r="R608" s="552"/>
      <c r="S608" s="552"/>
      <c r="T608" s="552"/>
      <c r="U608" s="552"/>
      <c r="V608" s="552"/>
      <c r="W608" s="552"/>
      <c r="X608" s="552"/>
      <c r="Y608" s="552"/>
      <c r="Z608" s="552"/>
    </row>
    <row r="609">
      <c r="A609" s="559"/>
      <c r="B609" s="560"/>
      <c r="C609" s="561"/>
      <c r="D609" s="562"/>
      <c r="E609" s="552"/>
      <c r="F609" s="552"/>
      <c r="G609" s="552"/>
      <c r="H609" s="552"/>
      <c r="I609" s="552"/>
      <c r="J609" s="552"/>
      <c r="K609" s="552"/>
      <c r="L609" s="552"/>
      <c r="M609" s="552"/>
      <c r="N609" s="552"/>
      <c r="O609" s="552"/>
      <c r="P609" s="552"/>
      <c r="Q609" s="552"/>
      <c r="R609" s="552"/>
      <c r="S609" s="552"/>
      <c r="T609" s="552"/>
      <c r="U609" s="552"/>
      <c r="V609" s="552"/>
      <c r="W609" s="552"/>
      <c r="X609" s="552"/>
      <c r="Y609" s="552"/>
      <c r="Z609" s="552"/>
    </row>
    <row r="610">
      <c r="A610" s="559"/>
      <c r="B610" s="560"/>
      <c r="C610" s="561"/>
      <c r="D610" s="562"/>
      <c r="E610" s="552"/>
      <c r="F610" s="552"/>
      <c r="G610" s="552"/>
      <c r="H610" s="552"/>
      <c r="I610" s="552"/>
      <c r="J610" s="552"/>
      <c r="K610" s="552"/>
      <c r="L610" s="552"/>
      <c r="M610" s="552"/>
      <c r="N610" s="552"/>
      <c r="O610" s="552"/>
      <c r="P610" s="552"/>
      <c r="Q610" s="552"/>
      <c r="R610" s="552"/>
      <c r="S610" s="552"/>
      <c r="T610" s="552"/>
      <c r="U610" s="552"/>
      <c r="V610" s="552"/>
      <c r="W610" s="552"/>
      <c r="X610" s="552"/>
      <c r="Y610" s="552"/>
      <c r="Z610" s="552"/>
    </row>
    <row r="611">
      <c r="A611" s="559"/>
      <c r="B611" s="560"/>
      <c r="C611" s="561"/>
      <c r="D611" s="562"/>
      <c r="E611" s="552"/>
      <c r="F611" s="552"/>
      <c r="G611" s="552"/>
      <c r="H611" s="552"/>
      <c r="I611" s="552"/>
      <c r="J611" s="552"/>
      <c r="K611" s="552"/>
      <c r="L611" s="552"/>
      <c r="M611" s="552"/>
      <c r="N611" s="552"/>
      <c r="O611" s="552"/>
      <c r="P611" s="552"/>
      <c r="Q611" s="552"/>
      <c r="R611" s="552"/>
      <c r="S611" s="552"/>
      <c r="T611" s="552"/>
      <c r="U611" s="552"/>
      <c r="V611" s="552"/>
      <c r="W611" s="552"/>
      <c r="X611" s="552"/>
      <c r="Y611" s="552"/>
      <c r="Z611" s="552"/>
    </row>
    <row r="612">
      <c r="A612" s="559"/>
      <c r="B612" s="560"/>
      <c r="C612" s="561"/>
      <c r="D612" s="562"/>
      <c r="E612" s="552"/>
      <c r="F612" s="552"/>
      <c r="G612" s="552"/>
      <c r="H612" s="552"/>
      <c r="I612" s="552"/>
      <c r="J612" s="552"/>
      <c r="K612" s="552"/>
      <c r="L612" s="552"/>
      <c r="M612" s="552"/>
      <c r="N612" s="552"/>
      <c r="O612" s="552"/>
      <c r="P612" s="552"/>
      <c r="Q612" s="552"/>
      <c r="R612" s="552"/>
      <c r="S612" s="552"/>
      <c r="T612" s="552"/>
      <c r="U612" s="552"/>
      <c r="V612" s="552"/>
      <c r="W612" s="552"/>
      <c r="X612" s="552"/>
      <c r="Y612" s="552"/>
      <c r="Z612" s="552"/>
    </row>
    <row r="613">
      <c r="A613" s="559"/>
      <c r="B613" s="560"/>
      <c r="C613" s="561"/>
      <c r="D613" s="562"/>
      <c r="E613" s="552"/>
      <c r="F613" s="552"/>
      <c r="G613" s="552"/>
      <c r="H613" s="552"/>
      <c r="I613" s="552"/>
      <c r="J613" s="552"/>
      <c r="K613" s="552"/>
      <c r="L613" s="552"/>
      <c r="M613" s="552"/>
      <c r="N613" s="552"/>
      <c r="O613" s="552"/>
      <c r="P613" s="552"/>
      <c r="Q613" s="552"/>
      <c r="R613" s="552"/>
      <c r="S613" s="552"/>
      <c r="T613" s="552"/>
      <c r="U613" s="552"/>
      <c r="V613" s="552"/>
      <c r="W613" s="552"/>
      <c r="X613" s="552"/>
      <c r="Y613" s="552"/>
      <c r="Z613" s="552"/>
    </row>
    <row r="614">
      <c r="A614" s="559"/>
      <c r="B614" s="560"/>
      <c r="C614" s="561"/>
      <c r="D614" s="562"/>
      <c r="E614" s="552"/>
      <c r="F614" s="552"/>
      <c r="G614" s="552"/>
      <c r="H614" s="552"/>
      <c r="I614" s="552"/>
      <c r="J614" s="552"/>
      <c r="K614" s="552"/>
      <c r="L614" s="552"/>
      <c r="M614" s="552"/>
      <c r="N614" s="552"/>
      <c r="O614" s="552"/>
      <c r="P614" s="552"/>
      <c r="Q614" s="552"/>
      <c r="R614" s="552"/>
      <c r="S614" s="552"/>
      <c r="T614" s="552"/>
      <c r="U614" s="552"/>
      <c r="V614" s="552"/>
      <c r="W614" s="552"/>
      <c r="X614" s="552"/>
      <c r="Y614" s="552"/>
      <c r="Z614" s="552"/>
    </row>
    <row r="615">
      <c r="A615" s="559"/>
      <c r="B615" s="560"/>
      <c r="C615" s="561"/>
      <c r="D615" s="562"/>
      <c r="E615" s="552"/>
      <c r="F615" s="552"/>
      <c r="G615" s="552"/>
      <c r="H615" s="552"/>
      <c r="I615" s="552"/>
      <c r="J615" s="552"/>
      <c r="K615" s="552"/>
      <c r="L615" s="552"/>
      <c r="M615" s="552"/>
      <c r="N615" s="552"/>
      <c r="O615" s="552"/>
      <c r="P615" s="552"/>
      <c r="Q615" s="552"/>
      <c r="R615" s="552"/>
      <c r="S615" s="552"/>
      <c r="T615" s="552"/>
      <c r="U615" s="552"/>
      <c r="V615" s="552"/>
      <c r="W615" s="552"/>
      <c r="X615" s="552"/>
      <c r="Y615" s="552"/>
      <c r="Z615" s="552"/>
    </row>
    <row r="616">
      <c r="A616" s="559"/>
      <c r="B616" s="560"/>
      <c r="C616" s="561"/>
      <c r="D616" s="562"/>
      <c r="E616" s="552"/>
      <c r="F616" s="552"/>
      <c r="G616" s="552"/>
      <c r="H616" s="552"/>
      <c r="I616" s="552"/>
      <c r="J616" s="552"/>
      <c r="K616" s="552"/>
      <c r="L616" s="552"/>
      <c r="M616" s="552"/>
      <c r="N616" s="552"/>
      <c r="O616" s="552"/>
      <c r="P616" s="552"/>
      <c r="Q616" s="552"/>
      <c r="R616" s="552"/>
      <c r="S616" s="552"/>
      <c r="T616" s="552"/>
      <c r="U616" s="552"/>
      <c r="V616" s="552"/>
      <c r="W616" s="552"/>
      <c r="X616" s="552"/>
      <c r="Y616" s="552"/>
      <c r="Z616" s="552"/>
    </row>
    <row r="617">
      <c r="A617" s="559"/>
      <c r="B617" s="560"/>
      <c r="C617" s="561"/>
      <c r="D617" s="562"/>
      <c r="E617" s="552"/>
      <c r="F617" s="552"/>
      <c r="G617" s="552"/>
      <c r="H617" s="552"/>
      <c r="I617" s="552"/>
      <c r="J617" s="552"/>
      <c r="K617" s="552"/>
      <c r="L617" s="552"/>
      <c r="M617" s="552"/>
      <c r="N617" s="552"/>
      <c r="O617" s="552"/>
      <c r="P617" s="552"/>
      <c r="Q617" s="552"/>
      <c r="R617" s="552"/>
      <c r="S617" s="552"/>
      <c r="T617" s="552"/>
      <c r="U617" s="552"/>
      <c r="V617" s="552"/>
      <c r="W617" s="552"/>
      <c r="X617" s="552"/>
      <c r="Y617" s="552"/>
      <c r="Z617" s="552"/>
    </row>
    <row r="618">
      <c r="A618" s="559"/>
      <c r="B618" s="560"/>
      <c r="C618" s="561"/>
      <c r="D618" s="562"/>
      <c r="E618" s="552"/>
      <c r="F618" s="552"/>
      <c r="G618" s="552"/>
      <c r="H618" s="552"/>
      <c r="I618" s="552"/>
      <c r="J618" s="552"/>
      <c r="K618" s="552"/>
      <c r="L618" s="552"/>
      <c r="M618" s="552"/>
      <c r="N618" s="552"/>
      <c r="O618" s="552"/>
      <c r="P618" s="552"/>
      <c r="Q618" s="552"/>
      <c r="R618" s="552"/>
      <c r="S618" s="552"/>
      <c r="T618" s="552"/>
      <c r="U618" s="552"/>
      <c r="V618" s="552"/>
      <c r="W618" s="552"/>
      <c r="X618" s="552"/>
      <c r="Y618" s="552"/>
      <c r="Z618" s="552"/>
    </row>
    <row r="619">
      <c r="A619" s="559"/>
      <c r="B619" s="560"/>
      <c r="C619" s="561"/>
      <c r="D619" s="562"/>
      <c r="E619" s="552"/>
      <c r="F619" s="552"/>
      <c r="G619" s="552"/>
      <c r="H619" s="552"/>
      <c r="I619" s="552"/>
      <c r="J619" s="552"/>
      <c r="K619" s="552"/>
      <c r="L619" s="552"/>
      <c r="M619" s="552"/>
      <c r="N619" s="552"/>
      <c r="O619" s="552"/>
      <c r="P619" s="552"/>
      <c r="Q619" s="552"/>
      <c r="R619" s="552"/>
      <c r="S619" s="552"/>
      <c r="T619" s="552"/>
      <c r="U619" s="552"/>
      <c r="V619" s="552"/>
      <c r="W619" s="552"/>
      <c r="X619" s="552"/>
      <c r="Y619" s="552"/>
      <c r="Z619" s="552"/>
    </row>
    <row r="620">
      <c r="A620" s="559"/>
      <c r="B620" s="560"/>
      <c r="C620" s="561"/>
      <c r="D620" s="562"/>
      <c r="E620" s="552"/>
      <c r="F620" s="552"/>
      <c r="G620" s="552"/>
      <c r="H620" s="552"/>
      <c r="I620" s="552"/>
      <c r="J620" s="552"/>
      <c r="K620" s="552"/>
      <c r="L620" s="552"/>
      <c r="M620" s="552"/>
      <c r="N620" s="552"/>
      <c r="O620" s="552"/>
      <c r="P620" s="552"/>
      <c r="Q620" s="552"/>
      <c r="R620" s="552"/>
      <c r="S620" s="552"/>
      <c r="T620" s="552"/>
      <c r="U620" s="552"/>
      <c r="V620" s="552"/>
      <c r="W620" s="552"/>
      <c r="X620" s="552"/>
      <c r="Y620" s="552"/>
      <c r="Z620" s="552"/>
    </row>
    <row r="621">
      <c r="A621" s="559"/>
      <c r="B621" s="560"/>
      <c r="C621" s="561"/>
      <c r="D621" s="562"/>
      <c r="E621" s="552"/>
      <c r="F621" s="552"/>
      <c r="G621" s="552"/>
      <c r="H621" s="552"/>
      <c r="I621" s="552"/>
      <c r="J621" s="552"/>
      <c r="K621" s="552"/>
      <c r="L621" s="552"/>
      <c r="M621" s="552"/>
      <c r="N621" s="552"/>
      <c r="O621" s="552"/>
      <c r="P621" s="552"/>
      <c r="Q621" s="552"/>
      <c r="R621" s="552"/>
      <c r="S621" s="552"/>
      <c r="T621" s="552"/>
      <c r="U621" s="552"/>
      <c r="V621" s="552"/>
      <c r="W621" s="552"/>
      <c r="X621" s="552"/>
      <c r="Y621" s="552"/>
      <c r="Z621" s="552"/>
    </row>
    <row r="622">
      <c r="A622" s="559"/>
      <c r="B622" s="560"/>
      <c r="C622" s="561"/>
      <c r="D622" s="562"/>
      <c r="E622" s="552"/>
      <c r="F622" s="552"/>
      <c r="G622" s="552"/>
      <c r="H622" s="552"/>
      <c r="I622" s="552"/>
      <c r="J622" s="552"/>
      <c r="K622" s="552"/>
      <c r="L622" s="552"/>
      <c r="M622" s="552"/>
      <c r="N622" s="552"/>
      <c r="O622" s="552"/>
      <c r="P622" s="552"/>
      <c r="Q622" s="552"/>
      <c r="R622" s="552"/>
      <c r="S622" s="552"/>
      <c r="T622" s="552"/>
      <c r="U622" s="552"/>
      <c r="V622" s="552"/>
      <c r="W622" s="552"/>
      <c r="X622" s="552"/>
      <c r="Y622" s="552"/>
      <c r="Z622" s="552"/>
    </row>
    <row r="623">
      <c r="A623" s="559"/>
      <c r="B623" s="560"/>
      <c r="C623" s="561"/>
      <c r="D623" s="562"/>
      <c r="E623" s="552"/>
      <c r="F623" s="552"/>
      <c r="G623" s="552"/>
      <c r="H623" s="552"/>
      <c r="I623" s="552"/>
      <c r="J623" s="552"/>
      <c r="K623" s="552"/>
      <c r="L623" s="552"/>
      <c r="M623" s="552"/>
      <c r="N623" s="552"/>
      <c r="O623" s="552"/>
      <c r="P623" s="552"/>
      <c r="Q623" s="552"/>
      <c r="R623" s="552"/>
      <c r="S623" s="552"/>
      <c r="T623" s="552"/>
      <c r="U623" s="552"/>
      <c r="V623" s="552"/>
      <c r="W623" s="552"/>
      <c r="X623" s="552"/>
      <c r="Y623" s="552"/>
      <c r="Z623" s="552"/>
    </row>
    <row r="624">
      <c r="A624" s="559"/>
      <c r="B624" s="560"/>
      <c r="C624" s="561"/>
      <c r="D624" s="562"/>
      <c r="E624" s="552"/>
      <c r="F624" s="552"/>
      <c r="G624" s="552"/>
      <c r="H624" s="552"/>
      <c r="I624" s="552"/>
      <c r="J624" s="552"/>
      <c r="K624" s="552"/>
      <c r="L624" s="552"/>
      <c r="M624" s="552"/>
      <c r="N624" s="552"/>
      <c r="O624" s="552"/>
      <c r="P624" s="552"/>
      <c r="Q624" s="552"/>
      <c r="R624" s="552"/>
      <c r="S624" s="552"/>
      <c r="T624" s="552"/>
      <c r="U624" s="552"/>
      <c r="V624" s="552"/>
      <c r="W624" s="552"/>
      <c r="X624" s="552"/>
      <c r="Y624" s="552"/>
      <c r="Z624" s="552"/>
    </row>
    <row r="625">
      <c r="A625" s="559"/>
      <c r="B625" s="560"/>
      <c r="C625" s="561"/>
      <c r="D625" s="562"/>
      <c r="E625" s="552"/>
      <c r="F625" s="552"/>
      <c r="G625" s="552"/>
      <c r="H625" s="552"/>
      <c r="I625" s="552"/>
      <c r="J625" s="552"/>
      <c r="K625" s="552"/>
      <c r="L625" s="552"/>
      <c r="M625" s="552"/>
      <c r="N625" s="552"/>
      <c r="O625" s="552"/>
      <c r="P625" s="552"/>
      <c r="Q625" s="552"/>
      <c r="R625" s="552"/>
      <c r="S625" s="552"/>
      <c r="T625" s="552"/>
      <c r="U625" s="552"/>
      <c r="V625" s="552"/>
      <c r="W625" s="552"/>
      <c r="X625" s="552"/>
      <c r="Y625" s="552"/>
      <c r="Z625" s="552"/>
    </row>
    <row r="626">
      <c r="A626" s="559"/>
      <c r="B626" s="560"/>
      <c r="C626" s="561"/>
      <c r="D626" s="562"/>
      <c r="E626" s="552"/>
      <c r="F626" s="552"/>
      <c r="G626" s="552"/>
      <c r="H626" s="552"/>
      <c r="I626" s="552"/>
      <c r="J626" s="552"/>
      <c r="K626" s="552"/>
      <c r="L626" s="552"/>
      <c r="M626" s="552"/>
      <c r="N626" s="552"/>
      <c r="O626" s="552"/>
      <c r="P626" s="552"/>
      <c r="Q626" s="552"/>
      <c r="R626" s="552"/>
      <c r="S626" s="552"/>
      <c r="T626" s="552"/>
      <c r="U626" s="552"/>
      <c r="V626" s="552"/>
      <c r="W626" s="552"/>
      <c r="X626" s="552"/>
      <c r="Y626" s="552"/>
      <c r="Z626" s="552"/>
    </row>
    <row r="627">
      <c r="A627" s="559"/>
      <c r="B627" s="560"/>
      <c r="C627" s="561"/>
      <c r="D627" s="562"/>
      <c r="E627" s="552"/>
      <c r="F627" s="552"/>
      <c r="G627" s="552"/>
      <c r="H627" s="552"/>
      <c r="I627" s="552"/>
      <c r="J627" s="552"/>
      <c r="K627" s="552"/>
      <c r="L627" s="552"/>
      <c r="M627" s="552"/>
      <c r="N627" s="552"/>
      <c r="O627" s="552"/>
      <c r="P627" s="552"/>
      <c r="Q627" s="552"/>
      <c r="R627" s="552"/>
      <c r="S627" s="552"/>
      <c r="T627" s="552"/>
      <c r="U627" s="552"/>
      <c r="V627" s="552"/>
      <c r="W627" s="552"/>
      <c r="X627" s="552"/>
      <c r="Y627" s="552"/>
      <c r="Z627" s="552"/>
    </row>
    <row r="628">
      <c r="A628" s="559"/>
      <c r="B628" s="560"/>
      <c r="C628" s="561"/>
      <c r="D628" s="562"/>
      <c r="E628" s="552"/>
      <c r="F628" s="552"/>
      <c r="G628" s="552"/>
      <c r="H628" s="552"/>
      <c r="I628" s="552"/>
      <c r="J628" s="552"/>
      <c r="K628" s="552"/>
      <c r="L628" s="552"/>
      <c r="M628" s="552"/>
      <c r="N628" s="552"/>
      <c r="O628" s="552"/>
      <c r="P628" s="552"/>
      <c r="Q628" s="552"/>
      <c r="R628" s="552"/>
      <c r="S628" s="552"/>
      <c r="T628" s="552"/>
      <c r="U628" s="552"/>
      <c r="V628" s="552"/>
      <c r="W628" s="552"/>
      <c r="X628" s="552"/>
      <c r="Y628" s="552"/>
      <c r="Z628" s="552"/>
    </row>
    <row r="629">
      <c r="A629" s="559"/>
      <c r="B629" s="560"/>
      <c r="C629" s="561"/>
      <c r="D629" s="562"/>
      <c r="E629" s="552"/>
      <c r="F629" s="552"/>
      <c r="G629" s="552"/>
      <c r="H629" s="552"/>
      <c r="I629" s="552"/>
      <c r="J629" s="552"/>
      <c r="K629" s="552"/>
      <c r="L629" s="552"/>
      <c r="M629" s="552"/>
      <c r="N629" s="552"/>
      <c r="O629" s="552"/>
      <c r="P629" s="552"/>
      <c r="Q629" s="552"/>
      <c r="R629" s="552"/>
      <c r="S629" s="552"/>
      <c r="T629" s="552"/>
      <c r="U629" s="552"/>
      <c r="V629" s="552"/>
      <c r="W629" s="552"/>
      <c r="X629" s="552"/>
      <c r="Y629" s="552"/>
      <c r="Z629" s="552"/>
    </row>
    <row r="630">
      <c r="A630" s="559"/>
      <c r="B630" s="560"/>
      <c r="C630" s="561"/>
      <c r="D630" s="562"/>
      <c r="E630" s="552"/>
      <c r="F630" s="552"/>
      <c r="G630" s="552"/>
      <c r="H630" s="552"/>
      <c r="I630" s="552"/>
      <c r="J630" s="552"/>
      <c r="K630" s="552"/>
      <c r="L630" s="552"/>
      <c r="M630" s="552"/>
      <c r="N630" s="552"/>
      <c r="O630" s="552"/>
      <c r="P630" s="552"/>
      <c r="Q630" s="552"/>
      <c r="R630" s="552"/>
      <c r="S630" s="552"/>
      <c r="T630" s="552"/>
      <c r="U630" s="552"/>
      <c r="V630" s="552"/>
      <c r="W630" s="552"/>
      <c r="X630" s="552"/>
      <c r="Y630" s="552"/>
      <c r="Z630" s="552"/>
    </row>
    <row r="631">
      <c r="A631" s="559"/>
      <c r="B631" s="560"/>
      <c r="C631" s="561"/>
      <c r="D631" s="562"/>
      <c r="E631" s="552"/>
      <c r="F631" s="552"/>
      <c r="G631" s="552"/>
      <c r="H631" s="552"/>
      <c r="I631" s="552"/>
      <c r="J631" s="552"/>
      <c r="K631" s="552"/>
      <c r="L631" s="552"/>
      <c r="M631" s="552"/>
      <c r="N631" s="552"/>
      <c r="O631" s="552"/>
      <c r="P631" s="552"/>
      <c r="Q631" s="552"/>
      <c r="R631" s="552"/>
      <c r="S631" s="552"/>
      <c r="T631" s="552"/>
      <c r="U631" s="552"/>
      <c r="V631" s="552"/>
      <c r="W631" s="552"/>
      <c r="X631" s="552"/>
      <c r="Y631" s="552"/>
      <c r="Z631" s="552"/>
    </row>
    <row r="632">
      <c r="A632" s="559"/>
      <c r="B632" s="560"/>
      <c r="C632" s="561"/>
      <c r="D632" s="562"/>
      <c r="E632" s="552"/>
      <c r="F632" s="552"/>
      <c r="G632" s="552"/>
      <c r="H632" s="552"/>
      <c r="I632" s="552"/>
      <c r="J632" s="552"/>
      <c r="K632" s="552"/>
      <c r="L632" s="552"/>
      <c r="M632" s="552"/>
      <c r="N632" s="552"/>
      <c r="O632" s="552"/>
      <c r="P632" s="552"/>
      <c r="Q632" s="552"/>
      <c r="R632" s="552"/>
      <c r="S632" s="552"/>
      <c r="T632" s="552"/>
      <c r="U632" s="552"/>
      <c r="V632" s="552"/>
      <c r="W632" s="552"/>
      <c r="X632" s="552"/>
      <c r="Y632" s="552"/>
      <c r="Z632" s="552"/>
    </row>
    <row r="633">
      <c r="A633" s="559"/>
      <c r="B633" s="560"/>
      <c r="C633" s="561"/>
      <c r="D633" s="562"/>
      <c r="E633" s="552"/>
      <c r="F633" s="552"/>
      <c r="G633" s="552"/>
      <c r="H633" s="552"/>
      <c r="I633" s="552"/>
      <c r="J633" s="552"/>
      <c r="K633" s="552"/>
      <c r="L633" s="552"/>
      <c r="M633" s="552"/>
      <c r="N633" s="552"/>
      <c r="O633" s="552"/>
      <c r="P633" s="552"/>
      <c r="Q633" s="552"/>
      <c r="R633" s="552"/>
      <c r="S633" s="552"/>
      <c r="T633" s="552"/>
      <c r="U633" s="552"/>
      <c r="V633" s="552"/>
      <c r="W633" s="552"/>
      <c r="X633" s="552"/>
      <c r="Y633" s="552"/>
      <c r="Z633" s="552"/>
    </row>
    <row r="634">
      <c r="A634" s="559"/>
      <c r="B634" s="560"/>
      <c r="C634" s="561"/>
      <c r="D634" s="562"/>
      <c r="E634" s="552"/>
      <c r="F634" s="552"/>
      <c r="G634" s="552"/>
      <c r="H634" s="552"/>
      <c r="I634" s="552"/>
      <c r="J634" s="552"/>
      <c r="K634" s="552"/>
      <c r="L634" s="552"/>
      <c r="M634" s="552"/>
      <c r="N634" s="552"/>
      <c r="O634" s="552"/>
      <c r="P634" s="552"/>
      <c r="Q634" s="552"/>
      <c r="R634" s="552"/>
      <c r="S634" s="552"/>
      <c r="T634" s="552"/>
      <c r="U634" s="552"/>
      <c r="V634" s="552"/>
      <c r="W634" s="552"/>
      <c r="X634" s="552"/>
      <c r="Y634" s="552"/>
      <c r="Z634" s="552"/>
    </row>
    <row r="635">
      <c r="A635" s="559"/>
      <c r="B635" s="560"/>
      <c r="C635" s="561"/>
      <c r="D635" s="562"/>
      <c r="E635" s="552"/>
      <c r="F635" s="552"/>
      <c r="G635" s="552"/>
      <c r="H635" s="552"/>
      <c r="I635" s="552"/>
      <c r="J635" s="552"/>
      <c r="K635" s="552"/>
      <c r="L635" s="552"/>
      <c r="M635" s="552"/>
      <c r="N635" s="552"/>
      <c r="O635" s="552"/>
      <c r="P635" s="552"/>
      <c r="Q635" s="552"/>
      <c r="R635" s="552"/>
      <c r="S635" s="552"/>
      <c r="T635" s="552"/>
      <c r="U635" s="552"/>
      <c r="V635" s="552"/>
      <c r="W635" s="552"/>
      <c r="X635" s="552"/>
      <c r="Y635" s="552"/>
      <c r="Z635" s="552"/>
    </row>
    <row r="636">
      <c r="A636" s="559"/>
      <c r="B636" s="560"/>
      <c r="C636" s="561"/>
      <c r="D636" s="562"/>
      <c r="E636" s="552"/>
      <c r="F636" s="552"/>
      <c r="G636" s="552"/>
      <c r="H636" s="552"/>
      <c r="I636" s="552"/>
      <c r="J636" s="552"/>
      <c r="K636" s="552"/>
      <c r="L636" s="552"/>
      <c r="M636" s="552"/>
      <c r="N636" s="552"/>
      <c r="O636" s="552"/>
      <c r="P636" s="552"/>
      <c r="Q636" s="552"/>
      <c r="R636" s="552"/>
      <c r="S636" s="552"/>
      <c r="T636" s="552"/>
      <c r="U636" s="552"/>
      <c r="V636" s="552"/>
      <c r="W636" s="552"/>
      <c r="X636" s="552"/>
      <c r="Y636" s="552"/>
      <c r="Z636" s="552"/>
    </row>
    <row r="637">
      <c r="A637" s="559"/>
      <c r="B637" s="560"/>
      <c r="C637" s="561"/>
      <c r="D637" s="562"/>
      <c r="E637" s="552"/>
      <c r="F637" s="552"/>
      <c r="G637" s="552"/>
      <c r="H637" s="552"/>
      <c r="I637" s="552"/>
      <c r="J637" s="552"/>
      <c r="K637" s="552"/>
      <c r="L637" s="552"/>
      <c r="M637" s="552"/>
      <c r="N637" s="552"/>
      <c r="O637" s="552"/>
      <c r="P637" s="552"/>
      <c r="Q637" s="552"/>
      <c r="R637" s="552"/>
      <c r="S637" s="552"/>
      <c r="T637" s="552"/>
      <c r="U637" s="552"/>
      <c r="V637" s="552"/>
      <c r="W637" s="552"/>
      <c r="X637" s="552"/>
      <c r="Y637" s="552"/>
      <c r="Z637" s="552"/>
    </row>
    <row r="638">
      <c r="A638" s="559"/>
      <c r="B638" s="560"/>
      <c r="C638" s="561"/>
      <c r="D638" s="562"/>
      <c r="E638" s="552"/>
      <c r="F638" s="552"/>
      <c r="G638" s="552"/>
      <c r="H638" s="552"/>
      <c r="I638" s="552"/>
      <c r="J638" s="552"/>
      <c r="K638" s="552"/>
      <c r="L638" s="552"/>
      <c r="M638" s="552"/>
      <c r="N638" s="552"/>
      <c r="O638" s="552"/>
      <c r="P638" s="552"/>
      <c r="Q638" s="552"/>
      <c r="R638" s="552"/>
      <c r="S638" s="552"/>
      <c r="T638" s="552"/>
      <c r="U638" s="552"/>
      <c r="V638" s="552"/>
      <c r="W638" s="552"/>
      <c r="X638" s="552"/>
      <c r="Y638" s="552"/>
      <c r="Z638" s="552"/>
    </row>
    <row r="639">
      <c r="A639" s="559"/>
      <c r="B639" s="560"/>
      <c r="C639" s="561"/>
      <c r="D639" s="562"/>
      <c r="E639" s="552"/>
      <c r="F639" s="552"/>
      <c r="G639" s="552"/>
      <c r="H639" s="552"/>
      <c r="I639" s="552"/>
      <c r="J639" s="552"/>
      <c r="K639" s="552"/>
      <c r="L639" s="552"/>
      <c r="M639" s="552"/>
      <c r="N639" s="552"/>
      <c r="O639" s="552"/>
      <c r="P639" s="552"/>
      <c r="Q639" s="552"/>
      <c r="R639" s="552"/>
      <c r="S639" s="552"/>
      <c r="T639" s="552"/>
      <c r="U639" s="552"/>
      <c r="V639" s="552"/>
      <c r="W639" s="552"/>
      <c r="X639" s="552"/>
      <c r="Y639" s="552"/>
      <c r="Z639" s="552"/>
    </row>
    <row r="640">
      <c r="A640" s="559"/>
      <c r="B640" s="560"/>
      <c r="C640" s="561"/>
      <c r="D640" s="562"/>
      <c r="E640" s="552"/>
      <c r="F640" s="552"/>
      <c r="G640" s="552"/>
      <c r="H640" s="552"/>
      <c r="I640" s="552"/>
      <c r="J640" s="552"/>
      <c r="K640" s="552"/>
      <c r="L640" s="552"/>
      <c r="M640" s="552"/>
      <c r="N640" s="552"/>
      <c r="O640" s="552"/>
      <c r="P640" s="552"/>
      <c r="Q640" s="552"/>
      <c r="R640" s="552"/>
      <c r="S640" s="552"/>
      <c r="T640" s="552"/>
      <c r="U640" s="552"/>
      <c r="V640" s="552"/>
      <c r="W640" s="552"/>
      <c r="X640" s="552"/>
      <c r="Y640" s="552"/>
      <c r="Z640" s="552"/>
    </row>
    <row r="641">
      <c r="A641" s="559"/>
      <c r="B641" s="560"/>
      <c r="C641" s="561"/>
      <c r="D641" s="562"/>
      <c r="E641" s="552"/>
      <c r="F641" s="552"/>
      <c r="G641" s="552"/>
      <c r="H641" s="552"/>
      <c r="I641" s="552"/>
      <c r="J641" s="552"/>
      <c r="K641" s="552"/>
      <c r="L641" s="552"/>
      <c r="M641" s="552"/>
      <c r="N641" s="552"/>
      <c r="O641" s="552"/>
      <c r="P641" s="552"/>
      <c r="Q641" s="552"/>
      <c r="R641" s="552"/>
      <c r="S641" s="552"/>
      <c r="T641" s="552"/>
      <c r="U641" s="552"/>
      <c r="V641" s="552"/>
      <c r="W641" s="552"/>
      <c r="X641" s="552"/>
      <c r="Y641" s="552"/>
      <c r="Z641" s="552"/>
    </row>
    <row r="642">
      <c r="A642" s="559"/>
      <c r="B642" s="560"/>
      <c r="C642" s="561"/>
      <c r="D642" s="562"/>
      <c r="E642" s="552"/>
      <c r="F642" s="552"/>
      <c r="G642" s="552"/>
      <c r="H642" s="552"/>
      <c r="I642" s="552"/>
      <c r="J642" s="552"/>
      <c r="K642" s="552"/>
      <c r="L642" s="552"/>
      <c r="M642" s="552"/>
      <c r="N642" s="552"/>
      <c r="O642" s="552"/>
      <c r="P642" s="552"/>
      <c r="Q642" s="552"/>
      <c r="R642" s="552"/>
      <c r="S642" s="552"/>
      <c r="T642" s="552"/>
      <c r="U642" s="552"/>
      <c r="V642" s="552"/>
      <c r="W642" s="552"/>
      <c r="X642" s="552"/>
      <c r="Y642" s="552"/>
      <c r="Z642" s="552"/>
    </row>
    <row r="643">
      <c r="A643" s="559"/>
      <c r="B643" s="560"/>
      <c r="C643" s="561"/>
      <c r="D643" s="562"/>
      <c r="E643" s="552"/>
      <c r="F643" s="552"/>
      <c r="G643" s="552"/>
      <c r="H643" s="552"/>
      <c r="I643" s="552"/>
      <c r="J643" s="552"/>
      <c r="K643" s="552"/>
      <c r="L643" s="552"/>
      <c r="M643" s="552"/>
      <c r="N643" s="552"/>
      <c r="O643" s="552"/>
      <c r="P643" s="552"/>
      <c r="Q643" s="552"/>
      <c r="R643" s="552"/>
      <c r="S643" s="552"/>
      <c r="T643" s="552"/>
      <c r="U643" s="552"/>
      <c r="V643" s="552"/>
      <c r="W643" s="552"/>
      <c r="X643" s="552"/>
      <c r="Y643" s="552"/>
      <c r="Z643" s="552"/>
    </row>
    <row r="644">
      <c r="A644" s="559"/>
      <c r="B644" s="560"/>
      <c r="C644" s="561"/>
      <c r="D644" s="562"/>
      <c r="E644" s="552"/>
      <c r="F644" s="552"/>
      <c r="G644" s="552"/>
      <c r="H644" s="552"/>
      <c r="I644" s="552"/>
      <c r="J644" s="552"/>
      <c r="K644" s="552"/>
      <c r="L644" s="552"/>
      <c r="M644" s="552"/>
      <c r="N644" s="552"/>
      <c r="O644" s="552"/>
      <c r="P644" s="552"/>
      <c r="Q644" s="552"/>
      <c r="R644" s="552"/>
      <c r="S644" s="552"/>
      <c r="T644" s="552"/>
      <c r="U644" s="552"/>
      <c r="V644" s="552"/>
      <c r="W644" s="552"/>
      <c r="X644" s="552"/>
      <c r="Y644" s="552"/>
      <c r="Z644" s="552"/>
    </row>
    <row r="645">
      <c r="A645" s="559"/>
      <c r="B645" s="560"/>
      <c r="C645" s="561"/>
      <c r="D645" s="562"/>
      <c r="E645" s="552"/>
      <c r="F645" s="552"/>
      <c r="G645" s="552"/>
      <c r="H645" s="552"/>
      <c r="I645" s="552"/>
      <c r="J645" s="552"/>
      <c r="K645" s="552"/>
      <c r="L645" s="552"/>
      <c r="M645" s="552"/>
      <c r="N645" s="552"/>
      <c r="O645" s="552"/>
      <c r="P645" s="552"/>
      <c r="Q645" s="552"/>
      <c r="R645" s="552"/>
      <c r="S645" s="552"/>
      <c r="T645" s="552"/>
      <c r="U645" s="552"/>
      <c r="V645" s="552"/>
      <c r="W645" s="552"/>
      <c r="X645" s="552"/>
      <c r="Y645" s="552"/>
      <c r="Z645" s="552"/>
    </row>
    <row r="646">
      <c r="A646" s="559"/>
      <c r="B646" s="560"/>
      <c r="C646" s="561"/>
      <c r="D646" s="562"/>
      <c r="E646" s="552"/>
      <c r="F646" s="552"/>
      <c r="G646" s="552"/>
      <c r="H646" s="552"/>
      <c r="I646" s="552"/>
      <c r="J646" s="552"/>
      <c r="K646" s="552"/>
      <c r="L646" s="552"/>
      <c r="M646" s="552"/>
      <c r="N646" s="552"/>
      <c r="O646" s="552"/>
      <c r="P646" s="552"/>
      <c r="Q646" s="552"/>
      <c r="R646" s="552"/>
      <c r="S646" s="552"/>
      <c r="T646" s="552"/>
      <c r="U646" s="552"/>
      <c r="V646" s="552"/>
      <c r="W646" s="552"/>
      <c r="X646" s="552"/>
      <c r="Y646" s="552"/>
      <c r="Z646" s="552"/>
    </row>
    <row r="647">
      <c r="A647" s="559"/>
      <c r="B647" s="560"/>
      <c r="C647" s="561"/>
      <c r="D647" s="562"/>
      <c r="E647" s="552"/>
      <c r="F647" s="552"/>
      <c r="G647" s="552"/>
      <c r="H647" s="552"/>
      <c r="I647" s="552"/>
      <c r="J647" s="552"/>
      <c r="K647" s="552"/>
      <c r="L647" s="552"/>
      <c r="M647" s="552"/>
      <c r="N647" s="552"/>
      <c r="O647" s="552"/>
      <c r="P647" s="552"/>
      <c r="Q647" s="552"/>
      <c r="R647" s="552"/>
      <c r="S647" s="552"/>
      <c r="T647" s="552"/>
      <c r="U647" s="552"/>
      <c r="V647" s="552"/>
      <c r="W647" s="552"/>
      <c r="X647" s="552"/>
      <c r="Y647" s="552"/>
      <c r="Z647" s="552"/>
    </row>
    <row r="648">
      <c r="A648" s="559"/>
      <c r="B648" s="560"/>
      <c r="C648" s="561"/>
      <c r="D648" s="562"/>
      <c r="E648" s="552"/>
      <c r="F648" s="552"/>
      <c r="G648" s="552"/>
      <c r="H648" s="552"/>
      <c r="I648" s="552"/>
      <c r="J648" s="552"/>
      <c r="K648" s="552"/>
      <c r="L648" s="552"/>
      <c r="M648" s="552"/>
      <c r="N648" s="552"/>
      <c r="O648" s="552"/>
      <c r="P648" s="552"/>
      <c r="Q648" s="552"/>
      <c r="R648" s="552"/>
      <c r="S648" s="552"/>
      <c r="T648" s="552"/>
      <c r="U648" s="552"/>
      <c r="V648" s="552"/>
      <c r="W648" s="552"/>
      <c r="X648" s="552"/>
      <c r="Y648" s="552"/>
      <c r="Z648" s="552"/>
    </row>
    <row r="649">
      <c r="A649" s="559"/>
      <c r="B649" s="560"/>
      <c r="C649" s="561"/>
      <c r="D649" s="562"/>
      <c r="E649" s="552"/>
      <c r="F649" s="552"/>
      <c r="G649" s="552"/>
      <c r="H649" s="552"/>
      <c r="I649" s="552"/>
      <c r="J649" s="552"/>
      <c r="K649" s="552"/>
      <c r="L649" s="552"/>
      <c r="M649" s="552"/>
      <c r="N649" s="552"/>
      <c r="O649" s="552"/>
      <c r="P649" s="552"/>
      <c r="Q649" s="552"/>
      <c r="R649" s="552"/>
      <c r="S649" s="552"/>
      <c r="T649" s="552"/>
      <c r="U649" s="552"/>
      <c r="V649" s="552"/>
      <c r="W649" s="552"/>
      <c r="X649" s="552"/>
      <c r="Y649" s="552"/>
      <c r="Z649" s="552"/>
    </row>
    <row r="650">
      <c r="A650" s="559"/>
      <c r="B650" s="560"/>
      <c r="C650" s="561"/>
      <c r="D650" s="562"/>
      <c r="E650" s="552"/>
      <c r="F650" s="552"/>
      <c r="G650" s="552"/>
      <c r="H650" s="552"/>
      <c r="I650" s="552"/>
      <c r="J650" s="552"/>
      <c r="K650" s="552"/>
      <c r="L650" s="552"/>
      <c r="M650" s="552"/>
      <c r="N650" s="552"/>
      <c r="O650" s="552"/>
      <c r="P650" s="552"/>
      <c r="Q650" s="552"/>
      <c r="R650" s="552"/>
      <c r="S650" s="552"/>
      <c r="T650" s="552"/>
      <c r="U650" s="552"/>
      <c r="V650" s="552"/>
      <c r="W650" s="552"/>
      <c r="X650" s="552"/>
      <c r="Y650" s="552"/>
      <c r="Z650" s="552"/>
    </row>
    <row r="651">
      <c r="A651" s="559"/>
      <c r="B651" s="560"/>
      <c r="C651" s="561"/>
      <c r="D651" s="562"/>
      <c r="E651" s="552"/>
      <c r="F651" s="552"/>
      <c r="G651" s="552"/>
      <c r="H651" s="552"/>
      <c r="I651" s="552"/>
      <c r="J651" s="552"/>
      <c r="K651" s="552"/>
      <c r="L651" s="552"/>
      <c r="M651" s="552"/>
      <c r="N651" s="552"/>
      <c r="O651" s="552"/>
      <c r="P651" s="552"/>
      <c r="Q651" s="552"/>
      <c r="R651" s="552"/>
      <c r="S651" s="552"/>
      <c r="T651" s="552"/>
      <c r="U651" s="552"/>
      <c r="V651" s="552"/>
      <c r="W651" s="552"/>
      <c r="X651" s="552"/>
      <c r="Y651" s="552"/>
      <c r="Z651" s="552"/>
    </row>
    <row r="652">
      <c r="A652" s="559"/>
      <c r="B652" s="560"/>
      <c r="C652" s="561"/>
      <c r="D652" s="562"/>
      <c r="E652" s="552"/>
      <c r="F652" s="552"/>
      <c r="G652" s="552"/>
      <c r="H652" s="552"/>
      <c r="I652" s="552"/>
      <c r="J652" s="552"/>
      <c r="K652" s="552"/>
      <c r="L652" s="552"/>
      <c r="M652" s="552"/>
      <c r="N652" s="552"/>
      <c r="O652" s="552"/>
      <c r="P652" s="552"/>
      <c r="Q652" s="552"/>
      <c r="R652" s="552"/>
      <c r="S652" s="552"/>
      <c r="T652" s="552"/>
      <c r="U652" s="552"/>
      <c r="V652" s="552"/>
      <c r="W652" s="552"/>
      <c r="X652" s="552"/>
      <c r="Y652" s="552"/>
      <c r="Z652" s="552"/>
    </row>
    <row r="653">
      <c r="A653" s="559"/>
      <c r="B653" s="560"/>
      <c r="C653" s="561"/>
      <c r="D653" s="562"/>
      <c r="E653" s="552"/>
      <c r="F653" s="552"/>
      <c r="G653" s="552"/>
      <c r="H653" s="552"/>
      <c r="I653" s="552"/>
      <c r="J653" s="552"/>
      <c r="K653" s="552"/>
      <c r="L653" s="552"/>
      <c r="M653" s="552"/>
      <c r="N653" s="552"/>
      <c r="O653" s="552"/>
      <c r="P653" s="552"/>
      <c r="Q653" s="552"/>
      <c r="R653" s="552"/>
      <c r="S653" s="552"/>
      <c r="T653" s="552"/>
      <c r="U653" s="552"/>
      <c r="V653" s="552"/>
      <c r="W653" s="552"/>
      <c r="X653" s="552"/>
      <c r="Y653" s="552"/>
      <c r="Z653" s="552"/>
    </row>
    <row r="654">
      <c r="A654" s="559"/>
      <c r="B654" s="560"/>
      <c r="C654" s="561"/>
      <c r="D654" s="562"/>
      <c r="E654" s="552"/>
      <c r="F654" s="552"/>
      <c r="G654" s="552"/>
      <c r="H654" s="552"/>
      <c r="I654" s="552"/>
      <c r="J654" s="552"/>
      <c r="K654" s="552"/>
      <c r="L654" s="552"/>
      <c r="M654" s="552"/>
      <c r="N654" s="552"/>
      <c r="O654" s="552"/>
      <c r="P654" s="552"/>
      <c r="Q654" s="552"/>
      <c r="R654" s="552"/>
      <c r="S654" s="552"/>
      <c r="T654" s="552"/>
      <c r="U654" s="552"/>
      <c r="V654" s="552"/>
      <c r="W654" s="552"/>
      <c r="X654" s="552"/>
      <c r="Y654" s="552"/>
      <c r="Z654" s="552"/>
    </row>
    <row r="655">
      <c r="A655" s="559"/>
      <c r="B655" s="560"/>
      <c r="C655" s="561"/>
      <c r="D655" s="562"/>
      <c r="E655" s="552"/>
      <c r="F655" s="552"/>
      <c r="G655" s="552"/>
      <c r="H655" s="552"/>
      <c r="I655" s="552"/>
      <c r="J655" s="552"/>
      <c r="K655" s="552"/>
      <c r="L655" s="552"/>
      <c r="M655" s="552"/>
      <c r="N655" s="552"/>
      <c r="O655" s="552"/>
      <c r="P655" s="552"/>
      <c r="Q655" s="552"/>
      <c r="R655" s="552"/>
      <c r="S655" s="552"/>
      <c r="T655" s="552"/>
      <c r="U655" s="552"/>
      <c r="V655" s="552"/>
      <c r="W655" s="552"/>
      <c r="X655" s="552"/>
      <c r="Y655" s="552"/>
      <c r="Z655" s="552"/>
    </row>
    <row r="656">
      <c r="A656" s="559"/>
      <c r="B656" s="560"/>
      <c r="C656" s="561"/>
      <c r="D656" s="562"/>
      <c r="E656" s="552"/>
      <c r="F656" s="552"/>
      <c r="G656" s="552"/>
      <c r="H656" s="552"/>
      <c r="I656" s="552"/>
      <c r="J656" s="552"/>
      <c r="K656" s="552"/>
      <c r="L656" s="552"/>
      <c r="M656" s="552"/>
      <c r="N656" s="552"/>
      <c r="O656" s="552"/>
      <c r="P656" s="552"/>
      <c r="Q656" s="552"/>
      <c r="R656" s="552"/>
      <c r="S656" s="552"/>
      <c r="T656" s="552"/>
      <c r="U656" s="552"/>
      <c r="V656" s="552"/>
      <c r="W656" s="552"/>
      <c r="X656" s="552"/>
      <c r="Y656" s="552"/>
      <c r="Z656" s="552"/>
    </row>
    <row r="657">
      <c r="A657" s="559"/>
      <c r="B657" s="560"/>
      <c r="C657" s="561"/>
      <c r="D657" s="562"/>
      <c r="E657" s="552"/>
      <c r="F657" s="552"/>
      <c r="G657" s="552"/>
      <c r="H657" s="552"/>
      <c r="I657" s="552"/>
      <c r="J657" s="552"/>
      <c r="K657" s="552"/>
      <c r="L657" s="552"/>
      <c r="M657" s="552"/>
      <c r="N657" s="552"/>
      <c r="O657" s="552"/>
      <c r="P657" s="552"/>
      <c r="Q657" s="552"/>
      <c r="R657" s="552"/>
      <c r="S657" s="552"/>
      <c r="T657" s="552"/>
      <c r="U657" s="552"/>
      <c r="V657" s="552"/>
      <c r="W657" s="552"/>
      <c r="X657" s="552"/>
      <c r="Y657" s="552"/>
      <c r="Z657" s="552"/>
    </row>
    <row r="658">
      <c r="A658" s="559"/>
      <c r="B658" s="560"/>
      <c r="C658" s="561"/>
      <c r="D658" s="562"/>
      <c r="E658" s="552"/>
      <c r="F658" s="552"/>
      <c r="G658" s="552"/>
      <c r="H658" s="552"/>
      <c r="I658" s="552"/>
      <c r="J658" s="552"/>
      <c r="K658" s="552"/>
      <c r="L658" s="552"/>
      <c r="M658" s="552"/>
      <c r="N658" s="552"/>
      <c r="O658" s="552"/>
      <c r="P658" s="552"/>
      <c r="Q658" s="552"/>
      <c r="R658" s="552"/>
      <c r="S658" s="552"/>
      <c r="T658" s="552"/>
      <c r="U658" s="552"/>
      <c r="V658" s="552"/>
      <c r="W658" s="552"/>
      <c r="X658" s="552"/>
      <c r="Y658" s="552"/>
      <c r="Z658" s="552"/>
    </row>
    <row r="659">
      <c r="A659" s="559"/>
      <c r="B659" s="560"/>
      <c r="C659" s="561"/>
      <c r="D659" s="562"/>
      <c r="E659" s="552"/>
      <c r="F659" s="552"/>
      <c r="G659" s="552"/>
      <c r="H659" s="552"/>
      <c r="I659" s="552"/>
      <c r="J659" s="552"/>
      <c r="K659" s="552"/>
      <c r="L659" s="552"/>
      <c r="M659" s="552"/>
      <c r="N659" s="552"/>
      <c r="O659" s="552"/>
      <c r="P659" s="552"/>
      <c r="Q659" s="552"/>
      <c r="R659" s="552"/>
      <c r="S659" s="552"/>
      <c r="T659" s="552"/>
      <c r="U659" s="552"/>
      <c r="V659" s="552"/>
      <c r="W659" s="552"/>
      <c r="X659" s="552"/>
      <c r="Y659" s="552"/>
      <c r="Z659" s="552"/>
    </row>
    <row r="660">
      <c r="A660" s="559"/>
      <c r="B660" s="560"/>
      <c r="C660" s="561"/>
      <c r="D660" s="562"/>
      <c r="E660" s="552"/>
      <c r="F660" s="552"/>
      <c r="G660" s="552"/>
      <c r="H660" s="552"/>
      <c r="I660" s="552"/>
      <c r="J660" s="552"/>
      <c r="K660" s="552"/>
      <c r="L660" s="552"/>
      <c r="M660" s="552"/>
      <c r="N660" s="552"/>
      <c r="O660" s="552"/>
      <c r="P660" s="552"/>
      <c r="Q660" s="552"/>
      <c r="R660" s="552"/>
      <c r="S660" s="552"/>
      <c r="T660" s="552"/>
      <c r="U660" s="552"/>
      <c r="V660" s="552"/>
      <c r="W660" s="552"/>
      <c r="X660" s="552"/>
      <c r="Y660" s="552"/>
      <c r="Z660" s="552"/>
    </row>
    <row r="661">
      <c r="A661" s="559"/>
      <c r="B661" s="560"/>
      <c r="C661" s="561"/>
      <c r="D661" s="562"/>
      <c r="E661" s="552"/>
      <c r="F661" s="552"/>
      <c r="G661" s="552"/>
      <c r="H661" s="552"/>
      <c r="I661" s="552"/>
      <c r="J661" s="552"/>
      <c r="K661" s="552"/>
      <c r="L661" s="552"/>
      <c r="M661" s="552"/>
      <c r="N661" s="552"/>
      <c r="O661" s="552"/>
      <c r="P661" s="552"/>
      <c r="Q661" s="552"/>
      <c r="R661" s="552"/>
      <c r="S661" s="552"/>
      <c r="T661" s="552"/>
      <c r="U661" s="552"/>
      <c r="V661" s="552"/>
      <c r="W661" s="552"/>
      <c r="X661" s="552"/>
      <c r="Y661" s="552"/>
      <c r="Z661" s="552"/>
    </row>
    <row r="662">
      <c r="A662" s="559"/>
      <c r="B662" s="560"/>
      <c r="C662" s="561"/>
      <c r="D662" s="562"/>
      <c r="E662" s="552"/>
      <c r="F662" s="552"/>
      <c r="G662" s="552"/>
      <c r="H662" s="552"/>
      <c r="I662" s="552"/>
      <c r="J662" s="552"/>
      <c r="K662" s="552"/>
      <c r="L662" s="552"/>
      <c r="M662" s="552"/>
      <c r="N662" s="552"/>
      <c r="O662" s="552"/>
      <c r="P662" s="552"/>
      <c r="Q662" s="552"/>
      <c r="R662" s="552"/>
      <c r="S662" s="552"/>
      <c r="T662" s="552"/>
      <c r="U662" s="552"/>
      <c r="V662" s="552"/>
      <c r="W662" s="552"/>
      <c r="X662" s="552"/>
      <c r="Y662" s="552"/>
      <c r="Z662" s="552"/>
    </row>
    <row r="663">
      <c r="A663" s="559"/>
      <c r="B663" s="560"/>
      <c r="C663" s="561"/>
      <c r="D663" s="562"/>
      <c r="E663" s="552"/>
      <c r="F663" s="552"/>
      <c r="G663" s="552"/>
      <c r="H663" s="552"/>
      <c r="I663" s="552"/>
      <c r="J663" s="552"/>
      <c r="K663" s="552"/>
      <c r="L663" s="552"/>
      <c r="M663" s="552"/>
      <c r="N663" s="552"/>
      <c r="O663" s="552"/>
      <c r="P663" s="552"/>
      <c r="Q663" s="552"/>
      <c r="R663" s="552"/>
      <c r="S663" s="552"/>
      <c r="T663" s="552"/>
      <c r="U663" s="552"/>
      <c r="V663" s="552"/>
      <c r="W663" s="552"/>
      <c r="X663" s="552"/>
      <c r="Y663" s="552"/>
      <c r="Z663" s="552"/>
    </row>
    <row r="664">
      <c r="A664" s="559"/>
      <c r="B664" s="560"/>
      <c r="C664" s="561"/>
      <c r="D664" s="562"/>
      <c r="E664" s="552"/>
      <c r="F664" s="552"/>
      <c r="G664" s="552"/>
      <c r="H664" s="552"/>
      <c r="I664" s="552"/>
      <c r="J664" s="552"/>
      <c r="K664" s="552"/>
      <c r="L664" s="552"/>
      <c r="M664" s="552"/>
      <c r="N664" s="552"/>
      <c r="O664" s="552"/>
      <c r="P664" s="552"/>
      <c r="Q664" s="552"/>
      <c r="R664" s="552"/>
      <c r="S664" s="552"/>
      <c r="T664" s="552"/>
      <c r="U664" s="552"/>
      <c r="V664" s="552"/>
      <c r="W664" s="552"/>
      <c r="X664" s="552"/>
      <c r="Y664" s="552"/>
      <c r="Z664" s="552"/>
    </row>
    <row r="665">
      <c r="A665" s="559"/>
      <c r="B665" s="560"/>
      <c r="C665" s="561"/>
      <c r="D665" s="562"/>
      <c r="E665" s="552"/>
      <c r="F665" s="552"/>
      <c r="G665" s="552"/>
      <c r="H665" s="552"/>
      <c r="I665" s="552"/>
      <c r="J665" s="552"/>
      <c r="K665" s="552"/>
      <c r="L665" s="552"/>
      <c r="M665" s="552"/>
      <c r="N665" s="552"/>
      <c r="O665" s="552"/>
      <c r="P665" s="552"/>
      <c r="Q665" s="552"/>
      <c r="R665" s="552"/>
      <c r="S665" s="552"/>
      <c r="T665" s="552"/>
      <c r="U665" s="552"/>
      <c r="V665" s="552"/>
      <c r="W665" s="552"/>
      <c r="X665" s="552"/>
      <c r="Y665" s="552"/>
      <c r="Z665" s="552"/>
    </row>
    <row r="666">
      <c r="A666" s="559"/>
      <c r="B666" s="560"/>
      <c r="C666" s="561"/>
      <c r="D666" s="562"/>
      <c r="E666" s="552"/>
      <c r="F666" s="552"/>
      <c r="G666" s="552"/>
      <c r="H666" s="552"/>
      <c r="I666" s="552"/>
      <c r="J666" s="552"/>
      <c r="K666" s="552"/>
      <c r="L666" s="552"/>
      <c r="M666" s="552"/>
      <c r="N666" s="552"/>
      <c r="O666" s="552"/>
      <c r="P666" s="552"/>
      <c r="Q666" s="552"/>
      <c r="R666" s="552"/>
      <c r="S666" s="552"/>
      <c r="T666" s="552"/>
      <c r="U666" s="552"/>
      <c r="V666" s="552"/>
      <c r="W666" s="552"/>
      <c r="X666" s="552"/>
      <c r="Y666" s="552"/>
      <c r="Z666" s="552"/>
    </row>
    <row r="667">
      <c r="A667" s="559"/>
      <c r="B667" s="560"/>
      <c r="C667" s="561"/>
      <c r="D667" s="562"/>
      <c r="E667" s="552"/>
      <c r="F667" s="552"/>
      <c r="G667" s="552"/>
      <c r="H667" s="552"/>
      <c r="I667" s="552"/>
      <c r="J667" s="552"/>
      <c r="K667" s="552"/>
      <c r="L667" s="552"/>
      <c r="M667" s="552"/>
      <c r="N667" s="552"/>
      <c r="O667" s="552"/>
      <c r="P667" s="552"/>
      <c r="Q667" s="552"/>
      <c r="R667" s="552"/>
      <c r="S667" s="552"/>
      <c r="T667" s="552"/>
      <c r="U667" s="552"/>
      <c r="V667" s="552"/>
      <c r="W667" s="552"/>
      <c r="X667" s="552"/>
      <c r="Y667" s="552"/>
      <c r="Z667" s="552"/>
    </row>
    <row r="668">
      <c r="A668" s="559"/>
      <c r="B668" s="560"/>
      <c r="C668" s="561"/>
      <c r="D668" s="562"/>
      <c r="E668" s="552"/>
      <c r="F668" s="552"/>
      <c r="G668" s="552"/>
      <c r="H668" s="552"/>
      <c r="I668" s="552"/>
      <c r="J668" s="552"/>
      <c r="K668" s="552"/>
      <c r="L668" s="552"/>
      <c r="M668" s="552"/>
      <c r="N668" s="552"/>
      <c r="O668" s="552"/>
      <c r="P668" s="552"/>
      <c r="Q668" s="552"/>
      <c r="R668" s="552"/>
      <c r="S668" s="552"/>
      <c r="T668" s="552"/>
      <c r="U668" s="552"/>
      <c r="V668" s="552"/>
      <c r="W668" s="552"/>
      <c r="X668" s="552"/>
      <c r="Y668" s="552"/>
      <c r="Z668" s="552"/>
    </row>
    <row r="669">
      <c r="A669" s="559"/>
      <c r="B669" s="560"/>
      <c r="C669" s="561"/>
      <c r="D669" s="562"/>
      <c r="E669" s="552"/>
      <c r="F669" s="552"/>
      <c r="G669" s="552"/>
      <c r="H669" s="552"/>
      <c r="I669" s="552"/>
      <c r="J669" s="552"/>
      <c r="K669" s="552"/>
      <c r="L669" s="552"/>
      <c r="M669" s="552"/>
      <c r="N669" s="552"/>
      <c r="O669" s="552"/>
      <c r="P669" s="552"/>
      <c r="Q669" s="552"/>
      <c r="R669" s="552"/>
      <c r="S669" s="552"/>
      <c r="T669" s="552"/>
      <c r="U669" s="552"/>
      <c r="V669" s="552"/>
      <c r="W669" s="552"/>
      <c r="X669" s="552"/>
      <c r="Y669" s="552"/>
      <c r="Z669" s="552"/>
    </row>
    <row r="670">
      <c r="A670" s="559"/>
      <c r="B670" s="560"/>
      <c r="C670" s="561"/>
      <c r="D670" s="562"/>
      <c r="E670" s="552"/>
      <c r="F670" s="552"/>
      <c r="G670" s="552"/>
      <c r="H670" s="552"/>
      <c r="I670" s="552"/>
      <c r="J670" s="552"/>
      <c r="K670" s="552"/>
      <c r="L670" s="552"/>
      <c r="M670" s="552"/>
      <c r="N670" s="552"/>
      <c r="O670" s="552"/>
      <c r="P670" s="552"/>
      <c r="Q670" s="552"/>
      <c r="R670" s="552"/>
      <c r="S670" s="552"/>
      <c r="T670" s="552"/>
      <c r="U670" s="552"/>
      <c r="V670" s="552"/>
      <c r="W670" s="552"/>
      <c r="X670" s="552"/>
      <c r="Y670" s="552"/>
      <c r="Z670" s="552"/>
    </row>
    <row r="671">
      <c r="A671" s="559"/>
      <c r="B671" s="560"/>
      <c r="C671" s="561"/>
      <c r="D671" s="562"/>
      <c r="E671" s="552"/>
      <c r="F671" s="552"/>
      <c r="G671" s="552"/>
      <c r="H671" s="552"/>
      <c r="I671" s="552"/>
      <c r="J671" s="552"/>
      <c r="K671" s="552"/>
      <c r="L671" s="552"/>
      <c r="M671" s="552"/>
      <c r="N671" s="552"/>
      <c r="O671" s="552"/>
      <c r="P671" s="552"/>
      <c r="Q671" s="552"/>
      <c r="R671" s="552"/>
      <c r="S671" s="552"/>
      <c r="T671" s="552"/>
      <c r="U671" s="552"/>
      <c r="V671" s="552"/>
      <c r="W671" s="552"/>
      <c r="X671" s="552"/>
      <c r="Y671" s="552"/>
      <c r="Z671" s="552"/>
    </row>
    <row r="672">
      <c r="A672" s="559"/>
      <c r="B672" s="560"/>
      <c r="C672" s="561"/>
      <c r="D672" s="562"/>
      <c r="E672" s="552"/>
      <c r="F672" s="552"/>
      <c r="G672" s="552"/>
      <c r="H672" s="552"/>
      <c r="I672" s="552"/>
      <c r="J672" s="552"/>
      <c r="K672" s="552"/>
      <c r="L672" s="552"/>
      <c r="M672" s="552"/>
      <c r="N672" s="552"/>
      <c r="O672" s="552"/>
      <c r="P672" s="552"/>
      <c r="Q672" s="552"/>
      <c r="R672" s="552"/>
      <c r="S672" s="552"/>
      <c r="T672" s="552"/>
      <c r="U672" s="552"/>
      <c r="V672" s="552"/>
      <c r="W672" s="552"/>
      <c r="X672" s="552"/>
      <c r="Y672" s="552"/>
      <c r="Z672" s="552"/>
    </row>
    <row r="673">
      <c r="A673" s="559"/>
      <c r="B673" s="560"/>
      <c r="C673" s="561"/>
      <c r="D673" s="562"/>
      <c r="E673" s="552"/>
      <c r="F673" s="552"/>
      <c r="G673" s="552"/>
      <c r="H673" s="552"/>
      <c r="I673" s="552"/>
      <c r="J673" s="552"/>
      <c r="K673" s="552"/>
      <c r="L673" s="552"/>
      <c r="M673" s="552"/>
      <c r="N673" s="552"/>
      <c r="O673" s="552"/>
      <c r="P673" s="552"/>
      <c r="Q673" s="552"/>
      <c r="R673" s="552"/>
      <c r="S673" s="552"/>
      <c r="T673" s="552"/>
      <c r="U673" s="552"/>
      <c r="V673" s="552"/>
      <c r="W673" s="552"/>
      <c r="X673" s="552"/>
      <c r="Y673" s="552"/>
      <c r="Z673" s="552"/>
    </row>
    <row r="674">
      <c r="A674" s="559"/>
      <c r="B674" s="560"/>
      <c r="C674" s="561"/>
      <c r="D674" s="562"/>
      <c r="E674" s="552"/>
      <c r="F674" s="552"/>
      <c r="G674" s="552"/>
      <c r="H674" s="552"/>
      <c r="I674" s="552"/>
      <c r="J674" s="552"/>
      <c r="K674" s="552"/>
      <c r="L674" s="552"/>
      <c r="M674" s="552"/>
      <c r="N674" s="552"/>
      <c r="O674" s="552"/>
      <c r="P674" s="552"/>
      <c r="Q674" s="552"/>
      <c r="R674" s="552"/>
      <c r="S674" s="552"/>
      <c r="T674" s="552"/>
      <c r="U674" s="552"/>
      <c r="V674" s="552"/>
      <c r="W674" s="552"/>
      <c r="X674" s="552"/>
      <c r="Y674" s="552"/>
      <c r="Z674" s="552"/>
    </row>
    <row r="675">
      <c r="A675" s="559"/>
      <c r="B675" s="560"/>
      <c r="C675" s="561"/>
      <c r="D675" s="562"/>
      <c r="E675" s="552"/>
      <c r="F675" s="552"/>
      <c r="G675" s="552"/>
      <c r="H675" s="552"/>
      <c r="I675" s="552"/>
      <c r="J675" s="552"/>
      <c r="K675" s="552"/>
      <c r="L675" s="552"/>
      <c r="M675" s="552"/>
      <c r="N675" s="552"/>
      <c r="O675" s="552"/>
      <c r="P675" s="552"/>
      <c r="Q675" s="552"/>
      <c r="R675" s="552"/>
      <c r="S675" s="552"/>
      <c r="T675" s="552"/>
      <c r="U675" s="552"/>
      <c r="V675" s="552"/>
      <c r="W675" s="552"/>
      <c r="X675" s="552"/>
      <c r="Y675" s="552"/>
      <c r="Z675" s="552"/>
    </row>
    <row r="676">
      <c r="A676" s="559"/>
      <c r="B676" s="560"/>
      <c r="C676" s="561"/>
      <c r="D676" s="562"/>
      <c r="E676" s="552"/>
      <c r="F676" s="552"/>
      <c r="G676" s="552"/>
      <c r="H676" s="552"/>
      <c r="I676" s="552"/>
      <c r="J676" s="552"/>
      <c r="K676" s="552"/>
      <c r="L676" s="552"/>
      <c r="M676" s="552"/>
      <c r="N676" s="552"/>
      <c r="O676" s="552"/>
      <c r="P676" s="552"/>
      <c r="Q676" s="552"/>
      <c r="R676" s="552"/>
      <c r="S676" s="552"/>
      <c r="T676" s="552"/>
      <c r="U676" s="552"/>
      <c r="V676" s="552"/>
      <c r="W676" s="552"/>
      <c r="X676" s="552"/>
      <c r="Y676" s="552"/>
      <c r="Z676" s="552"/>
    </row>
    <row r="677">
      <c r="A677" s="559"/>
      <c r="B677" s="560"/>
      <c r="C677" s="561"/>
      <c r="D677" s="562"/>
      <c r="E677" s="552"/>
      <c r="F677" s="552"/>
      <c r="G677" s="552"/>
      <c r="H677" s="552"/>
      <c r="I677" s="552"/>
      <c r="J677" s="552"/>
      <c r="K677" s="552"/>
      <c r="L677" s="552"/>
      <c r="M677" s="552"/>
      <c r="N677" s="552"/>
      <c r="O677" s="552"/>
      <c r="P677" s="552"/>
      <c r="Q677" s="552"/>
      <c r="R677" s="552"/>
      <c r="S677" s="552"/>
      <c r="T677" s="552"/>
      <c r="U677" s="552"/>
      <c r="V677" s="552"/>
      <c r="W677" s="552"/>
      <c r="X677" s="552"/>
      <c r="Y677" s="552"/>
      <c r="Z677" s="552"/>
    </row>
    <row r="678">
      <c r="A678" s="559"/>
      <c r="B678" s="560"/>
      <c r="C678" s="561"/>
      <c r="D678" s="562"/>
      <c r="E678" s="552"/>
      <c r="F678" s="552"/>
      <c r="G678" s="552"/>
      <c r="H678" s="552"/>
      <c r="I678" s="552"/>
      <c r="J678" s="552"/>
      <c r="K678" s="552"/>
      <c r="L678" s="552"/>
      <c r="M678" s="552"/>
      <c r="N678" s="552"/>
      <c r="O678" s="552"/>
      <c r="P678" s="552"/>
      <c r="Q678" s="552"/>
      <c r="R678" s="552"/>
      <c r="S678" s="552"/>
      <c r="T678" s="552"/>
      <c r="U678" s="552"/>
      <c r="V678" s="552"/>
      <c r="W678" s="552"/>
      <c r="X678" s="552"/>
      <c r="Y678" s="552"/>
      <c r="Z678" s="552"/>
    </row>
    <row r="679">
      <c r="A679" s="559"/>
      <c r="B679" s="560"/>
      <c r="C679" s="561"/>
      <c r="D679" s="562"/>
      <c r="E679" s="552"/>
      <c r="F679" s="552"/>
      <c r="G679" s="552"/>
      <c r="H679" s="552"/>
      <c r="I679" s="552"/>
      <c r="J679" s="552"/>
      <c r="K679" s="552"/>
      <c r="L679" s="552"/>
      <c r="M679" s="552"/>
      <c r="N679" s="552"/>
      <c r="O679" s="552"/>
      <c r="P679" s="552"/>
      <c r="Q679" s="552"/>
      <c r="R679" s="552"/>
      <c r="S679" s="552"/>
      <c r="T679" s="552"/>
      <c r="U679" s="552"/>
      <c r="V679" s="552"/>
      <c r="W679" s="552"/>
      <c r="X679" s="552"/>
      <c r="Y679" s="552"/>
      <c r="Z679" s="552"/>
    </row>
    <row r="680">
      <c r="A680" s="559"/>
      <c r="B680" s="560"/>
      <c r="C680" s="561"/>
      <c r="D680" s="562"/>
      <c r="E680" s="552"/>
      <c r="F680" s="552"/>
      <c r="G680" s="552"/>
      <c r="H680" s="552"/>
      <c r="I680" s="552"/>
      <c r="J680" s="552"/>
      <c r="K680" s="552"/>
      <c r="L680" s="552"/>
      <c r="M680" s="552"/>
      <c r="N680" s="552"/>
      <c r="O680" s="552"/>
      <c r="P680" s="552"/>
      <c r="Q680" s="552"/>
      <c r="R680" s="552"/>
      <c r="S680" s="552"/>
      <c r="T680" s="552"/>
      <c r="U680" s="552"/>
      <c r="V680" s="552"/>
      <c r="W680" s="552"/>
      <c r="X680" s="552"/>
      <c r="Y680" s="552"/>
      <c r="Z680" s="552"/>
    </row>
    <row r="681">
      <c r="A681" s="559"/>
      <c r="B681" s="560"/>
      <c r="C681" s="561"/>
      <c r="D681" s="562"/>
      <c r="E681" s="552"/>
      <c r="F681" s="552"/>
      <c r="G681" s="552"/>
      <c r="H681" s="552"/>
      <c r="I681" s="552"/>
      <c r="J681" s="552"/>
      <c r="K681" s="552"/>
      <c r="L681" s="552"/>
      <c r="M681" s="552"/>
      <c r="N681" s="552"/>
      <c r="O681" s="552"/>
      <c r="P681" s="552"/>
      <c r="Q681" s="552"/>
      <c r="R681" s="552"/>
      <c r="S681" s="552"/>
      <c r="T681" s="552"/>
      <c r="U681" s="552"/>
      <c r="V681" s="552"/>
      <c r="W681" s="552"/>
      <c r="X681" s="552"/>
      <c r="Y681" s="552"/>
      <c r="Z681" s="552"/>
    </row>
    <row r="682">
      <c r="A682" s="559"/>
      <c r="B682" s="560"/>
      <c r="C682" s="561"/>
      <c r="D682" s="562"/>
      <c r="E682" s="552"/>
      <c r="F682" s="552"/>
      <c r="G682" s="552"/>
      <c r="H682" s="552"/>
      <c r="I682" s="552"/>
      <c r="J682" s="552"/>
      <c r="K682" s="552"/>
      <c r="L682" s="552"/>
      <c r="M682" s="552"/>
      <c r="N682" s="552"/>
      <c r="O682" s="552"/>
      <c r="P682" s="552"/>
      <c r="Q682" s="552"/>
      <c r="R682" s="552"/>
      <c r="S682" s="552"/>
      <c r="T682" s="552"/>
      <c r="U682" s="552"/>
      <c r="V682" s="552"/>
      <c r="W682" s="552"/>
      <c r="X682" s="552"/>
      <c r="Y682" s="552"/>
      <c r="Z682" s="552"/>
    </row>
    <row r="683">
      <c r="A683" s="559"/>
      <c r="B683" s="560"/>
      <c r="C683" s="561"/>
      <c r="D683" s="562"/>
      <c r="E683" s="552"/>
      <c r="F683" s="552"/>
      <c r="G683" s="552"/>
      <c r="H683" s="552"/>
      <c r="I683" s="552"/>
      <c r="J683" s="552"/>
      <c r="K683" s="552"/>
      <c r="L683" s="552"/>
      <c r="M683" s="552"/>
      <c r="N683" s="552"/>
      <c r="O683" s="552"/>
      <c r="P683" s="552"/>
      <c r="Q683" s="552"/>
      <c r="R683" s="552"/>
      <c r="S683" s="552"/>
      <c r="T683" s="552"/>
      <c r="U683" s="552"/>
      <c r="V683" s="552"/>
      <c r="W683" s="552"/>
      <c r="X683" s="552"/>
      <c r="Y683" s="552"/>
      <c r="Z683" s="552"/>
    </row>
    <row r="684">
      <c r="A684" s="559"/>
      <c r="B684" s="560"/>
      <c r="C684" s="561"/>
      <c r="D684" s="562"/>
      <c r="E684" s="552"/>
      <c r="F684" s="552"/>
      <c r="G684" s="552"/>
      <c r="H684" s="552"/>
      <c r="I684" s="552"/>
      <c r="J684" s="552"/>
      <c r="K684" s="552"/>
      <c r="L684" s="552"/>
      <c r="M684" s="552"/>
      <c r="N684" s="552"/>
      <c r="O684" s="552"/>
      <c r="P684" s="552"/>
      <c r="Q684" s="552"/>
      <c r="R684" s="552"/>
      <c r="S684" s="552"/>
      <c r="T684" s="552"/>
      <c r="U684" s="552"/>
      <c r="V684" s="552"/>
      <c r="W684" s="552"/>
      <c r="X684" s="552"/>
      <c r="Y684" s="552"/>
      <c r="Z684" s="552"/>
    </row>
    <row r="685">
      <c r="A685" s="559"/>
      <c r="B685" s="560"/>
      <c r="C685" s="561"/>
      <c r="D685" s="562"/>
      <c r="E685" s="552"/>
      <c r="F685" s="552"/>
      <c r="G685" s="552"/>
      <c r="H685" s="552"/>
      <c r="I685" s="552"/>
      <c r="J685" s="552"/>
      <c r="K685" s="552"/>
      <c r="L685" s="552"/>
      <c r="M685" s="552"/>
      <c r="N685" s="552"/>
      <c r="O685" s="552"/>
      <c r="P685" s="552"/>
      <c r="Q685" s="552"/>
      <c r="R685" s="552"/>
      <c r="S685" s="552"/>
      <c r="T685" s="552"/>
      <c r="U685" s="552"/>
      <c r="V685" s="552"/>
      <c r="W685" s="552"/>
      <c r="X685" s="552"/>
      <c r="Y685" s="552"/>
      <c r="Z685" s="552"/>
    </row>
    <row r="686">
      <c r="A686" s="559"/>
      <c r="B686" s="560"/>
      <c r="C686" s="561"/>
      <c r="D686" s="562"/>
      <c r="E686" s="552"/>
      <c r="F686" s="552"/>
      <c r="G686" s="552"/>
      <c r="H686" s="552"/>
      <c r="I686" s="552"/>
      <c r="J686" s="552"/>
      <c r="K686" s="552"/>
      <c r="L686" s="552"/>
      <c r="M686" s="552"/>
      <c r="N686" s="552"/>
      <c r="O686" s="552"/>
      <c r="P686" s="552"/>
      <c r="Q686" s="552"/>
      <c r="R686" s="552"/>
      <c r="S686" s="552"/>
      <c r="T686" s="552"/>
      <c r="U686" s="552"/>
      <c r="V686" s="552"/>
      <c r="W686" s="552"/>
      <c r="X686" s="552"/>
      <c r="Y686" s="552"/>
      <c r="Z686" s="552"/>
    </row>
    <row r="687">
      <c r="A687" s="559"/>
      <c r="B687" s="560"/>
      <c r="C687" s="561"/>
      <c r="D687" s="562"/>
      <c r="E687" s="552"/>
      <c r="F687" s="552"/>
      <c r="G687" s="552"/>
      <c r="H687" s="552"/>
      <c r="I687" s="552"/>
      <c r="J687" s="552"/>
      <c r="K687" s="552"/>
      <c r="L687" s="552"/>
      <c r="M687" s="552"/>
      <c r="N687" s="552"/>
      <c r="O687" s="552"/>
      <c r="P687" s="552"/>
      <c r="Q687" s="552"/>
      <c r="R687" s="552"/>
      <c r="S687" s="552"/>
      <c r="T687" s="552"/>
      <c r="U687" s="552"/>
      <c r="V687" s="552"/>
      <c r="W687" s="552"/>
      <c r="X687" s="552"/>
      <c r="Y687" s="552"/>
      <c r="Z687" s="552"/>
    </row>
    <row r="688">
      <c r="A688" s="559"/>
      <c r="B688" s="560"/>
      <c r="C688" s="561"/>
      <c r="D688" s="562"/>
      <c r="E688" s="552"/>
      <c r="F688" s="552"/>
      <c r="G688" s="552"/>
      <c r="H688" s="552"/>
      <c r="I688" s="552"/>
      <c r="J688" s="552"/>
      <c r="K688" s="552"/>
      <c r="L688" s="552"/>
      <c r="M688" s="552"/>
      <c r="N688" s="552"/>
      <c r="O688" s="552"/>
      <c r="P688" s="552"/>
      <c r="Q688" s="552"/>
      <c r="R688" s="552"/>
      <c r="S688" s="552"/>
      <c r="T688" s="552"/>
      <c r="U688" s="552"/>
      <c r="V688" s="552"/>
      <c r="W688" s="552"/>
      <c r="X688" s="552"/>
      <c r="Y688" s="552"/>
      <c r="Z688" s="552"/>
    </row>
    <row r="689">
      <c r="A689" s="559"/>
      <c r="B689" s="560"/>
      <c r="C689" s="561"/>
      <c r="D689" s="562"/>
      <c r="E689" s="552"/>
      <c r="F689" s="552"/>
      <c r="G689" s="552"/>
      <c r="H689" s="552"/>
      <c r="I689" s="552"/>
      <c r="J689" s="552"/>
      <c r="K689" s="552"/>
      <c r="L689" s="552"/>
      <c r="M689" s="552"/>
      <c r="N689" s="552"/>
      <c r="O689" s="552"/>
      <c r="P689" s="552"/>
      <c r="Q689" s="552"/>
      <c r="R689" s="552"/>
      <c r="S689" s="552"/>
      <c r="T689" s="552"/>
      <c r="U689" s="552"/>
      <c r="V689" s="552"/>
      <c r="W689" s="552"/>
      <c r="X689" s="552"/>
      <c r="Y689" s="552"/>
      <c r="Z689" s="552"/>
    </row>
    <row r="690">
      <c r="A690" s="559"/>
      <c r="B690" s="560"/>
      <c r="C690" s="561"/>
      <c r="D690" s="562"/>
      <c r="E690" s="552"/>
      <c r="F690" s="552"/>
      <c r="G690" s="552"/>
      <c r="H690" s="552"/>
      <c r="I690" s="552"/>
      <c r="J690" s="552"/>
      <c r="K690" s="552"/>
      <c r="L690" s="552"/>
      <c r="M690" s="552"/>
      <c r="N690" s="552"/>
      <c r="O690" s="552"/>
      <c r="P690" s="552"/>
      <c r="Q690" s="552"/>
      <c r="R690" s="552"/>
      <c r="S690" s="552"/>
      <c r="T690" s="552"/>
      <c r="U690" s="552"/>
      <c r="V690" s="552"/>
      <c r="W690" s="552"/>
      <c r="X690" s="552"/>
      <c r="Y690" s="552"/>
      <c r="Z690" s="552"/>
    </row>
    <row r="691">
      <c r="A691" s="559"/>
      <c r="B691" s="560"/>
      <c r="C691" s="561"/>
      <c r="D691" s="562"/>
      <c r="E691" s="552"/>
      <c r="F691" s="552"/>
      <c r="G691" s="552"/>
      <c r="H691" s="552"/>
      <c r="I691" s="552"/>
      <c r="J691" s="552"/>
      <c r="K691" s="552"/>
      <c r="L691" s="552"/>
      <c r="M691" s="552"/>
      <c r="N691" s="552"/>
      <c r="O691" s="552"/>
      <c r="P691" s="552"/>
      <c r="Q691" s="552"/>
      <c r="R691" s="552"/>
      <c r="S691" s="552"/>
      <c r="T691" s="552"/>
      <c r="U691" s="552"/>
      <c r="V691" s="552"/>
      <c r="W691" s="552"/>
      <c r="X691" s="552"/>
      <c r="Y691" s="552"/>
      <c r="Z691" s="552"/>
    </row>
    <row r="692">
      <c r="A692" s="559"/>
      <c r="B692" s="560"/>
      <c r="C692" s="561"/>
      <c r="D692" s="562"/>
      <c r="E692" s="552"/>
      <c r="F692" s="552"/>
      <c r="G692" s="552"/>
      <c r="H692" s="552"/>
      <c r="I692" s="552"/>
      <c r="J692" s="552"/>
      <c r="K692" s="552"/>
      <c r="L692" s="552"/>
      <c r="M692" s="552"/>
      <c r="N692" s="552"/>
      <c r="O692" s="552"/>
      <c r="P692" s="552"/>
      <c r="Q692" s="552"/>
      <c r="R692" s="552"/>
      <c r="S692" s="552"/>
      <c r="T692" s="552"/>
      <c r="U692" s="552"/>
      <c r="V692" s="552"/>
      <c r="W692" s="552"/>
      <c r="X692" s="552"/>
      <c r="Y692" s="552"/>
      <c r="Z692" s="552"/>
    </row>
    <row r="693">
      <c r="A693" s="559"/>
      <c r="B693" s="560"/>
      <c r="C693" s="561"/>
      <c r="D693" s="562"/>
      <c r="E693" s="552"/>
      <c r="F693" s="552"/>
      <c r="G693" s="552"/>
      <c r="H693" s="552"/>
      <c r="I693" s="552"/>
      <c r="J693" s="552"/>
      <c r="K693" s="552"/>
      <c r="L693" s="552"/>
      <c r="M693" s="552"/>
      <c r="N693" s="552"/>
      <c r="O693" s="552"/>
      <c r="P693" s="552"/>
      <c r="Q693" s="552"/>
      <c r="R693" s="552"/>
      <c r="S693" s="552"/>
      <c r="T693" s="552"/>
      <c r="U693" s="552"/>
      <c r="V693" s="552"/>
      <c r="W693" s="552"/>
      <c r="X693" s="552"/>
      <c r="Y693" s="552"/>
      <c r="Z693" s="552"/>
    </row>
    <row r="694">
      <c r="A694" s="559"/>
      <c r="B694" s="560"/>
      <c r="C694" s="561"/>
      <c r="D694" s="562"/>
      <c r="E694" s="552"/>
      <c r="F694" s="552"/>
      <c r="G694" s="552"/>
      <c r="H694" s="552"/>
      <c r="I694" s="552"/>
      <c r="J694" s="552"/>
      <c r="K694" s="552"/>
      <c r="L694" s="552"/>
      <c r="M694" s="552"/>
      <c r="N694" s="552"/>
      <c r="O694" s="552"/>
      <c r="P694" s="552"/>
      <c r="Q694" s="552"/>
      <c r="R694" s="552"/>
      <c r="S694" s="552"/>
      <c r="T694" s="552"/>
      <c r="U694" s="552"/>
      <c r="V694" s="552"/>
      <c r="W694" s="552"/>
      <c r="X694" s="552"/>
      <c r="Y694" s="552"/>
      <c r="Z694" s="552"/>
    </row>
    <row r="695">
      <c r="A695" s="559"/>
      <c r="B695" s="560"/>
      <c r="C695" s="561"/>
      <c r="D695" s="562"/>
      <c r="E695" s="552"/>
      <c r="F695" s="552"/>
      <c r="G695" s="552"/>
      <c r="H695" s="552"/>
      <c r="I695" s="552"/>
      <c r="J695" s="552"/>
      <c r="K695" s="552"/>
      <c r="L695" s="552"/>
      <c r="M695" s="552"/>
      <c r="N695" s="552"/>
      <c r="O695" s="552"/>
      <c r="P695" s="552"/>
      <c r="Q695" s="552"/>
      <c r="R695" s="552"/>
      <c r="S695" s="552"/>
      <c r="T695" s="552"/>
      <c r="U695" s="552"/>
      <c r="V695" s="552"/>
      <c r="W695" s="552"/>
      <c r="X695" s="552"/>
      <c r="Y695" s="552"/>
      <c r="Z695" s="552"/>
    </row>
    <row r="696">
      <c r="A696" s="559"/>
      <c r="B696" s="560"/>
      <c r="C696" s="561"/>
      <c r="D696" s="562"/>
      <c r="E696" s="552"/>
      <c r="F696" s="552"/>
      <c r="G696" s="552"/>
      <c r="H696" s="552"/>
      <c r="I696" s="552"/>
      <c r="J696" s="552"/>
      <c r="K696" s="552"/>
      <c r="L696" s="552"/>
      <c r="M696" s="552"/>
      <c r="N696" s="552"/>
      <c r="O696" s="552"/>
      <c r="P696" s="552"/>
      <c r="Q696" s="552"/>
      <c r="R696" s="552"/>
      <c r="S696" s="552"/>
      <c r="T696" s="552"/>
      <c r="U696" s="552"/>
      <c r="V696" s="552"/>
      <c r="W696" s="552"/>
      <c r="X696" s="552"/>
      <c r="Y696" s="552"/>
      <c r="Z696" s="552"/>
    </row>
    <row r="697">
      <c r="A697" s="559"/>
      <c r="B697" s="560"/>
      <c r="C697" s="561"/>
      <c r="D697" s="562"/>
      <c r="E697" s="552"/>
      <c r="F697" s="552"/>
      <c r="G697" s="552"/>
      <c r="H697" s="552"/>
      <c r="I697" s="552"/>
      <c r="J697" s="552"/>
      <c r="K697" s="552"/>
      <c r="L697" s="552"/>
      <c r="M697" s="552"/>
      <c r="N697" s="552"/>
      <c r="O697" s="552"/>
      <c r="P697" s="552"/>
      <c r="Q697" s="552"/>
      <c r="R697" s="552"/>
      <c r="S697" s="552"/>
      <c r="T697" s="552"/>
      <c r="U697" s="552"/>
      <c r="V697" s="552"/>
      <c r="W697" s="552"/>
      <c r="X697" s="552"/>
      <c r="Y697" s="552"/>
      <c r="Z697" s="552"/>
    </row>
    <row r="698">
      <c r="A698" s="559"/>
      <c r="B698" s="560"/>
      <c r="C698" s="561"/>
      <c r="D698" s="562"/>
      <c r="E698" s="552"/>
      <c r="F698" s="552"/>
      <c r="G698" s="552"/>
      <c r="H698" s="552"/>
      <c r="I698" s="552"/>
      <c r="J698" s="552"/>
      <c r="K698" s="552"/>
      <c r="L698" s="552"/>
      <c r="M698" s="552"/>
      <c r="N698" s="552"/>
      <c r="O698" s="552"/>
      <c r="P698" s="552"/>
      <c r="Q698" s="552"/>
      <c r="R698" s="552"/>
      <c r="S698" s="552"/>
      <c r="T698" s="552"/>
      <c r="U698" s="552"/>
      <c r="V698" s="552"/>
      <c r="W698" s="552"/>
      <c r="X698" s="552"/>
      <c r="Y698" s="552"/>
      <c r="Z698" s="552"/>
    </row>
    <row r="699">
      <c r="A699" s="559"/>
      <c r="B699" s="560"/>
      <c r="C699" s="561"/>
      <c r="D699" s="562"/>
      <c r="E699" s="552"/>
      <c r="F699" s="552"/>
      <c r="G699" s="552"/>
      <c r="H699" s="552"/>
      <c r="I699" s="552"/>
      <c r="J699" s="552"/>
      <c r="K699" s="552"/>
      <c r="L699" s="552"/>
      <c r="M699" s="552"/>
      <c r="N699" s="552"/>
      <c r="O699" s="552"/>
      <c r="P699" s="552"/>
      <c r="Q699" s="552"/>
      <c r="R699" s="552"/>
      <c r="S699" s="552"/>
      <c r="T699" s="552"/>
      <c r="U699" s="552"/>
      <c r="V699" s="552"/>
      <c r="W699" s="552"/>
      <c r="X699" s="552"/>
      <c r="Y699" s="552"/>
      <c r="Z699" s="552"/>
    </row>
    <row r="700">
      <c r="A700" s="559"/>
      <c r="B700" s="560"/>
      <c r="C700" s="561"/>
      <c r="D700" s="562"/>
      <c r="E700" s="552"/>
      <c r="F700" s="552"/>
      <c r="G700" s="552"/>
      <c r="H700" s="552"/>
      <c r="I700" s="552"/>
      <c r="J700" s="552"/>
      <c r="K700" s="552"/>
      <c r="L700" s="552"/>
      <c r="M700" s="552"/>
      <c r="N700" s="552"/>
      <c r="O700" s="552"/>
      <c r="P700" s="552"/>
      <c r="Q700" s="552"/>
      <c r="R700" s="552"/>
      <c r="S700" s="552"/>
      <c r="T700" s="552"/>
      <c r="U700" s="552"/>
      <c r="V700" s="552"/>
      <c r="W700" s="552"/>
      <c r="X700" s="552"/>
      <c r="Y700" s="552"/>
      <c r="Z700" s="552"/>
    </row>
    <row r="701">
      <c r="A701" s="559"/>
      <c r="B701" s="560"/>
      <c r="C701" s="561"/>
      <c r="D701" s="562"/>
      <c r="E701" s="552"/>
      <c r="F701" s="552"/>
      <c r="G701" s="552"/>
      <c r="H701" s="552"/>
      <c r="I701" s="552"/>
      <c r="J701" s="552"/>
      <c r="K701" s="552"/>
      <c r="L701" s="552"/>
      <c r="M701" s="552"/>
      <c r="N701" s="552"/>
      <c r="O701" s="552"/>
      <c r="P701" s="552"/>
      <c r="Q701" s="552"/>
      <c r="R701" s="552"/>
      <c r="S701" s="552"/>
      <c r="T701" s="552"/>
      <c r="U701" s="552"/>
      <c r="V701" s="552"/>
      <c r="W701" s="552"/>
      <c r="X701" s="552"/>
      <c r="Y701" s="552"/>
      <c r="Z701" s="552"/>
    </row>
    <row r="702">
      <c r="A702" s="559"/>
      <c r="B702" s="560"/>
      <c r="C702" s="561"/>
      <c r="D702" s="562"/>
      <c r="E702" s="552"/>
      <c r="F702" s="552"/>
      <c r="G702" s="552"/>
      <c r="H702" s="552"/>
      <c r="I702" s="552"/>
      <c r="J702" s="552"/>
      <c r="K702" s="552"/>
      <c r="L702" s="552"/>
      <c r="M702" s="552"/>
      <c r="N702" s="552"/>
      <c r="O702" s="552"/>
      <c r="P702" s="552"/>
      <c r="Q702" s="552"/>
      <c r="R702" s="552"/>
      <c r="S702" s="552"/>
      <c r="T702" s="552"/>
      <c r="U702" s="552"/>
      <c r="V702" s="552"/>
      <c r="W702" s="552"/>
      <c r="X702" s="552"/>
      <c r="Y702" s="552"/>
      <c r="Z702" s="552"/>
    </row>
    <row r="703">
      <c r="A703" s="559"/>
      <c r="B703" s="560"/>
      <c r="C703" s="561"/>
      <c r="D703" s="562"/>
      <c r="E703" s="552"/>
      <c r="F703" s="552"/>
      <c r="G703" s="552"/>
      <c r="H703" s="552"/>
      <c r="I703" s="552"/>
      <c r="J703" s="552"/>
      <c r="K703" s="552"/>
      <c r="L703" s="552"/>
      <c r="M703" s="552"/>
      <c r="N703" s="552"/>
      <c r="O703" s="552"/>
      <c r="P703" s="552"/>
      <c r="Q703" s="552"/>
      <c r="R703" s="552"/>
      <c r="S703" s="552"/>
      <c r="T703" s="552"/>
      <c r="U703" s="552"/>
      <c r="V703" s="552"/>
      <c r="W703" s="552"/>
      <c r="X703" s="552"/>
      <c r="Y703" s="552"/>
      <c r="Z703" s="552"/>
    </row>
    <row r="704">
      <c r="A704" s="559"/>
      <c r="B704" s="560"/>
      <c r="C704" s="561"/>
      <c r="D704" s="562"/>
      <c r="E704" s="552"/>
      <c r="F704" s="552"/>
      <c r="G704" s="552"/>
      <c r="H704" s="552"/>
      <c r="I704" s="552"/>
      <c r="J704" s="552"/>
      <c r="K704" s="552"/>
      <c r="L704" s="552"/>
      <c r="M704" s="552"/>
      <c r="N704" s="552"/>
      <c r="O704" s="552"/>
      <c r="P704" s="552"/>
      <c r="Q704" s="552"/>
      <c r="R704" s="552"/>
      <c r="S704" s="552"/>
      <c r="T704" s="552"/>
      <c r="U704" s="552"/>
      <c r="V704" s="552"/>
      <c r="W704" s="552"/>
      <c r="X704" s="552"/>
      <c r="Y704" s="552"/>
      <c r="Z704" s="552"/>
    </row>
    <row r="705">
      <c r="A705" s="559"/>
      <c r="B705" s="560"/>
      <c r="C705" s="561"/>
      <c r="D705" s="562"/>
      <c r="E705" s="552"/>
      <c r="F705" s="552"/>
      <c r="G705" s="552"/>
      <c r="H705" s="552"/>
      <c r="I705" s="552"/>
      <c r="J705" s="552"/>
      <c r="K705" s="552"/>
      <c r="L705" s="552"/>
      <c r="M705" s="552"/>
      <c r="N705" s="552"/>
      <c r="O705" s="552"/>
      <c r="P705" s="552"/>
      <c r="Q705" s="552"/>
      <c r="R705" s="552"/>
      <c r="S705" s="552"/>
      <c r="T705" s="552"/>
      <c r="U705" s="552"/>
      <c r="V705" s="552"/>
      <c r="W705" s="552"/>
      <c r="X705" s="552"/>
      <c r="Y705" s="552"/>
      <c r="Z705" s="552"/>
    </row>
    <row r="706">
      <c r="A706" s="559"/>
      <c r="B706" s="560"/>
      <c r="C706" s="561"/>
      <c r="D706" s="562"/>
      <c r="E706" s="552"/>
      <c r="F706" s="552"/>
      <c r="G706" s="552"/>
      <c r="H706" s="552"/>
      <c r="I706" s="552"/>
      <c r="J706" s="552"/>
      <c r="K706" s="552"/>
      <c r="L706" s="552"/>
      <c r="M706" s="552"/>
      <c r="N706" s="552"/>
      <c r="O706" s="552"/>
      <c r="P706" s="552"/>
      <c r="Q706" s="552"/>
      <c r="R706" s="552"/>
      <c r="S706" s="552"/>
      <c r="T706" s="552"/>
      <c r="U706" s="552"/>
      <c r="V706" s="552"/>
      <c r="W706" s="552"/>
      <c r="X706" s="552"/>
      <c r="Y706" s="552"/>
      <c r="Z706" s="552"/>
    </row>
    <row r="707">
      <c r="A707" s="559"/>
      <c r="B707" s="560"/>
      <c r="C707" s="561"/>
      <c r="D707" s="562"/>
      <c r="E707" s="552"/>
      <c r="F707" s="552"/>
      <c r="G707" s="552"/>
      <c r="H707" s="552"/>
      <c r="I707" s="552"/>
      <c r="J707" s="552"/>
      <c r="K707" s="552"/>
      <c r="L707" s="552"/>
      <c r="M707" s="552"/>
      <c r="N707" s="552"/>
      <c r="O707" s="552"/>
      <c r="P707" s="552"/>
      <c r="Q707" s="552"/>
      <c r="R707" s="552"/>
      <c r="S707" s="552"/>
      <c r="T707" s="552"/>
      <c r="U707" s="552"/>
      <c r="V707" s="552"/>
      <c r="W707" s="552"/>
      <c r="X707" s="552"/>
      <c r="Y707" s="552"/>
      <c r="Z707" s="552"/>
    </row>
    <row r="708">
      <c r="A708" s="559"/>
      <c r="B708" s="560"/>
      <c r="C708" s="561"/>
      <c r="D708" s="562"/>
      <c r="E708" s="552"/>
      <c r="F708" s="552"/>
      <c r="G708" s="552"/>
      <c r="H708" s="552"/>
      <c r="I708" s="552"/>
      <c r="J708" s="552"/>
      <c r="K708" s="552"/>
      <c r="L708" s="552"/>
      <c r="M708" s="552"/>
      <c r="N708" s="552"/>
      <c r="O708" s="552"/>
      <c r="P708" s="552"/>
      <c r="Q708" s="552"/>
      <c r="R708" s="552"/>
      <c r="S708" s="552"/>
      <c r="T708" s="552"/>
      <c r="U708" s="552"/>
      <c r="V708" s="552"/>
      <c r="W708" s="552"/>
      <c r="X708" s="552"/>
      <c r="Y708" s="552"/>
      <c r="Z708" s="552"/>
    </row>
    <row r="709">
      <c r="A709" s="559"/>
      <c r="B709" s="560"/>
      <c r="C709" s="561"/>
      <c r="D709" s="562"/>
      <c r="E709" s="552"/>
      <c r="F709" s="552"/>
      <c r="G709" s="552"/>
      <c r="H709" s="552"/>
      <c r="I709" s="552"/>
      <c r="J709" s="552"/>
      <c r="K709" s="552"/>
      <c r="L709" s="552"/>
      <c r="M709" s="552"/>
      <c r="N709" s="552"/>
      <c r="O709" s="552"/>
      <c r="P709" s="552"/>
      <c r="Q709" s="552"/>
      <c r="R709" s="552"/>
      <c r="S709" s="552"/>
      <c r="T709" s="552"/>
      <c r="U709" s="552"/>
      <c r="V709" s="552"/>
      <c r="W709" s="552"/>
      <c r="X709" s="552"/>
      <c r="Y709" s="552"/>
      <c r="Z709" s="552"/>
    </row>
    <row r="710">
      <c r="A710" s="559"/>
      <c r="B710" s="560"/>
      <c r="C710" s="561"/>
      <c r="D710" s="562"/>
      <c r="E710" s="552"/>
      <c r="F710" s="552"/>
      <c r="G710" s="552"/>
      <c r="H710" s="552"/>
      <c r="I710" s="552"/>
      <c r="J710" s="552"/>
      <c r="K710" s="552"/>
      <c r="L710" s="552"/>
      <c r="M710" s="552"/>
      <c r="N710" s="552"/>
      <c r="O710" s="552"/>
      <c r="P710" s="552"/>
      <c r="Q710" s="552"/>
      <c r="R710" s="552"/>
      <c r="S710" s="552"/>
      <c r="T710" s="552"/>
      <c r="U710" s="552"/>
      <c r="V710" s="552"/>
      <c r="W710" s="552"/>
      <c r="X710" s="552"/>
      <c r="Y710" s="552"/>
      <c r="Z710" s="552"/>
    </row>
    <row r="711">
      <c r="A711" s="559"/>
      <c r="B711" s="560"/>
      <c r="C711" s="561"/>
      <c r="D711" s="562"/>
      <c r="E711" s="552"/>
      <c r="F711" s="552"/>
      <c r="G711" s="552"/>
      <c r="H711" s="552"/>
      <c r="I711" s="552"/>
      <c r="J711" s="552"/>
      <c r="K711" s="552"/>
      <c r="L711" s="552"/>
      <c r="M711" s="552"/>
      <c r="N711" s="552"/>
      <c r="O711" s="552"/>
      <c r="P711" s="552"/>
      <c r="Q711" s="552"/>
      <c r="R711" s="552"/>
      <c r="S711" s="552"/>
      <c r="T711" s="552"/>
      <c r="U711" s="552"/>
      <c r="V711" s="552"/>
      <c r="W711" s="552"/>
      <c r="X711" s="552"/>
      <c r="Y711" s="552"/>
      <c r="Z711" s="552"/>
    </row>
    <row r="712">
      <c r="A712" s="559"/>
      <c r="B712" s="560"/>
      <c r="C712" s="561"/>
      <c r="D712" s="562"/>
      <c r="E712" s="552"/>
      <c r="F712" s="552"/>
      <c r="G712" s="552"/>
      <c r="H712" s="552"/>
      <c r="I712" s="552"/>
      <c r="J712" s="552"/>
      <c r="K712" s="552"/>
      <c r="L712" s="552"/>
      <c r="M712" s="552"/>
      <c r="N712" s="552"/>
      <c r="O712" s="552"/>
      <c r="P712" s="552"/>
      <c r="Q712" s="552"/>
      <c r="R712" s="552"/>
      <c r="S712" s="552"/>
      <c r="T712" s="552"/>
      <c r="U712" s="552"/>
      <c r="V712" s="552"/>
      <c r="W712" s="552"/>
      <c r="X712" s="552"/>
      <c r="Y712" s="552"/>
      <c r="Z712" s="552"/>
    </row>
    <row r="713">
      <c r="A713" s="559"/>
      <c r="B713" s="560"/>
      <c r="C713" s="561"/>
      <c r="D713" s="562"/>
      <c r="E713" s="552"/>
      <c r="F713" s="552"/>
      <c r="G713" s="552"/>
      <c r="H713" s="552"/>
      <c r="I713" s="552"/>
      <c r="J713" s="552"/>
      <c r="K713" s="552"/>
      <c r="L713" s="552"/>
      <c r="M713" s="552"/>
      <c r="N713" s="552"/>
      <c r="O713" s="552"/>
      <c r="P713" s="552"/>
      <c r="Q713" s="552"/>
      <c r="R713" s="552"/>
      <c r="S713" s="552"/>
      <c r="T713" s="552"/>
      <c r="U713" s="552"/>
      <c r="V713" s="552"/>
      <c r="W713" s="552"/>
      <c r="X713" s="552"/>
      <c r="Y713" s="552"/>
      <c r="Z713" s="552"/>
    </row>
    <row r="714">
      <c r="A714" s="559"/>
      <c r="B714" s="560"/>
      <c r="C714" s="561"/>
      <c r="D714" s="562"/>
      <c r="E714" s="552"/>
      <c r="F714" s="552"/>
      <c r="G714" s="552"/>
      <c r="H714" s="552"/>
      <c r="I714" s="552"/>
      <c r="J714" s="552"/>
      <c r="K714" s="552"/>
      <c r="L714" s="552"/>
      <c r="M714" s="552"/>
      <c r="N714" s="552"/>
      <c r="O714" s="552"/>
      <c r="P714" s="552"/>
      <c r="Q714" s="552"/>
      <c r="R714" s="552"/>
      <c r="S714" s="552"/>
      <c r="T714" s="552"/>
      <c r="U714" s="552"/>
      <c r="V714" s="552"/>
      <c r="W714" s="552"/>
      <c r="X714" s="552"/>
      <c r="Y714" s="552"/>
      <c r="Z714" s="552"/>
    </row>
    <row r="715">
      <c r="A715" s="559"/>
      <c r="B715" s="560"/>
      <c r="C715" s="561"/>
      <c r="D715" s="562"/>
      <c r="E715" s="552"/>
      <c r="F715" s="552"/>
      <c r="G715" s="552"/>
      <c r="H715" s="552"/>
      <c r="I715" s="552"/>
      <c r="J715" s="552"/>
      <c r="K715" s="552"/>
      <c r="L715" s="552"/>
      <c r="M715" s="552"/>
      <c r="N715" s="552"/>
      <c r="O715" s="552"/>
      <c r="P715" s="552"/>
      <c r="Q715" s="552"/>
      <c r="R715" s="552"/>
      <c r="S715" s="552"/>
      <c r="T715" s="552"/>
      <c r="U715" s="552"/>
      <c r="V715" s="552"/>
      <c r="W715" s="552"/>
      <c r="X715" s="552"/>
      <c r="Y715" s="552"/>
      <c r="Z715" s="552"/>
    </row>
    <row r="716">
      <c r="A716" s="559"/>
      <c r="B716" s="560"/>
      <c r="C716" s="561"/>
      <c r="D716" s="562"/>
      <c r="E716" s="552"/>
      <c r="F716" s="552"/>
      <c r="G716" s="552"/>
      <c r="H716" s="552"/>
      <c r="I716" s="552"/>
      <c r="J716" s="552"/>
      <c r="K716" s="552"/>
      <c r="L716" s="552"/>
      <c r="M716" s="552"/>
      <c r="N716" s="552"/>
      <c r="O716" s="552"/>
      <c r="P716" s="552"/>
      <c r="Q716" s="552"/>
      <c r="R716" s="552"/>
      <c r="S716" s="552"/>
      <c r="T716" s="552"/>
      <c r="U716" s="552"/>
      <c r="V716" s="552"/>
      <c r="W716" s="552"/>
      <c r="X716" s="552"/>
      <c r="Y716" s="552"/>
      <c r="Z716" s="552"/>
    </row>
    <row r="717">
      <c r="A717" s="559"/>
      <c r="B717" s="560"/>
      <c r="C717" s="561"/>
      <c r="D717" s="562"/>
      <c r="E717" s="552"/>
      <c r="F717" s="552"/>
      <c r="G717" s="552"/>
      <c r="H717" s="552"/>
      <c r="I717" s="552"/>
      <c r="J717" s="552"/>
      <c r="K717" s="552"/>
      <c r="L717" s="552"/>
      <c r="M717" s="552"/>
      <c r="N717" s="552"/>
      <c r="O717" s="552"/>
      <c r="P717" s="552"/>
      <c r="Q717" s="552"/>
      <c r="R717" s="552"/>
      <c r="S717" s="552"/>
      <c r="T717" s="552"/>
      <c r="U717" s="552"/>
      <c r="V717" s="552"/>
      <c r="W717" s="552"/>
      <c r="X717" s="552"/>
      <c r="Y717" s="552"/>
      <c r="Z717" s="552"/>
    </row>
    <row r="718">
      <c r="A718" s="559"/>
      <c r="B718" s="560"/>
      <c r="C718" s="561"/>
      <c r="D718" s="562"/>
      <c r="E718" s="552"/>
      <c r="F718" s="552"/>
      <c r="G718" s="552"/>
      <c r="H718" s="552"/>
      <c r="I718" s="552"/>
      <c r="J718" s="552"/>
      <c r="K718" s="552"/>
      <c r="L718" s="552"/>
      <c r="M718" s="552"/>
      <c r="N718" s="552"/>
      <c r="O718" s="552"/>
      <c r="P718" s="552"/>
      <c r="Q718" s="552"/>
      <c r="R718" s="552"/>
      <c r="S718" s="552"/>
      <c r="T718" s="552"/>
      <c r="U718" s="552"/>
      <c r="V718" s="552"/>
      <c r="W718" s="552"/>
      <c r="X718" s="552"/>
      <c r="Y718" s="552"/>
      <c r="Z718" s="552"/>
    </row>
    <row r="719">
      <c r="A719" s="559"/>
      <c r="B719" s="560"/>
      <c r="C719" s="561"/>
      <c r="D719" s="562"/>
      <c r="E719" s="552"/>
      <c r="F719" s="552"/>
      <c r="G719" s="552"/>
      <c r="H719" s="552"/>
      <c r="I719" s="552"/>
      <c r="J719" s="552"/>
      <c r="K719" s="552"/>
      <c r="L719" s="552"/>
      <c r="M719" s="552"/>
      <c r="N719" s="552"/>
      <c r="O719" s="552"/>
      <c r="P719" s="552"/>
      <c r="Q719" s="552"/>
      <c r="R719" s="552"/>
      <c r="S719" s="552"/>
      <c r="T719" s="552"/>
      <c r="U719" s="552"/>
      <c r="V719" s="552"/>
      <c r="W719" s="552"/>
      <c r="X719" s="552"/>
      <c r="Y719" s="552"/>
      <c r="Z719" s="552"/>
    </row>
    <row r="720">
      <c r="A720" s="559"/>
      <c r="B720" s="560"/>
      <c r="C720" s="561"/>
      <c r="D720" s="562"/>
      <c r="E720" s="552"/>
      <c r="F720" s="552"/>
      <c r="G720" s="552"/>
      <c r="H720" s="552"/>
      <c r="I720" s="552"/>
      <c r="J720" s="552"/>
      <c r="K720" s="552"/>
      <c r="L720" s="552"/>
      <c r="M720" s="552"/>
      <c r="N720" s="552"/>
      <c r="O720" s="552"/>
      <c r="P720" s="552"/>
      <c r="Q720" s="552"/>
      <c r="R720" s="552"/>
      <c r="S720" s="552"/>
      <c r="T720" s="552"/>
      <c r="U720" s="552"/>
      <c r="V720" s="552"/>
      <c r="W720" s="552"/>
      <c r="X720" s="552"/>
      <c r="Y720" s="552"/>
      <c r="Z720" s="552"/>
    </row>
    <row r="721">
      <c r="A721" s="559"/>
      <c r="B721" s="560"/>
      <c r="C721" s="561"/>
      <c r="D721" s="562"/>
      <c r="E721" s="552"/>
      <c r="F721" s="552"/>
      <c r="G721" s="552"/>
      <c r="H721" s="552"/>
      <c r="I721" s="552"/>
      <c r="J721" s="552"/>
      <c r="K721" s="552"/>
      <c r="L721" s="552"/>
      <c r="M721" s="552"/>
      <c r="N721" s="552"/>
      <c r="O721" s="552"/>
      <c r="P721" s="552"/>
      <c r="Q721" s="552"/>
      <c r="R721" s="552"/>
      <c r="S721" s="552"/>
      <c r="T721" s="552"/>
      <c r="U721" s="552"/>
      <c r="V721" s="552"/>
      <c r="W721" s="552"/>
      <c r="X721" s="552"/>
      <c r="Y721" s="552"/>
      <c r="Z721" s="552"/>
    </row>
    <row r="722">
      <c r="A722" s="559"/>
      <c r="B722" s="560"/>
      <c r="C722" s="561"/>
      <c r="D722" s="562"/>
      <c r="E722" s="552"/>
      <c r="F722" s="552"/>
      <c r="G722" s="552"/>
      <c r="H722" s="552"/>
      <c r="I722" s="552"/>
      <c r="J722" s="552"/>
      <c r="K722" s="552"/>
      <c r="L722" s="552"/>
      <c r="M722" s="552"/>
      <c r="N722" s="552"/>
      <c r="O722" s="552"/>
      <c r="P722" s="552"/>
      <c r="Q722" s="552"/>
      <c r="R722" s="552"/>
      <c r="S722" s="552"/>
      <c r="T722" s="552"/>
      <c r="U722" s="552"/>
      <c r="V722" s="552"/>
      <c r="W722" s="552"/>
      <c r="X722" s="552"/>
      <c r="Y722" s="552"/>
      <c r="Z722" s="552"/>
    </row>
    <row r="723">
      <c r="A723" s="559"/>
      <c r="B723" s="560"/>
      <c r="C723" s="561"/>
      <c r="D723" s="562"/>
      <c r="E723" s="552"/>
      <c r="F723" s="552"/>
      <c r="G723" s="552"/>
      <c r="H723" s="552"/>
      <c r="I723" s="552"/>
      <c r="J723" s="552"/>
      <c r="K723" s="552"/>
      <c r="L723" s="552"/>
      <c r="M723" s="552"/>
      <c r="N723" s="552"/>
      <c r="O723" s="552"/>
      <c r="P723" s="552"/>
      <c r="Q723" s="552"/>
      <c r="R723" s="552"/>
      <c r="S723" s="552"/>
      <c r="T723" s="552"/>
      <c r="U723" s="552"/>
      <c r="V723" s="552"/>
      <c r="W723" s="552"/>
      <c r="X723" s="552"/>
      <c r="Y723" s="552"/>
      <c r="Z723" s="552"/>
    </row>
    <row r="724">
      <c r="A724" s="559"/>
      <c r="B724" s="560"/>
      <c r="C724" s="561"/>
      <c r="D724" s="562"/>
      <c r="E724" s="552"/>
      <c r="F724" s="552"/>
      <c r="G724" s="552"/>
      <c r="H724" s="552"/>
      <c r="I724" s="552"/>
      <c r="J724" s="552"/>
      <c r="K724" s="552"/>
      <c r="L724" s="552"/>
      <c r="M724" s="552"/>
      <c r="N724" s="552"/>
      <c r="O724" s="552"/>
      <c r="P724" s="552"/>
      <c r="Q724" s="552"/>
      <c r="R724" s="552"/>
      <c r="S724" s="552"/>
      <c r="T724" s="552"/>
      <c r="U724" s="552"/>
      <c r="V724" s="552"/>
      <c r="W724" s="552"/>
      <c r="X724" s="552"/>
      <c r="Y724" s="552"/>
      <c r="Z724" s="552"/>
    </row>
    <row r="725">
      <c r="A725" s="559"/>
      <c r="B725" s="560"/>
      <c r="C725" s="561"/>
      <c r="D725" s="562"/>
      <c r="E725" s="552"/>
      <c r="F725" s="552"/>
      <c r="G725" s="552"/>
      <c r="H725" s="552"/>
      <c r="I725" s="552"/>
      <c r="J725" s="552"/>
      <c r="K725" s="552"/>
      <c r="L725" s="552"/>
      <c r="M725" s="552"/>
      <c r="N725" s="552"/>
      <c r="O725" s="552"/>
      <c r="P725" s="552"/>
      <c r="Q725" s="552"/>
      <c r="R725" s="552"/>
      <c r="S725" s="552"/>
      <c r="T725" s="552"/>
      <c r="U725" s="552"/>
      <c r="V725" s="552"/>
      <c r="W725" s="552"/>
      <c r="X725" s="552"/>
      <c r="Y725" s="552"/>
      <c r="Z725" s="552"/>
    </row>
    <row r="726">
      <c r="A726" s="559"/>
      <c r="B726" s="560"/>
      <c r="C726" s="561"/>
      <c r="D726" s="562"/>
      <c r="E726" s="552"/>
      <c r="F726" s="552"/>
      <c r="G726" s="552"/>
      <c r="H726" s="552"/>
      <c r="I726" s="552"/>
      <c r="J726" s="552"/>
      <c r="K726" s="552"/>
      <c r="L726" s="552"/>
      <c r="M726" s="552"/>
      <c r="N726" s="552"/>
      <c r="O726" s="552"/>
      <c r="P726" s="552"/>
      <c r="Q726" s="552"/>
      <c r="R726" s="552"/>
      <c r="S726" s="552"/>
      <c r="T726" s="552"/>
      <c r="U726" s="552"/>
      <c r="V726" s="552"/>
      <c r="W726" s="552"/>
      <c r="X726" s="552"/>
      <c r="Y726" s="552"/>
      <c r="Z726" s="552"/>
    </row>
    <row r="727">
      <c r="A727" s="559"/>
      <c r="B727" s="560"/>
      <c r="C727" s="561"/>
      <c r="D727" s="562"/>
      <c r="E727" s="552"/>
      <c r="F727" s="552"/>
      <c r="G727" s="552"/>
      <c r="H727" s="552"/>
      <c r="I727" s="552"/>
      <c r="J727" s="552"/>
      <c r="K727" s="552"/>
      <c r="L727" s="552"/>
      <c r="M727" s="552"/>
      <c r="N727" s="552"/>
      <c r="O727" s="552"/>
      <c r="P727" s="552"/>
      <c r="Q727" s="552"/>
      <c r="R727" s="552"/>
      <c r="S727" s="552"/>
      <c r="T727" s="552"/>
      <c r="U727" s="552"/>
      <c r="V727" s="552"/>
      <c r="W727" s="552"/>
      <c r="X727" s="552"/>
      <c r="Y727" s="552"/>
      <c r="Z727" s="552"/>
    </row>
    <row r="728">
      <c r="A728" s="559"/>
      <c r="B728" s="560"/>
      <c r="C728" s="561"/>
      <c r="D728" s="562"/>
      <c r="E728" s="552"/>
      <c r="F728" s="552"/>
      <c r="G728" s="552"/>
      <c r="H728" s="552"/>
      <c r="I728" s="552"/>
      <c r="J728" s="552"/>
      <c r="K728" s="552"/>
      <c r="L728" s="552"/>
      <c r="M728" s="552"/>
      <c r="N728" s="552"/>
      <c r="O728" s="552"/>
      <c r="P728" s="552"/>
      <c r="Q728" s="552"/>
      <c r="R728" s="552"/>
      <c r="S728" s="552"/>
      <c r="T728" s="552"/>
      <c r="U728" s="552"/>
      <c r="V728" s="552"/>
      <c r="W728" s="552"/>
      <c r="X728" s="552"/>
      <c r="Y728" s="552"/>
      <c r="Z728" s="552"/>
    </row>
    <row r="729">
      <c r="A729" s="559"/>
      <c r="B729" s="560"/>
      <c r="C729" s="561"/>
      <c r="D729" s="562"/>
      <c r="E729" s="552"/>
      <c r="F729" s="552"/>
      <c r="G729" s="552"/>
      <c r="H729" s="552"/>
      <c r="I729" s="552"/>
      <c r="J729" s="552"/>
      <c r="K729" s="552"/>
      <c r="L729" s="552"/>
      <c r="M729" s="552"/>
      <c r="N729" s="552"/>
      <c r="O729" s="552"/>
      <c r="P729" s="552"/>
      <c r="Q729" s="552"/>
      <c r="R729" s="552"/>
      <c r="S729" s="552"/>
      <c r="T729" s="552"/>
      <c r="U729" s="552"/>
      <c r="V729" s="552"/>
      <c r="W729" s="552"/>
      <c r="X729" s="552"/>
      <c r="Y729" s="552"/>
      <c r="Z729" s="552"/>
    </row>
    <row r="730">
      <c r="A730" s="559"/>
      <c r="B730" s="560"/>
      <c r="C730" s="561"/>
      <c r="D730" s="562"/>
      <c r="E730" s="552"/>
      <c r="F730" s="552"/>
      <c r="G730" s="552"/>
      <c r="H730" s="552"/>
      <c r="I730" s="552"/>
      <c r="J730" s="552"/>
      <c r="K730" s="552"/>
      <c r="L730" s="552"/>
      <c r="M730" s="552"/>
      <c r="N730" s="552"/>
      <c r="O730" s="552"/>
      <c r="P730" s="552"/>
      <c r="Q730" s="552"/>
      <c r="R730" s="552"/>
      <c r="S730" s="552"/>
      <c r="T730" s="552"/>
      <c r="U730" s="552"/>
      <c r="V730" s="552"/>
      <c r="W730" s="552"/>
      <c r="X730" s="552"/>
      <c r="Y730" s="552"/>
      <c r="Z730" s="552"/>
    </row>
    <row r="731">
      <c r="A731" s="559"/>
      <c r="B731" s="560"/>
      <c r="C731" s="561"/>
      <c r="D731" s="562"/>
      <c r="E731" s="552"/>
      <c r="F731" s="552"/>
      <c r="G731" s="552"/>
      <c r="H731" s="552"/>
      <c r="I731" s="552"/>
      <c r="J731" s="552"/>
      <c r="K731" s="552"/>
      <c r="L731" s="552"/>
      <c r="M731" s="552"/>
      <c r="N731" s="552"/>
      <c r="O731" s="552"/>
      <c r="P731" s="552"/>
      <c r="Q731" s="552"/>
      <c r="R731" s="552"/>
      <c r="S731" s="552"/>
      <c r="T731" s="552"/>
      <c r="U731" s="552"/>
      <c r="V731" s="552"/>
      <c r="W731" s="552"/>
      <c r="X731" s="552"/>
      <c r="Y731" s="552"/>
      <c r="Z731" s="552"/>
    </row>
    <row r="732">
      <c r="A732" s="559"/>
      <c r="B732" s="560"/>
      <c r="C732" s="561"/>
      <c r="D732" s="562"/>
      <c r="E732" s="552"/>
      <c r="F732" s="552"/>
      <c r="G732" s="552"/>
      <c r="H732" s="552"/>
      <c r="I732" s="552"/>
      <c r="J732" s="552"/>
      <c r="K732" s="552"/>
      <c r="L732" s="552"/>
      <c r="M732" s="552"/>
      <c r="N732" s="552"/>
      <c r="O732" s="552"/>
      <c r="P732" s="552"/>
      <c r="Q732" s="552"/>
      <c r="R732" s="552"/>
      <c r="S732" s="552"/>
      <c r="T732" s="552"/>
      <c r="U732" s="552"/>
      <c r="V732" s="552"/>
      <c r="W732" s="552"/>
      <c r="X732" s="552"/>
      <c r="Y732" s="552"/>
      <c r="Z732" s="552"/>
    </row>
    <row r="733">
      <c r="A733" s="559"/>
      <c r="B733" s="560"/>
      <c r="C733" s="561"/>
      <c r="D733" s="562"/>
      <c r="E733" s="552"/>
      <c r="F733" s="552"/>
      <c r="G733" s="552"/>
      <c r="H733" s="552"/>
      <c r="I733" s="552"/>
      <c r="J733" s="552"/>
      <c r="K733" s="552"/>
      <c r="L733" s="552"/>
      <c r="M733" s="552"/>
      <c r="N733" s="552"/>
      <c r="O733" s="552"/>
      <c r="P733" s="552"/>
      <c r="Q733" s="552"/>
      <c r="R733" s="552"/>
      <c r="S733" s="552"/>
      <c r="T733" s="552"/>
      <c r="U733" s="552"/>
      <c r="V733" s="552"/>
      <c r="W733" s="552"/>
      <c r="X733" s="552"/>
      <c r="Y733" s="552"/>
      <c r="Z733" s="552"/>
    </row>
    <row r="734">
      <c r="A734" s="559"/>
      <c r="B734" s="560"/>
      <c r="C734" s="561"/>
      <c r="D734" s="562"/>
      <c r="E734" s="552"/>
      <c r="F734" s="552"/>
      <c r="G734" s="552"/>
      <c r="H734" s="552"/>
      <c r="I734" s="552"/>
      <c r="J734" s="552"/>
      <c r="K734" s="552"/>
      <c r="L734" s="552"/>
      <c r="M734" s="552"/>
      <c r="N734" s="552"/>
      <c r="O734" s="552"/>
      <c r="P734" s="552"/>
      <c r="Q734" s="552"/>
      <c r="R734" s="552"/>
      <c r="S734" s="552"/>
      <c r="T734" s="552"/>
      <c r="U734" s="552"/>
      <c r="V734" s="552"/>
      <c r="W734" s="552"/>
      <c r="X734" s="552"/>
      <c r="Y734" s="552"/>
      <c r="Z734" s="552"/>
    </row>
    <row r="735">
      <c r="A735" s="559"/>
      <c r="B735" s="560"/>
      <c r="C735" s="561"/>
      <c r="D735" s="562"/>
      <c r="E735" s="552"/>
      <c r="F735" s="552"/>
      <c r="G735" s="552"/>
      <c r="H735" s="552"/>
      <c r="I735" s="552"/>
      <c r="J735" s="552"/>
      <c r="K735" s="552"/>
      <c r="L735" s="552"/>
      <c r="M735" s="552"/>
      <c r="N735" s="552"/>
      <c r="O735" s="552"/>
      <c r="P735" s="552"/>
      <c r="Q735" s="552"/>
      <c r="R735" s="552"/>
      <c r="S735" s="552"/>
      <c r="T735" s="552"/>
      <c r="U735" s="552"/>
      <c r="V735" s="552"/>
      <c r="W735" s="552"/>
      <c r="X735" s="552"/>
      <c r="Y735" s="552"/>
      <c r="Z735" s="552"/>
    </row>
    <row r="736">
      <c r="A736" s="559"/>
      <c r="B736" s="560"/>
      <c r="C736" s="561"/>
      <c r="D736" s="562"/>
      <c r="E736" s="552"/>
      <c r="F736" s="552"/>
      <c r="G736" s="552"/>
      <c r="H736" s="552"/>
      <c r="I736" s="552"/>
      <c r="J736" s="552"/>
      <c r="K736" s="552"/>
      <c r="L736" s="552"/>
      <c r="M736" s="552"/>
      <c r="N736" s="552"/>
      <c r="O736" s="552"/>
      <c r="P736" s="552"/>
      <c r="Q736" s="552"/>
      <c r="R736" s="552"/>
      <c r="S736" s="552"/>
      <c r="T736" s="552"/>
      <c r="U736" s="552"/>
      <c r="V736" s="552"/>
      <c r="W736" s="552"/>
      <c r="X736" s="552"/>
      <c r="Y736" s="552"/>
      <c r="Z736" s="552"/>
    </row>
    <row r="737">
      <c r="A737" s="559"/>
      <c r="B737" s="560"/>
      <c r="C737" s="561"/>
      <c r="D737" s="562"/>
      <c r="E737" s="552"/>
      <c r="F737" s="552"/>
      <c r="G737" s="552"/>
      <c r="H737" s="552"/>
      <c r="I737" s="552"/>
      <c r="J737" s="552"/>
      <c r="K737" s="552"/>
      <c r="L737" s="552"/>
      <c r="M737" s="552"/>
      <c r="N737" s="552"/>
      <c r="O737" s="552"/>
      <c r="P737" s="552"/>
      <c r="Q737" s="552"/>
      <c r="R737" s="552"/>
      <c r="S737" s="552"/>
      <c r="T737" s="552"/>
      <c r="U737" s="552"/>
      <c r="V737" s="552"/>
      <c r="W737" s="552"/>
      <c r="X737" s="552"/>
      <c r="Y737" s="552"/>
      <c r="Z737" s="552"/>
    </row>
    <row r="738">
      <c r="A738" s="559"/>
      <c r="B738" s="560"/>
      <c r="C738" s="561"/>
      <c r="D738" s="562"/>
      <c r="E738" s="552"/>
      <c r="F738" s="552"/>
      <c r="G738" s="552"/>
      <c r="H738" s="552"/>
      <c r="I738" s="552"/>
      <c r="J738" s="552"/>
      <c r="K738" s="552"/>
      <c r="L738" s="552"/>
      <c r="M738" s="552"/>
      <c r="N738" s="552"/>
      <c r="O738" s="552"/>
      <c r="P738" s="552"/>
      <c r="Q738" s="552"/>
      <c r="R738" s="552"/>
      <c r="S738" s="552"/>
      <c r="T738" s="552"/>
      <c r="U738" s="552"/>
      <c r="V738" s="552"/>
      <c r="W738" s="552"/>
      <c r="X738" s="552"/>
      <c r="Y738" s="552"/>
      <c r="Z738" s="552"/>
    </row>
    <row r="739">
      <c r="A739" s="559"/>
      <c r="B739" s="560"/>
      <c r="C739" s="561"/>
      <c r="D739" s="562"/>
      <c r="E739" s="552"/>
      <c r="F739" s="552"/>
      <c r="G739" s="552"/>
      <c r="H739" s="552"/>
      <c r="I739" s="552"/>
      <c r="J739" s="552"/>
      <c r="K739" s="552"/>
      <c r="L739" s="552"/>
      <c r="M739" s="552"/>
      <c r="N739" s="552"/>
      <c r="O739" s="552"/>
      <c r="P739" s="552"/>
      <c r="Q739" s="552"/>
      <c r="R739" s="552"/>
      <c r="S739" s="552"/>
      <c r="T739" s="552"/>
      <c r="U739" s="552"/>
      <c r="V739" s="552"/>
      <c r="W739" s="552"/>
      <c r="X739" s="552"/>
      <c r="Y739" s="552"/>
      <c r="Z739" s="552"/>
    </row>
    <row r="740">
      <c r="A740" s="559"/>
      <c r="B740" s="560"/>
      <c r="C740" s="561"/>
      <c r="D740" s="562"/>
      <c r="E740" s="552"/>
      <c r="F740" s="552"/>
      <c r="G740" s="552"/>
      <c r="H740" s="552"/>
      <c r="I740" s="552"/>
      <c r="J740" s="552"/>
      <c r="K740" s="552"/>
      <c r="L740" s="552"/>
      <c r="M740" s="552"/>
      <c r="N740" s="552"/>
      <c r="O740" s="552"/>
      <c r="P740" s="552"/>
      <c r="Q740" s="552"/>
      <c r="R740" s="552"/>
      <c r="S740" s="552"/>
      <c r="T740" s="552"/>
      <c r="U740" s="552"/>
      <c r="V740" s="552"/>
      <c r="W740" s="552"/>
      <c r="X740" s="552"/>
      <c r="Y740" s="552"/>
      <c r="Z740" s="552"/>
    </row>
    <row r="741">
      <c r="A741" s="559"/>
      <c r="B741" s="560"/>
      <c r="C741" s="561"/>
      <c r="D741" s="562"/>
      <c r="E741" s="552"/>
      <c r="F741" s="552"/>
      <c r="G741" s="552"/>
      <c r="H741" s="552"/>
      <c r="I741" s="552"/>
      <c r="J741" s="552"/>
      <c r="K741" s="552"/>
      <c r="L741" s="552"/>
      <c r="M741" s="552"/>
      <c r="N741" s="552"/>
      <c r="O741" s="552"/>
      <c r="P741" s="552"/>
      <c r="Q741" s="552"/>
      <c r="R741" s="552"/>
      <c r="S741" s="552"/>
      <c r="T741" s="552"/>
      <c r="U741" s="552"/>
      <c r="V741" s="552"/>
      <c r="W741" s="552"/>
      <c r="X741" s="552"/>
      <c r="Y741" s="552"/>
      <c r="Z741" s="552"/>
    </row>
    <row r="742">
      <c r="A742" s="559"/>
      <c r="B742" s="560"/>
      <c r="C742" s="561"/>
      <c r="D742" s="562"/>
      <c r="E742" s="552"/>
      <c r="F742" s="552"/>
      <c r="G742" s="552"/>
      <c r="H742" s="552"/>
      <c r="I742" s="552"/>
      <c r="J742" s="552"/>
      <c r="K742" s="552"/>
      <c r="L742" s="552"/>
      <c r="M742" s="552"/>
      <c r="N742" s="552"/>
      <c r="O742" s="552"/>
      <c r="P742" s="552"/>
      <c r="Q742" s="552"/>
      <c r="R742" s="552"/>
      <c r="S742" s="552"/>
      <c r="T742" s="552"/>
      <c r="U742" s="552"/>
      <c r="V742" s="552"/>
      <c r="W742" s="552"/>
      <c r="X742" s="552"/>
      <c r="Y742" s="552"/>
      <c r="Z742" s="552"/>
    </row>
    <row r="743">
      <c r="A743" s="559"/>
      <c r="B743" s="560"/>
      <c r="C743" s="561"/>
      <c r="D743" s="562"/>
      <c r="E743" s="552"/>
      <c r="F743" s="552"/>
      <c r="G743" s="552"/>
      <c r="H743" s="552"/>
      <c r="I743" s="552"/>
      <c r="J743" s="552"/>
      <c r="K743" s="552"/>
      <c r="L743" s="552"/>
      <c r="M743" s="552"/>
      <c r="N743" s="552"/>
      <c r="O743" s="552"/>
      <c r="P743" s="552"/>
      <c r="Q743" s="552"/>
      <c r="R743" s="552"/>
      <c r="S743" s="552"/>
      <c r="T743" s="552"/>
      <c r="U743" s="552"/>
      <c r="V743" s="552"/>
      <c r="W743" s="552"/>
      <c r="X743" s="552"/>
      <c r="Y743" s="552"/>
      <c r="Z743" s="552"/>
    </row>
    <row r="744">
      <c r="A744" s="559"/>
      <c r="B744" s="560"/>
      <c r="C744" s="561"/>
      <c r="D744" s="562"/>
      <c r="E744" s="552"/>
      <c r="F744" s="552"/>
      <c r="G744" s="552"/>
      <c r="H744" s="552"/>
      <c r="I744" s="552"/>
      <c r="J744" s="552"/>
      <c r="K744" s="552"/>
      <c r="L744" s="552"/>
      <c r="M744" s="552"/>
      <c r="N744" s="552"/>
      <c r="O744" s="552"/>
      <c r="P744" s="552"/>
      <c r="Q744" s="552"/>
      <c r="R744" s="552"/>
      <c r="S744" s="552"/>
      <c r="T744" s="552"/>
      <c r="U744" s="552"/>
      <c r="V744" s="552"/>
      <c r="W744" s="552"/>
      <c r="X744" s="552"/>
      <c r="Y744" s="552"/>
      <c r="Z744" s="552"/>
    </row>
    <row r="745">
      <c r="A745" s="559"/>
      <c r="B745" s="560"/>
      <c r="C745" s="561"/>
      <c r="D745" s="562"/>
      <c r="E745" s="552"/>
      <c r="F745" s="552"/>
      <c r="G745" s="552"/>
      <c r="H745" s="552"/>
      <c r="I745" s="552"/>
      <c r="J745" s="552"/>
      <c r="K745" s="552"/>
      <c r="L745" s="552"/>
      <c r="M745" s="552"/>
      <c r="N745" s="552"/>
      <c r="O745" s="552"/>
      <c r="P745" s="552"/>
      <c r="Q745" s="552"/>
      <c r="R745" s="552"/>
      <c r="S745" s="552"/>
      <c r="T745" s="552"/>
      <c r="U745" s="552"/>
      <c r="V745" s="552"/>
      <c r="W745" s="552"/>
      <c r="X745" s="552"/>
      <c r="Y745" s="552"/>
      <c r="Z745" s="552"/>
    </row>
    <row r="746">
      <c r="A746" s="559"/>
      <c r="B746" s="560"/>
      <c r="C746" s="561"/>
      <c r="D746" s="562"/>
      <c r="E746" s="552"/>
      <c r="F746" s="552"/>
      <c r="G746" s="552"/>
      <c r="H746" s="552"/>
      <c r="I746" s="552"/>
      <c r="J746" s="552"/>
      <c r="K746" s="552"/>
      <c r="L746" s="552"/>
      <c r="M746" s="552"/>
      <c r="N746" s="552"/>
      <c r="O746" s="552"/>
      <c r="P746" s="552"/>
      <c r="Q746" s="552"/>
      <c r="R746" s="552"/>
      <c r="S746" s="552"/>
      <c r="T746" s="552"/>
      <c r="U746" s="552"/>
      <c r="V746" s="552"/>
      <c r="W746" s="552"/>
      <c r="X746" s="552"/>
      <c r="Y746" s="552"/>
      <c r="Z746" s="552"/>
    </row>
    <row r="747">
      <c r="A747" s="559"/>
      <c r="B747" s="560"/>
      <c r="C747" s="561"/>
      <c r="D747" s="562"/>
      <c r="E747" s="552"/>
      <c r="F747" s="552"/>
      <c r="G747" s="552"/>
      <c r="H747" s="552"/>
      <c r="I747" s="552"/>
      <c r="J747" s="552"/>
      <c r="K747" s="552"/>
      <c r="L747" s="552"/>
      <c r="M747" s="552"/>
      <c r="N747" s="552"/>
      <c r="O747" s="552"/>
      <c r="P747" s="552"/>
      <c r="Q747" s="552"/>
      <c r="R747" s="552"/>
      <c r="S747" s="552"/>
      <c r="T747" s="552"/>
      <c r="U747" s="552"/>
      <c r="V747" s="552"/>
      <c r="W747" s="552"/>
      <c r="X747" s="552"/>
      <c r="Y747" s="552"/>
      <c r="Z747" s="552"/>
    </row>
    <row r="748">
      <c r="A748" s="559"/>
      <c r="B748" s="560"/>
      <c r="C748" s="561"/>
      <c r="D748" s="562"/>
      <c r="E748" s="552"/>
      <c r="F748" s="552"/>
      <c r="G748" s="552"/>
      <c r="H748" s="552"/>
      <c r="I748" s="552"/>
      <c r="J748" s="552"/>
      <c r="K748" s="552"/>
      <c r="L748" s="552"/>
      <c r="M748" s="552"/>
      <c r="N748" s="552"/>
      <c r="O748" s="552"/>
      <c r="P748" s="552"/>
      <c r="Q748" s="552"/>
      <c r="R748" s="552"/>
      <c r="S748" s="552"/>
      <c r="T748" s="552"/>
      <c r="U748" s="552"/>
      <c r="V748" s="552"/>
      <c r="W748" s="552"/>
      <c r="X748" s="552"/>
      <c r="Y748" s="552"/>
      <c r="Z748" s="552"/>
    </row>
    <row r="749">
      <c r="A749" s="559"/>
      <c r="B749" s="560"/>
      <c r="C749" s="561"/>
      <c r="D749" s="562"/>
      <c r="E749" s="552"/>
      <c r="F749" s="552"/>
      <c r="G749" s="552"/>
      <c r="H749" s="552"/>
      <c r="I749" s="552"/>
      <c r="J749" s="552"/>
      <c r="K749" s="552"/>
      <c r="L749" s="552"/>
      <c r="M749" s="552"/>
      <c r="N749" s="552"/>
      <c r="O749" s="552"/>
      <c r="P749" s="552"/>
      <c r="Q749" s="552"/>
      <c r="R749" s="552"/>
      <c r="S749" s="552"/>
      <c r="T749" s="552"/>
      <c r="U749" s="552"/>
      <c r="V749" s="552"/>
      <c r="W749" s="552"/>
      <c r="X749" s="552"/>
      <c r="Y749" s="552"/>
      <c r="Z749" s="552"/>
    </row>
    <row r="750">
      <c r="A750" s="559"/>
      <c r="B750" s="560"/>
      <c r="C750" s="561"/>
      <c r="D750" s="562"/>
      <c r="E750" s="552"/>
      <c r="F750" s="552"/>
      <c r="G750" s="552"/>
      <c r="H750" s="552"/>
      <c r="I750" s="552"/>
      <c r="J750" s="552"/>
      <c r="K750" s="552"/>
      <c r="L750" s="552"/>
      <c r="M750" s="552"/>
      <c r="N750" s="552"/>
      <c r="O750" s="552"/>
      <c r="P750" s="552"/>
      <c r="Q750" s="552"/>
      <c r="R750" s="552"/>
      <c r="S750" s="552"/>
      <c r="T750" s="552"/>
      <c r="U750" s="552"/>
      <c r="V750" s="552"/>
      <c r="W750" s="552"/>
      <c r="X750" s="552"/>
      <c r="Y750" s="552"/>
      <c r="Z750" s="552"/>
    </row>
    <row r="751">
      <c r="A751" s="559"/>
      <c r="B751" s="560"/>
      <c r="C751" s="561"/>
      <c r="D751" s="562"/>
      <c r="E751" s="552"/>
      <c r="F751" s="552"/>
      <c r="G751" s="552"/>
      <c r="H751" s="552"/>
      <c r="I751" s="552"/>
      <c r="J751" s="552"/>
      <c r="K751" s="552"/>
      <c r="L751" s="552"/>
      <c r="M751" s="552"/>
      <c r="N751" s="552"/>
      <c r="O751" s="552"/>
      <c r="P751" s="552"/>
      <c r="Q751" s="552"/>
      <c r="R751" s="552"/>
      <c r="S751" s="552"/>
      <c r="T751" s="552"/>
      <c r="U751" s="552"/>
      <c r="V751" s="552"/>
      <c r="W751" s="552"/>
      <c r="X751" s="552"/>
      <c r="Y751" s="552"/>
      <c r="Z751" s="552"/>
    </row>
    <row r="752">
      <c r="A752" s="559"/>
      <c r="B752" s="560"/>
      <c r="C752" s="561"/>
      <c r="D752" s="562"/>
      <c r="E752" s="552"/>
      <c r="F752" s="552"/>
      <c r="G752" s="552"/>
      <c r="H752" s="552"/>
      <c r="I752" s="552"/>
      <c r="J752" s="552"/>
      <c r="K752" s="552"/>
      <c r="L752" s="552"/>
      <c r="M752" s="552"/>
      <c r="N752" s="552"/>
      <c r="O752" s="552"/>
      <c r="P752" s="552"/>
      <c r="Q752" s="552"/>
      <c r="R752" s="552"/>
      <c r="S752" s="552"/>
      <c r="T752" s="552"/>
      <c r="U752" s="552"/>
      <c r="V752" s="552"/>
      <c r="W752" s="552"/>
      <c r="X752" s="552"/>
      <c r="Y752" s="552"/>
      <c r="Z752" s="552"/>
    </row>
    <row r="753">
      <c r="A753" s="559"/>
      <c r="B753" s="560"/>
      <c r="C753" s="561"/>
      <c r="D753" s="562"/>
      <c r="E753" s="552"/>
      <c r="F753" s="552"/>
      <c r="G753" s="552"/>
      <c r="H753" s="552"/>
      <c r="I753" s="552"/>
      <c r="J753" s="552"/>
      <c r="K753" s="552"/>
      <c r="L753" s="552"/>
      <c r="M753" s="552"/>
      <c r="N753" s="552"/>
      <c r="O753" s="552"/>
      <c r="P753" s="552"/>
      <c r="Q753" s="552"/>
      <c r="R753" s="552"/>
      <c r="S753" s="552"/>
      <c r="T753" s="552"/>
      <c r="U753" s="552"/>
      <c r="V753" s="552"/>
      <c r="W753" s="552"/>
      <c r="X753" s="552"/>
      <c r="Y753" s="552"/>
      <c r="Z753" s="552"/>
    </row>
    <row r="754">
      <c r="A754" s="559"/>
      <c r="B754" s="560"/>
      <c r="C754" s="561"/>
      <c r="D754" s="562"/>
      <c r="E754" s="552"/>
      <c r="F754" s="552"/>
      <c r="G754" s="552"/>
      <c r="H754" s="552"/>
      <c r="I754" s="552"/>
      <c r="J754" s="552"/>
      <c r="K754" s="552"/>
      <c r="L754" s="552"/>
      <c r="M754" s="552"/>
      <c r="N754" s="552"/>
      <c r="O754" s="552"/>
      <c r="P754" s="552"/>
      <c r="Q754" s="552"/>
      <c r="R754" s="552"/>
      <c r="S754" s="552"/>
      <c r="T754" s="552"/>
      <c r="U754" s="552"/>
      <c r="V754" s="552"/>
      <c r="W754" s="552"/>
      <c r="X754" s="552"/>
      <c r="Y754" s="552"/>
      <c r="Z754" s="552"/>
    </row>
    <row r="755">
      <c r="A755" s="559"/>
      <c r="B755" s="560"/>
      <c r="C755" s="561"/>
      <c r="D755" s="562"/>
      <c r="E755" s="552"/>
      <c r="F755" s="552"/>
      <c r="G755" s="552"/>
      <c r="H755" s="552"/>
      <c r="I755" s="552"/>
      <c r="J755" s="552"/>
      <c r="K755" s="552"/>
      <c r="L755" s="552"/>
      <c r="M755" s="552"/>
      <c r="N755" s="552"/>
      <c r="O755" s="552"/>
      <c r="P755" s="552"/>
      <c r="Q755" s="552"/>
      <c r="R755" s="552"/>
      <c r="S755" s="552"/>
      <c r="T755" s="552"/>
      <c r="U755" s="552"/>
      <c r="V755" s="552"/>
      <c r="W755" s="552"/>
      <c r="X755" s="552"/>
      <c r="Y755" s="552"/>
      <c r="Z755" s="552"/>
    </row>
    <row r="756">
      <c r="A756" s="559"/>
      <c r="B756" s="560"/>
      <c r="C756" s="561"/>
      <c r="D756" s="562"/>
      <c r="E756" s="552"/>
      <c r="F756" s="552"/>
      <c r="G756" s="552"/>
      <c r="H756" s="552"/>
      <c r="I756" s="552"/>
      <c r="J756" s="552"/>
      <c r="K756" s="552"/>
      <c r="L756" s="552"/>
      <c r="M756" s="552"/>
      <c r="N756" s="552"/>
      <c r="O756" s="552"/>
      <c r="P756" s="552"/>
      <c r="Q756" s="552"/>
      <c r="R756" s="552"/>
      <c r="S756" s="552"/>
      <c r="T756" s="552"/>
      <c r="U756" s="552"/>
      <c r="V756" s="552"/>
      <c r="W756" s="552"/>
      <c r="X756" s="552"/>
      <c r="Y756" s="552"/>
      <c r="Z756" s="552"/>
    </row>
    <row r="757">
      <c r="A757" s="559"/>
      <c r="B757" s="560"/>
      <c r="C757" s="561"/>
      <c r="D757" s="562"/>
      <c r="E757" s="552"/>
      <c r="F757" s="552"/>
      <c r="G757" s="552"/>
      <c r="H757" s="552"/>
      <c r="I757" s="552"/>
      <c r="J757" s="552"/>
      <c r="K757" s="552"/>
      <c r="L757" s="552"/>
      <c r="M757" s="552"/>
      <c r="N757" s="552"/>
      <c r="O757" s="552"/>
      <c r="P757" s="552"/>
      <c r="Q757" s="552"/>
      <c r="R757" s="552"/>
      <c r="S757" s="552"/>
      <c r="T757" s="552"/>
      <c r="U757" s="552"/>
      <c r="V757" s="552"/>
      <c r="W757" s="552"/>
      <c r="X757" s="552"/>
      <c r="Y757" s="552"/>
      <c r="Z757" s="552"/>
    </row>
    <row r="758">
      <c r="A758" s="559"/>
      <c r="B758" s="560"/>
      <c r="C758" s="561"/>
      <c r="D758" s="562"/>
      <c r="E758" s="552"/>
      <c r="F758" s="552"/>
      <c r="G758" s="552"/>
      <c r="H758" s="552"/>
      <c r="I758" s="552"/>
      <c r="J758" s="552"/>
      <c r="K758" s="552"/>
      <c r="L758" s="552"/>
      <c r="M758" s="552"/>
      <c r="N758" s="552"/>
      <c r="O758" s="552"/>
      <c r="P758" s="552"/>
      <c r="Q758" s="552"/>
      <c r="R758" s="552"/>
      <c r="S758" s="552"/>
      <c r="T758" s="552"/>
      <c r="U758" s="552"/>
      <c r="V758" s="552"/>
      <c r="W758" s="552"/>
      <c r="X758" s="552"/>
      <c r="Y758" s="552"/>
      <c r="Z758" s="552"/>
    </row>
    <row r="759">
      <c r="A759" s="559"/>
      <c r="B759" s="560"/>
      <c r="C759" s="561"/>
      <c r="D759" s="562"/>
      <c r="E759" s="552"/>
      <c r="F759" s="552"/>
      <c r="G759" s="552"/>
      <c r="H759" s="552"/>
      <c r="I759" s="552"/>
      <c r="J759" s="552"/>
      <c r="K759" s="552"/>
      <c r="L759" s="552"/>
      <c r="M759" s="552"/>
      <c r="N759" s="552"/>
      <c r="O759" s="552"/>
      <c r="P759" s="552"/>
      <c r="Q759" s="552"/>
      <c r="R759" s="552"/>
      <c r="S759" s="552"/>
      <c r="T759" s="552"/>
      <c r="U759" s="552"/>
      <c r="V759" s="552"/>
      <c r="W759" s="552"/>
      <c r="X759" s="552"/>
      <c r="Y759" s="552"/>
      <c r="Z759" s="552"/>
    </row>
    <row r="760">
      <c r="A760" s="559"/>
      <c r="B760" s="560"/>
      <c r="C760" s="561"/>
      <c r="D760" s="562"/>
      <c r="E760" s="552"/>
      <c r="F760" s="552"/>
      <c r="G760" s="552"/>
      <c r="H760" s="552"/>
      <c r="I760" s="552"/>
      <c r="J760" s="552"/>
      <c r="K760" s="552"/>
      <c r="L760" s="552"/>
      <c r="M760" s="552"/>
      <c r="N760" s="552"/>
      <c r="O760" s="552"/>
      <c r="P760" s="552"/>
      <c r="Q760" s="552"/>
      <c r="R760" s="552"/>
      <c r="S760" s="552"/>
      <c r="T760" s="552"/>
      <c r="U760" s="552"/>
      <c r="V760" s="552"/>
      <c r="W760" s="552"/>
      <c r="X760" s="552"/>
      <c r="Y760" s="552"/>
      <c r="Z760" s="552"/>
    </row>
    <row r="761">
      <c r="A761" s="559"/>
      <c r="B761" s="560"/>
      <c r="C761" s="561"/>
      <c r="D761" s="562"/>
      <c r="E761" s="552"/>
      <c r="F761" s="552"/>
      <c r="G761" s="552"/>
      <c r="H761" s="552"/>
      <c r="I761" s="552"/>
      <c r="J761" s="552"/>
      <c r="K761" s="552"/>
      <c r="L761" s="552"/>
      <c r="M761" s="552"/>
      <c r="N761" s="552"/>
      <c r="O761" s="552"/>
      <c r="P761" s="552"/>
      <c r="Q761" s="552"/>
      <c r="R761" s="552"/>
      <c r="S761" s="552"/>
      <c r="T761" s="552"/>
      <c r="U761" s="552"/>
      <c r="V761" s="552"/>
      <c r="W761" s="552"/>
      <c r="X761" s="552"/>
      <c r="Y761" s="552"/>
      <c r="Z761" s="552"/>
    </row>
    <row r="762">
      <c r="A762" s="559"/>
      <c r="B762" s="560"/>
      <c r="C762" s="561"/>
      <c r="D762" s="562"/>
      <c r="E762" s="552"/>
      <c r="F762" s="552"/>
      <c r="G762" s="552"/>
      <c r="H762" s="552"/>
      <c r="I762" s="552"/>
      <c r="J762" s="552"/>
      <c r="K762" s="552"/>
      <c r="L762" s="552"/>
      <c r="M762" s="552"/>
      <c r="N762" s="552"/>
      <c r="O762" s="552"/>
      <c r="P762" s="552"/>
      <c r="Q762" s="552"/>
      <c r="R762" s="552"/>
      <c r="S762" s="552"/>
      <c r="T762" s="552"/>
      <c r="U762" s="552"/>
      <c r="V762" s="552"/>
      <c r="W762" s="552"/>
      <c r="X762" s="552"/>
      <c r="Y762" s="552"/>
      <c r="Z762" s="552"/>
    </row>
    <row r="763">
      <c r="A763" s="559"/>
      <c r="B763" s="560"/>
      <c r="C763" s="561"/>
      <c r="D763" s="562"/>
      <c r="E763" s="552"/>
      <c r="F763" s="552"/>
      <c r="G763" s="552"/>
      <c r="H763" s="552"/>
      <c r="I763" s="552"/>
      <c r="J763" s="552"/>
      <c r="K763" s="552"/>
      <c r="L763" s="552"/>
      <c r="M763" s="552"/>
      <c r="N763" s="552"/>
      <c r="O763" s="552"/>
      <c r="P763" s="552"/>
      <c r="Q763" s="552"/>
      <c r="R763" s="552"/>
      <c r="S763" s="552"/>
      <c r="T763" s="552"/>
      <c r="U763" s="552"/>
      <c r="V763" s="552"/>
      <c r="W763" s="552"/>
      <c r="X763" s="552"/>
      <c r="Y763" s="552"/>
      <c r="Z763" s="552"/>
    </row>
    <row r="764">
      <c r="A764" s="559"/>
      <c r="B764" s="560"/>
      <c r="C764" s="561"/>
      <c r="D764" s="562"/>
      <c r="E764" s="552"/>
      <c r="F764" s="552"/>
      <c r="G764" s="552"/>
      <c r="H764" s="552"/>
      <c r="I764" s="552"/>
      <c r="J764" s="552"/>
      <c r="K764" s="552"/>
      <c r="L764" s="552"/>
      <c r="M764" s="552"/>
      <c r="N764" s="552"/>
      <c r="O764" s="552"/>
      <c r="P764" s="552"/>
      <c r="Q764" s="552"/>
      <c r="R764" s="552"/>
      <c r="S764" s="552"/>
      <c r="T764" s="552"/>
      <c r="U764" s="552"/>
      <c r="V764" s="552"/>
      <c r="W764" s="552"/>
      <c r="X764" s="552"/>
      <c r="Y764" s="552"/>
      <c r="Z764" s="552"/>
    </row>
    <row r="765">
      <c r="A765" s="559"/>
      <c r="B765" s="560"/>
      <c r="C765" s="561"/>
      <c r="D765" s="562"/>
      <c r="E765" s="552"/>
      <c r="F765" s="552"/>
      <c r="G765" s="552"/>
      <c r="H765" s="552"/>
      <c r="I765" s="552"/>
      <c r="J765" s="552"/>
      <c r="K765" s="552"/>
      <c r="L765" s="552"/>
      <c r="M765" s="552"/>
      <c r="N765" s="552"/>
      <c r="O765" s="552"/>
      <c r="P765" s="552"/>
      <c r="Q765" s="552"/>
      <c r="R765" s="552"/>
      <c r="S765" s="552"/>
      <c r="T765" s="552"/>
      <c r="U765" s="552"/>
      <c r="V765" s="552"/>
      <c r="W765" s="552"/>
      <c r="X765" s="552"/>
      <c r="Y765" s="552"/>
      <c r="Z765" s="552"/>
    </row>
    <row r="766">
      <c r="A766" s="559"/>
      <c r="B766" s="560"/>
      <c r="C766" s="561"/>
      <c r="D766" s="562"/>
      <c r="E766" s="552"/>
      <c r="F766" s="552"/>
      <c r="G766" s="552"/>
      <c r="H766" s="552"/>
      <c r="I766" s="552"/>
      <c r="J766" s="552"/>
      <c r="K766" s="552"/>
      <c r="L766" s="552"/>
      <c r="M766" s="552"/>
      <c r="N766" s="552"/>
      <c r="O766" s="552"/>
      <c r="P766" s="552"/>
      <c r="Q766" s="552"/>
      <c r="R766" s="552"/>
      <c r="S766" s="552"/>
      <c r="T766" s="552"/>
      <c r="U766" s="552"/>
      <c r="V766" s="552"/>
      <c r="W766" s="552"/>
      <c r="X766" s="552"/>
      <c r="Y766" s="552"/>
      <c r="Z766" s="552"/>
    </row>
    <row r="767">
      <c r="A767" s="559"/>
      <c r="B767" s="560"/>
      <c r="C767" s="561"/>
      <c r="D767" s="562"/>
      <c r="E767" s="552"/>
      <c r="F767" s="552"/>
      <c r="G767" s="552"/>
      <c r="H767" s="552"/>
      <c r="I767" s="552"/>
      <c r="J767" s="552"/>
      <c r="K767" s="552"/>
      <c r="L767" s="552"/>
      <c r="M767" s="552"/>
      <c r="N767" s="552"/>
      <c r="O767" s="552"/>
      <c r="P767" s="552"/>
      <c r="Q767" s="552"/>
      <c r="R767" s="552"/>
      <c r="S767" s="552"/>
      <c r="T767" s="552"/>
      <c r="U767" s="552"/>
      <c r="V767" s="552"/>
      <c r="W767" s="552"/>
      <c r="X767" s="552"/>
      <c r="Y767" s="552"/>
      <c r="Z767" s="552"/>
    </row>
    <row r="768">
      <c r="A768" s="559"/>
      <c r="B768" s="560"/>
      <c r="C768" s="561"/>
      <c r="D768" s="562"/>
      <c r="E768" s="552"/>
      <c r="F768" s="552"/>
      <c r="G768" s="552"/>
      <c r="H768" s="552"/>
      <c r="I768" s="552"/>
      <c r="J768" s="552"/>
      <c r="K768" s="552"/>
      <c r="L768" s="552"/>
      <c r="M768" s="552"/>
      <c r="N768" s="552"/>
      <c r="O768" s="552"/>
      <c r="P768" s="552"/>
      <c r="Q768" s="552"/>
      <c r="R768" s="552"/>
      <c r="S768" s="552"/>
      <c r="T768" s="552"/>
      <c r="U768" s="552"/>
      <c r="V768" s="552"/>
      <c r="W768" s="552"/>
      <c r="X768" s="552"/>
      <c r="Y768" s="552"/>
      <c r="Z768" s="552"/>
    </row>
    <row r="769">
      <c r="A769" s="559"/>
      <c r="B769" s="560"/>
      <c r="C769" s="561"/>
      <c r="D769" s="562"/>
      <c r="E769" s="552"/>
      <c r="F769" s="552"/>
      <c r="G769" s="552"/>
      <c r="H769" s="552"/>
      <c r="I769" s="552"/>
      <c r="J769" s="552"/>
      <c r="K769" s="552"/>
      <c r="L769" s="552"/>
      <c r="M769" s="552"/>
      <c r="N769" s="552"/>
      <c r="O769" s="552"/>
      <c r="P769" s="552"/>
      <c r="Q769" s="552"/>
      <c r="R769" s="552"/>
      <c r="S769" s="552"/>
      <c r="T769" s="552"/>
      <c r="U769" s="552"/>
      <c r="V769" s="552"/>
      <c r="W769" s="552"/>
      <c r="X769" s="552"/>
      <c r="Y769" s="552"/>
      <c r="Z769" s="552"/>
    </row>
    <row r="770">
      <c r="A770" s="559"/>
      <c r="B770" s="560"/>
      <c r="C770" s="561"/>
      <c r="D770" s="562"/>
      <c r="E770" s="552"/>
      <c r="F770" s="552"/>
      <c r="G770" s="552"/>
      <c r="H770" s="552"/>
      <c r="I770" s="552"/>
      <c r="J770" s="552"/>
      <c r="K770" s="552"/>
      <c r="L770" s="552"/>
      <c r="M770" s="552"/>
      <c r="N770" s="552"/>
      <c r="O770" s="552"/>
      <c r="P770" s="552"/>
      <c r="Q770" s="552"/>
      <c r="R770" s="552"/>
      <c r="S770" s="552"/>
      <c r="T770" s="552"/>
      <c r="U770" s="552"/>
      <c r="V770" s="552"/>
      <c r="W770" s="552"/>
      <c r="X770" s="552"/>
      <c r="Y770" s="552"/>
      <c r="Z770" s="552"/>
    </row>
    <row r="771">
      <c r="A771" s="559"/>
      <c r="B771" s="560"/>
      <c r="C771" s="561"/>
      <c r="D771" s="562"/>
      <c r="E771" s="552"/>
      <c r="F771" s="552"/>
      <c r="G771" s="552"/>
      <c r="H771" s="552"/>
      <c r="I771" s="552"/>
      <c r="J771" s="552"/>
      <c r="K771" s="552"/>
      <c r="L771" s="552"/>
      <c r="M771" s="552"/>
      <c r="N771" s="552"/>
      <c r="O771" s="552"/>
      <c r="P771" s="552"/>
      <c r="Q771" s="552"/>
      <c r="R771" s="552"/>
      <c r="S771" s="552"/>
      <c r="T771" s="552"/>
      <c r="U771" s="552"/>
      <c r="V771" s="552"/>
      <c r="W771" s="552"/>
      <c r="X771" s="552"/>
      <c r="Y771" s="552"/>
      <c r="Z771" s="552"/>
    </row>
    <row r="772">
      <c r="A772" s="559"/>
      <c r="B772" s="560"/>
      <c r="C772" s="561"/>
      <c r="D772" s="562"/>
      <c r="E772" s="552"/>
      <c r="F772" s="552"/>
      <c r="G772" s="552"/>
      <c r="H772" s="552"/>
      <c r="I772" s="552"/>
      <c r="J772" s="552"/>
      <c r="K772" s="552"/>
      <c r="L772" s="552"/>
      <c r="M772" s="552"/>
      <c r="N772" s="552"/>
      <c r="O772" s="552"/>
      <c r="P772" s="552"/>
      <c r="Q772" s="552"/>
      <c r="R772" s="552"/>
      <c r="S772" s="552"/>
      <c r="T772" s="552"/>
      <c r="U772" s="552"/>
      <c r="V772" s="552"/>
      <c r="W772" s="552"/>
      <c r="X772" s="552"/>
      <c r="Y772" s="552"/>
      <c r="Z772" s="552"/>
    </row>
    <row r="773">
      <c r="A773" s="559"/>
      <c r="B773" s="560"/>
      <c r="C773" s="561"/>
      <c r="D773" s="562"/>
      <c r="E773" s="552"/>
      <c r="F773" s="552"/>
      <c r="G773" s="552"/>
      <c r="H773" s="552"/>
      <c r="I773" s="552"/>
      <c r="J773" s="552"/>
      <c r="K773" s="552"/>
      <c r="L773" s="552"/>
      <c r="M773" s="552"/>
      <c r="N773" s="552"/>
      <c r="O773" s="552"/>
      <c r="P773" s="552"/>
      <c r="Q773" s="552"/>
      <c r="R773" s="552"/>
      <c r="S773" s="552"/>
      <c r="T773" s="552"/>
      <c r="U773" s="552"/>
      <c r="V773" s="552"/>
      <c r="W773" s="552"/>
      <c r="X773" s="552"/>
      <c r="Y773" s="552"/>
      <c r="Z773" s="552"/>
    </row>
    <row r="774">
      <c r="A774" s="559"/>
      <c r="B774" s="560"/>
      <c r="C774" s="561"/>
      <c r="D774" s="562"/>
      <c r="E774" s="552"/>
      <c r="F774" s="552"/>
      <c r="G774" s="552"/>
      <c r="H774" s="552"/>
      <c r="I774" s="552"/>
      <c r="J774" s="552"/>
      <c r="K774" s="552"/>
      <c r="L774" s="552"/>
      <c r="M774" s="552"/>
      <c r="N774" s="552"/>
      <c r="O774" s="552"/>
      <c r="P774" s="552"/>
      <c r="Q774" s="552"/>
      <c r="R774" s="552"/>
      <c r="S774" s="552"/>
      <c r="T774" s="552"/>
      <c r="U774" s="552"/>
      <c r="V774" s="552"/>
      <c r="W774" s="552"/>
      <c r="X774" s="552"/>
      <c r="Y774" s="552"/>
      <c r="Z774" s="552"/>
    </row>
    <row r="775">
      <c r="A775" s="559"/>
      <c r="B775" s="560"/>
      <c r="C775" s="561"/>
      <c r="D775" s="562"/>
      <c r="E775" s="552"/>
      <c r="F775" s="552"/>
      <c r="G775" s="552"/>
      <c r="H775" s="552"/>
      <c r="I775" s="552"/>
      <c r="J775" s="552"/>
      <c r="K775" s="552"/>
      <c r="L775" s="552"/>
      <c r="M775" s="552"/>
      <c r="N775" s="552"/>
      <c r="O775" s="552"/>
      <c r="P775" s="552"/>
      <c r="Q775" s="552"/>
      <c r="R775" s="552"/>
      <c r="S775" s="552"/>
      <c r="T775" s="552"/>
      <c r="U775" s="552"/>
      <c r="V775" s="552"/>
      <c r="W775" s="552"/>
      <c r="X775" s="552"/>
      <c r="Y775" s="552"/>
      <c r="Z775" s="552"/>
    </row>
    <row r="776">
      <c r="A776" s="559"/>
      <c r="B776" s="560"/>
      <c r="C776" s="561"/>
      <c r="D776" s="562"/>
      <c r="E776" s="552"/>
      <c r="F776" s="552"/>
      <c r="G776" s="552"/>
      <c r="H776" s="552"/>
      <c r="I776" s="552"/>
      <c r="J776" s="552"/>
      <c r="K776" s="552"/>
      <c r="L776" s="552"/>
      <c r="M776" s="552"/>
      <c r="N776" s="552"/>
      <c r="O776" s="552"/>
      <c r="P776" s="552"/>
      <c r="Q776" s="552"/>
      <c r="R776" s="552"/>
      <c r="S776" s="552"/>
      <c r="T776" s="552"/>
      <c r="U776" s="552"/>
      <c r="V776" s="552"/>
      <c r="W776" s="552"/>
      <c r="X776" s="552"/>
      <c r="Y776" s="552"/>
      <c r="Z776" s="552"/>
    </row>
    <row r="777">
      <c r="A777" s="559"/>
      <c r="B777" s="560"/>
      <c r="C777" s="561"/>
      <c r="D777" s="562"/>
      <c r="E777" s="552"/>
      <c r="F777" s="552"/>
      <c r="G777" s="552"/>
      <c r="H777" s="552"/>
      <c r="I777" s="552"/>
      <c r="J777" s="552"/>
      <c r="K777" s="552"/>
      <c r="L777" s="552"/>
      <c r="M777" s="552"/>
      <c r="N777" s="552"/>
      <c r="O777" s="552"/>
      <c r="P777" s="552"/>
      <c r="Q777" s="552"/>
      <c r="R777" s="552"/>
      <c r="S777" s="552"/>
      <c r="T777" s="552"/>
      <c r="U777" s="552"/>
      <c r="V777" s="552"/>
      <c r="W777" s="552"/>
      <c r="X777" s="552"/>
      <c r="Y777" s="552"/>
      <c r="Z777" s="552"/>
    </row>
    <row r="778">
      <c r="A778" s="559"/>
      <c r="B778" s="560"/>
      <c r="C778" s="561"/>
      <c r="D778" s="562"/>
      <c r="E778" s="552"/>
      <c r="F778" s="552"/>
      <c r="G778" s="552"/>
      <c r="H778" s="552"/>
      <c r="I778" s="552"/>
      <c r="J778" s="552"/>
      <c r="K778" s="552"/>
      <c r="L778" s="552"/>
      <c r="M778" s="552"/>
      <c r="N778" s="552"/>
      <c r="O778" s="552"/>
      <c r="P778" s="552"/>
      <c r="Q778" s="552"/>
      <c r="R778" s="552"/>
      <c r="S778" s="552"/>
      <c r="T778" s="552"/>
      <c r="U778" s="552"/>
      <c r="V778" s="552"/>
      <c r="W778" s="552"/>
      <c r="X778" s="552"/>
      <c r="Y778" s="552"/>
      <c r="Z778" s="552"/>
    </row>
    <row r="779">
      <c r="A779" s="559"/>
      <c r="B779" s="560"/>
      <c r="C779" s="561"/>
      <c r="D779" s="562"/>
      <c r="E779" s="552"/>
      <c r="F779" s="552"/>
      <c r="G779" s="552"/>
      <c r="H779" s="552"/>
      <c r="I779" s="552"/>
      <c r="J779" s="552"/>
      <c r="K779" s="552"/>
      <c r="L779" s="552"/>
      <c r="M779" s="552"/>
      <c r="N779" s="552"/>
      <c r="O779" s="552"/>
      <c r="P779" s="552"/>
      <c r="Q779" s="552"/>
      <c r="R779" s="552"/>
      <c r="S779" s="552"/>
      <c r="T779" s="552"/>
      <c r="U779" s="552"/>
      <c r="V779" s="552"/>
      <c r="W779" s="552"/>
      <c r="X779" s="552"/>
      <c r="Y779" s="552"/>
      <c r="Z779" s="552"/>
    </row>
    <row r="780">
      <c r="A780" s="559"/>
      <c r="B780" s="560"/>
      <c r="C780" s="561"/>
      <c r="D780" s="562"/>
      <c r="E780" s="552"/>
      <c r="F780" s="552"/>
      <c r="G780" s="552"/>
      <c r="H780" s="552"/>
      <c r="I780" s="552"/>
      <c r="J780" s="552"/>
      <c r="K780" s="552"/>
      <c r="L780" s="552"/>
      <c r="M780" s="552"/>
      <c r="N780" s="552"/>
      <c r="O780" s="552"/>
      <c r="P780" s="552"/>
      <c r="Q780" s="552"/>
      <c r="R780" s="552"/>
      <c r="S780" s="552"/>
      <c r="T780" s="552"/>
      <c r="U780" s="552"/>
      <c r="V780" s="552"/>
      <c r="W780" s="552"/>
      <c r="X780" s="552"/>
      <c r="Y780" s="552"/>
      <c r="Z780" s="552"/>
    </row>
    <row r="781">
      <c r="A781" s="559"/>
      <c r="B781" s="560"/>
      <c r="C781" s="561"/>
      <c r="D781" s="562"/>
      <c r="E781" s="552"/>
      <c r="F781" s="552"/>
      <c r="G781" s="552"/>
      <c r="H781" s="552"/>
      <c r="I781" s="552"/>
      <c r="J781" s="552"/>
      <c r="K781" s="552"/>
      <c r="L781" s="552"/>
      <c r="M781" s="552"/>
      <c r="N781" s="552"/>
      <c r="O781" s="552"/>
      <c r="P781" s="552"/>
      <c r="Q781" s="552"/>
      <c r="R781" s="552"/>
      <c r="S781" s="552"/>
      <c r="T781" s="552"/>
      <c r="U781" s="552"/>
      <c r="V781" s="552"/>
      <c r="W781" s="552"/>
      <c r="X781" s="552"/>
      <c r="Y781" s="552"/>
      <c r="Z781" s="552"/>
    </row>
    <row r="782">
      <c r="A782" s="559"/>
      <c r="B782" s="560"/>
      <c r="C782" s="561"/>
      <c r="D782" s="562"/>
      <c r="E782" s="552"/>
      <c r="F782" s="552"/>
      <c r="G782" s="552"/>
      <c r="H782" s="552"/>
      <c r="I782" s="552"/>
      <c r="J782" s="552"/>
      <c r="K782" s="552"/>
      <c r="L782" s="552"/>
      <c r="M782" s="552"/>
      <c r="N782" s="552"/>
      <c r="O782" s="552"/>
      <c r="P782" s="552"/>
      <c r="Q782" s="552"/>
      <c r="R782" s="552"/>
      <c r="S782" s="552"/>
      <c r="T782" s="552"/>
      <c r="U782" s="552"/>
      <c r="V782" s="552"/>
      <c r="W782" s="552"/>
      <c r="X782" s="552"/>
      <c r="Y782" s="552"/>
      <c r="Z782" s="552"/>
    </row>
    <row r="783">
      <c r="A783" s="559"/>
      <c r="B783" s="560"/>
      <c r="C783" s="561"/>
      <c r="D783" s="562"/>
      <c r="E783" s="552"/>
      <c r="F783" s="552"/>
      <c r="G783" s="552"/>
      <c r="H783" s="552"/>
      <c r="I783" s="552"/>
      <c r="J783" s="552"/>
      <c r="K783" s="552"/>
      <c r="L783" s="552"/>
      <c r="M783" s="552"/>
      <c r="N783" s="552"/>
      <c r="O783" s="552"/>
      <c r="P783" s="552"/>
      <c r="Q783" s="552"/>
      <c r="R783" s="552"/>
      <c r="S783" s="552"/>
      <c r="T783" s="552"/>
      <c r="U783" s="552"/>
      <c r="V783" s="552"/>
      <c r="W783" s="552"/>
      <c r="X783" s="552"/>
      <c r="Y783" s="552"/>
      <c r="Z783" s="552"/>
    </row>
    <row r="784">
      <c r="A784" s="559"/>
      <c r="B784" s="560"/>
      <c r="C784" s="561"/>
      <c r="D784" s="562"/>
      <c r="E784" s="552"/>
      <c r="F784" s="552"/>
      <c r="G784" s="552"/>
      <c r="H784" s="552"/>
      <c r="I784" s="552"/>
      <c r="J784" s="552"/>
      <c r="K784" s="552"/>
      <c r="L784" s="552"/>
      <c r="M784" s="552"/>
      <c r="N784" s="552"/>
      <c r="O784" s="552"/>
      <c r="P784" s="552"/>
      <c r="Q784" s="552"/>
      <c r="R784" s="552"/>
      <c r="S784" s="552"/>
      <c r="T784" s="552"/>
      <c r="U784" s="552"/>
      <c r="V784" s="552"/>
      <c r="W784" s="552"/>
      <c r="X784" s="552"/>
      <c r="Y784" s="552"/>
      <c r="Z784" s="552"/>
    </row>
    <row r="785">
      <c r="A785" s="559"/>
      <c r="B785" s="560"/>
      <c r="C785" s="561"/>
      <c r="D785" s="562"/>
      <c r="E785" s="552"/>
      <c r="F785" s="552"/>
      <c r="G785" s="552"/>
      <c r="H785" s="552"/>
      <c r="I785" s="552"/>
      <c r="J785" s="552"/>
      <c r="K785" s="552"/>
      <c r="L785" s="552"/>
      <c r="M785" s="552"/>
      <c r="N785" s="552"/>
      <c r="O785" s="552"/>
      <c r="P785" s="552"/>
      <c r="Q785" s="552"/>
      <c r="R785" s="552"/>
      <c r="S785" s="552"/>
      <c r="T785" s="552"/>
      <c r="U785" s="552"/>
      <c r="V785" s="552"/>
      <c r="W785" s="552"/>
      <c r="X785" s="552"/>
      <c r="Y785" s="552"/>
      <c r="Z785" s="552"/>
    </row>
    <row r="786">
      <c r="A786" s="559"/>
      <c r="B786" s="560"/>
      <c r="C786" s="561"/>
      <c r="D786" s="562"/>
      <c r="E786" s="552"/>
      <c r="F786" s="552"/>
      <c r="G786" s="552"/>
      <c r="H786" s="552"/>
      <c r="I786" s="552"/>
      <c r="J786" s="552"/>
      <c r="K786" s="552"/>
      <c r="L786" s="552"/>
      <c r="M786" s="552"/>
      <c r="N786" s="552"/>
      <c r="O786" s="552"/>
      <c r="P786" s="552"/>
      <c r="Q786" s="552"/>
      <c r="R786" s="552"/>
      <c r="S786" s="552"/>
      <c r="T786" s="552"/>
      <c r="U786" s="552"/>
      <c r="V786" s="552"/>
      <c r="W786" s="552"/>
      <c r="X786" s="552"/>
      <c r="Y786" s="552"/>
      <c r="Z786" s="552"/>
    </row>
    <row r="787">
      <c r="A787" s="559"/>
      <c r="B787" s="560"/>
      <c r="C787" s="561"/>
      <c r="D787" s="562"/>
      <c r="E787" s="552"/>
      <c r="F787" s="552"/>
      <c r="G787" s="552"/>
      <c r="H787" s="552"/>
      <c r="I787" s="552"/>
      <c r="J787" s="552"/>
      <c r="K787" s="552"/>
      <c r="L787" s="552"/>
      <c r="M787" s="552"/>
      <c r="N787" s="552"/>
      <c r="O787" s="552"/>
      <c r="P787" s="552"/>
      <c r="Q787" s="552"/>
      <c r="R787" s="552"/>
      <c r="S787" s="552"/>
      <c r="T787" s="552"/>
      <c r="U787" s="552"/>
      <c r="V787" s="552"/>
      <c r="W787" s="552"/>
      <c r="X787" s="552"/>
      <c r="Y787" s="552"/>
      <c r="Z787" s="552"/>
    </row>
    <row r="788">
      <c r="A788" s="559"/>
      <c r="B788" s="560"/>
      <c r="C788" s="561"/>
      <c r="D788" s="562"/>
      <c r="E788" s="552"/>
      <c r="F788" s="552"/>
      <c r="G788" s="552"/>
      <c r="H788" s="552"/>
      <c r="I788" s="552"/>
      <c r="J788" s="552"/>
      <c r="K788" s="552"/>
      <c r="L788" s="552"/>
      <c r="M788" s="552"/>
      <c r="N788" s="552"/>
      <c r="O788" s="552"/>
      <c r="P788" s="552"/>
      <c r="Q788" s="552"/>
      <c r="R788" s="552"/>
      <c r="S788" s="552"/>
      <c r="T788" s="552"/>
      <c r="U788" s="552"/>
      <c r="V788" s="552"/>
      <c r="W788" s="552"/>
      <c r="X788" s="552"/>
      <c r="Y788" s="552"/>
      <c r="Z788" s="552"/>
    </row>
    <row r="789">
      <c r="A789" s="559"/>
      <c r="B789" s="560"/>
      <c r="C789" s="561"/>
      <c r="D789" s="562"/>
      <c r="E789" s="552"/>
      <c r="F789" s="552"/>
      <c r="G789" s="552"/>
      <c r="H789" s="552"/>
      <c r="I789" s="552"/>
      <c r="J789" s="552"/>
      <c r="K789" s="552"/>
      <c r="L789" s="552"/>
      <c r="M789" s="552"/>
      <c r="N789" s="552"/>
      <c r="O789" s="552"/>
      <c r="P789" s="552"/>
      <c r="Q789" s="552"/>
      <c r="R789" s="552"/>
      <c r="S789" s="552"/>
      <c r="T789" s="552"/>
      <c r="U789" s="552"/>
      <c r="V789" s="552"/>
      <c r="W789" s="552"/>
      <c r="X789" s="552"/>
      <c r="Y789" s="552"/>
      <c r="Z789" s="552"/>
    </row>
    <row r="790">
      <c r="A790" s="559"/>
      <c r="B790" s="560"/>
      <c r="C790" s="561"/>
      <c r="D790" s="562"/>
      <c r="E790" s="552"/>
      <c r="F790" s="552"/>
      <c r="G790" s="552"/>
      <c r="H790" s="552"/>
      <c r="I790" s="552"/>
      <c r="J790" s="552"/>
      <c r="K790" s="552"/>
      <c r="L790" s="552"/>
      <c r="M790" s="552"/>
      <c r="N790" s="552"/>
      <c r="O790" s="552"/>
      <c r="P790" s="552"/>
      <c r="Q790" s="552"/>
      <c r="R790" s="552"/>
      <c r="S790" s="552"/>
      <c r="T790" s="552"/>
      <c r="U790" s="552"/>
      <c r="V790" s="552"/>
      <c r="W790" s="552"/>
      <c r="X790" s="552"/>
      <c r="Y790" s="552"/>
      <c r="Z790" s="552"/>
    </row>
    <row r="791">
      <c r="A791" s="559"/>
      <c r="B791" s="560"/>
      <c r="C791" s="561"/>
      <c r="D791" s="562"/>
      <c r="E791" s="552"/>
      <c r="F791" s="552"/>
      <c r="G791" s="552"/>
      <c r="H791" s="552"/>
      <c r="I791" s="552"/>
      <c r="J791" s="552"/>
      <c r="K791" s="552"/>
      <c r="L791" s="552"/>
      <c r="M791" s="552"/>
      <c r="N791" s="552"/>
      <c r="O791" s="552"/>
      <c r="P791" s="552"/>
      <c r="Q791" s="552"/>
      <c r="R791" s="552"/>
      <c r="S791" s="552"/>
      <c r="T791" s="552"/>
      <c r="U791" s="552"/>
      <c r="V791" s="552"/>
      <c r="W791" s="552"/>
      <c r="X791" s="552"/>
      <c r="Y791" s="552"/>
      <c r="Z791" s="552"/>
    </row>
    <row r="792">
      <c r="A792" s="559"/>
      <c r="B792" s="560"/>
      <c r="C792" s="561"/>
      <c r="D792" s="562"/>
      <c r="E792" s="552"/>
      <c r="F792" s="552"/>
      <c r="G792" s="552"/>
      <c r="H792" s="552"/>
      <c r="I792" s="552"/>
      <c r="J792" s="552"/>
      <c r="K792" s="552"/>
      <c r="L792" s="552"/>
      <c r="M792" s="552"/>
      <c r="N792" s="552"/>
      <c r="O792" s="552"/>
      <c r="P792" s="552"/>
      <c r="Q792" s="552"/>
      <c r="R792" s="552"/>
      <c r="S792" s="552"/>
      <c r="T792" s="552"/>
      <c r="U792" s="552"/>
      <c r="V792" s="552"/>
      <c r="W792" s="552"/>
      <c r="X792" s="552"/>
      <c r="Y792" s="552"/>
      <c r="Z792" s="552"/>
    </row>
    <row r="793">
      <c r="A793" s="559"/>
      <c r="B793" s="560"/>
      <c r="C793" s="561"/>
      <c r="D793" s="562"/>
      <c r="E793" s="552"/>
      <c r="F793" s="552"/>
      <c r="G793" s="552"/>
      <c r="H793" s="552"/>
      <c r="I793" s="552"/>
      <c r="J793" s="552"/>
      <c r="K793" s="552"/>
      <c r="L793" s="552"/>
      <c r="M793" s="552"/>
      <c r="N793" s="552"/>
      <c r="O793" s="552"/>
      <c r="P793" s="552"/>
      <c r="Q793" s="552"/>
      <c r="R793" s="552"/>
      <c r="S793" s="552"/>
      <c r="T793" s="552"/>
      <c r="U793" s="552"/>
      <c r="V793" s="552"/>
      <c r="W793" s="552"/>
      <c r="X793" s="552"/>
      <c r="Y793" s="552"/>
      <c r="Z793" s="552"/>
    </row>
    <row r="794">
      <c r="A794" s="559"/>
      <c r="B794" s="560"/>
      <c r="C794" s="561"/>
      <c r="D794" s="562"/>
      <c r="E794" s="552"/>
      <c r="F794" s="552"/>
      <c r="G794" s="552"/>
      <c r="H794" s="552"/>
      <c r="I794" s="552"/>
      <c r="J794" s="552"/>
      <c r="K794" s="552"/>
      <c r="L794" s="552"/>
      <c r="M794" s="552"/>
      <c r="N794" s="552"/>
      <c r="O794" s="552"/>
      <c r="P794" s="552"/>
      <c r="Q794" s="552"/>
      <c r="R794" s="552"/>
      <c r="S794" s="552"/>
      <c r="T794" s="552"/>
      <c r="U794" s="552"/>
      <c r="V794" s="552"/>
      <c r="W794" s="552"/>
      <c r="X794" s="552"/>
      <c r="Y794" s="552"/>
      <c r="Z794" s="552"/>
    </row>
    <row r="795">
      <c r="A795" s="559"/>
      <c r="B795" s="560"/>
      <c r="C795" s="561"/>
      <c r="D795" s="562"/>
      <c r="E795" s="552"/>
      <c r="F795" s="552"/>
      <c r="G795" s="552"/>
      <c r="H795" s="552"/>
      <c r="I795" s="552"/>
      <c r="J795" s="552"/>
      <c r="K795" s="552"/>
      <c r="L795" s="552"/>
      <c r="M795" s="552"/>
      <c r="N795" s="552"/>
      <c r="O795" s="552"/>
      <c r="P795" s="552"/>
      <c r="Q795" s="552"/>
      <c r="R795" s="552"/>
      <c r="S795" s="552"/>
      <c r="T795" s="552"/>
      <c r="U795" s="552"/>
      <c r="V795" s="552"/>
      <c r="W795" s="552"/>
      <c r="X795" s="552"/>
      <c r="Y795" s="552"/>
      <c r="Z795" s="552"/>
    </row>
    <row r="796">
      <c r="A796" s="559"/>
      <c r="B796" s="560"/>
      <c r="C796" s="561"/>
      <c r="D796" s="562"/>
      <c r="E796" s="552"/>
      <c r="F796" s="552"/>
      <c r="G796" s="552"/>
      <c r="H796" s="552"/>
      <c r="I796" s="552"/>
      <c r="J796" s="552"/>
      <c r="K796" s="552"/>
      <c r="L796" s="552"/>
      <c r="M796" s="552"/>
      <c r="N796" s="552"/>
      <c r="O796" s="552"/>
      <c r="P796" s="552"/>
      <c r="Q796" s="552"/>
      <c r="R796" s="552"/>
      <c r="S796" s="552"/>
      <c r="T796" s="552"/>
      <c r="U796" s="552"/>
      <c r="V796" s="552"/>
      <c r="W796" s="552"/>
      <c r="X796" s="552"/>
      <c r="Y796" s="552"/>
      <c r="Z796" s="552"/>
    </row>
    <row r="797">
      <c r="A797" s="559"/>
      <c r="B797" s="560"/>
      <c r="C797" s="561"/>
      <c r="D797" s="562"/>
      <c r="E797" s="552"/>
      <c r="F797" s="552"/>
      <c r="G797" s="552"/>
      <c r="H797" s="552"/>
      <c r="I797" s="552"/>
      <c r="J797" s="552"/>
      <c r="K797" s="552"/>
      <c r="L797" s="552"/>
      <c r="M797" s="552"/>
      <c r="N797" s="552"/>
      <c r="O797" s="552"/>
      <c r="P797" s="552"/>
      <c r="Q797" s="552"/>
      <c r="R797" s="552"/>
      <c r="S797" s="552"/>
      <c r="T797" s="552"/>
      <c r="U797" s="552"/>
      <c r="V797" s="552"/>
      <c r="W797" s="552"/>
      <c r="X797" s="552"/>
      <c r="Y797" s="552"/>
      <c r="Z797" s="552"/>
    </row>
    <row r="798">
      <c r="A798" s="559"/>
      <c r="B798" s="560"/>
      <c r="C798" s="561"/>
      <c r="D798" s="562"/>
      <c r="E798" s="552"/>
      <c r="F798" s="552"/>
      <c r="G798" s="552"/>
      <c r="H798" s="552"/>
      <c r="I798" s="552"/>
      <c r="J798" s="552"/>
      <c r="K798" s="552"/>
      <c r="L798" s="552"/>
      <c r="M798" s="552"/>
      <c r="N798" s="552"/>
      <c r="O798" s="552"/>
      <c r="P798" s="552"/>
      <c r="Q798" s="552"/>
      <c r="R798" s="552"/>
      <c r="S798" s="552"/>
      <c r="T798" s="552"/>
      <c r="U798" s="552"/>
      <c r="V798" s="552"/>
      <c r="W798" s="552"/>
      <c r="X798" s="552"/>
      <c r="Y798" s="552"/>
      <c r="Z798" s="552"/>
    </row>
    <row r="799">
      <c r="A799" s="559"/>
      <c r="B799" s="560"/>
      <c r="C799" s="561"/>
      <c r="D799" s="562"/>
      <c r="E799" s="552"/>
      <c r="F799" s="552"/>
      <c r="G799" s="552"/>
      <c r="H799" s="552"/>
      <c r="I799" s="552"/>
      <c r="J799" s="552"/>
      <c r="K799" s="552"/>
      <c r="L799" s="552"/>
      <c r="M799" s="552"/>
      <c r="N799" s="552"/>
      <c r="O799" s="552"/>
      <c r="P799" s="552"/>
      <c r="Q799" s="552"/>
      <c r="R799" s="552"/>
      <c r="S799" s="552"/>
      <c r="T799" s="552"/>
      <c r="U799" s="552"/>
      <c r="V799" s="552"/>
      <c r="W799" s="552"/>
      <c r="X799" s="552"/>
      <c r="Y799" s="552"/>
      <c r="Z799" s="552"/>
    </row>
    <row r="800">
      <c r="A800" s="559"/>
      <c r="B800" s="560"/>
      <c r="C800" s="561"/>
      <c r="D800" s="562"/>
      <c r="E800" s="552"/>
      <c r="F800" s="552"/>
      <c r="G800" s="552"/>
      <c r="H800" s="552"/>
      <c r="I800" s="552"/>
      <c r="J800" s="552"/>
      <c r="K800" s="552"/>
      <c r="L800" s="552"/>
      <c r="M800" s="552"/>
      <c r="N800" s="552"/>
      <c r="O800" s="552"/>
      <c r="P800" s="552"/>
      <c r="Q800" s="552"/>
      <c r="R800" s="552"/>
      <c r="S800" s="552"/>
      <c r="T800" s="552"/>
      <c r="U800" s="552"/>
      <c r="V800" s="552"/>
      <c r="W800" s="552"/>
      <c r="X800" s="552"/>
      <c r="Y800" s="552"/>
      <c r="Z800" s="552"/>
    </row>
    <row r="801">
      <c r="A801" s="559"/>
      <c r="B801" s="560"/>
      <c r="C801" s="561"/>
      <c r="D801" s="562"/>
      <c r="E801" s="552"/>
      <c r="F801" s="552"/>
      <c r="G801" s="552"/>
      <c r="H801" s="552"/>
      <c r="I801" s="552"/>
      <c r="J801" s="552"/>
      <c r="K801" s="552"/>
      <c r="L801" s="552"/>
      <c r="M801" s="552"/>
      <c r="N801" s="552"/>
      <c r="O801" s="552"/>
      <c r="P801" s="552"/>
      <c r="Q801" s="552"/>
      <c r="R801" s="552"/>
      <c r="S801" s="552"/>
      <c r="T801" s="552"/>
      <c r="U801" s="552"/>
      <c r="V801" s="552"/>
      <c r="W801" s="552"/>
      <c r="X801" s="552"/>
      <c r="Y801" s="552"/>
      <c r="Z801" s="552"/>
    </row>
    <row r="802">
      <c r="A802" s="559"/>
      <c r="B802" s="560"/>
      <c r="C802" s="561"/>
      <c r="D802" s="562"/>
      <c r="E802" s="552"/>
      <c r="F802" s="552"/>
      <c r="G802" s="552"/>
      <c r="H802" s="552"/>
      <c r="I802" s="552"/>
      <c r="J802" s="552"/>
      <c r="K802" s="552"/>
      <c r="L802" s="552"/>
      <c r="M802" s="552"/>
      <c r="N802" s="552"/>
      <c r="O802" s="552"/>
      <c r="P802" s="552"/>
      <c r="Q802" s="552"/>
      <c r="R802" s="552"/>
      <c r="S802" s="552"/>
      <c r="T802" s="552"/>
      <c r="U802" s="552"/>
      <c r="V802" s="552"/>
      <c r="W802" s="552"/>
      <c r="X802" s="552"/>
      <c r="Y802" s="552"/>
      <c r="Z802" s="552"/>
    </row>
    <row r="803">
      <c r="A803" s="559"/>
      <c r="B803" s="560"/>
      <c r="C803" s="561"/>
      <c r="D803" s="562"/>
      <c r="E803" s="552"/>
      <c r="F803" s="552"/>
      <c r="G803" s="552"/>
      <c r="H803" s="552"/>
      <c r="I803" s="552"/>
      <c r="J803" s="552"/>
      <c r="K803" s="552"/>
      <c r="L803" s="552"/>
      <c r="M803" s="552"/>
      <c r="N803" s="552"/>
      <c r="O803" s="552"/>
      <c r="P803" s="552"/>
      <c r="Q803" s="552"/>
      <c r="R803" s="552"/>
      <c r="S803" s="552"/>
      <c r="T803" s="552"/>
      <c r="U803" s="552"/>
      <c r="V803" s="552"/>
      <c r="W803" s="552"/>
      <c r="X803" s="552"/>
      <c r="Y803" s="552"/>
      <c r="Z803" s="552"/>
    </row>
    <row r="804">
      <c r="A804" s="559"/>
      <c r="B804" s="560"/>
      <c r="C804" s="561"/>
      <c r="D804" s="562"/>
      <c r="E804" s="552"/>
      <c r="F804" s="552"/>
      <c r="G804" s="552"/>
      <c r="H804" s="552"/>
      <c r="I804" s="552"/>
      <c r="J804" s="552"/>
      <c r="K804" s="552"/>
      <c r="L804" s="552"/>
      <c r="M804" s="552"/>
      <c r="N804" s="552"/>
      <c r="O804" s="552"/>
      <c r="P804" s="552"/>
      <c r="Q804" s="552"/>
      <c r="R804" s="552"/>
      <c r="S804" s="552"/>
      <c r="T804" s="552"/>
      <c r="U804" s="552"/>
      <c r="V804" s="552"/>
      <c r="W804" s="552"/>
      <c r="X804" s="552"/>
      <c r="Y804" s="552"/>
      <c r="Z804" s="552"/>
    </row>
    <row r="805">
      <c r="A805" s="559"/>
      <c r="B805" s="560"/>
      <c r="C805" s="561"/>
      <c r="D805" s="562"/>
      <c r="E805" s="552"/>
      <c r="F805" s="552"/>
      <c r="G805" s="552"/>
      <c r="H805" s="552"/>
      <c r="I805" s="552"/>
      <c r="J805" s="552"/>
      <c r="K805" s="552"/>
      <c r="L805" s="552"/>
      <c r="M805" s="552"/>
      <c r="N805" s="552"/>
      <c r="O805" s="552"/>
      <c r="P805" s="552"/>
      <c r="Q805" s="552"/>
      <c r="R805" s="552"/>
      <c r="S805" s="552"/>
      <c r="T805" s="552"/>
      <c r="U805" s="552"/>
      <c r="V805" s="552"/>
      <c r="W805" s="552"/>
      <c r="X805" s="552"/>
      <c r="Y805" s="552"/>
      <c r="Z805" s="552"/>
    </row>
    <row r="806">
      <c r="A806" s="559"/>
      <c r="B806" s="560"/>
      <c r="C806" s="561"/>
      <c r="D806" s="562"/>
      <c r="E806" s="552"/>
      <c r="F806" s="552"/>
      <c r="G806" s="552"/>
      <c r="H806" s="552"/>
      <c r="I806" s="552"/>
      <c r="J806" s="552"/>
      <c r="K806" s="552"/>
      <c r="L806" s="552"/>
      <c r="M806" s="552"/>
      <c r="N806" s="552"/>
      <c r="O806" s="552"/>
      <c r="P806" s="552"/>
      <c r="Q806" s="552"/>
      <c r="R806" s="552"/>
      <c r="S806" s="552"/>
      <c r="T806" s="552"/>
      <c r="U806" s="552"/>
      <c r="V806" s="552"/>
      <c r="W806" s="552"/>
      <c r="X806" s="552"/>
      <c r="Y806" s="552"/>
      <c r="Z806" s="552"/>
    </row>
    <row r="807">
      <c r="A807" s="559"/>
      <c r="B807" s="560"/>
      <c r="C807" s="561"/>
      <c r="D807" s="562"/>
      <c r="E807" s="552"/>
      <c r="F807" s="552"/>
      <c r="G807" s="552"/>
      <c r="H807" s="552"/>
      <c r="I807" s="552"/>
      <c r="J807" s="552"/>
      <c r="K807" s="552"/>
      <c r="L807" s="552"/>
      <c r="M807" s="552"/>
      <c r="N807" s="552"/>
      <c r="O807" s="552"/>
      <c r="P807" s="552"/>
      <c r="Q807" s="552"/>
      <c r="R807" s="552"/>
      <c r="S807" s="552"/>
      <c r="T807" s="552"/>
      <c r="U807" s="552"/>
      <c r="V807" s="552"/>
      <c r="W807" s="552"/>
      <c r="X807" s="552"/>
      <c r="Y807" s="552"/>
      <c r="Z807" s="552"/>
    </row>
    <row r="808">
      <c r="A808" s="559"/>
      <c r="B808" s="560"/>
      <c r="C808" s="561"/>
      <c r="D808" s="562"/>
      <c r="E808" s="552"/>
      <c r="F808" s="552"/>
      <c r="G808" s="552"/>
      <c r="H808" s="552"/>
      <c r="I808" s="552"/>
      <c r="J808" s="552"/>
      <c r="K808" s="552"/>
      <c r="L808" s="552"/>
      <c r="M808" s="552"/>
      <c r="N808" s="552"/>
      <c r="O808" s="552"/>
      <c r="P808" s="552"/>
      <c r="Q808" s="552"/>
      <c r="R808" s="552"/>
      <c r="S808" s="552"/>
      <c r="T808" s="552"/>
      <c r="U808" s="552"/>
      <c r="V808" s="552"/>
      <c r="W808" s="552"/>
      <c r="X808" s="552"/>
      <c r="Y808" s="552"/>
      <c r="Z808" s="552"/>
    </row>
    <row r="809">
      <c r="A809" s="559"/>
      <c r="B809" s="560"/>
      <c r="C809" s="561"/>
      <c r="D809" s="562"/>
      <c r="E809" s="552"/>
      <c r="F809" s="552"/>
      <c r="G809" s="552"/>
      <c r="H809" s="552"/>
      <c r="I809" s="552"/>
      <c r="J809" s="552"/>
      <c r="K809" s="552"/>
      <c r="L809" s="552"/>
      <c r="M809" s="552"/>
      <c r="N809" s="552"/>
      <c r="O809" s="552"/>
      <c r="P809" s="552"/>
      <c r="Q809" s="552"/>
      <c r="R809" s="552"/>
      <c r="S809" s="552"/>
      <c r="T809" s="552"/>
      <c r="U809" s="552"/>
      <c r="V809" s="552"/>
      <c r="W809" s="552"/>
      <c r="X809" s="552"/>
      <c r="Y809" s="552"/>
      <c r="Z809" s="552"/>
    </row>
    <row r="810">
      <c r="A810" s="559"/>
      <c r="B810" s="560"/>
      <c r="C810" s="561"/>
      <c r="D810" s="562"/>
      <c r="E810" s="552"/>
      <c r="F810" s="552"/>
      <c r="G810" s="552"/>
      <c r="H810" s="552"/>
      <c r="I810" s="552"/>
      <c r="J810" s="552"/>
      <c r="K810" s="552"/>
      <c r="L810" s="552"/>
      <c r="M810" s="552"/>
      <c r="N810" s="552"/>
      <c r="O810" s="552"/>
      <c r="P810" s="552"/>
      <c r="Q810" s="552"/>
      <c r="R810" s="552"/>
      <c r="S810" s="552"/>
      <c r="T810" s="552"/>
      <c r="U810" s="552"/>
      <c r="V810" s="552"/>
      <c r="W810" s="552"/>
      <c r="X810" s="552"/>
      <c r="Y810" s="552"/>
      <c r="Z810" s="552"/>
    </row>
    <row r="811">
      <c r="A811" s="559"/>
      <c r="B811" s="560"/>
      <c r="C811" s="561"/>
      <c r="D811" s="562"/>
      <c r="E811" s="552"/>
      <c r="F811" s="552"/>
      <c r="G811" s="552"/>
      <c r="H811" s="552"/>
      <c r="I811" s="552"/>
      <c r="J811" s="552"/>
      <c r="K811" s="552"/>
      <c r="L811" s="552"/>
      <c r="M811" s="552"/>
      <c r="N811" s="552"/>
      <c r="O811" s="552"/>
      <c r="P811" s="552"/>
      <c r="Q811" s="552"/>
      <c r="R811" s="552"/>
      <c r="S811" s="552"/>
      <c r="T811" s="552"/>
      <c r="U811" s="552"/>
      <c r="V811" s="552"/>
      <c r="W811" s="552"/>
      <c r="X811" s="552"/>
      <c r="Y811" s="552"/>
      <c r="Z811" s="552"/>
    </row>
    <row r="812">
      <c r="A812" s="559"/>
      <c r="B812" s="560"/>
      <c r="C812" s="561"/>
      <c r="D812" s="562"/>
      <c r="E812" s="552"/>
      <c r="F812" s="552"/>
      <c r="G812" s="552"/>
      <c r="H812" s="552"/>
      <c r="I812" s="552"/>
      <c r="J812" s="552"/>
      <c r="K812" s="552"/>
      <c r="L812" s="552"/>
      <c r="M812" s="552"/>
      <c r="N812" s="552"/>
      <c r="O812" s="552"/>
      <c r="P812" s="552"/>
      <c r="Q812" s="552"/>
      <c r="R812" s="552"/>
      <c r="S812" s="552"/>
      <c r="T812" s="552"/>
      <c r="U812" s="552"/>
      <c r="V812" s="552"/>
      <c r="W812" s="552"/>
      <c r="X812" s="552"/>
      <c r="Y812" s="552"/>
      <c r="Z812" s="552"/>
    </row>
    <row r="813">
      <c r="A813" s="559"/>
      <c r="B813" s="560"/>
      <c r="C813" s="561"/>
      <c r="D813" s="562"/>
      <c r="E813" s="552"/>
      <c r="F813" s="552"/>
      <c r="G813" s="552"/>
      <c r="H813" s="552"/>
      <c r="I813" s="552"/>
      <c r="J813" s="552"/>
      <c r="K813" s="552"/>
      <c r="L813" s="552"/>
      <c r="M813" s="552"/>
      <c r="N813" s="552"/>
      <c r="O813" s="552"/>
      <c r="P813" s="552"/>
      <c r="Q813" s="552"/>
      <c r="R813" s="552"/>
      <c r="S813" s="552"/>
      <c r="T813" s="552"/>
      <c r="U813" s="552"/>
      <c r="V813" s="552"/>
      <c r="W813" s="552"/>
      <c r="X813" s="552"/>
      <c r="Y813" s="552"/>
      <c r="Z813" s="552"/>
    </row>
    <row r="814">
      <c r="A814" s="559"/>
      <c r="B814" s="560"/>
      <c r="C814" s="561"/>
      <c r="D814" s="562"/>
      <c r="E814" s="552"/>
      <c r="F814" s="552"/>
      <c r="G814" s="552"/>
      <c r="H814" s="552"/>
      <c r="I814" s="552"/>
      <c r="J814" s="552"/>
      <c r="K814" s="552"/>
      <c r="L814" s="552"/>
      <c r="M814" s="552"/>
      <c r="N814" s="552"/>
      <c r="O814" s="552"/>
      <c r="P814" s="552"/>
      <c r="Q814" s="552"/>
      <c r="R814" s="552"/>
      <c r="S814" s="552"/>
      <c r="T814" s="552"/>
      <c r="U814" s="552"/>
      <c r="V814" s="552"/>
      <c r="W814" s="552"/>
      <c r="X814" s="552"/>
      <c r="Y814" s="552"/>
      <c r="Z814" s="552"/>
    </row>
    <row r="815">
      <c r="A815" s="559"/>
      <c r="B815" s="560"/>
      <c r="C815" s="561"/>
      <c r="D815" s="562"/>
      <c r="E815" s="552"/>
      <c r="F815" s="552"/>
      <c r="G815" s="552"/>
      <c r="H815" s="552"/>
      <c r="I815" s="552"/>
      <c r="J815" s="552"/>
      <c r="K815" s="552"/>
      <c r="L815" s="552"/>
      <c r="M815" s="552"/>
      <c r="N815" s="552"/>
      <c r="O815" s="552"/>
      <c r="P815" s="552"/>
      <c r="Q815" s="552"/>
      <c r="R815" s="552"/>
      <c r="S815" s="552"/>
      <c r="T815" s="552"/>
      <c r="U815" s="552"/>
      <c r="V815" s="552"/>
      <c r="W815" s="552"/>
      <c r="X815" s="552"/>
      <c r="Y815" s="552"/>
      <c r="Z815" s="552"/>
    </row>
    <row r="816">
      <c r="A816" s="559"/>
      <c r="B816" s="560"/>
      <c r="C816" s="561"/>
      <c r="D816" s="562"/>
      <c r="E816" s="552"/>
      <c r="F816" s="552"/>
      <c r="G816" s="552"/>
      <c r="H816" s="552"/>
      <c r="I816" s="552"/>
      <c r="J816" s="552"/>
      <c r="K816" s="552"/>
      <c r="L816" s="552"/>
      <c r="M816" s="552"/>
      <c r="N816" s="552"/>
      <c r="O816" s="552"/>
      <c r="P816" s="552"/>
      <c r="Q816" s="552"/>
      <c r="R816" s="552"/>
      <c r="S816" s="552"/>
      <c r="T816" s="552"/>
      <c r="U816" s="552"/>
      <c r="V816" s="552"/>
      <c r="W816" s="552"/>
      <c r="X816" s="552"/>
      <c r="Y816" s="552"/>
      <c r="Z816" s="552"/>
    </row>
    <row r="817">
      <c r="A817" s="559"/>
      <c r="B817" s="560"/>
      <c r="C817" s="561"/>
      <c r="D817" s="562"/>
      <c r="E817" s="552"/>
      <c r="F817" s="552"/>
      <c r="G817" s="552"/>
      <c r="H817" s="552"/>
      <c r="I817" s="552"/>
      <c r="J817" s="552"/>
      <c r="K817" s="552"/>
      <c r="L817" s="552"/>
      <c r="M817" s="552"/>
      <c r="N817" s="552"/>
      <c r="O817" s="552"/>
      <c r="P817" s="552"/>
      <c r="Q817" s="552"/>
      <c r="R817" s="552"/>
      <c r="S817" s="552"/>
      <c r="T817" s="552"/>
      <c r="U817" s="552"/>
      <c r="V817" s="552"/>
      <c r="W817" s="552"/>
      <c r="X817" s="552"/>
      <c r="Y817" s="552"/>
      <c r="Z817" s="552"/>
    </row>
    <row r="818">
      <c r="A818" s="559"/>
      <c r="B818" s="560"/>
      <c r="C818" s="561"/>
      <c r="D818" s="562"/>
      <c r="E818" s="552"/>
      <c r="F818" s="552"/>
      <c r="G818" s="552"/>
      <c r="H818" s="552"/>
      <c r="I818" s="552"/>
      <c r="J818" s="552"/>
      <c r="K818" s="552"/>
      <c r="L818" s="552"/>
      <c r="M818" s="552"/>
      <c r="N818" s="552"/>
      <c r="O818" s="552"/>
      <c r="P818" s="552"/>
      <c r="Q818" s="552"/>
      <c r="R818" s="552"/>
      <c r="S818" s="552"/>
      <c r="T818" s="552"/>
      <c r="U818" s="552"/>
      <c r="V818" s="552"/>
      <c r="W818" s="552"/>
      <c r="X818" s="552"/>
      <c r="Y818" s="552"/>
      <c r="Z818" s="552"/>
    </row>
    <row r="819">
      <c r="A819" s="559"/>
      <c r="B819" s="560"/>
      <c r="C819" s="561"/>
      <c r="D819" s="562"/>
      <c r="E819" s="552"/>
      <c r="F819" s="552"/>
      <c r="G819" s="552"/>
      <c r="H819" s="552"/>
      <c r="I819" s="552"/>
      <c r="J819" s="552"/>
      <c r="K819" s="552"/>
      <c r="L819" s="552"/>
      <c r="M819" s="552"/>
      <c r="N819" s="552"/>
      <c r="O819" s="552"/>
      <c r="P819" s="552"/>
      <c r="Q819" s="552"/>
      <c r="R819" s="552"/>
      <c r="S819" s="552"/>
      <c r="T819" s="552"/>
      <c r="U819" s="552"/>
      <c r="V819" s="552"/>
      <c r="W819" s="552"/>
      <c r="X819" s="552"/>
      <c r="Y819" s="552"/>
      <c r="Z819" s="552"/>
    </row>
    <row r="820">
      <c r="A820" s="559"/>
      <c r="B820" s="560"/>
      <c r="C820" s="561"/>
      <c r="D820" s="562"/>
      <c r="E820" s="552"/>
      <c r="F820" s="552"/>
      <c r="G820" s="552"/>
      <c r="H820" s="552"/>
      <c r="I820" s="552"/>
      <c r="J820" s="552"/>
      <c r="K820" s="552"/>
      <c r="L820" s="552"/>
      <c r="M820" s="552"/>
      <c r="N820" s="552"/>
      <c r="O820" s="552"/>
      <c r="P820" s="552"/>
      <c r="Q820" s="552"/>
      <c r="R820" s="552"/>
      <c r="S820" s="552"/>
      <c r="T820" s="552"/>
      <c r="U820" s="552"/>
      <c r="V820" s="552"/>
      <c r="W820" s="552"/>
      <c r="X820" s="552"/>
      <c r="Y820" s="552"/>
      <c r="Z820" s="552"/>
    </row>
    <row r="821">
      <c r="A821" s="559"/>
      <c r="B821" s="560"/>
      <c r="C821" s="561"/>
      <c r="D821" s="562"/>
      <c r="E821" s="552"/>
      <c r="F821" s="552"/>
      <c r="G821" s="552"/>
      <c r="H821" s="552"/>
      <c r="I821" s="552"/>
      <c r="J821" s="552"/>
      <c r="K821" s="552"/>
      <c r="L821" s="552"/>
      <c r="M821" s="552"/>
      <c r="N821" s="552"/>
      <c r="O821" s="552"/>
      <c r="P821" s="552"/>
      <c r="Q821" s="552"/>
      <c r="R821" s="552"/>
      <c r="S821" s="552"/>
      <c r="T821" s="552"/>
      <c r="U821" s="552"/>
      <c r="V821" s="552"/>
      <c r="W821" s="552"/>
      <c r="X821" s="552"/>
      <c r="Y821" s="552"/>
      <c r="Z821" s="552"/>
    </row>
    <row r="822">
      <c r="A822" s="559"/>
      <c r="B822" s="560"/>
      <c r="C822" s="561"/>
      <c r="D822" s="562"/>
      <c r="E822" s="552"/>
      <c r="F822" s="552"/>
      <c r="G822" s="552"/>
      <c r="H822" s="552"/>
      <c r="I822" s="552"/>
      <c r="J822" s="552"/>
      <c r="K822" s="552"/>
      <c r="L822" s="552"/>
      <c r="M822" s="552"/>
      <c r="N822" s="552"/>
      <c r="O822" s="552"/>
      <c r="P822" s="552"/>
      <c r="Q822" s="552"/>
      <c r="R822" s="552"/>
      <c r="S822" s="552"/>
      <c r="T822" s="552"/>
      <c r="U822" s="552"/>
      <c r="V822" s="552"/>
      <c r="W822" s="552"/>
      <c r="X822" s="552"/>
      <c r="Y822" s="552"/>
      <c r="Z822" s="552"/>
    </row>
    <row r="823">
      <c r="A823" s="559"/>
      <c r="B823" s="560"/>
      <c r="C823" s="561"/>
      <c r="D823" s="562"/>
      <c r="E823" s="552"/>
      <c r="F823" s="552"/>
      <c r="G823" s="552"/>
      <c r="H823" s="552"/>
      <c r="I823" s="552"/>
      <c r="J823" s="552"/>
      <c r="K823" s="552"/>
      <c r="L823" s="552"/>
      <c r="M823" s="552"/>
      <c r="N823" s="552"/>
      <c r="O823" s="552"/>
      <c r="P823" s="552"/>
      <c r="Q823" s="552"/>
      <c r="R823" s="552"/>
      <c r="S823" s="552"/>
      <c r="T823" s="552"/>
      <c r="U823" s="552"/>
      <c r="V823" s="552"/>
      <c r="W823" s="552"/>
      <c r="X823" s="552"/>
      <c r="Y823" s="552"/>
      <c r="Z823" s="552"/>
    </row>
    <row r="824">
      <c r="A824" s="559"/>
      <c r="B824" s="560"/>
      <c r="C824" s="561"/>
      <c r="D824" s="562"/>
      <c r="E824" s="552"/>
      <c r="F824" s="552"/>
      <c r="G824" s="552"/>
      <c r="H824" s="552"/>
      <c r="I824" s="552"/>
      <c r="J824" s="552"/>
      <c r="K824" s="552"/>
      <c r="L824" s="552"/>
      <c r="M824" s="552"/>
      <c r="N824" s="552"/>
      <c r="O824" s="552"/>
      <c r="P824" s="552"/>
      <c r="Q824" s="552"/>
      <c r="R824" s="552"/>
      <c r="S824" s="552"/>
      <c r="T824" s="552"/>
      <c r="U824" s="552"/>
      <c r="V824" s="552"/>
      <c r="W824" s="552"/>
      <c r="X824" s="552"/>
      <c r="Y824" s="552"/>
      <c r="Z824" s="552"/>
    </row>
    <row r="825">
      <c r="A825" s="559"/>
      <c r="B825" s="560"/>
      <c r="C825" s="561"/>
      <c r="D825" s="562"/>
      <c r="E825" s="552"/>
      <c r="F825" s="552"/>
      <c r="G825" s="552"/>
      <c r="H825" s="552"/>
      <c r="I825" s="552"/>
      <c r="J825" s="552"/>
      <c r="K825" s="552"/>
      <c r="L825" s="552"/>
      <c r="M825" s="552"/>
      <c r="N825" s="552"/>
      <c r="O825" s="552"/>
      <c r="P825" s="552"/>
      <c r="Q825" s="552"/>
      <c r="R825" s="552"/>
      <c r="S825" s="552"/>
      <c r="T825" s="552"/>
      <c r="U825" s="552"/>
      <c r="V825" s="552"/>
      <c r="W825" s="552"/>
      <c r="X825" s="552"/>
      <c r="Y825" s="552"/>
      <c r="Z825" s="552"/>
    </row>
    <row r="826">
      <c r="A826" s="559"/>
      <c r="B826" s="560"/>
      <c r="C826" s="561"/>
      <c r="D826" s="562"/>
      <c r="E826" s="552"/>
      <c r="F826" s="552"/>
      <c r="G826" s="552"/>
      <c r="H826" s="552"/>
      <c r="I826" s="552"/>
      <c r="J826" s="552"/>
      <c r="K826" s="552"/>
      <c r="L826" s="552"/>
      <c r="M826" s="552"/>
      <c r="N826" s="552"/>
      <c r="O826" s="552"/>
      <c r="P826" s="552"/>
      <c r="Q826" s="552"/>
      <c r="R826" s="552"/>
      <c r="S826" s="552"/>
      <c r="T826" s="552"/>
      <c r="U826" s="552"/>
      <c r="V826" s="552"/>
      <c r="W826" s="552"/>
      <c r="X826" s="552"/>
      <c r="Y826" s="552"/>
      <c r="Z826" s="552"/>
    </row>
    <row r="827">
      <c r="A827" s="559"/>
      <c r="B827" s="560"/>
      <c r="C827" s="561"/>
      <c r="D827" s="562"/>
      <c r="E827" s="552"/>
      <c r="F827" s="552"/>
      <c r="G827" s="552"/>
      <c r="H827" s="552"/>
      <c r="I827" s="552"/>
      <c r="J827" s="552"/>
      <c r="K827" s="552"/>
      <c r="L827" s="552"/>
      <c r="M827" s="552"/>
      <c r="N827" s="552"/>
      <c r="O827" s="552"/>
      <c r="P827" s="552"/>
      <c r="Q827" s="552"/>
      <c r="R827" s="552"/>
      <c r="S827" s="552"/>
      <c r="T827" s="552"/>
      <c r="U827" s="552"/>
      <c r="V827" s="552"/>
      <c r="W827" s="552"/>
      <c r="X827" s="552"/>
      <c r="Y827" s="552"/>
      <c r="Z827" s="552"/>
    </row>
    <row r="828">
      <c r="A828" s="559"/>
      <c r="B828" s="560"/>
      <c r="C828" s="561"/>
      <c r="D828" s="562"/>
      <c r="E828" s="552"/>
      <c r="F828" s="552"/>
      <c r="G828" s="552"/>
      <c r="H828" s="552"/>
      <c r="I828" s="552"/>
      <c r="J828" s="552"/>
      <c r="K828" s="552"/>
      <c r="L828" s="552"/>
      <c r="M828" s="552"/>
      <c r="N828" s="552"/>
      <c r="O828" s="552"/>
      <c r="P828" s="552"/>
      <c r="Q828" s="552"/>
      <c r="R828" s="552"/>
      <c r="S828" s="552"/>
      <c r="T828" s="552"/>
      <c r="U828" s="552"/>
      <c r="V828" s="552"/>
      <c r="W828" s="552"/>
      <c r="X828" s="552"/>
      <c r="Y828" s="552"/>
      <c r="Z828" s="552"/>
    </row>
    <row r="829">
      <c r="A829" s="559"/>
      <c r="B829" s="560"/>
      <c r="C829" s="561"/>
      <c r="D829" s="562"/>
      <c r="E829" s="552"/>
      <c r="F829" s="552"/>
      <c r="G829" s="552"/>
      <c r="H829" s="552"/>
      <c r="I829" s="552"/>
      <c r="J829" s="552"/>
      <c r="K829" s="552"/>
      <c r="L829" s="552"/>
      <c r="M829" s="552"/>
      <c r="N829" s="552"/>
      <c r="O829" s="552"/>
      <c r="P829" s="552"/>
      <c r="Q829" s="552"/>
      <c r="R829" s="552"/>
      <c r="S829" s="552"/>
      <c r="T829" s="552"/>
      <c r="U829" s="552"/>
      <c r="V829" s="552"/>
      <c r="W829" s="552"/>
      <c r="X829" s="552"/>
      <c r="Y829" s="552"/>
      <c r="Z829" s="552"/>
    </row>
    <row r="830">
      <c r="A830" s="559"/>
      <c r="B830" s="560"/>
      <c r="C830" s="561"/>
      <c r="D830" s="562"/>
      <c r="E830" s="552"/>
      <c r="F830" s="552"/>
      <c r="G830" s="552"/>
      <c r="H830" s="552"/>
      <c r="I830" s="552"/>
      <c r="J830" s="552"/>
      <c r="K830" s="552"/>
      <c r="L830" s="552"/>
      <c r="M830" s="552"/>
      <c r="N830" s="552"/>
      <c r="O830" s="552"/>
      <c r="P830" s="552"/>
      <c r="Q830" s="552"/>
      <c r="R830" s="552"/>
      <c r="S830" s="552"/>
      <c r="T830" s="552"/>
      <c r="U830" s="552"/>
      <c r="V830" s="552"/>
      <c r="W830" s="552"/>
      <c r="X830" s="552"/>
      <c r="Y830" s="552"/>
      <c r="Z830" s="552"/>
    </row>
    <row r="831">
      <c r="A831" s="559"/>
      <c r="B831" s="560"/>
      <c r="C831" s="561"/>
      <c r="D831" s="562"/>
      <c r="E831" s="552"/>
      <c r="F831" s="552"/>
      <c r="G831" s="552"/>
      <c r="H831" s="552"/>
      <c r="I831" s="552"/>
      <c r="J831" s="552"/>
      <c r="K831" s="552"/>
      <c r="L831" s="552"/>
      <c r="M831" s="552"/>
      <c r="N831" s="552"/>
      <c r="O831" s="552"/>
      <c r="P831" s="552"/>
      <c r="Q831" s="552"/>
      <c r="R831" s="552"/>
      <c r="S831" s="552"/>
      <c r="T831" s="552"/>
      <c r="U831" s="552"/>
      <c r="V831" s="552"/>
      <c r="W831" s="552"/>
      <c r="X831" s="552"/>
      <c r="Y831" s="552"/>
      <c r="Z831" s="552"/>
    </row>
    <row r="832">
      <c r="A832" s="559"/>
      <c r="B832" s="560"/>
      <c r="C832" s="561"/>
      <c r="D832" s="562"/>
      <c r="E832" s="552"/>
      <c r="F832" s="552"/>
      <c r="G832" s="552"/>
      <c r="H832" s="552"/>
      <c r="I832" s="552"/>
      <c r="J832" s="552"/>
      <c r="K832" s="552"/>
      <c r="L832" s="552"/>
      <c r="M832" s="552"/>
      <c r="N832" s="552"/>
      <c r="O832" s="552"/>
      <c r="P832" s="552"/>
      <c r="Q832" s="552"/>
      <c r="R832" s="552"/>
      <c r="S832" s="552"/>
      <c r="T832" s="552"/>
      <c r="U832" s="552"/>
      <c r="V832" s="552"/>
      <c r="W832" s="552"/>
      <c r="X832" s="552"/>
      <c r="Y832" s="552"/>
      <c r="Z832" s="552"/>
    </row>
    <row r="833">
      <c r="A833" s="559"/>
      <c r="B833" s="560"/>
      <c r="C833" s="561"/>
      <c r="D833" s="562"/>
      <c r="E833" s="552"/>
      <c r="F833" s="552"/>
      <c r="G833" s="552"/>
      <c r="H833" s="552"/>
      <c r="I833" s="552"/>
      <c r="J833" s="552"/>
      <c r="K833" s="552"/>
      <c r="L833" s="552"/>
      <c r="M833" s="552"/>
      <c r="N833" s="552"/>
      <c r="O833" s="552"/>
      <c r="P833" s="552"/>
      <c r="Q833" s="552"/>
      <c r="R833" s="552"/>
      <c r="S833" s="552"/>
      <c r="T833" s="552"/>
      <c r="U833" s="552"/>
      <c r="V833" s="552"/>
      <c r="W833" s="552"/>
      <c r="X833" s="552"/>
      <c r="Y833" s="552"/>
      <c r="Z833" s="552"/>
    </row>
    <row r="834">
      <c r="A834" s="559"/>
      <c r="B834" s="560"/>
      <c r="C834" s="561"/>
      <c r="D834" s="562"/>
      <c r="E834" s="552"/>
      <c r="F834" s="552"/>
      <c r="G834" s="552"/>
      <c r="H834" s="552"/>
      <c r="I834" s="552"/>
      <c r="J834" s="552"/>
      <c r="K834" s="552"/>
      <c r="L834" s="552"/>
      <c r="M834" s="552"/>
      <c r="N834" s="552"/>
      <c r="O834" s="552"/>
      <c r="P834" s="552"/>
      <c r="Q834" s="552"/>
      <c r="R834" s="552"/>
      <c r="S834" s="552"/>
      <c r="T834" s="552"/>
      <c r="U834" s="552"/>
      <c r="V834" s="552"/>
      <c r="W834" s="552"/>
      <c r="X834" s="552"/>
      <c r="Y834" s="552"/>
      <c r="Z834" s="552"/>
    </row>
    <row r="835">
      <c r="A835" s="559"/>
      <c r="B835" s="560"/>
      <c r="C835" s="561"/>
      <c r="D835" s="562"/>
      <c r="E835" s="552"/>
      <c r="F835" s="552"/>
      <c r="G835" s="552"/>
      <c r="H835" s="552"/>
      <c r="I835" s="552"/>
      <c r="J835" s="552"/>
      <c r="K835" s="552"/>
      <c r="L835" s="552"/>
      <c r="M835" s="552"/>
      <c r="N835" s="552"/>
      <c r="O835" s="552"/>
      <c r="P835" s="552"/>
      <c r="Q835" s="552"/>
      <c r="R835" s="552"/>
      <c r="S835" s="552"/>
      <c r="T835" s="552"/>
      <c r="U835" s="552"/>
      <c r="V835" s="552"/>
      <c r="W835" s="552"/>
      <c r="X835" s="552"/>
      <c r="Y835" s="552"/>
      <c r="Z835" s="552"/>
    </row>
    <row r="836">
      <c r="A836" s="559"/>
      <c r="B836" s="560"/>
      <c r="C836" s="561"/>
      <c r="D836" s="562"/>
      <c r="E836" s="552"/>
      <c r="F836" s="552"/>
      <c r="G836" s="552"/>
      <c r="H836" s="552"/>
      <c r="I836" s="552"/>
      <c r="J836" s="552"/>
      <c r="K836" s="552"/>
      <c r="L836" s="552"/>
      <c r="M836" s="552"/>
      <c r="N836" s="552"/>
      <c r="O836" s="552"/>
      <c r="P836" s="552"/>
      <c r="Q836" s="552"/>
      <c r="R836" s="552"/>
      <c r="S836" s="552"/>
      <c r="T836" s="552"/>
      <c r="U836" s="552"/>
      <c r="V836" s="552"/>
      <c r="W836" s="552"/>
      <c r="X836" s="552"/>
      <c r="Y836" s="552"/>
      <c r="Z836" s="552"/>
    </row>
    <row r="837">
      <c r="A837" s="559"/>
      <c r="B837" s="560"/>
      <c r="C837" s="561"/>
      <c r="D837" s="562"/>
      <c r="E837" s="552"/>
      <c r="F837" s="552"/>
      <c r="G837" s="552"/>
      <c r="H837" s="552"/>
      <c r="I837" s="552"/>
      <c r="J837" s="552"/>
      <c r="K837" s="552"/>
      <c r="L837" s="552"/>
      <c r="M837" s="552"/>
      <c r="N837" s="552"/>
      <c r="O837" s="552"/>
      <c r="P837" s="552"/>
      <c r="Q837" s="552"/>
      <c r="R837" s="552"/>
      <c r="S837" s="552"/>
      <c r="T837" s="552"/>
      <c r="U837" s="552"/>
      <c r="V837" s="552"/>
      <c r="W837" s="552"/>
      <c r="X837" s="552"/>
      <c r="Y837" s="552"/>
      <c r="Z837" s="552"/>
    </row>
    <row r="838">
      <c r="A838" s="559"/>
      <c r="B838" s="560"/>
      <c r="C838" s="561"/>
      <c r="D838" s="562"/>
      <c r="E838" s="552"/>
      <c r="F838" s="552"/>
      <c r="G838" s="552"/>
      <c r="H838" s="552"/>
      <c r="I838" s="552"/>
      <c r="J838" s="552"/>
      <c r="K838" s="552"/>
      <c r="L838" s="552"/>
      <c r="M838" s="552"/>
      <c r="N838" s="552"/>
      <c r="O838" s="552"/>
      <c r="P838" s="552"/>
      <c r="Q838" s="552"/>
      <c r="R838" s="552"/>
      <c r="S838" s="552"/>
      <c r="T838" s="552"/>
      <c r="U838" s="552"/>
      <c r="V838" s="552"/>
      <c r="W838" s="552"/>
      <c r="X838" s="552"/>
      <c r="Y838" s="552"/>
      <c r="Z838" s="552"/>
    </row>
    <row r="839">
      <c r="A839" s="559"/>
      <c r="B839" s="560"/>
      <c r="C839" s="561"/>
      <c r="D839" s="562"/>
      <c r="E839" s="552"/>
      <c r="F839" s="552"/>
      <c r="G839" s="552"/>
      <c r="H839" s="552"/>
      <c r="I839" s="552"/>
      <c r="J839" s="552"/>
      <c r="K839" s="552"/>
      <c r="L839" s="552"/>
      <c r="M839" s="552"/>
      <c r="N839" s="552"/>
      <c r="O839" s="552"/>
      <c r="P839" s="552"/>
      <c r="Q839" s="552"/>
      <c r="R839" s="552"/>
      <c r="S839" s="552"/>
      <c r="T839" s="552"/>
      <c r="U839" s="552"/>
      <c r="V839" s="552"/>
      <c r="W839" s="552"/>
      <c r="X839" s="552"/>
      <c r="Y839" s="552"/>
      <c r="Z839" s="552"/>
    </row>
    <row r="840">
      <c r="A840" s="559"/>
      <c r="B840" s="560"/>
      <c r="C840" s="561"/>
      <c r="D840" s="562"/>
      <c r="E840" s="552"/>
      <c r="F840" s="552"/>
      <c r="G840" s="552"/>
      <c r="H840" s="552"/>
      <c r="I840" s="552"/>
      <c r="J840" s="552"/>
      <c r="K840" s="552"/>
      <c r="L840" s="552"/>
      <c r="M840" s="552"/>
      <c r="N840" s="552"/>
      <c r="O840" s="552"/>
      <c r="P840" s="552"/>
      <c r="Q840" s="552"/>
      <c r="R840" s="552"/>
      <c r="S840" s="552"/>
      <c r="T840" s="552"/>
      <c r="U840" s="552"/>
      <c r="V840" s="552"/>
      <c r="W840" s="552"/>
      <c r="X840" s="552"/>
      <c r="Y840" s="552"/>
      <c r="Z840" s="552"/>
    </row>
    <row r="841">
      <c r="A841" s="559"/>
      <c r="B841" s="560"/>
      <c r="C841" s="561"/>
      <c r="D841" s="562"/>
      <c r="E841" s="552"/>
      <c r="F841" s="552"/>
      <c r="G841" s="552"/>
      <c r="H841" s="552"/>
      <c r="I841" s="552"/>
      <c r="J841" s="552"/>
      <c r="K841" s="552"/>
      <c r="L841" s="552"/>
      <c r="M841" s="552"/>
      <c r="N841" s="552"/>
      <c r="O841" s="552"/>
      <c r="P841" s="552"/>
      <c r="Q841" s="552"/>
      <c r="R841" s="552"/>
      <c r="S841" s="552"/>
      <c r="T841" s="552"/>
      <c r="U841" s="552"/>
      <c r="V841" s="552"/>
      <c r="W841" s="552"/>
      <c r="X841" s="552"/>
      <c r="Y841" s="552"/>
      <c r="Z841" s="552"/>
    </row>
    <row r="842">
      <c r="A842" s="559"/>
      <c r="B842" s="560"/>
      <c r="C842" s="561"/>
      <c r="D842" s="562"/>
      <c r="E842" s="552"/>
      <c r="F842" s="552"/>
      <c r="G842" s="552"/>
      <c r="H842" s="552"/>
      <c r="I842" s="552"/>
      <c r="J842" s="552"/>
      <c r="K842" s="552"/>
      <c r="L842" s="552"/>
      <c r="M842" s="552"/>
      <c r="N842" s="552"/>
      <c r="O842" s="552"/>
      <c r="P842" s="552"/>
      <c r="Q842" s="552"/>
      <c r="R842" s="552"/>
      <c r="S842" s="552"/>
      <c r="T842" s="552"/>
      <c r="U842" s="552"/>
      <c r="V842" s="552"/>
      <c r="W842" s="552"/>
      <c r="X842" s="552"/>
      <c r="Y842" s="552"/>
      <c r="Z842" s="552"/>
    </row>
    <row r="843">
      <c r="A843" s="559"/>
      <c r="B843" s="560"/>
      <c r="C843" s="561"/>
      <c r="D843" s="562"/>
      <c r="E843" s="552"/>
      <c r="F843" s="552"/>
      <c r="G843" s="552"/>
      <c r="H843" s="552"/>
      <c r="I843" s="552"/>
      <c r="J843" s="552"/>
      <c r="K843" s="552"/>
      <c r="L843" s="552"/>
      <c r="M843" s="552"/>
      <c r="N843" s="552"/>
      <c r="O843" s="552"/>
      <c r="P843" s="552"/>
      <c r="Q843" s="552"/>
      <c r="R843" s="552"/>
      <c r="S843" s="552"/>
      <c r="T843" s="552"/>
      <c r="U843" s="552"/>
      <c r="V843" s="552"/>
      <c r="W843" s="552"/>
      <c r="X843" s="552"/>
      <c r="Y843" s="552"/>
      <c r="Z843" s="552"/>
    </row>
    <row r="844">
      <c r="A844" s="559"/>
      <c r="B844" s="560"/>
      <c r="C844" s="561"/>
      <c r="D844" s="562"/>
      <c r="E844" s="552"/>
      <c r="F844" s="552"/>
      <c r="G844" s="552"/>
      <c r="H844" s="552"/>
      <c r="I844" s="552"/>
      <c r="J844" s="552"/>
      <c r="K844" s="552"/>
      <c r="L844" s="552"/>
      <c r="M844" s="552"/>
      <c r="N844" s="552"/>
      <c r="O844" s="552"/>
      <c r="P844" s="552"/>
      <c r="Q844" s="552"/>
      <c r="R844" s="552"/>
      <c r="S844" s="552"/>
      <c r="T844" s="552"/>
      <c r="U844" s="552"/>
      <c r="V844" s="552"/>
      <c r="W844" s="552"/>
      <c r="X844" s="552"/>
      <c r="Y844" s="552"/>
      <c r="Z844" s="552"/>
    </row>
    <row r="845">
      <c r="A845" s="559"/>
      <c r="B845" s="560"/>
      <c r="C845" s="561"/>
      <c r="D845" s="562"/>
      <c r="E845" s="552"/>
      <c r="F845" s="552"/>
      <c r="G845" s="552"/>
      <c r="H845" s="552"/>
      <c r="I845" s="552"/>
      <c r="J845" s="552"/>
      <c r="K845" s="552"/>
      <c r="L845" s="552"/>
      <c r="M845" s="552"/>
      <c r="N845" s="552"/>
      <c r="O845" s="552"/>
      <c r="P845" s="552"/>
      <c r="Q845" s="552"/>
      <c r="R845" s="552"/>
      <c r="S845" s="552"/>
      <c r="T845" s="552"/>
      <c r="U845" s="552"/>
      <c r="V845" s="552"/>
      <c r="W845" s="552"/>
      <c r="X845" s="552"/>
      <c r="Y845" s="552"/>
      <c r="Z845" s="552"/>
    </row>
    <row r="846">
      <c r="A846" s="559"/>
      <c r="B846" s="560"/>
      <c r="C846" s="561"/>
      <c r="D846" s="562"/>
      <c r="E846" s="552"/>
      <c r="F846" s="552"/>
      <c r="G846" s="552"/>
      <c r="H846" s="552"/>
      <c r="I846" s="552"/>
      <c r="J846" s="552"/>
      <c r="K846" s="552"/>
      <c r="L846" s="552"/>
      <c r="M846" s="552"/>
      <c r="N846" s="552"/>
      <c r="O846" s="552"/>
      <c r="P846" s="552"/>
      <c r="Q846" s="552"/>
      <c r="R846" s="552"/>
      <c r="S846" s="552"/>
      <c r="T846" s="552"/>
      <c r="U846" s="552"/>
      <c r="V846" s="552"/>
      <c r="W846" s="552"/>
      <c r="X846" s="552"/>
      <c r="Y846" s="552"/>
      <c r="Z846" s="552"/>
    </row>
    <row r="847">
      <c r="A847" s="559"/>
      <c r="B847" s="560"/>
      <c r="C847" s="561"/>
      <c r="D847" s="562"/>
      <c r="E847" s="552"/>
      <c r="F847" s="552"/>
      <c r="G847" s="552"/>
      <c r="H847" s="552"/>
      <c r="I847" s="552"/>
      <c r="J847" s="552"/>
      <c r="K847" s="552"/>
      <c r="L847" s="552"/>
      <c r="M847" s="552"/>
      <c r="N847" s="552"/>
      <c r="O847" s="552"/>
      <c r="P847" s="552"/>
      <c r="Q847" s="552"/>
      <c r="R847" s="552"/>
      <c r="S847" s="552"/>
      <c r="T847" s="552"/>
      <c r="U847" s="552"/>
      <c r="V847" s="552"/>
      <c r="W847" s="552"/>
      <c r="X847" s="552"/>
      <c r="Y847" s="552"/>
      <c r="Z847" s="552"/>
    </row>
    <row r="848">
      <c r="A848" s="559"/>
      <c r="B848" s="560"/>
      <c r="C848" s="561"/>
      <c r="D848" s="562"/>
      <c r="E848" s="552"/>
      <c r="F848" s="552"/>
      <c r="G848" s="552"/>
      <c r="H848" s="552"/>
      <c r="I848" s="552"/>
      <c r="J848" s="552"/>
      <c r="K848" s="552"/>
      <c r="L848" s="552"/>
      <c r="M848" s="552"/>
      <c r="N848" s="552"/>
      <c r="O848" s="552"/>
      <c r="P848" s="552"/>
      <c r="Q848" s="552"/>
      <c r="R848" s="552"/>
      <c r="S848" s="552"/>
      <c r="T848" s="552"/>
      <c r="U848" s="552"/>
      <c r="V848" s="552"/>
      <c r="W848" s="552"/>
      <c r="X848" s="552"/>
      <c r="Y848" s="552"/>
      <c r="Z848" s="552"/>
    </row>
    <row r="849">
      <c r="A849" s="559"/>
      <c r="B849" s="560"/>
      <c r="C849" s="561"/>
      <c r="D849" s="562"/>
      <c r="E849" s="552"/>
      <c r="F849" s="552"/>
      <c r="G849" s="552"/>
      <c r="H849" s="552"/>
      <c r="I849" s="552"/>
      <c r="J849" s="552"/>
      <c r="K849" s="552"/>
      <c r="L849" s="552"/>
      <c r="M849" s="552"/>
      <c r="N849" s="552"/>
      <c r="O849" s="552"/>
      <c r="P849" s="552"/>
      <c r="Q849" s="552"/>
      <c r="R849" s="552"/>
      <c r="S849" s="552"/>
      <c r="T849" s="552"/>
      <c r="U849" s="552"/>
      <c r="V849" s="552"/>
      <c r="W849" s="552"/>
      <c r="X849" s="552"/>
      <c r="Y849" s="552"/>
      <c r="Z849" s="552"/>
    </row>
    <row r="850">
      <c r="A850" s="559"/>
      <c r="B850" s="560"/>
      <c r="C850" s="561"/>
      <c r="D850" s="562"/>
      <c r="E850" s="552"/>
      <c r="F850" s="552"/>
      <c r="G850" s="552"/>
      <c r="H850" s="552"/>
      <c r="I850" s="552"/>
      <c r="J850" s="552"/>
      <c r="K850" s="552"/>
      <c r="L850" s="552"/>
      <c r="M850" s="552"/>
      <c r="N850" s="552"/>
      <c r="O850" s="552"/>
      <c r="P850" s="552"/>
      <c r="Q850" s="552"/>
      <c r="R850" s="552"/>
      <c r="S850" s="552"/>
      <c r="T850" s="552"/>
      <c r="U850" s="552"/>
      <c r="V850" s="552"/>
      <c r="W850" s="552"/>
      <c r="X850" s="552"/>
      <c r="Y850" s="552"/>
      <c r="Z850" s="552"/>
    </row>
    <row r="851">
      <c r="A851" s="559"/>
      <c r="B851" s="560"/>
      <c r="C851" s="561"/>
      <c r="D851" s="562"/>
      <c r="E851" s="552"/>
      <c r="F851" s="552"/>
      <c r="G851" s="552"/>
      <c r="H851" s="552"/>
      <c r="I851" s="552"/>
      <c r="J851" s="552"/>
      <c r="K851" s="552"/>
      <c r="L851" s="552"/>
      <c r="M851" s="552"/>
      <c r="N851" s="552"/>
      <c r="O851" s="552"/>
      <c r="P851" s="552"/>
      <c r="Q851" s="552"/>
      <c r="R851" s="552"/>
      <c r="S851" s="552"/>
      <c r="T851" s="552"/>
      <c r="U851" s="552"/>
      <c r="V851" s="552"/>
      <c r="W851" s="552"/>
      <c r="X851" s="552"/>
      <c r="Y851" s="552"/>
      <c r="Z851" s="552"/>
    </row>
    <row r="852">
      <c r="A852" s="559"/>
      <c r="B852" s="560"/>
      <c r="C852" s="561"/>
      <c r="D852" s="562"/>
      <c r="E852" s="552"/>
      <c r="F852" s="552"/>
      <c r="G852" s="552"/>
      <c r="H852" s="552"/>
      <c r="I852" s="552"/>
      <c r="J852" s="552"/>
      <c r="K852" s="552"/>
      <c r="L852" s="552"/>
      <c r="M852" s="552"/>
      <c r="N852" s="552"/>
      <c r="O852" s="552"/>
      <c r="P852" s="552"/>
      <c r="Q852" s="552"/>
      <c r="R852" s="552"/>
      <c r="S852" s="552"/>
      <c r="T852" s="552"/>
      <c r="U852" s="552"/>
      <c r="V852" s="552"/>
      <c r="W852" s="552"/>
      <c r="X852" s="552"/>
      <c r="Y852" s="552"/>
      <c r="Z852" s="552"/>
    </row>
    <row r="853">
      <c r="A853" s="559"/>
      <c r="B853" s="560"/>
      <c r="C853" s="561"/>
      <c r="D853" s="562"/>
      <c r="E853" s="552"/>
      <c r="F853" s="552"/>
      <c r="G853" s="552"/>
      <c r="H853" s="552"/>
      <c r="I853" s="552"/>
      <c r="J853" s="552"/>
      <c r="K853" s="552"/>
      <c r="L853" s="552"/>
      <c r="M853" s="552"/>
      <c r="N853" s="552"/>
      <c r="O853" s="552"/>
      <c r="P853" s="552"/>
      <c r="Q853" s="552"/>
      <c r="R853" s="552"/>
      <c r="S853" s="552"/>
      <c r="T853" s="552"/>
      <c r="U853" s="552"/>
      <c r="V853" s="552"/>
      <c r="W853" s="552"/>
      <c r="X853" s="552"/>
      <c r="Y853" s="552"/>
      <c r="Z853" s="552"/>
    </row>
    <row r="854">
      <c r="A854" s="559"/>
      <c r="B854" s="560"/>
      <c r="C854" s="561"/>
      <c r="D854" s="562"/>
      <c r="E854" s="552"/>
      <c r="F854" s="552"/>
      <c r="G854" s="552"/>
      <c r="H854" s="552"/>
      <c r="I854" s="552"/>
      <c r="J854" s="552"/>
      <c r="K854" s="552"/>
      <c r="L854" s="552"/>
      <c r="M854" s="552"/>
      <c r="N854" s="552"/>
      <c r="O854" s="552"/>
      <c r="P854" s="552"/>
      <c r="Q854" s="552"/>
      <c r="R854" s="552"/>
      <c r="S854" s="552"/>
      <c r="T854" s="552"/>
      <c r="U854" s="552"/>
      <c r="V854" s="552"/>
      <c r="W854" s="552"/>
      <c r="X854" s="552"/>
      <c r="Y854" s="552"/>
      <c r="Z854" s="552"/>
    </row>
    <row r="855">
      <c r="A855" s="559"/>
      <c r="B855" s="560"/>
      <c r="C855" s="561"/>
      <c r="D855" s="562"/>
      <c r="E855" s="552"/>
      <c r="F855" s="552"/>
      <c r="G855" s="552"/>
      <c r="H855" s="552"/>
      <c r="I855" s="552"/>
      <c r="J855" s="552"/>
      <c r="K855" s="552"/>
      <c r="L855" s="552"/>
      <c r="M855" s="552"/>
      <c r="N855" s="552"/>
      <c r="O855" s="552"/>
      <c r="P855" s="552"/>
      <c r="Q855" s="552"/>
      <c r="R855" s="552"/>
      <c r="S855" s="552"/>
      <c r="T855" s="552"/>
      <c r="U855" s="552"/>
      <c r="V855" s="552"/>
      <c r="W855" s="552"/>
      <c r="X855" s="552"/>
      <c r="Y855" s="552"/>
      <c r="Z855" s="552"/>
    </row>
    <row r="856">
      <c r="A856" s="559"/>
      <c r="B856" s="560"/>
      <c r="C856" s="561"/>
      <c r="D856" s="562"/>
      <c r="E856" s="552"/>
      <c r="F856" s="552"/>
      <c r="G856" s="552"/>
      <c r="H856" s="552"/>
      <c r="I856" s="552"/>
      <c r="J856" s="552"/>
      <c r="K856" s="552"/>
      <c r="L856" s="552"/>
      <c r="M856" s="552"/>
      <c r="N856" s="552"/>
      <c r="O856" s="552"/>
      <c r="P856" s="552"/>
      <c r="Q856" s="552"/>
      <c r="R856" s="552"/>
      <c r="S856" s="552"/>
      <c r="T856" s="552"/>
      <c r="U856" s="552"/>
      <c r="V856" s="552"/>
      <c r="W856" s="552"/>
      <c r="X856" s="552"/>
      <c r="Y856" s="552"/>
      <c r="Z856" s="552"/>
    </row>
    <row r="857">
      <c r="A857" s="559"/>
      <c r="B857" s="560"/>
      <c r="C857" s="561"/>
      <c r="D857" s="562"/>
      <c r="E857" s="552"/>
      <c r="F857" s="552"/>
      <c r="G857" s="552"/>
      <c r="H857" s="552"/>
      <c r="I857" s="552"/>
      <c r="J857" s="552"/>
      <c r="K857" s="552"/>
      <c r="L857" s="552"/>
      <c r="M857" s="552"/>
      <c r="N857" s="552"/>
      <c r="O857" s="552"/>
      <c r="P857" s="552"/>
      <c r="Q857" s="552"/>
      <c r="R857" s="552"/>
      <c r="S857" s="552"/>
      <c r="T857" s="552"/>
      <c r="U857" s="552"/>
      <c r="V857" s="552"/>
      <c r="W857" s="552"/>
      <c r="X857" s="552"/>
      <c r="Y857" s="552"/>
      <c r="Z857" s="552"/>
    </row>
    <row r="858">
      <c r="A858" s="559"/>
      <c r="B858" s="560"/>
      <c r="C858" s="561"/>
      <c r="D858" s="562"/>
      <c r="E858" s="552"/>
      <c r="F858" s="552"/>
      <c r="G858" s="552"/>
      <c r="H858" s="552"/>
      <c r="I858" s="552"/>
      <c r="J858" s="552"/>
      <c r="K858" s="552"/>
      <c r="L858" s="552"/>
      <c r="M858" s="552"/>
      <c r="N858" s="552"/>
      <c r="O858" s="552"/>
      <c r="P858" s="552"/>
      <c r="Q858" s="552"/>
      <c r="R858" s="552"/>
      <c r="S858" s="552"/>
      <c r="T858" s="552"/>
      <c r="U858" s="552"/>
      <c r="V858" s="552"/>
      <c r="W858" s="552"/>
      <c r="X858" s="552"/>
      <c r="Y858" s="552"/>
      <c r="Z858" s="552"/>
    </row>
    <row r="859">
      <c r="A859" s="559"/>
      <c r="B859" s="560"/>
      <c r="C859" s="561"/>
      <c r="D859" s="562"/>
      <c r="E859" s="552"/>
      <c r="F859" s="552"/>
      <c r="G859" s="552"/>
      <c r="H859" s="552"/>
      <c r="I859" s="552"/>
      <c r="J859" s="552"/>
      <c r="K859" s="552"/>
      <c r="L859" s="552"/>
      <c r="M859" s="552"/>
      <c r="N859" s="552"/>
      <c r="O859" s="552"/>
      <c r="P859" s="552"/>
      <c r="Q859" s="552"/>
      <c r="R859" s="552"/>
      <c r="S859" s="552"/>
      <c r="T859" s="552"/>
      <c r="U859" s="552"/>
      <c r="V859" s="552"/>
      <c r="W859" s="552"/>
      <c r="X859" s="552"/>
      <c r="Y859" s="552"/>
      <c r="Z859" s="552"/>
    </row>
    <row r="860">
      <c r="A860" s="559"/>
      <c r="B860" s="560"/>
      <c r="C860" s="561"/>
      <c r="D860" s="562"/>
      <c r="E860" s="552"/>
      <c r="F860" s="552"/>
      <c r="G860" s="552"/>
      <c r="H860" s="552"/>
      <c r="I860" s="552"/>
      <c r="J860" s="552"/>
      <c r="K860" s="552"/>
      <c r="L860" s="552"/>
      <c r="M860" s="552"/>
      <c r="N860" s="552"/>
      <c r="O860" s="552"/>
      <c r="P860" s="552"/>
      <c r="Q860" s="552"/>
      <c r="R860" s="552"/>
      <c r="S860" s="552"/>
      <c r="T860" s="552"/>
      <c r="U860" s="552"/>
      <c r="V860" s="552"/>
      <c r="W860" s="552"/>
      <c r="X860" s="552"/>
      <c r="Y860" s="552"/>
      <c r="Z860" s="552"/>
    </row>
    <row r="861">
      <c r="A861" s="559"/>
      <c r="B861" s="560"/>
      <c r="C861" s="561"/>
      <c r="D861" s="562"/>
      <c r="E861" s="552"/>
      <c r="F861" s="552"/>
      <c r="G861" s="552"/>
      <c r="H861" s="552"/>
      <c r="I861" s="552"/>
      <c r="J861" s="552"/>
      <c r="K861" s="552"/>
      <c r="L861" s="552"/>
      <c r="M861" s="552"/>
      <c r="N861" s="552"/>
      <c r="O861" s="552"/>
      <c r="P861" s="552"/>
      <c r="Q861" s="552"/>
      <c r="R861" s="552"/>
      <c r="S861" s="552"/>
      <c r="T861" s="552"/>
      <c r="U861" s="552"/>
      <c r="V861" s="552"/>
      <c r="W861" s="552"/>
      <c r="X861" s="552"/>
      <c r="Y861" s="552"/>
      <c r="Z861" s="552"/>
    </row>
    <row r="862">
      <c r="A862" s="559"/>
      <c r="B862" s="560"/>
      <c r="C862" s="561"/>
      <c r="D862" s="562"/>
      <c r="E862" s="552"/>
      <c r="F862" s="552"/>
      <c r="G862" s="552"/>
      <c r="H862" s="552"/>
      <c r="I862" s="552"/>
      <c r="J862" s="552"/>
      <c r="K862" s="552"/>
      <c r="L862" s="552"/>
      <c r="M862" s="552"/>
      <c r="N862" s="552"/>
      <c r="O862" s="552"/>
      <c r="P862" s="552"/>
      <c r="Q862" s="552"/>
      <c r="R862" s="552"/>
      <c r="S862" s="552"/>
      <c r="T862" s="552"/>
      <c r="U862" s="552"/>
      <c r="V862" s="552"/>
      <c r="W862" s="552"/>
      <c r="X862" s="552"/>
      <c r="Y862" s="552"/>
      <c r="Z862" s="552"/>
    </row>
    <row r="863">
      <c r="A863" s="559"/>
      <c r="B863" s="560"/>
      <c r="C863" s="561"/>
      <c r="D863" s="562"/>
      <c r="E863" s="552"/>
      <c r="F863" s="552"/>
      <c r="G863" s="552"/>
      <c r="H863" s="552"/>
      <c r="I863" s="552"/>
      <c r="J863" s="552"/>
      <c r="K863" s="552"/>
      <c r="L863" s="552"/>
      <c r="M863" s="552"/>
      <c r="N863" s="552"/>
      <c r="O863" s="552"/>
      <c r="P863" s="552"/>
      <c r="Q863" s="552"/>
      <c r="R863" s="552"/>
      <c r="S863" s="552"/>
      <c r="T863" s="552"/>
      <c r="U863" s="552"/>
      <c r="V863" s="552"/>
      <c r="W863" s="552"/>
      <c r="X863" s="552"/>
      <c r="Y863" s="552"/>
      <c r="Z863" s="552"/>
    </row>
    <row r="864">
      <c r="A864" s="559"/>
      <c r="B864" s="560"/>
      <c r="C864" s="561"/>
      <c r="D864" s="562"/>
      <c r="E864" s="552"/>
      <c r="F864" s="552"/>
      <c r="G864" s="552"/>
      <c r="H864" s="552"/>
      <c r="I864" s="552"/>
      <c r="J864" s="552"/>
      <c r="K864" s="552"/>
      <c r="L864" s="552"/>
      <c r="M864" s="552"/>
      <c r="N864" s="552"/>
      <c r="O864" s="552"/>
      <c r="P864" s="552"/>
      <c r="Q864" s="552"/>
      <c r="R864" s="552"/>
      <c r="S864" s="552"/>
      <c r="T864" s="552"/>
      <c r="U864" s="552"/>
      <c r="V864" s="552"/>
      <c r="W864" s="552"/>
      <c r="X864" s="552"/>
      <c r="Y864" s="552"/>
      <c r="Z864" s="552"/>
    </row>
    <row r="865">
      <c r="A865" s="559"/>
      <c r="B865" s="560"/>
      <c r="C865" s="561"/>
      <c r="D865" s="562"/>
      <c r="E865" s="552"/>
      <c r="F865" s="552"/>
      <c r="G865" s="552"/>
      <c r="H865" s="552"/>
      <c r="I865" s="552"/>
      <c r="J865" s="552"/>
      <c r="K865" s="552"/>
      <c r="L865" s="552"/>
      <c r="M865" s="552"/>
      <c r="N865" s="552"/>
      <c r="O865" s="552"/>
      <c r="P865" s="552"/>
      <c r="Q865" s="552"/>
      <c r="R865" s="552"/>
      <c r="S865" s="552"/>
      <c r="T865" s="552"/>
      <c r="U865" s="552"/>
      <c r="V865" s="552"/>
      <c r="W865" s="552"/>
      <c r="X865" s="552"/>
      <c r="Y865" s="552"/>
      <c r="Z865" s="552"/>
    </row>
    <row r="866">
      <c r="A866" s="559"/>
      <c r="B866" s="560"/>
      <c r="C866" s="561"/>
      <c r="D866" s="562"/>
      <c r="E866" s="552"/>
      <c r="F866" s="552"/>
      <c r="G866" s="552"/>
      <c r="H866" s="552"/>
      <c r="I866" s="552"/>
      <c r="J866" s="552"/>
      <c r="K866" s="552"/>
      <c r="L866" s="552"/>
      <c r="M866" s="552"/>
      <c r="N866" s="552"/>
      <c r="O866" s="552"/>
      <c r="P866" s="552"/>
      <c r="Q866" s="552"/>
      <c r="R866" s="552"/>
      <c r="S866" s="552"/>
      <c r="T866" s="552"/>
      <c r="U866" s="552"/>
      <c r="V866" s="552"/>
      <c r="W866" s="552"/>
      <c r="X866" s="552"/>
      <c r="Y866" s="552"/>
      <c r="Z866" s="552"/>
    </row>
    <row r="867">
      <c r="A867" s="559"/>
      <c r="B867" s="560"/>
      <c r="C867" s="561"/>
      <c r="D867" s="562"/>
      <c r="E867" s="552"/>
      <c r="F867" s="552"/>
      <c r="G867" s="552"/>
      <c r="H867" s="552"/>
      <c r="I867" s="552"/>
      <c r="J867" s="552"/>
      <c r="K867" s="552"/>
      <c r="L867" s="552"/>
      <c r="M867" s="552"/>
      <c r="N867" s="552"/>
      <c r="O867" s="552"/>
      <c r="P867" s="552"/>
      <c r="Q867" s="552"/>
      <c r="R867" s="552"/>
      <c r="S867" s="552"/>
      <c r="T867" s="552"/>
      <c r="U867" s="552"/>
      <c r="V867" s="552"/>
      <c r="W867" s="552"/>
      <c r="X867" s="552"/>
      <c r="Y867" s="552"/>
      <c r="Z867" s="552"/>
    </row>
    <row r="868">
      <c r="A868" s="559"/>
      <c r="B868" s="560"/>
      <c r="C868" s="561"/>
      <c r="D868" s="562"/>
      <c r="E868" s="552"/>
      <c r="F868" s="552"/>
      <c r="G868" s="552"/>
      <c r="H868" s="552"/>
      <c r="I868" s="552"/>
      <c r="J868" s="552"/>
      <c r="K868" s="552"/>
      <c r="L868" s="552"/>
      <c r="M868" s="552"/>
      <c r="N868" s="552"/>
      <c r="O868" s="552"/>
      <c r="P868" s="552"/>
      <c r="Q868" s="552"/>
      <c r="R868" s="552"/>
      <c r="S868" s="552"/>
      <c r="T868" s="552"/>
      <c r="U868" s="552"/>
      <c r="V868" s="552"/>
      <c r="W868" s="552"/>
      <c r="X868" s="552"/>
      <c r="Y868" s="552"/>
      <c r="Z868" s="552"/>
    </row>
    <row r="869">
      <c r="A869" s="559"/>
      <c r="B869" s="560"/>
      <c r="C869" s="561"/>
      <c r="D869" s="562"/>
      <c r="E869" s="552"/>
      <c r="F869" s="552"/>
      <c r="G869" s="552"/>
      <c r="H869" s="552"/>
      <c r="I869" s="552"/>
      <c r="J869" s="552"/>
      <c r="K869" s="552"/>
      <c r="L869" s="552"/>
      <c r="M869" s="552"/>
      <c r="N869" s="552"/>
      <c r="O869" s="552"/>
      <c r="P869" s="552"/>
      <c r="Q869" s="552"/>
      <c r="R869" s="552"/>
      <c r="S869" s="552"/>
      <c r="T869" s="552"/>
      <c r="U869" s="552"/>
      <c r="V869" s="552"/>
      <c r="W869" s="552"/>
      <c r="X869" s="552"/>
      <c r="Y869" s="552"/>
      <c r="Z869" s="552"/>
    </row>
    <row r="870">
      <c r="A870" s="559"/>
      <c r="B870" s="560"/>
      <c r="C870" s="561"/>
      <c r="D870" s="562"/>
      <c r="E870" s="552"/>
      <c r="F870" s="552"/>
      <c r="G870" s="552"/>
      <c r="H870" s="552"/>
      <c r="I870" s="552"/>
      <c r="J870" s="552"/>
      <c r="K870" s="552"/>
      <c r="L870" s="552"/>
      <c r="M870" s="552"/>
      <c r="N870" s="552"/>
      <c r="O870" s="552"/>
      <c r="P870" s="552"/>
      <c r="Q870" s="552"/>
      <c r="R870" s="552"/>
      <c r="S870" s="552"/>
      <c r="T870" s="552"/>
      <c r="U870" s="552"/>
      <c r="V870" s="552"/>
      <c r="W870" s="552"/>
      <c r="X870" s="552"/>
      <c r="Y870" s="552"/>
      <c r="Z870" s="552"/>
    </row>
    <row r="871">
      <c r="A871" s="559"/>
      <c r="B871" s="560"/>
      <c r="C871" s="561"/>
      <c r="D871" s="562"/>
      <c r="E871" s="552"/>
      <c r="F871" s="552"/>
      <c r="G871" s="552"/>
      <c r="H871" s="552"/>
      <c r="I871" s="552"/>
      <c r="J871" s="552"/>
      <c r="K871" s="552"/>
      <c r="L871" s="552"/>
      <c r="M871" s="552"/>
      <c r="N871" s="552"/>
      <c r="O871" s="552"/>
      <c r="P871" s="552"/>
      <c r="Q871" s="552"/>
      <c r="R871" s="552"/>
      <c r="S871" s="552"/>
      <c r="T871" s="552"/>
      <c r="U871" s="552"/>
      <c r="V871" s="552"/>
      <c r="W871" s="552"/>
      <c r="X871" s="552"/>
      <c r="Y871" s="552"/>
      <c r="Z871" s="552"/>
    </row>
    <row r="872">
      <c r="A872" s="559"/>
      <c r="B872" s="560"/>
      <c r="C872" s="561"/>
      <c r="D872" s="562"/>
      <c r="E872" s="552"/>
      <c r="F872" s="552"/>
      <c r="G872" s="552"/>
      <c r="H872" s="552"/>
      <c r="I872" s="552"/>
      <c r="J872" s="552"/>
      <c r="K872" s="552"/>
      <c r="L872" s="552"/>
      <c r="M872" s="552"/>
      <c r="N872" s="552"/>
      <c r="O872" s="552"/>
      <c r="P872" s="552"/>
      <c r="Q872" s="552"/>
      <c r="R872" s="552"/>
      <c r="S872" s="552"/>
      <c r="T872" s="552"/>
      <c r="U872" s="552"/>
      <c r="V872" s="552"/>
      <c r="W872" s="552"/>
      <c r="X872" s="552"/>
      <c r="Y872" s="552"/>
      <c r="Z872" s="552"/>
    </row>
    <row r="873">
      <c r="A873" s="559"/>
      <c r="B873" s="560"/>
      <c r="C873" s="561"/>
      <c r="D873" s="562"/>
      <c r="E873" s="552"/>
      <c r="F873" s="552"/>
      <c r="G873" s="552"/>
      <c r="H873" s="552"/>
      <c r="I873" s="552"/>
      <c r="J873" s="552"/>
      <c r="K873" s="552"/>
      <c r="L873" s="552"/>
      <c r="M873" s="552"/>
      <c r="N873" s="552"/>
      <c r="O873" s="552"/>
      <c r="P873" s="552"/>
      <c r="Q873" s="552"/>
      <c r="R873" s="552"/>
      <c r="S873" s="552"/>
      <c r="T873" s="552"/>
      <c r="U873" s="552"/>
      <c r="V873" s="552"/>
      <c r="W873" s="552"/>
      <c r="X873" s="552"/>
      <c r="Y873" s="552"/>
      <c r="Z873" s="552"/>
    </row>
    <row r="874">
      <c r="A874" s="559"/>
      <c r="B874" s="560"/>
      <c r="C874" s="561"/>
      <c r="D874" s="562"/>
      <c r="E874" s="552"/>
      <c r="F874" s="552"/>
      <c r="G874" s="552"/>
      <c r="H874" s="552"/>
      <c r="I874" s="552"/>
      <c r="J874" s="552"/>
      <c r="K874" s="552"/>
      <c r="L874" s="552"/>
      <c r="M874" s="552"/>
      <c r="N874" s="552"/>
      <c r="O874" s="552"/>
      <c r="P874" s="552"/>
      <c r="Q874" s="552"/>
      <c r="R874" s="552"/>
      <c r="S874" s="552"/>
      <c r="T874" s="552"/>
      <c r="U874" s="552"/>
      <c r="V874" s="552"/>
      <c r="W874" s="552"/>
      <c r="X874" s="552"/>
      <c r="Y874" s="552"/>
      <c r="Z874" s="552"/>
    </row>
    <row r="875">
      <c r="A875" s="559"/>
      <c r="B875" s="560"/>
      <c r="C875" s="561"/>
      <c r="D875" s="562"/>
      <c r="E875" s="552"/>
      <c r="F875" s="552"/>
      <c r="G875" s="552"/>
      <c r="H875" s="552"/>
      <c r="I875" s="552"/>
      <c r="J875" s="552"/>
      <c r="K875" s="552"/>
      <c r="L875" s="552"/>
      <c r="M875" s="552"/>
      <c r="N875" s="552"/>
      <c r="O875" s="552"/>
      <c r="P875" s="552"/>
      <c r="Q875" s="552"/>
      <c r="R875" s="552"/>
      <c r="S875" s="552"/>
      <c r="T875" s="552"/>
      <c r="U875" s="552"/>
      <c r="V875" s="552"/>
      <c r="W875" s="552"/>
      <c r="X875" s="552"/>
      <c r="Y875" s="552"/>
      <c r="Z875" s="552"/>
    </row>
    <row r="876">
      <c r="A876" s="559"/>
      <c r="B876" s="560"/>
      <c r="C876" s="561"/>
      <c r="D876" s="562"/>
      <c r="E876" s="552"/>
      <c r="F876" s="552"/>
      <c r="G876" s="552"/>
      <c r="H876" s="552"/>
      <c r="I876" s="552"/>
      <c r="J876" s="552"/>
      <c r="K876" s="552"/>
      <c r="L876" s="552"/>
      <c r="M876" s="552"/>
      <c r="N876" s="552"/>
      <c r="O876" s="552"/>
      <c r="P876" s="552"/>
      <c r="Q876" s="552"/>
      <c r="R876" s="552"/>
      <c r="S876" s="552"/>
      <c r="T876" s="552"/>
      <c r="U876" s="552"/>
      <c r="V876" s="552"/>
      <c r="W876" s="552"/>
      <c r="X876" s="552"/>
      <c r="Y876" s="552"/>
      <c r="Z876" s="552"/>
    </row>
    <row r="877">
      <c r="A877" s="559"/>
      <c r="B877" s="560"/>
      <c r="C877" s="561"/>
      <c r="D877" s="562"/>
      <c r="E877" s="552"/>
      <c r="F877" s="552"/>
      <c r="G877" s="552"/>
      <c r="H877" s="552"/>
      <c r="I877" s="552"/>
      <c r="J877" s="552"/>
      <c r="K877" s="552"/>
      <c r="L877" s="552"/>
      <c r="M877" s="552"/>
      <c r="N877" s="552"/>
      <c r="O877" s="552"/>
      <c r="P877" s="552"/>
      <c r="Q877" s="552"/>
      <c r="R877" s="552"/>
      <c r="S877" s="552"/>
      <c r="T877" s="552"/>
      <c r="U877" s="552"/>
      <c r="V877" s="552"/>
      <c r="W877" s="552"/>
      <c r="X877" s="552"/>
      <c r="Y877" s="552"/>
      <c r="Z877" s="552"/>
    </row>
    <row r="878">
      <c r="A878" s="559"/>
      <c r="B878" s="560"/>
      <c r="C878" s="561"/>
      <c r="D878" s="562"/>
      <c r="E878" s="552"/>
      <c r="F878" s="552"/>
      <c r="G878" s="552"/>
      <c r="H878" s="552"/>
      <c r="I878" s="552"/>
      <c r="J878" s="552"/>
      <c r="K878" s="552"/>
      <c r="L878" s="552"/>
      <c r="M878" s="552"/>
      <c r="N878" s="552"/>
      <c r="O878" s="552"/>
      <c r="P878" s="552"/>
      <c r="Q878" s="552"/>
      <c r="R878" s="552"/>
      <c r="S878" s="552"/>
      <c r="T878" s="552"/>
      <c r="U878" s="552"/>
      <c r="V878" s="552"/>
      <c r="W878" s="552"/>
      <c r="X878" s="552"/>
      <c r="Y878" s="552"/>
      <c r="Z878" s="552"/>
    </row>
    <row r="879">
      <c r="A879" s="559"/>
      <c r="B879" s="560"/>
      <c r="C879" s="561"/>
      <c r="D879" s="562"/>
      <c r="E879" s="552"/>
      <c r="F879" s="552"/>
      <c r="G879" s="552"/>
      <c r="H879" s="552"/>
      <c r="I879" s="552"/>
      <c r="J879" s="552"/>
      <c r="K879" s="552"/>
      <c r="L879" s="552"/>
      <c r="M879" s="552"/>
      <c r="N879" s="552"/>
      <c r="O879" s="552"/>
      <c r="P879" s="552"/>
      <c r="Q879" s="552"/>
      <c r="R879" s="552"/>
      <c r="S879" s="552"/>
      <c r="T879" s="552"/>
      <c r="U879" s="552"/>
      <c r="V879" s="552"/>
      <c r="W879" s="552"/>
      <c r="X879" s="552"/>
      <c r="Y879" s="552"/>
      <c r="Z879" s="552"/>
    </row>
    <row r="880">
      <c r="A880" s="559"/>
      <c r="B880" s="560"/>
      <c r="C880" s="561"/>
      <c r="D880" s="562"/>
      <c r="E880" s="552"/>
      <c r="F880" s="552"/>
      <c r="G880" s="552"/>
      <c r="H880" s="552"/>
      <c r="I880" s="552"/>
      <c r="J880" s="552"/>
      <c r="K880" s="552"/>
      <c r="L880" s="552"/>
      <c r="M880" s="552"/>
      <c r="N880" s="552"/>
      <c r="O880" s="552"/>
      <c r="P880" s="552"/>
      <c r="Q880" s="552"/>
      <c r="R880" s="552"/>
      <c r="S880" s="552"/>
      <c r="T880" s="552"/>
      <c r="U880" s="552"/>
      <c r="V880" s="552"/>
      <c r="W880" s="552"/>
      <c r="X880" s="552"/>
      <c r="Y880" s="552"/>
      <c r="Z880" s="552"/>
    </row>
    <row r="881">
      <c r="A881" s="559"/>
      <c r="B881" s="560"/>
      <c r="C881" s="561"/>
      <c r="D881" s="562"/>
      <c r="E881" s="552"/>
      <c r="F881" s="552"/>
      <c r="G881" s="552"/>
      <c r="H881" s="552"/>
      <c r="I881" s="552"/>
      <c r="J881" s="552"/>
      <c r="K881" s="552"/>
      <c r="L881" s="552"/>
      <c r="M881" s="552"/>
      <c r="N881" s="552"/>
      <c r="O881" s="552"/>
      <c r="P881" s="552"/>
      <c r="Q881" s="552"/>
      <c r="R881" s="552"/>
      <c r="S881" s="552"/>
      <c r="T881" s="552"/>
      <c r="U881" s="552"/>
      <c r="V881" s="552"/>
      <c r="W881" s="552"/>
      <c r="X881" s="552"/>
      <c r="Y881" s="552"/>
      <c r="Z881" s="552"/>
    </row>
    <row r="882">
      <c r="A882" s="559"/>
      <c r="B882" s="560"/>
      <c r="C882" s="561"/>
      <c r="D882" s="562"/>
      <c r="E882" s="552"/>
      <c r="F882" s="552"/>
      <c r="G882" s="552"/>
      <c r="H882" s="552"/>
      <c r="I882" s="552"/>
      <c r="J882" s="552"/>
      <c r="K882" s="552"/>
      <c r="L882" s="552"/>
      <c r="M882" s="552"/>
      <c r="N882" s="552"/>
      <c r="O882" s="552"/>
      <c r="P882" s="552"/>
      <c r="Q882" s="552"/>
      <c r="R882" s="552"/>
      <c r="S882" s="552"/>
      <c r="T882" s="552"/>
      <c r="U882" s="552"/>
      <c r="V882" s="552"/>
      <c r="W882" s="552"/>
      <c r="X882" s="552"/>
      <c r="Y882" s="552"/>
      <c r="Z882" s="552"/>
    </row>
    <row r="883">
      <c r="A883" s="559"/>
      <c r="B883" s="560"/>
      <c r="C883" s="561"/>
      <c r="D883" s="562"/>
      <c r="E883" s="552"/>
      <c r="F883" s="552"/>
      <c r="G883" s="552"/>
      <c r="H883" s="552"/>
      <c r="I883" s="552"/>
      <c r="J883" s="552"/>
      <c r="K883" s="552"/>
      <c r="L883" s="552"/>
      <c r="M883" s="552"/>
      <c r="N883" s="552"/>
      <c r="O883" s="552"/>
      <c r="P883" s="552"/>
      <c r="Q883" s="552"/>
      <c r="R883" s="552"/>
      <c r="S883" s="552"/>
      <c r="T883" s="552"/>
      <c r="U883" s="552"/>
      <c r="V883" s="552"/>
      <c r="W883" s="552"/>
      <c r="X883" s="552"/>
      <c r="Y883" s="552"/>
      <c r="Z883" s="552"/>
    </row>
    <row r="884">
      <c r="A884" s="559"/>
      <c r="B884" s="560"/>
      <c r="C884" s="561"/>
      <c r="D884" s="562"/>
      <c r="E884" s="552"/>
      <c r="F884" s="552"/>
      <c r="G884" s="552"/>
      <c r="H884" s="552"/>
      <c r="I884" s="552"/>
      <c r="J884" s="552"/>
      <c r="K884" s="552"/>
      <c r="L884" s="552"/>
      <c r="M884" s="552"/>
      <c r="N884" s="552"/>
      <c r="O884" s="552"/>
      <c r="P884" s="552"/>
      <c r="Q884" s="552"/>
      <c r="R884" s="552"/>
      <c r="S884" s="552"/>
      <c r="T884" s="552"/>
      <c r="U884" s="552"/>
      <c r="V884" s="552"/>
      <c r="W884" s="552"/>
      <c r="X884" s="552"/>
      <c r="Y884" s="552"/>
      <c r="Z884" s="552"/>
    </row>
    <row r="885">
      <c r="A885" s="559"/>
      <c r="B885" s="560"/>
      <c r="C885" s="561"/>
      <c r="D885" s="562"/>
      <c r="E885" s="552"/>
      <c r="F885" s="552"/>
      <c r="G885" s="552"/>
      <c r="H885" s="552"/>
      <c r="I885" s="552"/>
      <c r="J885" s="552"/>
      <c r="K885" s="552"/>
      <c r="L885" s="552"/>
      <c r="M885" s="552"/>
      <c r="N885" s="552"/>
      <c r="O885" s="552"/>
      <c r="P885" s="552"/>
      <c r="Q885" s="552"/>
      <c r="R885" s="552"/>
      <c r="S885" s="552"/>
      <c r="T885" s="552"/>
      <c r="U885" s="552"/>
      <c r="V885" s="552"/>
      <c r="W885" s="552"/>
      <c r="X885" s="552"/>
      <c r="Y885" s="552"/>
      <c r="Z885" s="552"/>
    </row>
    <row r="886">
      <c r="A886" s="559"/>
      <c r="B886" s="560"/>
      <c r="C886" s="561"/>
      <c r="D886" s="562"/>
      <c r="E886" s="552"/>
      <c r="F886" s="552"/>
      <c r="G886" s="552"/>
      <c r="H886" s="552"/>
      <c r="I886" s="552"/>
      <c r="J886" s="552"/>
      <c r="K886" s="552"/>
      <c r="L886" s="552"/>
      <c r="M886" s="552"/>
      <c r="N886" s="552"/>
      <c r="O886" s="552"/>
      <c r="P886" s="552"/>
      <c r="Q886" s="552"/>
      <c r="R886" s="552"/>
      <c r="S886" s="552"/>
      <c r="T886" s="552"/>
      <c r="U886" s="552"/>
      <c r="V886" s="552"/>
      <c r="W886" s="552"/>
      <c r="X886" s="552"/>
      <c r="Y886" s="552"/>
      <c r="Z886" s="552"/>
    </row>
    <row r="887">
      <c r="A887" s="559"/>
      <c r="B887" s="560"/>
      <c r="C887" s="561"/>
      <c r="D887" s="562"/>
      <c r="E887" s="552"/>
      <c r="F887" s="552"/>
      <c r="G887" s="552"/>
      <c r="H887" s="552"/>
      <c r="I887" s="552"/>
      <c r="J887" s="552"/>
      <c r="K887" s="552"/>
      <c r="L887" s="552"/>
      <c r="M887" s="552"/>
      <c r="N887" s="552"/>
      <c r="O887" s="552"/>
      <c r="P887" s="552"/>
      <c r="Q887" s="552"/>
      <c r="R887" s="552"/>
      <c r="S887" s="552"/>
      <c r="T887" s="552"/>
      <c r="U887" s="552"/>
      <c r="V887" s="552"/>
      <c r="W887" s="552"/>
      <c r="X887" s="552"/>
      <c r="Y887" s="552"/>
      <c r="Z887" s="552"/>
    </row>
    <row r="888">
      <c r="A888" s="559"/>
      <c r="B888" s="560"/>
      <c r="C888" s="561"/>
      <c r="D888" s="562"/>
      <c r="E888" s="552"/>
      <c r="F888" s="552"/>
      <c r="G888" s="552"/>
      <c r="H888" s="552"/>
      <c r="I888" s="552"/>
      <c r="J888" s="552"/>
      <c r="K888" s="552"/>
      <c r="L888" s="552"/>
      <c r="M888" s="552"/>
      <c r="N888" s="552"/>
      <c r="O888" s="552"/>
      <c r="P888" s="552"/>
      <c r="Q888" s="552"/>
      <c r="R888" s="552"/>
      <c r="S888" s="552"/>
      <c r="T888" s="552"/>
      <c r="U888" s="552"/>
      <c r="V888" s="552"/>
      <c r="W888" s="552"/>
      <c r="X888" s="552"/>
      <c r="Y888" s="552"/>
      <c r="Z888" s="552"/>
    </row>
    <row r="889">
      <c r="A889" s="559"/>
      <c r="B889" s="560"/>
      <c r="C889" s="561"/>
      <c r="D889" s="562"/>
      <c r="E889" s="552"/>
      <c r="F889" s="552"/>
      <c r="G889" s="552"/>
      <c r="H889" s="552"/>
      <c r="I889" s="552"/>
      <c r="J889" s="552"/>
      <c r="K889" s="552"/>
      <c r="L889" s="552"/>
      <c r="M889" s="552"/>
      <c r="N889" s="552"/>
      <c r="O889" s="552"/>
      <c r="P889" s="552"/>
      <c r="Q889" s="552"/>
      <c r="R889" s="552"/>
      <c r="S889" s="552"/>
      <c r="T889" s="552"/>
      <c r="U889" s="552"/>
      <c r="V889" s="552"/>
      <c r="W889" s="552"/>
      <c r="X889" s="552"/>
      <c r="Y889" s="552"/>
      <c r="Z889" s="552"/>
    </row>
    <row r="890">
      <c r="A890" s="559"/>
      <c r="B890" s="560"/>
      <c r="C890" s="561"/>
      <c r="D890" s="562"/>
      <c r="E890" s="552"/>
      <c r="F890" s="552"/>
      <c r="G890" s="552"/>
      <c r="H890" s="552"/>
      <c r="I890" s="552"/>
      <c r="J890" s="552"/>
      <c r="K890" s="552"/>
      <c r="L890" s="552"/>
      <c r="M890" s="552"/>
      <c r="N890" s="552"/>
      <c r="O890" s="552"/>
      <c r="P890" s="552"/>
      <c r="Q890" s="552"/>
      <c r="R890" s="552"/>
      <c r="S890" s="552"/>
      <c r="T890" s="552"/>
      <c r="U890" s="552"/>
      <c r="V890" s="552"/>
      <c r="W890" s="552"/>
      <c r="X890" s="552"/>
      <c r="Y890" s="552"/>
      <c r="Z890" s="552"/>
    </row>
    <row r="891">
      <c r="A891" s="559"/>
      <c r="B891" s="560"/>
      <c r="C891" s="561"/>
      <c r="D891" s="562"/>
      <c r="E891" s="552"/>
      <c r="F891" s="552"/>
      <c r="G891" s="552"/>
      <c r="H891" s="552"/>
      <c r="I891" s="552"/>
      <c r="J891" s="552"/>
      <c r="K891" s="552"/>
      <c r="L891" s="552"/>
      <c r="M891" s="552"/>
      <c r="N891" s="552"/>
      <c r="O891" s="552"/>
      <c r="P891" s="552"/>
      <c r="Q891" s="552"/>
      <c r="R891" s="552"/>
      <c r="S891" s="552"/>
      <c r="T891" s="552"/>
      <c r="U891" s="552"/>
      <c r="V891" s="552"/>
      <c r="W891" s="552"/>
      <c r="X891" s="552"/>
      <c r="Y891" s="552"/>
      <c r="Z891" s="552"/>
    </row>
    <row r="892">
      <c r="A892" s="559"/>
      <c r="B892" s="560"/>
      <c r="C892" s="561"/>
      <c r="D892" s="562"/>
      <c r="E892" s="552"/>
      <c r="F892" s="552"/>
      <c r="G892" s="552"/>
      <c r="H892" s="552"/>
      <c r="I892" s="552"/>
      <c r="J892" s="552"/>
      <c r="K892" s="552"/>
      <c r="L892" s="552"/>
      <c r="M892" s="552"/>
      <c r="N892" s="552"/>
      <c r="O892" s="552"/>
      <c r="P892" s="552"/>
      <c r="Q892" s="552"/>
      <c r="R892" s="552"/>
      <c r="S892" s="552"/>
      <c r="T892" s="552"/>
      <c r="U892" s="552"/>
      <c r="V892" s="552"/>
      <c r="W892" s="552"/>
      <c r="X892" s="552"/>
      <c r="Y892" s="552"/>
      <c r="Z892" s="552"/>
    </row>
    <row r="893">
      <c r="A893" s="559"/>
      <c r="B893" s="560"/>
      <c r="C893" s="561"/>
      <c r="D893" s="562"/>
      <c r="E893" s="552"/>
      <c r="F893" s="552"/>
      <c r="G893" s="552"/>
      <c r="H893" s="552"/>
      <c r="I893" s="552"/>
      <c r="J893" s="552"/>
      <c r="K893" s="552"/>
      <c r="L893" s="552"/>
      <c r="M893" s="552"/>
      <c r="N893" s="552"/>
      <c r="O893" s="552"/>
      <c r="P893" s="552"/>
      <c r="Q893" s="552"/>
      <c r="R893" s="552"/>
      <c r="S893" s="552"/>
      <c r="T893" s="552"/>
      <c r="U893" s="552"/>
      <c r="V893" s="552"/>
      <c r="W893" s="552"/>
      <c r="X893" s="552"/>
      <c r="Y893" s="552"/>
      <c r="Z893" s="552"/>
    </row>
    <row r="894">
      <c r="A894" s="559"/>
      <c r="B894" s="560"/>
      <c r="C894" s="561"/>
      <c r="D894" s="562"/>
      <c r="E894" s="552"/>
      <c r="F894" s="552"/>
      <c r="G894" s="552"/>
      <c r="H894" s="552"/>
      <c r="I894" s="552"/>
      <c r="J894" s="552"/>
      <c r="K894" s="552"/>
      <c r="L894" s="552"/>
      <c r="M894" s="552"/>
      <c r="N894" s="552"/>
      <c r="O894" s="552"/>
      <c r="P894" s="552"/>
      <c r="Q894" s="552"/>
      <c r="R894" s="552"/>
      <c r="S894" s="552"/>
      <c r="T894" s="552"/>
      <c r="U894" s="552"/>
      <c r="V894" s="552"/>
      <c r="W894" s="552"/>
      <c r="X894" s="552"/>
      <c r="Y894" s="552"/>
      <c r="Z894" s="552"/>
    </row>
    <row r="895">
      <c r="A895" s="559"/>
      <c r="B895" s="560"/>
      <c r="C895" s="561"/>
      <c r="D895" s="562"/>
      <c r="E895" s="552"/>
      <c r="F895" s="552"/>
      <c r="G895" s="552"/>
      <c r="H895" s="552"/>
      <c r="I895" s="552"/>
      <c r="J895" s="552"/>
      <c r="K895" s="552"/>
      <c r="L895" s="552"/>
      <c r="M895" s="552"/>
      <c r="N895" s="552"/>
      <c r="O895" s="552"/>
      <c r="P895" s="552"/>
      <c r="Q895" s="552"/>
      <c r="R895" s="552"/>
      <c r="S895" s="552"/>
      <c r="T895" s="552"/>
      <c r="U895" s="552"/>
      <c r="V895" s="552"/>
      <c r="W895" s="552"/>
      <c r="X895" s="552"/>
      <c r="Y895" s="552"/>
      <c r="Z895" s="552"/>
    </row>
    <row r="896">
      <c r="A896" s="559"/>
      <c r="B896" s="560"/>
      <c r="C896" s="561"/>
      <c r="D896" s="562"/>
      <c r="E896" s="552"/>
      <c r="F896" s="552"/>
      <c r="G896" s="552"/>
      <c r="H896" s="552"/>
      <c r="I896" s="552"/>
      <c r="J896" s="552"/>
      <c r="K896" s="552"/>
      <c r="L896" s="552"/>
      <c r="M896" s="552"/>
      <c r="N896" s="552"/>
      <c r="O896" s="552"/>
      <c r="P896" s="552"/>
      <c r="Q896" s="552"/>
      <c r="R896" s="552"/>
      <c r="S896" s="552"/>
      <c r="T896" s="552"/>
      <c r="U896" s="552"/>
      <c r="V896" s="552"/>
      <c r="W896" s="552"/>
      <c r="X896" s="552"/>
      <c r="Y896" s="552"/>
      <c r="Z896" s="552"/>
    </row>
    <row r="897">
      <c r="A897" s="559"/>
      <c r="B897" s="560"/>
      <c r="C897" s="561"/>
      <c r="D897" s="562"/>
      <c r="E897" s="552"/>
      <c r="F897" s="552"/>
      <c r="G897" s="552"/>
      <c r="H897" s="552"/>
      <c r="I897" s="552"/>
      <c r="J897" s="552"/>
      <c r="K897" s="552"/>
      <c r="L897" s="552"/>
      <c r="M897" s="552"/>
      <c r="N897" s="552"/>
      <c r="O897" s="552"/>
      <c r="P897" s="552"/>
      <c r="Q897" s="552"/>
      <c r="R897" s="552"/>
      <c r="S897" s="552"/>
      <c r="T897" s="552"/>
      <c r="U897" s="552"/>
      <c r="V897" s="552"/>
      <c r="W897" s="552"/>
      <c r="X897" s="552"/>
      <c r="Y897" s="552"/>
      <c r="Z897" s="552"/>
    </row>
    <row r="898">
      <c r="A898" s="559"/>
      <c r="B898" s="560"/>
      <c r="C898" s="561"/>
      <c r="D898" s="562"/>
      <c r="E898" s="552"/>
      <c r="F898" s="552"/>
      <c r="G898" s="552"/>
      <c r="H898" s="552"/>
      <c r="I898" s="552"/>
      <c r="J898" s="552"/>
      <c r="K898" s="552"/>
      <c r="L898" s="552"/>
      <c r="M898" s="552"/>
      <c r="N898" s="552"/>
      <c r="O898" s="552"/>
      <c r="P898" s="552"/>
      <c r="Q898" s="552"/>
      <c r="R898" s="552"/>
      <c r="S898" s="552"/>
      <c r="T898" s="552"/>
      <c r="U898" s="552"/>
      <c r="V898" s="552"/>
      <c r="W898" s="552"/>
      <c r="X898" s="552"/>
      <c r="Y898" s="552"/>
      <c r="Z898" s="552"/>
    </row>
    <row r="899">
      <c r="A899" s="559"/>
      <c r="B899" s="560"/>
      <c r="C899" s="561"/>
      <c r="D899" s="562"/>
      <c r="E899" s="552"/>
      <c r="F899" s="552"/>
      <c r="G899" s="552"/>
      <c r="H899" s="552"/>
      <c r="I899" s="552"/>
      <c r="J899" s="552"/>
      <c r="K899" s="552"/>
      <c r="L899" s="552"/>
      <c r="M899" s="552"/>
      <c r="N899" s="552"/>
      <c r="O899" s="552"/>
      <c r="P899" s="552"/>
      <c r="Q899" s="552"/>
      <c r="R899" s="552"/>
      <c r="S899" s="552"/>
      <c r="T899" s="552"/>
      <c r="U899" s="552"/>
      <c r="V899" s="552"/>
      <c r="W899" s="552"/>
      <c r="X899" s="552"/>
      <c r="Y899" s="552"/>
      <c r="Z899" s="552"/>
    </row>
    <row r="900">
      <c r="A900" s="559"/>
      <c r="B900" s="560"/>
      <c r="C900" s="561"/>
      <c r="D900" s="562"/>
      <c r="E900" s="552"/>
      <c r="F900" s="552"/>
      <c r="G900" s="552"/>
      <c r="H900" s="552"/>
      <c r="I900" s="552"/>
      <c r="J900" s="552"/>
      <c r="K900" s="552"/>
      <c r="L900" s="552"/>
      <c r="M900" s="552"/>
      <c r="N900" s="552"/>
      <c r="O900" s="552"/>
      <c r="P900" s="552"/>
      <c r="Q900" s="552"/>
      <c r="R900" s="552"/>
      <c r="S900" s="552"/>
      <c r="T900" s="552"/>
      <c r="U900" s="552"/>
      <c r="V900" s="552"/>
      <c r="W900" s="552"/>
      <c r="X900" s="552"/>
      <c r="Y900" s="552"/>
      <c r="Z900" s="552"/>
    </row>
    <row r="901">
      <c r="A901" s="559"/>
      <c r="B901" s="560"/>
      <c r="C901" s="561"/>
      <c r="D901" s="562"/>
      <c r="E901" s="552"/>
      <c r="F901" s="552"/>
      <c r="G901" s="552"/>
      <c r="H901" s="552"/>
      <c r="I901" s="552"/>
      <c r="J901" s="552"/>
      <c r="K901" s="552"/>
      <c r="L901" s="552"/>
      <c r="M901" s="552"/>
      <c r="N901" s="552"/>
      <c r="O901" s="552"/>
      <c r="P901" s="552"/>
      <c r="Q901" s="552"/>
      <c r="R901" s="552"/>
      <c r="S901" s="552"/>
      <c r="T901" s="552"/>
      <c r="U901" s="552"/>
      <c r="V901" s="552"/>
      <c r="W901" s="552"/>
      <c r="X901" s="552"/>
      <c r="Y901" s="552"/>
      <c r="Z901" s="552"/>
    </row>
    <row r="902">
      <c r="A902" s="559"/>
      <c r="B902" s="560"/>
      <c r="C902" s="561"/>
      <c r="D902" s="562"/>
      <c r="E902" s="552"/>
      <c r="F902" s="552"/>
      <c r="G902" s="552"/>
      <c r="H902" s="552"/>
      <c r="I902" s="552"/>
      <c r="J902" s="552"/>
      <c r="K902" s="552"/>
      <c r="L902" s="552"/>
      <c r="M902" s="552"/>
      <c r="N902" s="552"/>
      <c r="O902" s="552"/>
      <c r="P902" s="552"/>
      <c r="Q902" s="552"/>
      <c r="R902" s="552"/>
      <c r="S902" s="552"/>
      <c r="T902" s="552"/>
      <c r="U902" s="552"/>
      <c r="V902" s="552"/>
      <c r="W902" s="552"/>
      <c r="X902" s="552"/>
      <c r="Y902" s="552"/>
      <c r="Z902" s="552"/>
    </row>
    <row r="903">
      <c r="A903" s="559"/>
      <c r="B903" s="560"/>
      <c r="C903" s="561"/>
      <c r="D903" s="562"/>
      <c r="E903" s="552"/>
      <c r="F903" s="552"/>
      <c r="G903" s="552"/>
      <c r="H903" s="552"/>
      <c r="I903" s="552"/>
      <c r="J903" s="552"/>
      <c r="K903" s="552"/>
      <c r="L903" s="552"/>
      <c r="M903" s="552"/>
      <c r="N903" s="552"/>
      <c r="O903" s="552"/>
      <c r="P903" s="552"/>
      <c r="Q903" s="552"/>
      <c r="R903" s="552"/>
      <c r="S903" s="552"/>
      <c r="T903" s="552"/>
      <c r="U903" s="552"/>
      <c r="V903" s="552"/>
      <c r="W903" s="552"/>
      <c r="X903" s="552"/>
      <c r="Y903" s="552"/>
      <c r="Z903" s="552"/>
    </row>
    <row r="904">
      <c r="A904" s="559"/>
      <c r="B904" s="560"/>
      <c r="C904" s="561"/>
      <c r="D904" s="562"/>
      <c r="E904" s="552"/>
      <c r="F904" s="552"/>
      <c r="G904" s="552"/>
      <c r="H904" s="552"/>
      <c r="I904" s="552"/>
      <c r="J904" s="552"/>
      <c r="K904" s="552"/>
      <c r="L904" s="552"/>
      <c r="M904" s="552"/>
      <c r="N904" s="552"/>
      <c r="O904" s="552"/>
      <c r="P904" s="552"/>
      <c r="Q904" s="552"/>
      <c r="R904" s="552"/>
      <c r="S904" s="552"/>
      <c r="T904" s="552"/>
      <c r="U904" s="552"/>
      <c r="V904" s="552"/>
      <c r="W904" s="552"/>
      <c r="X904" s="552"/>
      <c r="Y904" s="552"/>
      <c r="Z904" s="552"/>
    </row>
    <row r="905">
      <c r="A905" s="559"/>
      <c r="B905" s="560"/>
      <c r="C905" s="561"/>
      <c r="D905" s="562"/>
      <c r="E905" s="552"/>
      <c r="F905" s="552"/>
      <c r="G905" s="552"/>
      <c r="H905" s="552"/>
      <c r="I905" s="552"/>
      <c r="J905" s="552"/>
      <c r="K905" s="552"/>
      <c r="L905" s="552"/>
      <c r="M905" s="552"/>
      <c r="N905" s="552"/>
      <c r="O905" s="552"/>
      <c r="P905" s="552"/>
      <c r="Q905" s="552"/>
      <c r="R905" s="552"/>
      <c r="S905" s="552"/>
      <c r="T905" s="552"/>
      <c r="U905" s="552"/>
      <c r="V905" s="552"/>
      <c r="W905" s="552"/>
      <c r="X905" s="552"/>
      <c r="Y905" s="552"/>
      <c r="Z905" s="552"/>
    </row>
    <row r="906">
      <c r="A906" s="559"/>
      <c r="B906" s="560"/>
      <c r="C906" s="561"/>
      <c r="D906" s="562"/>
      <c r="E906" s="552"/>
      <c r="F906" s="552"/>
      <c r="G906" s="552"/>
      <c r="H906" s="552"/>
      <c r="I906" s="552"/>
      <c r="J906" s="552"/>
      <c r="K906" s="552"/>
      <c r="L906" s="552"/>
      <c r="M906" s="552"/>
      <c r="N906" s="552"/>
      <c r="O906" s="552"/>
      <c r="P906" s="552"/>
      <c r="Q906" s="552"/>
      <c r="R906" s="552"/>
      <c r="S906" s="552"/>
      <c r="T906" s="552"/>
      <c r="U906" s="552"/>
      <c r="V906" s="552"/>
      <c r="W906" s="552"/>
      <c r="X906" s="552"/>
      <c r="Y906" s="552"/>
      <c r="Z906" s="552"/>
    </row>
    <row r="907">
      <c r="A907" s="559"/>
      <c r="B907" s="560"/>
      <c r="C907" s="561"/>
      <c r="D907" s="562"/>
      <c r="E907" s="552"/>
      <c r="F907" s="552"/>
      <c r="G907" s="552"/>
      <c r="H907" s="552"/>
      <c r="I907" s="552"/>
      <c r="J907" s="552"/>
      <c r="K907" s="552"/>
      <c r="L907" s="552"/>
      <c r="M907" s="552"/>
      <c r="N907" s="552"/>
      <c r="O907" s="552"/>
      <c r="P907" s="552"/>
      <c r="Q907" s="552"/>
      <c r="R907" s="552"/>
      <c r="S907" s="552"/>
      <c r="T907" s="552"/>
      <c r="U907" s="552"/>
      <c r="V907" s="552"/>
      <c r="W907" s="552"/>
      <c r="X907" s="552"/>
      <c r="Y907" s="552"/>
      <c r="Z907" s="552"/>
    </row>
    <row r="908">
      <c r="A908" s="559"/>
      <c r="B908" s="560"/>
      <c r="C908" s="561"/>
      <c r="D908" s="562"/>
      <c r="E908" s="552"/>
      <c r="F908" s="552"/>
      <c r="G908" s="552"/>
      <c r="H908" s="552"/>
      <c r="I908" s="552"/>
      <c r="J908" s="552"/>
      <c r="K908" s="552"/>
      <c r="L908" s="552"/>
      <c r="M908" s="552"/>
      <c r="N908" s="552"/>
      <c r="O908" s="552"/>
      <c r="P908" s="552"/>
      <c r="Q908" s="552"/>
      <c r="R908" s="552"/>
      <c r="S908" s="552"/>
      <c r="T908" s="552"/>
      <c r="U908" s="552"/>
      <c r="V908" s="552"/>
      <c r="W908" s="552"/>
      <c r="X908" s="552"/>
      <c r="Y908" s="552"/>
      <c r="Z908" s="552"/>
    </row>
    <row r="909">
      <c r="A909" s="559"/>
      <c r="B909" s="560"/>
      <c r="C909" s="561"/>
      <c r="D909" s="562"/>
      <c r="E909" s="552"/>
      <c r="F909" s="552"/>
      <c r="G909" s="552"/>
      <c r="H909" s="552"/>
      <c r="I909" s="552"/>
      <c r="J909" s="552"/>
      <c r="K909" s="552"/>
      <c r="L909" s="552"/>
      <c r="M909" s="552"/>
      <c r="N909" s="552"/>
      <c r="O909" s="552"/>
      <c r="P909" s="552"/>
      <c r="Q909" s="552"/>
      <c r="R909" s="552"/>
      <c r="S909" s="552"/>
      <c r="T909" s="552"/>
      <c r="U909" s="552"/>
      <c r="V909" s="552"/>
      <c r="W909" s="552"/>
      <c r="X909" s="552"/>
      <c r="Y909" s="552"/>
      <c r="Z909" s="552"/>
    </row>
    <row r="910">
      <c r="A910" s="559"/>
      <c r="B910" s="560"/>
      <c r="C910" s="561"/>
      <c r="D910" s="562"/>
      <c r="E910" s="552"/>
      <c r="F910" s="552"/>
      <c r="G910" s="552"/>
      <c r="H910" s="552"/>
      <c r="I910" s="552"/>
      <c r="J910" s="552"/>
      <c r="K910" s="552"/>
      <c r="L910" s="552"/>
      <c r="M910" s="552"/>
      <c r="N910" s="552"/>
      <c r="O910" s="552"/>
      <c r="P910" s="552"/>
      <c r="Q910" s="552"/>
      <c r="R910" s="552"/>
      <c r="S910" s="552"/>
      <c r="T910" s="552"/>
      <c r="U910" s="552"/>
      <c r="V910" s="552"/>
      <c r="W910" s="552"/>
      <c r="X910" s="552"/>
      <c r="Y910" s="552"/>
      <c r="Z910" s="552"/>
    </row>
    <row r="911">
      <c r="A911" s="559"/>
      <c r="B911" s="560"/>
      <c r="C911" s="561"/>
      <c r="D911" s="562"/>
      <c r="E911" s="552"/>
      <c r="F911" s="552"/>
      <c r="G911" s="552"/>
      <c r="H911" s="552"/>
      <c r="I911" s="552"/>
      <c r="J911" s="552"/>
      <c r="K911" s="552"/>
      <c r="L911" s="552"/>
      <c r="M911" s="552"/>
      <c r="N911" s="552"/>
      <c r="O911" s="552"/>
      <c r="P911" s="552"/>
      <c r="Q911" s="552"/>
      <c r="R911" s="552"/>
      <c r="S911" s="552"/>
      <c r="T911" s="552"/>
      <c r="U911" s="552"/>
      <c r="V911" s="552"/>
      <c r="W911" s="552"/>
      <c r="X911" s="552"/>
      <c r="Y911" s="552"/>
      <c r="Z911" s="552"/>
    </row>
    <row r="912">
      <c r="A912" s="559"/>
      <c r="B912" s="560"/>
      <c r="C912" s="561"/>
      <c r="D912" s="562"/>
      <c r="E912" s="552"/>
      <c r="F912" s="552"/>
      <c r="G912" s="552"/>
      <c r="H912" s="552"/>
      <c r="I912" s="552"/>
      <c r="J912" s="552"/>
      <c r="K912" s="552"/>
      <c r="L912" s="552"/>
      <c r="M912" s="552"/>
      <c r="N912" s="552"/>
      <c r="O912" s="552"/>
      <c r="P912" s="552"/>
      <c r="Q912" s="552"/>
      <c r="R912" s="552"/>
      <c r="S912" s="552"/>
      <c r="T912" s="552"/>
      <c r="U912" s="552"/>
      <c r="V912" s="552"/>
      <c r="W912" s="552"/>
      <c r="X912" s="552"/>
      <c r="Y912" s="552"/>
      <c r="Z912" s="552"/>
    </row>
    <row r="913">
      <c r="A913" s="559"/>
      <c r="B913" s="560"/>
      <c r="C913" s="561"/>
      <c r="D913" s="562"/>
      <c r="E913" s="552"/>
      <c r="F913" s="552"/>
      <c r="G913" s="552"/>
      <c r="H913" s="552"/>
      <c r="I913" s="552"/>
      <c r="J913" s="552"/>
      <c r="K913" s="552"/>
      <c r="L913" s="552"/>
      <c r="M913" s="552"/>
      <c r="N913" s="552"/>
      <c r="O913" s="552"/>
      <c r="P913" s="552"/>
      <c r="Q913" s="552"/>
      <c r="R913" s="552"/>
      <c r="S913" s="552"/>
      <c r="T913" s="552"/>
      <c r="U913" s="552"/>
      <c r="V913" s="552"/>
      <c r="W913" s="552"/>
      <c r="X913" s="552"/>
      <c r="Y913" s="552"/>
      <c r="Z913" s="552"/>
    </row>
    <row r="914">
      <c r="A914" s="559"/>
      <c r="B914" s="560"/>
      <c r="C914" s="561"/>
      <c r="D914" s="562"/>
      <c r="E914" s="552"/>
      <c r="F914" s="552"/>
      <c r="G914" s="552"/>
      <c r="H914" s="552"/>
      <c r="I914" s="552"/>
      <c r="J914" s="552"/>
      <c r="K914" s="552"/>
      <c r="L914" s="552"/>
      <c r="M914" s="552"/>
      <c r="N914" s="552"/>
      <c r="O914" s="552"/>
      <c r="P914" s="552"/>
      <c r="Q914" s="552"/>
      <c r="R914" s="552"/>
      <c r="S914" s="552"/>
      <c r="T914" s="552"/>
      <c r="U914" s="552"/>
      <c r="V914" s="552"/>
      <c r="W914" s="552"/>
      <c r="X914" s="552"/>
      <c r="Y914" s="552"/>
      <c r="Z914" s="552"/>
    </row>
    <row r="915">
      <c r="A915" s="559"/>
      <c r="B915" s="560"/>
      <c r="C915" s="561"/>
      <c r="D915" s="562"/>
      <c r="E915" s="552"/>
      <c r="F915" s="552"/>
      <c r="G915" s="552"/>
      <c r="H915" s="552"/>
      <c r="I915" s="552"/>
      <c r="J915" s="552"/>
      <c r="K915" s="552"/>
      <c r="L915" s="552"/>
      <c r="M915" s="552"/>
      <c r="N915" s="552"/>
      <c r="O915" s="552"/>
      <c r="P915" s="552"/>
      <c r="Q915" s="552"/>
      <c r="R915" s="552"/>
      <c r="S915" s="552"/>
      <c r="T915" s="552"/>
      <c r="U915" s="552"/>
      <c r="V915" s="552"/>
      <c r="W915" s="552"/>
      <c r="X915" s="552"/>
      <c r="Y915" s="552"/>
      <c r="Z915" s="552"/>
    </row>
    <row r="916">
      <c r="A916" s="559"/>
      <c r="B916" s="560"/>
      <c r="C916" s="561"/>
      <c r="D916" s="562"/>
      <c r="E916" s="552"/>
      <c r="F916" s="552"/>
      <c r="G916" s="552"/>
      <c r="H916" s="552"/>
      <c r="I916" s="552"/>
      <c r="J916" s="552"/>
      <c r="K916" s="552"/>
      <c r="L916" s="552"/>
      <c r="M916" s="552"/>
      <c r="N916" s="552"/>
      <c r="O916" s="552"/>
      <c r="P916" s="552"/>
      <c r="Q916" s="552"/>
      <c r="R916" s="552"/>
      <c r="S916" s="552"/>
      <c r="T916" s="552"/>
      <c r="U916" s="552"/>
      <c r="V916" s="552"/>
      <c r="W916" s="552"/>
      <c r="X916" s="552"/>
      <c r="Y916" s="552"/>
      <c r="Z916" s="552"/>
    </row>
    <row r="917">
      <c r="A917" s="559"/>
      <c r="B917" s="560"/>
      <c r="C917" s="561"/>
      <c r="D917" s="562"/>
      <c r="E917" s="552"/>
      <c r="F917" s="552"/>
      <c r="G917" s="552"/>
      <c r="H917" s="552"/>
      <c r="I917" s="552"/>
      <c r="J917" s="552"/>
      <c r="K917" s="552"/>
      <c r="L917" s="552"/>
      <c r="M917" s="552"/>
      <c r="N917" s="552"/>
      <c r="O917" s="552"/>
      <c r="P917" s="552"/>
      <c r="Q917" s="552"/>
      <c r="R917" s="552"/>
      <c r="S917" s="552"/>
      <c r="T917" s="552"/>
      <c r="U917" s="552"/>
      <c r="V917" s="552"/>
      <c r="W917" s="552"/>
      <c r="X917" s="552"/>
      <c r="Y917" s="552"/>
      <c r="Z917" s="552"/>
    </row>
    <row r="918">
      <c r="A918" s="559"/>
      <c r="B918" s="560"/>
      <c r="C918" s="561"/>
      <c r="D918" s="562"/>
      <c r="E918" s="552"/>
      <c r="F918" s="552"/>
      <c r="G918" s="552"/>
      <c r="H918" s="552"/>
      <c r="I918" s="552"/>
      <c r="J918" s="552"/>
      <c r="K918" s="552"/>
      <c r="L918" s="552"/>
      <c r="M918" s="552"/>
      <c r="N918" s="552"/>
      <c r="O918" s="552"/>
      <c r="P918" s="552"/>
      <c r="Q918" s="552"/>
      <c r="R918" s="552"/>
      <c r="S918" s="552"/>
      <c r="T918" s="552"/>
      <c r="U918" s="552"/>
      <c r="V918" s="552"/>
      <c r="W918" s="552"/>
      <c r="X918" s="552"/>
      <c r="Y918" s="552"/>
      <c r="Z918" s="552"/>
    </row>
    <row r="919">
      <c r="A919" s="559"/>
      <c r="B919" s="560"/>
      <c r="C919" s="561"/>
      <c r="D919" s="562"/>
      <c r="E919" s="552"/>
      <c r="F919" s="552"/>
      <c r="G919" s="552"/>
      <c r="H919" s="552"/>
      <c r="I919" s="552"/>
      <c r="J919" s="552"/>
      <c r="K919" s="552"/>
      <c r="L919" s="552"/>
      <c r="M919" s="552"/>
      <c r="N919" s="552"/>
      <c r="O919" s="552"/>
      <c r="P919" s="552"/>
      <c r="Q919" s="552"/>
      <c r="R919" s="552"/>
      <c r="S919" s="552"/>
      <c r="T919" s="552"/>
      <c r="U919" s="552"/>
      <c r="V919" s="552"/>
      <c r="W919" s="552"/>
      <c r="X919" s="552"/>
      <c r="Y919" s="552"/>
      <c r="Z919" s="552"/>
    </row>
    <row r="920">
      <c r="A920" s="559"/>
      <c r="B920" s="560"/>
      <c r="C920" s="561"/>
      <c r="D920" s="562"/>
      <c r="E920" s="552"/>
      <c r="F920" s="552"/>
      <c r="G920" s="552"/>
      <c r="H920" s="552"/>
      <c r="I920" s="552"/>
      <c r="J920" s="552"/>
      <c r="K920" s="552"/>
      <c r="L920" s="552"/>
      <c r="M920" s="552"/>
      <c r="N920" s="552"/>
      <c r="O920" s="552"/>
      <c r="P920" s="552"/>
      <c r="Q920" s="552"/>
      <c r="R920" s="552"/>
      <c r="S920" s="552"/>
      <c r="T920" s="552"/>
      <c r="U920" s="552"/>
      <c r="V920" s="552"/>
      <c r="W920" s="552"/>
      <c r="X920" s="552"/>
      <c r="Y920" s="552"/>
      <c r="Z920" s="552"/>
    </row>
    <row r="921">
      <c r="A921" s="559"/>
      <c r="B921" s="560"/>
      <c r="C921" s="561"/>
      <c r="D921" s="562"/>
      <c r="E921" s="552"/>
      <c r="F921" s="552"/>
      <c r="G921" s="552"/>
      <c r="H921" s="552"/>
      <c r="I921" s="552"/>
      <c r="J921" s="552"/>
      <c r="K921" s="552"/>
      <c r="L921" s="552"/>
      <c r="M921" s="552"/>
      <c r="N921" s="552"/>
      <c r="O921" s="552"/>
      <c r="P921" s="552"/>
      <c r="Q921" s="552"/>
      <c r="R921" s="552"/>
      <c r="S921" s="552"/>
      <c r="T921" s="552"/>
      <c r="U921" s="552"/>
      <c r="V921" s="552"/>
      <c r="W921" s="552"/>
      <c r="X921" s="552"/>
      <c r="Y921" s="552"/>
      <c r="Z921" s="552"/>
    </row>
    <row r="922">
      <c r="A922" s="559"/>
      <c r="B922" s="560"/>
      <c r="C922" s="561"/>
      <c r="D922" s="562"/>
      <c r="E922" s="552"/>
      <c r="F922" s="552"/>
      <c r="G922" s="552"/>
      <c r="H922" s="552"/>
      <c r="I922" s="552"/>
      <c r="J922" s="552"/>
      <c r="K922" s="552"/>
      <c r="L922" s="552"/>
      <c r="M922" s="552"/>
      <c r="N922" s="552"/>
      <c r="O922" s="552"/>
      <c r="P922" s="552"/>
      <c r="Q922" s="552"/>
      <c r="R922" s="552"/>
      <c r="S922" s="552"/>
      <c r="T922" s="552"/>
      <c r="U922" s="552"/>
      <c r="V922" s="552"/>
      <c r="W922" s="552"/>
      <c r="X922" s="552"/>
      <c r="Y922" s="552"/>
      <c r="Z922" s="552"/>
    </row>
    <row r="923">
      <c r="A923" s="559"/>
      <c r="B923" s="560"/>
      <c r="C923" s="561"/>
      <c r="D923" s="562"/>
      <c r="E923" s="552"/>
      <c r="F923" s="552"/>
      <c r="G923" s="552"/>
      <c r="H923" s="552"/>
      <c r="I923" s="552"/>
      <c r="J923" s="552"/>
      <c r="K923" s="552"/>
      <c r="L923" s="552"/>
      <c r="M923" s="552"/>
      <c r="N923" s="552"/>
      <c r="O923" s="552"/>
      <c r="P923" s="552"/>
      <c r="Q923" s="552"/>
      <c r="R923" s="552"/>
      <c r="S923" s="552"/>
      <c r="T923" s="552"/>
      <c r="U923" s="552"/>
      <c r="V923" s="552"/>
      <c r="W923" s="552"/>
      <c r="X923" s="552"/>
      <c r="Y923" s="552"/>
      <c r="Z923" s="552"/>
    </row>
    <row r="924">
      <c r="A924" s="559"/>
      <c r="B924" s="560"/>
      <c r="C924" s="561"/>
      <c r="D924" s="562"/>
      <c r="E924" s="552"/>
      <c r="F924" s="552"/>
      <c r="G924" s="552"/>
      <c r="H924" s="552"/>
      <c r="I924" s="552"/>
      <c r="J924" s="552"/>
      <c r="K924" s="552"/>
      <c r="L924" s="552"/>
      <c r="M924" s="552"/>
      <c r="N924" s="552"/>
      <c r="O924" s="552"/>
      <c r="P924" s="552"/>
      <c r="Q924" s="552"/>
      <c r="R924" s="552"/>
      <c r="S924" s="552"/>
      <c r="T924" s="552"/>
      <c r="U924" s="552"/>
      <c r="V924" s="552"/>
      <c r="W924" s="552"/>
      <c r="X924" s="552"/>
      <c r="Y924" s="552"/>
      <c r="Z924" s="552"/>
    </row>
    <row r="925">
      <c r="A925" s="559"/>
      <c r="B925" s="560"/>
      <c r="C925" s="561"/>
      <c r="D925" s="562"/>
      <c r="E925" s="552"/>
      <c r="F925" s="552"/>
      <c r="G925" s="552"/>
      <c r="H925" s="552"/>
      <c r="I925" s="552"/>
      <c r="J925" s="552"/>
      <c r="K925" s="552"/>
      <c r="L925" s="552"/>
      <c r="M925" s="552"/>
      <c r="N925" s="552"/>
      <c r="O925" s="552"/>
      <c r="P925" s="552"/>
      <c r="Q925" s="552"/>
      <c r="R925" s="552"/>
      <c r="S925" s="552"/>
      <c r="T925" s="552"/>
      <c r="U925" s="552"/>
      <c r="V925" s="552"/>
      <c r="W925" s="552"/>
      <c r="X925" s="552"/>
      <c r="Y925" s="552"/>
      <c r="Z925" s="552"/>
    </row>
    <row r="926">
      <c r="A926" s="559"/>
      <c r="B926" s="560"/>
      <c r="C926" s="561"/>
      <c r="D926" s="562"/>
      <c r="E926" s="552"/>
      <c r="F926" s="552"/>
      <c r="G926" s="552"/>
      <c r="H926" s="552"/>
      <c r="I926" s="552"/>
      <c r="J926" s="552"/>
      <c r="K926" s="552"/>
      <c r="L926" s="552"/>
      <c r="M926" s="552"/>
      <c r="N926" s="552"/>
      <c r="O926" s="552"/>
      <c r="P926" s="552"/>
      <c r="Q926" s="552"/>
      <c r="R926" s="552"/>
      <c r="S926" s="552"/>
      <c r="T926" s="552"/>
      <c r="U926" s="552"/>
      <c r="V926" s="552"/>
      <c r="W926" s="552"/>
      <c r="X926" s="552"/>
      <c r="Y926" s="552"/>
      <c r="Z926" s="552"/>
    </row>
    <row r="927">
      <c r="A927" s="559"/>
      <c r="B927" s="560"/>
      <c r="C927" s="561"/>
      <c r="D927" s="562"/>
      <c r="E927" s="552"/>
      <c r="F927" s="552"/>
      <c r="G927" s="552"/>
      <c r="H927" s="552"/>
      <c r="I927" s="552"/>
      <c r="J927" s="552"/>
      <c r="K927" s="552"/>
      <c r="L927" s="552"/>
      <c r="M927" s="552"/>
      <c r="N927" s="552"/>
      <c r="O927" s="552"/>
      <c r="P927" s="552"/>
      <c r="Q927" s="552"/>
      <c r="R927" s="552"/>
      <c r="S927" s="552"/>
      <c r="T927" s="552"/>
      <c r="U927" s="552"/>
      <c r="V927" s="552"/>
      <c r="W927" s="552"/>
      <c r="X927" s="552"/>
      <c r="Y927" s="552"/>
      <c r="Z927" s="552"/>
    </row>
    <row r="928">
      <c r="A928" s="559"/>
      <c r="B928" s="560"/>
      <c r="C928" s="561"/>
      <c r="D928" s="562"/>
      <c r="E928" s="552"/>
      <c r="F928" s="552"/>
      <c r="G928" s="552"/>
      <c r="H928" s="552"/>
      <c r="I928" s="552"/>
      <c r="J928" s="552"/>
      <c r="K928" s="552"/>
      <c r="L928" s="552"/>
      <c r="M928" s="552"/>
      <c r="N928" s="552"/>
      <c r="O928" s="552"/>
      <c r="P928" s="552"/>
      <c r="Q928" s="552"/>
      <c r="R928" s="552"/>
      <c r="S928" s="552"/>
      <c r="T928" s="552"/>
      <c r="U928" s="552"/>
      <c r="V928" s="552"/>
      <c r="W928" s="552"/>
      <c r="X928" s="552"/>
      <c r="Y928" s="552"/>
      <c r="Z928" s="552"/>
    </row>
    <row r="929">
      <c r="A929" s="559"/>
      <c r="B929" s="560"/>
      <c r="C929" s="561"/>
      <c r="D929" s="562"/>
      <c r="E929" s="552"/>
      <c r="F929" s="552"/>
      <c r="G929" s="552"/>
      <c r="H929" s="552"/>
      <c r="I929" s="552"/>
      <c r="J929" s="552"/>
      <c r="K929" s="552"/>
      <c r="L929" s="552"/>
      <c r="M929" s="552"/>
      <c r="N929" s="552"/>
      <c r="O929" s="552"/>
      <c r="P929" s="552"/>
      <c r="Q929" s="552"/>
      <c r="R929" s="552"/>
      <c r="S929" s="552"/>
      <c r="T929" s="552"/>
      <c r="U929" s="552"/>
      <c r="V929" s="552"/>
      <c r="W929" s="552"/>
      <c r="X929" s="552"/>
      <c r="Y929" s="552"/>
      <c r="Z929" s="552"/>
    </row>
    <row r="930">
      <c r="A930" s="559"/>
      <c r="B930" s="560"/>
      <c r="C930" s="561"/>
      <c r="D930" s="562"/>
      <c r="E930" s="552"/>
      <c r="F930" s="552"/>
      <c r="G930" s="552"/>
      <c r="H930" s="552"/>
      <c r="I930" s="552"/>
      <c r="J930" s="552"/>
      <c r="K930" s="552"/>
      <c r="L930" s="552"/>
      <c r="M930" s="552"/>
      <c r="N930" s="552"/>
      <c r="O930" s="552"/>
      <c r="P930" s="552"/>
      <c r="Q930" s="552"/>
      <c r="R930" s="552"/>
      <c r="S930" s="552"/>
      <c r="T930" s="552"/>
      <c r="U930" s="552"/>
      <c r="V930" s="552"/>
      <c r="W930" s="552"/>
      <c r="X930" s="552"/>
      <c r="Y930" s="552"/>
      <c r="Z930" s="552"/>
    </row>
    <row r="931">
      <c r="A931" s="559"/>
      <c r="B931" s="560"/>
      <c r="C931" s="561"/>
      <c r="D931" s="562"/>
      <c r="E931" s="552"/>
      <c r="F931" s="552"/>
      <c r="G931" s="552"/>
      <c r="H931" s="552"/>
      <c r="I931" s="552"/>
      <c r="J931" s="552"/>
      <c r="K931" s="552"/>
      <c r="L931" s="552"/>
      <c r="M931" s="552"/>
      <c r="N931" s="552"/>
      <c r="O931" s="552"/>
      <c r="P931" s="552"/>
      <c r="Q931" s="552"/>
      <c r="R931" s="552"/>
      <c r="S931" s="552"/>
      <c r="T931" s="552"/>
      <c r="U931" s="552"/>
      <c r="V931" s="552"/>
      <c r="W931" s="552"/>
      <c r="X931" s="552"/>
      <c r="Y931" s="552"/>
      <c r="Z931" s="552"/>
    </row>
    <row r="932">
      <c r="A932" s="559"/>
      <c r="B932" s="560"/>
      <c r="C932" s="561"/>
      <c r="D932" s="562"/>
      <c r="E932" s="552"/>
      <c r="F932" s="552"/>
      <c r="G932" s="552"/>
      <c r="H932" s="552"/>
      <c r="I932" s="552"/>
      <c r="J932" s="552"/>
      <c r="K932" s="552"/>
      <c r="L932" s="552"/>
      <c r="M932" s="552"/>
      <c r="N932" s="552"/>
      <c r="O932" s="552"/>
      <c r="P932" s="552"/>
      <c r="Q932" s="552"/>
      <c r="R932" s="552"/>
      <c r="S932" s="552"/>
      <c r="T932" s="552"/>
      <c r="U932" s="552"/>
      <c r="V932" s="552"/>
      <c r="W932" s="552"/>
      <c r="X932" s="552"/>
      <c r="Y932" s="552"/>
      <c r="Z932" s="552"/>
    </row>
    <row r="933">
      <c r="A933" s="559"/>
      <c r="B933" s="560"/>
      <c r="C933" s="561"/>
      <c r="D933" s="562"/>
      <c r="E933" s="552"/>
      <c r="F933" s="552"/>
      <c r="G933" s="552"/>
      <c r="H933" s="552"/>
      <c r="I933" s="552"/>
      <c r="J933" s="552"/>
      <c r="K933" s="552"/>
      <c r="L933" s="552"/>
      <c r="M933" s="552"/>
      <c r="N933" s="552"/>
      <c r="O933" s="552"/>
      <c r="P933" s="552"/>
      <c r="Q933" s="552"/>
      <c r="R933" s="552"/>
      <c r="S933" s="552"/>
      <c r="T933" s="552"/>
      <c r="U933" s="552"/>
      <c r="V933" s="552"/>
      <c r="W933" s="552"/>
      <c r="X933" s="552"/>
      <c r="Y933" s="552"/>
      <c r="Z933" s="552"/>
    </row>
    <row r="934">
      <c r="A934" s="559"/>
      <c r="B934" s="560"/>
      <c r="C934" s="561"/>
      <c r="D934" s="562"/>
      <c r="E934" s="552"/>
      <c r="F934" s="552"/>
      <c r="G934" s="552"/>
      <c r="H934" s="552"/>
      <c r="I934" s="552"/>
      <c r="J934" s="552"/>
      <c r="K934" s="552"/>
      <c r="L934" s="552"/>
      <c r="M934" s="552"/>
      <c r="N934" s="552"/>
      <c r="O934" s="552"/>
      <c r="P934" s="552"/>
      <c r="Q934" s="552"/>
      <c r="R934" s="552"/>
      <c r="S934" s="552"/>
      <c r="T934" s="552"/>
      <c r="U934" s="552"/>
      <c r="V934" s="552"/>
      <c r="W934" s="552"/>
      <c r="X934" s="552"/>
      <c r="Y934" s="552"/>
      <c r="Z934" s="552"/>
    </row>
    <row r="935">
      <c r="A935" s="559"/>
      <c r="B935" s="560"/>
      <c r="C935" s="561"/>
      <c r="D935" s="562"/>
      <c r="E935" s="552"/>
      <c r="F935" s="552"/>
      <c r="G935" s="552"/>
      <c r="H935" s="552"/>
      <c r="I935" s="552"/>
      <c r="J935" s="552"/>
      <c r="K935" s="552"/>
      <c r="L935" s="552"/>
      <c r="M935" s="552"/>
      <c r="N935" s="552"/>
      <c r="O935" s="552"/>
      <c r="P935" s="552"/>
      <c r="Q935" s="552"/>
      <c r="R935" s="552"/>
      <c r="S935" s="552"/>
      <c r="T935" s="552"/>
      <c r="U935" s="552"/>
      <c r="V935" s="552"/>
      <c r="W935" s="552"/>
      <c r="X935" s="552"/>
      <c r="Y935" s="552"/>
      <c r="Z935" s="552"/>
    </row>
    <row r="936">
      <c r="A936" s="559"/>
      <c r="B936" s="560"/>
      <c r="C936" s="561"/>
      <c r="D936" s="562"/>
      <c r="E936" s="552"/>
      <c r="F936" s="552"/>
      <c r="G936" s="552"/>
      <c r="H936" s="552"/>
      <c r="I936" s="552"/>
      <c r="J936" s="552"/>
      <c r="K936" s="552"/>
      <c r="L936" s="552"/>
      <c r="M936" s="552"/>
      <c r="N936" s="552"/>
      <c r="O936" s="552"/>
      <c r="P936" s="552"/>
      <c r="Q936" s="552"/>
      <c r="R936" s="552"/>
      <c r="S936" s="552"/>
      <c r="T936" s="552"/>
      <c r="U936" s="552"/>
      <c r="V936" s="552"/>
      <c r="W936" s="552"/>
      <c r="X936" s="552"/>
      <c r="Y936" s="552"/>
      <c r="Z936" s="552"/>
    </row>
    <row r="937">
      <c r="A937" s="559"/>
      <c r="B937" s="560"/>
      <c r="C937" s="561"/>
      <c r="D937" s="562"/>
      <c r="E937" s="552"/>
      <c r="F937" s="552"/>
      <c r="G937" s="552"/>
      <c r="H937" s="552"/>
      <c r="I937" s="552"/>
      <c r="J937" s="552"/>
      <c r="K937" s="552"/>
      <c r="L937" s="552"/>
      <c r="M937" s="552"/>
      <c r="N937" s="552"/>
      <c r="O937" s="552"/>
      <c r="P937" s="552"/>
      <c r="Q937" s="552"/>
      <c r="R937" s="552"/>
      <c r="S937" s="552"/>
      <c r="T937" s="552"/>
      <c r="U937" s="552"/>
      <c r="V937" s="552"/>
      <c r="W937" s="552"/>
      <c r="X937" s="552"/>
      <c r="Y937" s="552"/>
      <c r="Z937" s="552"/>
    </row>
    <row r="938">
      <c r="A938" s="559"/>
      <c r="B938" s="560"/>
      <c r="C938" s="561"/>
      <c r="D938" s="562"/>
      <c r="E938" s="552"/>
      <c r="F938" s="552"/>
      <c r="G938" s="552"/>
      <c r="H938" s="552"/>
      <c r="I938" s="552"/>
      <c r="J938" s="552"/>
      <c r="K938" s="552"/>
      <c r="L938" s="552"/>
      <c r="M938" s="552"/>
      <c r="N938" s="552"/>
      <c r="O938" s="552"/>
      <c r="P938" s="552"/>
      <c r="Q938" s="552"/>
      <c r="R938" s="552"/>
      <c r="S938" s="552"/>
      <c r="T938" s="552"/>
      <c r="U938" s="552"/>
      <c r="V938" s="552"/>
      <c r="W938" s="552"/>
      <c r="X938" s="552"/>
      <c r="Y938" s="552"/>
      <c r="Z938" s="552"/>
    </row>
    <row r="939">
      <c r="A939" s="559"/>
      <c r="B939" s="560"/>
      <c r="C939" s="561"/>
      <c r="D939" s="562"/>
      <c r="E939" s="552"/>
      <c r="F939" s="552"/>
      <c r="G939" s="552"/>
      <c r="H939" s="552"/>
      <c r="I939" s="552"/>
      <c r="J939" s="552"/>
      <c r="K939" s="552"/>
      <c r="L939" s="552"/>
      <c r="M939" s="552"/>
      <c r="N939" s="552"/>
      <c r="O939" s="552"/>
      <c r="P939" s="552"/>
      <c r="Q939" s="552"/>
      <c r="R939" s="552"/>
      <c r="S939" s="552"/>
      <c r="T939" s="552"/>
      <c r="U939" s="552"/>
      <c r="V939" s="552"/>
      <c r="W939" s="552"/>
      <c r="X939" s="552"/>
      <c r="Y939" s="552"/>
      <c r="Z939" s="552"/>
    </row>
    <row r="940">
      <c r="A940" s="559"/>
      <c r="B940" s="560"/>
      <c r="C940" s="561"/>
      <c r="D940" s="562"/>
      <c r="E940" s="552"/>
      <c r="F940" s="552"/>
      <c r="G940" s="552"/>
      <c r="H940" s="552"/>
      <c r="I940" s="552"/>
      <c r="J940" s="552"/>
      <c r="K940" s="552"/>
      <c r="L940" s="552"/>
      <c r="M940" s="552"/>
      <c r="N940" s="552"/>
      <c r="O940" s="552"/>
      <c r="P940" s="552"/>
      <c r="Q940" s="552"/>
      <c r="R940" s="552"/>
      <c r="S940" s="552"/>
      <c r="T940" s="552"/>
      <c r="U940" s="552"/>
      <c r="V940" s="552"/>
      <c r="W940" s="552"/>
      <c r="X940" s="552"/>
      <c r="Y940" s="552"/>
      <c r="Z940" s="552"/>
    </row>
    <row r="941">
      <c r="A941" s="559"/>
      <c r="B941" s="560"/>
      <c r="C941" s="561"/>
      <c r="D941" s="562"/>
      <c r="E941" s="552"/>
      <c r="F941" s="552"/>
      <c r="G941" s="552"/>
      <c r="H941" s="552"/>
      <c r="I941" s="552"/>
      <c r="J941" s="552"/>
      <c r="K941" s="552"/>
      <c r="L941" s="552"/>
      <c r="M941" s="552"/>
      <c r="N941" s="552"/>
      <c r="O941" s="552"/>
      <c r="P941" s="552"/>
      <c r="Q941" s="552"/>
      <c r="R941" s="552"/>
      <c r="S941" s="552"/>
      <c r="T941" s="552"/>
      <c r="U941" s="552"/>
      <c r="V941" s="552"/>
      <c r="W941" s="552"/>
      <c r="X941" s="552"/>
      <c r="Y941" s="552"/>
      <c r="Z941" s="552"/>
    </row>
    <row r="942">
      <c r="A942" s="559"/>
      <c r="B942" s="560"/>
      <c r="C942" s="561"/>
      <c r="D942" s="562"/>
      <c r="E942" s="552"/>
      <c r="F942" s="552"/>
      <c r="G942" s="552"/>
      <c r="H942" s="552"/>
      <c r="I942" s="552"/>
      <c r="J942" s="552"/>
      <c r="K942" s="552"/>
      <c r="L942" s="552"/>
      <c r="M942" s="552"/>
      <c r="N942" s="552"/>
      <c r="O942" s="552"/>
      <c r="P942" s="552"/>
      <c r="Q942" s="552"/>
      <c r="R942" s="552"/>
      <c r="S942" s="552"/>
      <c r="T942" s="552"/>
      <c r="U942" s="552"/>
      <c r="V942" s="552"/>
      <c r="W942" s="552"/>
      <c r="X942" s="552"/>
      <c r="Y942" s="552"/>
      <c r="Z942" s="552"/>
    </row>
    <row r="943">
      <c r="A943" s="559"/>
      <c r="B943" s="560"/>
      <c r="C943" s="561"/>
      <c r="D943" s="562"/>
      <c r="E943" s="552"/>
      <c r="F943" s="552"/>
      <c r="G943" s="552"/>
      <c r="H943" s="552"/>
      <c r="I943" s="552"/>
      <c r="J943" s="552"/>
      <c r="K943" s="552"/>
      <c r="L943" s="552"/>
      <c r="M943" s="552"/>
      <c r="N943" s="552"/>
      <c r="O943" s="552"/>
      <c r="P943" s="552"/>
      <c r="Q943" s="552"/>
      <c r="R943" s="552"/>
      <c r="S943" s="552"/>
      <c r="T943" s="552"/>
      <c r="U943" s="552"/>
      <c r="V943" s="552"/>
      <c r="W943" s="552"/>
      <c r="X943" s="552"/>
      <c r="Y943" s="552"/>
      <c r="Z943" s="552"/>
    </row>
    <row r="944">
      <c r="A944" s="559"/>
      <c r="B944" s="560"/>
      <c r="C944" s="561"/>
      <c r="D944" s="562"/>
      <c r="E944" s="552"/>
      <c r="F944" s="552"/>
      <c r="G944" s="552"/>
      <c r="H944" s="552"/>
      <c r="I944" s="552"/>
      <c r="J944" s="552"/>
      <c r="K944" s="552"/>
      <c r="L944" s="552"/>
      <c r="M944" s="552"/>
      <c r="N944" s="552"/>
      <c r="O944" s="552"/>
      <c r="P944" s="552"/>
      <c r="Q944" s="552"/>
      <c r="R944" s="552"/>
      <c r="S944" s="552"/>
      <c r="T944" s="552"/>
      <c r="U944" s="552"/>
      <c r="V944" s="552"/>
      <c r="W944" s="552"/>
      <c r="X944" s="552"/>
      <c r="Y944" s="552"/>
      <c r="Z944" s="552"/>
    </row>
    <row r="945">
      <c r="A945" s="559"/>
      <c r="B945" s="560"/>
      <c r="C945" s="561"/>
      <c r="D945" s="562"/>
      <c r="E945" s="552"/>
      <c r="F945" s="552"/>
      <c r="G945" s="552"/>
      <c r="H945" s="552"/>
      <c r="I945" s="552"/>
      <c r="J945" s="552"/>
      <c r="K945" s="552"/>
      <c r="L945" s="552"/>
      <c r="M945" s="552"/>
      <c r="N945" s="552"/>
      <c r="O945" s="552"/>
      <c r="P945" s="552"/>
      <c r="Q945" s="552"/>
      <c r="R945" s="552"/>
      <c r="S945" s="552"/>
      <c r="T945" s="552"/>
      <c r="U945" s="552"/>
      <c r="V945" s="552"/>
      <c r="W945" s="552"/>
      <c r="X945" s="552"/>
      <c r="Y945" s="552"/>
      <c r="Z945" s="552"/>
    </row>
    <row r="946">
      <c r="A946" s="559"/>
      <c r="B946" s="560"/>
      <c r="C946" s="561"/>
      <c r="D946" s="562"/>
      <c r="E946" s="552"/>
      <c r="F946" s="552"/>
      <c r="G946" s="552"/>
      <c r="H946" s="552"/>
      <c r="I946" s="552"/>
      <c r="J946" s="552"/>
      <c r="K946" s="552"/>
      <c r="L946" s="552"/>
      <c r="M946" s="552"/>
      <c r="N946" s="552"/>
      <c r="O946" s="552"/>
      <c r="P946" s="552"/>
      <c r="Q946" s="552"/>
      <c r="R946" s="552"/>
      <c r="S946" s="552"/>
      <c r="T946" s="552"/>
      <c r="U946" s="552"/>
      <c r="V946" s="552"/>
      <c r="W946" s="552"/>
      <c r="X946" s="552"/>
      <c r="Y946" s="552"/>
      <c r="Z946" s="552"/>
    </row>
    <row r="947">
      <c r="A947" s="559"/>
      <c r="B947" s="560"/>
      <c r="C947" s="561"/>
      <c r="D947" s="562"/>
      <c r="E947" s="552"/>
      <c r="F947" s="552"/>
      <c r="G947" s="552"/>
      <c r="H947" s="552"/>
      <c r="I947" s="552"/>
      <c r="J947" s="552"/>
      <c r="K947" s="552"/>
      <c r="L947" s="552"/>
      <c r="M947" s="552"/>
      <c r="N947" s="552"/>
      <c r="O947" s="552"/>
      <c r="P947" s="552"/>
      <c r="Q947" s="552"/>
      <c r="R947" s="552"/>
      <c r="S947" s="552"/>
      <c r="T947" s="552"/>
      <c r="U947" s="552"/>
      <c r="V947" s="552"/>
      <c r="W947" s="552"/>
      <c r="X947" s="552"/>
      <c r="Y947" s="552"/>
      <c r="Z947" s="552"/>
    </row>
    <row r="948">
      <c r="A948" s="559"/>
      <c r="B948" s="560"/>
      <c r="C948" s="561"/>
      <c r="D948" s="562"/>
      <c r="E948" s="552"/>
      <c r="F948" s="552"/>
      <c r="G948" s="552"/>
      <c r="H948" s="552"/>
      <c r="I948" s="552"/>
      <c r="J948" s="552"/>
      <c r="K948" s="552"/>
      <c r="L948" s="552"/>
      <c r="M948" s="552"/>
      <c r="N948" s="552"/>
      <c r="O948" s="552"/>
      <c r="P948" s="552"/>
      <c r="Q948" s="552"/>
      <c r="R948" s="552"/>
      <c r="S948" s="552"/>
      <c r="T948" s="552"/>
      <c r="U948" s="552"/>
      <c r="V948" s="552"/>
      <c r="W948" s="552"/>
      <c r="X948" s="552"/>
      <c r="Y948" s="552"/>
      <c r="Z948" s="552"/>
    </row>
    <row r="949">
      <c r="A949" s="559"/>
      <c r="B949" s="560"/>
      <c r="C949" s="561"/>
      <c r="D949" s="562"/>
      <c r="E949" s="552"/>
      <c r="F949" s="552"/>
      <c r="G949" s="552"/>
      <c r="H949" s="552"/>
      <c r="I949" s="552"/>
      <c r="J949" s="552"/>
      <c r="K949" s="552"/>
      <c r="L949" s="552"/>
      <c r="M949" s="552"/>
      <c r="N949" s="552"/>
      <c r="O949" s="552"/>
      <c r="P949" s="552"/>
      <c r="Q949" s="552"/>
      <c r="R949" s="552"/>
      <c r="S949" s="552"/>
      <c r="T949" s="552"/>
      <c r="U949" s="552"/>
      <c r="V949" s="552"/>
      <c r="W949" s="552"/>
      <c r="X949" s="552"/>
      <c r="Y949" s="552"/>
      <c r="Z949" s="552"/>
    </row>
    <row r="950">
      <c r="A950" s="559"/>
      <c r="B950" s="560"/>
      <c r="C950" s="561"/>
      <c r="D950" s="562"/>
      <c r="E950" s="552"/>
      <c r="F950" s="552"/>
      <c r="G950" s="552"/>
      <c r="H950" s="552"/>
      <c r="I950" s="552"/>
      <c r="J950" s="552"/>
      <c r="K950" s="552"/>
      <c r="L950" s="552"/>
      <c r="M950" s="552"/>
      <c r="N950" s="552"/>
      <c r="O950" s="552"/>
      <c r="P950" s="552"/>
      <c r="Q950" s="552"/>
      <c r="R950" s="552"/>
      <c r="S950" s="552"/>
      <c r="T950" s="552"/>
      <c r="U950" s="552"/>
      <c r="V950" s="552"/>
      <c r="W950" s="552"/>
      <c r="X950" s="552"/>
      <c r="Y950" s="552"/>
      <c r="Z950" s="552"/>
    </row>
    <row r="951">
      <c r="A951" s="559"/>
      <c r="B951" s="560"/>
      <c r="C951" s="561"/>
      <c r="D951" s="562"/>
      <c r="E951" s="552"/>
      <c r="F951" s="552"/>
      <c r="G951" s="552"/>
      <c r="H951" s="552"/>
      <c r="I951" s="552"/>
      <c r="J951" s="552"/>
      <c r="K951" s="552"/>
      <c r="L951" s="552"/>
      <c r="M951" s="552"/>
      <c r="N951" s="552"/>
      <c r="O951" s="552"/>
      <c r="P951" s="552"/>
      <c r="Q951" s="552"/>
      <c r="R951" s="552"/>
      <c r="S951" s="552"/>
      <c r="T951" s="552"/>
      <c r="U951" s="552"/>
      <c r="V951" s="552"/>
      <c r="W951" s="552"/>
      <c r="X951" s="552"/>
      <c r="Y951" s="552"/>
      <c r="Z951" s="552"/>
    </row>
    <row r="952">
      <c r="A952" s="559"/>
      <c r="B952" s="560"/>
      <c r="C952" s="561"/>
      <c r="D952" s="562"/>
      <c r="E952" s="552"/>
      <c r="F952" s="552"/>
      <c r="G952" s="552"/>
      <c r="H952" s="552"/>
      <c r="I952" s="552"/>
      <c r="J952" s="552"/>
      <c r="K952" s="552"/>
      <c r="L952" s="552"/>
      <c r="M952" s="552"/>
      <c r="N952" s="552"/>
      <c r="O952" s="552"/>
      <c r="P952" s="552"/>
      <c r="Q952" s="552"/>
      <c r="R952" s="552"/>
      <c r="S952" s="552"/>
      <c r="T952" s="552"/>
      <c r="U952" s="552"/>
      <c r="V952" s="552"/>
      <c r="W952" s="552"/>
      <c r="X952" s="552"/>
      <c r="Y952" s="552"/>
      <c r="Z952" s="552"/>
    </row>
    <row r="953">
      <c r="A953" s="559"/>
      <c r="B953" s="560"/>
      <c r="C953" s="561"/>
      <c r="D953" s="562"/>
      <c r="E953" s="552"/>
      <c r="F953" s="552"/>
      <c r="G953" s="552"/>
      <c r="H953" s="552"/>
      <c r="I953" s="552"/>
      <c r="J953" s="552"/>
      <c r="K953" s="552"/>
      <c r="L953" s="552"/>
      <c r="M953" s="552"/>
      <c r="N953" s="552"/>
      <c r="O953" s="552"/>
      <c r="P953" s="552"/>
      <c r="Q953" s="552"/>
      <c r="R953" s="552"/>
      <c r="S953" s="552"/>
      <c r="T953" s="552"/>
      <c r="U953" s="552"/>
      <c r="V953" s="552"/>
      <c r="W953" s="552"/>
      <c r="X953" s="552"/>
      <c r="Y953" s="552"/>
      <c r="Z953" s="552"/>
    </row>
    <row r="954">
      <c r="A954" s="559"/>
      <c r="B954" s="560"/>
      <c r="C954" s="561"/>
      <c r="D954" s="562"/>
      <c r="E954" s="552"/>
      <c r="F954" s="552"/>
      <c r="G954" s="552"/>
      <c r="H954" s="552"/>
      <c r="I954" s="552"/>
      <c r="J954" s="552"/>
      <c r="K954" s="552"/>
      <c r="L954" s="552"/>
      <c r="M954" s="552"/>
      <c r="N954" s="552"/>
      <c r="O954" s="552"/>
      <c r="P954" s="552"/>
      <c r="Q954" s="552"/>
      <c r="R954" s="552"/>
      <c r="S954" s="552"/>
      <c r="T954" s="552"/>
      <c r="U954" s="552"/>
      <c r="V954" s="552"/>
      <c r="W954" s="552"/>
      <c r="X954" s="552"/>
      <c r="Y954" s="552"/>
      <c r="Z954" s="552"/>
    </row>
    <row r="955">
      <c r="A955" s="559"/>
      <c r="B955" s="560"/>
      <c r="C955" s="561"/>
      <c r="D955" s="562"/>
      <c r="E955" s="552"/>
      <c r="F955" s="552"/>
      <c r="G955" s="552"/>
      <c r="H955" s="552"/>
      <c r="I955" s="552"/>
      <c r="J955" s="552"/>
      <c r="K955" s="552"/>
      <c r="L955" s="552"/>
      <c r="M955" s="552"/>
      <c r="N955" s="552"/>
      <c r="O955" s="552"/>
      <c r="P955" s="552"/>
      <c r="Q955" s="552"/>
      <c r="R955" s="552"/>
      <c r="S955" s="552"/>
      <c r="T955" s="552"/>
      <c r="U955" s="552"/>
      <c r="V955" s="552"/>
      <c r="W955" s="552"/>
      <c r="X955" s="552"/>
      <c r="Y955" s="552"/>
      <c r="Z955" s="552"/>
    </row>
    <row r="956">
      <c r="A956" s="559"/>
      <c r="B956" s="560"/>
      <c r="C956" s="561"/>
      <c r="D956" s="562"/>
      <c r="E956" s="552"/>
      <c r="F956" s="552"/>
      <c r="G956" s="552"/>
      <c r="H956" s="552"/>
      <c r="I956" s="552"/>
      <c r="J956" s="552"/>
      <c r="K956" s="552"/>
      <c r="L956" s="552"/>
      <c r="M956" s="552"/>
      <c r="N956" s="552"/>
      <c r="O956" s="552"/>
      <c r="P956" s="552"/>
      <c r="Q956" s="552"/>
      <c r="R956" s="552"/>
      <c r="S956" s="552"/>
      <c r="T956" s="552"/>
      <c r="U956" s="552"/>
      <c r="V956" s="552"/>
      <c r="W956" s="552"/>
      <c r="X956" s="552"/>
      <c r="Y956" s="552"/>
      <c r="Z956" s="552"/>
    </row>
    <row r="957">
      <c r="A957" s="559"/>
      <c r="B957" s="560"/>
      <c r="C957" s="561"/>
      <c r="D957" s="562"/>
      <c r="E957" s="552"/>
      <c r="F957" s="552"/>
      <c r="G957" s="552"/>
      <c r="H957" s="552"/>
      <c r="I957" s="552"/>
      <c r="J957" s="552"/>
      <c r="K957" s="552"/>
      <c r="L957" s="552"/>
      <c r="M957" s="552"/>
      <c r="N957" s="552"/>
      <c r="O957" s="552"/>
      <c r="P957" s="552"/>
      <c r="Q957" s="552"/>
      <c r="R957" s="552"/>
      <c r="S957" s="552"/>
      <c r="T957" s="552"/>
      <c r="U957" s="552"/>
      <c r="V957" s="552"/>
      <c r="W957" s="552"/>
      <c r="X957" s="552"/>
      <c r="Y957" s="552"/>
      <c r="Z957" s="552"/>
    </row>
    <row r="958">
      <c r="A958" s="559"/>
      <c r="B958" s="560"/>
      <c r="C958" s="561"/>
      <c r="D958" s="562"/>
      <c r="E958" s="552"/>
      <c r="F958" s="552"/>
      <c r="G958" s="552"/>
      <c r="H958" s="552"/>
      <c r="I958" s="552"/>
      <c r="J958" s="552"/>
      <c r="K958" s="552"/>
      <c r="L958" s="552"/>
      <c r="M958" s="552"/>
      <c r="N958" s="552"/>
      <c r="O958" s="552"/>
      <c r="P958" s="552"/>
      <c r="Q958" s="552"/>
      <c r="R958" s="552"/>
      <c r="S958" s="552"/>
      <c r="T958" s="552"/>
      <c r="U958" s="552"/>
      <c r="V958" s="552"/>
      <c r="W958" s="552"/>
      <c r="X958" s="552"/>
      <c r="Y958" s="552"/>
      <c r="Z958" s="552"/>
    </row>
    <row r="959">
      <c r="A959" s="559"/>
      <c r="B959" s="560"/>
      <c r="C959" s="561"/>
      <c r="D959" s="562"/>
      <c r="E959" s="552"/>
      <c r="F959" s="552"/>
      <c r="G959" s="552"/>
      <c r="H959" s="552"/>
      <c r="I959" s="552"/>
      <c r="J959" s="552"/>
      <c r="K959" s="552"/>
      <c r="L959" s="552"/>
      <c r="M959" s="552"/>
      <c r="N959" s="552"/>
      <c r="O959" s="552"/>
      <c r="P959" s="552"/>
      <c r="Q959" s="552"/>
      <c r="R959" s="552"/>
      <c r="S959" s="552"/>
      <c r="T959" s="552"/>
      <c r="U959" s="552"/>
      <c r="V959" s="552"/>
      <c r="W959" s="552"/>
      <c r="X959" s="552"/>
      <c r="Y959" s="552"/>
      <c r="Z959" s="552"/>
    </row>
    <row r="960">
      <c r="A960" s="559"/>
      <c r="B960" s="560"/>
      <c r="C960" s="561"/>
      <c r="D960" s="562"/>
      <c r="E960" s="552"/>
      <c r="F960" s="552"/>
      <c r="G960" s="552"/>
      <c r="H960" s="552"/>
      <c r="I960" s="552"/>
      <c r="J960" s="552"/>
      <c r="K960" s="552"/>
      <c r="L960" s="552"/>
      <c r="M960" s="552"/>
      <c r="N960" s="552"/>
      <c r="O960" s="552"/>
      <c r="P960" s="552"/>
      <c r="Q960" s="552"/>
      <c r="R960" s="552"/>
      <c r="S960" s="552"/>
      <c r="T960" s="552"/>
      <c r="U960" s="552"/>
      <c r="V960" s="552"/>
      <c r="W960" s="552"/>
      <c r="X960" s="552"/>
      <c r="Y960" s="552"/>
      <c r="Z960" s="552"/>
    </row>
    <row r="961">
      <c r="A961" s="559"/>
      <c r="B961" s="560"/>
      <c r="C961" s="561"/>
      <c r="D961" s="562"/>
      <c r="E961" s="552"/>
      <c r="F961" s="552"/>
      <c r="G961" s="552"/>
      <c r="H961" s="552"/>
      <c r="I961" s="552"/>
      <c r="J961" s="552"/>
      <c r="K961" s="552"/>
      <c r="L961" s="552"/>
      <c r="M961" s="552"/>
      <c r="N961" s="552"/>
      <c r="O961" s="552"/>
      <c r="P961" s="552"/>
      <c r="Q961" s="552"/>
      <c r="R961" s="552"/>
      <c r="S961" s="552"/>
      <c r="T961" s="552"/>
      <c r="U961" s="552"/>
      <c r="V961" s="552"/>
      <c r="W961" s="552"/>
      <c r="X961" s="552"/>
      <c r="Y961" s="552"/>
      <c r="Z961" s="552"/>
    </row>
    <row r="962">
      <c r="A962" s="559"/>
      <c r="B962" s="560"/>
      <c r="C962" s="561"/>
      <c r="D962" s="562"/>
      <c r="E962" s="552"/>
      <c r="F962" s="552"/>
      <c r="G962" s="552"/>
      <c r="H962" s="552"/>
      <c r="I962" s="552"/>
      <c r="J962" s="552"/>
      <c r="K962" s="552"/>
      <c r="L962" s="552"/>
      <c r="M962" s="552"/>
      <c r="N962" s="552"/>
      <c r="O962" s="552"/>
      <c r="P962" s="552"/>
      <c r="Q962" s="552"/>
      <c r="R962" s="552"/>
      <c r="S962" s="552"/>
      <c r="T962" s="552"/>
      <c r="U962" s="552"/>
      <c r="V962" s="552"/>
      <c r="W962" s="552"/>
      <c r="X962" s="552"/>
      <c r="Y962" s="552"/>
      <c r="Z962" s="552"/>
    </row>
    <row r="963">
      <c r="A963" s="559"/>
      <c r="B963" s="560"/>
      <c r="C963" s="561"/>
      <c r="D963" s="562"/>
      <c r="E963" s="552"/>
      <c r="F963" s="552"/>
      <c r="G963" s="552"/>
      <c r="H963" s="552"/>
      <c r="I963" s="552"/>
      <c r="J963" s="552"/>
      <c r="K963" s="552"/>
      <c r="L963" s="552"/>
      <c r="M963" s="552"/>
      <c r="N963" s="552"/>
      <c r="O963" s="552"/>
      <c r="P963" s="552"/>
      <c r="Q963" s="552"/>
      <c r="R963" s="552"/>
      <c r="S963" s="552"/>
      <c r="T963" s="552"/>
      <c r="U963" s="552"/>
      <c r="V963" s="552"/>
      <c r="W963" s="552"/>
      <c r="X963" s="552"/>
      <c r="Y963" s="552"/>
      <c r="Z963" s="552"/>
    </row>
    <row r="964">
      <c r="A964" s="559"/>
      <c r="B964" s="560"/>
      <c r="C964" s="561"/>
      <c r="D964" s="562"/>
      <c r="E964" s="552"/>
      <c r="F964" s="552"/>
      <c r="G964" s="552"/>
      <c r="H964" s="552"/>
      <c r="I964" s="552"/>
      <c r="J964" s="552"/>
      <c r="K964" s="552"/>
      <c r="L964" s="552"/>
      <c r="M964" s="552"/>
      <c r="N964" s="552"/>
      <c r="O964" s="552"/>
      <c r="P964" s="552"/>
      <c r="Q964" s="552"/>
      <c r="R964" s="552"/>
      <c r="S964" s="552"/>
      <c r="T964" s="552"/>
      <c r="U964" s="552"/>
      <c r="V964" s="552"/>
      <c r="W964" s="552"/>
      <c r="X964" s="552"/>
      <c r="Y964" s="552"/>
      <c r="Z964" s="552"/>
    </row>
    <row r="965">
      <c r="A965" s="559"/>
      <c r="B965" s="560"/>
      <c r="C965" s="561"/>
      <c r="D965" s="562"/>
      <c r="E965" s="552"/>
      <c r="F965" s="552"/>
      <c r="G965" s="552"/>
      <c r="H965" s="552"/>
      <c r="I965" s="552"/>
      <c r="J965" s="552"/>
      <c r="K965" s="552"/>
      <c r="L965" s="552"/>
      <c r="M965" s="552"/>
      <c r="N965" s="552"/>
      <c r="O965" s="552"/>
      <c r="P965" s="552"/>
      <c r="Q965" s="552"/>
      <c r="R965" s="552"/>
      <c r="S965" s="552"/>
      <c r="T965" s="552"/>
      <c r="U965" s="552"/>
      <c r="V965" s="552"/>
      <c r="W965" s="552"/>
      <c r="X965" s="552"/>
      <c r="Y965" s="552"/>
      <c r="Z965" s="552"/>
    </row>
    <row r="966">
      <c r="A966" s="559"/>
      <c r="B966" s="560"/>
      <c r="C966" s="561"/>
      <c r="D966" s="562"/>
      <c r="E966" s="552"/>
      <c r="F966" s="552"/>
      <c r="G966" s="552"/>
      <c r="H966" s="552"/>
      <c r="I966" s="552"/>
      <c r="J966" s="552"/>
      <c r="K966" s="552"/>
      <c r="L966" s="552"/>
      <c r="M966" s="552"/>
      <c r="N966" s="552"/>
      <c r="O966" s="552"/>
      <c r="P966" s="552"/>
      <c r="Q966" s="552"/>
      <c r="R966" s="552"/>
      <c r="S966" s="552"/>
      <c r="T966" s="552"/>
      <c r="U966" s="552"/>
      <c r="V966" s="552"/>
      <c r="W966" s="552"/>
      <c r="X966" s="552"/>
      <c r="Y966" s="552"/>
      <c r="Z966" s="552"/>
    </row>
    <row r="967">
      <c r="A967" s="559"/>
      <c r="B967" s="560"/>
      <c r="C967" s="561"/>
      <c r="D967" s="562"/>
      <c r="E967" s="552"/>
      <c r="F967" s="552"/>
      <c r="G967" s="552"/>
      <c r="H967" s="552"/>
      <c r="I967" s="552"/>
      <c r="J967" s="552"/>
      <c r="K967" s="552"/>
      <c r="L967" s="552"/>
      <c r="M967" s="552"/>
      <c r="N967" s="552"/>
      <c r="O967" s="552"/>
      <c r="P967" s="552"/>
      <c r="Q967" s="552"/>
      <c r="R967" s="552"/>
      <c r="S967" s="552"/>
      <c r="T967" s="552"/>
      <c r="U967" s="552"/>
      <c r="V967" s="552"/>
      <c r="W967" s="552"/>
      <c r="X967" s="552"/>
      <c r="Y967" s="552"/>
      <c r="Z967" s="552"/>
    </row>
    <row r="968">
      <c r="A968" s="559"/>
      <c r="B968" s="560"/>
      <c r="C968" s="561"/>
      <c r="D968" s="562"/>
      <c r="E968" s="552"/>
      <c r="F968" s="552"/>
      <c r="G968" s="552"/>
      <c r="H968" s="552"/>
      <c r="I968" s="552"/>
      <c r="J968" s="552"/>
      <c r="K968" s="552"/>
      <c r="L968" s="552"/>
      <c r="M968" s="552"/>
      <c r="N968" s="552"/>
      <c r="O968" s="552"/>
      <c r="P968" s="552"/>
      <c r="Q968" s="552"/>
      <c r="R968" s="552"/>
      <c r="S968" s="552"/>
      <c r="T968" s="552"/>
      <c r="U968" s="552"/>
      <c r="V968" s="552"/>
      <c r="W968" s="552"/>
      <c r="X968" s="552"/>
      <c r="Y968" s="552"/>
      <c r="Z968" s="552"/>
    </row>
    <row r="969">
      <c r="A969" s="559"/>
      <c r="B969" s="560"/>
      <c r="C969" s="561"/>
      <c r="D969" s="562"/>
      <c r="E969" s="552"/>
      <c r="F969" s="552"/>
      <c r="G969" s="552"/>
      <c r="H969" s="552"/>
      <c r="I969" s="552"/>
      <c r="J969" s="552"/>
      <c r="K969" s="552"/>
      <c r="L969" s="552"/>
      <c r="M969" s="552"/>
      <c r="N969" s="552"/>
      <c r="O969" s="552"/>
      <c r="P969" s="552"/>
      <c r="Q969" s="552"/>
      <c r="R969" s="552"/>
      <c r="S969" s="552"/>
      <c r="T969" s="552"/>
      <c r="U969" s="552"/>
      <c r="V969" s="552"/>
      <c r="W969" s="552"/>
      <c r="X969" s="552"/>
      <c r="Y969" s="552"/>
      <c r="Z969" s="552"/>
    </row>
    <row r="970">
      <c r="A970" s="559"/>
      <c r="B970" s="560"/>
      <c r="C970" s="561"/>
      <c r="D970" s="562"/>
      <c r="E970" s="552"/>
      <c r="F970" s="552"/>
      <c r="G970" s="552"/>
      <c r="H970" s="552"/>
      <c r="I970" s="552"/>
      <c r="J970" s="552"/>
      <c r="K970" s="552"/>
      <c r="L970" s="552"/>
      <c r="M970" s="552"/>
      <c r="N970" s="552"/>
      <c r="O970" s="552"/>
      <c r="P970" s="552"/>
      <c r="Q970" s="552"/>
      <c r="R970" s="552"/>
      <c r="S970" s="552"/>
      <c r="T970" s="552"/>
      <c r="U970" s="552"/>
      <c r="V970" s="552"/>
      <c r="W970" s="552"/>
      <c r="X970" s="552"/>
      <c r="Y970" s="552"/>
      <c r="Z970" s="552"/>
    </row>
    <row r="971">
      <c r="A971" s="559"/>
      <c r="B971" s="560"/>
      <c r="C971" s="561"/>
      <c r="D971" s="562"/>
      <c r="E971" s="552"/>
      <c r="F971" s="552"/>
      <c r="G971" s="552"/>
      <c r="H971" s="552"/>
      <c r="I971" s="552"/>
      <c r="J971" s="552"/>
      <c r="K971" s="552"/>
      <c r="L971" s="552"/>
      <c r="M971" s="552"/>
      <c r="N971" s="552"/>
      <c r="O971" s="552"/>
      <c r="P971" s="552"/>
      <c r="Q971" s="552"/>
      <c r="R971" s="552"/>
      <c r="S971" s="552"/>
      <c r="T971" s="552"/>
      <c r="U971" s="552"/>
      <c r="V971" s="552"/>
      <c r="W971" s="552"/>
      <c r="X971" s="552"/>
      <c r="Y971" s="552"/>
      <c r="Z971" s="552"/>
    </row>
    <row r="972">
      <c r="A972" s="559"/>
      <c r="B972" s="560"/>
      <c r="C972" s="561"/>
      <c r="D972" s="562"/>
      <c r="E972" s="552"/>
      <c r="F972" s="552"/>
      <c r="G972" s="552"/>
      <c r="H972" s="552"/>
      <c r="I972" s="552"/>
      <c r="J972" s="552"/>
      <c r="K972" s="552"/>
      <c r="L972" s="552"/>
      <c r="M972" s="552"/>
      <c r="N972" s="552"/>
      <c r="O972" s="552"/>
      <c r="P972" s="552"/>
      <c r="Q972" s="552"/>
      <c r="R972" s="552"/>
      <c r="S972" s="552"/>
      <c r="T972" s="552"/>
      <c r="U972" s="552"/>
      <c r="V972" s="552"/>
      <c r="W972" s="552"/>
      <c r="X972" s="552"/>
      <c r="Y972" s="552"/>
      <c r="Z972" s="552"/>
    </row>
    <row r="973">
      <c r="A973" s="559"/>
      <c r="B973" s="560"/>
      <c r="C973" s="561"/>
      <c r="D973" s="562"/>
      <c r="E973" s="552"/>
      <c r="F973" s="552"/>
      <c r="G973" s="552"/>
      <c r="H973" s="552"/>
      <c r="I973" s="552"/>
      <c r="J973" s="552"/>
      <c r="K973" s="552"/>
      <c r="L973" s="552"/>
      <c r="M973" s="552"/>
      <c r="N973" s="552"/>
      <c r="O973" s="552"/>
      <c r="P973" s="552"/>
      <c r="Q973" s="552"/>
      <c r="R973" s="552"/>
      <c r="S973" s="552"/>
      <c r="T973" s="552"/>
      <c r="U973" s="552"/>
      <c r="V973" s="552"/>
      <c r="W973" s="552"/>
      <c r="X973" s="552"/>
      <c r="Y973" s="552"/>
      <c r="Z973" s="552"/>
    </row>
    <row r="974">
      <c r="A974" s="559"/>
      <c r="B974" s="560"/>
      <c r="C974" s="561"/>
      <c r="D974" s="562"/>
      <c r="E974" s="552"/>
      <c r="F974" s="552"/>
      <c r="G974" s="552"/>
      <c r="H974" s="552"/>
      <c r="I974" s="552"/>
      <c r="J974" s="552"/>
      <c r="K974" s="552"/>
      <c r="L974" s="552"/>
      <c r="M974" s="552"/>
      <c r="N974" s="552"/>
      <c r="O974" s="552"/>
      <c r="P974" s="552"/>
      <c r="Q974" s="552"/>
      <c r="R974" s="552"/>
      <c r="S974" s="552"/>
      <c r="T974" s="552"/>
      <c r="U974" s="552"/>
      <c r="V974" s="552"/>
      <c r="W974" s="552"/>
      <c r="X974" s="552"/>
      <c r="Y974" s="552"/>
      <c r="Z974" s="552"/>
    </row>
    <row r="975">
      <c r="A975" s="559"/>
      <c r="B975" s="560"/>
      <c r="C975" s="561"/>
      <c r="D975" s="562"/>
      <c r="E975" s="552"/>
      <c r="F975" s="552"/>
      <c r="G975" s="552"/>
      <c r="H975" s="552"/>
      <c r="I975" s="552"/>
      <c r="J975" s="552"/>
      <c r="K975" s="552"/>
      <c r="L975" s="552"/>
      <c r="M975" s="552"/>
      <c r="N975" s="552"/>
      <c r="O975" s="552"/>
      <c r="P975" s="552"/>
      <c r="Q975" s="552"/>
      <c r="R975" s="552"/>
      <c r="S975" s="552"/>
      <c r="T975" s="552"/>
      <c r="U975" s="552"/>
      <c r="V975" s="552"/>
      <c r="W975" s="552"/>
      <c r="X975" s="552"/>
      <c r="Y975" s="552"/>
      <c r="Z975" s="552"/>
    </row>
    <row r="976">
      <c r="A976" s="559"/>
      <c r="B976" s="560"/>
      <c r="C976" s="561"/>
      <c r="D976" s="562"/>
      <c r="E976" s="552"/>
      <c r="F976" s="552"/>
      <c r="G976" s="552"/>
      <c r="H976" s="552"/>
      <c r="I976" s="552"/>
      <c r="J976" s="552"/>
      <c r="K976" s="552"/>
      <c r="L976" s="552"/>
      <c r="M976" s="552"/>
      <c r="N976" s="552"/>
      <c r="O976" s="552"/>
      <c r="P976" s="552"/>
      <c r="Q976" s="552"/>
      <c r="R976" s="552"/>
      <c r="S976" s="552"/>
      <c r="T976" s="552"/>
      <c r="U976" s="552"/>
      <c r="V976" s="552"/>
      <c r="W976" s="552"/>
      <c r="X976" s="552"/>
      <c r="Y976" s="552"/>
      <c r="Z976" s="552"/>
    </row>
    <row r="977">
      <c r="A977" s="559"/>
      <c r="B977" s="560"/>
      <c r="C977" s="561"/>
      <c r="D977" s="562"/>
      <c r="E977" s="552"/>
      <c r="F977" s="552"/>
      <c r="G977" s="552"/>
      <c r="H977" s="552"/>
      <c r="I977" s="552"/>
      <c r="J977" s="552"/>
      <c r="K977" s="552"/>
      <c r="L977" s="552"/>
      <c r="M977" s="552"/>
      <c r="N977" s="552"/>
      <c r="O977" s="552"/>
      <c r="P977" s="552"/>
      <c r="Q977" s="552"/>
      <c r="R977" s="552"/>
      <c r="S977" s="552"/>
      <c r="T977" s="552"/>
      <c r="U977" s="552"/>
      <c r="V977" s="552"/>
      <c r="W977" s="552"/>
      <c r="X977" s="552"/>
      <c r="Y977" s="552"/>
      <c r="Z977" s="552"/>
    </row>
    <row r="978">
      <c r="A978" s="559"/>
      <c r="B978" s="560"/>
      <c r="C978" s="561"/>
      <c r="D978" s="562"/>
      <c r="E978" s="552"/>
      <c r="F978" s="552"/>
      <c r="G978" s="552"/>
      <c r="H978" s="552"/>
      <c r="I978" s="552"/>
      <c r="J978" s="552"/>
      <c r="K978" s="552"/>
      <c r="L978" s="552"/>
      <c r="M978" s="552"/>
      <c r="N978" s="552"/>
      <c r="O978" s="552"/>
      <c r="P978" s="552"/>
      <c r="Q978" s="552"/>
      <c r="R978" s="552"/>
      <c r="S978" s="552"/>
      <c r="T978" s="552"/>
      <c r="U978" s="552"/>
      <c r="V978" s="552"/>
      <c r="W978" s="552"/>
      <c r="X978" s="552"/>
      <c r="Y978" s="552"/>
      <c r="Z978" s="552"/>
    </row>
    <row r="979">
      <c r="A979" s="559"/>
      <c r="B979" s="560"/>
      <c r="C979" s="561"/>
      <c r="D979" s="562"/>
      <c r="E979" s="552"/>
      <c r="F979" s="552"/>
      <c r="G979" s="552"/>
      <c r="H979" s="552"/>
      <c r="I979" s="552"/>
      <c r="J979" s="552"/>
      <c r="K979" s="552"/>
      <c r="L979" s="552"/>
      <c r="M979" s="552"/>
      <c r="N979" s="552"/>
      <c r="O979" s="552"/>
      <c r="P979" s="552"/>
      <c r="Q979" s="552"/>
      <c r="R979" s="552"/>
      <c r="S979" s="552"/>
      <c r="T979" s="552"/>
      <c r="U979" s="552"/>
      <c r="V979" s="552"/>
      <c r="W979" s="552"/>
      <c r="X979" s="552"/>
      <c r="Y979" s="552"/>
      <c r="Z979" s="552"/>
    </row>
    <row r="980">
      <c r="A980" s="559"/>
      <c r="B980" s="560"/>
      <c r="C980" s="561"/>
      <c r="D980" s="562"/>
      <c r="E980" s="552"/>
      <c r="F980" s="552"/>
      <c r="G980" s="552"/>
      <c r="H980" s="552"/>
      <c r="I980" s="552"/>
      <c r="J980" s="552"/>
      <c r="K980" s="552"/>
      <c r="L980" s="552"/>
      <c r="M980" s="552"/>
      <c r="N980" s="552"/>
      <c r="O980" s="552"/>
      <c r="P980" s="552"/>
      <c r="Q980" s="552"/>
      <c r="R980" s="552"/>
      <c r="S980" s="552"/>
      <c r="T980" s="552"/>
      <c r="U980" s="552"/>
      <c r="V980" s="552"/>
      <c r="W980" s="552"/>
      <c r="X980" s="552"/>
      <c r="Y980" s="552"/>
      <c r="Z980" s="552"/>
    </row>
    <row r="981">
      <c r="A981" s="559"/>
      <c r="B981" s="560"/>
      <c r="C981" s="561"/>
      <c r="D981" s="562"/>
      <c r="E981" s="552"/>
      <c r="F981" s="552"/>
      <c r="G981" s="552"/>
      <c r="H981" s="552"/>
      <c r="I981" s="552"/>
      <c r="J981" s="552"/>
      <c r="K981" s="552"/>
      <c r="L981" s="552"/>
      <c r="M981" s="552"/>
      <c r="N981" s="552"/>
      <c r="O981" s="552"/>
      <c r="P981" s="552"/>
      <c r="Q981" s="552"/>
      <c r="R981" s="552"/>
      <c r="S981" s="552"/>
      <c r="T981" s="552"/>
      <c r="U981" s="552"/>
      <c r="V981" s="552"/>
      <c r="W981" s="552"/>
      <c r="X981" s="552"/>
      <c r="Y981" s="552"/>
      <c r="Z981" s="552"/>
    </row>
    <row r="982">
      <c r="A982" s="559"/>
      <c r="B982" s="560"/>
      <c r="C982" s="561"/>
      <c r="D982" s="562"/>
      <c r="E982" s="552"/>
      <c r="F982" s="552"/>
      <c r="G982" s="552"/>
      <c r="H982" s="552"/>
      <c r="I982" s="552"/>
      <c r="J982" s="552"/>
      <c r="K982" s="552"/>
      <c r="L982" s="552"/>
      <c r="M982" s="552"/>
      <c r="N982" s="552"/>
      <c r="O982" s="552"/>
      <c r="P982" s="552"/>
      <c r="Q982" s="552"/>
      <c r="R982" s="552"/>
      <c r="S982" s="552"/>
      <c r="T982" s="552"/>
      <c r="U982" s="552"/>
      <c r="V982" s="552"/>
      <c r="W982" s="552"/>
      <c r="X982" s="552"/>
      <c r="Y982" s="552"/>
      <c r="Z982" s="552"/>
    </row>
    <row r="983">
      <c r="A983" s="559"/>
      <c r="B983" s="560"/>
      <c r="C983" s="561"/>
      <c r="D983" s="562"/>
      <c r="E983" s="552"/>
      <c r="F983" s="552"/>
      <c r="G983" s="552"/>
      <c r="H983" s="552"/>
      <c r="I983" s="552"/>
      <c r="J983" s="552"/>
      <c r="K983" s="552"/>
      <c r="L983" s="552"/>
      <c r="M983" s="552"/>
      <c r="N983" s="552"/>
      <c r="O983" s="552"/>
      <c r="P983" s="552"/>
      <c r="Q983" s="552"/>
      <c r="R983" s="552"/>
      <c r="S983" s="552"/>
      <c r="T983" s="552"/>
      <c r="U983" s="552"/>
      <c r="V983" s="552"/>
      <c r="W983" s="552"/>
      <c r="X983" s="552"/>
      <c r="Y983" s="552"/>
      <c r="Z983" s="552"/>
    </row>
    <row r="984">
      <c r="A984" s="559"/>
      <c r="B984" s="560"/>
      <c r="C984" s="561"/>
      <c r="D984" s="562"/>
      <c r="E984" s="552"/>
      <c r="F984" s="552"/>
      <c r="G984" s="552"/>
      <c r="H984" s="552"/>
      <c r="I984" s="552"/>
      <c r="J984" s="552"/>
      <c r="K984" s="552"/>
      <c r="L984" s="552"/>
      <c r="M984" s="552"/>
      <c r="N984" s="552"/>
      <c r="O984" s="552"/>
      <c r="P984" s="552"/>
      <c r="Q984" s="552"/>
      <c r="R984" s="552"/>
      <c r="S984" s="552"/>
      <c r="T984" s="552"/>
      <c r="U984" s="552"/>
      <c r="V984" s="552"/>
      <c r="W984" s="552"/>
      <c r="X984" s="552"/>
      <c r="Y984" s="552"/>
      <c r="Z984" s="552"/>
    </row>
    <row r="985">
      <c r="A985" s="559"/>
      <c r="B985" s="560"/>
      <c r="C985" s="561"/>
      <c r="D985" s="562"/>
      <c r="E985" s="552"/>
      <c r="F985" s="552"/>
      <c r="G985" s="552"/>
      <c r="H985" s="552"/>
      <c r="I985" s="552"/>
      <c r="J985" s="552"/>
      <c r="K985" s="552"/>
      <c r="L985" s="552"/>
      <c r="M985" s="552"/>
      <c r="N985" s="552"/>
      <c r="O985" s="552"/>
      <c r="P985" s="552"/>
      <c r="Q985" s="552"/>
      <c r="R985" s="552"/>
      <c r="S985" s="552"/>
      <c r="T985" s="552"/>
      <c r="U985" s="552"/>
      <c r="V985" s="552"/>
      <c r="W985" s="552"/>
      <c r="X985" s="552"/>
      <c r="Y985" s="552"/>
      <c r="Z985" s="552"/>
    </row>
    <row r="986">
      <c r="A986" s="559"/>
      <c r="B986" s="560"/>
      <c r="C986" s="561"/>
      <c r="D986" s="562"/>
      <c r="E986" s="552"/>
      <c r="F986" s="552"/>
      <c r="G986" s="552"/>
      <c r="H986" s="552"/>
      <c r="I986" s="552"/>
      <c r="J986" s="552"/>
      <c r="K986" s="552"/>
      <c r="L986" s="552"/>
      <c r="M986" s="552"/>
      <c r="N986" s="552"/>
      <c r="O986" s="552"/>
      <c r="P986" s="552"/>
      <c r="Q986" s="552"/>
      <c r="R986" s="552"/>
      <c r="S986" s="552"/>
      <c r="T986" s="552"/>
      <c r="U986" s="552"/>
      <c r="V986" s="552"/>
      <c r="W986" s="552"/>
      <c r="X986" s="552"/>
      <c r="Y986" s="552"/>
      <c r="Z986" s="552"/>
    </row>
    <row r="987">
      <c r="A987" s="559"/>
      <c r="B987" s="560"/>
      <c r="C987" s="561"/>
      <c r="D987" s="562"/>
      <c r="E987" s="552"/>
      <c r="F987" s="552"/>
      <c r="G987" s="552"/>
      <c r="H987" s="552"/>
      <c r="I987" s="552"/>
      <c r="J987" s="552"/>
      <c r="K987" s="552"/>
      <c r="L987" s="552"/>
      <c r="M987" s="552"/>
      <c r="N987" s="552"/>
      <c r="O987" s="552"/>
      <c r="P987" s="552"/>
      <c r="Q987" s="552"/>
      <c r="R987" s="552"/>
      <c r="S987" s="552"/>
      <c r="T987" s="552"/>
      <c r="U987" s="552"/>
      <c r="V987" s="552"/>
      <c r="W987" s="552"/>
      <c r="X987" s="552"/>
      <c r="Y987" s="552"/>
      <c r="Z987" s="552"/>
    </row>
    <row r="988">
      <c r="A988" s="559"/>
      <c r="B988" s="560"/>
      <c r="C988" s="561"/>
      <c r="D988" s="562"/>
      <c r="E988" s="552"/>
      <c r="F988" s="552"/>
      <c r="G988" s="552"/>
      <c r="H988" s="552"/>
      <c r="I988" s="552"/>
      <c r="J988" s="552"/>
      <c r="K988" s="552"/>
      <c r="L988" s="552"/>
      <c r="M988" s="552"/>
      <c r="N988" s="552"/>
      <c r="O988" s="552"/>
      <c r="P988" s="552"/>
      <c r="Q988" s="552"/>
      <c r="R988" s="552"/>
      <c r="S988" s="552"/>
      <c r="T988" s="552"/>
      <c r="U988" s="552"/>
      <c r="V988" s="552"/>
      <c r="W988" s="552"/>
      <c r="X988" s="552"/>
      <c r="Y988" s="552"/>
      <c r="Z988" s="552"/>
    </row>
    <row r="989">
      <c r="A989" s="559"/>
      <c r="B989" s="560"/>
      <c r="C989" s="561"/>
      <c r="D989" s="562"/>
      <c r="E989" s="552"/>
      <c r="F989" s="552"/>
      <c r="G989" s="552"/>
      <c r="H989" s="552"/>
      <c r="I989" s="552"/>
      <c r="J989" s="552"/>
      <c r="K989" s="552"/>
      <c r="L989" s="552"/>
      <c r="M989" s="552"/>
      <c r="N989" s="552"/>
      <c r="O989" s="552"/>
      <c r="P989" s="552"/>
      <c r="Q989" s="552"/>
      <c r="R989" s="552"/>
      <c r="S989" s="552"/>
      <c r="T989" s="552"/>
      <c r="U989" s="552"/>
      <c r="V989" s="552"/>
      <c r="W989" s="552"/>
      <c r="X989" s="552"/>
      <c r="Y989" s="552"/>
      <c r="Z989" s="552"/>
    </row>
    <row r="990">
      <c r="A990" s="559"/>
      <c r="B990" s="560"/>
      <c r="C990" s="561"/>
      <c r="D990" s="562"/>
      <c r="E990" s="552"/>
      <c r="F990" s="552"/>
      <c r="G990" s="552"/>
      <c r="H990" s="552"/>
      <c r="I990" s="552"/>
      <c r="J990" s="552"/>
      <c r="K990" s="552"/>
      <c r="L990" s="552"/>
      <c r="M990" s="552"/>
      <c r="N990" s="552"/>
      <c r="O990" s="552"/>
      <c r="P990" s="552"/>
      <c r="Q990" s="552"/>
      <c r="R990" s="552"/>
      <c r="S990" s="552"/>
      <c r="T990" s="552"/>
      <c r="U990" s="552"/>
      <c r="V990" s="552"/>
      <c r="W990" s="552"/>
      <c r="X990" s="552"/>
      <c r="Y990" s="552"/>
      <c r="Z990" s="552"/>
    </row>
    <row r="991">
      <c r="A991" s="559"/>
      <c r="B991" s="560"/>
      <c r="C991" s="561"/>
      <c r="D991" s="562"/>
      <c r="E991" s="552"/>
      <c r="F991" s="552"/>
      <c r="G991" s="552"/>
      <c r="H991" s="552"/>
      <c r="I991" s="552"/>
      <c r="J991" s="552"/>
      <c r="K991" s="552"/>
      <c r="L991" s="552"/>
      <c r="M991" s="552"/>
      <c r="N991" s="552"/>
      <c r="O991" s="552"/>
      <c r="P991" s="552"/>
      <c r="Q991" s="552"/>
      <c r="R991" s="552"/>
      <c r="S991" s="552"/>
      <c r="T991" s="552"/>
      <c r="U991" s="552"/>
      <c r="V991" s="552"/>
      <c r="W991" s="552"/>
      <c r="X991" s="552"/>
      <c r="Y991" s="552"/>
      <c r="Z991" s="552"/>
    </row>
    <row r="992">
      <c r="A992" s="559"/>
      <c r="B992" s="560"/>
      <c r="C992" s="561"/>
      <c r="D992" s="562"/>
      <c r="E992" s="552"/>
      <c r="F992" s="552"/>
      <c r="G992" s="552"/>
      <c r="H992" s="552"/>
      <c r="I992" s="552"/>
      <c r="J992" s="552"/>
      <c r="K992" s="552"/>
      <c r="L992" s="552"/>
      <c r="M992" s="552"/>
      <c r="N992" s="552"/>
      <c r="O992" s="552"/>
      <c r="P992" s="552"/>
      <c r="Q992" s="552"/>
      <c r="R992" s="552"/>
      <c r="S992" s="552"/>
      <c r="T992" s="552"/>
      <c r="U992" s="552"/>
      <c r="V992" s="552"/>
      <c r="W992" s="552"/>
      <c r="X992" s="552"/>
      <c r="Y992" s="552"/>
      <c r="Z992" s="552"/>
    </row>
    <row r="993">
      <c r="A993" s="559"/>
      <c r="B993" s="560"/>
      <c r="C993" s="561"/>
      <c r="D993" s="562"/>
      <c r="E993" s="552"/>
      <c r="F993" s="552"/>
      <c r="G993" s="552"/>
      <c r="H993" s="552"/>
      <c r="I993" s="552"/>
      <c r="J993" s="552"/>
      <c r="K993" s="552"/>
      <c r="L993" s="552"/>
      <c r="M993" s="552"/>
      <c r="N993" s="552"/>
      <c r="O993" s="552"/>
      <c r="P993" s="552"/>
      <c r="Q993" s="552"/>
      <c r="R993" s="552"/>
      <c r="S993" s="552"/>
      <c r="T993" s="552"/>
      <c r="U993" s="552"/>
      <c r="V993" s="552"/>
      <c r="W993" s="552"/>
      <c r="X993" s="552"/>
      <c r="Y993" s="552"/>
      <c r="Z993" s="552"/>
    </row>
    <row r="994">
      <c r="A994" s="559"/>
      <c r="B994" s="560"/>
      <c r="C994" s="561"/>
      <c r="D994" s="562"/>
      <c r="E994" s="552"/>
      <c r="F994" s="552"/>
      <c r="G994" s="552"/>
      <c r="H994" s="552"/>
      <c r="I994" s="552"/>
      <c r="J994" s="552"/>
      <c r="K994" s="552"/>
      <c r="L994" s="552"/>
      <c r="M994" s="552"/>
      <c r="N994" s="552"/>
      <c r="O994" s="552"/>
      <c r="P994" s="552"/>
      <c r="Q994" s="552"/>
      <c r="R994" s="552"/>
      <c r="S994" s="552"/>
      <c r="T994" s="552"/>
      <c r="U994" s="552"/>
      <c r="V994" s="552"/>
      <c r="W994" s="552"/>
      <c r="X994" s="552"/>
      <c r="Y994" s="552"/>
      <c r="Z994" s="552"/>
    </row>
    <row r="995">
      <c r="A995" s="559"/>
      <c r="B995" s="560"/>
      <c r="C995" s="561"/>
      <c r="D995" s="562"/>
      <c r="E995" s="552"/>
      <c r="F995" s="552"/>
      <c r="G995" s="552"/>
      <c r="H995" s="552"/>
      <c r="I995" s="552"/>
      <c r="J995" s="552"/>
      <c r="K995" s="552"/>
      <c r="L995" s="552"/>
      <c r="M995" s="552"/>
      <c r="N995" s="552"/>
      <c r="O995" s="552"/>
      <c r="P995" s="552"/>
      <c r="Q995" s="552"/>
      <c r="R995" s="552"/>
      <c r="S995" s="552"/>
      <c r="T995" s="552"/>
      <c r="U995" s="552"/>
      <c r="V995" s="552"/>
      <c r="W995" s="552"/>
      <c r="X995" s="552"/>
      <c r="Y995" s="552"/>
      <c r="Z995" s="552"/>
    </row>
    <row r="996">
      <c r="A996" s="559"/>
      <c r="B996" s="560"/>
      <c r="C996" s="561"/>
      <c r="D996" s="562"/>
      <c r="E996" s="552"/>
      <c r="F996" s="552"/>
      <c r="G996" s="552"/>
      <c r="H996" s="552"/>
      <c r="I996" s="552"/>
      <c r="J996" s="552"/>
      <c r="K996" s="552"/>
      <c r="L996" s="552"/>
      <c r="M996" s="552"/>
      <c r="N996" s="552"/>
      <c r="O996" s="552"/>
      <c r="P996" s="552"/>
      <c r="Q996" s="552"/>
      <c r="R996" s="552"/>
      <c r="S996" s="552"/>
      <c r="T996" s="552"/>
      <c r="U996" s="552"/>
      <c r="V996" s="552"/>
      <c r="W996" s="552"/>
      <c r="X996" s="552"/>
      <c r="Y996" s="552"/>
      <c r="Z996" s="552"/>
    </row>
    <row r="997">
      <c r="A997" s="559"/>
      <c r="B997" s="560"/>
      <c r="C997" s="561"/>
      <c r="D997" s="562"/>
      <c r="E997" s="552"/>
      <c r="F997" s="552"/>
      <c r="G997" s="552"/>
      <c r="H997" s="552"/>
      <c r="I997" s="552"/>
      <c r="J997" s="552"/>
      <c r="K997" s="552"/>
      <c r="L997" s="552"/>
      <c r="M997" s="552"/>
      <c r="N997" s="552"/>
      <c r="O997" s="552"/>
      <c r="P997" s="552"/>
      <c r="Q997" s="552"/>
      <c r="R997" s="552"/>
      <c r="S997" s="552"/>
      <c r="T997" s="552"/>
      <c r="U997" s="552"/>
      <c r="V997" s="552"/>
      <c r="W997" s="552"/>
      <c r="X997" s="552"/>
      <c r="Y997" s="552"/>
      <c r="Z997" s="552"/>
    </row>
    <row r="998">
      <c r="A998" s="559"/>
      <c r="B998" s="560"/>
      <c r="C998" s="561"/>
      <c r="D998" s="562"/>
      <c r="E998" s="552"/>
      <c r="F998" s="552"/>
      <c r="G998" s="552"/>
      <c r="H998" s="552"/>
      <c r="I998" s="552"/>
      <c r="J998" s="552"/>
      <c r="K998" s="552"/>
      <c r="L998" s="552"/>
      <c r="M998" s="552"/>
      <c r="N998" s="552"/>
      <c r="O998" s="552"/>
      <c r="P998" s="552"/>
      <c r="Q998" s="552"/>
      <c r="R998" s="552"/>
      <c r="S998" s="552"/>
      <c r="T998" s="552"/>
      <c r="U998" s="552"/>
      <c r="V998" s="552"/>
      <c r="W998" s="552"/>
      <c r="X998" s="552"/>
      <c r="Y998" s="552"/>
      <c r="Z998" s="552"/>
    </row>
    <row r="999">
      <c r="A999" s="559"/>
      <c r="B999" s="560"/>
      <c r="C999" s="561"/>
      <c r="D999" s="562"/>
      <c r="E999" s="552"/>
      <c r="F999" s="552"/>
      <c r="G999" s="552"/>
      <c r="H999" s="552"/>
      <c r="I999" s="552"/>
      <c r="J999" s="552"/>
      <c r="K999" s="552"/>
      <c r="L999" s="552"/>
      <c r="M999" s="552"/>
      <c r="N999" s="552"/>
      <c r="O999" s="552"/>
      <c r="P999" s="552"/>
      <c r="Q999" s="552"/>
      <c r="R999" s="552"/>
      <c r="S999" s="552"/>
      <c r="T999" s="552"/>
      <c r="U999" s="552"/>
      <c r="V999" s="552"/>
      <c r="W999" s="552"/>
      <c r="X999" s="552"/>
      <c r="Y999" s="552"/>
      <c r="Z999" s="552"/>
    </row>
    <row r="1000">
      <c r="A1000" s="559"/>
      <c r="B1000" s="560"/>
      <c r="C1000" s="561"/>
      <c r="D1000" s="562"/>
      <c r="E1000" s="552"/>
      <c r="F1000" s="552"/>
      <c r="G1000" s="552"/>
      <c r="H1000" s="552"/>
      <c r="I1000" s="552"/>
      <c r="J1000" s="552"/>
      <c r="K1000" s="552"/>
      <c r="L1000" s="552"/>
      <c r="M1000" s="552"/>
      <c r="N1000" s="552"/>
      <c r="O1000" s="552"/>
      <c r="P1000" s="552"/>
      <c r="Q1000" s="552"/>
      <c r="R1000" s="552"/>
      <c r="S1000" s="552"/>
      <c r="T1000" s="552"/>
      <c r="U1000" s="552"/>
      <c r="V1000" s="552"/>
      <c r="W1000" s="552"/>
      <c r="X1000" s="552"/>
      <c r="Y1000" s="552"/>
      <c r="Z1000" s="552"/>
    </row>
    <row r="1001">
      <c r="A1001" s="559"/>
      <c r="B1001" s="560"/>
      <c r="C1001" s="561"/>
      <c r="D1001" s="562"/>
      <c r="E1001" s="552"/>
      <c r="F1001" s="552"/>
      <c r="G1001" s="552"/>
      <c r="H1001" s="552"/>
      <c r="I1001" s="552"/>
      <c r="J1001" s="552"/>
      <c r="K1001" s="552"/>
      <c r="L1001" s="552"/>
      <c r="M1001" s="552"/>
      <c r="N1001" s="552"/>
      <c r="O1001" s="552"/>
      <c r="P1001" s="552"/>
      <c r="Q1001" s="552"/>
      <c r="R1001" s="552"/>
      <c r="S1001" s="552"/>
      <c r="T1001" s="552"/>
      <c r="U1001" s="552"/>
      <c r="V1001" s="552"/>
      <c r="W1001" s="552"/>
      <c r="X1001" s="552"/>
      <c r="Y1001" s="552"/>
      <c r="Z1001" s="552"/>
    </row>
    <row r="1002">
      <c r="A1002" s="559"/>
      <c r="B1002" s="560"/>
      <c r="C1002" s="561"/>
      <c r="D1002" s="562"/>
      <c r="E1002" s="552"/>
      <c r="F1002" s="552"/>
      <c r="G1002" s="552"/>
      <c r="H1002" s="552"/>
      <c r="I1002" s="552"/>
      <c r="J1002" s="552"/>
      <c r="K1002" s="552"/>
      <c r="L1002" s="552"/>
      <c r="M1002" s="552"/>
      <c r="N1002" s="552"/>
      <c r="O1002" s="552"/>
      <c r="P1002" s="552"/>
      <c r="Q1002" s="552"/>
      <c r="R1002" s="552"/>
      <c r="S1002" s="552"/>
      <c r="T1002" s="552"/>
      <c r="U1002" s="552"/>
      <c r="V1002" s="552"/>
      <c r="W1002" s="552"/>
      <c r="X1002" s="552"/>
      <c r="Y1002" s="552"/>
      <c r="Z1002" s="552"/>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525" t="s">
        <v>12461</v>
      </c>
      <c r="B1" s="525" t="s">
        <v>12462</v>
      </c>
      <c r="C1" s="526" t="s">
        <v>12463</v>
      </c>
      <c r="D1" s="526"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563" t="s">
        <v>12464</v>
      </c>
      <c r="F1" s="527" t="s">
        <v>12465</v>
      </c>
      <c r="G1" s="564" t="s">
        <v>12466</v>
      </c>
      <c r="H1" s="528"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29" t="s">
        <v>12467</v>
      </c>
      <c r="J1" s="529" t="s">
        <v>12468</v>
      </c>
      <c r="K1" s="185" t="s">
        <v>12469</v>
      </c>
      <c r="L1" s="185" t="s">
        <v>12470</v>
      </c>
      <c r="M1" s="565" t="s">
        <v>12471</v>
      </c>
      <c r="N1" s="565" t="s">
        <v>12472</v>
      </c>
      <c r="O1" s="566" t="s">
        <v>12473</v>
      </c>
      <c r="P1" s="567" t="s">
        <v>12474</v>
      </c>
      <c r="Q1" s="532"/>
      <c r="R1" s="532"/>
      <c r="S1" s="532"/>
      <c r="T1" s="532"/>
      <c r="U1" s="532"/>
      <c r="V1" s="532"/>
      <c r="W1" s="532"/>
    </row>
    <row r="2">
      <c r="A2" s="533" t="s">
        <v>12475</v>
      </c>
      <c r="B2" s="533" t="s">
        <v>12476</v>
      </c>
      <c r="C2" s="135" t="s">
        <v>12477</v>
      </c>
      <c r="D2" s="135"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568" t="s">
        <v>12478</v>
      </c>
      <c r="F2" s="486" t="s">
        <v>12479</v>
      </c>
      <c r="G2" s="569" t="s">
        <v>12480</v>
      </c>
      <c r="H2" s="534" t="str">
        <f>IFERROR(__xludf.DUMMYFUNCTION("GOOGLETRANSLATE(B2,""zh-tw"",""zh"")"),"1 - 在google上搜寻 NVIDIA APP安装，并启动 NVIDIA 应用程式。")</f>
        <v>1 - 在google上搜寻 NVIDIA APP安装，并启动 NVIDIA 应用程式。</v>
      </c>
      <c r="I2" s="535" t="s">
        <v>12481</v>
      </c>
      <c r="J2" s="535" t="s">
        <v>12482</v>
      </c>
      <c r="K2" s="456" t="s">
        <v>12483</v>
      </c>
      <c r="L2" s="456" t="s">
        <v>12484</v>
      </c>
      <c r="M2" s="570" t="s">
        <v>12485</v>
      </c>
      <c r="N2" s="570" t="s">
        <v>12486</v>
      </c>
      <c r="O2" s="571" t="s">
        <v>12487</v>
      </c>
      <c r="P2" s="571" t="s">
        <v>12488</v>
      </c>
      <c r="Q2" s="223"/>
      <c r="R2" s="223"/>
      <c r="S2" s="223"/>
      <c r="T2" s="223"/>
      <c r="U2" s="223"/>
      <c r="V2" s="223"/>
      <c r="W2" s="223"/>
    </row>
    <row r="3">
      <c r="A3" s="533" t="s">
        <v>12489</v>
      </c>
      <c r="B3" s="533" t="s">
        <v>12490</v>
      </c>
      <c r="C3" s="135" t="s">
        <v>12491</v>
      </c>
      <c r="D3" s="135"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568" t="s">
        <v>12492</v>
      </c>
      <c r="F3" s="486" t="s">
        <v>12493</v>
      </c>
      <c r="G3" s="569" t="s">
        <v>12494</v>
      </c>
      <c r="H3" s="534" t="str">
        <f>IFERROR(__xludf.DUMMYFUNCTION("GOOGLETRANSLATE(B3,""zh-tw"",""zh"")"),"2 - 在更新至最新版本后重新启动 NVIDIA 应用程式。")</f>
        <v>2 - 在更新至最新版本后重新启动 NVIDIA 应用程式。</v>
      </c>
      <c r="I3" s="535" t="s">
        <v>12495</v>
      </c>
      <c r="J3" s="535" t="s">
        <v>12496</v>
      </c>
      <c r="K3" s="456" t="s">
        <v>12497</v>
      </c>
      <c r="L3" s="456" t="s">
        <v>12498</v>
      </c>
      <c r="M3" s="570" t="s">
        <v>12499</v>
      </c>
      <c r="N3" s="570" t="s">
        <v>12500</v>
      </c>
      <c r="O3" s="571" t="s">
        <v>12501</v>
      </c>
      <c r="P3" s="571" t="s">
        <v>12502</v>
      </c>
      <c r="Q3" s="223"/>
      <c r="R3" s="223"/>
      <c r="S3" s="223"/>
      <c r="T3" s="223"/>
      <c r="U3" s="223"/>
      <c r="V3" s="223"/>
      <c r="W3" s="223"/>
    </row>
    <row r="4">
      <c r="A4" s="533" t="s">
        <v>12503</v>
      </c>
      <c r="B4" s="533" t="s">
        <v>12504</v>
      </c>
      <c r="C4" s="135" t="s">
        <v>12505</v>
      </c>
      <c r="D4" s="135" t="str">
        <f>IFERROR(__xludf.DUMMYFUNCTION("GOOGLETRANSLATE(B4,""zh-tw"",""ja"")"),"3 - NVIDIAアプリケーションで、グラフィック設定エリアに移動します。")</f>
        <v>3 - NVIDIAアプリケーションで、グラフィック設定エリアに移動します。</v>
      </c>
      <c r="E4" s="568" t="s">
        <v>12506</v>
      </c>
      <c r="F4" s="486" t="s">
        <v>12507</v>
      </c>
      <c r="G4" s="569" t="s">
        <v>12508</v>
      </c>
      <c r="H4" s="534" t="str">
        <f>IFERROR(__xludf.DUMMYFUNCTION("GOOGLETRANSLATE(B4,""zh-tw"",""zh"")"),"3 - 在NVIDIA应用程式中，进入图形设置区域。")</f>
        <v>3 - 在NVIDIA应用程式中，进入图形设置区域。</v>
      </c>
      <c r="I4" s="535" t="s">
        <v>12509</v>
      </c>
      <c r="J4" s="535" t="s">
        <v>12510</v>
      </c>
      <c r="K4" s="456" t="s">
        <v>12511</v>
      </c>
      <c r="L4" s="456" t="s">
        <v>12512</v>
      </c>
      <c r="M4" s="570" t="s">
        <v>12513</v>
      </c>
      <c r="N4" s="570" t="s">
        <v>12514</v>
      </c>
      <c r="O4" s="571" t="s">
        <v>12515</v>
      </c>
      <c r="P4" s="571" t="s">
        <v>12516</v>
      </c>
      <c r="Q4" s="223"/>
      <c r="R4" s="223"/>
      <c r="S4" s="223"/>
      <c r="T4" s="223"/>
      <c r="U4" s="223"/>
      <c r="V4" s="223"/>
      <c r="W4" s="223"/>
    </row>
    <row r="5">
      <c r="A5" s="533" t="s">
        <v>12517</v>
      </c>
      <c r="B5" s="533" t="s">
        <v>12518</v>
      </c>
      <c r="C5" s="135" t="s">
        <v>12519</v>
      </c>
      <c r="D5" s="135"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568" t="s">
        <v>12520</v>
      </c>
      <c r="F5" s="486" t="s">
        <v>12521</v>
      </c>
      <c r="G5" s="569" t="s">
        <v>12522</v>
      </c>
      <c r="H5" s="534" t="str">
        <f>IFERROR(__xludf.DUMMYFUNCTION("GOOGLETRANSLATE(B5,""zh-tw"",""zh"")"),"4 - 在「程式设定」中点击三个点，选择「新增程式」，然后寻找游戏的执行档。")</f>
        <v>4 - 在「程式设定」中点击三个点，选择「新增程式」，然后寻找游戏的执行档。</v>
      </c>
      <c r="I5" s="535" t="s">
        <v>12523</v>
      </c>
      <c r="J5" s="535" t="s">
        <v>12524</v>
      </c>
      <c r="K5" s="456" t="s">
        <v>12525</v>
      </c>
      <c r="L5" s="456" t="s">
        <v>12526</v>
      </c>
      <c r="M5" s="570" t="s">
        <v>12527</v>
      </c>
      <c r="N5" s="570" t="s">
        <v>12528</v>
      </c>
      <c r="O5" s="571" t="s">
        <v>12529</v>
      </c>
      <c r="P5" s="571" t="s">
        <v>12530</v>
      </c>
      <c r="Q5" s="223"/>
      <c r="R5" s="223"/>
      <c r="S5" s="223"/>
      <c r="T5" s="223"/>
      <c r="U5" s="223"/>
      <c r="V5" s="223"/>
      <c r="W5" s="223"/>
    </row>
    <row r="6">
      <c r="A6" s="533" t="s">
        <v>12531</v>
      </c>
      <c r="B6" s="533" t="s">
        <v>12532</v>
      </c>
      <c r="C6" s="135" t="s">
        <v>12533</v>
      </c>
      <c r="D6" s="135" t="str">
        <f>IFERROR(__xludf.DUMMYFUNCTION("GOOGLETRANSLATE(B6,""zh-tw"",""ja"")"),"5 - 「低遅延モード」を「超高」に、「電源管理モード」を「最適電力」に設定します。")</f>
        <v>5 - 「低遅延モード」を「超高」に、「電源管理モード」を「最適電力」に設定します。</v>
      </c>
      <c r="E6" s="568" t="s">
        <v>12534</v>
      </c>
      <c r="F6" s="486" t="s">
        <v>12535</v>
      </c>
      <c r="G6" s="569" t="s">
        <v>12536</v>
      </c>
      <c r="H6" s="534" t="str">
        <f>IFERROR(__xludf.DUMMYFUNCTION("GOOGLETRANSLATE(B6,""zh-tw"",""zh"")"),"5 - 将「低延迟模式」设为「超高」，电源管理模式设为「最佳电源」。")</f>
        <v>5 - 将「低延迟模式」设为「超高」，电源管理模式设为「最佳电源」。</v>
      </c>
      <c r="I6" s="535" t="s">
        <v>12537</v>
      </c>
      <c r="J6" s="535" t="s">
        <v>12538</v>
      </c>
      <c r="K6" s="456" t="s">
        <v>12539</v>
      </c>
      <c r="L6" s="456" t="s">
        <v>12540</v>
      </c>
      <c r="M6" s="570" t="s">
        <v>12541</v>
      </c>
      <c r="N6" s="570" t="s">
        <v>12542</v>
      </c>
      <c r="O6" s="571" t="s">
        <v>12543</v>
      </c>
      <c r="P6" s="571" t="s">
        <v>12544</v>
      </c>
      <c r="Q6" s="223"/>
      <c r="R6" s="223"/>
      <c r="S6" s="223"/>
      <c r="T6" s="223"/>
      <c r="U6" s="223"/>
      <c r="V6" s="223"/>
      <c r="W6" s="223"/>
    </row>
    <row r="7">
      <c r="A7" s="533" t="s">
        <v>12545</v>
      </c>
      <c r="B7" s="533" t="s">
        <v>12546</v>
      </c>
      <c r="C7" s="135" t="s">
        <v>12547</v>
      </c>
      <c r="D7" s="135" t="str">
        <f>IFERROR(__xludf.DUMMYFUNCTION("GOOGLETRANSLATE(B7,""zh-tw"",""ja"")"),"6. 「垂直同期」を「高速」に設定します。")</f>
        <v>6. 「垂直同期」を「高速」に設定します。</v>
      </c>
      <c r="E7" s="568" t="s">
        <v>12548</v>
      </c>
      <c r="F7" s="486" t="s">
        <v>12549</v>
      </c>
      <c r="G7" s="569" t="s">
        <v>12550</v>
      </c>
      <c r="H7" s="534" t="str">
        <f>IFERROR(__xludf.DUMMYFUNCTION("GOOGLETRANSLATE(B7,""zh-tw"",""zh"")"),"6- 将「垂直同步」设为「快速」。")</f>
        <v>6- 将「垂直同步」设为「快速」。</v>
      </c>
      <c r="I7" s="535" t="s">
        <v>12551</v>
      </c>
      <c r="J7" s="535" t="s">
        <v>12552</v>
      </c>
      <c r="K7" s="456" t="s">
        <v>12553</v>
      </c>
      <c r="L7" s="456" t="s">
        <v>12554</v>
      </c>
      <c r="M7" s="570" t="s">
        <v>12555</v>
      </c>
      <c r="N7" s="570" t="s">
        <v>12556</v>
      </c>
      <c r="O7" s="571" t="s">
        <v>12557</v>
      </c>
      <c r="P7" s="571" t="s">
        <v>12558</v>
      </c>
      <c r="Q7" s="223"/>
      <c r="R7" s="223"/>
      <c r="S7" s="223"/>
      <c r="T7" s="223"/>
      <c r="U7" s="223"/>
      <c r="V7" s="223"/>
      <c r="W7" s="223"/>
    </row>
    <row r="8">
      <c r="A8" s="533" t="s">
        <v>12559</v>
      </c>
      <c r="B8" s="533" t="s">
        <v>12560</v>
      </c>
      <c r="C8" s="135" t="s">
        <v>12561</v>
      </c>
      <c r="D8" s="135"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568" t="s">
        <v>12562</v>
      </c>
      <c r="F8" s="486" t="s">
        <v>12563</v>
      </c>
      <c r="G8" s="569" t="s">
        <v>12564</v>
      </c>
      <c r="H8" s="534" t="str">
        <f>IFERROR(__xludf.DUMMYFUNCTION("GOOGLETRANSLATE(B8,""zh-tw"",""zh"")"),"7 - 如果你的电脑无法负荷这些选项，请依照最佳的选项即可。")</f>
        <v>7 - 如果你的电脑无法负荷这些选项，请依照最佳的选项即可。</v>
      </c>
      <c r="I8" s="535" t="s">
        <v>12565</v>
      </c>
      <c r="J8" s="535" t="s">
        <v>12566</v>
      </c>
      <c r="K8" s="456" t="s">
        <v>12567</v>
      </c>
      <c r="L8" s="456" t="s">
        <v>12568</v>
      </c>
      <c r="M8" s="570" t="s">
        <v>12569</v>
      </c>
      <c r="N8" s="570" t="s">
        <v>12570</v>
      </c>
      <c r="O8" s="571" t="s">
        <v>12571</v>
      </c>
      <c r="P8" s="571" t="s">
        <v>12572</v>
      </c>
      <c r="Q8" s="223"/>
      <c r="R8" s="223"/>
      <c r="S8" s="223"/>
      <c r="T8" s="223"/>
      <c r="U8" s="223"/>
      <c r="V8" s="223"/>
      <c r="W8" s="223"/>
    </row>
    <row r="9">
      <c r="A9" s="533" t="s">
        <v>12573</v>
      </c>
      <c r="B9" s="533" t="s">
        <v>12574</v>
      </c>
      <c r="C9" s="135" t="s">
        <v>12575</v>
      </c>
      <c r="D9" s="135" t="str">
        <f>IFERROR(__xludf.DUMMYFUNCTION("GOOGLETRANSLATE(B9,""zh-tw"",""ja"")"),"8. さあ、ゲームを起動してみましょう。その優れた安定性を実感できるはずです。")</f>
        <v>8. さあ、ゲームを起動してみましょう。その優れた安定性を実感できるはずです。</v>
      </c>
      <c r="E9" s="568" t="s">
        <v>12576</v>
      </c>
      <c r="F9" s="486" t="s">
        <v>12577</v>
      </c>
      <c r="G9" s="569" t="s">
        <v>12578</v>
      </c>
      <c r="H9" s="534" t="str">
        <f>IFERROR(__xludf.DUMMYFUNCTION("GOOGLETRANSLATE(B9,""zh-tw"",""zh"")"),"8- 现在，将游戏启动，你能体验到良好的稳定性能。")</f>
        <v>8- 现在，将游戏启动，你能体验到良好的稳定性能。</v>
      </c>
      <c r="I9" s="535" t="s">
        <v>12579</v>
      </c>
      <c r="J9" s="535" t="s">
        <v>12580</v>
      </c>
      <c r="K9" s="456" t="s">
        <v>12581</v>
      </c>
      <c r="L9" s="456" t="s">
        <v>12582</v>
      </c>
      <c r="M9" s="570" t="s">
        <v>12576</v>
      </c>
      <c r="N9" s="570" t="s">
        <v>12583</v>
      </c>
      <c r="O9" s="571" t="s">
        <v>12584</v>
      </c>
      <c r="P9" s="571" t="s">
        <v>12585</v>
      </c>
      <c r="Q9" s="223"/>
      <c r="R9" s="223"/>
      <c r="S9" s="223"/>
      <c r="T9" s="223"/>
      <c r="U9" s="223"/>
      <c r="V9" s="223"/>
      <c r="W9" s="223"/>
    </row>
    <row r="10">
      <c r="A10" s="533"/>
      <c r="B10" s="572" t="s">
        <v>12586</v>
      </c>
      <c r="C10" s="284"/>
      <c r="D10" s="573" t="s">
        <v>12587</v>
      </c>
      <c r="E10" s="574"/>
      <c r="F10" s="575" t="s">
        <v>12442</v>
      </c>
      <c r="G10" s="534"/>
      <c r="H10" s="576" t="s">
        <v>12588</v>
      </c>
      <c r="I10" s="577"/>
      <c r="J10" s="578" t="s">
        <v>12444</v>
      </c>
      <c r="K10" s="461"/>
      <c r="L10" s="544" t="str">
        <f>HYPERLINK("https://www.youtube.com/watch?v=9NSNcMB5M2o&amp;ab_channel=gabrielb", "Video Youtube tham khảo")</f>
        <v>Video Youtube tham khảo</v>
      </c>
      <c r="M10" s="579"/>
      <c r="N10" s="580" t="s">
        <v>12589</v>
      </c>
      <c r="O10" s="571"/>
      <c r="P10" s="581" t="s">
        <v>12447</v>
      </c>
      <c r="Q10" s="223"/>
      <c r="R10" s="223"/>
      <c r="S10" s="223"/>
      <c r="T10" s="223"/>
      <c r="U10" s="223"/>
      <c r="V10" s="223"/>
      <c r="W10" s="223"/>
    </row>
    <row r="11">
      <c r="A11" s="547"/>
      <c r="B11" s="547"/>
      <c r="C11" s="223"/>
      <c r="D11" s="223"/>
      <c r="E11" s="223"/>
      <c r="F11" s="547"/>
      <c r="G11" s="223"/>
      <c r="H11" s="223"/>
      <c r="I11" s="223"/>
      <c r="J11" s="438"/>
      <c r="K11" s="320"/>
      <c r="L11" s="320"/>
      <c r="M11" s="223"/>
      <c r="N11" s="223"/>
      <c r="O11" s="223"/>
      <c r="P11" s="223"/>
      <c r="Q11" s="223"/>
      <c r="R11" s="223"/>
      <c r="S11" s="223"/>
      <c r="T11" s="223"/>
      <c r="U11" s="223"/>
      <c r="V11" s="223"/>
      <c r="W11" s="223"/>
    </row>
    <row r="12">
      <c r="A12" s="547"/>
      <c r="B12" s="547"/>
      <c r="C12" s="223"/>
      <c r="D12" s="223"/>
      <c r="E12" s="223"/>
      <c r="F12" s="223"/>
      <c r="G12" s="223"/>
      <c r="H12" s="223"/>
      <c r="I12" s="223"/>
      <c r="J12" s="223"/>
      <c r="K12" s="320"/>
      <c r="L12" s="320"/>
      <c r="M12" s="223"/>
      <c r="N12" s="223"/>
      <c r="O12" s="223"/>
      <c r="P12" s="223"/>
      <c r="Q12" s="223"/>
      <c r="R12" s="223"/>
      <c r="S12" s="223"/>
      <c r="T12" s="223"/>
      <c r="U12" s="223"/>
      <c r="V12" s="223"/>
      <c r="W12" s="223"/>
    </row>
    <row r="13">
      <c r="A13" s="547"/>
      <c r="B13" s="547"/>
      <c r="C13" s="223"/>
      <c r="D13" s="223"/>
      <c r="E13" s="223"/>
      <c r="F13" s="223"/>
      <c r="G13" s="223"/>
      <c r="H13" s="223"/>
      <c r="I13" s="223"/>
      <c r="J13" s="223"/>
      <c r="K13" s="320"/>
      <c r="L13" s="320"/>
      <c r="M13" s="223"/>
      <c r="N13" s="223"/>
      <c r="O13" s="223"/>
      <c r="P13" s="223"/>
      <c r="Q13" s="223"/>
      <c r="R13" s="223"/>
      <c r="S13" s="223"/>
      <c r="T13" s="223"/>
      <c r="U13" s="223"/>
      <c r="V13" s="223"/>
      <c r="W13" s="223"/>
    </row>
    <row r="14">
      <c r="A14" s="547"/>
      <c r="B14" s="547"/>
      <c r="C14" s="223"/>
      <c r="D14" s="223"/>
      <c r="E14" s="223"/>
      <c r="F14" s="223"/>
      <c r="G14" s="223"/>
      <c r="H14" s="223"/>
      <c r="I14" s="223"/>
      <c r="J14" s="223"/>
      <c r="K14" s="320"/>
      <c r="L14" s="320"/>
      <c r="M14" s="223"/>
      <c r="N14" s="223"/>
      <c r="O14" s="223"/>
      <c r="P14" s="223"/>
      <c r="Q14" s="223"/>
      <c r="R14" s="223"/>
      <c r="S14" s="223"/>
      <c r="T14" s="223"/>
      <c r="U14" s="223"/>
      <c r="V14" s="223"/>
      <c r="W14" s="223"/>
    </row>
    <row r="15">
      <c r="A15" s="547"/>
      <c r="B15" s="547"/>
      <c r="C15" s="223"/>
      <c r="D15" s="223"/>
      <c r="E15" s="223"/>
      <c r="F15" s="223"/>
      <c r="G15" s="223"/>
      <c r="H15" s="223"/>
      <c r="I15" s="223"/>
      <c r="J15" s="223"/>
      <c r="K15" s="320"/>
      <c r="L15" s="320"/>
      <c r="M15" s="223"/>
      <c r="N15" s="223"/>
      <c r="O15" s="223"/>
      <c r="P15" s="223"/>
      <c r="Q15" s="223"/>
      <c r="R15" s="223"/>
      <c r="S15" s="223"/>
      <c r="T15" s="223"/>
      <c r="U15" s="223"/>
      <c r="V15" s="223"/>
      <c r="W15" s="223"/>
    </row>
    <row r="16">
      <c r="A16" s="547"/>
      <c r="B16" s="547"/>
      <c r="C16" s="223"/>
      <c r="D16" s="223"/>
      <c r="E16" s="223"/>
      <c r="F16" s="223"/>
      <c r="G16" s="223"/>
      <c r="H16" s="223"/>
      <c r="I16" s="223"/>
      <c r="J16" s="223"/>
      <c r="K16" s="320"/>
      <c r="L16" s="320"/>
      <c r="M16" s="223"/>
      <c r="N16" s="223"/>
      <c r="O16" s="223"/>
      <c r="P16" s="223"/>
      <c r="Q16" s="223"/>
      <c r="R16" s="223"/>
      <c r="S16" s="223"/>
      <c r="T16" s="223"/>
      <c r="U16" s="223"/>
      <c r="V16" s="223"/>
      <c r="W16" s="223"/>
    </row>
    <row r="17">
      <c r="A17" s="547"/>
      <c r="B17" s="547"/>
      <c r="C17" s="223"/>
      <c r="D17" s="223"/>
      <c r="E17" s="223"/>
      <c r="F17" s="223"/>
      <c r="G17" s="223"/>
      <c r="H17" s="223"/>
      <c r="I17" s="223"/>
      <c r="J17" s="223"/>
      <c r="K17" s="320"/>
      <c r="L17" s="320"/>
      <c r="M17" s="223"/>
      <c r="N17" s="223"/>
      <c r="O17" s="223"/>
      <c r="P17" s="223"/>
      <c r="Q17" s="223"/>
      <c r="R17" s="223"/>
      <c r="S17" s="223"/>
      <c r="T17" s="223"/>
      <c r="U17" s="223"/>
      <c r="V17" s="223"/>
      <c r="W17" s="223"/>
    </row>
    <row r="18">
      <c r="A18" s="547"/>
      <c r="B18" s="547"/>
      <c r="C18" s="223"/>
      <c r="D18" s="223"/>
      <c r="E18" s="223"/>
      <c r="F18" s="223"/>
      <c r="G18" s="223"/>
      <c r="H18" s="223"/>
      <c r="I18" s="223"/>
      <c r="J18" s="223"/>
      <c r="K18" s="320"/>
      <c r="L18" s="320"/>
      <c r="M18" s="223"/>
      <c r="N18" s="223"/>
      <c r="O18" s="223"/>
      <c r="P18" s="223"/>
      <c r="Q18" s="223"/>
      <c r="R18" s="223"/>
      <c r="S18" s="223"/>
      <c r="T18" s="223"/>
      <c r="U18" s="223"/>
      <c r="V18" s="223"/>
      <c r="W18" s="223"/>
    </row>
    <row r="19">
      <c r="A19" s="547"/>
      <c r="B19" s="547"/>
      <c r="C19" s="223"/>
      <c r="D19" s="223"/>
      <c r="E19" s="223"/>
      <c r="F19" s="223"/>
      <c r="G19" s="223"/>
      <c r="H19" s="223"/>
      <c r="I19" s="223"/>
      <c r="J19" s="223"/>
      <c r="K19" s="320"/>
      <c r="L19" s="320"/>
      <c r="M19" s="223"/>
      <c r="N19" s="223"/>
      <c r="O19" s="223"/>
      <c r="P19" s="223"/>
      <c r="Q19" s="223"/>
      <c r="R19" s="223"/>
      <c r="S19" s="223"/>
      <c r="T19" s="223"/>
      <c r="U19" s="223"/>
      <c r="V19" s="223"/>
      <c r="W19" s="223"/>
    </row>
    <row r="20">
      <c r="A20" s="547"/>
      <c r="B20" s="547"/>
      <c r="C20" s="223"/>
      <c r="D20" s="223"/>
      <c r="E20" s="223"/>
      <c r="F20" s="223"/>
      <c r="G20" s="223"/>
      <c r="H20" s="223"/>
      <c r="I20" s="223"/>
      <c r="J20" s="223"/>
      <c r="K20" s="320"/>
      <c r="L20" s="320"/>
      <c r="M20" s="223"/>
      <c r="N20" s="223"/>
      <c r="O20" s="223"/>
      <c r="P20" s="223"/>
      <c r="Q20" s="223"/>
      <c r="R20" s="223"/>
      <c r="S20" s="223"/>
      <c r="T20" s="223"/>
      <c r="U20" s="223"/>
      <c r="V20" s="223"/>
      <c r="W20" s="223"/>
    </row>
    <row r="21">
      <c r="A21" s="547"/>
      <c r="B21" s="547"/>
      <c r="C21" s="223"/>
      <c r="D21" s="223"/>
      <c r="E21" s="223"/>
      <c r="F21" s="223"/>
      <c r="G21" s="223"/>
      <c r="H21" s="223"/>
      <c r="I21" s="223"/>
      <c r="J21" s="223"/>
      <c r="K21" s="320"/>
      <c r="L21" s="320"/>
      <c r="M21" s="223"/>
      <c r="N21" s="223"/>
      <c r="O21" s="223"/>
      <c r="P21" s="223"/>
      <c r="Q21" s="223"/>
      <c r="R21" s="223"/>
      <c r="S21" s="223"/>
      <c r="T21" s="223"/>
      <c r="U21" s="223"/>
      <c r="V21" s="223"/>
      <c r="W21" s="223"/>
    </row>
    <row r="22">
      <c r="A22" s="582"/>
      <c r="B22" s="547"/>
      <c r="C22" s="223"/>
      <c r="D22" s="223"/>
      <c r="E22" s="223"/>
      <c r="F22" s="223"/>
      <c r="G22" s="223"/>
      <c r="H22" s="223"/>
      <c r="I22" s="223"/>
      <c r="J22" s="223"/>
      <c r="K22" s="320"/>
      <c r="L22" s="320"/>
      <c r="M22" s="223"/>
      <c r="N22" s="223"/>
      <c r="O22" s="223"/>
      <c r="P22" s="223"/>
      <c r="Q22" s="223"/>
      <c r="R22" s="223"/>
      <c r="S22" s="223"/>
      <c r="T22" s="223"/>
      <c r="U22" s="223"/>
      <c r="V22" s="223"/>
      <c r="W22" s="223"/>
    </row>
    <row r="23">
      <c r="A23" s="547"/>
      <c r="B23" s="547"/>
      <c r="C23" s="223"/>
      <c r="D23" s="223"/>
      <c r="E23" s="223"/>
      <c r="F23" s="223"/>
      <c r="G23" s="223"/>
      <c r="H23" s="223"/>
      <c r="I23" s="223"/>
      <c r="J23" s="223"/>
      <c r="K23" s="320"/>
      <c r="L23" s="320"/>
      <c r="M23" s="223"/>
      <c r="N23" s="223"/>
      <c r="O23" s="223"/>
      <c r="P23" s="223"/>
      <c r="Q23" s="223"/>
      <c r="R23" s="223"/>
      <c r="S23" s="223"/>
      <c r="T23" s="223"/>
      <c r="U23" s="223"/>
      <c r="V23" s="223"/>
      <c r="W23" s="223"/>
    </row>
    <row r="24">
      <c r="A24" s="547"/>
      <c r="B24" s="547"/>
      <c r="C24" s="223"/>
      <c r="D24" s="223"/>
      <c r="E24" s="223"/>
      <c r="F24" s="223"/>
      <c r="G24" s="223"/>
      <c r="H24" s="223"/>
      <c r="I24" s="223"/>
      <c r="J24" s="223"/>
      <c r="K24" s="320"/>
      <c r="L24" s="320"/>
      <c r="M24" s="223"/>
      <c r="N24" s="223"/>
      <c r="O24" s="223"/>
      <c r="P24" s="223"/>
      <c r="Q24" s="223"/>
      <c r="R24" s="223"/>
      <c r="S24" s="223"/>
      <c r="T24" s="223"/>
      <c r="U24" s="223"/>
      <c r="V24" s="223"/>
      <c r="W24" s="223"/>
    </row>
    <row r="25">
      <c r="A25" s="547"/>
      <c r="B25" s="547"/>
      <c r="C25" s="223"/>
      <c r="D25" s="223"/>
      <c r="E25" s="223"/>
      <c r="F25" s="223"/>
      <c r="G25" s="223"/>
      <c r="H25" s="223"/>
      <c r="I25" s="223"/>
      <c r="J25" s="223"/>
      <c r="K25" s="320"/>
      <c r="L25" s="320"/>
      <c r="M25" s="223"/>
      <c r="N25" s="223"/>
      <c r="O25" s="223"/>
      <c r="P25" s="223"/>
      <c r="Q25" s="223"/>
      <c r="R25" s="223"/>
      <c r="S25" s="223"/>
      <c r="T25" s="223"/>
      <c r="U25" s="223"/>
      <c r="V25" s="223"/>
      <c r="W25" s="223"/>
    </row>
    <row r="26">
      <c r="A26" s="547"/>
      <c r="B26" s="547"/>
      <c r="C26" s="223"/>
      <c r="D26" s="223"/>
      <c r="E26" s="223"/>
      <c r="F26" s="223"/>
      <c r="G26" s="223"/>
      <c r="H26" s="223"/>
      <c r="I26" s="223"/>
      <c r="J26" s="223"/>
      <c r="K26" s="320"/>
      <c r="L26" s="320"/>
      <c r="M26" s="223"/>
      <c r="N26" s="223"/>
      <c r="O26" s="223"/>
      <c r="P26" s="223"/>
      <c r="Q26" s="223"/>
      <c r="R26" s="223"/>
      <c r="S26" s="223"/>
      <c r="T26" s="223"/>
      <c r="U26" s="223"/>
      <c r="V26" s="223"/>
      <c r="W26" s="223"/>
    </row>
    <row r="27">
      <c r="A27" s="547"/>
      <c r="B27" s="547"/>
      <c r="C27" s="223"/>
      <c r="D27" s="223"/>
      <c r="E27" s="223"/>
      <c r="F27" s="223"/>
      <c r="G27" s="223"/>
      <c r="H27" s="223"/>
      <c r="I27" s="223"/>
      <c r="J27" s="223"/>
      <c r="K27" s="320"/>
      <c r="L27" s="320"/>
      <c r="M27" s="223"/>
      <c r="N27" s="223"/>
      <c r="O27" s="223"/>
      <c r="P27" s="223"/>
      <c r="Q27" s="223"/>
      <c r="R27" s="223"/>
      <c r="S27" s="223"/>
      <c r="T27" s="223"/>
      <c r="U27" s="223"/>
      <c r="V27" s="223"/>
      <c r="W27" s="223"/>
    </row>
    <row r="28">
      <c r="A28" s="547"/>
      <c r="B28" s="547"/>
      <c r="C28" s="223"/>
      <c r="D28" s="223"/>
      <c r="E28" s="223"/>
      <c r="F28" s="223"/>
      <c r="G28" s="223"/>
      <c r="H28" s="223"/>
      <c r="I28" s="223"/>
      <c r="J28" s="223"/>
      <c r="K28" s="320"/>
      <c r="L28" s="320"/>
      <c r="M28" s="223"/>
      <c r="N28" s="223"/>
      <c r="O28" s="223"/>
      <c r="P28" s="223"/>
      <c r="Q28" s="223"/>
      <c r="R28" s="223"/>
      <c r="S28" s="223"/>
      <c r="T28" s="223"/>
      <c r="U28" s="223"/>
      <c r="V28" s="223"/>
      <c r="W28" s="223"/>
    </row>
    <row r="29">
      <c r="A29" s="547"/>
      <c r="B29" s="547"/>
      <c r="C29" s="223"/>
      <c r="D29" s="223"/>
      <c r="E29" s="223"/>
      <c r="F29" s="223"/>
      <c r="G29" s="223"/>
      <c r="H29" s="223"/>
      <c r="I29" s="223"/>
      <c r="J29" s="223"/>
      <c r="K29" s="320"/>
      <c r="L29" s="320"/>
      <c r="M29" s="223"/>
      <c r="N29" s="223"/>
      <c r="O29" s="223"/>
      <c r="P29" s="223"/>
      <c r="Q29" s="223"/>
      <c r="R29" s="223"/>
      <c r="S29" s="223"/>
      <c r="T29" s="223"/>
      <c r="U29" s="223"/>
      <c r="V29" s="223"/>
      <c r="W29" s="223"/>
    </row>
    <row r="30">
      <c r="A30" s="547"/>
      <c r="B30" s="547"/>
      <c r="C30" s="223"/>
      <c r="D30" s="223"/>
      <c r="E30" s="223"/>
      <c r="F30" s="223"/>
      <c r="G30" s="223"/>
      <c r="H30" s="223"/>
      <c r="I30" s="223"/>
      <c r="J30" s="223"/>
      <c r="K30" s="320"/>
      <c r="L30" s="320"/>
      <c r="M30" s="223"/>
      <c r="N30" s="223"/>
      <c r="O30" s="223"/>
      <c r="P30" s="223"/>
      <c r="Q30" s="223"/>
      <c r="R30" s="223"/>
      <c r="S30" s="223"/>
      <c r="T30" s="223"/>
      <c r="U30" s="223"/>
      <c r="V30" s="223"/>
      <c r="W30" s="223"/>
    </row>
    <row r="31">
      <c r="A31" s="547"/>
      <c r="B31" s="547"/>
      <c r="C31" s="223"/>
      <c r="D31" s="223"/>
      <c r="E31" s="223"/>
      <c r="F31" s="223"/>
      <c r="G31" s="223"/>
      <c r="H31" s="223"/>
      <c r="I31" s="223"/>
      <c r="J31" s="223"/>
      <c r="K31" s="320"/>
      <c r="L31" s="320"/>
      <c r="M31" s="223"/>
      <c r="N31" s="223"/>
      <c r="O31" s="223"/>
      <c r="P31" s="223"/>
      <c r="Q31" s="223"/>
      <c r="R31" s="223"/>
      <c r="S31" s="223"/>
      <c r="T31" s="223"/>
      <c r="U31" s="223"/>
      <c r="V31" s="223"/>
      <c r="W31" s="223"/>
    </row>
    <row r="32">
      <c r="A32" s="547"/>
      <c r="B32" s="547"/>
      <c r="C32" s="223"/>
      <c r="D32" s="223"/>
      <c r="E32" s="223"/>
      <c r="F32" s="223"/>
      <c r="G32" s="223"/>
      <c r="H32" s="223"/>
      <c r="I32" s="223"/>
      <c r="J32" s="223"/>
      <c r="K32" s="320"/>
      <c r="L32" s="320"/>
      <c r="M32" s="223"/>
      <c r="N32" s="223"/>
      <c r="O32" s="223"/>
      <c r="P32" s="223"/>
      <c r="Q32" s="223"/>
      <c r="R32" s="223"/>
      <c r="S32" s="223"/>
      <c r="T32" s="223"/>
      <c r="U32" s="223"/>
      <c r="V32" s="223"/>
      <c r="W32" s="223"/>
    </row>
    <row r="33">
      <c r="A33" s="547"/>
      <c r="B33" s="547"/>
      <c r="C33" s="223"/>
      <c r="D33" s="223"/>
      <c r="E33" s="223"/>
      <c r="F33" s="223"/>
      <c r="G33" s="223"/>
      <c r="H33" s="223"/>
      <c r="I33" s="223"/>
      <c r="J33" s="223"/>
      <c r="K33" s="320"/>
      <c r="L33" s="320"/>
      <c r="M33" s="223"/>
      <c r="N33" s="223"/>
      <c r="O33" s="223"/>
      <c r="P33" s="223"/>
      <c r="Q33" s="223"/>
      <c r="R33" s="223"/>
      <c r="S33" s="223"/>
      <c r="T33" s="223"/>
      <c r="U33" s="223"/>
      <c r="V33" s="223"/>
      <c r="W33" s="223"/>
    </row>
    <row r="34">
      <c r="A34" s="547"/>
      <c r="B34" s="547"/>
      <c r="C34" s="223"/>
      <c r="D34" s="223"/>
      <c r="E34" s="223"/>
      <c r="F34" s="223"/>
      <c r="G34" s="223"/>
      <c r="H34" s="223"/>
      <c r="I34" s="223"/>
      <c r="J34" s="223"/>
      <c r="K34" s="320"/>
      <c r="L34" s="320"/>
      <c r="M34" s="223"/>
      <c r="N34" s="223"/>
      <c r="O34" s="223"/>
      <c r="P34" s="223"/>
      <c r="Q34" s="223"/>
      <c r="R34" s="223"/>
      <c r="S34" s="223"/>
      <c r="T34" s="223"/>
      <c r="U34" s="223"/>
      <c r="V34" s="223"/>
      <c r="W34" s="223"/>
    </row>
    <row r="35">
      <c r="A35" s="547"/>
      <c r="B35" s="547"/>
      <c r="C35" s="223"/>
      <c r="D35" s="223"/>
      <c r="E35" s="223"/>
      <c r="F35" s="223"/>
      <c r="G35" s="223"/>
      <c r="H35" s="223"/>
      <c r="I35" s="223"/>
      <c r="J35" s="223"/>
      <c r="K35" s="320"/>
      <c r="L35" s="320"/>
      <c r="M35" s="223"/>
      <c r="N35" s="223"/>
      <c r="O35" s="223"/>
      <c r="P35" s="223"/>
      <c r="Q35" s="223"/>
      <c r="R35" s="223"/>
      <c r="S35" s="223"/>
      <c r="T35" s="223"/>
      <c r="U35" s="223"/>
      <c r="V35" s="223"/>
      <c r="W35" s="223"/>
    </row>
    <row r="36">
      <c r="A36" s="223"/>
      <c r="B36" s="223"/>
      <c r="C36" s="223"/>
      <c r="D36" s="223"/>
      <c r="E36" s="223"/>
      <c r="F36" s="223"/>
      <c r="G36" s="223"/>
      <c r="H36" s="223"/>
      <c r="I36" s="223"/>
      <c r="J36" s="223"/>
      <c r="K36" s="320"/>
      <c r="L36" s="320"/>
      <c r="M36" s="223"/>
      <c r="N36" s="223"/>
      <c r="O36" s="223"/>
      <c r="P36" s="223"/>
      <c r="Q36" s="223"/>
      <c r="R36" s="223"/>
      <c r="S36" s="223"/>
      <c r="T36" s="223"/>
      <c r="U36" s="223"/>
      <c r="V36" s="223"/>
      <c r="W36" s="223"/>
    </row>
    <row r="37">
      <c r="A37" s="223"/>
      <c r="B37" s="223"/>
      <c r="C37" s="223"/>
      <c r="D37" s="223"/>
      <c r="E37" s="223"/>
      <c r="F37" s="223"/>
      <c r="G37" s="223"/>
      <c r="H37" s="223"/>
      <c r="I37" s="223"/>
      <c r="J37" s="223"/>
      <c r="K37" s="320"/>
      <c r="L37" s="320"/>
      <c r="M37" s="223"/>
      <c r="N37" s="223"/>
      <c r="O37" s="223"/>
      <c r="P37" s="223"/>
      <c r="Q37" s="223"/>
      <c r="R37" s="223"/>
      <c r="S37" s="223"/>
      <c r="T37" s="223"/>
      <c r="U37" s="223"/>
      <c r="V37" s="223"/>
      <c r="W37" s="223"/>
    </row>
    <row r="38">
      <c r="A38" s="223"/>
      <c r="B38" s="223"/>
      <c r="C38" s="223"/>
      <c r="D38" s="223"/>
      <c r="E38" s="223"/>
      <c r="F38" s="223"/>
      <c r="G38" s="223"/>
      <c r="H38" s="223"/>
      <c r="I38" s="223"/>
      <c r="J38" s="223"/>
      <c r="K38" s="320"/>
      <c r="L38" s="320"/>
      <c r="M38" s="223"/>
      <c r="N38" s="223"/>
      <c r="O38" s="223"/>
      <c r="P38" s="223"/>
      <c r="Q38" s="223"/>
      <c r="R38" s="223"/>
      <c r="S38" s="223"/>
      <c r="T38" s="223"/>
      <c r="U38" s="223"/>
      <c r="V38" s="223"/>
      <c r="W38" s="223"/>
    </row>
    <row r="39">
      <c r="A39" s="223"/>
      <c r="B39" s="223"/>
      <c r="C39" s="223"/>
      <c r="D39" s="223"/>
      <c r="E39" s="223"/>
      <c r="F39" s="223"/>
      <c r="G39" s="223"/>
      <c r="H39" s="223"/>
      <c r="I39" s="223"/>
      <c r="J39" s="223"/>
      <c r="K39" s="320"/>
      <c r="L39" s="320"/>
      <c r="M39" s="223"/>
      <c r="N39" s="223"/>
      <c r="O39" s="223"/>
      <c r="P39" s="223"/>
      <c r="Q39" s="223"/>
      <c r="R39" s="223"/>
      <c r="S39" s="223"/>
      <c r="T39" s="223"/>
      <c r="U39" s="223"/>
      <c r="V39" s="223"/>
      <c r="W39" s="223"/>
    </row>
    <row r="40">
      <c r="A40" s="223"/>
      <c r="B40" s="223"/>
      <c r="C40" s="223"/>
      <c r="D40" s="223"/>
      <c r="E40" s="223"/>
      <c r="F40" s="223"/>
      <c r="G40" s="223"/>
      <c r="H40" s="223"/>
      <c r="I40" s="223"/>
      <c r="J40" s="223"/>
      <c r="K40" s="320"/>
      <c r="L40" s="320"/>
      <c r="M40" s="223"/>
      <c r="N40" s="223"/>
      <c r="O40" s="223"/>
      <c r="P40" s="223"/>
      <c r="Q40" s="223"/>
      <c r="R40" s="223"/>
      <c r="S40" s="223"/>
      <c r="T40" s="223"/>
      <c r="U40" s="223"/>
      <c r="V40" s="223"/>
      <c r="W40" s="223"/>
    </row>
    <row r="41">
      <c r="A41" s="223"/>
      <c r="B41" s="223"/>
      <c r="C41" s="223"/>
      <c r="D41" s="223"/>
      <c r="E41" s="223"/>
      <c r="F41" s="223"/>
      <c r="G41" s="223"/>
      <c r="H41" s="223"/>
      <c r="I41" s="223"/>
      <c r="J41" s="223"/>
      <c r="K41" s="320"/>
      <c r="L41" s="320"/>
      <c r="M41" s="223"/>
      <c r="N41" s="223"/>
      <c r="O41" s="223"/>
      <c r="P41" s="223"/>
      <c r="Q41" s="223"/>
      <c r="R41" s="223"/>
      <c r="S41" s="223"/>
      <c r="T41" s="223"/>
      <c r="U41" s="223"/>
      <c r="V41" s="223"/>
      <c r="W41" s="223"/>
    </row>
    <row r="42">
      <c r="A42" s="223"/>
      <c r="B42" s="223"/>
      <c r="C42" s="223"/>
      <c r="D42" s="223"/>
      <c r="E42" s="223"/>
      <c r="F42" s="223"/>
      <c r="G42" s="223"/>
      <c r="H42" s="223"/>
      <c r="I42" s="223"/>
      <c r="J42" s="223"/>
      <c r="K42" s="320"/>
      <c r="L42" s="320"/>
      <c r="M42" s="223"/>
      <c r="N42" s="223"/>
      <c r="O42" s="223"/>
      <c r="P42" s="223"/>
      <c r="Q42" s="223"/>
      <c r="R42" s="223"/>
      <c r="S42" s="223"/>
      <c r="T42" s="223"/>
      <c r="U42" s="223"/>
      <c r="V42" s="223"/>
      <c r="W42" s="223"/>
    </row>
    <row r="43">
      <c r="A43" s="223"/>
      <c r="B43" s="223"/>
      <c r="C43" s="223"/>
      <c r="D43" s="223"/>
      <c r="E43" s="223"/>
      <c r="F43" s="223"/>
      <c r="G43" s="223"/>
      <c r="H43" s="223"/>
      <c r="I43" s="223"/>
      <c r="J43" s="223"/>
      <c r="K43" s="320"/>
      <c r="L43" s="320"/>
      <c r="M43" s="223"/>
      <c r="N43" s="223"/>
      <c r="O43" s="223"/>
      <c r="P43" s="223"/>
      <c r="Q43" s="223"/>
      <c r="R43" s="223"/>
      <c r="S43" s="223"/>
      <c r="T43" s="223"/>
      <c r="U43" s="223"/>
      <c r="V43" s="223"/>
      <c r="W43" s="223"/>
    </row>
    <row r="44">
      <c r="A44" s="223"/>
      <c r="B44" s="223"/>
      <c r="C44" s="223"/>
      <c r="D44" s="223"/>
      <c r="E44" s="223"/>
      <c r="F44" s="223"/>
      <c r="G44" s="223"/>
      <c r="H44" s="223"/>
      <c r="I44" s="223"/>
      <c r="J44" s="223"/>
      <c r="K44" s="320"/>
      <c r="L44" s="320"/>
      <c r="M44" s="223"/>
      <c r="N44" s="223"/>
      <c r="O44" s="223"/>
      <c r="P44" s="223"/>
      <c r="Q44" s="223"/>
      <c r="R44" s="223"/>
      <c r="S44" s="223"/>
      <c r="T44" s="223"/>
      <c r="U44" s="223"/>
      <c r="V44" s="223"/>
      <c r="W44" s="223"/>
    </row>
    <row r="45">
      <c r="A45" s="223"/>
      <c r="B45" s="223"/>
      <c r="C45" s="223"/>
      <c r="D45" s="223"/>
      <c r="E45" s="223"/>
      <c r="F45" s="223"/>
      <c r="G45" s="223"/>
      <c r="H45" s="223"/>
      <c r="I45" s="223"/>
      <c r="J45" s="223"/>
      <c r="K45" s="320"/>
      <c r="L45" s="320"/>
      <c r="M45" s="223"/>
      <c r="N45" s="223"/>
      <c r="O45" s="223"/>
      <c r="P45" s="223"/>
      <c r="Q45" s="223"/>
      <c r="R45" s="223"/>
      <c r="S45" s="223"/>
      <c r="T45" s="223"/>
      <c r="U45" s="223"/>
      <c r="V45" s="223"/>
      <c r="W45" s="223"/>
    </row>
    <row r="46">
      <c r="A46" s="223"/>
      <c r="B46" s="223"/>
      <c r="C46" s="223"/>
      <c r="D46" s="223"/>
      <c r="E46" s="223"/>
      <c r="F46" s="223"/>
      <c r="G46" s="223"/>
      <c r="H46" s="223"/>
      <c r="I46" s="223"/>
      <c r="J46" s="223"/>
      <c r="K46" s="320"/>
      <c r="L46" s="320"/>
      <c r="M46" s="223"/>
      <c r="N46" s="223"/>
      <c r="O46" s="223"/>
      <c r="P46" s="223"/>
      <c r="Q46" s="223"/>
      <c r="R46" s="223"/>
      <c r="S46" s="223"/>
      <c r="T46" s="223"/>
      <c r="U46" s="223"/>
      <c r="V46" s="223"/>
      <c r="W46" s="223"/>
    </row>
    <row r="47">
      <c r="A47" s="223"/>
      <c r="B47" s="223"/>
      <c r="C47" s="223"/>
      <c r="D47" s="223"/>
      <c r="E47" s="223"/>
      <c r="F47" s="223"/>
      <c r="G47" s="223"/>
      <c r="H47" s="223"/>
      <c r="I47" s="223"/>
      <c r="J47" s="223"/>
      <c r="K47" s="320"/>
      <c r="L47" s="320"/>
      <c r="M47" s="223"/>
      <c r="N47" s="223"/>
      <c r="O47" s="223"/>
      <c r="P47" s="223"/>
      <c r="Q47" s="223"/>
      <c r="R47" s="223"/>
      <c r="S47" s="223"/>
      <c r="T47" s="223"/>
      <c r="U47" s="223"/>
      <c r="V47" s="223"/>
      <c r="W47" s="223"/>
    </row>
    <row r="48">
      <c r="A48" s="223"/>
      <c r="B48" s="223"/>
      <c r="C48" s="223"/>
      <c r="D48" s="223"/>
      <c r="E48" s="223"/>
      <c r="F48" s="223"/>
      <c r="G48" s="223"/>
      <c r="H48" s="223"/>
      <c r="I48" s="223"/>
      <c r="J48" s="223"/>
      <c r="K48" s="320"/>
      <c r="L48" s="320"/>
      <c r="M48" s="223"/>
      <c r="N48" s="223"/>
      <c r="O48" s="223"/>
      <c r="P48" s="223"/>
      <c r="Q48" s="223"/>
      <c r="R48" s="223"/>
      <c r="S48" s="223"/>
      <c r="T48" s="223"/>
      <c r="U48" s="223"/>
      <c r="V48" s="223"/>
      <c r="W48" s="223"/>
    </row>
    <row r="49">
      <c r="A49" s="223"/>
      <c r="B49" s="223"/>
      <c r="C49" s="223"/>
      <c r="D49" s="223"/>
      <c r="E49" s="223"/>
      <c r="F49" s="223"/>
      <c r="G49" s="223"/>
      <c r="H49" s="223"/>
      <c r="I49" s="223"/>
      <c r="J49" s="223"/>
      <c r="K49" s="320"/>
      <c r="L49" s="320"/>
      <c r="M49" s="223"/>
      <c r="N49" s="223"/>
      <c r="O49" s="223"/>
      <c r="P49" s="223"/>
      <c r="Q49" s="223"/>
      <c r="R49" s="223"/>
      <c r="S49" s="223"/>
      <c r="T49" s="223"/>
      <c r="U49" s="223"/>
      <c r="V49" s="223"/>
      <c r="W49" s="223"/>
    </row>
    <row r="50">
      <c r="A50" s="223"/>
      <c r="B50" s="223"/>
      <c r="C50" s="223"/>
      <c r="D50" s="223"/>
      <c r="E50" s="223"/>
      <c r="F50" s="223"/>
      <c r="G50" s="223"/>
      <c r="H50" s="223"/>
      <c r="I50" s="223"/>
      <c r="J50" s="223"/>
      <c r="K50" s="320"/>
      <c r="L50" s="320"/>
      <c r="M50" s="223"/>
      <c r="N50" s="223"/>
      <c r="O50" s="223"/>
      <c r="P50" s="223"/>
      <c r="Q50" s="223"/>
      <c r="R50" s="223"/>
      <c r="S50" s="223"/>
      <c r="T50" s="223"/>
      <c r="U50" s="223"/>
      <c r="V50" s="223"/>
      <c r="W50" s="223"/>
    </row>
    <row r="51">
      <c r="A51" s="223"/>
      <c r="B51" s="223"/>
      <c r="C51" s="223"/>
      <c r="D51" s="223"/>
      <c r="E51" s="223"/>
      <c r="F51" s="223"/>
      <c r="G51" s="223"/>
      <c r="H51" s="223"/>
      <c r="I51" s="223"/>
      <c r="J51" s="223"/>
      <c r="K51" s="320"/>
      <c r="L51" s="320"/>
      <c r="M51" s="223"/>
      <c r="N51" s="223"/>
      <c r="O51" s="223"/>
      <c r="P51" s="223"/>
      <c r="Q51" s="223"/>
      <c r="R51" s="223"/>
      <c r="S51" s="223"/>
      <c r="T51" s="223"/>
      <c r="U51" s="223"/>
      <c r="V51" s="223"/>
      <c r="W51" s="223"/>
    </row>
    <row r="52">
      <c r="A52" s="223"/>
      <c r="B52" s="223"/>
      <c r="C52" s="223"/>
      <c r="D52" s="223"/>
      <c r="E52" s="223"/>
      <c r="F52" s="223"/>
      <c r="G52" s="223"/>
      <c r="H52" s="223"/>
      <c r="I52" s="223"/>
      <c r="J52" s="223"/>
      <c r="K52" s="320"/>
      <c r="L52" s="320"/>
      <c r="M52" s="223"/>
      <c r="N52" s="223"/>
      <c r="O52" s="223"/>
      <c r="P52" s="223"/>
      <c r="Q52" s="223"/>
      <c r="R52" s="223"/>
      <c r="S52" s="223"/>
      <c r="T52" s="223"/>
      <c r="U52" s="223"/>
      <c r="V52" s="223"/>
      <c r="W52" s="223"/>
    </row>
    <row r="53">
      <c r="A53" s="223"/>
      <c r="B53" s="223"/>
      <c r="C53" s="223"/>
      <c r="D53" s="223"/>
      <c r="E53" s="223"/>
      <c r="F53" s="223"/>
      <c r="G53" s="223"/>
      <c r="H53" s="223"/>
      <c r="I53" s="223"/>
      <c r="J53" s="223"/>
      <c r="K53" s="320"/>
      <c r="L53" s="320"/>
      <c r="M53" s="223"/>
      <c r="N53" s="223"/>
      <c r="O53" s="223"/>
      <c r="P53" s="223"/>
      <c r="Q53" s="223"/>
      <c r="R53" s="223"/>
      <c r="S53" s="223"/>
      <c r="T53" s="223"/>
      <c r="U53" s="223"/>
      <c r="V53" s="223"/>
      <c r="W53" s="223"/>
    </row>
    <row r="54">
      <c r="A54" s="223"/>
      <c r="B54" s="223"/>
      <c r="C54" s="223"/>
      <c r="D54" s="223"/>
      <c r="E54" s="223"/>
      <c r="F54" s="223"/>
      <c r="G54" s="223"/>
      <c r="H54" s="223"/>
      <c r="I54" s="223"/>
      <c r="J54" s="223"/>
      <c r="K54" s="320"/>
      <c r="L54" s="320"/>
      <c r="M54" s="223"/>
      <c r="N54" s="223"/>
      <c r="O54" s="223"/>
      <c r="P54" s="223"/>
      <c r="Q54" s="223"/>
      <c r="R54" s="223"/>
      <c r="S54" s="223"/>
      <c r="T54" s="223"/>
      <c r="U54" s="223"/>
      <c r="V54" s="223"/>
      <c r="W54" s="223"/>
    </row>
    <row r="55">
      <c r="A55" s="223"/>
      <c r="B55" s="223"/>
      <c r="C55" s="223"/>
      <c r="D55" s="223"/>
      <c r="E55" s="223"/>
      <c r="F55" s="223"/>
      <c r="G55" s="223"/>
      <c r="H55" s="223"/>
      <c r="I55" s="223"/>
      <c r="J55" s="223"/>
      <c r="K55" s="320"/>
      <c r="L55" s="320"/>
      <c r="M55" s="223"/>
      <c r="N55" s="223"/>
      <c r="O55" s="223"/>
      <c r="P55" s="223"/>
      <c r="Q55" s="223"/>
      <c r="R55" s="223"/>
      <c r="S55" s="223"/>
      <c r="T55" s="223"/>
      <c r="U55" s="223"/>
      <c r="V55" s="223"/>
      <c r="W55" s="223"/>
    </row>
    <row r="56">
      <c r="A56" s="223"/>
      <c r="B56" s="223"/>
      <c r="C56" s="223"/>
      <c r="D56" s="223"/>
      <c r="E56" s="223"/>
      <c r="F56" s="223"/>
      <c r="G56" s="223"/>
      <c r="H56" s="223"/>
      <c r="I56" s="223"/>
      <c r="J56" s="223"/>
      <c r="K56" s="320"/>
      <c r="L56" s="320"/>
      <c r="M56" s="223"/>
      <c r="N56" s="223"/>
      <c r="O56" s="223"/>
      <c r="P56" s="223"/>
      <c r="Q56" s="223"/>
      <c r="R56" s="223"/>
      <c r="S56" s="223"/>
      <c r="T56" s="223"/>
      <c r="U56" s="223"/>
      <c r="V56" s="223"/>
      <c r="W56" s="223"/>
    </row>
    <row r="57">
      <c r="A57" s="223"/>
      <c r="B57" s="223"/>
      <c r="C57" s="223"/>
      <c r="D57" s="223"/>
      <c r="E57" s="223"/>
      <c r="F57" s="223"/>
      <c r="G57" s="223"/>
      <c r="H57" s="223"/>
      <c r="I57" s="223"/>
      <c r="J57" s="223"/>
      <c r="K57" s="320"/>
      <c r="L57" s="320"/>
      <c r="M57" s="223"/>
      <c r="N57" s="223"/>
      <c r="O57" s="223"/>
      <c r="P57" s="223"/>
      <c r="Q57" s="223"/>
      <c r="R57" s="223"/>
      <c r="S57" s="223"/>
      <c r="T57" s="223"/>
      <c r="U57" s="223"/>
      <c r="V57" s="223"/>
      <c r="W57" s="223"/>
    </row>
    <row r="58">
      <c r="A58" s="223"/>
      <c r="B58" s="223"/>
      <c r="C58" s="223"/>
      <c r="D58" s="223"/>
      <c r="E58" s="223"/>
      <c r="F58" s="223"/>
      <c r="G58" s="223"/>
      <c r="H58" s="223"/>
      <c r="I58" s="223"/>
      <c r="J58" s="223"/>
      <c r="K58" s="320"/>
      <c r="L58" s="320"/>
      <c r="M58" s="223"/>
      <c r="N58" s="223"/>
      <c r="O58" s="223"/>
      <c r="P58" s="223"/>
      <c r="Q58" s="223"/>
      <c r="R58" s="223"/>
      <c r="S58" s="223"/>
      <c r="T58" s="223"/>
      <c r="U58" s="223"/>
      <c r="V58" s="223"/>
      <c r="W58" s="223"/>
    </row>
    <row r="59">
      <c r="A59" s="223"/>
      <c r="B59" s="223"/>
      <c r="C59" s="223"/>
      <c r="D59" s="223"/>
      <c r="E59" s="223"/>
      <c r="F59" s="223"/>
      <c r="G59" s="223"/>
      <c r="H59" s="223"/>
      <c r="I59" s="223"/>
      <c r="J59" s="223"/>
      <c r="K59" s="320"/>
      <c r="L59" s="320"/>
      <c r="M59" s="223"/>
      <c r="N59" s="223"/>
      <c r="O59" s="223"/>
      <c r="P59" s="223"/>
      <c r="Q59" s="223"/>
      <c r="R59" s="223"/>
      <c r="S59" s="223"/>
      <c r="T59" s="223"/>
      <c r="U59" s="223"/>
      <c r="V59" s="223"/>
      <c r="W59" s="223"/>
    </row>
    <row r="60">
      <c r="A60" s="223"/>
      <c r="B60" s="223"/>
      <c r="C60" s="223"/>
      <c r="D60" s="223"/>
      <c r="E60" s="223"/>
      <c r="F60" s="223"/>
      <c r="G60" s="223"/>
      <c r="H60" s="223"/>
      <c r="I60" s="223"/>
      <c r="J60" s="223"/>
      <c r="K60" s="320"/>
      <c r="L60" s="320"/>
      <c r="M60" s="223"/>
      <c r="N60" s="223"/>
      <c r="O60" s="223"/>
      <c r="P60" s="223"/>
      <c r="Q60" s="223"/>
      <c r="R60" s="223"/>
      <c r="S60" s="223"/>
      <c r="T60" s="223"/>
      <c r="U60" s="223"/>
      <c r="V60" s="223"/>
      <c r="W60" s="223"/>
    </row>
    <row r="61">
      <c r="A61" s="223"/>
      <c r="B61" s="223"/>
      <c r="C61" s="223"/>
      <c r="D61" s="223"/>
      <c r="E61" s="223"/>
      <c r="F61" s="223"/>
      <c r="G61" s="223"/>
      <c r="H61" s="223"/>
      <c r="I61" s="223"/>
      <c r="J61" s="223"/>
      <c r="K61" s="320"/>
      <c r="L61" s="320"/>
      <c r="M61" s="223"/>
      <c r="N61" s="223"/>
      <c r="O61" s="223"/>
      <c r="P61" s="223"/>
      <c r="Q61" s="223"/>
      <c r="R61" s="223"/>
      <c r="S61" s="223"/>
      <c r="T61" s="223"/>
      <c r="U61" s="223"/>
      <c r="V61" s="223"/>
      <c r="W61" s="223"/>
    </row>
    <row r="62">
      <c r="A62" s="223"/>
      <c r="B62" s="223"/>
      <c r="C62" s="223"/>
      <c r="D62" s="223"/>
      <c r="E62" s="223"/>
      <c r="F62" s="223"/>
      <c r="G62" s="223"/>
      <c r="H62" s="223"/>
      <c r="I62" s="223"/>
      <c r="J62" s="223"/>
      <c r="K62" s="320"/>
      <c r="L62" s="320"/>
      <c r="M62" s="223"/>
      <c r="N62" s="223"/>
      <c r="O62" s="223"/>
      <c r="P62" s="223"/>
      <c r="Q62" s="223"/>
      <c r="R62" s="223"/>
      <c r="S62" s="223"/>
      <c r="T62" s="223"/>
      <c r="U62" s="223"/>
      <c r="V62" s="223"/>
      <c r="W62" s="223"/>
    </row>
    <row r="63">
      <c r="A63" s="223"/>
      <c r="B63" s="223"/>
      <c r="C63" s="223"/>
      <c r="D63" s="223"/>
      <c r="E63" s="223"/>
      <c r="F63" s="223"/>
      <c r="G63" s="223"/>
      <c r="H63" s="223"/>
      <c r="I63" s="223"/>
      <c r="J63" s="223"/>
      <c r="K63" s="320"/>
      <c r="L63" s="320"/>
      <c r="M63" s="223"/>
      <c r="N63" s="223"/>
      <c r="O63" s="223"/>
      <c r="P63" s="223"/>
      <c r="Q63" s="223"/>
      <c r="R63" s="223"/>
      <c r="S63" s="223"/>
      <c r="T63" s="223"/>
      <c r="U63" s="223"/>
      <c r="V63" s="223"/>
      <c r="W63" s="223"/>
    </row>
    <row r="64">
      <c r="A64" s="223"/>
      <c r="B64" s="223"/>
      <c r="C64" s="223"/>
      <c r="D64" s="223"/>
      <c r="E64" s="223"/>
      <c r="F64" s="223"/>
      <c r="G64" s="223"/>
      <c r="H64" s="223"/>
      <c r="I64" s="223"/>
      <c r="J64" s="223"/>
      <c r="K64" s="320"/>
      <c r="L64" s="320"/>
      <c r="M64" s="223"/>
      <c r="N64" s="223"/>
      <c r="O64" s="223"/>
      <c r="P64" s="223"/>
      <c r="Q64" s="223"/>
      <c r="R64" s="223"/>
      <c r="S64" s="223"/>
      <c r="T64" s="223"/>
      <c r="U64" s="223"/>
      <c r="V64" s="223"/>
      <c r="W64" s="223"/>
    </row>
    <row r="65">
      <c r="A65" s="223"/>
      <c r="B65" s="223"/>
      <c r="C65" s="223"/>
      <c r="D65" s="223"/>
      <c r="E65" s="223"/>
      <c r="F65" s="223"/>
      <c r="G65" s="223"/>
      <c r="H65" s="223"/>
      <c r="I65" s="223"/>
      <c r="J65" s="223"/>
      <c r="K65" s="320"/>
      <c r="L65" s="320"/>
      <c r="M65" s="223"/>
      <c r="N65" s="223"/>
      <c r="O65" s="223"/>
      <c r="P65" s="223"/>
      <c r="Q65" s="223"/>
      <c r="R65" s="223"/>
      <c r="S65" s="223"/>
      <c r="T65" s="223"/>
      <c r="U65" s="223"/>
      <c r="V65" s="223"/>
      <c r="W65" s="223"/>
    </row>
    <row r="66">
      <c r="A66" s="223"/>
      <c r="B66" s="223"/>
      <c r="C66" s="223"/>
      <c r="D66" s="223"/>
      <c r="E66" s="223"/>
      <c r="F66" s="223"/>
      <c r="G66" s="223"/>
      <c r="H66" s="223"/>
      <c r="I66" s="223"/>
      <c r="J66" s="223"/>
      <c r="K66" s="320"/>
      <c r="L66" s="320"/>
      <c r="M66" s="223"/>
      <c r="N66" s="223"/>
      <c r="O66" s="223"/>
      <c r="P66" s="223"/>
      <c r="Q66" s="223"/>
      <c r="R66" s="223"/>
      <c r="S66" s="223"/>
      <c r="T66" s="223"/>
      <c r="U66" s="223"/>
      <c r="V66" s="223"/>
      <c r="W66" s="223"/>
    </row>
    <row r="67">
      <c r="A67" s="223"/>
      <c r="B67" s="223"/>
      <c r="C67" s="223"/>
      <c r="D67" s="223"/>
      <c r="E67" s="223"/>
      <c r="F67" s="223"/>
      <c r="G67" s="223"/>
      <c r="H67" s="223"/>
      <c r="I67" s="223"/>
      <c r="J67" s="223"/>
      <c r="K67" s="320"/>
      <c r="L67" s="320"/>
      <c r="M67" s="223"/>
      <c r="N67" s="223"/>
      <c r="O67" s="223"/>
      <c r="P67" s="223"/>
      <c r="Q67" s="223"/>
      <c r="R67" s="223"/>
      <c r="S67" s="223"/>
      <c r="T67" s="223"/>
      <c r="U67" s="223"/>
      <c r="V67" s="223"/>
      <c r="W67" s="223"/>
    </row>
    <row r="68">
      <c r="A68" s="223"/>
      <c r="B68" s="223"/>
      <c r="C68" s="223"/>
      <c r="D68" s="223"/>
      <c r="E68" s="223"/>
      <c r="F68" s="223"/>
      <c r="G68" s="223"/>
      <c r="H68" s="223"/>
      <c r="I68" s="223"/>
      <c r="J68" s="223"/>
      <c r="K68" s="320"/>
      <c r="L68" s="320"/>
      <c r="M68" s="223"/>
      <c r="N68" s="223"/>
      <c r="O68" s="223"/>
      <c r="P68" s="223"/>
      <c r="Q68" s="223"/>
      <c r="R68" s="223"/>
      <c r="S68" s="223"/>
      <c r="T68" s="223"/>
      <c r="U68" s="223"/>
      <c r="V68" s="223"/>
      <c r="W68" s="223"/>
    </row>
    <row r="69">
      <c r="A69" s="223"/>
      <c r="B69" s="223"/>
      <c r="C69" s="223"/>
      <c r="D69" s="223"/>
      <c r="E69" s="223"/>
      <c r="F69" s="223"/>
      <c r="G69" s="223"/>
      <c r="H69" s="223"/>
      <c r="I69" s="223"/>
      <c r="J69" s="223"/>
      <c r="K69" s="320"/>
      <c r="L69" s="320"/>
      <c r="M69" s="223"/>
      <c r="N69" s="223"/>
      <c r="O69" s="223"/>
      <c r="P69" s="223"/>
      <c r="Q69" s="223"/>
      <c r="R69" s="223"/>
      <c r="S69" s="223"/>
      <c r="T69" s="223"/>
      <c r="U69" s="223"/>
      <c r="V69" s="223"/>
      <c r="W69" s="223"/>
    </row>
    <row r="70">
      <c r="A70" s="223"/>
      <c r="B70" s="223"/>
      <c r="C70" s="223"/>
      <c r="D70" s="223"/>
      <c r="E70" s="223"/>
      <c r="F70" s="223"/>
      <c r="G70" s="223"/>
      <c r="H70" s="223"/>
      <c r="I70" s="223"/>
      <c r="J70" s="223"/>
      <c r="K70" s="320"/>
      <c r="L70" s="320"/>
      <c r="M70" s="223"/>
      <c r="N70" s="223"/>
      <c r="O70" s="223"/>
      <c r="P70" s="223"/>
      <c r="Q70" s="223"/>
      <c r="R70" s="223"/>
      <c r="S70" s="223"/>
      <c r="T70" s="223"/>
      <c r="U70" s="223"/>
      <c r="V70" s="223"/>
      <c r="W70" s="223"/>
    </row>
    <row r="71">
      <c r="A71" s="223"/>
      <c r="B71" s="223"/>
      <c r="C71" s="223"/>
      <c r="D71" s="223"/>
      <c r="E71" s="223"/>
      <c r="F71" s="223"/>
      <c r="G71" s="223"/>
      <c r="H71" s="223"/>
      <c r="I71" s="223"/>
      <c r="J71" s="223"/>
      <c r="K71" s="320"/>
      <c r="L71" s="320"/>
      <c r="M71" s="223"/>
      <c r="N71" s="223"/>
      <c r="O71" s="223"/>
      <c r="P71" s="223"/>
      <c r="Q71" s="223"/>
      <c r="R71" s="223"/>
      <c r="S71" s="223"/>
      <c r="T71" s="223"/>
      <c r="U71" s="223"/>
      <c r="V71" s="223"/>
      <c r="W71" s="223"/>
    </row>
    <row r="72">
      <c r="A72" s="223"/>
      <c r="B72" s="223"/>
      <c r="C72" s="223"/>
      <c r="D72" s="223"/>
      <c r="E72" s="223"/>
      <c r="F72" s="223"/>
      <c r="G72" s="223"/>
      <c r="H72" s="223"/>
      <c r="I72" s="223"/>
      <c r="J72" s="223"/>
      <c r="K72" s="320"/>
      <c r="L72" s="320"/>
      <c r="M72" s="223"/>
      <c r="N72" s="223"/>
      <c r="O72" s="223"/>
      <c r="P72" s="223"/>
      <c r="Q72" s="223"/>
      <c r="R72" s="223"/>
      <c r="S72" s="223"/>
      <c r="T72" s="223"/>
      <c r="U72" s="223"/>
      <c r="V72" s="223"/>
      <c r="W72" s="223"/>
    </row>
    <row r="73">
      <c r="A73" s="223"/>
      <c r="B73" s="223"/>
      <c r="C73" s="223"/>
      <c r="D73" s="223"/>
      <c r="E73" s="223"/>
      <c r="F73" s="223"/>
      <c r="G73" s="223"/>
      <c r="H73" s="223"/>
      <c r="I73" s="223"/>
      <c r="J73" s="223"/>
      <c r="K73" s="320"/>
      <c r="L73" s="320"/>
      <c r="M73" s="223"/>
      <c r="N73" s="223"/>
      <c r="O73" s="223"/>
      <c r="P73" s="223"/>
      <c r="Q73" s="223"/>
      <c r="R73" s="223"/>
      <c r="S73" s="223"/>
      <c r="T73" s="223"/>
      <c r="U73" s="223"/>
      <c r="V73" s="223"/>
      <c r="W73" s="223"/>
    </row>
    <row r="74">
      <c r="A74" s="223"/>
      <c r="B74" s="223"/>
      <c r="C74" s="223"/>
      <c r="D74" s="223"/>
      <c r="E74" s="223"/>
      <c r="F74" s="223"/>
      <c r="G74" s="223"/>
      <c r="H74" s="223"/>
      <c r="I74" s="223"/>
      <c r="J74" s="223"/>
      <c r="K74" s="320"/>
      <c r="L74" s="320"/>
      <c r="M74" s="223"/>
      <c r="N74" s="223"/>
      <c r="O74" s="223"/>
      <c r="P74" s="223"/>
      <c r="Q74" s="223"/>
      <c r="R74" s="223"/>
      <c r="S74" s="223"/>
      <c r="T74" s="223"/>
      <c r="U74" s="223"/>
      <c r="V74" s="223"/>
      <c r="W74" s="223"/>
    </row>
    <row r="75">
      <c r="A75" s="223"/>
      <c r="B75" s="223"/>
      <c r="C75" s="223"/>
      <c r="D75" s="223"/>
      <c r="E75" s="223"/>
      <c r="F75" s="223"/>
      <c r="G75" s="223"/>
      <c r="H75" s="223"/>
      <c r="I75" s="223"/>
      <c r="J75" s="223"/>
      <c r="K75" s="320"/>
      <c r="L75" s="320"/>
      <c r="M75" s="223"/>
      <c r="N75" s="223"/>
      <c r="O75" s="223"/>
      <c r="P75" s="223"/>
      <c r="Q75" s="223"/>
      <c r="R75" s="223"/>
      <c r="S75" s="223"/>
      <c r="T75" s="223"/>
      <c r="U75" s="223"/>
      <c r="V75" s="223"/>
      <c r="W75" s="223"/>
    </row>
    <row r="76">
      <c r="A76" s="223"/>
      <c r="B76" s="223"/>
      <c r="C76" s="223"/>
      <c r="D76" s="223"/>
      <c r="E76" s="223"/>
      <c r="F76" s="223"/>
      <c r="G76" s="223"/>
      <c r="H76" s="223"/>
      <c r="I76" s="223"/>
      <c r="J76" s="223"/>
      <c r="K76" s="320"/>
      <c r="L76" s="320"/>
      <c r="M76" s="223"/>
      <c r="N76" s="223"/>
      <c r="O76" s="223"/>
      <c r="P76" s="223"/>
      <c r="Q76" s="223"/>
      <c r="R76" s="223"/>
      <c r="S76" s="223"/>
      <c r="T76" s="223"/>
      <c r="U76" s="223"/>
      <c r="V76" s="223"/>
      <c r="W76" s="223"/>
    </row>
    <row r="77">
      <c r="A77" s="223"/>
      <c r="B77" s="223"/>
      <c r="C77" s="223"/>
      <c r="D77" s="223"/>
      <c r="E77" s="223"/>
      <c r="F77" s="223"/>
      <c r="G77" s="223"/>
      <c r="H77" s="223"/>
      <c r="I77" s="223"/>
      <c r="J77" s="223"/>
      <c r="K77" s="320"/>
      <c r="L77" s="320"/>
      <c r="M77" s="223"/>
      <c r="N77" s="223"/>
      <c r="O77" s="223"/>
      <c r="P77" s="223"/>
      <c r="Q77" s="223"/>
      <c r="R77" s="223"/>
      <c r="S77" s="223"/>
      <c r="T77" s="223"/>
      <c r="U77" s="223"/>
      <c r="V77" s="223"/>
      <c r="W77" s="223"/>
    </row>
    <row r="78">
      <c r="A78" s="223"/>
      <c r="B78" s="223"/>
      <c r="C78" s="223"/>
      <c r="D78" s="223"/>
      <c r="E78" s="223"/>
      <c r="F78" s="223"/>
      <c r="G78" s="223"/>
      <c r="H78" s="223"/>
      <c r="I78" s="223"/>
      <c r="J78" s="223"/>
      <c r="K78" s="320"/>
      <c r="L78" s="320"/>
      <c r="M78" s="223"/>
      <c r="N78" s="223"/>
      <c r="O78" s="223"/>
      <c r="P78" s="223"/>
      <c r="Q78" s="223"/>
      <c r="R78" s="223"/>
      <c r="S78" s="223"/>
      <c r="T78" s="223"/>
      <c r="U78" s="223"/>
      <c r="V78" s="223"/>
      <c r="W78" s="223"/>
    </row>
    <row r="79">
      <c r="A79" s="223"/>
      <c r="B79" s="223"/>
      <c r="C79" s="223"/>
      <c r="D79" s="223"/>
      <c r="E79" s="223"/>
      <c r="F79" s="223"/>
      <c r="G79" s="223"/>
      <c r="H79" s="223"/>
      <c r="I79" s="223"/>
      <c r="J79" s="223"/>
      <c r="K79" s="320"/>
      <c r="L79" s="320"/>
      <c r="M79" s="223"/>
      <c r="N79" s="223"/>
      <c r="O79" s="223"/>
      <c r="P79" s="223"/>
      <c r="Q79" s="223"/>
      <c r="R79" s="223"/>
      <c r="S79" s="223"/>
      <c r="T79" s="223"/>
      <c r="U79" s="223"/>
      <c r="V79" s="223"/>
      <c r="W79" s="223"/>
    </row>
    <row r="80">
      <c r="A80" s="223"/>
      <c r="B80" s="223"/>
      <c r="C80" s="223"/>
      <c r="D80" s="223"/>
      <c r="E80" s="223"/>
      <c r="F80" s="223"/>
      <c r="G80" s="223"/>
      <c r="H80" s="223"/>
      <c r="I80" s="223"/>
      <c r="J80" s="223"/>
      <c r="K80" s="320"/>
      <c r="L80" s="320"/>
      <c r="M80" s="223"/>
      <c r="N80" s="223"/>
      <c r="O80" s="223"/>
      <c r="P80" s="223"/>
      <c r="Q80" s="223"/>
      <c r="R80" s="223"/>
      <c r="S80" s="223"/>
      <c r="T80" s="223"/>
      <c r="U80" s="223"/>
      <c r="V80" s="223"/>
      <c r="W80" s="223"/>
    </row>
    <row r="81">
      <c r="A81" s="223"/>
      <c r="B81" s="223"/>
      <c r="C81" s="223"/>
      <c r="D81" s="223"/>
      <c r="E81" s="223"/>
      <c r="F81" s="223"/>
      <c r="G81" s="223"/>
      <c r="H81" s="223"/>
      <c r="I81" s="223"/>
      <c r="J81" s="223"/>
      <c r="K81" s="320"/>
      <c r="L81" s="320"/>
      <c r="M81" s="223"/>
      <c r="N81" s="223"/>
      <c r="O81" s="223"/>
      <c r="P81" s="223"/>
      <c r="Q81" s="223"/>
      <c r="R81" s="223"/>
      <c r="S81" s="223"/>
      <c r="T81" s="223"/>
      <c r="U81" s="223"/>
      <c r="V81" s="223"/>
      <c r="W81" s="223"/>
    </row>
    <row r="82">
      <c r="A82" s="223"/>
      <c r="B82" s="223"/>
      <c r="C82" s="223"/>
      <c r="D82" s="223"/>
      <c r="E82" s="223"/>
      <c r="F82" s="223"/>
      <c r="G82" s="223"/>
      <c r="H82" s="223"/>
      <c r="I82" s="223"/>
      <c r="J82" s="223"/>
      <c r="K82" s="320"/>
      <c r="L82" s="320"/>
      <c r="M82" s="223"/>
      <c r="N82" s="223"/>
      <c r="O82" s="223"/>
      <c r="P82" s="223"/>
      <c r="Q82" s="223"/>
      <c r="R82" s="223"/>
      <c r="S82" s="223"/>
      <c r="T82" s="223"/>
      <c r="U82" s="223"/>
      <c r="V82" s="223"/>
      <c r="W82" s="223"/>
    </row>
    <row r="83">
      <c r="A83" s="223"/>
      <c r="B83" s="223"/>
      <c r="C83" s="223"/>
      <c r="D83" s="223"/>
      <c r="E83" s="223"/>
      <c r="F83" s="223"/>
      <c r="G83" s="223"/>
      <c r="H83" s="223"/>
      <c r="I83" s="223"/>
      <c r="J83" s="223"/>
      <c r="K83" s="320"/>
      <c r="L83" s="320"/>
      <c r="M83" s="223"/>
      <c r="N83" s="223"/>
      <c r="O83" s="223"/>
      <c r="P83" s="223"/>
      <c r="Q83" s="223"/>
      <c r="R83" s="223"/>
      <c r="S83" s="223"/>
      <c r="T83" s="223"/>
      <c r="U83" s="223"/>
      <c r="V83" s="223"/>
      <c r="W83" s="223"/>
    </row>
    <row r="84">
      <c r="A84" s="223"/>
      <c r="B84" s="223"/>
      <c r="C84" s="223"/>
      <c r="D84" s="223"/>
      <c r="E84" s="223"/>
      <c r="F84" s="223"/>
      <c r="G84" s="223"/>
      <c r="H84" s="223"/>
      <c r="I84" s="223"/>
      <c r="J84" s="223"/>
      <c r="K84" s="320"/>
      <c r="L84" s="320"/>
      <c r="M84" s="223"/>
      <c r="N84" s="223"/>
      <c r="O84" s="223"/>
      <c r="P84" s="223"/>
      <c r="Q84" s="223"/>
      <c r="R84" s="223"/>
      <c r="S84" s="223"/>
      <c r="T84" s="223"/>
      <c r="U84" s="223"/>
      <c r="V84" s="223"/>
      <c r="W84" s="223"/>
    </row>
    <row r="85">
      <c r="A85" s="223"/>
      <c r="B85" s="223"/>
      <c r="C85" s="223"/>
      <c r="D85" s="223"/>
      <c r="E85" s="223"/>
      <c r="F85" s="223"/>
      <c r="G85" s="223"/>
      <c r="H85" s="223"/>
      <c r="I85" s="223"/>
      <c r="J85" s="223"/>
      <c r="K85" s="320"/>
      <c r="L85" s="320"/>
      <c r="M85" s="223"/>
      <c r="N85" s="223"/>
      <c r="O85" s="223"/>
      <c r="P85" s="223"/>
      <c r="Q85" s="223"/>
      <c r="R85" s="223"/>
      <c r="S85" s="223"/>
      <c r="T85" s="223"/>
      <c r="U85" s="223"/>
      <c r="V85" s="223"/>
      <c r="W85" s="223"/>
    </row>
    <row r="86">
      <c r="A86" s="223"/>
      <c r="B86" s="223"/>
      <c r="C86" s="223"/>
      <c r="D86" s="223"/>
      <c r="E86" s="223"/>
      <c r="F86" s="223"/>
      <c r="G86" s="223"/>
      <c r="H86" s="223"/>
      <c r="I86" s="223"/>
      <c r="J86" s="223"/>
      <c r="K86" s="320"/>
      <c r="L86" s="320"/>
      <c r="M86" s="223"/>
      <c r="N86" s="223"/>
      <c r="O86" s="223"/>
      <c r="P86" s="223"/>
      <c r="Q86" s="223"/>
      <c r="R86" s="223"/>
      <c r="S86" s="223"/>
      <c r="T86" s="223"/>
      <c r="U86" s="223"/>
      <c r="V86" s="223"/>
      <c r="W86" s="223"/>
    </row>
    <row r="87">
      <c r="A87" s="223"/>
      <c r="B87" s="223"/>
      <c r="C87" s="223"/>
      <c r="D87" s="223"/>
      <c r="E87" s="223"/>
      <c r="F87" s="223"/>
      <c r="G87" s="223"/>
      <c r="H87" s="223"/>
      <c r="I87" s="223"/>
      <c r="J87" s="223"/>
      <c r="K87" s="320"/>
      <c r="L87" s="320"/>
      <c r="M87" s="223"/>
      <c r="N87" s="223"/>
      <c r="O87" s="223"/>
      <c r="P87" s="223"/>
      <c r="Q87" s="223"/>
      <c r="R87" s="223"/>
      <c r="S87" s="223"/>
      <c r="T87" s="223"/>
      <c r="U87" s="223"/>
      <c r="V87" s="223"/>
      <c r="W87" s="223"/>
    </row>
    <row r="88">
      <c r="A88" s="223"/>
      <c r="B88" s="223"/>
      <c r="C88" s="223"/>
      <c r="D88" s="223"/>
      <c r="E88" s="223"/>
      <c r="F88" s="223"/>
      <c r="G88" s="223"/>
      <c r="H88" s="223"/>
      <c r="I88" s="223"/>
      <c r="J88" s="223"/>
      <c r="K88" s="320"/>
      <c r="L88" s="320"/>
      <c r="M88" s="223"/>
      <c r="N88" s="223"/>
      <c r="O88" s="223"/>
      <c r="P88" s="223"/>
      <c r="Q88" s="223"/>
      <c r="R88" s="223"/>
      <c r="S88" s="223"/>
      <c r="T88" s="223"/>
      <c r="U88" s="223"/>
      <c r="V88" s="223"/>
      <c r="W88" s="223"/>
    </row>
    <row r="89">
      <c r="A89" s="223"/>
      <c r="B89" s="223"/>
      <c r="C89" s="223"/>
      <c r="D89" s="223"/>
      <c r="E89" s="223"/>
      <c r="F89" s="223"/>
      <c r="G89" s="223"/>
      <c r="H89" s="223"/>
      <c r="I89" s="223"/>
      <c r="J89" s="223"/>
      <c r="K89" s="320"/>
      <c r="L89" s="320"/>
      <c r="M89" s="223"/>
      <c r="N89" s="223"/>
      <c r="O89" s="223"/>
      <c r="P89" s="223"/>
      <c r="Q89" s="223"/>
      <c r="R89" s="223"/>
      <c r="S89" s="223"/>
      <c r="T89" s="223"/>
      <c r="U89" s="223"/>
      <c r="V89" s="223"/>
      <c r="W89" s="223"/>
    </row>
    <row r="90">
      <c r="A90" s="223"/>
      <c r="B90" s="223"/>
      <c r="C90" s="223"/>
      <c r="D90" s="223"/>
      <c r="E90" s="223"/>
      <c r="F90" s="223"/>
      <c r="G90" s="223"/>
      <c r="H90" s="223"/>
      <c r="I90" s="223"/>
      <c r="J90" s="223"/>
      <c r="K90" s="320"/>
      <c r="L90" s="320"/>
      <c r="M90" s="223"/>
      <c r="N90" s="223"/>
      <c r="O90" s="223"/>
      <c r="P90" s="223"/>
      <c r="Q90" s="223"/>
      <c r="R90" s="223"/>
      <c r="S90" s="223"/>
      <c r="T90" s="223"/>
      <c r="U90" s="223"/>
      <c r="V90" s="223"/>
      <c r="W90" s="223"/>
    </row>
    <row r="91">
      <c r="A91" s="223"/>
      <c r="B91" s="223"/>
      <c r="C91" s="223"/>
      <c r="D91" s="223"/>
      <c r="E91" s="223"/>
      <c r="F91" s="223"/>
      <c r="G91" s="223"/>
      <c r="H91" s="223"/>
      <c r="I91" s="223"/>
      <c r="J91" s="223"/>
      <c r="K91" s="320"/>
      <c r="L91" s="320"/>
      <c r="M91" s="223"/>
      <c r="N91" s="223"/>
      <c r="O91" s="223"/>
      <c r="P91" s="223"/>
      <c r="Q91" s="223"/>
      <c r="R91" s="223"/>
      <c r="S91" s="223"/>
      <c r="T91" s="223"/>
      <c r="U91" s="223"/>
      <c r="V91" s="223"/>
      <c r="W91" s="223"/>
    </row>
    <row r="92">
      <c r="A92" s="223"/>
      <c r="B92" s="223"/>
      <c r="C92" s="223"/>
      <c r="D92" s="223"/>
      <c r="E92" s="223"/>
      <c r="F92" s="223"/>
      <c r="G92" s="223"/>
      <c r="H92" s="223"/>
      <c r="I92" s="223"/>
      <c r="J92" s="223"/>
      <c r="K92" s="320"/>
      <c r="L92" s="320"/>
      <c r="M92" s="223"/>
      <c r="N92" s="223"/>
      <c r="O92" s="223"/>
      <c r="P92" s="223"/>
      <c r="Q92" s="223"/>
      <c r="R92" s="223"/>
      <c r="S92" s="223"/>
      <c r="T92" s="223"/>
      <c r="U92" s="223"/>
      <c r="V92" s="223"/>
      <c r="W92" s="223"/>
    </row>
    <row r="93">
      <c r="A93" s="223"/>
      <c r="B93" s="223"/>
      <c r="C93" s="223"/>
      <c r="D93" s="223"/>
      <c r="E93" s="223"/>
      <c r="F93" s="223"/>
      <c r="G93" s="223"/>
      <c r="H93" s="223"/>
      <c r="I93" s="223"/>
      <c r="J93" s="223"/>
      <c r="K93" s="320"/>
      <c r="L93" s="320"/>
      <c r="M93" s="223"/>
      <c r="N93" s="223"/>
      <c r="O93" s="223"/>
      <c r="P93" s="223"/>
      <c r="Q93" s="223"/>
      <c r="R93" s="223"/>
      <c r="S93" s="223"/>
      <c r="T93" s="223"/>
      <c r="U93" s="223"/>
      <c r="V93" s="223"/>
      <c r="W93" s="223"/>
    </row>
    <row r="94">
      <c r="A94" s="223"/>
      <c r="B94" s="223"/>
      <c r="C94" s="223"/>
      <c r="D94" s="223"/>
      <c r="E94" s="223"/>
      <c r="F94" s="223"/>
      <c r="G94" s="223"/>
      <c r="H94" s="223"/>
      <c r="I94" s="223"/>
      <c r="J94" s="223"/>
      <c r="K94" s="320"/>
      <c r="L94" s="320"/>
      <c r="M94" s="223"/>
      <c r="N94" s="223"/>
      <c r="O94" s="223"/>
      <c r="P94" s="223"/>
      <c r="Q94" s="223"/>
      <c r="R94" s="223"/>
      <c r="S94" s="223"/>
      <c r="T94" s="223"/>
      <c r="U94" s="223"/>
      <c r="V94" s="223"/>
      <c r="W94" s="223"/>
    </row>
    <row r="95">
      <c r="A95" s="223"/>
      <c r="B95" s="223"/>
      <c r="C95" s="223"/>
      <c r="D95" s="223"/>
      <c r="E95" s="223"/>
      <c r="F95" s="223"/>
      <c r="G95" s="223"/>
      <c r="H95" s="223"/>
      <c r="I95" s="223"/>
      <c r="J95" s="223"/>
      <c r="K95" s="320"/>
      <c r="L95" s="320"/>
      <c r="M95" s="223"/>
      <c r="N95" s="223"/>
      <c r="O95" s="223"/>
      <c r="P95" s="223"/>
      <c r="Q95" s="223"/>
      <c r="R95" s="223"/>
      <c r="S95" s="223"/>
      <c r="T95" s="223"/>
      <c r="U95" s="223"/>
      <c r="V95" s="223"/>
      <c r="W95" s="223"/>
    </row>
    <row r="96">
      <c r="A96" s="223"/>
      <c r="B96" s="223"/>
      <c r="C96" s="223"/>
      <c r="D96" s="223"/>
      <c r="E96" s="223"/>
      <c r="F96" s="223"/>
      <c r="G96" s="223"/>
      <c r="H96" s="223"/>
      <c r="I96" s="223"/>
      <c r="J96" s="223"/>
      <c r="K96" s="320"/>
      <c r="L96" s="320"/>
      <c r="M96" s="223"/>
      <c r="N96" s="223"/>
      <c r="O96" s="223"/>
      <c r="P96" s="223"/>
      <c r="Q96" s="223"/>
      <c r="R96" s="223"/>
      <c r="S96" s="223"/>
      <c r="T96" s="223"/>
      <c r="U96" s="223"/>
      <c r="V96" s="223"/>
      <c r="W96" s="223"/>
    </row>
    <row r="97">
      <c r="A97" s="223"/>
      <c r="B97" s="223"/>
      <c r="C97" s="223"/>
      <c r="D97" s="223"/>
      <c r="E97" s="223"/>
      <c r="F97" s="223"/>
      <c r="G97" s="223"/>
      <c r="H97" s="223"/>
      <c r="I97" s="223"/>
      <c r="J97" s="223"/>
      <c r="K97" s="320"/>
      <c r="L97" s="320"/>
      <c r="M97" s="223"/>
      <c r="N97" s="223"/>
      <c r="O97" s="223"/>
      <c r="P97" s="223"/>
      <c r="Q97" s="223"/>
      <c r="R97" s="223"/>
      <c r="S97" s="223"/>
      <c r="T97" s="223"/>
      <c r="U97" s="223"/>
      <c r="V97" s="223"/>
      <c r="W97" s="223"/>
    </row>
    <row r="98">
      <c r="A98" s="223"/>
      <c r="B98" s="223"/>
      <c r="C98" s="223"/>
      <c r="D98" s="223"/>
      <c r="E98" s="223"/>
      <c r="F98" s="223"/>
      <c r="G98" s="223"/>
      <c r="H98" s="223"/>
      <c r="I98" s="223"/>
      <c r="J98" s="223"/>
      <c r="K98" s="320"/>
      <c r="L98" s="320"/>
      <c r="M98" s="223"/>
      <c r="N98" s="223"/>
      <c r="O98" s="223"/>
      <c r="P98" s="223"/>
      <c r="Q98" s="223"/>
      <c r="R98" s="223"/>
      <c r="S98" s="223"/>
      <c r="T98" s="223"/>
      <c r="U98" s="223"/>
      <c r="V98" s="223"/>
      <c r="W98" s="223"/>
    </row>
    <row r="99">
      <c r="A99" s="223"/>
      <c r="B99" s="223"/>
      <c r="C99" s="223"/>
      <c r="D99" s="223"/>
      <c r="E99" s="223"/>
      <c r="F99" s="223"/>
      <c r="G99" s="223"/>
      <c r="H99" s="223"/>
      <c r="I99" s="223"/>
      <c r="J99" s="223"/>
      <c r="K99" s="320"/>
      <c r="L99" s="320"/>
      <c r="M99" s="223"/>
      <c r="N99" s="223"/>
      <c r="O99" s="223"/>
      <c r="P99" s="223"/>
      <c r="Q99" s="223"/>
      <c r="R99" s="223"/>
      <c r="S99" s="223"/>
      <c r="T99" s="223"/>
      <c r="U99" s="223"/>
      <c r="V99" s="223"/>
      <c r="W99" s="223"/>
    </row>
    <row r="100">
      <c r="A100" s="223"/>
      <c r="B100" s="223"/>
      <c r="C100" s="223"/>
      <c r="D100" s="223"/>
      <c r="E100" s="223"/>
      <c r="F100" s="223"/>
      <c r="G100" s="223"/>
      <c r="H100" s="223"/>
      <c r="I100" s="223"/>
      <c r="J100" s="223"/>
      <c r="K100" s="320"/>
      <c r="L100" s="320"/>
      <c r="M100" s="223"/>
      <c r="N100" s="223"/>
      <c r="O100" s="223"/>
      <c r="P100" s="223"/>
      <c r="Q100" s="223"/>
      <c r="R100" s="223"/>
      <c r="S100" s="223"/>
      <c r="T100" s="223"/>
      <c r="U100" s="223"/>
      <c r="V100" s="223"/>
      <c r="W100" s="223"/>
    </row>
    <row r="101">
      <c r="A101" s="223"/>
      <c r="B101" s="223"/>
      <c r="C101" s="223"/>
      <c r="D101" s="223"/>
      <c r="E101" s="223"/>
      <c r="F101" s="223"/>
      <c r="G101" s="223"/>
      <c r="H101" s="223"/>
      <c r="I101" s="223"/>
      <c r="J101" s="223"/>
      <c r="K101" s="320"/>
      <c r="L101" s="320"/>
      <c r="M101" s="223"/>
      <c r="N101" s="223"/>
      <c r="O101" s="223"/>
      <c r="P101" s="223"/>
      <c r="Q101" s="223"/>
      <c r="R101" s="223"/>
      <c r="S101" s="223"/>
      <c r="T101" s="223"/>
      <c r="U101" s="223"/>
      <c r="V101" s="223"/>
      <c r="W101" s="223"/>
    </row>
    <row r="102">
      <c r="A102" s="223"/>
      <c r="B102" s="223"/>
      <c r="C102" s="223"/>
      <c r="D102" s="223"/>
      <c r="E102" s="223"/>
      <c r="F102" s="223"/>
      <c r="G102" s="223"/>
      <c r="H102" s="223"/>
      <c r="I102" s="223"/>
      <c r="J102" s="223"/>
      <c r="K102" s="320"/>
      <c r="L102" s="320"/>
      <c r="M102" s="223"/>
      <c r="N102" s="223"/>
      <c r="O102" s="223"/>
      <c r="P102" s="223"/>
      <c r="Q102" s="223"/>
      <c r="R102" s="223"/>
      <c r="S102" s="223"/>
      <c r="T102" s="223"/>
      <c r="U102" s="223"/>
      <c r="V102" s="223"/>
      <c r="W102" s="223"/>
    </row>
    <row r="103">
      <c r="A103" s="223"/>
      <c r="B103" s="223"/>
      <c r="C103" s="223"/>
      <c r="D103" s="223"/>
      <c r="E103" s="223"/>
      <c r="F103" s="223"/>
      <c r="G103" s="223"/>
      <c r="H103" s="223"/>
      <c r="I103" s="223"/>
      <c r="J103" s="223"/>
      <c r="K103" s="320"/>
      <c r="L103" s="320"/>
      <c r="M103" s="223"/>
      <c r="N103" s="223"/>
      <c r="O103" s="223"/>
      <c r="P103" s="223"/>
      <c r="Q103" s="223"/>
      <c r="R103" s="223"/>
      <c r="S103" s="223"/>
      <c r="T103" s="223"/>
      <c r="U103" s="223"/>
      <c r="V103" s="223"/>
      <c r="W103" s="223"/>
    </row>
    <row r="104">
      <c r="A104" s="223"/>
      <c r="B104" s="223"/>
      <c r="C104" s="223"/>
      <c r="D104" s="223"/>
      <c r="E104" s="223"/>
      <c r="F104" s="223"/>
      <c r="G104" s="223"/>
      <c r="H104" s="223"/>
      <c r="I104" s="223"/>
      <c r="J104" s="223"/>
      <c r="K104" s="320"/>
      <c r="L104" s="320"/>
      <c r="M104" s="223"/>
      <c r="N104" s="223"/>
      <c r="O104" s="223"/>
      <c r="P104" s="223"/>
      <c r="Q104" s="223"/>
      <c r="R104" s="223"/>
      <c r="S104" s="223"/>
      <c r="T104" s="223"/>
      <c r="U104" s="223"/>
      <c r="V104" s="223"/>
      <c r="W104" s="223"/>
    </row>
    <row r="105">
      <c r="A105" s="223"/>
      <c r="B105" s="223"/>
      <c r="C105" s="223"/>
      <c r="D105" s="223"/>
      <c r="E105" s="223"/>
      <c r="F105" s="223"/>
      <c r="G105" s="223"/>
      <c r="H105" s="223"/>
      <c r="I105" s="223"/>
      <c r="J105" s="223"/>
      <c r="K105" s="320"/>
      <c r="L105" s="320"/>
      <c r="M105" s="223"/>
      <c r="N105" s="223"/>
      <c r="O105" s="223"/>
      <c r="P105" s="223"/>
      <c r="Q105" s="223"/>
      <c r="R105" s="223"/>
      <c r="S105" s="223"/>
      <c r="T105" s="223"/>
      <c r="U105" s="223"/>
      <c r="V105" s="223"/>
      <c r="W105" s="223"/>
    </row>
    <row r="106">
      <c r="A106" s="223"/>
      <c r="B106" s="223"/>
      <c r="C106" s="223"/>
      <c r="D106" s="223"/>
      <c r="E106" s="223"/>
      <c r="F106" s="223"/>
      <c r="G106" s="223"/>
      <c r="H106" s="223"/>
      <c r="I106" s="223"/>
      <c r="J106" s="223"/>
      <c r="K106" s="320"/>
      <c r="L106" s="320"/>
      <c r="M106" s="223"/>
      <c r="N106" s="223"/>
      <c r="O106" s="223"/>
      <c r="P106" s="223"/>
      <c r="Q106" s="223"/>
      <c r="R106" s="223"/>
      <c r="S106" s="223"/>
      <c r="T106" s="223"/>
      <c r="U106" s="223"/>
      <c r="V106" s="223"/>
      <c r="W106" s="223"/>
    </row>
    <row r="107">
      <c r="A107" s="223"/>
      <c r="B107" s="223"/>
      <c r="C107" s="223"/>
      <c r="D107" s="223"/>
      <c r="E107" s="223"/>
      <c r="F107" s="223"/>
      <c r="G107" s="223"/>
      <c r="H107" s="223"/>
      <c r="I107" s="223"/>
      <c r="J107" s="223"/>
      <c r="K107" s="320"/>
      <c r="L107" s="320"/>
      <c r="M107" s="223"/>
      <c r="N107" s="223"/>
      <c r="O107" s="223"/>
      <c r="P107" s="223"/>
      <c r="Q107" s="223"/>
      <c r="R107" s="223"/>
      <c r="S107" s="223"/>
      <c r="T107" s="223"/>
      <c r="U107" s="223"/>
      <c r="V107" s="223"/>
      <c r="W107" s="223"/>
    </row>
    <row r="108">
      <c r="A108" s="223"/>
      <c r="B108" s="223"/>
      <c r="C108" s="223"/>
      <c r="D108" s="223"/>
      <c r="E108" s="223"/>
      <c r="F108" s="223"/>
      <c r="G108" s="223"/>
      <c r="H108" s="223"/>
      <c r="I108" s="223"/>
      <c r="J108" s="223"/>
      <c r="K108" s="320"/>
      <c r="L108" s="320"/>
      <c r="M108" s="223"/>
      <c r="N108" s="223"/>
      <c r="O108" s="223"/>
      <c r="P108" s="223"/>
      <c r="Q108" s="223"/>
      <c r="R108" s="223"/>
      <c r="S108" s="223"/>
      <c r="T108" s="223"/>
      <c r="U108" s="223"/>
      <c r="V108" s="223"/>
      <c r="W108" s="223"/>
    </row>
    <row r="109">
      <c r="A109" s="223"/>
      <c r="B109" s="223"/>
      <c r="C109" s="223"/>
      <c r="D109" s="223"/>
      <c r="E109" s="223"/>
      <c r="F109" s="223"/>
      <c r="G109" s="223"/>
      <c r="H109" s="223"/>
      <c r="I109" s="223"/>
      <c r="J109" s="223"/>
      <c r="K109" s="320"/>
      <c r="L109" s="320"/>
      <c r="M109" s="223"/>
      <c r="N109" s="223"/>
      <c r="O109" s="223"/>
      <c r="P109" s="223"/>
      <c r="Q109" s="223"/>
      <c r="R109" s="223"/>
      <c r="S109" s="223"/>
      <c r="T109" s="223"/>
      <c r="U109" s="223"/>
      <c r="V109" s="223"/>
      <c r="W109" s="223"/>
    </row>
    <row r="110">
      <c r="A110" s="223"/>
      <c r="B110" s="223"/>
      <c r="C110" s="223"/>
      <c r="D110" s="223"/>
      <c r="E110" s="223"/>
      <c r="F110" s="223"/>
      <c r="G110" s="223"/>
      <c r="H110" s="223"/>
      <c r="I110" s="223"/>
      <c r="J110" s="223"/>
      <c r="K110" s="320"/>
      <c r="L110" s="320"/>
      <c r="M110" s="223"/>
      <c r="N110" s="223"/>
      <c r="O110" s="223"/>
      <c r="P110" s="223"/>
      <c r="Q110" s="223"/>
      <c r="R110" s="223"/>
      <c r="S110" s="223"/>
      <c r="T110" s="223"/>
      <c r="U110" s="223"/>
      <c r="V110" s="223"/>
      <c r="W110" s="223"/>
    </row>
    <row r="111">
      <c r="A111" s="223"/>
      <c r="B111" s="223"/>
      <c r="C111" s="223"/>
      <c r="D111" s="223"/>
      <c r="E111" s="223"/>
      <c r="F111" s="223"/>
      <c r="G111" s="223"/>
      <c r="H111" s="223"/>
      <c r="I111" s="223"/>
      <c r="J111" s="223"/>
      <c r="K111" s="320"/>
      <c r="L111" s="320"/>
      <c r="M111" s="223"/>
      <c r="N111" s="223"/>
      <c r="O111" s="223"/>
      <c r="P111" s="223"/>
      <c r="Q111" s="223"/>
      <c r="R111" s="223"/>
      <c r="S111" s="223"/>
      <c r="T111" s="223"/>
      <c r="U111" s="223"/>
      <c r="V111" s="223"/>
      <c r="W111" s="223"/>
    </row>
    <row r="112">
      <c r="A112" s="223"/>
      <c r="B112" s="223"/>
      <c r="C112" s="223"/>
      <c r="D112" s="223"/>
      <c r="E112" s="223"/>
      <c r="F112" s="223"/>
      <c r="G112" s="223"/>
      <c r="H112" s="223"/>
      <c r="I112" s="223"/>
      <c r="J112" s="223"/>
      <c r="K112" s="320"/>
      <c r="L112" s="320"/>
      <c r="M112" s="223"/>
      <c r="N112" s="223"/>
      <c r="O112" s="223"/>
      <c r="P112" s="223"/>
      <c r="Q112" s="223"/>
      <c r="R112" s="223"/>
      <c r="S112" s="223"/>
      <c r="T112" s="223"/>
      <c r="U112" s="223"/>
      <c r="V112" s="223"/>
      <c r="W112" s="223"/>
    </row>
    <row r="113">
      <c r="A113" s="223"/>
      <c r="B113" s="223"/>
      <c r="C113" s="223"/>
      <c r="D113" s="223"/>
      <c r="E113" s="223"/>
      <c r="F113" s="223"/>
      <c r="G113" s="223"/>
      <c r="H113" s="223"/>
      <c r="I113" s="223"/>
      <c r="J113" s="223"/>
      <c r="K113" s="320"/>
      <c r="L113" s="320"/>
      <c r="M113" s="223"/>
      <c r="N113" s="223"/>
      <c r="O113" s="223"/>
      <c r="P113" s="223"/>
      <c r="Q113" s="223"/>
      <c r="R113" s="223"/>
      <c r="S113" s="223"/>
      <c r="T113" s="223"/>
      <c r="U113" s="223"/>
      <c r="V113" s="223"/>
      <c r="W113" s="223"/>
    </row>
    <row r="114">
      <c r="A114" s="223"/>
      <c r="B114" s="223"/>
      <c r="C114" s="223"/>
      <c r="D114" s="223"/>
      <c r="E114" s="223"/>
      <c r="F114" s="223"/>
      <c r="G114" s="223"/>
      <c r="H114" s="223"/>
      <c r="I114" s="223"/>
      <c r="J114" s="223"/>
      <c r="K114" s="320"/>
      <c r="L114" s="320"/>
      <c r="M114" s="223"/>
      <c r="N114" s="223"/>
      <c r="O114" s="223"/>
      <c r="P114" s="223"/>
      <c r="Q114" s="223"/>
      <c r="R114" s="223"/>
      <c r="S114" s="223"/>
      <c r="T114" s="223"/>
      <c r="U114" s="223"/>
      <c r="V114" s="223"/>
      <c r="W114" s="223"/>
    </row>
    <row r="115">
      <c r="A115" s="223"/>
      <c r="B115" s="223"/>
      <c r="C115" s="223"/>
      <c r="D115" s="223"/>
      <c r="E115" s="223"/>
      <c r="F115" s="223"/>
      <c r="G115" s="223"/>
      <c r="H115" s="223"/>
      <c r="I115" s="223"/>
      <c r="J115" s="223"/>
      <c r="K115" s="320"/>
      <c r="L115" s="320"/>
      <c r="M115" s="223"/>
      <c r="N115" s="223"/>
      <c r="O115" s="223"/>
      <c r="P115" s="223"/>
      <c r="Q115" s="223"/>
      <c r="R115" s="223"/>
      <c r="S115" s="223"/>
      <c r="T115" s="223"/>
      <c r="U115" s="223"/>
      <c r="V115" s="223"/>
      <c r="W115" s="223"/>
    </row>
    <row r="116">
      <c r="A116" s="223"/>
      <c r="B116" s="223"/>
      <c r="C116" s="223"/>
      <c r="D116" s="223"/>
      <c r="E116" s="223"/>
      <c r="F116" s="223"/>
      <c r="G116" s="223"/>
      <c r="H116" s="223"/>
      <c r="I116" s="223"/>
      <c r="J116" s="223"/>
      <c r="K116" s="320"/>
      <c r="L116" s="320"/>
      <c r="M116" s="223"/>
      <c r="N116" s="223"/>
      <c r="O116" s="223"/>
      <c r="P116" s="223"/>
      <c r="Q116" s="223"/>
      <c r="R116" s="223"/>
      <c r="S116" s="223"/>
      <c r="T116" s="223"/>
      <c r="U116" s="223"/>
      <c r="V116" s="223"/>
      <c r="W116" s="223"/>
    </row>
    <row r="117">
      <c r="A117" s="223"/>
      <c r="B117" s="223"/>
      <c r="C117" s="223"/>
      <c r="D117" s="223"/>
      <c r="E117" s="223"/>
      <c r="F117" s="223"/>
      <c r="G117" s="223"/>
      <c r="H117" s="223"/>
      <c r="I117" s="223"/>
      <c r="J117" s="223"/>
      <c r="K117" s="320"/>
      <c r="L117" s="320"/>
      <c r="M117" s="223"/>
      <c r="N117" s="223"/>
      <c r="O117" s="223"/>
      <c r="P117" s="223"/>
      <c r="Q117" s="223"/>
      <c r="R117" s="223"/>
      <c r="S117" s="223"/>
      <c r="T117" s="223"/>
      <c r="U117" s="223"/>
      <c r="V117" s="223"/>
      <c r="W117" s="223"/>
    </row>
    <row r="118">
      <c r="A118" s="223"/>
      <c r="B118" s="223"/>
      <c r="C118" s="223"/>
      <c r="D118" s="223"/>
      <c r="E118" s="223"/>
      <c r="F118" s="223"/>
      <c r="G118" s="223"/>
      <c r="H118" s="223"/>
      <c r="I118" s="223"/>
      <c r="J118" s="223"/>
      <c r="K118" s="320"/>
      <c r="L118" s="320"/>
      <c r="M118" s="223"/>
      <c r="N118" s="223"/>
      <c r="O118" s="223"/>
      <c r="P118" s="223"/>
      <c r="Q118" s="223"/>
      <c r="R118" s="223"/>
      <c r="S118" s="223"/>
      <c r="T118" s="223"/>
      <c r="U118" s="223"/>
      <c r="V118" s="223"/>
      <c r="W118" s="223"/>
    </row>
    <row r="119">
      <c r="A119" s="223"/>
      <c r="B119" s="223"/>
      <c r="C119" s="223"/>
      <c r="D119" s="223"/>
      <c r="E119" s="223"/>
      <c r="F119" s="223"/>
      <c r="G119" s="223"/>
      <c r="H119" s="223"/>
      <c r="I119" s="223"/>
      <c r="J119" s="223"/>
      <c r="K119" s="320"/>
      <c r="L119" s="320"/>
      <c r="M119" s="223"/>
      <c r="N119" s="223"/>
      <c r="O119" s="223"/>
      <c r="P119" s="223"/>
      <c r="Q119" s="223"/>
      <c r="R119" s="223"/>
      <c r="S119" s="223"/>
      <c r="T119" s="223"/>
      <c r="U119" s="223"/>
      <c r="V119" s="223"/>
      <c r="W119" s="223"/>
    </row>
    <row r="120">
      <c r="A120" s="223"/>
      <c r="B120" s="223"/>
      <c r="C120" s="223"/>
      <c r="D120" s="223"/>
      <c r="E120" s="223"/>
      <c r="F120" s="223"/>
      <c r="G120" s="223"/>
      <c r="H120" s="223"/>
      <c r="I120" s="223"/>
      <c r="J120" s="223"/>
      <c r="K120" s="320"/>
      <c r="L120" s="320"/>
      <c r="M120" s="223"/>
      <c r="N120" s="223"/>
      <c r="O120" s="223"/>
      <c r="P120" s="223"/>
      <c r="Q120" s="223"/>
      <c r="R120" s="223"/>
      <c r="S120" s="223"/>
      <c r="T120" s="223"/>
      <c r="U120" s="223"/>
      <c r="V120" s="223"/>
      <c r="W120" s="223"/>
    </row>
    <row r="121">
      <c r="A121" s="223"/>
      <c r="B121" s="223"/>
      <c r="C121" s="223"/>
      <c r="D121" s="223"/>
      <c r="E121" s="223"/>
      <c r="F121" s="223"/>
      <c r="G121" s="223"/>
      <c r="H121" s="223"/>
      <c r="I121" s="223"/>
      <c r="J121" s="223"/>
      <c r="K121" s="320"/>
      <c r="L121" s="320"/>
      <c r="M121" s="223"/>
      <c r="N121" s="223"/>
      <c r="O121" s="223"/>
      <c r="P121" s="223"/>
      <c r="Q121" s="223"/>
      <c r="R121" s="223"/>
      <c r="S121" s="223"/>
      <c r="T121" s="223"/>
      <c r="U121" s="223"/>
      <c r="V121" s="223"/>
      <c r="W121" s="223"/>
    </row>
    <row r="122">
      <c r="A122" s="223"/>
      <c r="B122" s="223"/>
      <c r="C122" s="223"/>
      <c r="D122" s="223"/>
      <c r="E122" s="223"/>
      <c r="F122" s="223"/>
      <c r="G122" s="223"/>
      <c r="H122" s="223"/>
      <c r="I122" s="223"/>
      <c r="J122" s="223"/>
      <c r="K122" s="320"/>
      <c r="L122" s="320"/>
      <c r="M122" s="223"/>
      <c r="N122" s="223"/>
      <c r="O122" s="223"/>
      <c r="P122" s="223"/>
      <c r="Q122" s="223"/>
      <c r="R122" s="223"/>
      <c r="S122" s="223"/>
      <c r="T122" s="223"/>
      <c r="U122" s="223"/>
      <c r="V122" s="223"/>
      <c r="W122" s="223"/>
    </row>
    <row r="123">
      <c r="A123" s="223"/>
      <c r="B123" s="223"/>
      <c r="C123" s="223"/>
      <c r="D123" s="223"/>
      <c r="E123" s="223"/>
      <c r="F123" s="223"/>
      <c r="G123" s="223"/>
      <c r="H123" s="223"/>
      <c r="I123" s="223"/>
      <c r="J123" s="223"/>
      <c r="K123" s="320"/>
      <c r="L123" s="320"/>
      <c r="M123" s="223"/>
      <c r="N123" s="223"/>
      <c r="O123" s="223"/>
      <c r="P123" s="223"/>
      <c r="Q123" s="223"/>
      <c r="R123" s="223"/>
      <c r="S123" s="223"/>
      <c r="T123" s="223"/>
      <c r="U123" s="223"/>
      <c r="V123" s="223"/>
      <c r="W123" s="223"/>
    </row>
    <row r="124">
      <c r="A124" s="223"/>
      <c r="B124" s="223"/>
      <c r="C124" s="223"/>
      <c r="D124" s="223"/>
      <c r="E124" s="223"/>
      <c r="F124" s="223"/>
      <c r="G124" s="223"/>
      <c r="H124" s="223"/>
      <c r="I124" s="223"/>
      <c r="J124" s="223"/>
      <c r="K124" s="320"/>
      <c r="L124" s="320"/>
      <c r="M124" s="223"/>
      <c r="N124" s="223"/>
      <c r="O124" s="223"/>
      <c r="P124" s="223"/>
      <c r="Q124" s="223"/>
      <c r="R124" s="223"/>
      <c r="S124" s="223"/>
      <c r="T124" s="223"/>
      <c r="U124" s="223"/>
      <c r="V124" s="223"/>
      <c r="W124" s="223"/>
    </row>
    <row r="125">
      <c r="A125" s="223"/>
      <c r="B125" s="223"/>
      <c r="C125" s="223"/>
      <c r="D125" s="223"/>
      <c r="E125" s="223"/>
      <c r="F125" s="223"/>
      <c r="G125" s="223"/>
      <c r="H125" s="223"/>
      <c r="I125" s="223"/>
      <c r="J125" s="223"/>
      <c r="K125" s="320"/>
      <c r="L125" s="320"/>
      <c r="M125" s="223"/>
      <c r="N125" s="223"/>
      <c r="O125" s="223"/>
      <c r="P125" s="223"/>
      <c r="Q125" s="223"/>
      <c r="R125" s="223"/>
      <c r="S125" s="223"/>
      <c r="T125" s="223"/>
      <c r="U125" s="223"/>
      <c r="V125" s="223"/>
      <c r="W125" s="223"/>
    </row>
    <row r="126">
      <c r="A126" s="223"/>
      <c r="B126" s="223"/>
      <c r="C126" s="223"/>
      <c r="D126" s="223"/>
      <c r="E126" s="223"/>
      <c r="F126" s="223"/>
      <c r="G126" s="223"/>
      <c r="H126" s="223"/>
      <c r="I126" s="223"/>
      <c r="J126" s="223"/>
      <c r="K126" s="320"/>
      <c r="L126" s="320"/>
      <c r="M126" s="223"/>
      <c r="N126" s="223"/>
      <c r="O126" s="223"/>
      <c r="P126" s="223"/>
      <c r="Q126" s="223"/>
      <c r="R126" s="223"/>
      <c r="S126" s="223"/>
      <c r="T126" s="223"/>
      <c r="U126" s="223"/>
      <c r="V126" s="223"/>
      <c r="W126" s="223"/>
    </row>
    <row r="127">
      <c r="A127" s="223"/>
      <c r="B127" s="223"/>
      <c r="C127" s="223"/>
      <c r="D127" s="223"/>
      <c r="E127" s="223"/>
      <c r="F127" s="223"/>
      <c r="G127" s="223"/>
      <c r="H127" s="223"/>
      <c r="I127" s="223"/>
      <c r="J127" s="223"/>
      <c r="K127" s="320"/>
      <c r="L127" s="320"/>
      <c r="M127" s="223"/>
      <c r="N127" s="223"/>
      <c r="O127" s="223"/>
      <c r="P127" s="223"/>
      <c r="Q127" s="223"/>
      <c r="R127" s="223"/>
      <c r="S127" s="223"/>
      <c r="T127" s="223"/>
      <c r="U127" s="223"/>
      <c r="V127" s="223"/>
      <c r="W127" s="223"/>
    </row>
    <row r="128">
      <c r="A128" s="223"/>
      <c r="B128" s="223"/>
      <c r="C128" s="223"/>
      <c r="D128" s="223"/>
      <c r="E128" s="223"/>
      <c r="F128" s="223"/>
      <c r="G128" s="223"/>
      <c r="H128" s="223"/>
      <c r="I128" s="223"/>
      <c r="J128" s="223"/>
      <c r="K128" s="320"/>
      <c r="L128" s="320"/>
      <c r="M128" s="223"/>
      <c r="N128" s="223"/>
      <c r="O128" s="223"/>
      <c r="P128" s="223"/>
      <c r="Q128" s="223"/>
      <c r="R128" s="223"/>
      <c r="S128" s="223"/>
      <c r="T128" s="223"/>
      <c r="U128" s="223"/>
      <c r="V128" s="223"/>
      <c r="W128" s="223"/>
    </row>
    <row r="129">
      <c r="A129" s="223"/>
      <c r="B129" s="223"/>
      <c r="C129" s="223"/>
      <c r="D129" s="223"/>
      <c r="E129" s="223"/>
      <c r="F129" s="223"/>
      <c r="G129" s="223"/>
      <c r="H129" s="223"/>
      <c r="I129" s="223"/>
      <c r="J129" s="223"/>
      <c r="K129" s="320"/>
      <c r="L129" s="320"/>
      <c r="M129" s="223"/>
      <c r="N129" s="223"/>
      <c r="O129" s="223"/>
      <c r="P129" s="223"/>
      <c r="Q129" s="223"/>
      <c r="R129" s="223"/>
      <c r="S129" s="223"/>
      <c r="T129" s="223"/>
      <c r="U129" s="223"/>
      <c r="V129" s="223"/>
      <c r="W129" s="223"/>
    </row>
    <row r="130">
      <c r="A130" s="223"/>
      <c r="B130" s="223"/>
      <c r="C130" s="223"/>
      <c r="D130" s="223"/>
      <c r="E130" s="223"/>
      <c r="F130" s="223"/>
      <c r="G130" s="223"/>
      <c r="H130" s="223"/>
      <c r="I130" s="223"/>
      <c r="J130" s="223"/>
      <c r="K130" s="320"/>
      <c r="L130" s="320"/>
      <c r="M130" s="223"/>
      <c r="N130" s="223"/>
      <c r="O130" s="223"/>
      <c r="P130" s="223"/>
      <c r="Q130" s="223"/>
      <c r="R130" s="223"/>
      <c r="S130" s="223"/>
      <c r="T130" s="223"/>
      <c r="U130" s="223"/>
      <c r="V130" s="223"/>
      <c r="W130" s="223"/>
    </row>
    <row r="131">
      <c r="A131" s="223"/>
      <c r="B131" s="223"/>
      <c r="C131" s="223"/>
      <c r="D131" s="223"/>
      <c r="E131" s="223"/>
      <c r="F131" s="223"/>
      <c r="G131" s="223"/>
      <c r="H131" s="223"/>
      <c r="I131" s="223"/>
      <c r="J131" s="223"/>
      <c r="K131" s="320"/>
      <c r="L131" s="320"/>
      <c r="M131" s="223"/>
      <c r="N131" s="223"/>
      <c r="O131" s="223"/>
      <c r="P131" s="223"/>
      <c r="Q131" s="223"/>
      <c r="R131" s="223"/>
      <c r="S131" s="223"/>
      <c r="T131" s="223"/>
      <c r="U131" s="223"/>
      <c r="V131" s="223"/>
      <c r="W131" s="223"/>
    </row>
    <row r="132">
      <c r="A132" s="223"/>
      <c r="B132" s="223"/>
      <c r="C132" s="223"/>
      <c r="D132" s="223"/>
      <c r="E132" s="223"/>
      <c r="F132" s="223"/>
      <c r="G132" s="223"/>
      <c r="H132" s="223"/>
      <c r="I132" s="223"/>
      <c r="J132" s="223"/>
      <c r="K132" s="320"/>
      <c r="L132" s="320"/>
      <c r="M132" s="223"/>
      <c r="N132" s="223"/>
      <c r="O132" s="223"/>
      <c r="P132" s="223"/>
      <c r="Q132" s="223"/>
      <c r="R132" s="223"/>
      <c r="S132" s="223"/>
      <c r="T132" s="223"/>
      <c r="U132" s="223"/>
      <c r="V132" s="223"/>
      <c r="W132" s="223"/>
    </row>
    <row r="133">
      <c r="A133" s="223"/>
      <c r="B133" s="223"/>
      <c r="C133" s="223"/>
      <c r="D133" s="223"/>
      <c r="E133" s="223"/>
      <c r="F133" s="223"/>
      <c r="G133" s="223"/>
      <c r="H133" s="223"/>
      <c r="I133" s="223"/>
      <c r="J133" s="223"/>
      <c r="K133" s="320"/>
      <c r="L133" s="320"/>
      <c r="M133" s="223"/>
      <c r="N133" s="223"/>
      <c r="O133" s="223"/>
      <c r="P133" s="223"/>
      <c r="Q133" s="223"/>
      <c r="R133" s="223"/>
      <c r="S133" s="223"/>
      <c r="T133" s="223"/>
      <c r="U133" s="223"/>
      <c r="V133" s="223"/>
      <c r="W133" s="223"/>
    </row>
    <row r="134">
      <c r="A134" s="223"/>
      <c r="B134" s="223"/>
      <c r="C134" s="223"/>
      <c r="D134" s="223"/>
      <c r="E134" s="223"/>
      <c r="F134" s="223"/>
      <c r="G134" s="223"/>
      <c r="H134" s="223"/>
      <c r="I134" s="223"/>
      <c r="J134" s="223"/>
      <c r="K134" s="320"/>
      <c r="L134" s="320"/>
      <c r="M134" s="223"/>
      <c r="N134" s="223"/>
      <c r="O134" s="223"/>
      <c r="P134" s="223"/>
      <c r="Q134" s="223"/>
      <c r="R134" s="223"/>
      <c r="S134" s="223"/>
      <c r="T134" s="223"/>
      <c r="U134" s="223"/>
      <c r="V134" s="223"/>
      <c r="W134" s="223"/>
    </row>
    <row r="135">
      <c r="A135" s="223"/>
      <c r="B135" s="223"/>
      <c r="C135" s="223"/>
      <c r="D135" s="223"/>
      <c r="E135" s="223"/>
      <c r="F135" s="223"/>
      <c r="G135" s="223"/>
      <c r="H135" s="223"/>
      <c r="I135" s="223"/>
      <c r="J135" s="223"/>
      <c r="K135" s="320"/>
      <c r="L135" s="320"/>
      <c r="M135" s="223"/>
      <c r="N135" s="223"/>
      <c r="O135" s="223"/>
      <c r="P135" s="223"/>
      <c r="Q135" s="223"/>
      <c r="R135" s="223"/>
      <c r="S135" s="223"/>
      <c r="T135" s="223"/>
      <c r="U135" s="223"/>
      <c r="V135" s="223"/>
      <c r="W135" s="223"/>
    </row>
    <row r="136">
      <c r="A136" s="223"/>
      <c r="B136" s="223"/>
      <c r="C136" s="223"/>
      <c r="D136" s="223"/>
      <c r="E136" s="223"/>
      <c r="F136" s="223"/>
      <c r="G136" s="223"/>
      <c r="H136" s="223"/>
      <c r="I136" s="223"/>
      <c r="J136" s="223"/>
      <c r="K136" s="320"/>
      <c r="L136" s="320"/>
      <c r="M136" s="223"/>
      <c r="N136" s="223"/>
      <c r="O136" s="223"/>
      <c r="P136" s="223"/>
      <c r="Q136" s="223"/>
      <c r="R136" s="223"/>
      <c r="S136" s="223"/>
      <c r="T136" s="223"/>
      <c r="U136" s="223"/>
      <c r="V136" s="223"/>
      <c r="W136" s="223"/>
    </row>
    <row r="137">
      <c r="A137" s="223"/>
      <c r="B137" s="223"/>
      <c r="C137" s="223"/>
      <c r="D137" s="223"/>
      <c r="E137" s="223"/>
      <c r="F137" s="223"/>
      <c r="G137" s="223"/>
      <c r="H137" s="223"/>
      <c r="I137" s="223"/>
      <c r="J137" s="223"/>
      <c r="K137" s="320"/>
      <c r="L137" s="320"/>
      <c r="M137" s="223"/>
      <c r="N137" s="223"/>
      <c r="O137" s="223"/>
      <c r="P137" s="223"/>
      <c r="Q137" s="223"/>
      <c r="R137" s="223"/>
      <c r="S137" s="223"/>
      <c r="T137" s="223"/>
      <c r="U137" s="223"/>
      <c r="V137" s="223"/>
      <c r="W137" s="223"/>
    </row>
    <row r="138">
      <c r="A138" s="223"/>
      <c r="B138" s="223"/>
      <c r="C138" s="223"/>
      <c r="D138" s="223"/>
      <c r="E138" s="223"/>
      <c r="F138" s="223"/>
      <c r="G138" s="223"/>
      <c r="H138" s="223"/>
      <c r="I138" s="223"/>
      <c r="J138" s="223"/>
      <c r="K138" s="320"/>
      <c r="L138" s="320"/>
      <c r="M138" s="223"/>
      <c r="N138" s="223"/>
      <c r="O138" s="223"/>
      <c r="P138" s="223"/>
      <c r="Q138" s="223"/>
      <c r="R138" s="223"/>
      <c r="S138" s="223"/>
      <c r="T138" s="223"/>
      <c r="U138" s="223"/>
      <c r="V138" s="223"/>
      <c r="W138" s="223"/>
    </row>
    <row r="139">
      <c r="A139" s="223"/>
      <c r="B139" s="223"/>
      <c r="C139" s="223"/>
      <c r="D139" s="223"/>
      <c r="E139" s="223"/>
      <c r="F139" s="223"/>
      <c r="G139" s="223"/>
      <c r="H139" s="223"/>
      <c r="I139" s="223"/>
      <c r="J139" s="223"/>
      <c r="K139" s="320"/>
      <c r="L139" s="320"/>
      <c r="M139" s="223"/>
      <c r="N139" s="223"/>
      <c r="O139" s="223"/>
      <c r="P139" s="223"/>
      <c r="Q139" s="223"/>
      <c r="R139" s="223"/>
      <c r="S139" s="223"/>
      <c r="T139" s="223"/>
      <c r="U139" s="223"/>
      <c r="V139" s="223"/>
      <c r="W139" s="223"/>
    </row>
    <row r="140">
      <c r="A140" s="223"/>
      <c r="B140" s="223"/>
      <c r="C140" s="223"/>
      <c r="D140" s="223"/>
      <c r="E140" s="223"/>
      <c r="F140" s="223"/>
      <c r="G140" s="223"/>
      <c r="H140" s="223"/>
      <c r="I140" s="223"/>
      <c r="J140" s="223"/>
      <c r="K140" s="320"/>
      <c r="L140" s="320"/>
      <c r="M140" s="223"/>
      <c r="N140" s="223"/>
      <c r="O140" s="223"/>
      <c r="P140" s="223"/>
      <c r="Q140" s="223"/>
      <c r="R140" s="223"/>
      <c r="S140" s="223"/>
      <c r="T140" s="223"/>
      <c r="U140" s="223"/>
      <c r="V140" s="223"/>
      <c r="W140" s="223"/>
    </row>
    <row r="141">
      <c r="A141" s="223"/>
      <c r="B141" s="223"/>
      <c r="C141" s="223"/>
      <c r="D141" s="223"/>
      <c r="E141" s="223"/>
      <c r="F141" s="223"/>
      <c r="G141" s="223"/>
      <c r="H141" s="223"/>
      <c r="I141" s="223"/>
      <c r="J141" s="223"/>
      <c r="K141" s="320"/>
      <c r="L141" s="320"/>
      <c r="M141" s="223"/>
      <c r="N141" s="223"/>
      <c r="O141" s="223"/>
      <c r="P141" s="223"/>
      <c r="Q141" s="223"/>
      <c r="R141" s="223"/>
      <c r="S141" s="223"/>
      <c r="T141" s="223"/>
      <c r="U141" s="223"/>
      <c r="V141" s="223"/>
      <c r="W141" s="223"/>
    </row>
    <row r="142">
      <c r="A142" s="223"/>
      <c r="B142" s="223"/>
      <c r="C142" s="223"/>
      <c r="D142" s="223"/>
      <c r="E142" s="223"/>
      <c r="F142" s="223"/>
      <c r="G142" s="223"/>
      <c r="H142" s="223"/>
      <c r="I142" s="223"/>
      <c r="J142" s="223"/>
      <c r="K142" s="320"/>
      <c r="L142" s="320"/>
      <c r="M142" s="223"/>
      <c r="N142" s="223"/>
      <c r="O142" s="223"/>
      <c r="P142" s="223"/>
      <c r="Q142" s="223"/>
      <c r="R142" s="223"/>
      <c r="S142" s="223"/>
      <c r="T142" s="223"/>
      <c r="U142" s="223"/>
      <c r="V142" s="223"/>
      <c r="W142" s="223"/>
    </row>
    <row r="143">
      <c r="A143" s="223"/>
      <c r="B143" s="223"/>
      <c r="C143" s="223"/>
      <c r="D143" s="223"/>
      <c r="E143" s="223"/>
      <c r="F143" s="223"/>
      <c r="G143" s="223"/>
      <c r="H143" s="223"/>
      <c r="I143" s="223"/>
      <c r="J143" s="223"/>
      <c r="K143" s="320"/>
      <c r="L143" s="320"/>
      <c r="M143" s="223"/>
      <c r="N143" s="223"/>
      <c r="O143" s="223"/>
      <c r="P143" s="223"/>
      <c r="Q143" s="223"/>
      <c r="R143" s="223"/>
      <c r="S143" s="223"/>
      <c r="T143" s="223"/>
      <c r="U143" s="223"/>
      <c r="V143" s="223"/>
      <c r="W143" s="223"/>
    </row>
    <row r="144">
      <c r="A144" s="223"/>
      <c r="B144" s="223"/>
      <c r="C144" s="223"/>
      <c r="D144" s="223"/>
      <c r="E144" s="223"/>
      <c r="F144" s="223"/>
      <c r="G144" s="223"/>
      <c r="H144" s="223"/>
      <c r="I144" s="223"/>
      <c r="J144" s="223"/>
      <c r="K144" s="320"/>
      <c r="L144" s="320"/>
      <c r="M144" s="223"/>
      <c r="N144" s="223"/>
      <c r="O144" s="223"/>
      <c r="P144" s="223"/>
      <c r="Q144" s="223"/>
      <c r="R144" s="223"/>
      <c r="S144" s="223"/>
      <c r="T144" s="223"/>
      <c r="U144" s="223"/>
      <c r="V144" s="223"/>
      <c r="W144" s="223"/>
    </row>
    <row r="145">
      <c r="A145" s="223"/>
      <c r="B145" s="223"/>
      <c r="C145" s="223"/>
      <c r="D145" s="223"/>
      <c r="E145" s="223"/>
      <c r="F145" s="223"/>
      <c r="G145" s="223"/>
      <c r="H145" s="223"/>
      <c r="I145" s="223"/>
      <c r="J145" s="223"/>
      <c r="K145" s="320"/>
      <c r="L145" s="320"/>
      <c r="M145" s="223"/>
      <c r="N145" s="223"/>
      <c r="O145" s="223"/>
      <c r="P145" s="223"/>
      <c r="Q145" s="223"/>
      <c r="R145" s="223"/>
      <c r="S145" s="223"/>
      <c r="T145" s="223"/>
      <c r="U145" s="223"/>
      <c r="V145" s="223"/>
      <c r="W145" s="223"/>
    </row>
    <row r="146">
      <c r="A146" s="223"/>
      <c r="B146" s="223"/>
      <c r="C146" s="223"/>
      <c r="D146" s="223"/>
      <c r="E146" s="223"/>
      <c r="F146" s="223"/>
      <c r="G146" s="223"/>
      <c r="H146" s="223"/>
      <c r="I146" s="223"/>
      <c r="J146" s="223"/>
      <c r="K146" s="320"/>
      <c r="L146" s="320"/>
      <c r="M146" s="223"/>
      <c r="N146" s="223"/>
      <c r="O146" s="223"/>
      <c r="P146" s="223"/>
      <c r="Q146" s="223"/>
      <c r="R146" s="223"/>
      <c r="S146" s="223"/>
      <c r="T146" s="223"/>
      <c r="U146" s="223"/>
      <c r="V146" s="223"/>
      <c r="W146" s="223"/>
    </row>
    <row r="147">
      <c r="A147" s="223"/>
      <c r="B147" s="223"/>
      <c r="C147" s="223"/>
      <c r="D147" s="223"/>
      <c r="E147" s="223"/>
      <c r="F147" s="223"/>
      <c r="G147" s="223"/>
      <c r="H147" s="223"/>
      <c r="I147" s="223"/>
      <c r="J147" s="223"/>
      <c r="K147" s="320"/>
      <c r="L147" s="320"/>
      <c r="M147" s="223"/>
      <c r="N147" s="223"/>
      <c r="O147" s="223"/>
      <c r="P147" s="223"/>
      <c r="Q147" s="223"/>
      <c r="R147" s="223"/>
      <c r="S147" s="223"/>
      <c r="T147" s="223"/>
      <c r="U147" s="223"/>
      <c r="V147" s="223"/>
      <c r="W147" s="223"/>
    </row>
    <row r="148">
      <c r="A148" s="223"/>
      <c r="B148" s="223"/>
      <c r="C148" s="223"/>
      <c r="D148" s="223"/>
      <c r="E148" s="223"/>
      <c r="F148" s="223"/>
      <c r="G148" s="223"/>
      <c r="H148" s="223"/>
      <c r="I148" s="223"/>
      <c r="J148" s="223"/>
      <c r="K148" s="320"/>
      <c r="L148" s="320"/>
      <c r="M148" s="223"/>
      <c r="N148" s="223"/>
      <c r="O148" s="223"/>
      <c r="P148" s="223"/>
      <c r="Q148" s="223"/>
      <c r="R148" s="223"/>
      <c r="S148" s="223"/>
      <c r="T148" s="223"/>
      <c r="U148" s="223"/>
      <c r="V148" s="223"/>
      <c r="W148" s="223"/>
    </row>
    <row r="149">
      <c r="A149" s="223"/>
      <c r="B149" s="223"/>
      <c r="C149" s="223"/>
      <c r="D149" s="223"/>
      <c r="E149" s="223"/>
      <c r="F149" s="223"/>
      <c r="G149" s="223"/>
      <c r="H149" s="223"/>
      <c r="I149" s="223"/>
      <c r="J149" s="223"/>
      <c r="K149" s="320"/>
      <c r="L149" s="320"/>
      <c r="M149" s="223"/>
      <c r="N149" s="223"/>
      <c r="O149" s="223"/>
      <c r="P149" s="223"/>
      <c r="Q149" s="223"/>
      <c r="R149" s="223"/>
      <c r="S149" s="223"/>
      <c r="T149" s="223"/>
      <c r="U149" s="223"/>
      <c r="V149" s="223"/>
      <c r="W149" s="223"/>
    </row>
    <row r="150">
      <c r="A150" s="223"/>
      <c r="B150" s="223"/>
      <c r="C150" s="223"/>
      <c r="D150" s="223"/>
      <c r="E150" s="223"/>
      <c r="F150" s="223"/>
      <c r="G150" s="223"/>
      <c r="H150" s="223"/>
      <c r="I150" s="223"/>
      <c r="J150" s="223"/>
      <c r="K150" s="320"/>
      <c r="L150" s="320"/>
      <c r="M150" s="223"/>
      <c r="N150" s="223"/>
      <c r="O150" s="223"/>
      <c r="P150" s="223"/>
      <c r="Q150" s="223"/>
      <c r="R150" s="223"/>
      <c r="S150" s="223"/>
      <c r="T150" s="223"/>
      <c r="U150" s="223"/>
      <c r="V150" s="223"/>
      <c r="W150" s="223"/>
    </row>
    <row r="151">
      <c r="A151" s="223"/>
      <c r="B151" s="223"/>
      <c r="C151" s="223"/>
      <c r="D151" s="223"/>
      <c r="E151" s="223"/>
      <c r="F151" s="223"/>
      <c r="G151" s="223"/>
      <c r="H151" s="223"/>
      <c r="I151" s="223"/>
      <c r="J151" s="223"/>
      <c r="K151" s="320"/>
      <c r="L151" s="320"/>
      <c r="M151" s="223"/>
      <c r="N151" s="223"/>
      <c r="O151" s="223"/>
      <c r="P151" s="223"/>
      <c r="Q151" s="223"/>
      <c r="R151" s="223"/>
      <c r="S151" s="223"/>
      <c r="T151" s="223"/>
      <c r="U151" s="223"/>
      <c r="V151" s="223"/>
      <c r="W151" s="223"/>
    </row>
    <row r="152">
      <c r="A152" s="223"/>
      <c r="B152" s="223"/>
      <c r="C152" s="223"/>
      <c r="D152" s="223"/>
      <c r="E152" s="223"/>
      <c r="F152" s="223"/>
      <c r="G152" s="223"/>
      <c r="H152" s="223"/>
      <c r="I152" s="223"/>
      <c r="J152" s="223"/>
      <c r="K152" s="320"/>
      <c r="L152" s="320"/>
      <c r="M152" s="223"/>
      <c r="N152" s="223"/>
      <c r="O152" s="223"/>
      <c r="P152" s="223"/>
      <c r="Q152" s="223"/>
      <c r="R152" s="223"/>
      <c r="S152" s="223"/>
      <c r="T152" s="223"/>
      <c r="U152" s="223"/>
      <c r="V152" s="223"/>
      <c r="W152" s="223"/>
    </row>
    <row r="153">
      <c r="A153" s="223"/>
      <c r="B153" s="223"/>
      <c r="C153" s="223"/>
      <c r="D153" s="223"/>
      <c r="E153" s="223"/>
      <c r="F153" s="223"/>
      <c r="G153" s="223"/>
      <c r="H153" s="223"/>
      <c r="I153" s="223"/>
      <c r="J153" s="223"/>
      <c r="K153" s="320"/>
      <c r="L153" s="320"/>
      <c r="M153" s="223"/>
      <c r="N153" s="223"/>
      <c r="O153" s="223"/>
      <c r="P153" s="223"/>
      <c r="Q153" s="223"/>
      <c r="R153" s="223"/>
      <c r="S153" s="223"/>
      <c r="T153" s="223"/>
      <c r="U153" s="223"/>
      <c r="V153" s="223"/>
      <c r="W153" s="223"/>
    </row>
    <row r="154">
      <c r="A154" s="223"/>
      <c r="B154" s="223"/>
      <c r="C154" s="223"/>
      <c r="D154" s="223"/>
      <c r="E154" s="223"/>
      <c r="F154" s="223"/>
      <c r="G154" s="223"/>
      <c r="H154" s="223"/>
      <c r="I154" s="223"/>
      <c r="J154" s="223"/>
      <c r="K154" s="320"/>
      <c r="L154" s="320"/>
      <c r="M154" s="223"/>
      <c r="N154" s="223"/>
      <c r="O154" s="223"/>
      <c r="P154" s="223"/>
      <c r="Q154" s="223"/>
      <c r="R154" s="223"/>
      <c r="S154" s="223"/>
      <c r="T154" s="223"/>
      <c r="U154" s="223"/>
      <c r="V154" s="223"/>
      <c r="W154" s="223"/>
    </row>
    <row r="155">
      <c r="A155" s="223"/>
      <c r="B155" s="223"/>
      <c r="C155" s="223"/>
      <c r="D155" s="223"/>
      <c r="E155" s="223"/>
      <c r="F155" s="223"/>
      <c r="G155" s="223"/>
      <c r="H155" s="223"/>
      <c r="I155" s="223"/>
      <c r="J155" s="223"/>
      <c r="K155" s="320"/>
      <c r="L155" s="320"/>
      <c r="M155" s="223"/>
      <c r="N155" s="223"/>
      <c r="O155" s="223"/>
      <c r="P155" s="223"/>
      <c r="Q155" s="223"/>
      <c r="R155" s="223"/>
      <c r="S155" s="223"/>
      <c r="T155" s="223"/>
      <c r="U155" s="223"/>
      <c r="V155" s="223"/>
      <c r="W155" s="223"/>
    </row>
    <row r="156">
      <c r="A156" s="223"/>
      <c r="B156" s="223"/>
      <c r="C156" s="223"/>
      <c r="D156" s="223"/>
      <c r="E156" s="223"/>
      <c r="F156" s="223"/>
      <c r="G156" s="223"/>
      <c r="H156" s="223"/>
      <c r="I156" s="223"/>
      <c r="J156" s="223"/>
      <c r="K156" s="320"/>
      <c r="L156" s="320"/>
      <c r="M156" s="223"/>
      <c r="N156" s="223"/>
      <c r="O156" s="223"/>
      <c r="P156" s="223"/>
      <c r="Q156" s="223"/>
      <c r="R156" s="223"/>
      <c r="S156" s="223"/>
      <c r="T156" s="223"/>
      <c r="U156" s="223"/>
      <c r="V156" s="223"/>
      <c r="W156" s="223"/>
    </row>
    <row r="157">
      <c r="A157" s="223"/>
      <c r="B157" s="223"/>
      <c r="C157" s="223"/>
      <c r="D157" s="223"/>
      <c r="E157" s="223"/>
      <c r="F157" s="223"/>
      <c r="G157" s="223"/>
      <c r="H157" s="223"/>
      <c r="I157" s="223"/>
      <c r="J157" s="223"/>
      <c r="K157" s="320"/>
      <c r="L157" s="320"/>
      <c r="M157" s="223"/>
      <c r="N157" s="223"/>
      <c r="O157" s="223"/>
      <c r="P157" s="223"/>
      <c r="Q157" s="223"/>
      <c r="R157" s="223"/>
      <c r="S157" s="223"/>
      <c r="T157" s="223"/>
      <c r="U157" s="223"/>
      <c r="V157" s="223"/>
      <c r="W157" s="223"/>
    </row>
    <row r="158">
      <c r="A158" s="223"/>
      <c r="B158" s="223"/>
      <c r="C158" s="223"/>
      <c r="D158" s="223"/>
      <c r="E158" s="223"/>
      <c r="F158" s="223"/>
      <c r="G158" s="223"/>
      <c r="H158" s="223"/>
      <c r="I158" s="223"/>
      <c r="J158" s="223"/>
      <c r="K158" s="320"/>
      <c r="L158" s="320"/>
      <c r="M158" s="223"/>
      <c r="N158" s="223"/>
      <c r="O158" s="223"/>
      <c r="P158" s="223"/>
      <c r="Q158" s="223"/>
      <c r="R158" s="223"/>
      <c r="S158" s="223"/>
      <c r="T158" s="223"/>
      <c r="U158" s="223"/>
      <c r="V158" s="223"/>
      <c r="W158" s="223"/>
    </row>
    <row r="159">
      <c r="A159" s="223"/>
      <c r="B159" s="223"/>
      <c r="C159" s="223"/>
      <c r="D159" s="223"/>
      <c r="E159" s="223"/>
      <c r="F159" s="223"/>
      <c r="G159" s="223"/>
      <c r="H159" s="223"/>
      <c r="I159" s="223"/>
      <c r="J159" s="223"/>
      <c r="K159" s="320"/>
      <c r="L159" s="320"/>
      <c r="M159" s="223"/>
      <c r="N159" s="223"/>
      <c r="O159" s="223"/>
      <c r="P159" s="223"/>
      <c r="Q159" s="223"/>
      <c r="R159" s="223"/>
      <c r="S159" s="223"/>
      <c r="T159" s="223"/>
      <c r="U159" s="223"/>
      <c r="V159" s="223"/>
      <c r="W159" s="223"/>
    </row>
    <row r="160">
      <c r="A160" s="223"/>
      <c r="B160" s="223"/>
      <c r="C160" s="223"/>
      <c r="D160" s="223"/>
      <c r="E160" s="223"/>
      <c r="F160" s="223"/>
      <c r="G160" s="223"/>
      <c r="H160" s="223"/>
      <c r="I160" s="223"/>
      <c r="J160" s="223"/>
      <c r="K160" s="320"/>
      <c r="L160" s="320"/>
      <c r="M160" s="223"/>
      <c r="N160" s="223"/>
      <c r="O160" s="223"/>
      <c r="P160" s="223"/>
      <c r="Q160" s="223"/>
      <c r="R160" s="223"/>
      <c r="S160" s="223"/>
      <c r="T160" s="223"/>
      <c r="U160" s="223"/>
      <c r="V160" s="223"/>
      <c r="W160" s="223"/>
    </row>
    <row r="161">
      <c r="A161" s="223"/>
      <c r="B161" s="223"/>
      <c r="C161" s="223"/>
      <c r="D161" s="223"/>
      <c r="E161" s="223"/>
      <c r="F161" s="223"/>
      <c r="G161" s="223"/>
      <c r="H161" s="223"/>
      <c r="I161" s="223"/>
      <c r="J161" s="223"/>
      <c r="K161" s="320"/>
      <c r="L161" s="320"/>
      <c r="M161" s="223"/>
      <c r="N161" s="223"/>
      <c r="O161" s="223"/>
      <c r="P161" s="223"/>
      <c r="Q161" s="223"/>
      <c r="R161" s="223"/>
      <c r="S161" s="223"/>
      <c r="T161" s="223"/>
      <c r="U161" s="223"/>
      <c r="V161" s="223"/>
      <c r="W161" s="223"/>
    </row>
    <row r="162">
      <c r="A162" s="223"/>
      <c r="B162" s="223"/>
      <c r="C162" s="223"/>
      <c r="D162" s="223"/>
      <c r="E162" s="223"/>
      <c r="F162" s="223"/>
      <c r="G162" s="223"/>
      <c r="H162" s="223"/>
      <c r="I162" s="223"/>
      <c r="J162" s="223"/>
      <c r="K162" s="320"/>
      <c r="L162" s="320"/>
      <c r="M162" s="223"/>
      <c r="N162" s="223"/>
      <c r="O162" s="223"/>
      <c r="P162" s="223"/>
      <c r="Q162" s="223"/>
      <c r="R162" s="223"/>
      <c r="S162" s="223"/>
      <c r="T162" s="223"/>
      <c r="U162" s="223"/>
      <c r="V162" s="223"/>
      <c r="W162" s="223"/>
    </row>
    <row r="163">
      <c r="A163" s="223"/>
      <c r="B163" s="223"/>
      <c r="C163" s="223"/>
      <c r="D163" s="223"/>
      <c r="E163" s="223"/>
      <c r="F163" s="223"/>
      <c r="G163" s="223"/>
      <c r="H163" s="223"/>
      <c r="I163" s="223"/>
      <c r="J163" s="223"/>
      <c r="K163" s="320"/>
      <c r="L163" s="320"/>
      <c r="M163" s="223"/>
      <c r="N163" s="223"/>
      <c r="O163" s="223"/>
      <c r="P163" s="223"/>
      <c r="Q163" s="223"/>
      <c r="R163" s="223"/>
      <c r="S163" s="223"/>
      <c r="T163" s="223"/>
      <c r="U163" s="223"/>
      <c r="V163" s="223"/>
      <c r="W163" s="223"/>
    </row>
    <row r="164">
      <c r="A164" s="223"/>
      <c r="B164" s="223"/>
      <c r="C164" s="223"/>
      <c r="D164" s="223"/>
      <c r="E164" s="223"/>
      <c r="F164" s="223"/>
      <c r="G164" s="223"/>
      <c r="H164" s="223"/>
      <c r="I164" s="223"/>
      <c r="J164" s="223"/>
      <c r="K164" s="320"/>
      <c r="L164" s="320"/>
      <c r="M164" s="223"/>
      <c r="N164" s="223"/>
      <c r="O164" s="223"/>
      <c r="P164" s="223"/>
      <c r="Q164" s="223"/>
      <c r="R164" s="223"/>
      <c r="S164" s="223"/>
      <c r="T164" s="223"/>
      <c r="U164" s="223"/>
      <c r="V164" s="223"/>
      <c r="W164" s="223"/>
    </row>
    <row r="165">
      <c r="A165" s="223"/>
      <c r="B165" s="223"/>
      <c r="C165" s="223"/>
      <c r="D165" s="223"/>
      <c r="E165" s="223"/>
      <c r="F165" s="223"/>
      <c r="G165" s="223"/>
      <c r="H165" s="223"/>
      <c r="I165" s="223"/>
      <c r="J165" s="223"/>
      <c r="K165" s="320"/>
      <c r="L165" s="320"/>
      <c r="M165" s="223"/>
      <c r="N165" s="223"/>
      <c r="O165" s="223"/>
      <c r="P165" s="223"/>
      <c r="Q165" s="223"/>
      <c r="R165" s="223"/>
      <c r="S165" s="223"/>
      <c r="T165" s="223"/>
      <c r="U165" s="223"/>
      <c r="V165" s="223"/>
      <c r="W165" s="223"/>
    </row>
    <row r="166">
      <c r="A166" s="223"/>
      <c r="B166" s="223"/>
      <c r="C166" s="223"/>
      <c r="D166" s="223"/>
      <c r="E166" s="223"/>
      <c r="F166" s="223"/>
      <c r="G166" s="223"/>
      <c r="H166" s="223"/>
      <c r="I166" s="223"/>
      <c r="J166" s="223"/>
      <c r="K166" s="320"/>
      <c r="L166" s="320"/>
      <c r="M166" s="223"/>
      <c r="N166" s="223"/>
      <c r="O166" s="223"/>
      <c r="P166" s="223"/>
      <c r="Q166" s="223"/>
      <c r="R166" s="223"/>
      <c r="S166" s="223"/>
      <c r="T166" s="223"/>
      <c r="U166" s="223"/>
      <c r="V166" s="223"/>
      <c r="W166" s="223"/>
    </row>
    <row r="167">
      <c r="A167" s="223"/>
      <c r="B167" s="223"/>
      <c r="C167" s="223"/>
      <c r="D167" s="223"/>
      <c r="E167" s="223"/>
      <c r="F167" s="223"/>
      <c r="G167" s="223"/>
      <c r="H167" s="223"/>
      <c r="I167" s="223"/>
      <c r="J167" s="223"/>
      <c r="K167" s="320"/>
      <c r="L167" s="320"/>
      <c r="M167" s="223"/>
      <c r="N167" s="223"/>
      <c r="O167" s="223"/>
      <c r="P167" s="223"/>
      <c r="Q167" s="223"/>
      <c r="R167" s="223"/>
      <c r="S167" s="223"/>
      <c r="T167" s="223"/>
      <c r="U167" s="223"/>
      <c r="V167" s="223"/>
      <c r="W167" s="223"/>
    </row>
    <row r="168">
      <c r="A168" s="223"/>
      <c r="B168" s="223"/>
      <c r="C168" s="223"/>
      <c r="D168" s="223"/>
      <c r="E168" s="223"/>
      <c r="F168" s="223"/>
      <c r="G168" s="223"/>
      <c r="H168" s="223"/>
      <c r="I168" s="223"/>
      <c r="J168" s="223"/>
      <c r="K168" s="320"/>
      <c r="L168" s="320"/>
      <c r="M168" s="223"/>
      <c r="N168" s="223"/>
      <c r="O168" s="223"/>
      <c r="P168" s="223"/>
      <c r="Q168" s="223"/>
      <c r="R168" s="223"/>
      <c r="S168" s="223"/>
      <c r="T168" s="223"/>
      <c r="U168" s="223"/>
      <c r="V168" s="223"/>
      <c r="W168" s="223"/>
    </row>
    <row r="169">
      <c r="A169" s="223"/>
      <c r="B169" s="223"/>
      <c r="C169" s="223"/>
      <c r="D169" s="223"/>
      <c r="E169" s="223"/>
      <c r="F169" s="223"/>
      <c r="G169" s="223"/>
      <c r="H169" s="223"/>
      <c r="I169" s="223"/>
      <c r="J169" s="223"/>
      <c r="K169" s="320"/>
      <c r="L169" s="320"/>
      <c r="M169" s="223"/>
      <c r="N169" s="223"/>
      <c r="O169" s="223"/>
      <c r="P169" s="223"/>
      <c r="Q169" s="223"/>
      <c r="R169" s="223"/>
      <c r="S169" s="223"/>
      <c r="T169" s="223"/>
      <c r="U169" s="223"/>
      <c r="V169" s="223"/>
      <c r="W169" s="223"/>
    </row>
    <row r="170">
      <c r="A170" s="223"/>
      <c r="B170" s="223"/>
      <c r="C170" s="223"/>
      <c r="D170" s="223"/>
      <c r="E170" s="223"/>
      <c r="F170" s="223"/>
      <c r="G170" s="223"/>
      <c r="H170" s="223"/>
      <c r="I170" s="223"/>
      <c r="J170" s="223"/>
      <c r="K170" s="320"/>
      <c r="L170" s="320"/>
      <c r="M170" s="223"/>
      <c r="N170" s="223"/>
      <c r="O170" s="223"/>
      <c r="P170" s="223"/>
      <c r="Q170" s="223"/>
      <c r="R170" s="223"/>
      <c r="S170" s="223"/>
      <c r="T170" s="223"/>
      <c r="U170" s="223"/>
      <c r="V170" s="223"/>
      <c r="W170" s="223"/>
    </row>
    <row r="171">
      <c r="A171" s="223"/>
      <c r="B171" s="223"/>
      <c r="C171" s="223"/>
      <c r="D171" s="223"/>
      <c r="E171" s="223"/>
      <c r="F171" s="223"/>
      <c r="G171" s="223"/>
      <c r="H171" s="223"/>
      <c r="I171" s="223"/>
      <c r="J171" s="223"/>
      <c r="K171" s="320"/>
      <c r="L171" s="320"/>
      <c r="M171" s="223"/>
      <c r="N171" s="223"/>
      <c r="O171" s="223"/>
      <c r="P171" s="223"/>
      <c r="Q171" s="223"/>
      <c r="R171" s="223"/>
      <c r="S171" s="223"/>
      <c r="T171" s="223"/>
      <c r="U171" s="223"/>
      <c r="V171" s="223"/>
      <c r="W171" s="223"/>
    </row>
    <row r="172">
      <c r="A172" s="223"/>
      <c r="B172" s="223"/>
      <c r="C172" s="223"/>
      <c r="D172" s="223"/>
      <c r="E172" s="223"/>
      <c r="F172" s="223"/>
      <c r="G172" s="223"/>
      <c r="H172" s="223"/>
      <c r="I172" s="223"/>
      <c r="J172" s="223"/>
      <c r="K172" s="320"/>
      <c r="L172" s="320"/>
      <c r="M172" s="223"/>
      <c r="N172" s="223"/>
      <c r="O172" s="223"/>
      <c r="P172" s="223"/>
      <c r="Q172" s="223"/>
      <c r="R172" s="223"/>
      <c r="S172" s="223"/>
      <c r="T172" s="223"/>
      <c r="U172" s="223"/>
      <c r="V172" s="223"/>
      <c r="W172" s="223"/>
    </row>
    <row r="173">
      <c r="A173" s="223"/>
      <c r="B173" s="223"/>
      <c r="C173" s="223"/>
      <c r="D173" s="223"/>
      <c r="E173" s="223"/>
      <c r="F173" s="223"/>
      <c r="G173" s="223"/>
      <c r="H173" s="223"/>
      <c r="I173" s="223"/>
      <c r="J173" s="223"/>
      <c r="K173" s="320"/>
      <c r="L173" s="320"/>
      <c r="M173" s="223"/>
      <c r="N173" s="223"/>
      <c r="O173" s="223"/>
      <c r="P173" s="223"/>
      <c r="Q173" s="223"/>
      <c r="R173" s="223"/>
      <c r="S173" s="223"/>
      <c r="T173" s="223"/>
      <c r="U173" s="223"/>
      <c r="V173" s="223"/>
      <c r="W173" s="223"/>
    </row>
    <row r="174">
      <c r="A174" s="223"/>
      <c r="B174" s="223"/>
      <c r="C174" s="223"/>
      <c r="D174" s="223"/>
      <c r="E174" s="223"/>
      <c r="F174" s="223"/>
      <c r="G174" s="223"/>
      <c r="H174" s="223"/>
      <c r="I174" s="223"/>
      <c r="J174" s="223"/>
      <c r="K174" s="320"/>
      <c r="L174" s="320"/>
      <c r="M174" s="223"/>
      <c r="N174" s="223"/>
      <c r="O174" s="223"/>
      <c r="P174" s="223"/>
      <c r="Q174" s="223"/>
      <c r="R174" s="223"/>
      <c r="S174" s="223"/>
      <c r="T174" s="223"/>
      <c r="U174" s="223"/>
      <c r="V174" s="223"/>
      <c r="W174" s="223"/>
    </row>
    <row r="175">
      <c r="A175" s="223"/>
      <c r="B175" s="223"/>
      <c r="C175" s="223"/>
      <c r="D175" s="223"/>
      <c r="E175" s="223"/>
      <c r="F175" s="223"/>
      <c r="G175" s="223"/>
      <c r="H175" s="223"/>
      <c r="I175" s="223"/>
      <c r="J175" s="223"/>
      <c r="K175" s="320"/>
      <c r="L175" s="320"/>
      <c r="M175" s="223"/>
      <c r="N175" s="223"/>
      <c r="O175" s="223"/>
      <c r="P175" s="223"/>
      <c r="Q175" s="223"/>
      <c r="R175" s="223"/>
      <c r="S175" s="223"/>
      <c r="T175" s="223"/>
      <c r="U175" s="223"/>
      <c r="V175" s="223"/>
      <c r="W175" s="223"/>
    </row>
    <row r="176">
      <c r="A176" s="223"/>
      <c r="B176" s="223"/>
      <c r="C176" s="223"/>
      <c r="D176" s="223"/>
      <c r="E176" s="223"/>
      <c r="F176" s="223"/>
      <c r="G176" s="223"/>
      <c r="H176" s="223"/>
      <c r="I176" s="223"/>
      <c r="J176" s="223"/>
      <c r="K176" s="320"/>
      <c r="L176" s="320"/>
      <c r="M176" s="223"/>
      <c r="N176" s="223"/>
      <c r="O176" s="223"/>
      <c r="P176" s="223"/>
      <c r="Q176" s="223"/>
      <c r="R176" s="223"/>
      <c r="S176" s="223"/>
      <c r="T176" s="223"/>
      <c r="U176" s="223"/>
      <c r="V176" s="223"/>
      <c r="W176" s="223"/>
    </row>
    <row r="177">
      <c r="A177" s="223"/>
      <c r="B177" s="223"/>
      <c r="C177" s="223"/>
      <c r="D177" s="223"/>
      <c r="E177" s="223"/>
      <c r="F177" s="223"/>
      <c r="G177" s="223"/>
      <c r="H177" s="223"/>
      <c r="I177" s="223"/>
      <c r="J177" s="223"/>
      <c r="K177" s="320"/>
      <c r="L177" s="320"/>
      <c r="M177" s="223"/>
      <c r="N177" s="223"/>
      <c r="O177" s="223"/>
      <c r="P177" s="223"/>
      <c r="Q177" s="223"/>
      <c r="R177" s="223"/>
      <c r="S177" s="223"/>
      <c r="T177" s="223"/>
      <c r="U177" s="223"/>
      <c r="V177" s="223"/>
      <c r="W177" s="223"/>
    </row>
    <row r="178">
      <c r="A178" s="223"/>
      <c r="B178" s="223"/>
      <c r="C178" s="223"/>
      <c r="D178" s="223"/>
      <c r="E178" s="223"/>
      <c r="F178" s="223"/>
      <c r="G178" s="223"/>
      <c r="H178" s="223"/>
      <c r="I178" s="223"/>
      <c r="J178" s="223"/>
      <c r="K178" s="320"/>
      <c r="L178" s="320"/>
      <c r="M178" s="223"/>
      <c r="N178" s="223"/>
      <c r="O178" s="223"/>
      <c r="P178" s="223"/>
      <c r="Q178" s="223"/>
      <c r="R178" s="223"/>
      <c r="S178" s="223"/>
      <c r="T178" s="223"/>
      <c r="U178" s="223"/>
      <c r="V178" s="223"/>
      <c r="W178" s="223"/>
    </row>
    <row r="179">
      <c r="A179" s="223"/>
      <c r="B179" s="223"/>
      <c r="C179" s="223"/>
      <c r="D179" s="223"/>
      <c r="E179" s="223"/>
      <c r="F179" s="223"/>
      <c r="G179" s="223"/>
      <c r="H179" s="223"/>
      <c r="I179" s="223"/>
      <c r="J179" s="223"/>
      <c r="K179" s="320"/>
      <c r="L179" s="320"/>
      <c r="M179" s="223"/>
      <c r="N179" s="223"/>
      <c r="O179" s="223"/>
      <c r="P179" s="223"/>
      <c r="Q179" s="223"/>
      <c r="R179" s="223"/>
      <c r="S179" s="223"/>
      <c r="T179" s="223"/>
      <c r="U179" s="223"/>
      <c r="V179" s="223"/>
      <c r="W179" s="223"/>
    </row>
    <row r="180">
      <c r="A180" s="223"/>
      <c r="B180" s="223"/>
      <c r="C180" s="223"/>
      <c r="D180" s="223"/>
      <c r="E180" s="223"/>
      <c r="F180" s="223"/>
      <c r="G180" s="223"/>
      <c r="H180" s="223"/>
      <c r="I180" s="223"/>
      <c r="J180" s="223"/>
      <c r="K180" s="320"/>
      <c r="L180" s="320"/>
      <c r="M180" s="223"/>
      <c r="N180" s="223"/>
      <c r="O180" s="223"/>
      <c r="P180" s="223"/>
      <c r="Q180" s="223"/>
      <c r="R180" s="223"/>
      <c r="S180" s="223"/>
      <c r="T180" s="223"/>
      <c r="U180" s="223"/>
      <c r="V180" s="223"/>
      <c r="W180" s="223"/>
    </row>
    <row r="181">
      <c r="A181" s="223"/>
      <c r="B181" s="223"/>
      <c r="C181" s="223"/>
      <c r="D181" s="223"/>
      <c r="E181" s="223"/>
      <c r="F181" s="223"/>
      <c r="G181" s="223"/>
      <c r="H181" s="223"/>
      <c r="I181" s="223"/>
      <c r="J181" s="223"/>
      <c r="K181" s="320"/>
      <c r="L181" s="320"/>
      <c r="M181" s="223"/>
      <c r="N181" s="223"/>
      <c r="O181" s="223"/>
      <c r="P181" s="223"/>
      <c r="Q181" s="223"/>
      <c r="R181" s="223"/>
      <c r="S181" s="223"/>
      <c r="T181" s="223"/>
      <c r="U181" s="223"/>
      <c r="V181" s="223"/>
      <c r="W181" s="223"/>
    </row>
    <row r="182">
      <c r="A182" s="223"/>
      <c r="B182" s="223"/>
      <c r="C182" s="223"/>
      <c r="D182" s="223"/>
      <c r="E182" s="223"/>
      <c r="F182" s="223"/>
      <c r="G182" s="223"/>
      <c r="H182" s="223"/>
      <c r="I182" s="223"/>
      <c r="J182" s="223"/>
      <c r="K182" s="320"/>
      <c r="L182" s="320"/>
      <c r="M182" s="223"/>
      <c r="N182" s="223"/>
      <c r="O182" s="223"/>
      <c r="P182" s="223"/>
      <c r="Q182" s="223"/>
      <c r="R182" s="223"/>
      <c r="S182" s="223"/>
      <c r="T182" s="223"/>
      <c r="U182" s="223"/>
      <c r="V182" s="223"/>
      <c r="W182" s="223"/>
    </row>
    <row r="183">
      <c r="A183" s="223"/>
      <c r="B183" s="223"/>
      <c r="C183" s="223"/>
      <c r="D183" s="223"/>
      <c r="E183" s="223"/>
      <c r="F183" s="223"/>
      <c r="G183" s="223"/>
      <c r="H183" s="223"/>
      <c r="I183" s="223"/>
      <c r="J183" s="223"/>
      <c r="K183" s="320"/>
      <c r="L183" s="320"/>
      <c r="M183" s="223"/>
      <c r="N183" s="223"/>
      <c r="O183" s="223"/>
      <c r="P183" s="223"/>
      <c r="Q183" s="223"/>
      <c r="R183" s="223"/>
      <c r="S183" s="223"/>
      <c r="T183" s="223"/>
      <c r="U183" s="223"/>
      <c r="V183" s="223"/>
      <c r="W183" s="223"/>
    </row>
    <row r="184">
      <c r="A184" s="223"/>
      <c r="B184" s="223"/>
      <c r="C184" s="223"/>
      <c r="D184" s="223"/>
      <c r="E184" s="223"/>
      <c r="F184" s="223"/>
      <c r="G184" s="223"/>
      <c r="H184" s="223"/>
      <c r="I184" s="223"/>
      <c r="J184" s="223"/>
      <c r="K184" s="320"/>
      <c r="L184" s="320"/>
      <c r="M184" s="223"/>
      <c r="N184" s="223"/>
      <c r="O184" s="223"/>
      <c r="P184" s="223"/>
      <c r="Q184" s="223"/>
      <c r="R184" s="223"/>
      <c r="S184" s="223"/>
      <c r="T184" s="223"/>
      <c r="U184" s="223"/>
      <c r="V184" s="223"/>
      <c r="W184" s="223"/>
    </row>
    <row r="185">
      <c r="A185" s="223"/>
      <c r="B185" s="223"/>
      <c r="C185" s="223"/>
      <c r="D185" s="223"/>
      <c r="E185" s="223"/>
      <c r="F185" s="223"/>
      <c r="G185" s="223"/>
      <c r="H185" s="223"/>
      <c r="I185" s="223"/>
      <c r="J185" s="223"/>
      <c r="K185" s="320"/>
      <c r="L185" s="320"/>
      <c r="M185" s="223"/>
      <c r="N185" s="223"/>
      <c r="O185" s="223"/>
      <c r="P185" s="223"/>
      <c r="Q185" s="223"/>
      <c r="R185" s="223"/>
      <c r="S185" s="223"/>
      <c r="T185" s="223"/>
      <c r="U185" s="223"/>
      <c r="V185" s="223"/>
      <c r="W185" s="223"/>
    </row>
    <row r="186">
      <c r="A186" s="223"/>
      <c r="B186" s="223"/>
      <c r="C186" s="223"/>
      <c r="D186" s="223"/>
      <c r="E186" s="223"/>
      <c r="F186" s="223"/>
      <c r="G186" s="223"/>
      <c r="H186" s="223"/>
      <c r="I186" s="223"/>
      <c r="J186" s="223"/>
      <c r="K186" s="320"/>
      <c r="L186" s="320"/>
      <c r="M186" s="223"/>
      <c r="N186" s="223"/>
      <c r="O186" s="223"/>
      <c r="P186" s="223"/>
      <c r="Q186" s="223"/>
      <c r="R186" s="223"/>
      <c r="S186" s="223"/>
      <c r="T186" s="223"/>
      <c r="U186" s="223"/>
      <c r="V186" s="223"/>
      <c r="W186" s="223"/>
    </row>
    <row r="187">
      <c r="A187" s="223"/>
      <c r="B187" s="223"/>
      <c r="C187" s="223"/>
      <c r="D187" s="223"/>
      <c r="E187" s="223"/>
      <c r="F187" s="223"/>
      <c r="G187" s="223"/>
      <c r="H187" s="223"/>
      <c r="I187" s="223"/>
      <c r="J187" s="223"/>
      <c r="K187" s="320"/>
      <c r="L187" s="320"/>
      <c r="M187" s="223"/>
      <c r="N187" s="223"/>
      <c r="O187" s="223"/>
      <c r="P187" s="223"/>
      <c r="Q187" s="223"/>
      <c r="R187" s="223"/>
      <c r="S187" s="223"/>
      <c r="T187" s="223"/>
      <c r="U187" s="223"/>
      <c r="V187" s="223"/>
      <c r="W187" s="223"/>
    </row>
    <row r="188">
      <c r="A188" s="223"/>
      <c r="B188" s="223"/>
      <c r="C188" s="223"/>
      <c r="D188" s="223"/>
      <c r="E188" s="223"/>
      <c r="F188" s="223"/>
      <c r="G188" s="223"/>
      <c r="H188" s="223"/>
      <c r="I188" s="223"/>
      <c r="J188" s="223"/>
      <c r="K188" s="320"/>
      <c r="L188" s="320"/>
      <c r="M188" s="223"/>
      <c r="N188" s="223"/>
      <c r="O188" s="223"/>
      <c r="P188" s="223"/>
      <c r="Q188" s="223"/>
      <c r="R188" s="223"/>
      <c r="S188" s="223"/>
      <c r="T188" s="223"/>
      <c r="U188" s="223"/>
      <c r="V188" s="223"/>
      <c r="W188" s="223"/>
    </row>
    <row r="189">
      <c r="A189" s="223"/>
      <c r="B189" s="223"/>
      <c r="C189" s="223"/>
      <c r="D189" s="223"/>
      <c r="E189" s="223"/>
      <c r="F189" s="223"/>
      <c r="G189" s="223"/>
      <c r="H189" s="223"/>
      <c r="I189" s="223"/>
      <c r="J189" s="223"/>
      <c r="K189" s="320"/>
      <c r="L189" s="320"/>
      <c r="M189" s="223"/>
      <c r="N189" s="223"/>
      <c r="O189" s="223"/>
      <c r="P189" s="223"/>
      <c r="Q189" s="223"/>
      <c r="R189" s="223"/>
      <c r="S189" s="223"/>
      <c r="T189" s="223"/>
      <c r="U189" s="223"/>
      <c r="V189" s="223"/>
      <c r="W189" s="223"/>
    </row>
    <row r="190">
      <c r="A190" s="223"/>
      <c r="B190" s="223"/>
      <c r="C190" s="223"/>
      <c r="D190" s="223"/>
      <c r="E190" s="223"/>
      <c r="F190" s="223"/>
      <c r="G190" s="223"/>
      <c r="H190" s="223"/>
      <c r="I190" s="223"/>
      <c r="J190" s="223"/>
      <c r="K190" s="320"/>
      <c r="L190" s="320"/>
      <c r="M190" s="223"/>
      <c r="N190" s="223"/>
      <c r="O190" s="223"/>
      <c r="P190" s="223"/>
      <c r="Q190" s="223"/>
      <c r="R190" s="223"/>
      <c r="S190" s="223"/>
      <c r="T190" s="223"/>
      <c r="U190" s="223"/>
      <c r="V190" s="223"/>
      <c r="W190" s="223"/>
    </row>
    <row r="191">
      <c r="A191" s="223"/>
      <c r="B191" s="223"/>
      <c r="C191" s="223"/>
      <c r="D191" s="223"/>
      <c r="E191" s="223"/>
      <c r="F191" s="223"/>
      <c r="G191" s="223"/>
      <c r="H191" s="223"/>
      <c r="I191" s="223"/>
      <c r="J191" s="223"/>
      <c r="K191" s="320"/>
      <c r="L191" s="320"/>
      <c r="M191" s="223"/>
      <c r="N191" s="223"/>
      <c r="O191" s="223"/>
      <c r="P191" s="223"/>
      <c r="Q191" s="223"/>
      <c r="R191" s="223"/>
      <c r="S191" s="223"/>
      <c r="T191" s="223"/>
      <c r="U191" s="223"/>
      <c r="V191" s="223"/>
      <c r="W191" s="223"/>
    </row>
    <row r="192">
      <c r="A192" s="223"/>
      <c r="B192" s="223"/>
      <c r="C192" s="223"/>
      <c r="D192" s="223"/>
      <c r="E192" s="223"/>
      <c r="F192" s="223"/>
      <c r="G192" s="223"/>
      <c r="H192" s="223"/>
      <c r="I192" s="223"/>
      <c r="J192" s="223"/>
      <c r="K192" s="320"/>
      <c r="L192" s="320"/>
      <c r="M192" s="223"/>
      <c r="N192" s="223"/>
      <c r="O192" s="223"/>
      <c r="P192" s="223"/>
      <c r="Q192" s="223"/>
      <c r="R192" s="223"/>
      <c r="S192" s="223"/>
      <c r="T192" s="223"/>
      <c r="U192" s="223"/>
      <c r="V192" s="223"/>
      <c r="W192" s="223"/>
    </row>
    <row r="193">
      <c r="A193" s="223"/>
      <c r="B193" s="223"/>
      <c r="C193" s="223"/>
      <c r="D193" s="223"/>
      <c r="E193" s="223"/>
      <c r="F193" s="223"/>
      <c r="G193" s="223"/>
      <c r="H193" s="223"/>
      <c r="I193" s="223"/>
      <c r="J193" s="223"/>
      <c r="K193" s="320"/>
      <c r="L193" s="320"/>
      <c r="M193" s="223"/>
      <c r="N193" s="223"/>
      <c r="O193" s="223"/>
      <c r="P193" s="223"/>
      <c r="Q193" s="223"/>
      <c r="R193" s="223"/>
      <c r="S193" s="223"/>
      <c r="T193" s="223"/>
      <c r="U193" s="223"/>
      <c r="V193" s="223"/>
      <c r="W193" s="223"/>
    </row>
    <row r="194">
      <c r="A194" s="223"/>
      <c r="B194" s="223"/>
      <c r="C194" s="223"/>
      <c r="D194" s="223"/>
      <c r="E194" s="223"/>
      <c r="F194" s="223"/>
      <c r="G194" s="223"/>
      <c r="H194" s="223"/>
      <c r="I194" s="223"/>
      <c r="J194" s="223"/>
      <c r="K194" s="320"/>
      <c r="L194" s="320"/>
      <c r="M194" s="223"/>
      <c r="N194" s="223"/>
      <c r="O194" s="223"/>
      <c r="P194" s="223"/>
      <c r="Q194" s="223"/>
      <c r="R194" s="223"/>
      <c r="S194" s="223"/>
      <c r="T194" s="223"/>
      <c r="U194" s="223"/>
      <c r="V194" s="223"/>
      <c r="W194" s="223"/>
    </row>
    <row r="195">
      <c r="A195" s="223"/>
      <c r="B195" s="223"/>
      <c r="C195" s="223"/>
      <c r="D195" s="223"/>
      <c r="E195" s="223"/>
      <c r="F195" s="223"/>
      <c r="G195" s="223"/>
      <c r="H195" s="223"/>
      <c r="I195" s="223"/>
      <c r="J195" s="223"/>
      <c r="K195" s="320"/>
      <c r="L195" s="320"/>
      <c r="M195" s="223"/>
      <c r="N195" s="223"/>
      <c r="O195" s="223"/>
      <c r="P195" s="223"/>
      <c r="Q195" s="223"/>
      <c r="R195" s="223"/>
      <c r="S195" s="223"/>
      <c r="T195" s="223"/>
      <c r="U195" s="223"/>
      <c r="V195" s="223"/>
      <c r="W195" s="223"/>
    </row>
    <row r="196">
      <c r="A196" s="223"/>
      <c r="B196" s="223"/>
      <c r="C196" s="223"/>
      <c r="D196" s="223"/>
      <c r="E196" s="223"/>
      <c r="F196" s="223"/>
      <c r="G196" s="223"/>
      <c r="H196" s="223"/>
      <c r="I196" s="223"/>
      <c r="J196" s="223"/>
      <c r="K196" s="320"/>
      <c r="L196" s="320"/>
      <c r="M196" s="223"/>
      <c r="N196" s="223"/>
      <c r="O196" s="223"/>
      <c r="P196" s="223"/>
      <c r="Q196" s="223"/>
      <c r="R196" s="223"/>
      <c r="S196" s="223"/>
      <c r="T196" s="223"/>
      <c r="U196" s="223"/>
      <c r="V196" s="223"/>
      <c r="W196" s="223"/>
    </row>
    <row r="197">
      <c r="A197" s="223"/>
      <c r="B197" s="223"/>
      <c r="C197" s="223"/>
      <c r="D197" s="223"/>
      <c r="E197" s="223"/>
      <c r="F197" s="223"/>
      <c r="G197" s="223"/>
      <c r="H197" s="223"/>
      <c r="I197" s="223"/>
      <c r="J197" s="223"/>
      <c r="K197" s="320"/>
      <c r="L197" s="320"/>
      <c r="M197" s="223"/>
      <c r="N197" s="223"/>
      <c r="O197" s="223"/>
      <c r="P197" s="223"/>
      <c r="Q197" s="223"/>
      <c r="R197" s="223"/>
      <c r="S197" s="223"/>
      <c r="T197" s="223"/>
      <c r="U197" s="223"/>
      <c r="V197" s="223"/>
      <c r="W197" s="223"/>
    </row>
    <row r="198">
      <c r="A198" s="223"/>
      <c r="B198" s="223"/>
      <c r="C198" s="223"/>
      <c r="D198" s="223"/>
      <c r="E198" s="223"/>
      <c r="F198" s="223"/>
      <c r="G198" s="223"/>
      <c r="H198" s="223"/>
      <c r="I198" s="223"/>
      <c r="J198" s="223"/>
      <c r="K198" s="320"/>
      <c r="L198" s="320"/>
      <c r="M198" s="223"/>
      <c r="N198" s="223"/>
      <c r="O198" s="223"/>
      <c r="P198" s="223"/>
      <c r="Q198" s="223"/>
      <c r="R198" s="223"/>
      <c r="S198" s="223"/>
      <c r="T198" s="223"/>
      <c r="U198" s="223"/>
      <c r="V198" s="223"/>
      <c r="W198" s="223"/>
    </row>
    <row r="199">
      <c r="A199" s="223"/>
      <c r="B199" s="223"/>
      <c r="C199" s="223"/>
      <c r="D199" s="223"/>
      <c r="E199" s="223"/>
      <c r="F199" s="223"/>
      <c r="G199" s="223"/>
      <c r="H199" s="223"/>
      <c r="I199" s="223"/>
      <c r="J199" s="223"/>
      <c r="K199" s="320"/>
      <c r="L199" s="320"/>
      <c r="M199" s="223"/>
      <c r="N199" s="223"/>
      <c r="O199" s="223"/>
      <c r="P199" s="223"/>
      <c r="Q199" s="223"/>
      <c r="R199" s="223"/>
      <c r="S199" s="223"/>
      <c r="T199" s="223"/>
      <c r="U199" s="223"/>
      <c r="V199" s="223"/>
      <c r="W199" s="223"/>
    </row>
    <row r="200">
      <c r="A200" s="223"/>
      <c r="B200" s="223"/>
      <c r="C200" s="223"/>
      <c r="D200" s="223"/>
      <c r="E200" s="223"/>
      <c r="F200" s="223"/>
      <c r="G200" s="223"/>
      <c r="H200" s="223"/>
      <c r="I200" s="223"/>
      <c r="J200" s="223"/>
      <c r="K200" s="320"/>
      <c r="L200" s="320"/>
      <c r="M200" s="223"/>
      <c r="N200" s="223"/>
      <c r="O200" s="223"/>
      <c r="P200" s="223"/>
      <c r="Q200" s="223"/>
      <c r="R200" s="223"/>
      <c r="S200" s="223"/>
      <c r="T200" s="223"/>
      <c r="U200" s="223"/>
      <c r="V200" s="223"/>
      <c r="W200" s="223"/>
    </row>
    <row r="201">
      <c r="A201" s="223"/>
      <c r="B201" s="223"/>
      <c r="C201" s="223"/>
      <c r="D201" s="223"/>
      <c r="E201" s="223"/>
      <c r="F201" s="223"/>
      <c r="G201" s="223"/>
      <c r="H201" s="223"/>
      <c r="I201" s="223"/>
      <c r="J201" s="223"/>
      <c r="K201" s="320"/>
      <c r="L201" s="320"/>
      <c r="M201" s="223"/>
      <c r="N201" s="223"/>
      <c r="O201" s="223"/>
      <c r="P201" s="223"/>
      <c r="Q201" s="223"/>
      <c r="R201" s="223"/>
      <c r="S201" s="223"/>
      <c r="T201" s="223"/>
      <c r="U201" s="223"/>
      <c r="V201" s="223"/>
      <c r="W201" s="223"/>
    </row>
    <row r="202">
      <c r="A202" s="223"/>
      <c r="B202" s="223"/>
      <c r="C202" s="223"/>
      <c r="D202" s="223"/>
      <c r="E202" s="223"/>
      <c r="F202" s="223"/>
      <c r="G202" s="223"/>
      <c r="H202" s="223"/>
      <c r="I202" s="223"/>
      <c r="J202" s="223"/>
      <c r="K202" s="320"/>
      <c r="L202" s="320"/>
      <c r="M202" s="223"/>
      <c r="N202" s="223"/>
      <c r="O202" s="223"/>
      <c r="P202" s="223"/>
      <c r="Q202" s="223"/>
      <c r="R202" s="223"/>
      <c r="S202" s="223"/>
      <c r="T202" s="223"/>
      <c r="U202" s="223"/>
      <c r="V202" s="223"/>
      <c r="W202" s="223"/>
    </row>
    <row r="203">
      <c r="A203" s="223"/>
      <c r="B203" s="223"/>
      <c r="C203" s="223"/>
      <c r="D203" s="223"/>
      <c r="E203" s="223"/>
      <c r="F203" s="223"/>
      <c r="G203" s="223"/>
      <c r="H203" s="223"/>
      <c r="I203" s="223"/>
      <c r="J203" s="223"/>
      <c r="K203" s="320"/>
      <c r="L203" s="320"/>
      <c r="M203" s="223"/>
      <c r="N203" s="223"/>
      <c r="O203" s="223"/>
      <c r="P203" s="223"/>
      <c r="Q203" s="223"/>
      <c r="R203" s="223"/>
      <c r="S203" s="223"/>
      <c r="T203" s="223"/>
      <c r="U203" s="223"/>
      <c r="V203" s="223"/>
      <c r="W203" s="223"/>
    </row>
    <row r="204">
      <c r="A204" s="223"/>
      <c r="B204" s="223"/>
      <c r="C204" s="223"/>
      <c r="D204" s="223"/>
      <c r="E204" s="223"/>
      <c r="F204" s="223"/>
      <c r="G204" s="223"/>
      <c r="H204" s="223"/>
      <c r="I204" s="223"/>
      <c r="J204" s="223"/>
      <c r="K204" s="320"/>
      <c r="L204" s="320"/>
      <c r="M204" s="223"/>
      <c r="N204" s="223"/>
      <c r="O204" s="223"/>
      <c r="P204" s="223"/>
      <c r="Q204" s="223"/>
      <c r="R204" s="223"/>
      <c r="S204" s="223"/>
      <c r="T204" s="223"/>
      <c r="U204" s="223"/>
      <c r="V204" s="223"/>
      <c r="W204" s="223"/>
    </row>
    <row r="205">
      <c r="A205" s="223"/>
      <c r="B205" s="223"/>
      <c r="C205" s="223"/>
      <c r="D205" s="223"/>
      <c r="E205" s="223"/>
      <c r="F205" s="223"/>
      <c r="G205" s="223"/>
      <c r="H205" s="223"/>
      <c r="I205" s="223"/>
      <c r="J205" s="223"/>
      <c r="K205" s="320"/>
      <c r="L205" s="320"/>
      <c r="M205" s="223"/>
      <c r="N205" s="223"/>
      <c r="O205" s="223"/>
      <c r="P205" s="223"/>
      <c r="Q205" s="223"/>
      <c r="R205" s="223"/>
      <c r="S205" s="223"/>
      <c r="T205" s="223"/>
      <c r="U205" s="223"/>
      <c r="V205" s="223"/>
      <c r="W205" s="223"/>
    </row>
    <row r="206">
      <c r="A206" s="223"/>
      <c r="B206" s="223"/>
      <c r="C206" s="223"/>
      <c r="D206" s="223"/>
      <c r="E206" s="223"/>
      <c r="F206" s="223"/>
      <c r="G206" s="223"/>
      <c r="H206" s="223"/>
      <c r="I206" s="223"/>
      <c r="J206" s="223"/>
      <c r="K206" s="320"/>
      <c r="L206" s="320"/>
      <c r="M206" s="223"/>
      <c r="N206" s="223"/>
      <c r="O206" s="223"/>
      <c r="P206" s="223"/>
      <c r="Q206" s="223"/>
      <c r="R206" s="223"/>
      <c r="S206" s="223"/>
      <c r="T206" s="223"/>
      <c r="U206" s="223"/>
      <c r="V206" s="223"/>
      <c r="W206" s="223"/>
    </row>
    <row r="207">
      <c r="A207" s="223"/>
      <c r="B207" s="223"/>
      <c r="C207" s="223"/>
      <c r="D207" s="223"/>
      <c r="E207" s="223"/>
      <c r="F207" s="223"/>
      <c r="G207" s="223"/>
      <c r="H207" s="223"/>
      <c r="I207" s="223"/>
      <c r="J207" s="223"/>
      <c r="K207" s="320"/>
      <c r="L207" s="320"/>
      <c r="M207" s="223"/>
      <c r="N207" s="223"/>
      <c r="O207" s="223"/>
      <c r="P207" s="223"/>
      <c r="Q207" s="223"/>
      <c r="R207" s="223"/>
      <c r="S207" s="223"/>
      <c r="T207" s="223"/>
      <c r="U207" s="223"/>
      <c r="V207" s="223"/>
      <c r="W207" s="223"/>
    </row>
    <row r="208">
      <c r="A208" s="223"/>
      <c r="B208" s="223"/>
      <c r="C208" s="223"/>
      <c r="D208" s="223"/>
      <c r="E208" s="223"/>
      <c r="F208" s="223"/>
      <c r="G208" s="223"/>
      <c r="H208" s="223"/>
      <c r="I208" s="223"/>
      <c r="J208" s="223"/>
      <c r="K208" s="320"/>
      <c r="L208" s="320"/>
      <c r="M208" s="223"/>
      <c r="N208" s="223"/>
      <c r="O208" s="223"/>
      <c r="P208" s="223"/>
      <c r="Q208" s="223"/>
      <c r="R208" s="223"/>
      <c r="S208" s="223"/>
      <c r="T208" s="223"/>
      <c r="U208" s="223"/>
      <c r="V208" s="223"/>
      <c r="W208" s="223"/>
    </row>
    <row r="209">
      <c r="A209" s="223"/>
      <c r="B209" s="223"/>
      <c r="C209" s="223"/>
      <c r="D209" s="223"/>
      <c r="E209" s="223"/>
      <c r="F209" s="223"/>
      <c r="G209" s="223"/>
      <c r="H209" s="223"/>
      <c r="I209" s="223"/>
      <c r="J209" s="223"/>
      <c r="K209" s="320"/>
      <c r="L209" s="320"/>
      <c r="M209" s="223"/>
      <c r="N209" s="223"/>
      <c r="O209" s="223"/>
      <c r="P209" s="223"/>
      <c r="Q209" s="223"/>
      <c r="R209" s="223"/>
      <c r="S209" s="223"/>
      <c r="T209" s="223"/>
      <c r="U209" s="223"/>
      <c r="V209" s="223"/>
      <c r="W209" s="223"/>
    </row>
    <row r="210">
      <c r="A210" s="223"/>
      <c r="B210" s="223"/>
      <c r="C210" s="223"/>
      <c r="D210" s="223"/>
      <c r="E210" s="223"/>
      <c r="F210" s="223"/>
      <c r="G210" s="223"/>
      <c r="H210" s="223"/>
      <c r="I210" s="223"/>
      <c r="J210" s="223"/>
      <c r="K210" s="320"/>
      <c r="L210" s="320"/>
      <c r="M210" s="223"/>
      <c r="N210" s="223"/>
      <c r="O210" s="223"/>
      <c r="P210" s="223"/>
      <c r="Q210" s="223"/>
      <c r="R210" s="223"/>
      <c r="S210" s="223"/>
      <c r="T210" s="223"/>
      <c r="U210" s="223"/>
      <c r="V210" s="223"/>
      <c r="W210" s="223"/>
    </row>
    <row r="211">
      <c r="A211" s="223"/>
      <c r="B211" s="223"/>
      <c r="C211" s="223"/>
      <c r="D211" s="223"/>
      <c r="E211" s="223"/>
      <c r="F211" s="223"/>
      <c r="G211" s="223"/>
      <c r="H211" s="223"/>
      <c r="I211" s="223"/>
      <c r="J211" s="223"/>
      <c r="K211" s="320"/>
      <c r="L211" s="320"/>
      <c r="M211" s="223"/>
      <c r="N211" s="223"/>
      <c r="O211" s="223"/>
      <c r="P211" s="223"/>
      <c r="Q211" s="223"/>
      <c r="R211" s="223"/>
      <c r="S211" s="223"/>
      <c r="T211" s="223"/>
      <c r="U211" s="223"/>
      <c r="V211" s="223"/>
      <c r="W211" s="223"/>
    </row>
    <row r="212">
      <c r="A212" s="223"/>
      <c r="B212" s="223"/>
      <c r="C212" s="223"/>
      <c r="D212" s="223"/>
      <c r="E212" s="223"/>
      <c r="F212" s="223"/>
      <c r="G212" s="223"/>
      <c r="H212" s="223"/>
      <c r="I212" s="223"/>
      <c r="J212" s="223"/>
      <c r="K212" s="320"/>
      <c r="L212" s="320"/>
      <c r="M212" s="223"/>
      <c r="N212" s="223"/>
      <c r="O212" s="223"/>
      <c r="P212" s="223"/>
      <c r="Q212" s="223"/>
      <c r="R212" s="223"/>
      <c r="S212" s="223"/>
      <c r="T212" s="223"/>
      <c r="U212" s="223"/>
      <c r="V212" s="223"/>
      <c r="W212" s="223"/>
    </row>
    <row r="213">
      <c r="A213" s="223"/>
      <c r="B213" s="223"/>
      <c r="C213" s="223"/>
      <c r="D213" s="223"/>
      <c r="E213" s="223"/>
      <c r="F213" s="223"/>
      <c r="G213" s="223"/>
      <c r="H213" s="223"/>
      <c r="I213" s="223"/>
      <c r="J213" s="223"/>
      <c r="K213" s="320"/>
      <c r="L213" s="320"/>
      <c r="M213" s="223"/>
      <c r="N213" s="223"/>
      <c r="O213" s="223"/>
      <c r="P213" s="223"/>
      <c r="Q213" s="223"/>
      <c r="R213" s="223"/>
      <c r="S213" s="223"/>
      <c r="T213" s="223"/>
      <c r="U213" s="223"/>
      <c r="V213" s="223"/>
      <c r="W213" s="223"/>
    </row>
    <row r="214">
      <c r="A214" s="223"/>
      <c r="B214" s="223"/>
      <c r="C214" s="223"/>
      <c r="D214" s="223"/>
      <c r="E214" s="223"/>
      <c r="F214" s="223"/>
      <c r="G214" s="223"/>
      <c r="H214" s="223"/>
      <c r="I214" s="223"/>
      <c r="J214" s="223"/>
      <c r="K214" s="320"/>
      <c r="L214" s="320"/>
      <c r="M214" s="223"/>
      <c r="N214" s="223"/>
      <c r="O214" s="223"/>
      <c r="P214" s="223"/>
      <c r="Q214" s="223"/>
      <c r="R214" s="223"/>
      <c r="S214" s="223"/>
      <c r="T214" s="223"/>
      <c r="U214" s="223"/>
      <c r="V214" s="223"/>
      <c r="W214" s="223"/>
    </row>
    <row r="215">
      <c r="A215" s="223"/>
      <c r="B215" s="223"/>
      <c r="C215" s="223"/>
      <c r="D215" s="223"/>
      <c r="E215" s="223"/>
      <c r="F215" s="223"/>
      <c r="G215" s="223"/>
      <c r="H215" s="223"/>
      <c r="I215" s="223"/>
      <c r="J215" s="223"/>
      <c r="K215" s="320"/>
      <c r="L215" s="320"/>
      <c r="M215" s="223"/>
      <c r="N215" s="223"/>
      <c r="O215" s="223"/>
      <c r="P215" s="223"/>
      <c r="Q215" s="223"/>
      <c r="R215" s="223"/>
      <c r="S215" s="223"/>
      <c r="T215" s="223"/>
      <c r="U215" s="223"/>
      <c r="V215" s="223"/>
      <c r="W215" s="223"/>
    </row>
    <row r="216">
      <c r="A216" s="223"/>
      <c r="B216" s="223"/>
      <c r="C216" s="223"/>
      <c r="D216" s="223"/>
      <c r="E216" s="223"/>
      <c r="F216" s="223"/>
      <c r="G216" s="223"/>
      <c r="H216" s="223"/>
      <c r="I216" s="223"/>
      <c r="J216" s="223"/>
      <c r="K216" s="320"/>
      <c r="L216" s="320"/>
      <c r="M216" s="223"/>
      <c r="N216" s="223"/>
      <c r="O216" s="223"/>
      <c r="P216" s="223"/>
      <c r="Q216" s="223"/>
      <c r="R216" s="223"/>
      <c r="S216" s="223"/>
      <c r="T216" s="223"/>
      <c r="U216" s="223"/>
      <c r="V216" s="223"/>
      <c r="W216" s="223"/>
    </row>
    <row r="217">
      <c r="A217" s="223"/>
      <c r="B217" s="223"/>
      <c r="C217" s="223"/>
      <c r="D217" s="223"/>
      <c r="E217" s="223"/>
      <c r="F217" s="223"/>
      <c r="G217" s="223"/>
      <c r="H217" s="223"/>
      <c r="I217" s="223"/>
      <c r="J217" s="223"/>
      <c r="K217" s="320"/>
      <c r="L217" s="320"/>
      <c r="M217" s="223"/>
      <c r="N217" s="223"/>
      <c r="O217" s="223"/>
      <c r="P217" s="223"/>
      <c r="Q217" s="223"/>
      <c r="R217" s="223"/>
      <c r="S217" s="223"/>
      <c r="T217" s="223"/>
      <c r="U217" s="223"/>
      <c r="V217" s="223"/>
      <c r="W217" s="223"/>
    </row>
    <row r="218">
      <c r="A218" s="223"/>
      <c r="B218" s="223"/>
      <c r="C218" s="223"/>
      <c r="D218" s="223"/>
      <c r="E218" s="223"/>
      <c r="F218" s="223"/>
      <c r="G218" s="223"/>
      <c r="H218" s="223"/>
      <c r="I218" s="223"/>
      <c r="J218" s="223"/>
      <c r="K218" s="320"/>
      <c r="L218" s="320"/>
      <c r="M218" s="223"/>
      <c r="N218" s="223"/>
      <c r="O218" s="223"/>
      <c r="P218" s="223"/>
      <c r="Q218" s="223"/>
      <c r="R218" s="223"/>
      <c r="S218" s="223"/>
      <c r="T218" s="223"/>
      <c r="U218" s="223"/>
      <c r="V218" s="223"/>
      <c r="W218" s="223"/>
    </row>
    <row r="219">
      <c r="A219" s="223"/>
      <c r="B219" s="223"/>
      <c r="C219" s="223"/>
      <c r="D219" s="223"/>
      <c r="E219" s="223"/>
      <c r="F219" s="223"/>
      <c r="G219" s="223"/>
      <c r="H219" s="223"/>
      <c r="I219" s="223"/>
      <c r="J219" s="223"/>
      <c r="K219" s="320"/>
      <c r="L219" s="320"/>
      <c r="M219" s="223"/>
      <c r="N219" s="223"/>
      <c r="O219" s="223"/>
      <c r="P219" s="223"/>
      <c r="Q219" s="223"/>
      <c r="R219" s="223"/>
      <c r="S219" s="223"/>
      <c r="T219" s="223"/>
      <c r="U219" s="223"/>
      <c r="V219" s="223"/>
      <c r="W219" s="223"/>
    </row>
    <row r="220">
      <c r="A220" s="223"/>
      <c r="B220" s="223"/>
      <c r="C220" s="223"/>
      <c r="D220" s="223"/>
      <c r="E220" s="223"/>
      <c r="F220" s="223"/>
      <c r="G220" s="223"/>
      <c r="H220" s="223"/>
      <c r="I220" s="223"/>
      <c r="J220" s="223"/>
      <c r="K220" s="320"/>
      <c r="L220" s="320"/>
      <c r="M220" s="223"/>
      <c r="N220" s="223"/>
      <c r="O220" s="223"/>
      <c r="P220" s="223"/>
      <c r="Q220" s="223"/>
      <c r="R220" s="223"/>
      <c r="S220" s="223"/>
      <c r="T220" s="223"/>
      <c r="U220" s="223"/>
      <c r="V220" s="223"/>
      <c r="W220" s="223"/>
    </row>
    <row r="221">
      <c r="A221" s="223"/>
      <c r="B221" s="223"/>
      <c r="C221" s="223"/>
      <c r="D221" s="223"/>
      <c r="E221" s="223"/>
      <c r="F221" s="223"/>
      <c r="G221" s="223"/>
      <c r="H221" s="223"/>
      <c r="I221" s="223"/>
      <c r="J221" s="223"/>
      <c r="K221" s="320"/>
      <c r="L221" s="320"/>
      <c r="M221" s="223"/>
      <c r="N221" s="223"/>
      <c r="O221" s="223"/>
      <c r="P221" s="223"/>
      <c r="Q221" s="223"/>
      <c r="R221" s="223"/>
      <c r="S221" s="223"/>
      <c r="T221" s="223"/>
      <c r="U221" s="223"/>
      <c r="V221" s="223"/>
      <c r="W221" s="223"/>
    </row>
    <row r="222">
      <c r="A222" s="223"/>
      <c r="B222" s="223"/>
      <c r="C222" s="223"/>
      <c r="D222" s="223"/>
      <c r="E222" s="223"/>
      <c r="F222" s="223"/>
      <c r="G222" s="223"/>
      <c r="H222" s="223"/>
      <c r="I222" s="223"/>
      <c r="J222" s="223"/>
      <c r="K222" s="320"/>
      <c r="L222" s="320"/>
      <c r="M222" s="223"/>
      <c r="N222" s="223"/>
      <c r="O222" s="223"/>
      <c r="P222" s="223"/>
      <c r="Q222" s="223"/>
      <c r="R222" s="223"/>
      <c r="S222" s="223"/>
      <c r="T222" s="223"/>
      <c r="U222" s="223"/>
      <c r="V222" s="223"/>
      <c r="W222" s="223"/>
    </row>
    <row r="223">
      <c r="A223" s="223"/>
      <c r="B223" s="223"/>
      <c r="C223" s="223"/>
      <c r="D223" s="223"/>
      <c r="E223" s="223"/>
      <c r="F223" s="223"/>
      <c r="G223" s="223"/>
      <c r="H223" s="223"/>
      <c r="I223" s="223"/>
      <c r="J223" s="223"/>
      <c r="K223" s="320"/>
      <c r="L223" s="320"/>
      <c r="M223" s="223"/>
      <c r="N223" s="223"/>
      <c r="O223" s="223"/>
      <c r="P223" s="223"/>
      <c r="Q223" s="223"/>
      <c r="R223" s="223"/>
      <c r="S223" s="223"/>
      <c r="T223" s="223"/>
      <c r="U223" s="223"/>
      <c r="V223" s="223"/>
      <c r="W223" s="223"/>
    </row>
    <row r="224">
      <c r="A224" s="223"/>
      <c r="B224" s="223"/>
      <c r="C224" s="223"/>
      <c r="D224" s="223"/>
      <c r="E224" s="223"/>
      <c r="F224" s="223"/>
      <c r="G224" s="223"/>
      <c r="H224" s="223"/>
      <c r="I224" s="223"/>
      <c r="J224" s="223"/>
      <c r="K224" s="320"/>
      <c r="L224" s="320"/>
      <c r="M224" s="223"/>
      <c r="N224" s="223"/>
      <c r="O224" s="223"/>
      <c r="P224" s="223"/>
      <c r="Q224" s="223"/>
      <c r="R224" s="223"/>
      <c r="S224" s="223"/>
      <c r="T224" s="223"/>
      <c r="U224" s="223"/>
      <c r="V224" s="223"/>
      <c r="W224" s="223"/>
    </row>
    <row r="225">
      <c r="A225" s="223"/>
      <c r="B225" s="223"/>
      <c r="C225" s="223"/>
      <c r="D225" s="223"/>
      <c r="E225" s="223"/>
      <c r="F225" s="223"/>
      <c r="G225" s="223"/>
      <c r="H225" s="223"/>
      <c r="I225" s="223"/>
      <c r="J225" s="223"/>
      <c r="K225" s="320"/>
      <c r="L225" s="320"/>
      <c r="M225" s="223"/>
      <c r="N225" s="223"/>
      <c r="O225" s="223"/>
      <c r="P225" s="223"/>
      <c r="Q225" s="223"/>
      <c r="R225" s="223"/>
      <c r="S225" s="223"/>
      <c r="T225" s="223"/>
      <c r="U225" s="223"/>
      <c r="V225" s="223"/>
      <c r="W225" s="223"/>
    </row>
    <row r="226">
      <c r="A226" s="223"/>
      <c r="B226" s="223"/>
      <c r="C226" s="223"/>
      <c r="D226" s="223"/>
      <c r="E226" s="223"/>
      <c r="F226" s="223"/>
      <c r="G226" s="223"/>
      <c r="H226" s="223"/>
      <c r="I226" s="223"/>
      <c r="J226" s="223"/>
      <c r="K226" s="320"/>
      <c r="L226" s="320"/>
      <c r="M226" s="223"/>
      <c r="N226" s="223"/>
      <c r="O226" s="223"/>
      <c r="P226" s="223"/>
      <c r="Q226" s="223"/>
      <c r="R226" s="223"/>
      <c r="S226" s="223"/>
      <c r="T226" s="223"/>
      <c r="U226" s="223"/>
      <c r="V226" s="223"/>
      <c r="W226" s="223"/>
    </row>
    <row r="227">
      <c r="A227" s="223"/>
      <c r="B227" s="223"/>
      <c r="C227" s="223"/>
      <c r="D227" s="223"/>
      <c r="E227" s="223"/>
      <c r="F227" s="223"/>
      <c r="G227" s="223"/>
      <c r="H227" s="223"/>
      <c r="I227" s="223"/>
      <c r="J227" s="223"/>
      <c r="K227" s="320"/>
      <c r="L227" s="320"/>
      <c r="M227" s="223"/>
      <c r="N227" s="223"/>
      <c r="O227" s="223"/>
      <c r="P227" s="223"/>
      <c r="Q227" s="223"/>
      <c r="R227" s="223"/>
      <c r="S227" s="223"/>
      <c r="T227" s="223"/>
      <c r="U227" s="223"/>
      <c r="V227" s="223"/>
      <c r="W227" s="223"/>
    </row>
    <row r="228">
      <c r="A228" s="223"/>
      <c r="B228" s="223"/>
      <c r="C228" s="223"/>
      <c r="D228" s="223"/>
      <c r="E228" s="223"/>
      <c r="F228" s="223"/>
      <c r="G228" s="223"/>
      <c r="H228" s="223"/>
      <c r="I228" s="223"/>
      <c r="J228" s="223"/>
      <c r="K228" s="320"/>
      <c r="L228" s="320"/>
      <c r="M228" s="223"/>
      <c r="N228" s="223"/>
      <c r="O228" s="223"/>
      <c r="P228" s="223"/>
      <c r="Q228" s="223"/>
      <c r="R228" s="223"/>
      <c r="S228" s="223"/>
      <c r="T228" s="223"/>
      <c r="U228" s="223"/>
      <c r="V228" s="223"/>
      <c r="W228" s="223"/>
    </row>
    <row r="229">
      <c r="A229" s="223"/>
      <c r="B229" s="223"/>
      <c r="C229" s="223"/>
      <c r="D229" s="223"/>
      <c r="E229" s="223"/>
      <c r="F229" s="223"/>
      <c r="G229" s="223"/>
      <c r="H229" s="223"/>
      <c r="I229" s="223"/>
      <c r="J229" s="223"/>
      <c r="K229" s="320"/>
      <c r="L229" s="320"/>
      <c r="M229" s="223"/>
      <c r="N229" s="223"/>
      <c r="O229" s="223"/>
      <c r="P229" s="223"/>
      <c r="Q229" s="223"/>
      <c r="R229" s="223"/>
      <c r="S229" s="223"/>
      <c r="T229" s="223"/>
      <c r="U229" s="223"/>
      <c r="V229" s="223"/>
      <c r="W229" s="223"/>
    </row>
    <row r="230">
      <c r="A230" s="223"/>
      <c r="B230" s="223"/>
      <c r="C230" s="223"/>
      <c r="D230" s="223"/>
      <c r="E230" s="223"/>
      <c r="F230" s="223"/>
      <c r="G230" s="223"/>
      <c r="H230" s="223"/>
      <c r="I230" s="223"/>
      <c r="J230" s="223"/>
      <c r="K230" s="320"/>
      <c r="L230" s="320"/>
      <c r="M230" s="223"/>
      <c r="N230" s="223"/>
      <c r="O230" s="223"/>
      <c r="P230" s="223"/>
      <c r="Q230" s="223"/>
      <c r="R230" s="223"/>
      <c r="S230" s="223"/>
      <c r="T230" s="223"/>
      <c r="U230" s="223"/>
      <c r="V230" s="223"/>
      <c r="W230" s="223"/>
    </row>
    <row r="231">
      <c r="A231" s="223"/>
      <c r="B231" s="223"/>
      <c r="C231" s="223"/>
      <c r="D231" s="223"/>
      <c r="E231" s="223"/>
      <c r="F231" s="223"/>
      <c r="G231" s="223"/>
      <c r="H231" s="223"/>
      <c r="I231" s="223"/>
      <c r="J231" s="223"/>
      <c r="K231" s="320"/>
      <c r="L231" s="320"/>
      <c r="M231" s="223"/>
      <c r="N231" s="223"/>
      <c r="O231" s="223"/>
      <c r="P231" s="223"/>
      <c r="Q231" s="223"/>
      <c r="R231" s="223"/>
      <c r="S231" s="223"/>
      <c r="T231" s="223"/>
      <c r="U231" s="223"/>
      <c r="V231" s="223"/>
      <c r="W231" s="223"/>
    </row>
    <row r="232">
      <c r="A232" s="223"/>
      <c r="B232" s="223"/>
      <c r="C232" s="223"/>
      <c r="D232" s="223"/>
      <c r="E232" s="223"/>
      <c r="F232" s="223"/>
      <c r="G232" s="223"/>
      <c r="H232" s="223"/>
      <c r="I232" s="223"/>
      <c r="J232" s="223"/>
      <c r="K232" s="320"/>
      <c r="L232" s="320"/>
      <c r="M232" s="223"/>
      <c r="N232" s="223"/>
      <c r="O232" s="223"/>
      <c r="P232" s="223"/>
      <c r="Q232" s="223"/>
      <c r="R232" s="223"/>
      <c r="S232" s="223"/>
      <c r="T232" s="223"/>
      <c r="U232" s="223"/>
      <c r="V232" s="223"/>
      <c r="W232" s="223"/>
    </row>
    <row r="233">
      <c r="A233" s="223"/>
      <c r="B233" s="223"/>
      <c r="C233" s="223"/>
      <c r="D233" s="223"/>
      <c r="E233" s="223"/>
      <c r="F233" s="223"/>
      <c r="G233" s="223"/>
      <c r="H233" s="223"/>
      <c r="I233" s="223"/>
      <c r="J233" s="223"/>
      <c r="K233" s="320"/>
      <c r="L233" s="320"/>
      <c r="M233" s="223"/>
      <c r="N233" s="223"/>
      <c r="O233" s="223"/>
      <c r="P233" s="223"/>
      <c r="Q233" s="223"/>
      <c r="R233" s="223"/>
      <c r="S233" s="223"/>
      <c r="T233" s="223"/>
      <c r="U233" s="223"/>
      <c r="V233" s="223"/>
      <c r="W233" s="223"/>
    </row>
    <row r="234">
      <c r="A234" s="223"/>
      <c r="B234" s="223"/>
      <c r="C234" s="223"/>
      <c r="D234" s="223"/>
      <c r="E234" s="223"/>
      <c r="F234" s="223"/>
      <c r="G234" s="223"/>
      <c r="H234" s="223"/>
      <c r="I234" s="223"/>
      <c r="J234" s="223"/>
      <c r="K234" s="320"/>
      <c r="L234" s="320"/>
      <c r="M234" s="223"/>
      <c r="N234" s="223"/>
      <c r="O234" s="223"/>
      <c r="P234" s="223"/>
      <c r="Q234" s="223"/>
      <c r="R234" s="223"/>
      <c r="S234" s="223"/>
      <c r="T234" s="223"/>
      <c r="U234" s="223"/>
      <c r="V234" s="223"/>
      <c r="W234" s="223"/>
    </row>
    <row r="235">
      <c r="A235" s="223"/>
      <c r="B235" s="223"/>
      <c r="C235" s="223"/>
      <c r="D235" s="223"/>
      <c r="E235" s="223"/>
      <c r="F235" s="223"/>
      <c r="G235" s="223"/>
      <c r="H235" s="223"/>
      <c r="I235" s="223"/>
      <c r="J235" s="223"/>
      <c r="K235" s="320"/>
      <c r="L235" s="320"/>
      <c r="M235" s="223"/>
      <c r="N235" s="223"/>
      <c r="O235" s="223"/>
      <c r="P235" s="223"/>
      <c r="Q235" s="223"/>
      <c r="R235" s="223"/>
      <c r="S235" s="223"/>
      <c r="T235" s="223"/>
      <c r="U235" s="223"/>
      <c r="V235" s="223"/>
      <c r="W235" s="223"/>
    </row>
    <row r="236">
      <c r="A236" s="223"/>
      <c r="B236" s="223"/>
      <c r="C236" s="223"/>
      <c r="D236" s="223"/>
      <c r="E236" s="223"/>
      <c r="F236" s="223"/>
      <c r="G236" s="223"/>
      <c r="H236" s="223"/>
      <c r="I236" s="223"/>
      <c r="J236" s="223"/>
      <c r="K236" s="320"/>
      <c r="L236" s="320"/>
      <c r="M236" s="223"/>
      <c r="N236" s="223"/>
      <c r="O236" s="223"/>
      <c r="P236" s="223"/>
      <c r="Q236" s="223"/>
      <c r="R236" s="223"/>
      <c r="S236" s="223"/>
      <c r="T236" s="223"/>
      <c r="U236" s="223"/>
      <c r="V236" s="223"/>
      <c r="W236" s="223"/>
    </row>
    <row r="237">
      <c r="A237" s="223"/>
      <c r="B237" s="223"/>
      <c r="C237" s="223"/>
      <c r="D237" s="223"/>
      <c r="E237" s="223"/>
      <c r="F237" s="223"/>
      <c r="G237" s="223"/>
      <c r="H237" s="223"/>
      <c r="I237" s="223"/>
      <c r="J237" s="223"/>
      <c r="K237" s="320"/>
      <c r="L237" s="320"/>
      <c r="M237" s="223"/>
      <c r="N237" s="223"/>
      <c r="O237" s="223"/>
      <c r="P237" s="223"/>
      <c r="Q237" s="223"/>
      <c r="R237" s="223"/>
      <c r="S237" s="223"/>
      <c r="T237" s="223"/>
      <c r="U237" s="223"/>
      <c r="V237" s="223"/>
      <c r="W237" s="223"/>
    </row>
    <row r="238">
      <c r="A238" s="223"/>
      <c r="B238" s="223"/>
      <c r="C238" s="223"/>
      <c r="D238" s="223"/>
      <c r="E238" s="223"/>
      <c r="F238" s="223"/>
      <c r="G238" s="223"/>
      <c r="H238" s="223"/>
      <c r="I238" s="223"/>
      <c r="J238" s="223"/>
      <c r="K238" s="320"/>
      <c r="L238" s="320"/>
      <c r="M238" s="223"/>
      <c r="N238" s="223"/>
      <c r="O238" s="223"/>
      <c r="P238" s="223"/>
      <c r="Q238" s="223"/>
      <c r="R238" s="223"/>
      <c r="S238" s="223"/>
      <c r="T238" s="223"/>
      <c r="U238" s="223"/>
      <c r="V238" s="223"/>
      <c r="W238" s="223"/>
    </row>
    <row r="239">
      <c r="A239" s="223"/>
      <c r="B239" s="223"/>
      <c r="C239" s="223"/>
      <c r="D239" s="223"/>
      <c r="E239" s="223"/>
      <c r="F239" s="223"/>
      <c r="G239" s="223"/>
      <c r="H239" s="223"/>
      <c r="I239" s="223"/>
      <c r="J239" s="223"/>
      <c r="K239" s="320"/>
      <c r="L239" s="320"/>
      <c r="M239" s="223"/>
      <c r="N239" s="223"/>
      <c r="O239" s="223"/>
      <c r="P239" s="223"/>
      <c r="Q239" s="223"/>
      <c r="R239" s="223"/>
      <c r="S239" s="223"/>
      <c r="T239" s="223"/>
      <c r="U239" s="223"/>
      <c r="V239" s="223"/>
      <c r="W239" s="223"/>
    </row>
    <row r="240">
      <c r="A240" s="223"/>
      <c r="B240" s="223"/>
      <c r="C240" s="223"/>
      <c r="D240" s="223"/>
      <c r="E240" s="223"/>
      <c r="F240" s="223"/>
      <c r="G240" s="223"/>
      <c r="H240" s="223"/>
      <c r="I240" s="223"/>
      <c r="J240" s="223"/>
      <c r="K240" s="320"/>
      <c r="L240" s="320"/>
      <c r="M240" s="223"/>
      <c r="N240" s="223"/>
      <c r="O240" s="223"/>
      <c r="P240" s="223"/>
      <c r="Q240" s="223"/>
      <c r="R240" s="223"/>
      <c r="S240" s="223"/>
      <c r="T240" s="223"/>
      <c r="U240" s="223"/>
      <c r="V240" s="223"/>
      <c r="W240" s="223"/>
    </row>
    <row r="241">
      <c r="A241" s="223"/>
      <c r="B241" s="223"/>
      <c r="C241" s="223"/>
      <c r="D241" s="223"/>
      <c r="E241" s="223"/>
      <c r="F241" s="223"/>
      <c r="G241" s="223"/>
      <c r="H241" s="223"/>
      <c r="I241" s="223"/>
      <c r="J241" s="223"/>
      <c r="K241" s="320"/>
      <c r="L241" s="320"/>
      <c r="M241" s="223"/>
      <c r="N241" s="223"/>
      <c r="O241" s="223"/>
      <c r="P241" s="223"/>
      <c r="Q241" s="223"/>
      <c r="R241" s="223"/>
      <c r="S241" s="223"/>
      <c r="T241" s="223"/>
      <c r="U241" s="223"/>
      <c r="V241" s="223"/>
      <c r="W241" s="223"/>
    </row>
    <row r="242">
      <c r="A242" s="223"/>
      <c r="B242" s="223"/>
      <c r="C242" s="223"/>
      <c r="D242" s="223"/>
      <c r="E242" s="223"/>
      <c r="F242" s="223"/>
      <c r="G242" s="223"/>
      <c r="H242" s="223"/>
      <c r="I242" s="223"/>
      <c r="J242" s="223"/>
      <c r="K242" s="320"/>
      <c r="L242" s="320"/>
      <c r="M242" s="223"/>
      <c r="N242" s="223"/>
      <c r="O242" s="223"/>
      <c r="P242" s="223"/>
      <c r="Q242" s="223"/>
      <c r="R242" s="223"/>
      <c r="S242" s="223"/>
      <c r="T242" s="223"/>
      <c r="U242" s="223"/>
      <c r="V242" s="223"/>
      <c r="W242" s="223"/>
    </row>
    <row r="243">
      <c r="A243" s="223"/>
      <c r="B243" s="223"/>
      <c r="C243" s="223"/>
      <c r="D243" s="223"/>
      <c r="E243" s="223"/>
      <c r="F243" s="223"/>
      <c r="G243" s="223"/>
      <c r="H243" s="223"/>
      <c r="I243" s="223"/>
      <c r="J243" s="223"/>
      <c r="K243" s="320"/>
      <c r="L243" s="320"/>
      <c r="M243" s="223"/>
      <c r="N243" s="223"/>
      <c r="O243" s="223"/>
      <c r="P243" s="223"/>
      <c r="Q243" s="223"/>
      <c r="R243" s="223"/>
      <c r="S243" s="223"/>
      <c r="T243" s="223"/>
      <c r="U243" s="223"/>
      <c r="V243" s="223"/>
      <c r="W243" s="223"/>
    </row>
    <row r="244">
      <c r="A244" s="223"/>
      <c r="B244" s="223"/>
      <c r="C244" s="223"/>
      <c r="D244" s="223"/>
      <c r="E244" s="223"/>
      <c r="F244" s="223"/>
      <c r="G244" s="223"/>
      <c r="H244" s="223"/>
      <c r="I244" s="223"/>
      <c r="J244" s="223"/>
      <c r="K244" s="320"/>
      <c r="L244" s="320"/>
      <c r="M244" s="223"/>
      <c r="N244" s="223"/>
      <c r="O244" s="223"/>
      <c r="P244" s="223"/>
      <c r="Q244" s="223"/>
      <c r="R244" s="223"/>
      <c r="S244" s="223"/>
      <c r="T244" s="223"/>
      <c r="U244" s="223"/>
      <c r="V244" s="223"/>
      <c r="W244" s="223"/>
    </row>
    <row r="245">
      <c r="A245" s="223"/>
      <c r="B245" s="223"/>
      <c r="C245" s="223"/>
      <c r="D245" s="223"/>
      <c r="E245" s="223"/>
      <c r="F245" s="223"/>
      <c r="G245" s="223"/>
      <c r="H245" s="223"/>
      <c r="I245" s="223"/>
      <c r="J245" s="223"/>
      <c r="K245" s="320"/>
      <c r="L245" s="320"/>
      <c r="M245" s="223"/>
      <c r="N245" s="223"/>
      <c r="O245" s="223"/>
      <c r="P245" s="223"/>
      <c r="Q245" s="223"/>
      <c r="R245" s="223"/>
      <c r="S245" s="223"/>
      <c r="T245" s="223"/>
      <c r="U245" s="223"/>
      <c r="V245" s="223"/>
      <c r="W245" s="223"/>
    </row>
    <row r="246">
      <c r="A246" s="223"/>
      <c r="B246" s="223"/>
      <c r="C246" s="223"/>
      <c r="D246" s="223"/>
      <c r="E246" s="223"/>
      <c r="F246" s="223"/>
      <c r="G246" s="223"/>
      <c r="H246" s="223"/>
      <c r="I246" s="223"/>
      <c r="J246" s="223"/>
      <c r="K246" s="320"/>
      <c r="L246" s="320"/>
      <c r="M246" s="223"/>
      <c r="N246" s="223"/>
      <c r="O246" s="223"/>
      <c r="P246" s="223"/>
      <c r="Q246" s="223"/>
      <c r="R246" s="223"/>
      <c r="S246" s="223"/>
      <c r="T246" s="223"/>
      <c r="U246" s="223"/>
      <c r="V246" s="223"/>
      <c r="W246" s="223"/>
    </row>
    <row r="247">
      <c r="A247" s="223"/>
      <c r="B247" s="223"/>
      <c r="C247" s="223"/>
      <c r="D247" s="223"/>
      <c r="E247" s="223"/>
      <c r="F247" s="223"/>
      <c r="G247" s="223"/>
      <c r="H247" s="223"/>
      <c r="I247" s="223"/>
      <c r="J247" s="223"/>
      <c r="K247" s="320"/>
      <c r="L247" s="320"/>
      <c r="M247" s="223"/>
      <c r="N247" s="223"/>
      <c r="O247" s="223"/>
      <c r="P247" s="223"/>
      <c r="Q247" s="223"/>
      <c r="R247" s="223"/>
      <c r="S247" s="223"/>
      <c r="T247" s="223"/>
      <c r="U247" s="223"/>
      <c r="V247" s="223"/>
      <c r="W247" s="223"/>
    </row>
    <row r="248">
      <c r="A248" s="223"/>
      <c r="B248" s="223"/>
      <c r="C248" s="223"/>
      <c r="D248" s="223"/>
      <c r="E248" s="223"/>
      <c r="F248" s="223"/>
      <c r="G248" s="223"/>
      <c r="H248" s="223"/>
      <c r="I248" s="223"/>
      <c r="J248" s="223"/>
      <c r="K248" s="320"/>
      <c r="L248" s="320"/>
      <c r="M248" s="223"/>
      <c r="N248" s="223"/>
      <c r="O248" s="223"/>
      <c r="P248" s="223"/>
      <c r="Q248" s="223"/>
      <c r="R248" s="223"/>
      <c r="S248" s="223"/>
      <c r="T248" s="223"/>
      <c r="U248" s="223"/>
      <c r="V248" s="223"/>
      <c r="W248" s="223"/>
    </row>
    <row r="249">
      <c r="A249" s="223"/>
      <c r="B249" s="223"/>
      <c r="C249" s="223"/>
      <c r="D249" s="223"/>
      <c r="E249" s="223"/>
      <c r="F249" s="223"/>
      <c r="G249" s="223"/>
      <c r="H249" s="223"/>
      <c r="I249" s="223"/>
      <c r="J249" s="223"/>
      <c r="K249" s="320"/>
      <c r="L249" s="320"/>
      <c r="M249" s="223"/>
      <c r="N249" s="223"/>
      <c r="O249" s="223"/>
      <c r="P249" s="223"/>
      <c r="Q249" s="223"/>
      <c r="R249" s="223"/>
      <c r="S249" s="223"/>
      <c r="T249" s="223"/>
      <c r="U249" s="223"/>
      <c r="V249" s="223"/>
      <c r="W249" s="223"/>
    </row>
    <row r="250">
      <c r="A250" s="223"/>
      <c r="B250" s="223"/>
      <c r="C250" s="223"/>
      <c r="D250" s="223"/>
      <c r="E250" s="223"/>
      <c r="F250" s="223"/>
      <c r="G250" s="223"/>
      <c r="H250" s="223"/>
      <c r="I250" s="223"/>
      <c r="J250" s="223"/>
      <c r="K250" s="320"/>
      <c r="L250" s="320"/>
      <c r="M250" s="223"/>
      <c r="N250" s="223"/>
      <c r="O250" s="223"/>
      <c r="P250" s="223"/>
      <c r="Q250" s="223"/>
      <c r="R250" s="223"/>
      <c r="S250" s="223"/>
      <c r="T250" s="223"/>
      <c r="U250" s="223"/>
      <c r="V250" s="223"/>
      <c r="W250" s="223"/>
    </row>
    <row r="251">
      <c r="A251" s="223"/>
      <c r="B251" s="223"/>
      <c r="C251" s="223"/>
      <c r="D251" s="223"/>
      <c r="E251" s="223"/>
      <c r="F251" s="223"/>
      <c r="G251" s="223"/>
      <c r="H251" s="223"/>
      <c r="I251" s="223"/>
      <c r="J251" s="223"/>
      <c r="K251" s="320"/>
      <c r="L251" s="320"/>
      <c r="M251" s="223"/>
      <c r="N251" s="223"/>
      <c r="O251" s="223"/>
      <c r="P251" s="223"/>
      <c r="Q251" s="223"/>
      <c r="R251" s="223"/>
      <c r="S251" s="223"/>
      <c r="T251" s="223"/>
      <c r="U251" s="223"/>
      <c r="V251" s="223"/>
      <c r="W251" s="223"/>
    </row>
    <row r="252">
      <c r="A252" s="223"/>
      <c r="B252" s="223"/>
      <c r="C252" s="223"/>
      <c r="D252" s="223"/>
      <c r="E252" s="223"/>
      <c r="F252" s="223"/>
      <c r="G252" s="223"/>
      <c r="H252" s="223"/>
      <c r="I252" s="223"/>
      <c r="J252" s="223"/>
      <c r="K252" s="320"/>
      <c r="L252" s="320"/>
      <c r="M252" s="223"/>
      <c r="N252" s="223"/>
      <c r="O252" s="223"/>
      <c r="P252" s="223"/>
      <c r="Q252" s="223"/>
      <c r="R252" s="223"/>
      <c r="S252" s="223"/>
      <c r="T252" s="223"/>
      <c r="U252" s="223"/>
      <c r="V252" s="223"/>
      <c r="W252" s="223"/>
    </row>
    <row r="253">
      <c r="A253" s="223"/>
      <c r="B253" s="223"/>
      <c r="C253" s="223"/>
      <c r="D253" s="223"/>
      <c r="E253" s="223"/>
      <c r="F253" s="223"/>
      <c r="G253" s="223"/>
      <c r="H253" s="223"/>
      <c r="I253" s="223"/>
      <c r="J253" s="223"/>
      <c r="K253" s="320"/>
      <c r="L253" s="320"/>
      <c r="M253" s="223"/>
      <c r="N253" s="223"/>
      <c r="O253" s="223"/>
      <c r="P253" s="223"/>
      <c r="Q253" s="223"/>
      <c r="R253" s="223"/>
      <c r="S253" s="223"/>
      <c r="T253" s="223"/>
      <c r="U253" s="223"/>
      <c r="V253" s="223"/>
      <c r="W253" s="223"/>
    </row>
    <row r="254">
      <c r="A254" s="223"/>
      <c r="B254" s="223"/>
      <c r="C254" s="223"/>
      <c r="D254" s="223"/>
      <c r="E254" s="223"/>
      <c r="F254" s="223"/>
      <c r="G254" s="223"/>
      <c r="H254" s="223"/>
      <c r="I254" s="223"/>
      <c r="J254" s="223"/>
      <c r="K254" s="320"/>
      <c r="L254" s="320"/>
      <c r="M254" s="223"/>
      <c r="N254" s="223"/>
      <c r="O254" s="223"/>
      <c r="P254" s="223"/>
      <c r="Q254" s="223"/>
      <c r="R254" s="223"/>
      <c r="S254" s="223"/>
      <c r="T254" s="223"/>
      <c r="U254" s="223"/>
      <c r="V254" s="223"/>
      <c r="W254" s="223"/>
    </row>
    <row r="255">
      <c r="A255" s="223"/>
      <c r="B255" s="223"/>
      <c r="C255" s="223"/>
      <c r="D255" s="223"/>
      <c r="E255" s="223"/>
      <c r="F255" s="223"/>
      <c r="G255" s="223"/>
      <c r="H255" s="223"/>
      <c r="I255" s="223"/>
      <c r="J255" s="223"/>
      <c r="K255" s="320"/>
      <c r="L255" s="320"/>
      <c r="M255" s="223"/>
      <c r="N255" s="223"/>
      <c r="O255" s="223"/>
      <c r="P255" s="223"/>
      <c r="Q255" s="223"/>
      <c r="R255" s="223"/>
      <c r="S255" s="223"/>
      <c r="T255" s="223"/>
      <c r="U255" s="223"/>
      <c r="V255" s="223"/>
      <c r="W255" s="223"/>
    </row>
    <row r="256">
      <c r="A256" s="223"/>
      <c r="B256" s="223"/>
      <c r="C256" s="223"/>
      <c r="D256" s="223"/>
      <c r="E256" s="223"/>
      <c r="F256" s="223"/>
      <c r="G256" s="223"/>
      <c r="H256" s="223"/>
      <c r="I256" s="223"/>
      <c r="J256" s="223"/>
      <c r="K256" s="320"/>
      <c r="L256" s="320"/>
      <c r="M256" s="223"/>
      <c r="N256" s="223"/>
      <c r="O256" s="223"/>
      <c r="P256" s="223"/>
      <c r="Q256" s="223"/>
      <c r="R256" s="223"/>
      <c r="S256" s="223"/>
      <c r="T256" s="223"/>
      <c r="U256" s="223"/>
      <c r="V256" s="223"/>
      <c r="W256" s="223"/>
    </row>
    <row r="257">
      <c r="A257" s="223"/>
      <c r="B257" s="223"/>
      <c r="C257" s="223"/>
      <c r="D257" s="223"/>
      <c r="E257" s="223"/>
      <c r="F257" s="223"/>
      <c r="G257" s="223"/>
      <c r="H257" s="223"/>
      <c r="I257" s="223"/>
      <c r="J257" s="223"/>
      <c r="K257" s="320"/>
      <c r="L257" s="320"/>
      <c r="M257" s="223"/>
      <c r="N257" s="223"/>
      <c r="O257" s="223"/>
      <c r="P257" s="223"/>
      <c r="Q257" s="223"/>
      <c r="R257" s="223"/>
      <c r="S257" s="223"/>
      <c r="T257" s="223"/>
      <c r="U257" s="223"/>
      <c r="V257" s="223"/>
      <c r="W257" s="223"/>
    </row>
    <row r="258">
      <c r="A258" s="223"/>
      <c r="B258" s="223"/>
      <c r="C258" s="223"/>
      <c r="D258" s="223"/>
      <c r="E258" s="223"/>
      <c r="F258" s="223"/>
      <c r="G258" s="223"/>
      <c r="H258" s="223"/>
      <c r="I258" s="223"/>
      <c r="J258" s="223"/>
      <c r="K258" s="320"/>
      <c r="L258" s="320"/>
      <c r="M258" s="223"/>
      <c r="N258" s="223"/>
      <c r="O258" s="223"/>
      <c r="P258" s="223"/>
      <c r="Q258" s="223"/>
      <c r="R258" s="223"/>
      <c r="S258" s="223"/>
      <c r="T258" s="223"/>
      <c r="U258" s="223"/>
      <c r="V258" s="223"/>
      <c r="W258" s="223"/>
    </row>
    <row r="259">
      <c r="A259" s="223"/>
      <c r="B259" s="223"/>
      <c r="C259" s="223"/>
      <c r="D259" s="223"/>
      <c r="E259" s="223"/>
      <c r="F259" s="223"/>
      <c r="G259" s="223"/>
      <c r="H259" s="223"/>
      <c r="I259" s="223"/>
      <c r="J259" s="223"/>
      <c r="K259" s="320"/>
      <c r="L259" s="320"/>
      <c r="M259" s="223"/>
      <c r="N259" s="223"/>
      <c r="O259" s="223"/>
      <c r="P259" s="223"/>
      <c r="Q259" s="223"/>
      <c r="R259" s="223"/>
      <c r="S259" s="223"/>
      <c r="T259" s="223"/>
      <c r="U259" s="223"/>
      <c r="V259" s="223"/>
      <c r="W259" s="223"/>
    </row>
    <row r="260">
      <c r="A260" s="223"/>
      <c r="B260" s="223"/>
      <c r="C260" s="223"/>
      <c r="D260" s="223"/>
      <c r="E260" s="223"/>
      <c r="F260" s="223"/>
      <c r="G260" s="223"/>
      <c r="H260" s="223"/>
      <c r="I260" s="223"/>
      <c r="J260" s="223"/>
      <c r="K260" s="320"/>
      <c r="L260" s="320"/>
      <c r="M260" s="223"/>
      <c r="N260" s="223"/>
      <c r="O260" s="223"/>
      <c r="P260" s="223"/>
      <c r="Q260" s="223"/>
      <c r="R260" s="223"/>
      <c r="S260" s="223"/>
      <c r="T260" s="223"/>
      <c r="U260" s="223"/>
      <c r="V260" s="223"/>
      <c r="W260" s="223"/>
    </row>
    <row r="261">
      <c r="A261" s="223"/>
      <c r="B261" s="223"/>
      <c r="C261" s="223"/>
      <c r="D261" s="223"/>
      <c r="E261" s="223"/>
      <c r="F261" s="223"/>
      <c r="G261" s="223"/>
      <c r="H261" s="223"/>
      <c r="I261" s="223"/>
      <c r="J261" s="223"/>
      <c r="K261" s="320"/>
      <c r="L261" s="320"/>
      <c r="M261" s="223"/>
      <c r="N261" s="223"/>
      <c r="O261" s="223"/>
      <c r="P261" s="223"/>
      <c r="Q261" s="223"/>
      <c r="R261" s="223"/>
      <c r="S261" s="223"/>
      <c r="T261" s="223"/>
      <c r="U261" s="223"/>
      <c r="V261" s="223"/>
      <c r="W261" s="223"/>
    </row>
    <row r="262">
      <c r="A262" s="223"/>
      <c r="B262" s="223"/>
      <c r="C262" s="223"/>
      <c r="D262" s="223"/>
      <c r="E262" s="223"/>
      <c r="F262" s="223"/>
      <c r="G262" s="223"/>
      <c r="H262" s="223"/>
      <c r="I262" s="223"/>
      <c r="J262" s="223"/>
      <c r="K262" s="320"/>
      <c r="L262" s="320"/>
      <c r="M262" s="223"/>
      <c r="N262" s="223"/>
      <c r="O262" s="223"/>
      <c r="P262" s="223"/>
      <c r="Q262" s="223"/>
      <c r="R262" s="223"/>
      <c r="S262" s="223"/>
      <c r="T262" s="223"/>
      <c r="U262" s="223"/>
      <c r="V262" s="223"/>
      <c r="W262" s="223"/>
    </row>
    <row r="263">
      <c r="A263" s="223"/>
      <c r="B263" s="223"/>
      <c r="C263" s="223"/>
      <c r="D263" s="223"/>
      <c r="E263" s="223"/>
      <c r="F263" s="223"/>
      <c r="G263" s="223"/>
      <c r="H263" s="223"/>
      <c r="I263" s="223"/>
      <c r="J263" s="223"/>
      <c r="K263" s="320"/>
      <c r="L263" s="320"/>
      <c r="M263" s="223"/>
      <c r="N263" s="223"/>
      <c r="O263" s="223"/>
      <c r="P263" s="223"/>
      <c r="Q263" s="223"/>
      <c r="R263" s="223"/>
      <c r="S263" s="223"/>
      <c r="T263" s="223"/>
      <c r="U263" s="223"/>
      <c r="V263" s="223"/>
      <c r="W263" s="223"/>
    </row>
    <row r="264">
      <c r="A264" s="223"/>
      <c r="B264" s="223"/>
      <c r="C264" s="223"/>
      <c r="D264" s="223"/>
      <c r="E264" s="223"/>
      <c r="F264" s="223"/>
      <c r="G264" s="223"/>
      <c r="H264" s="223"/>
      <c r="I264" s="223"/>
      <c r="J264" s="223"/>
      <c r="K264" s="320"/>
      <c r="L264" s="320"/>
      <c r="M264" s="223"/>
      <c r="N264" s="223"/>
      <c r="O264" s="223"/>
      <c r="P264" s="223"/>
      <c r="Q264" s="223"/>
      <c r="R264" s="223"/>
      <c r="S264" s="223"/>
      <c r="T264" s="223"/>
      <c r="U264" s="223"/>
      <c r="V264" s="223"/>
      <c r="W264" s="223"/>
    </row>
    <row r="265">
      <c r="A265" s="223"/>
      <c r="B265" s="223"/>
      <c r="C265" s="223"/>
      <c r="D265" s="223"/>
      <c r="E265" s="223"/>
      <c r="F265" s="223"/>
      <c r="G265" s="223"/>
      <c r="H265" s="223"/>
      <c r="I265" s="223"/>
      <c r="J265" s="223"/>
      <c r="K265" s="320"/>
      <c r="L265" s="320"/>
      <c r="M265" s="223"/>
      <c r="N265" s="223"/>
      <c r="O265" s="223"/>
      <c r="P265" s="223"/>
      <c r="Q265" s="223"/>
      <c r="R265" s="223"/>
      <c r="S265" s="223"/>
      <c r="T265" s="223"/>
      <c r="U265" s="223"/>
      <c r="V265" s="223"/>
      <c r="W265" s="223"/>
    </row>
    <row r="266">
      <c r="A266" s="223"/>
      <c r="B266" s="223"/>
      <c r="C266" s="223"/>
      <c r="D266" s="223"/>
      <c r="E266" s="223"/>
      <c r="F266" s="223"/>
      <c r="G266" s="223"/>
      <c r="H266" s="223"/>
      <c r="I266" s="223"/>
      <c r="J266" s="223"/>
      <c r="K266" s="320"/>
      <c r="L266" s="320"/>
      <c r="M266" s="223"/>
      <c r="N266" s="223"/>
      <c r="O266" s="223"/>
      <c r="P266" s="223"/>
      <c r="Q266" s="223"/>
      <c r="R266" s="223"/>
      <c r="S266" s="223"/>
      <c r="T266" s="223"/>
      <c r="U266" s="223"/>
      <c r="V266" s="223"/>
      <c r="W266" s="223"/>
    </row>
    <row r="267">
      <c r="A267" s="223"/>
      <c r="B267" s="223"/>
      <c r="C267" s="223"/>
      <c r="D267" s="223"/>
      <c r="E267" s="223"/>
      <c r="F267" s="223"/>
      <c r="G267" s="223"/>
      <c r="H267" s="223"/>
      <c r="I267" s="223"/>
      <c r="J267" s="223"/>
      <c r="K267" s="320"/>
      <c r="L267" s="320"/>
      <c r="M267" s="223"/>
      <c r="N267" s="223"/>
      <c r="O267" s="223"/>
      <c r="P267" s="223"/>
      <c r="Q267" s="223"/>
      <c r="R267" s="223"/>
      <c r="S267" s="223"/>
      <c r="T267" s="223"/>
      <c r="U267" s="223"/>
      <c r="V267" s="223"/>
      <c r="W267" s="223"/>
    </row>
    <row r="268">
      <c r="A268" s="223"/>
      <c r="B268" s="223"/>
      <c r="C268" s="223"/>
      <c r="D268" s="223"/>
      <c r="E268" s="223"/>
      <c r="F268" s="223"/>
      <c r="G268" s="223"/>
      <c r="H268" s="223"/>
      <c r="I268" s="223"/>
      <c r="J268" s="223"/>
      <c r="K268" s="320"/>
      <c r="L268" s="320"/>
      <c r="M268" s="223"/>
      <c r="N268" s="223"/>
      <c r="O268" s="223"/>
      <c r="P268" s="223"/>
      <c r="Q268" s="223"/>
      <c r="R268" s="223"/>
      <c r="S268" s="223"/>
      <c r="T268" s="223"/>
      <c r="U268" s="223"/>
      <c r="V268" s="223"/>
      <c r="W268" s="223"/>
    </row>
    <row r="269">
      <c r="A269" s="223"/>
      <c r="B269" s="223"/>
      <c r="C269" s="223"/>
      <c r="D269" s="223"/>
      <c r="E269" s="223"/>
      <c r="F269" s="223"/>
      <c r="G269" s="223"/>
      <c r="H269" s="223"/>
      <c r="I269" s="223"/>
      <c r="J269" s="223"/>
      <c r="K269" s="320"/>
      <c r="L269" s="320"/>
      <c r="M269" s="223"/>
      <c r="N269" s="223"/>
      <c r="O269" s="223"/>
      <c r="P269" s="223"/>
      <c r="Q269" s="223"/>
      <c r="R269" s="223"/>
      <c r="S269" s="223"/>
      <c r="T269" s="223"/>
      <c r="U269" s="223"/>
      <c r="V269" s="223"/>
      <c r="W269" s="223"/>
    </row>
    <row r="270">
      <c r="A270" s="223"/>
      <c r="B270" s="223"/>
      <c r="C270" s="223"/>
      <c r="D270" s="223"/>
      <c r="E270" s="223"/>
      <c r="F270" s="223"/>
      <c r="G270" s="223"/>
      <c r="H270" s="223"/>
      <c r="I270" s="223"/>
      <c r="J270" s="223"/>
      <c r="K270" s="320"/>
      <c r="L270" s="320"/>
      <c r="M270" s="223"/>
      <c r="N270" s="223"/>
      <c r="O270" s="223"/>
      <c r="P270" s="223"/>
      <c r="Q270" s="223"/>
      <c r="R270" s="223"/>
      <c r="S270" s="223"/>
      <c r="T270" s="223"/>
      <c r="U270" s="223"/>
      <c r="V270" s="223"/>
      <c r="W270" s="223"/>
    </row>
    <row r="271">
      <c r="A271" s="223"/>
      <c r="B271" s="223"/>
      <c r="C271" s="223"/>
      <c r="D271" s="223"/>
      <c r="E271" s="223"/>
      <c r="F271" s="223"/>
      <c r="G271" s="223"/>
      <c r="H271" s="223"/>
      <c r="I271" s="223"/>
      <c r="J271" s="223"/>
      <c r="K271" s="320"/>
      <c r="L271" s="320"/>
      <c r="M271" s="223"/>
      <c r="N271" s="223"/>
      <c r="O271" s="223"/>
      <c r="P271" s="223"/>
      <c r="Q271" s="223"/>
      <c r="R271" s="223"/>
      <c r="S271" s="223"/>
      <c r="T271" s="223"/>
      <c r="U271" s="223"/>
      <c r="V271" s="223"/>
      <c r="W271" s="223"/>
    </row>
    <row r="272">
      <c r="A272" s="223"/>
      <c r="B272" s="223"/>
      <c r="C272" s="223"/>
      <c r="D272" s="223"/>
      <c r="E272" s="223"/>
      <c r="F272" s="223"/>
      <c r="G272" s="223"/>
      <c r="H272" s="223"/>
      <c r="I272" s="223"/>
      <c r="J272" s="223"/>
      <c r="K272" s="320"/>
      <c r="L272" s="320"/>
      <c r="M272" s="223"/>
      <c r="N272" s="223"/>
      <c r="O272" s="223"/>
      <c r="P272" s="223"/>
      <c r="Q272" s="223"/>
      <c r="R272" s="223"/>
      <c r="S272" s="223"/>
      <c r="T272" s="223"/>
      <c r="U272" s="223"/>
      <c r="V272" s="223"/>
      <c r="W272" s="223"/>
    </row>
    <row r="273">
      <c r="A273" s="223"/>
      <c r="B273" s="223"/>
      <c r="C273" s="223"/>
      <c r="D273" s="223"/>
      <c r="E273" s="223"/>
      <c r="F273" s="223"/>
      <c r="G273" s="223"/>
      <c r="H273" s="223"/>
      <c r="I273" s="223"/>
      <c r="J273" s="223"/>
      <c r="K273" s="320"/>
      <c r="L273" s="320"/>
      <c r="M273" s="223"/>
      <c r="N273" s="223"/>
      <c r="O273" s="223"/>
      <c r="P273" s="223"/>
      <c r="Q273" s="223"/>
      <c r="R273" s="223"/>
      <c r="S273" s="223"/>
      <c r="T273" s="223"/>
      <c r="U273" s="223"/>
      <c r="V273" s="223"/>
      <c r="W273" s="223"/>
    </row>
    <row r="274">
      <c r="A274" s="223"/>
      <c r="B274" s="223"/>
      <c r="C274" s="223"/>
      <c r="D274" s="223"/>
      <c r="E274" s="223"/>
      <c r="F274" s="223"/>
      <c r="G274" s="223"/>
      <c r="H274" s="223"/>
      <c r="I274" s="223"/>
      <c r="J274" s="223"/>
      <c r="K274" s="320"/>
      <c r="L274" s="320"/>
      <c r="M274" s="223"/>
      <c r="N274" s="223"/>
      <c r="O274" s="223"/>
      <c r="P274" s="223"/>
      <c r="Q274" s="223"/>
      <c r="R274" s="223"/>
      <c r="S274" s="223"/>
      <c r="T274" s="223"/>
      <c r="U274" s="223"/>
      <c r="V274" s="223"/>
      <c r="W274" s="223"/>
    </row>
    <row r="275">
      <c r="A275" s="223"/>
      <c r="B275" s="223"/>
      <c r="C275" s="223"/>
      <c r="D275" s="223"/>
      <c r="E275" s="223"/>
      <c r="F275" s="223"/>
      <c r="G275" s="223"/>
      <c r="H275" s="223"/>
      <c r="I275" s="223"/>
      <c r="J275" s="223"/>
      <c r="K275" s="320"/>
      <c r="L275" s="320"/>
      <c r="M275" s="223"/>
      <c r="N275" s="223"/>
      <c r="O275" s="223"/>
      <c r="P275" s="223"/>
      <c r="Q275" s="223"/>
      <c r="R275" s="223"/>
      <c r="S275" s="223"/>
      <c r="T275" s="223"/>
      <c r="U275" s="223"/>
      <c r="V275" s="223"/>
      <c r="W275" s="223"/>
    </row>
    <row r="276">
      <c r="A276" s="223"/>
      <c r="B276" s="223"/>
      <c r="C276" s="223"/>
      <c r="D276" s="223"/>
      <c r="E276" s="223"/>
      <c r="F276" s="223"/>
      <c r="G276" s="223"/>
      <c r="H276" s="223"/>
      <c r="I276" s="223"/>
      <c r="J276" s="223"/>
      <c r="K276" s="320"/>
      <c r="L276" s="320"/>
      <c r="M276" s="223"/>
      <c r="N276" s="223"/>
      <c r="O276" s="223"/>
      <c r="P276" s="223"/>
      <c r="Q276" s="223"/>
      <c r="R276" s="223"/>
      <c r="S276" s="223"/>
      <c r="T276" s="223"/>
      <c r="U276" s="223"/>
      <c r="V276" s="223"/>
      <c r="W276" s="223"/>
    </row>
    <row r="277">
      <c r="A277" s="223"/>
      <c r="B277" s="223"/>
      <c r="C277" s="223"/>
      <c r="D277" s="223"/>
      <c r="E277" s="223"/>
      <c r="F277" s="223"/>
      <c r="G277" s="223"/>
      <c r="H277" s="223"/>
      <c r="I277" s="223"/>
      <c r="J277" s="223"/>
      <c r="K277" s="320"/>
      <c r="L277" s="320"/>
      <c r="M277" s="223"/>
      <c r="N277" s="223"/>
      <c r="O277" s="223"/>
      <c r="P277" s="223"/>
      <c r="Q277" s="223"/>
      <c r="R277" s="223"/>
      <c r="S277" s="223"/>
      <c r="T277" s="223"/>
      <c r="U277" s="223"/>
      <c r="V277" s="223"/>
      <c r="W277" s="223"/>
    </row>
    <row r="278">
      <c r="A278" s="223"/>
      <c r="B278" s="223"/>
      <c r="C278" s="223"/>
      <c r="D278" s="223"/>
      <c r="E278" s="223"/>
      <c r="F278" s="223"/>
      <c r="G278" s="223"/>
      <c r="H278" s="223"/>
      <c r="I278" s="223"/>
      <c r="J278" s="223"/>
      <c r="K278" s="320"/>
      <c r="L278" s="320"/>
      <c r="M278" s="223"/>
      <c r="N278" s="223"/>
      <c r="O278" s="223"/>
      <c r="P278" s="223"/>
      <c r="Q278" s="223"/>
      <c r="R278" s="223"/>
      <c r="S278" s="223"/>
      <c r="T278" s="223"/>
      <c r="U278" s="223"/>
      <c r="V278" s="223"/>
      <c r="W278" s="223"/>
    </row>
    <row r="279">
      <c r="A279" s="223"/>
      <c r="B279" s="223"/>
      <c r="C279" s="223"/>
      <c r="D279" s="223"/>
      <c r="E279" s="223"/>
      <c r="F279" s="223"/>
      <c r="G279" s="223"/>
      <c r="H279" s="223"/>
      <c r="I279" s="223"/>
      <c r="J279" s="223"/>
      <c r="K279" s="320"/>
      <c r="L279" s="320"/>
      <c r="M279" s="223"/>
      <c r="N279" s="223"/>
      <c r="O279" s="223"/>
      <c r="P279" s="223"/>
      <c r="Q279" s="223"/>
      <c r="R279" s="223"/>
      <c r="S279" s="223"/>
      <c r="T279" s="223"/>
      <c r="U279" s="223"/>
      <c r="V279" s="223"/>
      <c r="W279" s="223"/>
    </row>
    <row r="280">
      <c r="A280" s="223"/>
      <c r="B280" s="223"/>
      <c r="C280" s="223"/>
      <c r="D280" s="223"/>
      <c r="E280" s="223"/>
      <c r="F280" s="223"/>
      <c r="G280" s="223"/>
      <c r="H280" s="223"/>
      <c r="I280" s="223"/>
      <c r="J280" s="223"/>
      <c r="K280" s="320"/>
      <c r="L280" s="320"/>
      <c r="M280" s="223"/>
      <c r="N280" s="223"/>
      <c r="O280" s="223"/>
      <c r="P280" s="223"/>
      <c r="Q280" s="223"/>
      <c r="R280" s="223"/>
      <c r="S280" s="223"/>
      <c r="T280" s="223"/>
      <c r="U280" s="223"/>
      <c r="V280" s="223"/>
      <c r="W280" s="223"/>
    </row>
    <row r="281">
      <c r="A281" s="223"/>
      <c r="B281" s="223"/>
      <c r="C281" s="223"/>
      <c r="D281" s="223"/>
      <c r="E281" s="223"/>
      <c r="F281" s="223"/>
      <c r="G281" s="223"/>
      <c r="H281" s="223"/>
      <c r="I281" s="223"/>
      <c r="J281" s="223"/>
      <c r="K281" s="320"/>
      <c r="L281" s="320"/>
      <c r="M281" s="223"/>
      <c r="N281" s="223"/>
      <c r="O281" s="223"/>
      <c r="P281" s="223"/>
      <c r="Q281" s="223"/>
      <c r="R281" s="223"/>
      <c r="S281" s="223"/>
      <c r="T281" s="223"/>
      <c r="U281" s="223"/>
      <c r="V281" s="223"/>
      <c r="W281" s="223"/>
    </row>
    <row r="282">
      <c r="A282" s="223"/>
      <c r="B282" s="223"/>
      <c r="C282" s="223"/>
      <c r="D282" s="223"/>
      <c r="E282" s="223"/>
      <c r="F282" s="223"/>
      <c r="G282" s="223"/>
      <c r="H282" s="223"/>
      <c r="I282" s="223"/>
      <c r="J282" s="223"/>
      <c r="K282" s="320"/>
      <c r="L282" s="320"/>
      <c r="M282" s="223"/>
      <c r="N282" s="223"/>
      <c r="O282" s="223"/>
      <c r="P282" s="223"/>
      <c r="Q282" s="223"/>
      <c r="R282" s="223"/>
      <c r="S282" s="223"/>
      <c r="T282" s="223"/>
      <c r="U282" s="223"/>
      <c r="V282" s="223"/>
      <c r="W282" s="223"/>
    </row>
    <row r="283">
      <c r="A283" s="223"/>
      <c r="B283" s="223"/>
      <c r="C283" s="223"/>
      <c r="D283" s="223"/>
      <c r="E283" s="223"/>
      <c r="F283" s="223"/>
      <c r="G283" s="223"/>
      <c r="H283" s="223"/>
      <c r="I283" s="223"/>
      <c r="J283" s="223"/>
      <c r="K283" s="320"/>
      <c r="L283" s="320"/>
      <c r="M283" s="223"/>
      <c r="N283" s="223"/>
      <c r="O283" s="223"/>
      <c r="P283" s="223"/>
      <c r="Q283" s="223"/>
      <c r="R283" s="223"/>
      <c r="S283" s="223"/>
      <c r="T283" s="223"/>
      <c r="U283" s="223"/>
      <c r="V283" s="223"/>
      <c r="W283" s="223"/>
    </row>
    <row r="284">
      <c r="A284" s="223"/>
      <c r="B284" s="223"/>
      <c r="C284" s="223"/>
      <c r="D284" s="223"/>
      <c r="E284" s="223"/>
      <c r="F284" s="223"/>
      <c r="G284" s="223"/>
      <c r="H284" s="223"/>
      <c r="I284" s="223"/>
      <c r="J284" s="223"/>
      <c r="K284" s="320"/>
      <c r="L284" s="320"/>
      <c r="M284" s="223"/>
      <c r="N284" s="223"/>
      <c r="O284" s="223"/>
      <c r="P284" s="223"/>
      <c r="Q284" s="223"/>
      <c r="R284" s="223"/>
      <c r="S284" s="223"/>
      <c r="T284" s="223"/>
      <c r="U284" s="223"/>
      <c r="V284" s="223"/>
      <c r="W284" s="223"/>
    </row>
    <row r="285">
      <c r="A285" s="223"/>
      <c r="B285" s="223"/>
      <c r="C285" s="223"/>
      <c r="D285" s="223"/>
      <c r="E285" s="223"/>
      <c r="F285" s="223"/>
      <c r="G285" s="223"/>
      <c r="H285" s="223"/>
      <c r="I285" s="223"/>
      <c r="J285" s="223"/>
      <c r="K285" s="320"/>
      <c r="L285" s="320"/>
      <c r="M285" s="223"/>
      <c r="N285" s="223"/>
      <c r="O285" s="223"/>
      <c r="P285" s="223"/>
      <c r="Q285" s="223"/>
      <c r="R285" s="223"/>
      <c r="S285" s="223"/>
      <c r="T285" s="223"/>
      <c r="U285" s="223"/>
      <c r="V285" s="223"/>
      <c r="W285" s="223"/>
    </row>
    <row r="286">
      <c r="A286" s="223"/>
      <c r="B286" s="223"/>
      <c r="C286" s="223"/>
      <c r="D286" s="223"/>
      <c r="E286" s="223"/>
      <c r="F286" s="223"/>
      <c r="G286" s="223"/>
      <c r="H286" s="223"/>
      <c r="I286" s="223"/>
      <c r="J286" s="223"/>
      <c r="K286" s="320"/>
      <c r="L286" s="320"/>
      <c r="M286" s="223"/>
      <c r="N286" s="223"/>
      <c r="O286" s="223"/>
      <c r="P286" s="223"/>
      <c r="Q286" s="223"/>
      <c r="R286" s="223"/>
      <c r="S286" s="223"/>
      <c r="T286" s="223"/>
      <c r="U286" s="223"/>
      <c r="V286" s="223"/>
      <c r="W286" s="223"/>
    </row>
    <row r="287">
      <c r="A287" s="223"/>
      <c r="B287" s="223"/>
      <c r="C287" s="223"/>
      <c r="D287" s="223"/>
      <c r="E287" s="223"/>
      <c r="F287" s="223"/>
      <c r="G287" s="223"/>
      <c r="H287" s="223"/>
      <c r="I287" s="223"/>
      <c r="J287" s="223"/>
      <c r="K287" s="320"/>
      <c r="L287" s="320"/>
      <c r="M287" s="223"/>
      <c r="N287" s="223"/>
      <c r="O287" s="223"/>
      <c r="P287" s="223"/>
      <c r="Q287" s="223"/>
      <c r="R287" s="223"/>
      <c r="S287" s="223"/>
      <c r="T287" s="223"/>
      <c r="U287" s="223"/>
      <c r="V287" s="223"/>
      <c r="W287" s="223"/>
    </row>
    <row r="288">
      <c r="A288" s="223"/>
      <c r="B288" s="223"/>
      <c r="C288" s="223"/>
      <c r="D288" s="223"/>
      <c r="E288" s="223"/>
      <c r="F288" s="223"/>
      <c r="G288" s="223"/>
      <c r="H288" s="223"/>
      <c r="I288" s="223"/>
      <c r="J288" s="223"/>
      <c r="K288" s="320"/>
      <c r="L288" s="320"/>
      <c r="M288" s="223"/>
      <c r="N288" s="223"/>
      <c r="O288" s="223"/>
      <c r="P288" s="223"/>
      <c r="Q288" s="223"/>
      <c r="R288" s="223"/>
      <c r="S288" s="223"/>
      <c r="T288" s="223"/>
      <c r="U288" s="223"/>
      <c r="V288" s="223"/>
      <c r="W288" s="223"/>
    </row>
    <row r="289">
      <c r="A289" s="223"/>
      <c r="B289" s="223"/>
      <c r="C289" s="223"/>
      <c r="D289" s="223"/>
      <c r="E289" s="223"/>
      <c r="F289" s="223"/>
      <c r="G289" s="223"/>
      <c r="H289" s="223"/>
      <c r="I289" s="223"/>
      <c r="J289" s="223"/>
      <c r="K289" s="320"/>
      <c r="L289" s="320"/>
      <c r="M289" s="223"/>
      <c r="N289" s="223"/>
      <c r="O289" s="223"/>
      <c r="P289" s="223"/>
      <c r="Q289" s="223"/>
      <c r="R289" s="223"/>
      <c r="S289" s="223"/>
      <c r="T289" s="223"/>
      <c r="U289" s="223"/>
      <c r="V289" s="223"/>
      <c r="W289" s="223"/>
    </row>
    <row r="290">
      <c r="A290" s="223"/>
      <c r="B290" s="223"/>
      <c r="C290" s="223"/>
      <c r="D290" s="223"/>
      <c r="E290" s="223"/>
      <c r="F290" s="223"/>
      <c r="G290" s="223"/>
      <c r="H290" s="223"/>
      <c r="I290" s="223"/>
      <c r="J290" s="223"/>
      <c r="K290" s="320"/>
      <c r="L290" s="320"/>
      <c r="M290" s="223"/>
      <c r="N290" s="223"/>
      <c r="O290" s="223"/>
      <c r="P290" s="223"/>
      <c r="Q290" s="223"/>
      <c r="R290" s="223"/>
      <c r="S290" s="223"/>
      <c r="T290" s="223"/>
      <c r="U290" s="223"/>
      <c r="V290" s="223"/>
      <c r="W290" s="223"/>
    </row>
    <row r="291">
      <c r="A291" s="223"/>
      <c r="B291" s="223"/>
      <c r="C291" s="223"/>
      <c r="D291" s="223"/>
      <c r="E291" s="223"/>
      <c r="F291" s="223"/>
      <c r="G291" s="223"/>
      <c r="H291" s="223"/>
      <c r="I291" s="223"/>
      <c r="J291" s="223"/>
      <c r="K291" s="320"/>
      <c r="L291" s="320"/>
      <c r="M291" s="223"/>
      <c r="N291" s="223"/>
      <c r="O291" s="223"/>
      <c r="P291" s="223"/>
      <c r="Q291" s="223"/>
      <c r="R291" s="223"/>
      <c r="S291" s="223"/>
      <c r="T291" s="223"/>
      <c r="U291" s="223"/>
      <c r="V291" s="223"/>
      <c r="W291" s="223"/>
    </row>
    <row r="292">
      <c r="A292" s="223"/>
      <c r="B292" s="223"/>
      <c r="C292" s="223"/>
      <c r="D292" s="223"/>
      <c r="E292" s="223"/>
      <c r="F292" s="223"/>
      <c r="G292" s="223"/>
      <c r="H292" s="223"/>
      <c r="I292" s="223"/>
      <c r="J292" s="223"/>
      <c r="K292" s="320"/>
      <c r="L292" s="320"/>
      <c r="M292" s="223"/>
      <c r="N292" s="223"/>
      <c r="O292" s="223"/>
      <c r="P292" s="223"/>
      <c r="Q292" s="223"/>
      <c r="R292" s="223"/>
      <c r="S292" s="223"/>
      <c r="T292" s="223"/>
      <c r="U292" s="223"/>
      <c r="V292" s="223"/>
      <c r="W292" s="223"/>
    </row>
    <row r="293">
      <c r="A293" s="223"/>
      <c r="B293" s="223"/>
      <c r="C293" s="223"/>
      <c r="D293" s="223"/>
      <c r="E293" s="223"/>
      <c r="F293" s="223"/>
      <c r="G293" s="223"/>
      <c r="H293" s="223"/>
      <c r="I293" s="223"/>
      <c r="J293" s="223"/>
      <c r="K293" s="320"/>
      <c r="L293" s="320"/>
      <c r="M293" s="223"/>
      <c r="N293" s="223"/>
      <c r="O293" s="223"/>
      <c r="P293" s="223"/>
      <c r="Q293" s="223"/>
      <c r="R293" s="223"/>
      <c r="S293" s="223"/>
      <c r="T293" s="223"/>
      <c r="U293" s="223"/>
      <c r="V293" s="223"/>
      <c r="W293" s="223"/>
    </row>
    <row r="294">
      <c r="A294" s="223"/>
      <c r="B294" s="223"/>
      <c r="C294" s="223"/>
      <c r="D294" s="223"/>
      <c r="E294" s="223"/>
      <c r="F294" s="223"/>
      <c r="G294" s="223"/>
      <c r="H294" s="223"/>
      <c r="I294" s="223"/>
      <c r="J294" s="223"/>
      <c r="K294" s="320"/>
      <c r="L294" s="320"/>
      <c r="M294" s="223"/>
      <c r="N294" s="223"/>
      <c r="O294" s="223"/>
      <c r="P294" s="223"/>
      <c r="Q294" s="223"/>
      <c r="R294" s="223"/>
      <c r="S294" s="223"/>
      <c r="T294" s="223"/>
      <c r="U294" s="223"/>
      <c r="V294" s="223"/>
      <c r="W294" s="223"/>
    </row>
    <row r="295">
      <c r="A295" s="223"/>
      <c r="B295" s="223"/>
      <c r="C295" s="223"/>
      <c r="D295" s="223"/>
      <c r="E295" s="223"/>
      <c r="F295" s="223"/>
      <c r="G295" s="223"/>
      <c r="H295" s="223"/>
      <c r="I295" s="223"/>
      <c r="J295" s="223"/>
      <c r="K295" s="320"/>
      <c r="L295" s="320"/>
      <c r="M295" s="223"/>
      <c r="N295" s="223"/>
      <c r="O295" s="223"/>
      <c r="P295" s="223"/>
      <c r="Q295" s="223"/>
      <c r="R295" s="223"/>
      <c r="S295" s="223"/>
      <c r="T295" s="223"/>
      <c r="U295" s="223"/>
      <c r="V295" s="223"/>
      <c r="W295" s="223"/>
    </row>
    <row r="296">
      <c r="A296" s="223"/>
      <c r="B296" s="223"/>
      <c r="C296" s="223"/>
      <c r="D296" s="223"/>
      <c r="E296" s="223"/>
      <c r="F296" s="223"/>
      <c r="G296" s="223"/>
      <c r="H296" s="223"/>
      <c r="I296" s="223"/>
      <c r="J296" s="223"/>
      <c r="K296" s="320"/>
      <c r="L296" s="320"/>
      <c r="M296" s="223"/>
      <c r="N296" s="223"/>
      <c r="O296" s="223"/>
      <c r="P296" s="223"/>
      <c r="Q296" s="223"/>
      <c r="R296" s="223"/>
      <c r="S296" s="223"/>
      <c r="T296" s="223"/>
      <c r="U296" s="223"/>
      <c r="V296" s="223"/>
      <c r="W296" s="223"/>
    </row>
    <row r="297">
      <c r="A297" s="223"/>
      <c r="B297" s="223"/>
      <c r="C297" s="223"/>
      <c r="D297" s="223"/>
      <c r="E297" s="223"/>
      <c r="F297" s="223"/>
      <c r="G297" s="223"/>
      <c r="H297" s="223"/>
      <c r="I297" s="223"/>
      <c r="J297" s="223"/>
      <c r="K297" s="320"/>
      <c r="L297" s="320"/>
      <c r="M297" s="223"/>
      <c r="N297" s="223"/>
      <c r="O297" s="223"/>
      <c r="P297" s="223"/>
      <c r="Q297" s="223"/>
      <c r="R297" s="223"/>
      <c r="S297" s="223"/>
      <c r="T297" s="223"/>
      <c r="U297" s="223"/>
      <c r="V297" s="223"/>
      <c r="W297" s="223"/>
    </row>
    <row r="298">
      <c r="A298" s="223"/>
      <c r="B298" s="223"/>
      <c r="C298" s="223"/>
      <c r="D298" s="223"/>
      <c r="E298" s="223"/>
      <c r="F298" s="223"/>
      <c r="G298" s="223"/>
      <c r="H298" s="223"/>
      <c r="I298" s="223"/>
      <c r="J298" s="223"/>
      <c r="K298" s="320"/>
      <c r="L298" s="320"/>
      <c r="M298" s="223"/>
      <c r="N298" s="223"/>
      <c r="O298" s="223"/>
      <c r="P298" s="223"/>
      <c r="Q298" s="223"/>
      <c r="R298" s="223"/>
      <c r="S298" s="223"/>
      <c r="T298" s="223"/>
      <c r="U298" s="223"/>
      <c r="V298" s="223"/>
      <c r="W298" s="223"/>
    </row>
    <row r="299">
      <c r="A299" s="223"/>
      <c r="B299" s="223"/>
      <c r="C299" s="223"/>
      <c r="D299" s="223"/>
      <c r="E299" s="223"/>
      <c r="F299" s="223"/>
      <c r="G299" s="223"/>
      <c r="H299" s="223"/>
      <c r="I299" s="223"/>
      <c r="J299" s="223"/>
      <c r="K299" s="320"/>
      <c r="L299" s="320"/>
      <c r="M299" s="223"/>
      <c r="N299" s="223"/>
      <c r="O299" s="223"/>
      <c r="P299" s="223"/>
      <c r="Q299" s="223"/>
      <c r="R299" s="223"/>
      <c r="S299" s="223"/>
      <c r="T299" s="223"/>
      <c r="U299" s="223"/>
      <c r="V299" s="223"/>
      <c r="W299" s="223"/>
    </row>
    <row r="300">
      <c r="A300" s="223"/>
      <c r="B300" s="223"/>
      <c r="C300" s="223"/>
      <c r="D300" s="223"/>
      <c r="E300" s="223"/>
      <c r="F300" s="223"/>
      <c r="G300" s="223"/>
      <c r="H300" s="223"/>
      <c r="I300" s="223"/>
      <c r="J300" s="223"/>
      <c r="K300" s="320"/>
      <c r="L300" s="320"/>
      <c r="M300" s="223"/>
      <c r="N300" s="223"/>
      <c r="O300" s="223"/>
      <c r="P300" s="223"/>
      <c r="Q300" s="223"/>
      <c r="R300" s="223"/>
      <c r="S300" s="223"/>
      <c r="T300" s="223"/>
      <c r="U300" s="223"/>
      <c r="V300" s="223"/>
      <c r="W300" s="223"/>
    </row>
    <row r="301">
      <c r="A301" s="223"/>
      <c r="B301" s="223"/>
      <c r="C301" s="223"/>
      <c r="D301" s="223"/>
      <c r="E301" s="223"/>
      <c r="F301" s="223"/>
      <c r="G301" s="223"/>
      <c r="H301" s="223"/>
      <c r="I301" s="223"/>
      <c r="J301" s="223"/>
      <c r="K301" s="320"/>
      <c r="L301" s="320"/>
      <c r="M301" s="223"/>
      <c r="N301" s="223"/>
      <c r="O301" s="223"/>
      <c r="P301" s="223"/>
      <c r="Q301" s="223"/>
      <c r="R301" s="223"/>
      <c r="S301" s="223"/>
      <c r="T301" s="223"/>
      <c r="U301" s="223"/>
      <c r="V301" s="223"/>
      <c r="W301" s="223"/>
    </row>
    <row r="302">
      <c r="A302" s="223"/>
      <c r="B302" s="223"/>
      <c r="C302" s="223"/>
      <c r="D302" s="223"/>
      <c r="E302" s="223"/>
      <c r="F302" s="223"/>
      <c r="G302" s="223"/>
      <c r="H302" s="223"/>
      <c r="I302" s="223"/>
      <c r="J302" s="223"/>
      <c r="K302" s="320"/>
      <c r="L302" s="320"/>
      <c r="M302" s="223"/>
      <c r="N302" s="223"/>
      <c r="O302" s="223"/>
      <c r="P302" s="223"/>
      <c r="Q302" s="223"/>
      <c r="R302" s="223"/>
      <c r="S302" s="223"/>
      <c r="T302" s="223"/>
      <c r="U302" s="223"/>
      <c r="V302" s="223"/>
      <c r="W302" s="223"/>
    </row>
    <row r="303">
      <c r="A303" s="223"/>
      <c r="B303" s="223"/>
      <c r="C303" s="223"/>
      <c r="D303" s="223"/>
      <c r="E303" s="223"/>
      <c r="F303" s="223"/>
      <c r="G303" s="223"/>
      <c r="H303" s="223"/>
      <c r="I303" s="223"/>
      <c r="J303" s="223"/>
      <c r="K303" s="320"/>
      <c r="L303" s="320"/>
      <c r="M303" s="223"/>
      <c r="N303" s="223"/>
      <c r="O303" s="223"/>
      <c r="P303" s="223"/>
      <c r="Q303" s="223"/>
      <c r="R303" s="223"/>
      <c r="S303" s="223"/>
      <c r="T303" s="223"/>
      <c r="U303" s="223"/>
      <c r="V303" s="223"/>
      <c r="W303" s="223"/>
    </row>
    <row r="304">
      <c r="A304" s="223"/>
      <c r="B304" s="223"/>
      <c r="C304" s="223"/>
      <c r="D304" s="223"/>
      <c r="E304" s="223"/>
      <c r="F304" s="223"/>
      <c r="G304" s="223"/>
      <c r="H304" s="223"/>
      <c r="I304" s="223"/>
      <c r="J304" s="223"/>
      <c r="K304" s="320"/>
      <c r="L304" s="320"/>
      <c r="M304" s="223"/>
      <c r="N304" s="223"/>
      <c r="O304" s="223"/>
      <c r="P304" s="223"/>
      <c r="Q304" s="223"/>
      <c r="R304" s="223"/>
      <c r="S304" s="223"/>
      <c r="T304" s="223"/>
      <c r="U304" s="223"/>
      <c r="V304" s="223"/>
      <c r="W304" s="223"/>
    </row>
    <row r="305">
      <c r="A305" s="223"/>
      <c r="B305" s="223"/>
      <c r="C305" s="223"/>
      <c r="D305" s="223"/>
      <c r="E305" s="223"/>
      <c r="F305" s="223"/>
      <c r="G305" s="223"/>
      <c r="H305" s="223"/>
      <c r="I305" s="223"/>
      <c r="J305" s="223"/>
      <c r="K305" s="320"/>
      <c r="L305" s="320"/>
      <c r="M305" s="223"/>
      <c r="N305" s="223"/>
      <c r="O305" s="223"/>
      <c r="P305" s="223"/>
      <c r="Q305" s="223"/>
      <c r="R305" s="223"/>
      <c r="S305" s="223"/>
      <c r="T305" s="223"/>
      <c r="U305" s="223"/>
      <c r="V305" s="223"/>
      <c r="W305" s="223"/>
    </row>
    <row r="306">
      <c r="A306" s="223"/>
      <c r="B306" s="223"/>
      <c r="C306" s="223"/>
      <c r="D306" s="223"/>
      <c r="E306" s="223"/>
      <c r="F306" s="223"/>
      <c r="G306" s="223"/>
      <c r="H306" s="223"/>
      <c r="I306" s="223"/>
      <c r="J306" s="223"/>
      <c r="K306" s="320"/>
      <c r="L306" s="320"/>
      <c r="M306" s="223"/>
      <c r="N306" s="223"/>
      <c r="O306" s="223"/>
      <c r="P306" s="223"/>
      <c r="Q306" s="223"/>
      <c r="R306" s="223"/>
      <c r="S306" s="223"/>
      <c r="T306" s="223"/>
      <c r="U306" s="223"/>
      <c r="V306" s="223"/>
      <c r="W306" s="223"/>
    </row>
    <row r="307">
      <c r="A307" s="223"/>
      <c r="B307" s="223"/>
      <c r="C307" s="223"/>
      <c r="D307" s="223"/>
      <c r="E307" s="223"/>
      <c r="F307" s="223"/>
      <c r="G307" s="223"/>
      <c r="H307" s="223"/>
      <c r="I307" s="223"/>
      <c r="J307" s="223"/>
      <c r="K307" s="320"/>
      <c r="L307" s="320"/>
      <c r="M307" s="223"/>
      <c r="N307" s="223"/>
      <c r="O307" s="223"/>
      <c r="P307" s="223"/>
      <c r="Q307" s="223"/>
      <c r="R307" s="223"/>
      <c r="S307" s="223"/>
      <c r="T307" s="223"/>
      <c r="U307" s="223"/>
      <c r="V307" s="223"/>
      <c r="W307" s="223"/>
    </row>
    <row r="308">
      <c r="A308" s="223"/>
      <c r="B308" s="223"/>
      <c r="C308" s="223"/>
      <c r="D308" s="223"/>
      <c r="E308" s="223"/>
      <c r="F308" s="223"/>
      <c r="G308" s="223"/>
      <c r="H308" s="223"/>
      <c r="I308" s="223"/>
      <c r="J308" s="223"/>
      <c r="K308" s="320"/>
      <c r="L308" s="320"/>
      <c r="M308" s="223"/>
      <c r="N308" s="223"/>
      <c r="O308" s="223"/>
      <c r="P308" s="223"/>
      <c r="Q308" s="223"/>
      <c r="R308" s="223"/>
      <c r="S308" s="223"/>
      <c r="T308" s="223"/>
      <c r="U308" s="223"/>
      <c r="V308" s="223"/>
      <c r="W308" s="223"/>
    </row>
    <row r="309">
      <c r="A309" s="223"/>
      <c r="B309" s="223"/>
      <c r="C309" s="223"/>
      <c r="D309" s="223"/>
      <c r="E309" s="223"/>
      <c r="F309" s="223"/>
      <c r="G309" s="223"/>
      <c r="H309" s="223"/>
      <c r="I309" s="223"/>
      <c r="J309" s="223"/>
      <c r="K309" s="320"/>
      <c r="L309" s="320"/>
      <c r="M309" s="223"/>
      <c r="N309" s="223"/>
      <c r="O309" s="223"/>
      <c r="P309" s="223"/>
      <c r="Q309" s="223"/>
      <c r="R309" s="223"/>
      <c r="S309" s="223"/>
      <c r="T309" s="223"/>
      <c r="U309" s="223"/>
      <c r="V309" s="223"/>
      <c r="W309" s="223"/>
    </row>
    <row r="310">
      <c r="A310" s="223"/>
      <c r="B310" s="223"/>
      <c r="C310" s="223"/>
      <c r="D310" s="223"/>
      <c r="E310" s="223"/>
      <c r="F310" s="223"/>
      <c r="G310" s="223"/>
      <c r="H310" s="223"/>
      <c r="I310" s="223"/>
      <c r="J310" s="223"/>
      <c r="K310" s="320"/>
      <c r="L310" s="320"/>
      <c r="M310" s="223"/>
      <c r="N310" s="223"/>
      <c r="O310" s="223"/>
      <c r="P310" s="223"/>
      <c r="Q310" s="223"/>
      <c r="R310" s="223"/>
      <c r="S310" s="223"/>
      <c r="T310" s="223"/>
      <c r="U310" s="223"/>
      <c r="V310" s="223"/>
      <c r="W310" s="223"/>
    </row>
    <row r="311">
      <c r="A311" s="223"/>
      <c r="B311" s="223"/>
      <c r="C311" s="223"/>
      <c r="D311" s="223"/>
      <c r="E311" s="223"/>
      <c r="F311" s="223"/>
      <c r="G311" s="223"/>
      <c r="H311" s="223"/>
      <c r="I311" s="223"/>
      <c r="J311" s="223"/>
      <c r="K311" s="320"/>
      <c r="L311" s="320"/>
      <c r="M311" s="223"/>
      <c r="N311" s="223"/>
      <c r="O311" s="223"/>
      <c r="P311" s="223"/>
      <c r="Q311" s="223"/>
      <c r="R311" s="223"/>
      <c r="S311" s="223"/>
      <c r="T311" s="223"/>
      <c r="U311" s="223"/>
      <c r="V311" s="223"/>
      <c r="W311" s="223"/>
    </row>
    <row r="312">
      <c r="A312" s="223"/>
      <c r="B312" s="223"/>
      <c r="C312" s="223"/>
      <c r="D312" s="223"/>
      <c r="E312" s="223"/>
      <c r="F312" s="223"/>
      <c r="G312" s="223"/>
      <c r="H312" s="223"/>
      <c r="I312" s="223"/>
      <c r="J312" s="223"/>
      <c r="K312" s="320"/>
      <c r="L312" s="320"/>
      <c r="M312" s="223"/>
      <c r="N312" s="223"/>
      <c r="O312" s="223"/>
      <c r="P312" s="223"/>
      <c r="Q312" s="223"/>
      <c r="R312" s="223"/>
      <c r="S312" s="223"/>
      <c r="T312" s="223"/>
      <c r="U312" s="223"/>
      <c r="V312" s="223"/>
      <c r="W312" s="223"/>
    </row>
    <row r="313">
      <c r="A313" s="223"/>
      <c r="B313" s="223"/>
      <c r="C313" s="223"/>
      <c r="D313" s="223"/>
      <c r="E313" s="223"/>
      <c r="F313" s="223"/>
      <c r="G313" s="223"/>
      <c r="H313" s="223"/>
      <c r="I313" s="223"/>
      <c r="J313" s="223"/>
      <c r="K313" s="320"/>
      <c r="L313" s="320"/>
      <c r="M313" s="223"/>
      <c r="N313" s="223"/>
      <c r="O313" s="223"/>
      <c r="P313" s="223"/>
      <c r="Q313" s="223"/>
      <c r="R313" s="223"/>
      <c r="S313" s="223"/>
      <c r="T313" s="223"/>
      <c r="U313" s="223"/>
      <c r="V313" s="223"/>
      <c r="W313" s="223"/>
    </row>
    <row r="314">
      <c r="A314" s="223"/>
      <c r="B314" s="223"/>
      <c r="C314" s="223"/>
      <c r="D314" s="223"/>
      <c r="E314" s="223"/>
      <c r="F314" s="223"/>
      <c r="G314" s="223"/>
      <c r="H314" s="223"/>
      <c r="I314" s="223"/>
      <c r="J314" s="223"/>
      <c r="K314" s="320"/>
      <c r="L314" s="320"/>
      <c r="M314" s="223"/>
      <c r="N314" s="223"/>
      <c r="O314" s="223"/>
      <c r="P314" s="223"/>
      <c r="Q314" s="223"/>
      <c r="R314" s="223"/>
      <c r="S314" s="223"/>
      <c r="T314" s="223"/>
      <c r="U314" s="223"/>
      <c r="V314" s="223"/>
      <c r="W314" s="223"/>
    </row>
    <row r="315">
      <c r="A315" s="223"/>
      <c r="B315" s="223"/>
      <c r="C315" s="223"/>
      <c r="D315" s="223"/>
      <c r="E315" s="223"/>
      <c r="F315" s="223"/>
      <c r="G315" s="223"/>
      <c r="H315" s="223"/>
      <c r="I315" s="223"/>
      <c r="J315" s="223"/>
      <c r="K315" s="320"/>
      <c r="L315" s="320"/>
      <c r="M315" s="223"/>
      <c r="N315" s="223"/>
      <c r="O315" s="223"/>
      <c r="P315" s="223"/>
      <c r="Q315" s="223"/>
      <c r="R315" s="223"/>
      <c r="S315" s="223"/>
      <c r="T315" s="223"/>
      <c r="U315" s="223"/>
      <c r="V315" s="223"/>
      <c r="W315" s="223"/>
    </row>
    <row r="316">
      <c r="A316" s="223"/>
      <c r="B316" s="223"/>
      <c r="C316" s="223"/>
      <c r="D316" s="223"/>
      <c r="E316" s="223"/>
      <c r="F316" s="223"/>
      <c r="G316" s="223"/>
      <c r="H316" s="223"/>
      <c r="I316" s="223"/>
      <c r="J316" s="223"/>
      <c r="K316" s="320"/>
      <c r="L316" s="320"/>
      <c r="M316" s="223"/>
      <c r="N316" s="223"/>
      <c r="O316" s="223"/>
      <c r="P316" s="223"/>
      <c r="Q316" s="223"/>
      <c r="R316" s="223"/>
      <c r="S316" s="223"/>
      <c r="T316" s="223"/>
      <c r="U316" s="223"/>
      <c r="V316" s="223"/>
      <c r="W316" s="223"/>
    </row>
    <row r="317">
      <c r="A317" s="223"/>
      <c r="B317" s="223"/>
      <c r="C317" s="223"/>
      <c r="D317" s="223"/>
      <c r="E317" s="223"/>
      <c r="F317" s="223"/>
      <c r="G317" s="223"/>
      <c r="H317" s="223"/>
      <c r="I317" s="223"/>
      <c r="J317" s="223"/>
      <c r="K317" s="320"/>
      <c r="L317" s="320"/>
      <c r="M317" s="223"/>
      <c r="N317" s="223"/>
      <c r="O317" s="223"/>
      <c r="P317" s="223"/>
      <c r="Q317" s="223"/>
      <c r="R317" s="223"/>
      <c r="S317" s="223"/>
      <c r="T317" s="223"/>
      <c r="U317" s="223"/>
      <c r="V317" s="223"/>
      <c r="W317" s="223"/>
    </row>
    <row r="318">
      <c r="A318" s="223"/>
      <c r="B318" s="223"/>
      <c r="C318" s="223"/>
      <c r="D318" s="223"/>
      <c r="E318" s="223"/>
      <c r="F318" s="223"/>
      <c r="G318" s="223"/>
      <c r="H318" s="223"/>
      <c r="I318" s="223"/>
      <c r="J318" s="223"/>
      <c r="K318" s="320"/>
      <c r="L318" s="320"/>
      <c r="M318" s="223"/>
      <c r="N318" s="223"/>
      <c r="O318" s="223"/>
      <c r="P318" s="223"/>
      <c r="Q318" s="223"/>
      <c r="R318" s="223"/>
      <c r="S318" s="223"/>
      <c r="T318" s="223"/>
      <c r="U318" s="223"/>
      <c r="V318" s="223"/>
      <c r="W318" s="223"/>
    </row>
    <row r="319">
      <c r="A319" s="223"/>
      <c r="B319" s="223"/>
      <c r="C319" s="223"/>
      <c r="D319" s="223"/>
      <c r="E319" s="223"/>
      <c r="F319" s="223"/>
      <c r="G319" s="223"/>
      <c r="H319" s="223"/>
      <c r="I319" s="223"/>
      <c r="J319" s="223"/>
      <c r="K319" s="320"/>
      <c r="L319" s="320"/>
      <c r="M319" s="223"/>
      <c r="N319" s="223"/>
      <c r="O319" s="223"/>
      <c r="P319" s="223"/>
      <c r="Q319" s="223"/>
      <c r="R319" s="223"/>
      <c r="S319" s="223"/>
      <c r="T319" s="223"/>
      <c r="U319" s="223"/>
      <c r="V319" s="223"/>
      <c r="W319" s="223"/>
    </row>
    <row r="320">
      <c r="A320" s="223"/>
      <c r="B320" s="223"/>
      <c r="C320" s="223"/>
      <c r="D320" s="223"/>
      <c r="E320" s="223"/>
      <c r="F320" s="223"/>
      <c r="G320" s="223"/>
      <c r="H320" s="223"/>
      <c r="I320" s="223"/>
      <c r="J320" s="223"/>
      <c r="K320" s="320"/>
      <c r="L320" s="320"/>
      <c r="M320" s="223"/>
      <c r="N320" s="223"/>
      <c r="O320" s="223"/>
      <c r="P320" s="223"/>
      <c r="Q320" s="223"/>
      <c r="R320" s="223"/>
      <c r="S320" s="223"/>
      <c r="T320" s="223"/>
      <c r="U320" s="223"/>
      <c r="V320" s="223"/>
      <c r="W320" s="223"/>
    </row>
    <row r="321">
      <c r="A321" s="223"/>
      <c r="B321" s="223"/>
      <c r="C321" s="223"/>
      <c r="D321" s="223"/>
      <c r="E321" s="223"/>
      <c r="F321" s="223"/>
      <c r="G321" s="223"/>
      <c r="H321" s="223"/>
      <c r="I321" s="223"/>
      <c r="J321" s="223"/>
      <c r="K321" s="320"/>
      <c r="L321" s="320"/>
      <c r="M321" s="223"/>
      <c r="N321" s="223"/>
      <c r="O321" s="223"/>
      <c r="P321" s="223"/>
      <c r="Q321" s="223"/>
      <c r="R321" s="223"/>
      <c r="S321" s="223"/>
      <c r="T321" s="223"/>
      <c r="U321" s="223"/>
      <c r="V321" s="223"/>
      <c r="W321" s="223"/>
    </row>
    <row r="322">
      <c r="A322" s="223"/>
      <c r="B322" s="223"/>
      <c r="C322" s="223"/>
      <c r="D322" s="223"/>
      <c r="E322" s="223"/>
      <c r="F322" s="223"/>
      <c r="G322" s="223"/>
      <c r="H322" s="223"/>
      <c r="I322" s="223"/>
      <c r="J322" s="223"/>
      <c r="K322" s="320"/>
      <c r="L322" s="320"/>
      <c r="M322" s="223"/>
      <c r="N322" s="223"/>
      <c r="O322" s="223"/>
      <c r="P322" s="223"/>
      <c r="Q322" s="223"/>
      <c r="R322" s="223"/>
      <c r="S322" s="223"/>
      <c r="T322" s="223"/>
      <c r="U322" s="223"/>
      <c r="V322" s="223"/>
      <c r="W322" s="223"/>
    </row>
    <row r="323">
      <c r="A323" s="223"/>
      <c r="B323" s="223"/>
      <c r="C323" s="223"/>
      <c r="D323" s="223"/>
      <c r="E323" s="223"/>
      <c r="F323" s="223"/>
      <c r="G323" s="223"/>
      <c r="H323" s="223"/>
      <c r="I323" s="223"/>
      <c r="J323" s="223"/>
      <c r="K323" s="320"/>
      <c r="L323" s="320"/>
      <c r="M323" s="223"/>
      <c r="N323" s="223"/>
      <c r="O323" s="223"/>
      <c r="P323" s="223"/>
      <c r="Q323" s="223"/>
      <c r="R323" s="223"/>
      <c r="S323" s="223"/>
      <c r="T323" s="223"/>
      <c r="U323" s="223"/>
      <c r="V323" s="223"/>
      <c r="W323" s="223"/>
    </row>
    <row r="324">
      <c r="A324" s="223"/>
      <c r="B324" s="223"/>
      <c r="C324" s="223"/>
      <c r="D324" s="223"/>
      <c r="E324" s="223"/>
      <c r="F324" s="223"/>
      <c r="G324" s="223"/>
      <c r="H324" s="223"/>
      <c r="I324" s="223"/>
      <c r="J324" s="223"/>
      <c r="K324" s="320"/>
      <c r="L324" s="320"/>
      <c r="M324" s="223"/>
      <c r="N324" s="223"/>
      <c r="O324" s="223"/>
      <c r="P324" s="223"/>
      <c r="Q324" s="223"/>
      <c r="R324" s="223"/>
      <c r="S324" s="223"/>
      <c r="T324" s="223"/>
      <c r="U324" s="223"/>
      <c r="V324" s="223"/>
      <c r="W324" s="223"/>
    </row>
    <row r="325">
      <c r="A325" s="223"/>
      <c r="B325" s="223"/>
      <c r="C325" s="223"/>
      <c r="D325" s="223"/>
      <c r="E325" s="223"/>
      <c r="F325" s="223"/>
      <c r="G325" s="223"/>
      <c r="H325" s="223"/>
      <c r="I325" s="223"/>
      <c r="J325" s="223"/>
      <c r="K325" s="320"/>
      <c r="L325" s="320"/>
      <c r="M325" s="223"/>
      <c r="N325" s="223"/>
      <c r="O325" s="223"/>
      <c r="P325" s="223"/>
      <c r="Q325" s="223"/>
      <c r="R325" s="223"/>
      <c r="S325" s="223"/>
      <c r="T325" s="223"/>
      <c r="U325" s="223"/>
      <c r="V325" s="223"/>
      <c r="W325" s="223"/>
    </row>
    <row r="326">
      <c r="A326" s="223"/>
      <c r="B326" s="223"/>
      <c r="C326" s="223"/>
      <c r="D326" s="223"/>
      <c r="E326" s="223"/>
      <c r="F326" s="223"/>
      <c r="G326" s="223"/>
      <c r="H326" s="223"/>
      <c r="I326" s="223"/>
      <c r="J326" s="223"/>
      <c r="K326" s="320"/>
      <c r="L326" s="320"/>
      <c r="M326" s="223"/>
      <c r="N326" s="223"/>
      <c r="O326" s="223"/>
      <c r="P326" s="223"/>
      <c r="Q326" s="223"/>
      <c r="R326" s="223"/>
      <c r="S326" s="223"/>
      <c r="T326" s="223"/>
      <c r="U326" s="223"/>
      <c r="V326" s="223"/>
      <c r="W326" s="223"/>
    </row>
    <row r="327">
      <c r="A327" s="223"/>
      <c r="B327" s="223"/>
      <c r="C327" s="223"/>
      <c r="D327" s="223"/>
      <c r="E327" s="223"/>
      <c r="F327" s="223"/>
      <c r="G327" s="223"/>
      <c r="H327" s="223"/>
      <c r="I327" s="223"/>
      <c r="J327" s="223"/>
      <c r="K327" s="320"/>
      <c r="L327" s="320"/>
      <c r="M327" s="223"/>
      <c r="N327" s="223"/>
      <c r="O327" s="223"/>
      <c r="P327" s="223"/>
      <c r="Q327" s="223"/>
      <c r="R327" s="223"/>
      <c r="S327" s="223"/>
      <c r="T327" s="223"/>
      <c r="U327" s="223"/>
      <c r="V327" s="223"/>
      <c r="W327" s="223"/>
    </row>
    <row r="328">
      <c r="A328" s="223"/>
      <c r="B328" s="223"/>
      <c r="C328" s="223"/>
      <c r="D328" s="223"/>
      <c r="E328" s="223"/>
      <c r="F328" s="223"/>
      <c r="G328" s="223"/>
      <c r="H328" s="223"/>
      <c r="I328" s="223"/>
      <c r="J328" s="223"/>
      <c r="K328" s="320"/>
      <c r="L328" s="320"/>
      <c r="M328" s="223"/>
      <c r="N328" s="223"/>
      <c r="O328" s="223"/>
      <c r="P328" s="223"/>
      <c r="Q328" s="223"/>
      <c r="R328" s="223"/>
      <c r="S328" s="223"/>
      <c r="T328" s="223"/>
      <c r="U328" s="223"/>
      <c r="V328" s="223"/>
      <c r="W328" s="223"/>
    </row>
    <row r="329">
      <c r="A329" s="223"/>
      <c r="B329" s="223"/>
      <c r="C329" s="223"/>
      <c r="D329" s="223"/>
      <c r="E329" s="223"/>
      <c r="F329" s="223"/>
      <c r="G329" s="223"/>
      <c r="H329" s="223"/>
      <c r="I329" s="223"/>
      <c r="J329" s="223"/>
      <c r="K329" s="320"/>
      <c r="L329" s="320"/>
      <c r="M329" s="223"/>
      <c r="N329" s="223"/>
      <c r="O329" s="223"/>
      <c r="P329" s="223"/>
      <c r="Q329" s="223"/>
      <c r="R329" s="223"/>
      <c r="S329" s="223"/>
      <c r="T329" s="223"/>
      <c r="U329" s="223"/>
      <c r="V329" s="223"/>
      <c r="W329" s="223"/>
    </row>
    <row r="330">
      <c r="A330" s="223"/>
      <c r="B330" s="223"/>
      <c r="C330" s="223"/>
      <c r="D330" s="223"/>
      <c r="E330" s="223"/>
      <c r="F330" s="223"/>
      <c r="G330" s="223"/>
      <c r="H330" s="223"/>
      <c r="I330" s="223"/>
      <c r="J330" s="223"/>
      <c r="K330" s="320"/>
      <c r="L330" s="320"/>
      <c r="M330" s="223"/>
      <c r="N330" s="223"/>
      <c r="O330" s="223"/>
      <c r="P330" s="223"/>
      <c r="Q330" s="223"/>
      <c r="R330" s="223"/>
      <c r="S330" s="223"/>
      <c r="T330" s="223"/>
      <c r="U330" s="223"/>
      <c r="V330" s="223"/>
      <c r="W330" s="223"/>
    </row>
    <row r="331">
      <c r="A331" s="223"/>
      <c r="B331" s="223"/>
      <c r="C331" s="223"/>
      <c r="D331" s="223"/>
      <c r="E331" s="223"/>
      <c r="F331" s="223"/>
      <c r="G331" s="223"/>
      <c r="H331" s="223"/>
      <c r="I331" s="223"/>
      <c r="J331" s="223"/>
      <c r="K331" s="320"/>
      <c r="L331" s="320"/>
      <c r="M331" s="223"/>
      <c r="N331" s="223"/>
      <c r="O331" s="223"/>
      <c r="P331" s="223"/>
      <c r="Q331" s="223"/>
      <c r="R331" s="223"/>
      <c r="S331" s="223"/>
      <c r="T331" s="223"/>
      <c r="U331" s="223"/>
      <c r="V331" s="223"/>
      <c r="W331" s="223"/>
    </row>
    <row r="332">
      <c r="A332" s="223"/>
      <c r="B332" s="223"/>
      <c r="C332" s="223"/>
      <c r="D332" s="223"/>
      <c r="E332" s="223"/>
      <c r="F332" s="223"/>
      <c r="G332" s="223"/>
      <c r="H332" s="223"/>
      <c r="I332" s="223"/>
      <c r="J332" s="223"/>
      <c r="K332" s="320"/>
      <c r="L332" s="320"/>
      <c r="M332" s="223"/>
      <c r="N332" s="223"/>
      <c r="O332" s="223"/>
      <c r="P332" s="223"/>
      <c r="Q332" s="223"/>
      <c r="R332" s="223"/>
      <c r="S332" s="223"/>
      <c r="T332" s="223"/>
      <c r="U332" s="223"/>
      <c r="V332" s="223"/>
      <c r="W332" s="223"/>
    </row>
    <row r="333">
      <c r="A333" s="223"/>
      <c r="B333" s="223"/>
      <c r="C333" s="223"/>
      <c r="D333" s="223"/>
      <c r="E333" s="223"/>
      <c r="F333" s="223"/>
      <c r="G333" s="223"/>
      <c r="H333" s="223"/>
      <c r="I333" s="223"/>
      <c r="J333" s="223"/>
      <c r="K333" s="320"/>
      <c r="L333" s="320"/>
      <c r="M333" s="223"/>
      <c r="N333" s="223"/>
      <c r="O333" s="223"/>
      <c r="P333" s="223"/>
      <c r="Q333" s="223"/>
      <c r="R333" s="223"/>
      <c r="S333" s="223"/>
      <c r="T333" s="223"/>
      <c r="U333" s="223"/>
      <c r="V333" s="223"/>
      <c r="W333" s="223"/>
    </row>
    <row r="334">
      <c r="A334" s="223"/>
      <c r="B334" s="223"/>
      <c r="C334" s="223"/>
      <c r="D334" s="223"/>
      <c r="E334" s="223"/>
      <c r="F334" s="223"/>
      <c r="G334" s="223"/>
      <c r="H334" s="223"/>
      <c r="I334" s="223"/>
      <c r="J334" s="223"/>
      <c r="K334" s="320"/>
      <c r="L334" s="320"/>
      <c r="M334" s="223"/>
      <c r="N334" s="223"/>
      <c r="O334" s="223"/>
      <c r="P334" s="223"/>
      <c r="Q334" s="223"/>
      <c r="R334" s="223"/>
      <c r="S334" s="223"/>
      <c r="T334" s="223"/>
      <c r="U334" s="223"/>
      <c r="V334" s="223"/>
      <c r="W334" s="223"/>
    </row>
    <row r="335">
      <c r="A335" s="223"/>
      <c r="B335" s="223"/>
      <c r="C335" s="223"/>
      <c r="D335" s="223"/>
      <c r="E335" s="223"/>
      <c r="F335" s="223"/>
      <c r="G335" s="223"/>
      <c r="H335" s="223"/>
      <c r="I335" s="223"/>
      <c r="J335" s="223"/>
      <c r="K335" s="320"/>
      <c r="L335" s="320"/>
      <c r="M335" s="223"/>
      <c r="N335" s="223"/>
      <c r="O335" s="223"/>
      <c r="P335" s="223"/>
      <c r="Q335" s="223"/>
      <c r="R335" s="223"/>
      <c r="S335" s="223"/>
      <c r="T335" s="223"/>
      <c r="U335" s="223"/>
      <c r="V335" s="223"/>
      <c r="W335" s="223"/>
    </row>
    <row r="336">
      <c r="A336" s="223"/>
      <c r="B336" s="223"/>
      <c r="C336" s="223"/>
      <c r="D336" s="223"/>
      <c r="E336" s="223"/>
      <c r="F336" s="223"/>
      <c r="G336" s="223"/>
      <c r="H336" s="223"/>
      <c r="I336" s="223"/>
      <c r="J336" s="223"/>
      <c r="K336" s="320"/>
      <c r="L336" s="320"/>
      <c r="M336" s="223"/>
      <c r="N336" s="223"/>
      <c r="O336" s="223"/>
      <c r="P336" s="223"/>
      <c r="Q336" s="223"/>
      <c r="R336" s="223"/>
      <c r="S336" s="223"/>
      <c r="T336" s="223"/>
      <c r="U336" s="223"/>
      <c r="V336" s="223"/>
      <c r="W336" s="223"/>
    </row>
    <row r="337">
      <c r="A337" s="223"/>
      <c r="B337" s="223"/>
      <c r="C337" s="223"/>
      <c r="D337" s="223"/>
      <c r="E337" s="223"/>
      <c r="F337" s="223"/>
      <c r="G337" s="223"/>
      <c r="H337" s="223"/>
      <c r="I337" s="223"/>
      <c r="J337" s="223"/>
      <c r="K337" s="320"/>
      <c r="L337" s="320"/>
      <c r="M337" s="223"/>
      <c r="N337" s="223"/>
      <c r="O337" s="223"/>
      <c r="P337" s="223"/>
      <c r="Q337" s="223"/>
      <c r="R337" s="223"/>
      <c r="S337" s="223"/>
      <c r="T337" s="223"/>
      <c r="U337" s="223"/>
      <c r="V337" s="223"/>
      <c r="W337" s="223"/>
    </row>
    <row r="338">
      <c r="A338" s="223"/>
      <c r="B338" s="223"/>
      <c r="C338" s="223"/>
      <c r="D338" s="223"/>
      <c r="E338" s="223"/>
      <c r="F338" s="223"/>
      <c r="G338" s="223"/>
      <c r="H338" s="223"/>
      <c r="I338" s="223"/>
      <c r="J338" s="223"/>
      <c r="K338" s="320"/>
      <c r="L338" s="320"/>
      <c r="M338" s="223"/>
      <c r="N338" s="223"/>
      <c r="O338" s="223"/>
      <c r="P338" s="223"/>
      <c r="Q338" s="223"/>
      <c r="R338" s="223"/>
      <c r="S338" s="223"/>
      <c r="T338" s="223"/>
      <c r="U338" s="223"/>
      <c r="V338" s="223"/>
      <c r="W338" s="223"/>
    </row>
    <row r="339">
      <c r="A339" s="223"/>
      <c r="B339" s="223"/>
      <c r="C339" s="223"/>
      <c r="D339" s="223"/>
      <c r="E339" s="223"/>
      <c r="F339" s="223"/>
      <c r="G339" s="223"/>
      <c r="H339" s="223"/>
      <c r="I339" s="223"/>
      <c r="J339" s="223"/>
      <c r="K339" s="320"/>
      <c r="L339" s="320"/>
      <c r="M339" s="223"/>
      <c r="N339" s="223"/>
      <c r="O339" s="223"/>
      <c r="P339" s="223"/>
      <c r="Q339" s="223"/>
      <c r="R339" s="223"/>
      <c r="S339" s="223"/>
      <c r="T339" s="223"/>
      <c r="U339" s="223"/>
      <c r="V339" s="223"/>
      <c r="W339" s="223"/>
    </row>
    <row r="340">
      <c r="A340" s="223"/>
      <c r="B340" s="223"/>
      <c r="C340" s="223"/>
      <c r="D340" s="223"/>
      <c r="E340" s="223"/>
      <c r="F340" s="223"/>
      <c r="G340" s="223"/>
      <c r="H340" s="223"/>
      <c r="I340" s="223"/>
      <c r="J340" s="223"/>
      <c r="K340" s="320"/>
      <c r="L340" s="320"/>
      <c r="M340" s="223"/>
      <c r="N340" s="223"/>
      <c r="O340" s="223"/>
      <c r="P340" s="223"/>
      <c r="Q340" s="223"/>
      <c r="R340" s="223"/>
      <c r="S340" s="223"/>
      <c r="T340" s="223"/>
      <c r="U340" s="223"/>
      <c r="V340" s="223"/>
      <c r="W340" s="223"/>
    </row>
    <row r="341">
      <c r="A341" s="223"/>
      <c r="B341" s="223"/>
      <c r="C341" s="223"/>
      <c r="D341" s="223"/>
      <c r="E341" s="223"/>
      <c r="F341" s="223"/>
      <c r="G341" s="223"/>
      <c r="H341" s="223"/>
      <c r="I341" s="223"/>
      <c r="J341" s="223"/>
      <c r="K341" s="320"/>
      <c r="L341" s="320"/>
      <c r="M341" s="223"/>
      <c r="N341" s="223"/>
      <c r="O341" s="223"/>
      <c r="P341" s="223"/>
      <c r="Q341" s="223"/>
      <c r="R341" s="223"/>
      <c r="S341" s="223"/>
      <c r="T341" s="223"/>
      <c r="U341" s="223"/>
      <c r="V341" s="223"/>
      <c r="W341" s="223"/>
    </row>
    <row r="342">
      <c r="A342" s="223"/>
      <c r="B342" s="223"/>
      <c r="C342" s="223"/>
      <c r="D342" s="223"/>
      <c r="E342" s="223"/>
      <c r="F342" s="223"/>
      <c r="G342" s="223"/>
      <c r="H342" s="223"/>
      <c r="I342" s="223"/>
      <c r="J342" s="223"/>
      <c r="K342" s="320"/>
      <c r="L342" s="320"/>
      <c r="M342" s="223"/>
      <c r="N342" s="223"/>
      <c r="O342" s="223"/>
      <c r="P342" s="223"/>
      <c r="Q342" s="223"/>
      <c r="R342" s="223"/>
      <c r="S342" s="223"/>
      <c r="T342" s="223"/>
      <c r="U342" s="223"/>
      <c r="V342" s="223"/>
      <c r="W342" s="223"/>
    </row>
    <row r="343">
      <c r="A343" s="223"/>
      <c r="B343" s="223"/>
      <c r="C343" s="223"/>
      <c r="D343" s="223"/>
      <c r="E343" s="223"/>
      <c r="F343" s="223"/>
      <c r="G343" s="223"/>
      <c r="H343" s="223"/>
      <c r="I343" s="223"/>
      <c r="J343" s="223"/>
      <c r="K343" s="320"/>
      <c r="L343" s="320"/>
      <c r="M343" s="223"/>
      <c r="N343" s="223"/>
      <c r="O343" s="223"/>
      <c r="P343" s="223"/>
      <c r="Q343" s="223"/>
      <c r="R343" s="223"/>
      <c r="S343" s="223"/>
      <c r="T343" s="223"/>
      <c r="U343" s="223"/>
      <c r="V343" s="223"/>
      <c r="W343" s="223"/>
    </row>
    <row r="344">
      <c r="A344" s="223"/>
      <c r="B344" s="223"/>
      <c r="C344" s="223"/>
      <c r="D344" s="223"/>
      <c r="E344" s="223"/>
      <c r="F344" s="223"/>
      <c r="G344" s="223"/>
      <c r="H344" s="223"/>
      <c r="I344" s="223"/>
      <c r="J344" s="223"/>
      <c r="K344" s="320"/>
      <c r="L344" s="320"/>
      <c r="M344" s="223"/>
      <c r="N344" s="223"/>
      <c r="O344" s="223"/>
      <c r="P344" s="223"/>
      <c r="Q344" s="223"/>
      <c r="R344" s="223"/>
      <c r="S344" s="223"/>
      <c r="T344" s="223"/>
      <c r="U344" s="223"/>
      <c r="V344" s="223"/>
      <c r="W344" s="223"/>
    </row>
    <row r="345">
      <c r="A345" s="223"/>
      <c r="B345" s="223"/>
      <c r="C345" s="223"/>
      <c r="D345" s="223"/>
      <c r="E345" s="223"/>
      <c r="F345" s="223"/>
      <c r="G345" s="223"/>
      <c r="H345" s="223"/>
      <c r="I345" s="223"/>
      <c r="J345" s="223"/>
      <c r="K345" s="320"/>
      <c r="L345" s="320"/>
      <c r="M345" s="223"/>
      <c r="N345" s="223"/>
      <c r="O345" s="223"/>
      <c r="P345" s="223"/>
      <c r="Q345" s="223"/>
      <c r="R345" s="223"/>
      <c r="S345" s="223"/>
      <c r="T345" s="223"/>
      <c r="U345" s="223"/>
      <c r="V345" s="223"/>
      <c r="W345" s="223"/>
    </row>
    <row r="346">
      <c r="A346" s="223"/>
      <c r="B346" s="223"/>
      <c r="C346" s="223"/>
      <c r="D346" s="223"/>
      <c r="E346" s="223"/>
      <c r="F346" s="223"/>
      <c r="G346" s="223"/>
      <c r="H346" s="223"/>
      <c r="I346" s="223"/>
      <c r="J346" s="223"/>
      <c r="K346" s="320"/>
      <c r="L346" s="320"/>
      <c r="M346" s="223"/>
      <c r="N346" s="223"/>
      <c r="O346" s="223"/>
      <c r="P346" s="223"/>
      <c r="Q346" s="223"/>
      <c r="R346" s="223"/>
      <c r="S346" s="223"/>
      <c r="T346" s="223"/>
      <c r="U346" s="223"/>
      <c r="V346" s="223"/>
      <c r="W346" s="223"/>
    </row>
    <row r="347">
      <c r="A347" s="223"/>
      <c r="B347" s="223"/>
      <c r="C347" s="223"/>
      <c r="D347" s="223"/>
      <c r="E347" s="223"/>
      <c r="F347" s="223"/>
      <c r="G347" s="223"/>
      <c r="H347" s="223"/>
      <c r="I347" s="223"/>
      <c r="J347" s="223"/>
      <c r="K347" s="320"/>
      <c r="L347" s="320"/>
      <c r="M347" s="223"/>
      <c r="N347" s="223"/>
      <c r="O347" s="223"/>
      <c r="P347" s="223"/>
      <c r="Q347" s="223"/>
      <c r="R347" s="223"/>
      <c r="S347" s="223"/>
      <c r="T347" s="223"/>
      <c r="U347" s="223"/>
      <c r="V347" s="223"/>
      <c r="W347" s="223"/>
    </row>
    <row r="348">
      <c r="A348" s="223"/>
      <c r="B348" s="223"/>
      <c r="C348" s="223"/>
      <c r="D348" s="223"/>
      <c r="E348" s="223"/>
      <c r="F348" s="223"/>
      <c r="G348" s="223"/>
      <c r="H348" s="223"/>
      <c r="I348" s="223"/>
      <c r="J348" s="223"/>
      <c r="K348" s="320"/>
      <c r="L348" s="320"/>
      <c r="M348" s="223"/>
      <c r="N348" s="223"/>
      <c r="O348" s="223"/>
      <c r="P348" s="223"/>
      <c r="Q348" s="223"/>
      <c r="R348" s="223"/>
      <c r="S348" s="223"/>
      <c r="T348" s="223"/>
      <c r="U348" s="223"/>
      <c r="V348" s="223"/>
      <c r="W348" s="223"/>
    </row>
    <row r="349">
      <c r="A349" s="223"/>
      <c r="B349" s="223"/>
      <c r="C349" s="223"/>
      <c r="D349" s="223"/>
      <c r="E349" s="223"/>
      <c r="F349" s="223"/>
      <c r="G349" s="223"/>
      <c r="H349" s="223"/>
      <c r="I349" s="223"/>
      <c r="J349" s="223"/>
      <c r="K349" s="320"/>
      <c r="L349" s="320"/>
      <c r="M349" s="223"/>
      <c r="N349" s="223"/>
      <c r="O349" s="223"/>
      <c r="P349" s="223"/>
      <c r="Q349" s="223"/>
      <c r="R349" s="223"/>
      <c r="S349" s="223"/>
      <c r="T349" s="223"/>
      <c r="U349" s="223"/>
      <c r="V349" s="223"/>
      <c r="W349" s="223"/>
    </row>
    <row r="350">
      <c r="A350" s="223"/>
      <c r="B350" s="223"/>
      <c r="C350" s="223"/>
      <c r="D350" s="223"/>
      <c r="E350" s="223"/>
      <c r="F350" s="223"/>
      <c r="G350" s="223"/>
      <c r="H350" s="223"/>
      <c r="I350" s="223"/>
      <c r="J350" s="223"/>
      <c r="K350" s="320"/>
      <c r="L350" s="320"/>
      <c r="M350" s="223"/>
      <c r="N350" s="223"/>
      <c r="O350" s="223"/>
      <c r="P350" s="223"/>
      <c r="Q350" s="223"/>
      <c r="R350" s="223"/>
      <c r="S350" s="223"/>
      <c r="T350" s="223"/>
      <c r="U350" s="223"/>
      <c r="V350" s="223"/>
      <c r="W350" s="223"/>
    </row>
    <row r="351">
      <c r="A351" s="223"/>
      <c r="B351" s="223"/>
      <c r="C351" s="223"/>
      <c r="D351" s="223"/>
      <c r="E351" s="223"/>
      <c r="F351" s="223"/>
      <c r="G351" s="223"/>
      <c r="H351" s="223"/>
      <c r="I351" s="223"/>
      <c r="J351" s="223"/>
      <c r="K351" s="320"/>
      <c r="L351" s="320"/>
      <c r="M351" s="223"/>
      <c r="N351" s="223"/>
      <c r="O351" s="223"/>
      <c r="P351" s="223"/>
      <c r="Q351" s="223"/>
      <c r="R351" s="223"/>
      <c r="S351" s="223"/>
      <c r="T351" s="223"/>
      <c r="U351" s="223"/>
      <c r="V351" s="223"/>
      <c r="W351" s="223"/>
    </row>
    <row r="352">
      <c r="A352" s="223"/>
      <c r="B352" s="223"/>
      <c r="C352" s="223"/>
      <c r="D352" s="223"/>
      <c r="E352" s="223"/>
      <c r="F352" s="223"/>
      <c r="G352" s="223"/>
      <c r="H352" s="223"/>
      <c r="I352" s="223"/>
      <c r="J352" s="223"/>
      <c r="K352" s="320"/>
      <c r="L352" s="320"/>
      <c r="M352" s="223"/>
      <c r="N352" s="223"/>
      <c r="O352" s="223"/>
      <c r="P352" s="223"/>
      <c r="Q352" s="223"/>
      <c r="R352" s="223"/>
      <c r="S352" s="223"/>
      <c r="T352" s="223"/>
      <c r="U352" s="223"/>
      <c r="V352" s="223"/>
      <c r="W352" s="223"/>
    </row>
    <row r="353">
      <c r="A353" s="223"/>
      <c r="B353" s="223"/>
      <c r="C353" s="223"/>
      <c r="D353" s="223"/>
      <c r="E353" s="223"/>
      <c r="F353" s="223"/>
      <c r="G353" s="223"/>
      <c r="H353" s="223"/>
      <c r="I353" s="223"/>
      <c r="J353" s="223"/>
      <c r="K353" s="320"/>
      <c r="L353" s="320"/>
      <c r="M353" s="223"/>
      <c r="N353" s="223"/>
      <c r="O353" s="223"/>
      <c r="P353" s="223"/>
      <c r="Q353" s="223"/>
      <c r="R353" s="223"/>
      <c r="S353" s="223"/>
      <c r="T353" s="223"/>
      <c r="U353" s="223"/>
      <c r="V353" s="223"/>
      <c r="W353" s="223"/>
    </row>
    <row r="354">
      <c r="A354" s="223"/>
      <c r="B354" s="223"/>
      <c r="C354" s="223"/>
      <c r="D354" s="223"/>
      <c r="E354" s="223"/>
      <c r="F354" s="223"/>
      <c r="G354" s="223"/>
      <c r="H354" s="223"/>
      <c r="I354" s="223"/>
      <c r="J354" s="223"/>
      <c r="K354" s="320"/>
      <c r="L354" s="320"/>
      <c r="M354" s="223"/>
      <c r="N354" s="223"/>
      <c r="O354" s="223"/>
      <c r="P354" s="223"/>
      <c r="Q354" s="223"/>
      <c r="R354" s="223"/>
      <c r="S354" s="223"/>
      <c r="T354" s="223"/>
      <c r="U354" s="223"/>
      <c r="V354" s="223"/>
      <c r="W354" s="223"/>
    </row>
    <row r="355">
      <c r="A355" s="223"/>
      <c r="B355" s="223"/>
      <c r="C355" s="223"/>
      <c r="D355" s="223"/>
      <c r="E355" s="223"/>
      <c r="F355" s="223"/>
      <c r="G355" s="223"/>
      <c r="H355" s="223"/>
      <c r="I355" s="223"/>
      <c r="J355" s="223"/>
      <c r="K355" s="320"/>
      <c r="L355" s="320"/>
      <c r="M355" s="223"/>
      <c r="N355" s="223"/>
      <c r="O355" s="223"/>
      <c r="P355" s="223"/>
      <c r="Q355" s="223"/>
      <c r="R355" s="223"/>
      <c r="S355" s="223"/>
      <c r="T355" s="223"/>
      <c r="U355" s="223"/>
      <c r="V355" s="223"/>
      <c r="W355" s="223"/>
    </row>
    <row r="356">
      <c r="A356" s="223"/>
      <c r="B356" s="223"/>
      <c r="C356" s="223"/>
      <c r="D356" s="223"/>
      <c r="E356" s="223"/>
      <c r="F356" s="223"/>
      <c r="G356" s="223"/>
      <c r="H356" s="223"/>
      <c r="I356" s="223"/>
      <c r="J356" s="223"/>
      <c r="K356" s="320"/>
      <c r="L356" s="320"/>
      <c r="M356" s="223"/>
      <c r="N356" s="223"/>
      <c r="O356" s="223"/>
      <c r="P356" s="223"/>
      <c r="Q356" s="223"/>
      <c r="R356" s="223"/>
      <c r="S356" s="223"/>
      <c r="T356" s="223"/>
      <c r="U356" s="223"/>
      <c r="V356" s="223"/>
      <c r="W356" s="223"/>
    </row>
    <row r="357">
      <c r="A357" s="223"/>
      <c r="B357" s="223"/>
      <c r="C357" s="223"/>
      <c r="D357" s="223"/>
      <c r="E357" s="223"/>
      <c r="F357" s="223"/>
      <c r="G357" s="223"/>
      <c r="H357" s="223"/>
      <c r="I357" s="223"/>
      <c r="J357" s="223"/>
      <c r="K357" s="320"/>
      <c r="L357" s="320"/>
      <c r="M357" s="223"/>
      <c r="N357" s="223"/>
      <c r="O357" s="223"/>
      <c r="P357" s="223"/>
      <c r="Q357" s="223"/>
      <c r="R357" s="223"/>
      <c r="S357" s="223"/>
      <c r="T357" s="223"/>
      <c r="U357" s="223"/>
      <c r="V357" s="223"/>
      <c r="W357" s="223"/>
    </row>
    <row r="358">
      <c r="A358" s="223"/>
      <c r="B358" s="223"/>
      <c r="C358" s="223"/>
      <c r="D358" s="223"/>
      <c r="E358" s="223"/>
      <c r="F358" s="223"/>
      <c r="G358" s="223"/>
      <c r="H358" s="223"/>
      <c r="I358" s="223"/>
      <c r="J358" s="223"/>
      <c r="K358" s="320"/>
      <c r="L358" s="320"/>
      <c r="M358" s="223"/>
      <c r="N358" s="223"/>
      <c r="O358" s="223"/>
      <c r="P358" s="223"/>
      <c r="Q358" s="223"/>
      <c r="R358" s="223"/>
      <c r="S358" s="223"/>
      <c r="T358" s="223"/>
      <c r="U358" s="223"/>
      <c r="V358" s="223"/>
      <c r="W358" s="223"/>
    </row>
    <row r="359">
      <c r="A359" s="223"/>
      <c r="B359" s="223"/>
      <c r="C359" s="223"/>
      <c r="D359" s="223"/>
      <c r="E359" s="223"/>
      <c r="F359" s="223"/>
      <c r="G359" s="223"/>
      <c r="H359" s="223"/>
      <c r="I359" s="223"/>
      <c r="J359" s="223"/>
      <c r="K359" s="320"/>
      <c r="L359" s="320"/>
      <c r="M359" s="223"/>
      <c r="N359" s="223"/>
      <c r="O359" s="223"/>
      <c r="P359" s="223"/>
      <c r="Q359" s="223"/>
      <c r="R359" s="223"/>
      <c r="S359" s="223"/>
      <c r="T359" s="223"/>
      <c r="U359" s="223"/>
      <c r="V359" s="223"/>
      <c r="W359" s="223"/>
    </row>
    <row r="360">
      <c r="A360" s="223"/>
      <c r="B360" s="223"/>
      <c r="C360" s="223"/>
      <c r="D360" s="223"/>
      <c r="E360" s="223"/>
      <c r="F360" s="223"/>
      <c r="G360" s="223"/>
      <c r="H360" s="223"/>
      <c r="I360" s="223"/>
      <c r="J360" s="223"/>
      <c r="K360" s="320"/>
      <c r="L360" s="320"/>
      <c r="M360" s="223"/>
      <c r="N360" s="223"/>
      <c r="O360" s="223"/>
      <c r="P360" s="223"/>
      <c r="Q360" s="223"/>
      <c r="R360" s="223"/>
      <c r="S360" s="223"/>
      <c r="T360" s="223"/>
      <c r="U360" s="223"/>
      <c r="V360" s="223"/>
      <c r="W360" s="223"/>
    </row>
    <row r="361">
      <c r="A361" s="223"/>
      <c r="B361" s="223"/>
      <c r="C361" s="223"/>
      <c r="D361" s="223"/>
      <c r="E361" s="223"/>
      <c r="F361" s="223"/>
      <c r="G361" s="223"/>
      <c r="H361" s="223"/>
      <c r="I361" s="223"/>
      <c r="J361" s="223"/>
      <c r="K361" s="320"/>
      <c r="L361" s="320"/>
      <c r="M361" s="223"/>
      <c r="N361" s="223"/>
      <c r="O361" s="223"/>
      <c r="P361" s="223"/>
      <c r="Q361" s="223"/>
      <c r="R361" s="223"/>
      <c r="S361" s="223"/>
      <c r="T361" s="223"/>
      <c r="U361" s="223"/>
      <c r="V361" s="223"/>
      <c r="W361" s="223"/>
    </row>
    <row r="362">
      <c r="A362" s="223"/>
      <c r="B362" s="223"/>
      <c r="C362" s="223"/>
      <c r="D362" s="223"/>
      <c r="E362" s="223"/>
      <c r="F362" s="223"/>
      <c r="G362" s="223"/>
      <c r="H362" s="223"/>
      <c r="I362" s="223"/>
      <c r="J362" s="223"/>
      <c r="K362" s="320"/>
      <c r="L362" s="320"/>
      <c r="M362" s="223"/>
      <c r="N362" s="223"/>
      <c r="O362" s="223"/>
      <c r="P362" s="223"/>
      <c r="Q362" s="223"/>
      <c r="R362" s="223"/>
      <c r="S362" s="223"/>
      <c r="T362" s="223"/>
      <c r="U362" s="223"/>
      <c r="V362" s="223"/>
      <c r="W362" s="223"/>
    </row>
    <row r="363">
      <c r="A363" s="223"/>
      <c r="B363" s="223"/>
      <c r="C363" s="223"/>
      <c r="D363" s="223"/>
      <c r="E363" s="223"/>
      <c r="F363" s="223"/>
      <c r="G363" s="223"/>
      <c r="H363" s="223"/>
      <c r="I363" s="223"/>
      <c r="J363" s="223"/>
      <c r="K363" s="320"/>
      <c r="L363" s="320"/>
      <c r="M363" s="223"/>
      <c r="N363" s="223"/>
      <c r="O363" s="223"/>
      <c r="P363" s="223"/>
      <c r="Q363" s="223"/>
      <c r="R363" s="223"/>
      <c r="S363" s="223"/>
      <c r="T363" s="223"/>
      <c r="U363" s="223"/>
      <c r="V363" s="223"/>
      <c r="W363" s="223"/>
    </row>
    <row r="364">
      <c r="A364" s="223"/>
      <c r="B364" s="223"/>
      <c r="C364" s="223"/>
      <c r="D364" s="223"/>
      <c r="E364" s="223"/>
      <c r="F364" s="223"/>
      <c r="G364" s="223"/>
      <c r="H364" s="223"/>
      <c r="I364" s="223"/>
      <c r="J364" s="223"/>
      <c r="K364" s="320"/>
      <c r="L364" s="320"/>
      <c r="M364" s="223"/>
      <c r="N364" s="223"/>
      <c r="O364" s="223"/>
      <c r="P364" s="223"/>
      <c r="Q364" s="223"/>
      <c r="R364" s="223"/>
      <c r="S364" s="223"/>
      <c r="T364" s="223"/>
      <c r="U364" s="223"/>
      <c r="V364" s="223"/>
      <c r="W364" s="223"/>
    </row>
    <row r="365">
      <c r="A365" s="223"/>
      <c r="B365" s="223"/>
      <c r="C365" s="223"/>
      <c r="D365" s="223"/>
      <c r="E365" s="223"/>
      <c r="F365" s="223"/>
      <c r="G365" s="223"/>
      <c r="H365" s="223"/>
      <c r="I365" s="223"/>
      <c r="J365" s="223"/>
      <c r="K365" s="320"/>
      <c r="L365" s="320"/>
      <c r="M365" s="223"/>
      <c r="N365" s="223"/>
      <c r="O365" s="223"/>
      <c r="P365" s="223"/>
      <c r="Q365" s="223"/>
      <c r="R365" s="223"/>
      <c r="S365" s="223"/>
      <c r="T365" s="223"/>
      <c r="U365" s="223"/>
      <c r="V365" s="223"/>
      <c r="W365" s="223"/>
    </row>
    <row r="366">
      <c r="A366" s="223"/>
      <c r="B366" s="223"/>
      <c r="C366" s="223"/>
      <c r="D366" s="223"/>
      <c r="E366" s="223"/>
      <c r="F366" s="223"/>
      <c r="G366" s="223"/>
      <c r="H366" s="223"/>
      <c r="I366" s="223"/>
      <c r="J366" s="223"/>
      <c r="K366" s="320"/>
      <c r="L366" s="320"/>
      <c r="M366" s="223"/>
      <c r="N366" s="223"/>
      <c r="O366" s="223"/>
      <c r="P366" s="223"/>
      <c r="Q366" s="223"/>
      <c r="R366" s="223"/>
      <c r="S366" s="223"/>
      <c r="T366" s="223"/>
      <c r="U366" s="223"/>
      <c r="V366" s="223"/>
      <c r="W366" s="223"/>
    </row>
    <row r="367">
      <c r="A367" s="223"/>
      <c r="B367" s="223"/>
      <c r="C367" s="223"/>
      <c r="D367" s="223"/>
      <c r="E367" s="223"/>
      <c r="F367" s="223"/>
      <c r="G367" s="223"/>
      <c r="H367" s="223"/>
      <c r="I367" s="223"/>
      <c r="J367" s="223"/>
      <c r="K367" s="320"/>
      <c r="L367" s="320"/>
      <c r="M367" s="223"/>
      <c r="N367" s="223"/>
      <c r="O367" s="223"/>
      <c r="P367" s="223"/>
      <c r="Q367" s="223"/>
      <c r="R367" s="223"/>
      <c r="S367" s="223"/>
      <c r="T367" s="223"/>
      <c r="U367" s="223"/>
      <c r="V367" s="223"/>
      <c r="W367" s="223"/>
    </row>
    <row r="368">
      <c r="A368" s="223"/>
      <c r="B368" s="223"/>
      <c r="C368" s="223"/>
      <c r="D368" s="223"/>
      <c r="E368" s="223"/>
      <c r="F368" s="223"/>
      <c r="G368" s="223"/>
      <c r="H368" s="223"/>
      <c r="I368" s="223"/>
      <c r="J368" s="223"/>
      <c r="K368" s="320"/>
      <c r="L368" s="320"/>
      <c r="M368" s="223"/>
      <c r="N368" s="223"/>
      <c r="O368" s="223"/>
      <c r="P368" s="223"/>
      <c r="Q368" s="223"/>
      <c r="R368" s="223"/>
      <c r="S368" s="223"/>
      <c r="T368" s="223"/>
      <c r="U368" s="223"/>
      <c r="V368" s="223"/>
      <c r="W368" s="223"/>
    </row>
    <row r="369">
      <c r="A369" s="223"/>
      <c r="B369" s="223"/>
      <c r="C369" s="223"/>
      <c r="D369" s="223"/>
      <c r="E369" s="223"/>
      <c r="F369" s="223"/>
      <c r="G369" s="223"/>
      <c r="H369" s="223"/>
      <c r="I369" s="223"/>
      <c r="J369" s="223"/>
      <c r="K369" s="320"/>
      <c r="L369" s="320"/>
      <c r="M369" s="223"/>
      <c r="N369" s="223"/>
      <c r="O369" s="223"/>
      <c r="P369" s="223"/>
      <c r="Q369" s="223"/>
      <c r="R369" s="223"/>
      <c r="S369" s="223"/>
      <c r="T369" s="223"/>
      <c r="U369" s="223"/>
      <c r="V369" s="223"/>
      <c r="W369" s="223"/>
    </row>
    <row r="370">
      <c r="A370" s="223"/>
      <c r="B370" s="223"/>
      <c r="C370" s="223"/>
      <c r="D370" s="223"/>
      <c r="E370" s="223"/>
      <c r="F370" s="223"/>
      <c r="G370" s="223"/>
      <c r="H370" s="223"/>
      <c r="I370" s="223"/>
      <c r="J370" s="223"/>
      <c r="K370" s="320"/>
      <c r="L370" s="320"/>
      <c r="M370" s="223"/>
      <c r="N370" s="223"/>
      <c r="O370" s="223"/>
      <c r="P370" s="223"/>
      <c r="Q370" s="223"/>
      <c r="R370" s="223"/>
      <c r="S370" s="223"/>
      <c r="T370" s="223"/>
      <c r="U370" s="223"/>
      <c r="V370" s="223"/>
      <c r="W370" s="223"/>
    </row>
    <row r="371">
      <c r="A371" s="223"/>
      <c r="B371" s="223"/>
      <c r="C371" s="223"/>
      <c r="D371" s="223"/>
      <c r="E371" s="223"/>
      <c r="F371" s="223"/>
      <c r="G371" s="223"/>
      <c r="H371" s="223"/>
      <c r="I371" s="223"/>
      <c r="J371" s="223"/>
      <c r="K371" s="320"/>
      <c r="L371" s="320"/>
      <c r="M371" s="223"/>
      <c r="N371" s="223"/>
      <c r="O371" s="223"/>
      <c r="P371" s="223"/>
      <c r="Q371" s="223"/>
      <c r="R371" s="223"/>
      <c r="S371" s="223"/>
      <c r="T371" s="223"/>
      <c r="U371" s="223"/>
      <c r="V371" s="223"/>
      <c r="W371" s="223"/>
    </row>
    <row r="372">
      <c r="A372" s="223"/>
      <c r="B372" s="223"/>
      <c r="C372" s="223"/>
      <c r="D372" s="223"/>
      <c r="E372" s="223"/>
      <c r="F372" s="223"/>
      <c r="G372" s="223"/>
      <c r="H372" s="223"/>
      <c r="I372" s="223"/>
      <c r="J372" s="223"/>
      <c r="K372" s="320"/>
      <c r="L372" s="320"/>
      <c r="M372" s="223"/>
      <c r="N372" s="223"/>
      <c r="O372" s="223"/>
      <c r="P372" s="223"/>
      <c r="Q372" s="223"/>
      <c r="R372" s="223"/>
      <c r="S372" s="223"/>
      <c r="T372" s="223"/>
      <c r="U372" s="223"/>
      <c r="V372" s="223"/>
      <c r="W372" s="223"/>
    </row>
    <row r="373">
      <c r="A373" s="223"/>
      <c r="B373" s="223"/>
      <c r="C373" s="223"/>
      <c r="D373" s="223"/>
      <c r="E373" s="223"/>
      <c r="F373" s="223"/>
      <c r="G373" s="223"/>
      <c r="H373" s="223"/>
      <c r="I373" s="223"/>
      <c r="J373" s="223"/>
      <c r="K373" s="320"/>
      <c r="L373" s="320"/>
      <c r="M373" s="223"/>
      <c r="N373" s="223"/>
      <c r="O373" s="223"/>
      <c r="P373" s="223"/>
      <c r="Q373" s="223"/>
      <c r="R373" s="223"/>
      <c r="S373" s="223"/>
      <c r="T373" s="223"/>
      <c r="U373" s="223"/>
      <c r="V373" s="223"/>
      <c r="W373" s="223"/>
    </row>
    <row r="374">
      <c r="A374" s="223"/>
      <c r="B374" s="223"/>
      <c r="C374" s="223"/>
      <c r="D374" s="223"/>
      <c r="E374" s="223"/>
      <c r="F374" s="223"/>
      <c r="G374" s="223"/>
      <c r="H374" s="223"/>
      <c r="I374" s="223"/>
      <c r="J374" s="223"/>
      <c r="K374" s="320"/>
      <c r="L374" s="320"/>
      <c r="M374" s="223"/>
      <c r="N374" s="223"/>
      <c r="O374" s="223"/>
      <c r="P374" s="223"/>
      <c r="Q374" s="223"/>
      <c r="R374" s="223"/>
      <c r="S374" s="223"/>
      <c r="T374" s="223"/>
      <c r="U374" s="223"/>
      <c r="V374" s="223"/>
      <c r="W374" s="223"/>
    </row>
    <row r="375">
      <c r="A375" s="223"/>
      <c r="B375" s="223"/>
      <c r="C375" s="223"/>
      <c r="D375" s="223"/>
      <c r="E375" s="223"/>
      <c r="F375" s="223"/>
      <c r="G375" s="223"/>
      <c r="H375" s="223"/>
      <c r="I375" s="223"/>
      <c r="J375" s="223"/>
      <c r="K375" s="320"/>
      <c r="L375" s="320"/>
      <c r="M375" s="223"/>
      <c r="N375" s="223"/>
      <c r="O375" s="223"/>
      <c r="P375" s="223"/>
      <c r="Q375" s="223"/>
      <c r="R375" s="223"/>
      <c r="S375" s="223"/>
      <c r="T375" s="223"/>
      <c r="U375" s="223"/>
      <c r="V375" s="223"/>
      <c r="W375" s="223"/>
    </row>
    <row r="376">
      <c r="A376" s="223"/>
      <c r="B376" s="223"/>
      <c r="C376" s="223"/>
      <c r="D376" s="223"/>
      <c r="E376" s="223"/>
      <c r="F376" s="223"/>
      <c r="G376" s="223"/>
      <c r="H376" s="223"/>
      <c r="I376" s="223"/>
      <c r="J376" s="223"/>
      <c r="K376" s="320"/>
      <c r="L376" s="320"/>
      <c r="M376" s="223"/>
      <c r="N376" s="223"/>
      <c r="O376" s="223"/>
      <c r="P376" s="223"/>
      <c r="Q376" s="223"/>
      <c r="R376" s="223"/>
      <c r="S376" s="223"/>
      <c r="T376" s="223"/>
      <c r="U376" s="223"/>
      <c r="V376" s="223"/>
      <c r="W376" s="223"/>
    </row>
    <row r="377">
      <c r="A377" s="223"/>
      <c r="B377" s="223"/>
      <c r="C377" s="223"/>
      <c r="D377" s="223"/>
      <c r="E377" s="223"/>
      <c r="F377" s="223"/>
      <c r="G377" s="223"/>
      <c r="H377" s="223"/>
      <c r="I377" s="223"/>
      <c r="J377" s="223"/>
      <c r="K377" s="320"/>
      <c r="L377" s="320"/>
      <c r="M377" s="223"/>
      <c r="N377" s="223"/>
      <c r="O377" s="223"/>
      <c r="P377" s="223"/>
      <c r="Q377" s="223"/>
      <c r="R377" s="223"/>
      <c r="S377" s="223"/>
      <c r="T377" s="223"/>
      <c r="U377" s="223"/>
      <c r="V377" s="223"/>
      <c r="W377" s="223"/>
    </row>
    <row r="378">
      <c r="A378" s="223"/>
      <c r="B378" s="223"/>
      <c r="C378" s="223"/>
      <c r="D378" s="223"/>
      <c r="E378" s="223"/>
      <c r="F378" s="223"/>
      <c r="G378" s="223"/>
      <c r="H378" s="223"/>
      <c r="I378" s="223"/>
      <c r="J378" s="223"/>
      <c r="K378" s="320"/>
      <c r="L378" s="320"/>
      <c r="M378" s="223"/>
      <c r="N378" s="223"/>
      <c r="O378" s="223"/>
      <c r="P378" s="223"/>
      <c r="Q378" s="223"/>
      <c r="R378" s="223"/>
      <c r="S378" s="223"/>
      <c r="T378" s="223"/>
      <c r="U378" s="223"/>
      <c r="V378" s="223"/>
      <c r="W378" s="223"/>
    </row>
    <row r="379">
      <c r="A379" s="223"/>
      <c r="B379" s="223"/>
      <c r="C379" s="223"/>
      <c r="D379" s="223"/>
      <c r="E379" s="223"/>
      <c r="F379" s="223"/>
      <c r="G379" s="223"/>
      <c r="H379" s="223"/>
      <c r="I379" s="223"/>
      <c r="J379" s="223"/>
      <c r="K379" s="320"/>
      <c r="L379" s="320"/>
      <c r="M379" s="223"/>
      <c r="N379" s="223"/>
      <c r="O379" s="223"/>
      <c r="P379" s="223"/>
      <c r="Q379" s="223"/>
      <c r="R379" s="223"/>
      <c r="S379" s="223"/>
      <c r="T379" s="223"/>
      <c r="U379" s="223"/>
      <c r="V379" s="223"/>
      <c r="W379" s="223"/>
    </row>
    <row r="380">
      <c r="A380" s="223"/>
      <c r="B380" s="223"/>
      <c r="C380" s="223"/>
      <c r="D380" s="223"/>
      <c r="E380" s="223"/>
      <c r="F380" s="223"/>
      <c r="G380" s="223"/>
      <c r="H380" s="223"/>
      <c r="I380" s="223"/>
      <c r="J380" s="223"/>
      <c r="K380" s="320"/>
      <c r="L380" s="320"/>
      <c r="M380" s="223"/>
      <c r="N380" s="223"/>
      <c r="O380" s="223"/>
      <c r="P380" s="223"/>
      <c r="Q380" s="223"/>
      <c r="R380" s="223"/>
      <c r="S380" s="223"/>
      <c r="T380" s="223"/>
      <c r="U380" s="223"/>
      <c r="V380" s="223"/>
      <c r="W380" s="223"/>
    </row>
    <row r="381">
      <c r="A381" s="223"/>
      <c r="B381" s="223"/>
      <c r="C381" s="223"/>
      <c r="D381" s="223"/>
      <c r="E381" s="223"/>
      <c r="F381" s="223"/>
      <c r="G381" s="223"/>
      <c r="H381" s="223"/>
      <c r="I381" s="223"/>
      <c r="J381" s="223"/>
      <c r="K381" s="320"/>
      <c r="L381" s="320"/>
      <c r="M381" s="223"/>
      <c r="N381" s="223"/>
      <c r="O381" s="223"/>
      <c r="P381" s="223"/>
      <c r="Q381" s="223"/>
      <c r="R381" s="223"/>
      <c r="S381" s="223"/>
      <c r="T381" s="223"/>
      <c r="U381" s="223"/>
      <c r="V381" s="223"/>
      <c r="W381" s="223"/>
    </row>
    <row r="382">
      <c r="A382" s="223"/>
      <c r="B382" s="223"/>
      <c r="C382" s="223"/>
      <c r="D382" s="223"/>
      <c r="E382" s="223"/>
      <c r="F382" s="223"/>
      <c r="G382" s="223"/>
      <c r="H382" s="223"/>
      <c r="I382" s="223"/>
      <c r="J382" s="223"/>
      <c r="K382" s="320"/>
      <c r="L382" s="320"/>
      <c r="M382" s="223"/>
      <c r="N382" s="223"/>
      <c r="O382" s="223"/>
      <c r="P382" s="223"/>
      <c r="Q382" s="223"/>
      <c r="R382" s="223"/>
      <c r="S382" s="223"/>
      <c r="T382" s="223"/>
      <c r="U382" s="223"/>
      <c r="V382" s="223"/>
      <c r="W382" s="223"/>
    </row>
    <row r="383">
      <c r="A383" s="223"/>
      <c r="B383" s="223"/>
      <c r="C383" s="223"/>
      <c r="D383" s="223"/>
      <c r="E383" s="223"/>
      <c r="F383" s="223"/>
      <c r="G383" s="223"/>
      <c r="H383" s="223"/>
      <c r="I383" s="223"/>
      <c r="J383" s="223"/>
      <c r="K383" s="320"/>
      <c r="L383" s="320"/>
      <c r="M383" s="223"/>
      <c r="N383" s="223"/>
      <c r="O383" s="223"/>
      <c r="P383" s="223"/>
      <c r="Q383" s="223"/>
      <c r="R383" s="223"/>
      <c r="S383" s="223"/>
      <c r="T383" s="223"/>
      <c r="U383" s="223"/>
      <c r="V383" s="223"/>
      <c r="W383" s="223"/>
    </row>
    <row r="384">
      <c r="A384" s="223"/>
      <c r="B384" s="223"/>
      <c r="C384" s="223"/>
      <c r="D384" s="223"/>
      <c r="E384" s="223"/>
      <c r="F384" s="223"/>
      <c r="G384" s="223"/>
      <c r="H384" s="223"/>
      <c r="I384" s="223"/>
      <c r="J384" s="223"/>
      <c r="K384" s="320"/>
      <c r="L384" s="320"/>
      <c r="M384" s="223"/>
      <c r="N384" s="223"/>
      <c r="O384" s="223"/>
      <c r="P384" s="223"/>
      <c r="Q384" s="223"/>
      <c r="R384" s="223"/>
      <c r="S384" s="223"/>
      <c r="T384" s="223"/>
      <c r="U384" s="223"/>
      <c r="V384" s="223"/>
      <c r="W384" s="223"/>
    </row>
    <row r="385">
      <c r="A385" s="223"/>
      <c r="B385" s="223"/>
      <c r="C385" s="223"/>
      <c r="D385" s="223"/>
      <c r="E385" s="223"/>
      <c r="F385" s="223"/>
      <c r="G385" s="223"/>
      <c r="H385" s="223"/>
      <c r="I385" s="223"/>
      <c r="J385" s="223"/>
      <c r="K385" s="320"/>
      <c r="L385" s="320"/>
      <c r="M385" s="223"/>
      <c r="N385" s="223"/>
      <c r="O385" s="223"/>
      <c r="P385" s="223"/>
      <c r="Q385" s="223"/>
      <c r="R385" s="223"/>
      <c r="S385" s="223"/>
      <c r="T385" s="223"/>
      <c r="U385" s="223"/>
      <c r="V385" s="223"/>
      <c r="W385" s="223"/>
    </row>
    <row r="386">
      <c r="A386" s="223"/>
      <c r="B386" s="223"/>
      <c r="C386" s="223"/>
      <c r="D386" s="223"/>
      <c r="E386" s="223"/>
      <c r="F386" s="223"/>
      <c r="G386" s="223"/>
      <c r="H386" s="223"/>
      <c r="I386" s="223"/>
      <c r="J386" s="223"/>
      <c r="K386" s="320"/>
      <c r="L386" s="320"/>
      <c r="M386" s="223"/>
      <c r="N386" s="223"/>
      <c r="O386" s="223"/>
      <c r="P386" s="223"/>
      <c r="Q386" s="223"/>
      <c r="R386" s="223"/>
      <c r="S386" s="223"/>
      <c r="T386" s="223"/>
      <c r="U386" s="223"/>
      <c r="V386" s="223"/>
      <c r="W386" s="223"/>
    </row>
    <row r="387">
      <c r="A387" s="223"/>
      <c r="B387" s="223"/>
      <c r="C387" s="223"/>
      <c r="D387" s="223"/>
      <c r="E387" s="223"/>
      <c r="F387" s="223"/>
      <c r="G387" s="223"/>
      <c r="H387" s="223"/>
      <c r="I387" s="223"/>
      <c r="J387" s="223"/>
      <c r="K387" s="320"/>
      <c r="L387" s="320"/>
      <c r="M387" s="223"/>
      <c r="N387" s="223"/>
      <c r="O387" s="223"/>
      <c r="P387" s="223"/>
      <c r="Q387" s="223"/>
      <c r="R387" s="223"/>
      <c r="S387" s="223"/>
      <c r="T387" s="223"/>
      <c r="U387" s="223"/>
      <c r="V387" s="223"/>
      <c r="W387" s="223"/>
    </row>
    <row r="388">
      <c r="A388" s="223"/>
      <c r="B388" s="223"/>
      <c r="C388" s="223"/>
      <c r="D388" s="223"/>
      <c r="E388" s="223"/>
      <c r="F388" s="223"/>
      <c r="G388" s="223"/>
      <c r="H388" s="223"/>
      <c r="I388" s="223"/>
      <c r="J388" s="223"/>
      <c r="K388" s="320"/>
      <c r="L388" s="320"/>
      <c r="M388" s="223"/>
      <c r="N388" s="223"/>
      <c r="O388" s="223"/>
      <c r="P388" s="223"/>
      <c r="Q388" s="223"/>
      <c r="R388" s="223"/>
      <c r="S388" s="223"/>
      <c r="T388" s="223"/>
      <c r="U388" s="223"/>
      <c r="V388" s="223"/>
      <c r="W388" s="223"/>
    </row>
    <row r="389">
      <c r="A389" s="223"/>
      <c r="B389" s="223"/>
      <c r="C389" s="223"/>
      <c r="D389" s="223"/>
      <c r="E389" s="223"/>
      <c r="F389" s="223"/>
      <c r="G389" s="223"/>
      <c r="H389" s="223"/>
      <c r="I389" s="223"/>
      <c r="J389" s="223"/>
      <c r="K389" s="320"/>
      <c r="L389" s="320"/>
      <c r="M389" s="223"/>
      <c r="N389" s="223"/>
      <c r="O389" s="223"/>
      <c r="P389" s="223"/>
      <c r="Q389" s="223"/>
      <c r="R389" s="223"/>
      <c r="S389" s="223"/>
      <c r="T389" s="223"/>
      <c r="U389" s="223"/>
      <c r="V389" s="223"/>
      <c r="W389" s="223"/>
    </row>
    <row r="390">
      <c r="A390" s="223"/>
      <c r="B390" s="223"/>
      <c r="C390" s="223"/>
      <c r="D390" s="223"/>
      <c r="E390" s="223"/>
      <c r="F390" s="223"/>
      <c r="G390" s="223"/>
      <c r="H390" s="223"/>
      <c r="I390" s="223"/>
      <c r="J390" s="223"/>
      <c r="K390" s="320"/>
      <c r="L390" s="320"/>
      <c r="M390" s="223"/>
      <c r="N390" s="223"/>
      <c r="O390" s="223"/>
      <c r="P390" s="223"/>
      <c r="Q390" s="223"/>
      <c r="R390" s="223"/>
      <c r="S390" s="223"/>
      <c r="T390" s="223"/>
      <c r="U390" s="223"/>
      <c r="V390" s="223"/>
      <c r="W390" s="223"/>
    </row>
    <row r="391">
      <c r="A391" s="223"/>
      <c r="B391" s="223"/>
      <c r="C391" s="223"/>
      <c r="D391" s="223"/>
      <c r="E391" s="223"/>
      <c r="F391" s="223"/>
      <c r="G391" s="223"/>
      <c r="H391" s="223"/>
      <c r="I391" s="223"/>
      <c r="J391" s="223"/>
      <c r="K391" s="320"/>
      <c r="L391" s="320"/>
      <c r="M391" s="223"/>
      <c r="N391" s="223"/>
      <c r="O391" s="223"/>
      <c r="P391" s="223"/>
      <c r="Q391" s="223"/>
      <c r="R391" s="223"/>
      <c r="S391" s="223"/>
      <c r="T391" s="223"/>
      <c r="U391" s="223"/>
      <c r="V391" s="223"/>
      <c r="W391" s="223"/>
    </row>
    <row r="392">
      <c r="A392" s="223"/>
      <c r="B392" s="223"/>
      <c r="C392" s="223"/>
      <c r="D392" s="223"/>
      <c r="E392" s="223"/>
      <c r="F392" s="223"/>
      <c r="G392" s="223"/>
      <c r="H392" s="223"/>
      <c r="I392" s="223"/>
      <c r="J392" s="223"/>
      <c r="K392" s="320"/>
      <c r="L392" s="320"/>
      <c r="M392" s="223"/>
      <c r="N392" s="223"/>
      <c r="O392" s="223"/>
      <c r="P392" s="223"/>
      <c r="Q392" s="223"/>
      <c r="R392" s="223"/>
      <c r="S392" s="223"/>
      <c r="T392" s="223"/>
      <c r="U392" s="223"/>
      <c r="V392" s="223"/>
      <c r="W392" s="223"/>
    </row>
    <row r="393">
      <c r="A393" s="223"/>
      <c r="B393" s="223"/>
      <c r="C393" s="223"/>
      <c r="D393" s="223"/>
      <c r="E393" s="223"/>
      <c r="F393" s="223"/>
      <c r="G393" s="223"/>
      <c r="H393" s="223"/>
      <c r="I393" s="223"/>
      <c r="J393" s="223"/>
      <c r="K393" s="320"/>
      <c r="L393" s="320"/>
      <c r="M393" s="223"/>
      <c r="N393" s="223"/>
      <c r="O393" s="223"/>
      <c r="P393" s="223"/>
      <c r="Q393" s="223"/>
      <c r="R393" s="223"/>
      <c r="S393" s="223"/>
      <c r="T393" s="223"/>
      <c r="U393" s="223"/>
      <c r="V393" s="223"/>
      <c r="W393" s="223"/>
    </row>
    <row r="394">
      <c r="A394" s="223"/>
      <c r="B394" s="223"/>
      <c r="C394" s="223"/>
      <c r="D394" s="223"/>
      <c r="E394" s="223"/>
      <c r="F394" s="223"/>
      <c r="G394" s="223"/>
      <c r="H394" s="223"/>
      <c r="I394" s="223"/>
      <c r="J394" s="223"/>
      <c r="K394" s="320"/>
      <c r="L394" s="320"/>
      <c r="M394" s="223"/>
      <c r="N394" s="223"/>
      <c r="O394" s="223"/>
      <c r="P394" s="223"/>
      <c r="Q394" s="223"/>
      <c r="R394" s="223"/>
      <c r="S394" s="223"/>
      <c r="T394" s="223"/>
      <c r="U394" s="223"/>
      <c r="V394" s="223"/>
      <c r="W394" s="223"/>
    </row>
    <row r="395">
      <c r="A395" s="223"/>
      <c r="B395" s="223"/>
      <c r="C395" s="223"/>
      <c r="D395" s="223"/>
      <c r="E395" s="223"/>
      <c r="F395" s="223"/>
      <c r="G395" s="223"/>
      <c r="H395" s="223"/>
      <c r="I395" s="223"/>
      <c r="J395" s="223"/>
      <c r="K395" s="320"/>
      <c r="L395" s="320"/>
      <c r="M395" s="223"/>
      <c r="N395" s="223"/>
      <c r="O395" s="223"/>
      <c r="P395" s="223"/>
      <c r="Q395" s="223"/>
      <c r="R395" s="223"/>
      <c r="S395" s="223"/>
      <c r="T395" s="223"/>
      <c r="U395" s="223"/>
      <c r="V395" s="223"/>
      <c r="W395" s="223"/>
    </row>
    <row r="396">
      <c r="A396" s="223"/>
      <c r="B396" s="223"/>
      <c r="C396" s="223"/>
      <c r="D396" s="223"/>
      <c r="E396" s="223"/>
      <c r="F396" s="223"/>
      <c r="G396" s="223"/>
      <c r="H396" s="223"/>
      <c r="I396" s="223"/>
      <c r="J396" s="223"/>
      <c r="K396" s="320"/>
      <c r="L396" s="320"/>
      <c r="M396" s="223"/>
      <c r="N396" s="223"/>
      <c r="O396" s="223"/>
      <c r="P396" s="223"/>
      <c r="Q396" s="223"/>
      <c r="R396" s="223"/>
      <c r="S396" s="223"/>
      <c r="T396" s="223"/>
      <c r="U396" s="223"/>
      <c r="V396" s="223"/>
      <c r="W396" s="223"/>
    </row>
    <row r="397">
      <c r="A397" s="223"/>
      <c r="B397" s="223"/>
      <c r="C397" s="223"/>
      <c r="D397" s="223"/>
      <c r="E397" s="223"/>
      <c r="F397" s="223"/>
      <c r="G397" s="223"/>
      <c r="H397" s="223"/>
      <c r="I397" s="223"/>
      <c r="J397" s="223"/>
      <c r="K397" s="320"/>
      <c r="L397" s="320"/>
      <c r="M397" s="223"/>
      <c r="N397" s="223"/>
      <c r="O397" s="223"/>
      <c r="P397" s="223"/>
      <c r="Q397" s="223"/>
      <c r="R397" s="223"/>
      <c r="S397" s="223"/>
      <c r="T397" s="223"/>
      <c r="U397" s="223"/>
      <c r="V397" s="223"/>
      <c r="W397" s="223"/>
    </row>
    <row r="398">
      <c r="A398" s="223"/>
      <c r="B398" s="223"/>
      <c r="C398" s="223"/>
      <c r="D398" s="223"/>
      <c r="E398" s="223"/>
      <c r="F398" s="223"/>
      <c r="G398" s="223"/>
      <c r="H398" s="223"/>
      <c r="I398" s="223"/>
      <c r="J398" s="223"/>
      <c r="K398" s="320"/>
      <c r="L398" s="320"/>
      <c r="M398" s="223"/>
      <c r="N398" s="223"/>
      <c r="O398" s="223"/>
      <c r="P398" s="223"/>
      <c r="Q398" s="223"/>
      <c r="R398" s="223"/>
      <c r="S398" s="223"/>
      <c r="T398" s="223"/>
      <c r="U398" s="223"/>
      <c r="V398" s="223"/>
      <c r="W398" s="223"/>
    </row>
    <row r="399">
      <c r="A399" s="223"/>
      <c r="B399" s="223"/>
      <c r="C399" s="223"/>
      <c r="D399" s="223"/>
      <c r="E399" s="223"/>
      <c r="F399" s="223"/>
      <c r="G399" s="223"/>
      <c r="H399" s="223"/>
      <c r="I399" s="223"/>
      <c r="J399" s="223"/>
      <c r="K399" s="320"/>
      <c r="L399" s="320"/>
      <c r="M399" s="223"/>
      <c r="N399" s="223"/>
      <c r="O399" s="223"/>
      <c r="P399" s="223"/>
      <c r="Q399" s="223"/>
      <c r="R399" s="223"/>
      <c r="S399" s="223"/>
      <c r="T399" s="223"/>
      <c r="U399" s="223"/>
      <c r="V399" s="223"/>
      <c r="W399" s="223"/>
    </row>
    <row r="400">
      <c r="A400" s="223"/>
      <c r="B400" s="223"/>
      <c r="C400" s="223"/>
      <c r="D400" s="223"/>
      <c r="E400" s="223"/>
      <c r="F400" s="223"/>
      <c r="G400" s="223"/>
      <c r="H400" s="223"/>
      <c r="I400" s="223"/>
      <c r="J400" s="223"/>
      <c r="K400" s="320"/>
      <c r="L400" s="320"/>
      <c r="M400" s="223"/>
      <c r="N400" s="223"/>
      <c r="O400" s="223"/>
      <c r="P400" s="223"/>
      <c r="Q400" s="223"/>
      <c r="R400" s="223"/>
      <c r="S400" s="223"/>
      <c r="T400" s="223"/>
      <c r="U400" s="223"/>
      <c r="V400" s="223"/>
      <c r="W400" s="223"/>
    </row>
    <row r="401">
      <c r="A401" s="223"/>
      <c r="B401" s="223"/>
      <c r="C401" s="223"/>
      <c r="D401" s="223"/>
      <c r="E401" s="223"/>
      <c r="F401" s="223"/>
      <c r="G401" s="223"/>
      <c r="H401" s="223"/>
      <c r="I401" s="223"/>
      <c r="J401" s="223"/>
      <c r="K401" s="320"/>
      <c r="L401" s="320"/>
      <c r="M401" s="223"/>
      <c r="N401" s="223"/>
      <c r="O401" s="223"/>
      <c r="P401" s="223"/>
      <c r="Q401" s="223"/>
      <c r="R401" s="223"/>
      <c r="S401" s="223"/>
      <c r="T401" s="223"/>
      <c r="U401" s="223"/>
      <c r="V401" s="223"/>
      <c r="W401" s="223"/>
    </row>
    <row r="402">
      <c r="A402" s="223"/>
      <c r="B402" s="223"/>
      <c r="C402" s="223"/>
      <c r="D402" s="223"/>
      <c r="E402" s="223"/>
      <c r="F402" s="223"/>
      <c r="G402" s="223"/>
      <c r="H402" s="223"/>
      <c r="I402" s="223"/>
      <c r="J402" s="223"/>
      <c r="K402" s="320"/>
      <c r="L402" s="320"/>
      <c r="M402" s="223"/>
      <c r="N402" s="223"/>
      <c r="O402" s="223"/>
      <c r="P402" s="223"/>
      <c r="Q402" s="223"/>
      <c r="R402" s="223"/>
      <c r="S402" s="223"/>
      <c r="T402" s="223"/>
      <c r="U402" s="223"/>
      <c r="V402" s="223"/>
      <c r="W402" s="223"/>
    </row>
    <row r="403">
      <c r="A403" s="223"/>
      <c r="B403" s="223"/>
      <c r="C403" s="223"/>
      <c r="D403" s="223"/>
      <c r="E403" s="223"/>
      <c r="F403" s="223"/>
      <c r="G403" s="223"/>
      <c r="H403" s="223"/>
      <c r="I403" s="223"/>
      <c r="J403" s="223"/>
      <c r="K403" s="320"/>
      <c r="L403" s="320"/>
      <c r="M403" s="223"/>
      <c r="N403" s="223"/>
      <c r="O403" s="223"/>
      <c r="P403" s="223"/>
      <c r="Q403" s="223"/>
      <c r="R403" s="223"/>
      <c r="S403" s="223"/>
      <c r="T403" s="223"/>
      <c r="U403" s="223"/>
      <c r="V403" s="223"/>
      <c r="W403" s="223"/>
    </row>
    <row r="404">
      <c r="A404" s="223"/>
      <c r="B404" s="223"/>
      <c r="C404" s="223"/>
      <c r="D404" s="223"/>
      <c r="E404" s="223"/>
      <c r="F404" s="223"/>
      <c r="G404" s="223"/>
      <c r="H404" s="223"/>
      <c r="I404" s="223"/>
      <c r="J404" s="223"/>
      <c r="K404" s="320"/>
      <c r="L404" s="320"/>
      <c r="M404" s="223"/>
      <c r="N404" s="223"/>
      <c r="O404" s="223"/>
      <c r="P404" s="223"/>
      <c r="Q404" s="223"/>
      <c r="R404" s="223"/>
      <c r="S404" s="223"/>
      <c r="T404" s="223"/>
      <c r="U404" s="223"/>
      <c r="V404" s="223"/>
      <c r="W404" s="223"/>
    </row>
    <row r="405">
      <c r="A405" s="223"/>
      <c r="B405" s="223"/>
      <c r="C405" s="223"/>
      <c r="D405" s="223"/>
      <c r="E405" s="223"/>
      <c r="F405" s="223"/>
      <c r="G405" s="223"/>
      <c r="H405" s="223"/>
      <c r="I405" s="223"/>
      <c r="J405" s="223"/>
      <c r="K405" s="320"/>
      <c r="L405" s="320"/>
      <c r="M405" s="223"/>
      <c r="N405" s="223"/>
      <c r="O405" s="223"/>
      <c r="P405" s="223"/>
      <c r="Q405" s="223"/>
      <c r="R405" s="223"/>
      <c r="S405" s="223"/>
      <c r="T405" s="223"/>
      <c r="U405" s="223"/>
      <c r="V405" s="223"/>
      <c r="W405" s="223"/>
    </row>
    <row r="406">
      <c r="A406" s="223"/>
      <c r="B406" s="223"/>
      <c r="C406" s="223"/>
      <c r="D406" s="223"/>
      <c r="E406" s="223"/>
      <c r="F406" s="223"/>
      <c r="G406" s="223"/>
      <c r="H406" s="223"/>
      <c r="I406" s="223"/>
      <c r="J406" s="223"/>
      <c r="K406" s="320"/>
      <c r="L406" s="320"/>
      <c r="M406" s="223"/>
      <c r="N406" s="223"/>
      <c r="O406" s="223"/>
      <c r="P406" s="223"/>
      <c r="Q406" s="223"/>
      <c r="R406" s="223"/>
      <c r="S406" s="223"/>
      <c r="T406" s="223"/>
      <c r="U406" s="223"/>
      <c r="V406" s="223"/>
      <c r="W406" s="223"/>
    </row>
    <row r="407">
      <c r="A407" s="223"/>
      <c r="B407" s="223"/>
      <c r="C407" s="223"/>
      <c r="D407" s="223"/>
      <c r="E407" s="223"/>
      <c r="F407" s="223"/>
      <c r="G407" s="223"/>
      <c r="H407" s="223"/>
      <c r="I407" s="223"/>
      <c r="J407" s="223"/>
      <c r="K407" s="320"/>
      <c r="L407" s="320"/>
      <c r="M407" s="223"/>
      <c r="N407" s="223"/>
      <c r="O407" s="223"/>
      <c r="P407" s="223"/>
      <c r="Q407" s="223"/>
      <c r="R407" s="223"/>
      <c r="S407" s="223"/>
      <c r="T407" s="223"/>
      <c r="U407" s="223"/>
      <c r="V407" s="223"/>
      <c r="W407" s="223"/>
    </row>
    <row r="408">
      <c r="A408" s="223"/>
      <c r="B408" s="223"/>
      <c r="C408" s="223"/>
      <c r="D408" s="223"/>
      <c r="E408" s="223"/>
      <c r="F408" s="223"/>
      <c r="G408" s="223"/>
      <c r="H408" s="223"/>
      <c r="I408" s="223"/>
      <c r="J408" s="223"/>
      <c r="K408" s="320"/>
      <c r="L408" s="320"/>
      <c r="M408" s="223"/>
      <c r="N408" s="223"/>
      <c r="O408" s="223"/>
      <c r="P408" s="223"/>
      <c r="Q408" s="223"/>
      <c r="R408" s="223"/>
      <c r="S408" s="223"/>
      <c r="T408" s="223"/>
      <c r="U408" s="223"/>
      <c r="V408" s="223"/>
      <c r="W408" s="223"/>
    </row>
    <row r="409">
      <c r="A409" s="223"/>
      <c r="B409" s="223"/>
      <c r="C409" s="223"/>
      <c r="D409" s="223"/>
      <c r="E409" s="223"/>
      <c r="F409" s="223"/>
      <c r="G409" s="223"/>
      <c r="H409" s="223"/>
      <c r="I409" s="223"/>
      <c r="J409" s="223"/>
      <c r="K409" s="320"/>
      <c r="L409" s="320"/>
      <c r="M409" s="223"/>
      <c r="N409" s="223"/>
      <c r="O409" s="223"/>
      <c r="P409" s="223"/>
      <c r="Q409" s="223"/>
      <c r="R409" s="223"/>
      <c r="S409" s="223"/>
      <c r="T409" s="223"/>
      <c r="U409" s="223"/>
      <c r="V409" s="223"/>
      <c r="W409" s="223"/>
    </row>
    <row r="410">
      <c r="A410" s="223"/>
      <c r="B410" s="223"/>
      <c r="C410" s="223"/>
      <c r="D410" s="223"/>
      <c r="E410" s="223"/>
      <c r="F410" s="223"/>
      <c r="G410" s="223"/>
      <c r="H410" s="223"/>
      <c r="I410" s="223"/>
      <c r="J410" s="223"/>
      <c r="K410" s="320"/>
      <c r="L410" s="320"/>
      <c r="M410" s="223"/>
      <c r="N410" s="223"/>
      <c r="O410" s="223"/>
      <c r="P410" s="223"/>
      <c r="Q410" s="223"/>
      <c r="R410" s="223"/>
      <c r="S410" s="223"/>
      <c r="T410" s="223"/>
      <c r="U410" s="223"/>
      <c r="V410" s="223"/>
      <c r="W410" s="223"/>
    </row>
    <row r="411">
      <c r="A411" s="223"/>
      <c r="B411" s="223"/>
      <c r="C411" s="223"/>
      <c r="D411" s="223"/>
      <c r="E411" s="223"/>
      <c r="F411" s="223"/>
      <c r="G411" s="223"/>
      <c r="H411" s="223"/>
      <c r="I411" s="223"/>
      <c r="J411" s="223"/>
      <c r="K411" s="320"/>
      <c r="L411" s="320"/>
      <c r="M411" s="223"/>
      <c r="N411" s="223"/>
      <c r="O411" s="223"/>
      <c r="P411" s="223"/>
      <c r="Q411" s="223"/>
      <c r="R411" s="223"/>
      <c r="S411" s="223"/>
      <c r="T411" s="223"/>
      <c r="U411" s="223"/>
      <c r="V411" s="223"/>
      <c r="W411" s="223"/>
    </row>
    <row r="412">
      <c r="A412" s="223"/>
      <c r="B412" s="223"/>
      <c r="C412" s="223"/>
      <c r="D412" s="223"/>
      <c r="E412" s="223"/>
      <c r="F412" s="223"/>
      <c r="G412" s="223"/>
      <c r="H412" s="223"/>
      <c r="I412" s="223"/>
      <c r="J412" s="223"/>
      <c r="K412" s="320"/>
      <c r="L412" s="320"/>
      <c r="M412" s="223"/>
      <c r="N412" s="223"/>
      <c r="O412" s="223"/>
      <c r="P412" s="223"/>
      <c r="Q412" s="223"/>
      <c r="R412" s="223"/>
      <c r="S412" s="223"/>
      <c r="T412" s="223"/>
      <c r="U412" s="223"/>
      <c r="V412" s="223"/>
      <c r="W412" s="223"/>
    </row>
    <row r="413">
      <c r="A413" s="223"/>
      <c r="B413" s="223"/>
      <c r="C413" s="223"/>
      <c r="D413" s="223"/>
      <c r="E413" s="223"/>
      <c r="F413" s="223"/>
      <c r="G413" s="223"/>
      <c r="H413" s="223"/>
      <c r="I413" s="223"/>
      <c r="J413" s="223"/>
      <c r="K413" s="320"/>
      <c r="L413" s="320"/>
      <c r="M413" s="223"/>
      <c r="N413" s="223"/>
      <c r="O413" s="223"/>
      <c r="P413" s="223"/>
      <c r="Q413" s="223"/>
      <c r="R413" s="223"/>
      <c r="S413" s="223"/>
      <c r="T413" s="223"/>
      <c r="U413" s="223"/>
      <c r="V413" s="223"/>
      <c r="W413" s="223"/>
    </row>
    <row r="414">
      <c r="A414" s="223"/>
      <c r="B414" s="223"/>
      <c r="C414" s="223"/>
      <c r="D414" s="223"/>
      <c r="E414" s="223"/>
      <c r="F414" s="223"/>
      <c r="G414" s="223"/>
      <c r="H414" s="223"/>
      <c r="I414" s="223"/>
      <c r="J414" s="223"/>
      <c r="K414" s="320"/>
      <c r="L414" s="320"/>
      <c r="M414" s="223"/>
      <c r="N414" s="223"/>
      <c r="O414" s="223"/>
      <c r="P414" s="223"/>
      <c r="Q414" s="223"/>
      <c r="R414" s="223"/>
      <c r="S414" s="223"/>
      <c r="T414" s="223"/>
      <c r="U414" s="223"/>
      <c r="V414" s="223"/>
      <c r="W414" s="223"/>
    </row>
    <row r="415">
      <c r="A415" s="223"/>
      <c r="B415" s="223"/>
      <c r="C415" s="223"/>
      <c r="D415" s="223"/>
      <c r="E415" s="223"/>
      <c r="F415" s="223"/>
      <c r="G415" s="223"/>
      <c r="H415" s="223"/>
      <c r="I415" s="223"/>
      <c r="J415" s="223"/>
      <c r="K415" s="320"/>
      <c r="L415" s="320"/>
      <c r="M415" s="223"/>
      <c r="N415" s="223"/>
      <c r="O415" s="223"/>
      <c r="P415" s="223"/>
      <c r="Q415" s="223"/>
      <c r="R415" s="223"/>
      <c r="S415" s="223"/>
      <c r="T415" s="223"/>
      <c r="U415" s="223"/>
      <c r="V415" s="223"/>
      <c r="W415" s="223"/>
    </row>
    <row r="416">
      <c r="A416" s="223"/>
      <c r="B416" s="223"/>
      <c r="C416" s="223"/>
      <c r="D416" s="223"/>
      <c r="E416" s="223"/>
      <c r="F416" s="223"/>
      <c r="G416" s="223"/>
      <c r="H416" s="223"/>
      <c r="I416" s="223"/>
      <c r="J416" s="223"/>
      <c r="K416" s="320"/>
      <c r="L416" s="320"/>
      <c r="M416" s="223"/>
      <c r="N416" s="223"/>
      <c r="O416" s="223"/>
      <c r="P416" s="223"/>
      <c r="Q416" s="223"/>
      <c r="R416" s="223"/>
      <c r="S416" s="223"/>
      <c r="T416" s="223"/>
      <c r="U416" s="223"/>
      <c r="V416" s="223"/>
      <c r="W416" s="223"/>
    </row>
    <row r="417">
      <c r="A417" s="223"/>
      <c r="B417" s="223"/>
      <c r="C417" s="223"/>
      <c r="D417" s="223"/>
      <c r="E417" s="223"/>
      <c r="F417" s="223"/>
      <c r="G417" s="223"/>
      <c r="H417" s="223"/>
      <c r="I417" s="223"/>
      <c r="J417" s="223"/>
      <c r="K417" s="320"/>
      <c r="L417" s="320"/>
      <c r="M417" s="223"/>
      <c r="N417" s="223"/>
      <c r="O417" s="223"/>
      <c r="P417" s="223"/>
      <c r="Q417" s="223"/>
      <c r="R417" s="223"/>
      <c r="S417" s="223"/>
      <c r="T417" s="223"/>
      <c r="U417" s="223"/>
      <c r="V417" s="223"/>
      <c r="W417" s="223"/>
    </row>
    <row r="418">
      <c r="A418" s="223"/>
      <c r="B418" s="223"/>
      <c r="C418" s="223"/>
      <c r="D418" s="223"/>
      <c r="E418" s="223"/>
      <c r="F418" s="223"/>
      <c r="G418" s="223"/>
      <c r="H418" s="223"/>
      <c r="I418" s="223"/>
      <c r="J418" s="223"/>
      <c r="K418" s="320"/>
      <c r="L418" s="320"/>
      <c r="M418" s="223"/>
      <c r="N418" s="223"/>
      <c r="O418" s="223"/>
      <c r="P418" s="223"/>
      <c r="Q418" s="223"/>
      <c r="R418" s="223"/>
      <c r="S418" s="223"/>
      <c r="T418" s="223"/>
      <c r="U418" s="223"/>
      <c r="V418" s="223"/>
      <c r="W418" s="223"/>
    </row>
    <row r="419">
      <c r="A419" s="223"/>
      <c r="B419" s="223"/>
      <c r="C419" s="223"/>
      <c r="D419" s="223"/>
      <c r="E419" s="223"/>
      <c r="F419" s="223"/>
      <c r="G419" s="223"/>
      <c r="H419" s="223"/>
      <c r="I419" s="223"/>
      <c r="J419" s="223"/>
      <c r="K419" s="320"/>
      <c r="L419" s="320"/>
      <c r="M419" s="223"/>
      <c r="N419" s="223"/>
      <c r="O419" s="223"/>
      <c r="P419" s="223"/>
      <c r="Q419" s="223"/>
      <c r="R419" s="223"/>
      <c r="S419" s="223"/>
      <c r="T419" s="223"/>
      <c r="U419" s="223"/>
      <c r="V419" s="223"/>
      <c r="W419" s="223"/>
    </row>
    <row r="420">
      <c r="A420" s="223"/>
      <c r="B420" s="223"/>
      <c r="C420" s="223"/>
      <c r="D420" s="223"/>
      <c r="E420" s="223"/>
      <c r="F420" s="223"/>
      <c r="G420" s="223"/>
      <c r="H420" s="223"/>
      <c r="I420" s="223"/>
      <c r="J420" s="223"/>
      <c r="K420" s="320"/>
      <c r="L420" s="320"/>
      <c r="M420" s="223"/>
      <c r="N420" s="223"/>
      <c r="O420" s="223"/>
      <c r="P420" s="223"/>
      <c r="Q420" s="223"/>
      <c r="R420" s="223"/>
      <c r="S420" s="223"/>
      <c r="T420" s="223"/>
      <c r="U420" s="223"/>
      <c r="V420" s="223"/>
      <c r="W420" s="223"/>
    </row>
    <row r="421">
      <c r="A421" s="223"/>
      <c r="B421" s="223"/>
      <c r="C421" s="223"/>
      <c r="D421" s="223"/>
      <c r="E421" s="223"/>
      <c r="F421" s="223"/>
      <c r="G421" s="223"/>
      <c r="H421" s="223"/>
      <c r="I421" s="223"/>
      <c r="J421" s="223"/>
      <c r="K421" s="320"/>
      <c r="L421" s="320"/>
      <c r="M421" s="223"/>
      <c r="N421" s="223"/>
      <c r="O421" s="223"/>
      <c r="P421" s="223"/>
      <c r="Q421" s="223"/>
      <c r="R421" s="223"/>
      <c r="S421" s="223"/>
      <c r="T421" s="223"/>
      <c r="U421" s="223"/>
      <c r="V421" s="223"/>
      <c r="W421" s="223"/>
    </row>
    <row r="422">
      <c r="A422" s="223"/>
      <c r="B422" s="223"/>
      <c r="C422" s="223"/>
      <c r="D422" s="223"/>
      <c r="E422" s="223"/>
      <c r="F422" s="223"/>
      <c r="G422" s="223"/>
      <c r="H422" s="223"/>
      <c r="I422" s="223"/>
      <c r="J422" s="223"/>
      <c r="K422" s="320"/>
      <c r="L422" s="320"/>
      <c r="M422" s="223"/>
      <c r="N422" s="223"/>
      <c r="O422" s="223"/>
      <c r="P422" s="223"/>
      <c r="Q422" s="223"/>
      <c r="R422" s="223"/>
      <c r="S422" s="223"/>
      <c r="T422" s="223"/>
      <c r="U422" s="223"/>
      <c r="V422" s="223"/>
      <c r="W422" s="223"/>
    </row>
    <row r="423">
      <c r="A423" s="223"/>
      <c r="B423" s="223"/>
      <c r="C423" s="223"/>
      <c r="D423" s="223"/>
      <c r="E423" s="223"/>
      <c r="F423" s="223"/>
      <c r="G423" s="223"/>
      <c r="H423" s="223"/>
      <c r="I423" s="223"/>
      <c r="J423" s="223"/>
      <c r="K423" s="320"/>
      <c r="L423" s="320"/>
      <c r="M423" s="223"/>
      <c r="N423" s="223"/>
      <c r="O423" s="223"/>
      <c r="P423" s="223"/>
      <c r="Q423" s="223"/>
      <c r="R423" s="223"/>
      <c r="S423" s="223"/>
      <c r="T423" s="223"/>
      <c r="U423" s="223"/>
      <c r="V423" s="223"/>
      <c r="W423" s="223"/>
    </row>
    <row r="424">
      <c r="A424" s="223"/>
      <c r="B424" s="223"/>
      <c r="C424" s="223"/>
      <c r="D424" s="223"/>
      <c r="E424" s="223"/>
      <c r="F424" s="223"/>
      <c r="G424" s="223"/>
      <c r="H424" s="223"/>
      <c r="I424" s="223"/>
      <c r="J424" s="223"/>
      <c r="K424" s="320"/>
      <c r="L424" s="320"/>
      <c r="M424" s="223"/>
      <c r="N424" s="223"/>
      <c r="O424" s="223"/>
      <c r="P424" s="223"/>
      <c r="Q424" s="223"/>
      <c r="R424" s="223"/>
      <c r="S424" s="223"/>
      <c r="T424" s="223"/>
      <c r="U424" s="223"/>
      <c r="V424" s="223"/>
      <c r="W424" s="223"/>
    </row>
    <row r="425">
      <c r="A425" s="223"/>
      <c r="B425" s="223"/>
      <c r="C425" s="223"/>
      <c r="D425" s="223"/>
      <c r="E425" s="223"/>
      <c r="F425" s="223"/>
      <c r="G425" s="223"/>
      <c r="H425" s="223"/>
      <c r="I425" s="223"/>
      <c r="J425" s="223"/>
      <c r="K425" s="320"/>
      <c r="L425" s="320"/>
      <c r="M425" s="223"/>
      <c r="N425" s="223"/>
      <c r="O425" s="223"/>
      <c r="P425" s="223"/>
      <c r="Q425" s="223"/>
      <c r="R425" s="223"/>
      <c r="S425" s="223"/>
      <c r="T425" s="223"/>
      <c r="U425" s="223"/>
      <c r="V425" s="223"/>
      <c r="W425" s="223"/>
    </row>
    <row r="426">
      <c r="A426" s="223"/>
      <c r="B426" s="223"/>
      <c r="C426" s="223"/>
      <c r="D426" s="223"/>
      <c r="E426" s="223"/>
      <c r="F426" s="223"/>
      <c r="G426" s="223"/>
      <c r="H426" s="223"/>
      <c r="I426" s="223"/>
      <c r="J426" s="223"/>
      <c r="K426" s="320"/>
      <c r="L426" s="320"/>
      <c r="M426" s="223"/>
      <c r="N426" s="223"/>
      <c r="O426" s="223"/>
      <c r="P426" s="223"/>
      <c r="Q426" s="223"/>
      <c r="R426" s="223"/>
      <c r="S426" s="223"/>
      <c r="T426" s="223"/>
      <c r="U426" s="223"/>
      <c r="V426" s="223"/>
      <c r="W426" s="223"/>
    </row>
    <row r="427">
      <c r="A427" s="223"/>
      <c r="B427" s="223"/>
      <c r="C427" s="223"/>
      <c r="D427" s="223"/>
      <c r="E427" s="223"/>
      <c r="F427" s="223"/>
      <c r="G427" s="223"/>
      <c r="H427" s="223"/>
      <c r="I427" s="223"/>
      <c r="J427" s="223"/>
      <c r="K427" s="320"/>
      <c r="L427" s="320"/>
      <c r="M427" s="223"/>
      <c r="N427" s="223"/>
      <c r="O427" s="223"/>
      <c r="P427" s="223"/>
      <c r="Q427" s="223"/>
      <c r="R427" s="223"/>
      <c r="S427" s="223"/>
      <c r="T427" s="223"/>
      <c r="U427" s="223"/>
      <c r="V427" s="223"/>
      <c r="W427" s="223"/>
    </row>
    <row r="428">
      <c r="A428" s="223"/>
      <c r="B428" s="223"/>
      <c r="C428" s="223"/>
      <c r="D428" s="223"/>
      <c r="E428" s="223"/>
      <c r="F428" s="223"/>
      <c r="G428" s="223"/>
      <c r="H428" s="223"/>
      <c r="I428" s="223"/>
      <c r="J428" s="223"/>
      <c r="K428" s="320"/>
      <c r="L428" s="320"/>
      <c r="M428" s="223"/>
      <c r="N428" s="223"/>
      <c r="O428" s="223"/>
      <c r="P428" s="223"/>
      <c r="Q428" s="223"/>
      <c r="R428" s="223"/>
      <c r="S428" s="223"/>
      <c r="T428" s="223"/>
      <c r="U428" s="223"/>
      <c r="V428" s="223"/>
      <c r="W428" s="223"/>
    </row>
    <row r="429">
      <c r="A429" s="223"/>
      <c r="B429" s="223"/>
      <c r="C429" s="223"/>
      <c r="D429" s="223"/>
      <c r="E429" s="223"/>
      <c r="F429" s="223"/>
      <c r="G429" s="223"/>
      <c r="H429" s="223"/>
      <c r="I429" s="223"/>
      <c r="J429" s="223"/>
      <c r="K429" s="320"/>
      <c r="L429" s="320"/>
      <c r="M429" s="223"/>
      <c r="N429" s="223"/>
      <c r="O429" s="223"/>
      <c r="P429" s="223"/>
      <c r="Q429" s="223"/>
      <c r="R429" s="223"/>
      <c r="S429" s="223"/>
      <c r="T429" s="223"/>
      <c r="U429" s="223"/>
      <c r="V429" s="223"/>
      <c r="W429" s="223"/>
    </row>
    <row r="430">
      <c r="A430" s="223"/>
      <c r="B430" s="223"/>
      <c r="C430" s="223"/>
      <c r="D430" s="223"/>
      <c r="E430" s="223"/>
      <c r="F430" s="223"/>
      <c r="G430" s="223"/>
      <c r="H430" s="223"/>
      <c r="I430" s="223"/>
      <c r="J430" s="223"/>
      <c r="K430" s="320"/>
      <c r="L430" s="320"/>
      <c r="M430" s="223"/>
      <c r="N430" s="223"/>
      <c r="O430" s="223"/>
      <c r="P430" s="223"/>
      <c r="Q430" s="223"/>
      <c r="R430" s="223"/>
      <c r="S430" s="223"/>
      <c r="T430" s="223"/>
      <c r="U430" s="223"/>
      <c r="V430" s="223"/>
      <c r="W430" s="223"/>
    </row>
    <row r="431">
      <c r="A431" s="223"/>
      <c r="B431" s="223"/>
      <c r="C431" s="223"/>
      <c r="D431" s="223"/>
      <c r="E431" s="223"/>
      <c r="F431" s="223"/>
      <c r="G431" s="223"/>
      <c r="H431" s="223"/>
      <c r="I431" s="223"/>
      <c r="J431" s="223"/>
      <c r="K431" s="320"/>
      <c r="L431" s="320"/>
      <c r="M431" s="223"/>
      <c r="N431" s="223"/>
      <c r="O431" s="223"/>
      <c r="P431" s="223"/>
      <c r="Q431" s="223"/>
      <c r="R431" s="223"/>
      <c r="S431" s="223"/>
      <c r="T431" s="223"/>
      <c r="U431" s="223"/>
      <c r="V431" s="223"/>
      <c r="W431" s="223"/>
    </row>
    <row r="432">
      <c r="A432" s="223"/>
      <c r="B432" s="223"/>
      <c r="C432" s="223"/>
      <c r="D432" s="223"/>
      <c r="E432" s="223"/>
      <c r="F432" s="223"/>
      <c r="G432" s="223"/>
      <c r="H432" s="223"/>
      <c r="I432" s="223"/>
      <c r="J432" s="223"/>
      <c r="K432" s="320"/>
      <c r="L432" s="320"/>
      <c r="M432" s="223"/>
      <c r="N432" s="223"/>
      <c r="O432" s="223"/>
      <c r="P432" s="223"/>
      <c r="Q432" s="223"/>
      <c r="R432" s="223"/>
      <c r="S432" s="223"/>
      <c r="T432" s="223"/>
      <c r="U432" s="223"/>
      <c r="V432" s="223"/>
      <c r="W432" s="223"/>
    </row>
    <row r="433">
      <c r="A433" s="223"/>
      <c r="B433" s="223"/>
      <c r="C433" s="223"/>
      <c r="D433" s="223"/>
      <c r="E433" s="223"/>
      <c r="F433" s="223"/>
      <c r="G433" s="223"/>
      <c r="H433" s="223"/>
      <c r="I433" s="223"/>
      <c r="J433" s="223"/>
      <c r="K433" s="320"/>
      <c r="L433" s="320"/>
      <c r="M433" s="223"/>
      <c r="N433" s="223"/>
      <c r="O433" s="223"/>
      <c r="P433" s="223"/>
      <c r="Q433" s="223"/>
      <c r="R433" s="223"/>
      <c r="S433" s="223"/>
      <c r="T433" s="223"/>
      <c r="U433" s="223"/>
      <c r="V433" s="223"/>
      <c r="W433" s="223"/>
    </row>
    <row r="434">
      <c r="A434" s="223"/>
      <c r="B434" s="223"/>
      <c r="C434" s="223"/>
      <c r="D434" s="223"/>
      <c r="E434" s="223"/>
      <c r="F434" s="223"/>
      <c r="G434" s="223"/>
      <c r="H434" s="223"/>
      <c r="I434" s="223"/>
      <c r="J434" s="223"/>
      <c r="K434" s="320"/>
      <c r="L434" s="320"/>
      <c r="M434" s="223"/>
      <c r="N434" s="223"/>
      <c r="O434" s="223"/>
      <c r="P434" s="223"/>
      <c r="Q434" s="223"/>
      <c r="R434" s="223"/>
      <c r="S434" s="223"/>
      <c r="T434" s="223"/>
      <c r="U434" s="223"/>
      <c r="V434" s="223"/>
      <c r="W434" s="223"/>
    </row>
    <row r="435">
      <c r="A435" s="223"/>
      <c r="B435" s="223"/>
      <c r="C435" s="223"/>
      <c r="D435" s="223"/>
      <c r="E435" s="223"/>
      <c r="F435" s="223"/>
      <c r="G435" s="223"/>
      <c r="H435" s="223"/>
      <c r="I435" s="223"/>
      <c r="J435" s="223"/>
      <c r="K435" s="320"/>
      <c r="L435" s="320"/>
      <c r="M435" s="223"/>
      <c r="N435" s="223"/>
      <c r="O435" s="223"/>
      <c r="P435" s="223"/>
      <c r="Q435" s="223"/>
      <c r="R435" s="223"/>
      <c r="S435" s="223"/>
      <c r="T435" s="223"/>
      <c r="U435" s="223"/>
      <c r="V435" s="223"/>
      <c r="W435" s="223"/>
    </row>
    <row r="436">
      <c r="A436" s="223"/>
      <c r="B436" s="223"/>
      <c r="C436" s="223"/>
      <c r="D436" s="223"/>
      <c r="E436" s="223"/>
      <c r="F436" s="223"/>
      <c r="G436" s="223"/>
      <c r="H436" s="223"/>
      <c r="I436" s="223"/>
      <c r="J436" s="223"/>
      <c r="K436" s="320"/>
      <c r="L436" s="320"/>
      <c r="M436" s="223"/>
      <c r="N436" s="223"/>
      <c r="O436" s="223"/>
      <c r="P436" s="223"/>
      <c r="Q436" s="223"/>
      <c r="R436" s="223"/>
      <c r="S436" s="223"/>
      <c r="T436" s="223"/>
      <c r="U436" s="223"/>
      <c r="V436" s="223"/>
      <c r="W436" s="223"/>
    </row>
    <row r="437">
      <c r="A437" s="223"/>
      <c r="B437" s="223"/>
      <c r="C437" s="223"/>
      <c r="D437" s="223"/>
      <c r="E437" s="223"/>
      <c r="F437" s="223"/>
      <c r="G437" s="223"/>
      <c r="H437" s="223"/>
      <c r="I437" s="223"/>
      <c r="J437" s="223"/>
      <c r="K437" s="320"/>
      <c r="L437" s="320"/>
      <c r="M437" s="223"/>
      <c r="N437" s="223"/>
      <c r="O437" s="223"/>
      <c r="P437" s="223"/>
      <c r="Q437" s="223"/>
      <c r="R437" s="223"/>
      <c r="S437" s="223"/>
      <c r="T437" s="223"/>
      <c r="U437" s="223"/>
      <c r="V437" s="223"/>
      <c r="W437" s="223"/>
    </row>
    <row r="438">
      <c r="A438" s="223"/>
      <c r="B438" s="223"/>
      <c r="C438" s="223"/>
      <c r="D438" s="223"/>
      <c r="E438" s="223"/>
      <c r="F438" s="223"/>
      <c r="G438" s="223"/>
      <c r="H438" s="223"/>
      <c r="I438" s="223"/>
      <c r="J438" s="223"/>
      <c r="K438" s="320"/>
      <c r="L438" s="320"/>
      <c r="M438" s="223"/>
      <c r="N438" s="223"/>
      <c r="O438" s="223"/>
      <c r="P438" s="223"/>
      <c r="Q438" s="223"/>
      <c r="R438" s="223"/>
      <c r="S438" s="223"/>
      <c r="T438" s="223"/>
      <c r="U438" s="223"/>
      <c r="V438" s="223"/>
      <c r="W438" s="223"/>
    </row>
    <row r="439">
      <c r="A439" s="223"/>
      <c r="B439" s="223"/>
      <c r="C439" s="223"/>
      <c r="D439" s="223"/>
      <c r="E439" s="223"/>
      <c r="F439" s="223"/>
      <c r="G439" s="223"/>
      <c r="H439" s="223"/>
      <c r="I439" s="223"/>
      <c r="J439" s="223"/>
      <c r="K439" s="320"/>
      <c r="L439" s="320"/>
      <c r="M439" s="223"/>
      <c r="N439" s="223"/>
      <c r="O439" s="223"/>
      <c r="P439" s="223"/>
      <c r="Q439" s="223"/>
      <c r="R439" s="223"/>
      <c r="S439" s="223"/>
      <c r="T439" s="223"/>
      <c r="U439" s="223"/>
      <c r="V439" s="223"/>
      <c r="W439" s="223"/>
    </row>
    <row r="440">
      <c r="A440" s="223"/>
      <c r="B440" s="223"/>
      <c r="C440" s="223"/>
      <c r="D440" s="223"/>
      <c r="E440" s="223"/>
      <c r="F440" s="223"/>
      <c r="G440" s="223"/>
      <c r="H440" s="223"/>
      <c r="I440" s="223"/>
      <c r="J440" s="223"/>
      <c r="K440" s="320"/>
      <c r="L440" s="320"/>
      <c r="M440" s="223"/>
      <c r="N440" s="223"/>
      <c r="O440" s="223"/>
      <c r="P440" s="223"/>
      <c r="Q440" s="223"/>
      <c r="R440" s="223"/>
      <c r="S440" s="223"/>
      <c r="T440" s="223"/>
      <c r="U440" s="223"/>
      <c r="V440" s="223"/>
      <c r="W440" s="223"/>
    </row>
    <row r="441">
      <c r="A441" s="223"/>
      <c r="B441" s="223"/>
      <c r="C441" s="223"/>
      <c r="D441" s="223"/>
      <c r="E441" s="223"/>
      <c r="F441" s="223"/>
      <c r="G441" s="223"/>
      <c r="H441" s="223"/>
      <c r="I441" s="223"/>
      <c r="J441" s="223"/>
      <c r="K441" s="320"/>
      <c r="L441" s="320"/>
      <c r="M441" s="223"/>
      <c r="N441" s="223"/>
      <c r="O441" s="223"/>
      <c r="P441" s="223"/>
      <c r="Q441" s="223"/>
      <c r="R441" s="223"/>
      <c r="S441" s="223"/>
      <c r="T441" s="223"/>
      <c r="U441" s="223"/>
      <c r="V441" s="223"/>
      <c r="W441" s="223"/>
    </row>
    <row r="442">
      <c r="A442" s="223"/>
      <c r="B442" s="223"/>
      <c r="C442" s="223"/>
      <c r="D442" s="223"/>
      <c r="E442" s="223"/>
      <c r="F442" s="223"/>
      <c r="G442" s="223"/>
      <c r="H442" s="223"/>
      <c r="I442" s="223"/>
      <c r="J442" s="223"/>
      <c r="K442" s="320"/>
      <c r="L442" s="320"/>
      <c r="M442" s="223"/>
      <c r="N442" s="223"/>
      <c r="O442" s="223"/>
      <c r="P442" s="223"/>
      <c r="Q442" s="223"/>
      <c r="R442" s="223"/>
      <c r="S442" s="223"/>
      <c r="T442" s="223"/>
      <c r="U442" s="223"/>
      <c r="V442" s="223"/>
      <c r="W442" s="223"/>
    </row>
    <row r="443">
      <c r="A443" s="223"/>
      <c r="B443" s="223"/>
      <c r="C443" s="223"/>
      <c r="D443" s="223"/>
      <c r="E443" s="223"/>
      <c r="F443" s="223"/>
      <c r="G443" s="223"/>
      <c r="H443" s="223"/>
      <c r="I443" s="223"/>
      <c r="J443" s="223"/>
      <c r="K443" s="320"/>
      <c r="L443" s="320"/>
      <c r="M443" s="223"/>
      <c r="N443" s="223"/>
      <c r="O443" s="223"/>
      <c r="P443" s="223"/>
      <c r="Q443" s="223"/>
      <c r="R443" s="223"/>
      <c r="S443" s="223"/>
      <c r="T443" s="223"/>
      <c r="U443" s="223"/>
      <c r="V443" s="223"/>
      <c r="W443" s="223"/>
    </row>
    <row r="444">
      <c r="A444" s="223"/>
      <c r="B444" s="223"/>
      <c r="C444" s="223"/>
      <c r="D444" s="223"/>
      <c r="E444" s="223"/>
      <c r="F444" s="223"/>
      <c r="G444" s="223"/>
      <c r="H444" s="223"/>
      <c r="I444" s="223"/>
      <c r="J444" s="223"/>
      <c r="K444" s="320"/>
      <c r="L444" s="320"/>
      <c r="M444" s="223"/>
      <c r="N444" s="223"/>
      <c r="O444" s="223"/>
      <c r="P444" s="223"/>
      <c r="Q444" s="223"/>
      <c r="R444" s="223"/>
      <c r="S444" s="223"/>
      <c r="T444" s="223"/>
      <c r="U444" s="223"/>
      <c r="V444" s="223"/>
      <c r="W444" s="223"/>
    </row>
    <row r="445">
      <c r="A445" s="223"/>
      <c r="B445" s="223"/>
      <c r="C445" s="223"/>
      <c r="D445" s="223"/>
      <c r="E445" s="223"/>
      <c r="F445" s="223"/>
      <c r="G445" s="223"/>
      <c r="H445" s="223"/>
      <c r="I445" s="223"/>
      <c r="J445" s="223"/>
      <c r="K445" s="320"/>
      <c r="L445" s="320"/>
      <c r="M445" s="223"/>
      <c r="N445" s="223"/>
      <c r="O445" s="223"/>
      <c r="P445" s="223"/>
      <c r="Q445" s="223"/>
      <c r="R445" s="223"/>
      <c r="S445" s="223"/>
      <c r="T445" s="223"/>
      <c r="U445" s="223"/>
      <c r="V445" s="223"/>
      <c r="W445" s="223"/>
    </row>
    <row r="446">
      <c r="A446" s="223"/>
      <c r="B446" s="223"/>
      <c r="C446" s="223"/>
      <c r="D446" s="223"/>
      <c r="E446" s="223"/>
      <c r="F446" s="223"/>
      <c r="G446" s="223"/>
      <c r="H446" s="223"/>
      <c r="I446" s="223"/>
      <c r="J446" s="223"/>
      <c r="K446" s="320"/>
      <c r="L446" s="320"/>
      <c r="M446" s="223"/>
      <c r="N446" s="223"/>
      <c r="O446" s="223"/>
      <c r="P446" s="223"/>
      <c r="Q446" s="223"/>
      <c r="R446" s="223"/>
      <c r="S446" s="223"/>
      <c r="T446" s="223"/>
      <c r="U446" s="223"/>
      <c r="V446" s="223"/>
      <c r="W446" s="223"/>
    </row>
    <row r="447">
      <c r="A447" s="223"/>
      <c r="B447" s="223"/>
      <c r="C447" s="223"/>
      <c r="D447" s="223"/>
      <c r="E447" s="223"/>
      <c r="F447" s="223"/>
      <c r="G447" s="223"/>
      <c r="H447" s="223"/>
      <c r="I447" s="223"/>
      <c r="J447" s="223"/>
      <c r="K447" s="320"/>
      <c r="L447" s="320"/>
      <c r="M447" s="223"/>
      <c r="N447" s="223"/>
      <c r="O447" s="223"/>
      <c r="P447" s="223"/>
      <c r="Q447" s="223"/>
      <c r="R447" s="223"/>
      <c r="S447" s="223"/>
      <c r="T447" s="223"/>
      <c r="U447" s="223"/>
      <c r="V447" s="223"/>
      <c r="W447" s="223"/>
    </row>
    <row r="448">
      <c r="A448" s="223"/>
      <c r="B448" s="223"/>
      <c r="C448" s="223"/>
      <c r="D448" s="223"/>
      <c r="E448" s="223"/>
      <c r="F448" s="223"/>
      <c r="G448" s="223"/>
      <c r="H448" s="223"/>
      <c r="I448" s="223"/>
      <c r="J448" s="223"/>
      <c r="K448" s="320"/>
      <c r="L448" s="320"/>
      <c r="M448" s="223"/>
      <c r="N448" s="223"/>
      <c r="O448" s="223"/>
      <c r="P448" s="223"/>
      <c r="Q448" s="223"/>
      <c r="R448" s="223"/>
      <c r="S448" s="223"/>
      <c r="T448" s="223"/>
      <c r="U448" s="223"/>
      <c r="V448" s="223"/>
      <c r="W448" s="223"/>
    </row>
    <row r="449">
      <c r="A449" s="223"/>
      <c r="B449" s="223"/>
      <c r="C449" s="223"/>
      <c r="D449" s="223"/>
      <c r="E449" s="223"/>
      <c r="F449" s="223"/>
      <c r="G449" s="223"/>
      <c r="H449" s="223"/>
      <c r="I449" s="223"/>
      <c r="J449" s="223"/>
      <c r="K449" s="320"/>
      <c r="L449" s="320"/>
      <c r="M449" s="223"/>
      <c r="N449" s="223"/>
      <c r="O449" s="223"/>
      <c r="P449" s="223"/>
      <c r="Q449" s="223"/>
      <c r="R449" s="223"/>
      <c r="S449" s="223"/>
      <c r="T449" s="223"/>
      <c r="U449" s="223"/>
      <c r="V449" s="223"/>
      <c r="W449" s="223"/>
    </row>
    <row r="450">
      <c r="A450" s="223"/>
      <c r="B450" s="223"/>
      <c r="C450" s="223"/>
      <c r="D450" s="223"/>
      <c r="E450" s="223"/>
      <c r="F450" s="223"/>
      <c r="G450" s="223"/>
      <c r="H450" s="223"/>
      <c r="I450" s="223"/>
      <c r="J450" s="223"/>
      <c r="K450" s="320"/>
      <c r="L450" s="320"/>
      <c r="M450" s="223"/>
      <c r="N450" s="223"/>
      <c r="O450" s="223"/>
      <c r="P450" s="223"/>
      <c r="Q450" s="223"/>
      <c r="R450" s="223"/>
      <c r="S450" s="223"/>
      <c r="T450" s="223"/>
      <c r="U450" s="223"/>
      <c r="V450" s="223"/>
      <c r="W450" s="223"/>
    </row>
    <row r="451">
      <c r="A451" s="223"/>
      <c r="B451" s="223"/>
      <c r="C451" s="223"/>
      <c r="D451" s="223"/>
      <c r="E451" s="223"/>
      <c r="F451" s="223"/>
      <c r="G451" s="223"/>
      <c r="H451" s="223"/>
      <c r="I451" s="223"/>
      <c r="J451" s="223"/>
      <c r="K451" s="320"/>
      <c r="L451" s="320"/>
      <c r="M451" s="223"/>
      <c r="N451" s="223"/>
      <c r="O451" s="223"/>
      <c r="P451" s="223"/>
      <c r="Q451" s="223"/>
      <c r="R451" s="223"/>
      <c r="S451" s="223"/>
      <c r="T451" s="223"/>
      <c r="U451" s="223"/>
      <c r="V451" s="223"/>
      <c r="W451" s="223"/>
    </row>
    <row r="452">
      <c r="A452" s="223"/>
      <c r="B452" s="223"/>
      <c r="C452" s="223"/>
      <c r="D452" s="223"/>
      <c r="E452" s="223"/>
      <c r="F452" s="223"/>
      <c r="G452" s="223"/>
      <c r="H452" s="223"/>
      <c r="I452" s="223"/>
      <c r="J452" s="223"/>
      <c r="K452" s="320"/>
      <c r="L452" s="320"/>
      <c r="M452" s="223"/>
      <c r="N452" s="223"/>
      <c r="O452" s="223"/>
      <c r="P452" s="223"/>
      <c r="Q452" s="223"/>
      <c r="R452" s="223"/>
      <c r="S452" s="223"/>
      <c r="T452" s="223"/>
      <c r="U452" s="223"/>
      <c r="V452" s="223"/>
      <c r="W452" s="223"/>
    </row>
    <row r="453">
      <c r="A453" s="223"/>
      <c r="B453" s="223"/>
      <c r="C453" s="223"/>
      <c r="D453" s="223"/>
      <c r="E453" s="223"/>
      <c r="F453" s="223"/>
      <c r="G453" s="223"/>
      <c r="H453" s="223"/>
      <c r="I453" s="223"/>
      <c r="J453" s="223"/>
      <c r="K453" s="320"/>
      <c r="L453" s="320"/>
      <c r="M453" s="223"/>
      <c r="N453" s="223"/>
      <c r="O453" s="223"/>
      <c r="P453" s="223"/>
      <c r="Q453" s="223"/>
      <c r="R453" s="223"/>
      <c r="S453" s="223"/>
      <c r="T453" s="223"/>
      <c r="U453" s="223"/>
      <c r="V453" s="223"/>
      <c r="W453" s="223"/>
    </row>
    <row r="454">
      <c r="A454" s="223"/>
      <c r="B454" s="223"/>
      <c r="C454" s="223"/>
      <c r="D454" s="223"/>
      <c r="E454" s="223"/>
      <c r="F454" s="223"/>
      <c r="G454" s="223"/>
      <c r="H454" s="223"/>
      <c r="I454" s="223"/>
      <c r="J454" s="223"/>
      <c r="K454" s="320"/>
      <c r="L454" s="320"/>
      <c r="M454" s="223"/>
      <c r="N454" s="223"/>
      <c r="O454" s="223"/>
      <c r="P454" s="223"/>
      <c r="Q454" s="223"/>
      <c r="R454" s="223"/>
      <c r="S454" s="223"/>
      <c r="T454" s="223"/>
      <c r="U454" s="223"/>
      <c r="V454" s="223"/>
      <c r="W454" s="223"/>
    </row>
    <row r="455">
      <c r="A455" s="223"/>
      <c r="B455" s="223"/>
      <c r="C455" s="223"/>
      <c r="D455" s="223"/>
      <c r="E455" s="223"/>
      <c r="F455" s="223"/>
      <c r="G455" s="223"/>
      <c r="H455" s="223"/>
      <c r="I455" s="223"/>
      <c r="J455" s="223"/>
      <c r="K455" s="320"/>
      <c r="L455" s="320"/>
      <c r="M455" s="223"/>
      <c r="N455" s="223"/>
      <c r="O455" s="223"/>
      <c r="P455" s="223"/>
      <c r="Q455" s="223"/>
      <c r="R455" s="223"/>
      <c r="S455" s="223"/>
      <c r="T455" s="223"/>
      <c r="U455" s="223"/>
      <c r="V455" s="223"/>
      <c r="W455" s="223"/>
    </row>
    <row r="456">
      <c r="A456" s="223"/>
      <c r="B456" s="223"/>
      <c r="C456" s="223"/>
      <c r="D456" s="223"/>
      <c r="E456" s="223"/>
      <c r="F456" s="223"/>
      <c r="G456" s="223"/>
      <c r="H456" s="223"/>
      <c r="I456" s="223"/>
      <c r="J456" s="223"/>
      <c r="K456" s="320"/>
      <c r="L456" s="320"/>
      <c r="M456" s="223"/>
      <c r="N456" s="223"/>
      <c r="O456" s="223"/>
      <c r="P456" s="223"/>
      <c r="Q456" s="223"/>
      <c r="R456" s="223"/>
      <c r="S456" s="223"/>
      <c r="T456" s="223"/>
      <c r="U456" s="223"/>
      <c r="V456" s="223"/>
      <c r="W456" s="223"/>
    </row>
    <row r="457">
      <c r="A457" s="223"/>
      <c r="B457" s="223"/>
      <c r="C457" s="223"/>
      <c r="D457" s="223"/>
      <c r="E457" s="223"/>
      <c r="F457" s="223"/>
      <c r="G457" s="223"/>
      <c r="H457" s="223"/>
      <c r="I457" s="223"/>
      <c r="J457" s="223"/>
      <c r="K457" s="320"/>
      <c r="L457" s="320"/>
      <c r="M457" s="223"/>
      <c r="N457" s="223"/>
      <c r="O457" s="223"/>
      <c r="P457" s="223"/>
      <c r="Q457" s="223"/>
      <c r="R457" s="223"/>
      <c r="S457" s="223"/>
      <c r="T457" s="223"/>
      <c r="U457" s="223"/>
      <c r="V457" s="223"/>
      <c r="W457" s="223"/>
    </row>
    <row r="458">
      <c r="A458" s="223"/>
      <c r="B458" s="223"/>
      <c r="C458" s="223"/>
      <c r="D458" s="223"/>
      <c r="E458" s="223"/>
      <c r="F458" s="223"/>
      <c r="G458" s="223"/>
      <c r="H458" s="223"/>
      <c r="I458" s="223"/>
      <c r="J458" s="223"/>
      <c r="K458" s="320"/>
      <c r="L458" s="320"/>
      <c r="M458" s="223"/>
      <c r="N458" s="223"/>
      <c r="O458" s="223"/>
      <c r="P458" s="223"/>
      <c r="Q458" s="223"/>
      <c r="R458" s="223"/>
      <c r="S458" s="223"/>
      <c r="T458" s="223"/>
      <c r="U458" s="223"/>
      <c r="V458" s="223"/>
      <c r="W458" s="223"/>
    </row>
    <row r="459">
      <c r="A459" s="223"/>
      <c r="B459" s="223"/>
      <c r="C459" s="223"/>
      <c r="D459" s="223"/>
      <c r="E459" s="223"/>
      <c r="F459" s="223"/>
      <c r="G459" s="223"/>
      <c r="H459" s="223"/>
      <c r="I459" s="223"/>
      <c r="J459" s="223"/>
      <c r="K459" s="320"/>
      <c r="L459" s="320"/>
      <c r="M459" s="223"/>
      <c r="N459" s="223"/>
      <c r="O459" s="223"/>
      <c r="P459" s="223"/>
      <c r="Q459" s="223"/>
      <c r="R459" s="223"/>
      <c r="S459" s="223"/>
      <c r="T459" s="223"/>
      <c r="U459" s="223"/>
      <c r="V459" s="223"/>
      <c r="W459" s="223"/>
    </row>
    <row r="460">
      <c r="A460" s="223"/>
      <c r="B460" s="223"/>
      <c r="C460" s="223"/>
      <c r="D460" s="223"/>
      <c r="E460" s="223"/>
      <c r="F460" s="223"/>
      <c r="G460" s="223"/>
      <c r="H460" s="223"/>
      <c r="I460" s="223"/>
      <c r="J460" s="223"/>
      <c r="K460" s="320"/>
      <c r="L460" s="320"/>
      <c r="M460" s="223"/>
      <c r="N460" s="223"/>
      <c r="O460" s="223"/>
      <c r="P460" s="223"/>
      <c r="Q460" s="223"/>
      <c r="R460" s="223"/>
      <c r="S460" s="223"/>
      <c r="T460" s="223"/>
      <c r="U460" s="223"/>
      <c r="V460" s="223"/>
      <c r="W460" s="223"/>
    </row>
    <row r="461">
      <c r="A461" s="223"/>
      <c r="B461" s="223"/>
      <c r="C461" s="223"/>
      <c r="D461" s="223"/>
      <c r="E461" s="223"/>
      <c r="F461" s="223"/>
      <c r="G461" s="223"/>
      <c r="H461" s="223"/>
      <c r="I461" s="223"/>
      <c r="J461" s="223"/>
      <c r="K461" s="320"/>
      <c r="L461" s="320"/>
      <c r="M461" s="223"/>
      <c r="N461" s="223"/>
      <c r="O461" s="223"/>
      <c r="P461" s="223"/>
      <c r="Q461" s="223"/>
      <c r="R461" s="223"/>
      <c r="S461" s="223"/>
      <c r="T461" s="223"/>
      <c r="U461" s="223"/>
      <c r="V461" s="223"/>
      <c r="W461" s="223"/>
    </row>
    <row r="462">
      <c r="A462" s="223"/>
      <c r="B462" s="223"/>
      <c r="C462" s="223"/>
      <c r="D462" s="223"/>
      <c r="E462" s="223"/>
      <c r="F462" s="223"/>
      <c r="G462" s="223"/>
      <c r="H462" s="223"/>
      <c r="I462" s="223"/>
      <c r="J462" s="223"/>
      <c r="K462" s="320"/>
      <c r="L462" s="320"/>
      <c r="M462" s="223"/>
      <c r="N462" s="223"/>
      <c r="O462" s="223"/>
      <c r="P462" s="223"/>
      <c r="Q462" s="223"/>
      <c r="R462" s="223"/>
      <c r="S462" s="223"/>
      <c r="T462" s="223"/>
      <c r="U462" s="223"/>
      <c r="V462" s="223"/>
      <c r="W462" s="223"/>
    </row>
    <row r="463">
      <c r="A463" s="223"/>
      <c r="B463" s="223"/>
      <c r="C463" s="223"/>
      <c r="D463" s="223"/>
      <c r="E463" s="223"/>
      <c r="F463" s="223"/>
      <c r="G463" s="223"/>
      <c r="H463" s="223"/>
      <c r="I463" s="223"/>
      <c r="J463" s="223"/>
      <c r="K463" s="320"/>
      <c r="L463" s="320"/>
      <c r="M463" s="223"/>
      <c r="N463" s="223"/>
      <c r="O463" s="223"/>
      <c r="P463" s="223"/>
      <c r="Q463" s="223"/>
      <c r="R463" s="223"/>
      <c r="S463" s="223"/>
      <c r="T463" s="223"/>
      <c r="U463" s="223"/>
      <c r="V463" s="223"/>
      <c r="W463" s="223"/>
    </row>
    <row r="464">
      <c r="A464" s="223"/>
      <c r="B464" s="223"/>
      <c r="C464" s="223"/>
      <c r="D464" s="223"/>
      <c r="E464" s="223"/>
      <c r="F464" s="223"/>
      <c r="G464" s="223"/>
      <c r="H464" s="223"/>
      <c r="I464" s="223"/>
      <c r="J464" s="223"/>
      <c r="K464" s="320"/>
      <c r="L464" s="320"/>
      <c r="M464" s="223"/>
      <c r="N464" s="223"/>
      <c r="O464" s="223"/>
      <c r="P464" s="223"/>
      <c r="Q464" s="223"/>
      <c r="R464" s="223"/>
      <c r="S464" s="223"/>
      <c r="T464" s="223"/>
      <c r="U464" s="223"/>
      <c r="V464" s="223"/>
      <c r="W464" s="223"/>
    </row>
    <row r="465">
      <c r="A465" s="223"/>
      <c r="B465" s="223"/>
      <c r="C465" s="223"/>
      <c r="D465" s="223"/>
      <c r="E465" s="223"/>
      <c r="F465" s="223"/>
      <c r="G465" s="223"/>
      <c r="H465" s="223"/>
      <c r="I465" s="223"/>
      <c r="J465" s="223"/>
      <c r="K465" s="320"/>
      <c r="L465" s="320"/>
      <c r="M465" s="223"/>
      <c r="N465" s="223"/>
      <c r="O465" s="223"/>
      <c r="P465" s="223"/>
      <c r="Q465" s="223"/>
      <c r="R465" s="223"/>
      <c r="S465" s="223"/>
      <c r="T465" s="223"/>
      <c r="U465" s="223"/>
      <c r="V465" s="223"/>
      <c r="W465" s="223"/>
    </row>
    <row r="466">
      <c r="A466" s="223"/>
      <c r="B466" s="223"/>
      <c r="C466" s="223"/>
      <c r="D466" s="223"/>
      <c r="E466" s="223"/>
      <c r="F466" s="223"/>
      <c r="G466" s="223"/>
      <c r="H466" s="223"/>
      <c r="I466" s="223"/>
      <c r="J466" s="223"/>
      <c r="K466" s="320"/>
      <c r="L466" s="320"/>
      <c r="M466" s="223"/>
      <c r="N466" s="223"/>
      <c r="O466" s="223"/>
      <c r="P466" s="223"/>
      <c r="Q466" s="223"/>
      <c r="R466" s="223"/>
      <c r="S466" s="223"/>
      <c r="T466" s="223"/>
      <c r="U466" s="223"/>
      <c r="V466" s="223"/>
      <c r="W466" s="223"/>
    </row>
    <row r="467">
      <c r="A467" s="223"/>
      <c r="B467" s="223"/>
      <c r="C467" s="223"/>
      <c r="D467" s="223"/>
      <c r="E467" s="223"/>
      <c r="F467" s="223"/>
      <c r="G467" s="223"/>
      <c r="H467" s="223"/>
      <c r="I467" s="223"/>
      <c r="J467" s="223"/>
      <c r="K467" s="320"/>
      <c r="L467" s="320"/>
      <c r="M467" s="223"/>
      <c r="N467" s="223"/>
      <c r="O467" s="223"/>
      <c r="P467" s="223"/>
      <c r="Q467" s="223"/>
      <c r="R467" s="223"/>
      <c r="S467" s="223"/>
      <c r="T467" s="223"/>
      <c r="U467" s="223"/>
      <c r="V467" s="223"/>
      <c r="W467" s="223"/>
    </row>
    <row r="468">
      <c r="A468" s="223"/>
      <c r="B468" s="223"/>
      <c r="C468" s="223"/>
      <c r="D468" s="223"/>
      <c r="E468" s="223"/>
      <c r="F468" s="223"/>
      <c r="G468" s="223"/>
      <c r="H468" s="223"/>
      <c r="I468" s="223"/>
      <c r="J468" s="223"/>
      <c r="K468" s="320"/>
      <c r="L468" s="320"/>
      <c r="M468" s="223"/>
      <c r="N468" s="223"/>
      <c r="O468" s="223"/>
      <c r="P468" s="223"/>
      <c r="Q468" s="223"/>
      <c r="R468" s="223"/>
      <c r="S468" s="223"/>
      <c r="T468" s="223"/>
      <c r="U468" s="223"/>
      <c r="V468" s="223"/>
      <c r="W468" s="223"/>
    </row>
    <row r="469">
      <c r="A469" s="223"/>
      <c r="B469" s="223"/>
      <c r="C469" s="223"/>
      <c r="D469" s="223"/>
      <c r="E469" s="223"/>
      <c r="F469" s="223"/>
      <c r="G469" s="223"/>
      <c r="H469" s="223"/>
      <c r="I469" s="223"/>
      <c r="J469" s="223"/>
      <c r="K469" s="320"/>
      <c r="L469" s="320"/>
      <c r="M469" s="223"/>
      <c r="N469" s="223"/>
      <c r="O469" s="223"/>
      <c r="P469" s="223"/>
      <c r="Q469" s="223"/>
      <c r="R469" s="223"/>
      <c r="S469" s="223"/>
      <c r="T469" s="223"/>
      <c r="U469" s="223"/>
      <c r="V469" s="223"/>
      <c r="W469" s="223"/>
    </row>
    <row r="470">
      <c r="A470" s="223"/>
      <c r="B470" s="223"/>
      <c r="C470" s="223"/>
      <c r="D470" s="223"/>
      <c r="E470" s="223"/>
      <c r="F470" s="223"/>
      <c r="G470" s="223"/>
      <c r="H470" s="223"/>
      <c r="I470" s="223"/>
      <c r="J470" s="223"/>
      <c r="K470" s="320"/>
      <c r="L470" s="320"/>
      <c r="M470" s="223"/>
      <c r="N470" s="223"/>
      <c r="O470" s="223"/>
      <c r="P470" s="223"/>
      <c r="Q470" s="223"/>
      <c r="R470" s="223"/>
      <c r="S470" s="223"/>
      <c r="T470" s="223"/>
      <c r="U470" s="223"/>
      <c r="V470" s="223"/>
      <c r="W470" s="223"/>
    </row>
    <row r="471">
      <c r="A471" s="223"/>
      <c r="B471" s="223"/>
      <c r="C471" s="223"/>
      <c r="D471" s="223"/>
      <c r="E471" s="223"/>
      <c r="F471" s="223"/>
      <c r="G471" s="223"/>
      <c r="H471" s="223"/>
      <c r="I471" s="223"/>
      <c r="J471" s="223"/>
      <c r="K471" s="320"/>
      <c r="L471" s="320"/>
      <c r="M471" s="223"/>
      <c r="N471" s="223"/>
      <c r="O471" s="223"/>
      <c r="P471" s="223"/>
      <c r="Q471" s="223"/>
      <c r="R471" s="223"/>
      <c r="S471" s="223"/>
      <c r="T471" s="223"/>
      <c r="U471" s="223"/>
      <c r="V471" s="223"/>
      <c r="W471" s="223"/>
    </row>
    <row r="472">
      <c r="A472" s="223"/>
      <c r="B472" s="223"/>
      <c r="C472" s="223"/>
      <c r="D472" s="223"/>
      <c r="E472" s="223"/>
      <c r="F472" s="223"/>
      <c r="G472" s="223"/>
      <c r="H472" s="223"/>
      <c r="I472" s="223"/>
      <c r="J472" s="223"/>
      <c r="K472" s="320"/>
      <c r="L472" s="320"/>
      <c r="M472" s="223"/>
      <c r="N472" s="223"/>
      <c r="O472" s="223"/>
      <c r="P472" s="223"/>
      <c r="Q472" s="223"/>
      <c r="R472" s="223"/>
      <c r="S472" s="223"/>
      <c r="T472" s="223"/>
      <c r="U472" s="223"/>
      <c r="V472" s="223"/>
      <c r="W472" s="223"/>
    </row>
    <row r="473">
      <c r="A473" s="223"/>
      <c r="B473" s="223"/>
      <c r="C473" s="223"/>
      <c r="D473" s="223"/>
      <c r="E473" s="223"/>
      <c r="F473" s="223"/>
      <c r="G473" s="223"/>
      <c r="H473" s="223"/>
      <c r="I473" s="223"/>
      <c r="J473" s="223"/>
      <c r="K473" s="320"/>
      <c r="L473" s="320"/>
      <c r="M473" s="223"/>
      <c r="N473" s="223"/>
      <c r="O473" s="223"/>
      <c r="P473" s="223"/>
      <c r="Q473" s="223"/>
      <c r="R473" s="223"/>
      <c r="S473" s="223"/>
      <c r="T473" s="223"/>
      <c r="U473" s="223"/>
      <c r="V473" s="223"/>
      <c r="W473" s="223"/>
    </row>
    <row r="474">
      <c r="A474" s="223"/>
      <c r="B474" s="223"/>
      <c r="C474" s="223"/>
      <c r="D474" s="223"/>
      <c r="E474" s="223"/>
      <c r="F474" s="223"/>
      <c r="G474" s="223"/>
      <c r="H474" s="223"/>
      <c r="I474" s="223"/>
      <c r="J474" s="223"/>
      <c r="K474" s="320"/>
      <c r="L474" s="320"/>
      <c r="M474" s="223"/>
      <c r="N474" s="223"/>
      <c r="O474" s="223"/>
      <c r="P474" s="223"/>
      <c r="Q474" s="223"/>
      <c r="R474" s="223"/>
      <c r="S474" s="223"/>
      <c r="T474" s="223"/>
      <c r="U474" s="223"/>
      <c r="V474" s="223"/>
      <c r="W474" s="223"/>
    </row>
    <row r="475">
      <c r="A475" s="223"/>
      <c r="B475" s="223"/>
      <c r="C475" s="223"/>
      <c r="D475" s="223"/>
      <c r="E475" s="223"/>
      <c r="F475" s="223"/>
      <c r="G475" s="223"/>
      <c r="H475" s="223"/>
      <c r="I475" s="223"/>
      <c r="J475" s="223"/>
      <c r="K475" s="320"/>
      <c r="L475" s="320"/>
      <c r="M475" s="223"/>
      <c r="N475" s="223"/>
      <c r="O475" s="223"/>
      <c r="P475" s="223"/>
      <c r="Q475" s="223"/>
      <c r="R475" s="223"/>
      <c r="S475" s="223"/>
      <c r="T475" s="223"/>
      <c r="U475" s="223"/>
      <c r="V475" s="223"/>
      <c r="W475" s="223"/>
    </row>
    <row r="476">
      <c r="A476" s="223"/>
      <c r="B476" s="223"/>
      <c r="C476" s="223"/>
      <c r="D476" s="223"/>
      <c r="E476" s="223"/>
      <c r="F476" s="223"/>
      <c r="G476" s="223"/>
      <c r="H476" s="223"/>
      <c r="I476" s="223"/>
      <c r="J476" s="223"/>
      <c r="K476" s="320"/>
      <c r="L476" s="320"/>
      <c r="M476" s="223"/>
      <c r="N476" s="223"/>
      <c r="O476" s="223"/>
      <c r="P476" s="223"/>
      <c r="Q476" s="223"/>
      <c r="R476" s="223"/>
      <c r="S476" s="223"/>
      <c r="T476" s="223"/>
      <c r="U476" s="223"/>
      <c r="V476" s="223"/>
      <c r="W476" s="223"/>
    </row>
    <row r="477">
      <c r="A477" s="223"/>
      <c r="B477" s="223"/>
      <c r="C477" s="223"/>
      <c r="D477" s="223"/>
      <c r="E477" s="223"/>
      <c r="F477" s="223"/>
      <c r="G477" s="223"/>
      <c r="H477" s="223"/>
      <c r="I477" s="223"/>
      <c r="J477" s="223"/>
      <c r="K477" s="320"/>
      <c r="L477" s="320"/>
      <c r="M477" s="223"/>
      <c r="N477" s="223"/>
      <c r="O477" s="223"/>
      <c r="P477" s="223"/>
      <c r="Q477" s="223"/>
      <c r="R477" s="223"/>
      <c r="S477" s="223"/>
      <c r="T477" s="223"/>
      <c r="U477" s="223"/>
      <c r="V477" s="223"/>
      <c r="W477" s="223"/>
    </row>
    <row r="478">
      <c r="A478" s="223"/>
      <c r="B478" s="223"/>
      <c r="C478" s="223"/>
      <c r="D478" s="223"/>
      <c r="E478" s="223"/>
      <c r="F478" s="223"/>
      <c r="G478" s="223"/>
      <c r="H478" s="223"/>
      <c r="I478" s="223"/>
      <c r="J478" s="223"/>
      <c r="K478" s="320"/>
      <c r="L478" s="320"/>
      <c r="M478" s="223"/>
      <c r="N478" s="223"/>
      <c r="O478" s="223"/>
      <c r="P478" s="223"/>
      <c r="Q478" s="223"/>
      <c r="R478" s="223"/>
      <c r="S478" s="223"/>
      <c r="T478" s="223"/>
      <c r="U478" s="223"/>
      <c r="V478" s="223"/>
      <c r="W478" s="223"/>
    </row>
    <row r="479">
      <c r="A479" s="223"/>
      <c r="B479" s="223"/>
      <c r="C479" s="223"/>
      <c r="D479" s="223"/>
      <c r="E479" s="223"/>
      <c r="F479" s="223"/>
      <c r="G479" s="223"/>
      <c r="H479" s="223"/>
      <c r="I479" s="223"/>
      <c r="J479" s="223"/>
      <c r="K479" s="320"/>
      <c r="L479" s="320"/>
      <c r="M479" s="223"/>
      <c r="N479" s="223"/>
      <c r="O479" s="223"/>
      <c r="P479" s="223"/>
      <c r="Q479" s="223"/>
      <c r="R479" s="223"/>
      <c r="S479" s="223"/>
      <c r="T479" s="223"/>
      <c r="U479" s="223"/>
      <c r="V479" s="223"/>
      <c r="W479" s="223"/>
    </row>
    <row r="480">
      <c r="A480" s="223"/>
      <c r="B480" s="223"/>
      <c r="C480" s="223"/>
      <c r="D480" s="223"/>
      <c r="E480" s="223"/>
      <c r="F480" s="223"/>
      <c r="G480" s="223"/>
      <c r="H480" s="223"/>
      <c r="I480" s="223"/>
      <c r="J480" s="223"/>
      <c r="K480" s="320"/>
      <c r="L480" s="320"/>
      <c r="M480" s="223"/>
      <c r="N480" s="223"/>
      <c r="O480" s="223"/>
      <c r="P480" s="223"/>
      <c r="Q480" s="223"/>
      <c r="R480" s="223"/>
      <c r="S480" s="223"/>
      <c r="T480" s="223"/>
      <c r="U480" s="223"/>
      <c r="V480" s="223"/>
      <c r="W480" s="223"/>
    </row>
    <row r="481">
      <c r="A481" s="223"/>
      <c r="B481" s="223"/>
      <c r="C481" s="223"/>
      <c r="D481" s="223"/>
      <c r="E481" s="223"/>
      <c r="F481" s="223"/>
      <c r="G481" s="223"/>
      <c r="H481" s="223"/>
      <c r="I481" s="223"/>
      <c r="J481" s="223"/>
      <c r="K481" s="320"/>
      <c r="L481" s="320"/>
      <c r="M481" s="223"/>
      <c r="N481" s="223"/>
      <c r="O481" s="223"/>
      <c r="P481" s="223"/>
      <c r="Q481" s="223"/>
      <c r="R481" s="223"/>
      <c r="S481" s="223"/>
      <c r="T481" s="223"/>
      <c r="U481" s="223"/>
      <c r="V481" s="223"/>
      <c r="W481" s="223"/>
    </row>
    <row r="482">
      <c r="A482" s="223"/>
      <c r="B482" s="223"/>
      <c r="C482" s="223"/>
      <c r="D482" s="223"/>
      <c r="E482" s="223"/>
      <c r="F482" s="223"/>
      <c r="G482" s="223"/>
      <c r="H482" s="223"/>
      <c r="I482" s="223"/>
      <c r="J482" s="223"/>
      <c r="K482" s="320"/>
      <c r="L482" s="320"/>
      <c r="M482" s="223"/>
      <c r="N482" s="223"/>
      <c r="O482" s="223"/>
      <c r="P482" s="223"/>
      <c r="Q482" s="223"/>
      <c r="R482" s="223"/>
      <c r="S482" s="223"/>
      <c r="T482" s="223"/>
      <c r="U482" s="223"/>
      <c r="V482" s="223"/>
      <c r="W482" s="223"/>
    </row>
    <row r="483">
      <c r="A483" s="223"/>
      <c r="B483" s="223"/>
      <c r="C483" s="223"/>
      <c r="D483" s="223"/>
      <c r="E483" s="223"/>
      <c r="F483" s="223"/>
      <c r="G483" s="223"/>
      <c r="H483" s="223"/>
      <c r="I483" s="223"/>
      <c r="J483" s="223"/>
      <c r="K483" s="320"/>
      <c r="L483" s="320"/>
      <c r="M483" s="223"/>
      <c r="N483" s="223"/>
      <c r="O483" s="223"/>
      <c r="P483" s="223"/>
      <c r="Q483" s="223"/>
      <c r="R483" s="223"/>
      <c r="S483" s="223"/>
      <c r="T483" s="223"/>
      <c r="U483" s="223"/>
      <c r="V483" s="223"/>
      <c r="W483" s="223"/>
    </row>
    <row r="484">
      <c r="A484" s="223"/>
      <c r="B484" s="223"/>
      <c r="C484" s="223"/>
      <c r="D484" s="223"/>
      <c r="E484" s="223"/>
      <c r="F484" s="223"/>
      <c r="G484" s="223"/>
      <c r="H484" s="223"/>
      <c r="I484" s="223"/>
      <c r="J484" s="223"/>
      <c r="K484" s="320"/>
      <c r="L484" s="320"/>
      <c r="M484" s="223"/>
      <c r="N484" s="223"/>
      <c r="O484" s="223"/>
      <c r="P484" s="223"/>
      <c r="Q484" s="223"/>
      <c r="R484" s="223"/>
      <c r="S484" s="223"/>
      <c r="T484" s="223"/>
      <c r="U484" s="223"/>
      <c r="V484" s="223"/>
      <c r="W484" s="223"/>
    </row>
    <row r="485">
      <c r="A485" s="223"/>
      <c r="B485" s="223"/>
      <c r="C485" s="223"/>
      <c r="D485" s="223"/>
      <c r="E485" s="223"/>
      <c r="F485" s="223"/>
      <c r="G485" s="223"/>
      <c r="H485" s="223"/>
      <c r="I485" s="223"/>
      <c r="J485" s="223"/>
      <c r="K485" s="320"/>
      <c r="L485" s="320"/>
      <c r="M485" s="223"/>
      <c r="N485" s="223"/>
      <c r="O485" s="223"/>
      <c r="P485" s="223"/>
      <c r="Q485" s="223"/>
      <c r="R485" s="223"/>
      <c r="S485" s="223"/>
      <c r="T485" s="223"/>
      <c r="U485" s="223"/>
      <c r="V485" s="223"/>
      <c r="W485" s="223"/>
    </row>
    <row r="486">
      <c r="A486" s="223"/>
      <c r="B486" s="223"/>
      <c r="C486" s="223"/>
      <c r="D486" s="223"/>
      <c r="E486" s="223"/>
      <c r="F486" s="223"/>
      <c r="G486" s="223"/>
      <c r="H486" s="223"/>
      <c r="I486" s="223"/>
      <c r="J486" s="223"/>
      <c r="K486" s="320"/>
      <c r="L486" s="320"/>
      <c r="M486" s="223"/>
      <c r="N486" s="223"/>
      <c r="O486" s="223"/>
      <c r="P486" s="223"/>
      <c r="Q486" s="223"/>
      <c r="R486" s="223"/>
      <c r="S486" s="223"/>
      <c r="T486" s="223"/>
      <c r="U486" s="223"/>
      <c r="V486" s="223"/>
      <c r="W486" s="223"/>
    </row>
    <row r="487">
      <c r="A487" s="223"/>
      <c r="B487" s="223"/>
      <c r="C487" s="223"/>
      <c r="D487" s="223"/>
      <c r="E487" s="223"/>
      <c r="F487" s="223"/>
      <c r="G487" s="223"/>
      <c r="H487" s="223"/>
      <c r="I487" s="223"/>
      <c r="J487" s="223"/>
      <c r="K487" s="320"/>
      <c r="L487" s="320"/>
      <c r="M487" s="223"/>
      <c r="N487" s="223"/>
      <c r="O487" s="223"/>
      <c r="P487" s="223"/>
      <c r="Q487" s="223"/>
      <c r="R487" s="223"/>
      <c r="S487" s="223"/>
      <c r="T487" s="223"/>
      <c r="U487" s="223"/>
      <c r="V487" s="223"/>
      <c r="W487" s="223"/>
    </row>
    <row r="488">
      <c r="A488" s="223"/>
      <c r="B488" s="223"/>
      <c r="C488" s="223"/>
      <c r="D488" s="223"/>
      <c r="E488" s="223"/>
      <c r="F488" s="223"/>
      <c r="G488" s="223"/>
      <c r="H488" s="223"/>
      <c r="I488" s="223"/>
      <c r="J488" s="223"/>
      <c r="K488" s="320"/>
      <c r="L488" s="320"/>
      <c r="M488" s="223"/>
      <c r="N488" s="223"/>
      <c r="O488" s="223"/>
      <c r="P488" s="223"/>
      <c r="Q488" s="223"/>
      <c r="R488" s="223"/>
      <c r="S488" s="223"/>
      <c r="T488" s="223"/>
      <c r="U488" s="223"/>
      <c r="V488" s="223"/>
      <c r="W488" s="223"/>
    </row>
    <row r="489">
      <c r="A489" s="223"/>
      <c r="B489" s="223"/>
      <c r="C489" s="223"/>
      <c r="D489" s="223"/>
      <c r="E489" s="223"/>
      <c r="F489" s="223"/>
      <c r="G489" s="223"/>
      <c r="H489" s="223"/>
      <c r="I489" s="223"/>
      <c r="J489" s="223"/>
      <c r="K489" s="320"/>
      <c r="L489" s="320"/>
      <c r="M489" s="223"/>
      <c r="N489" s="223"/>
      <c r="O489" s="223"/>
      <c r="P489" s="223"/>
      <c r="Q489" s="223"/>
      <c r="R489" s="223"/>
      <c r="S489" s="223"/>
      <c r="T489" s="223"/>
      <c r="U489" s="223"/>
      <c r="V489" s="223"/>
      <c r="W489" s="223"/>
    </row>
    <row r="490">
      <c r="A490" s="223"/>
      <c r="B490" s="223"/>
      <c r="C490" s="223"/>
      <c r="D490" s="223"/>
      <c r="E490" s="223"/>
      <c r="F490" s="223"/>
      <c r="G490" s="223"/>
      <c r="H490" s="223"/>
      <c r="I490" s="223"/>
      <c r="J490" s="223"/>
      <c r="K490" s="320"/>
      <c r="L490" s="320"/>
      <c r="M490" s="223"/>
      <c r="N490" s="223"/>
      <c r="O490" s="223"/>
      <c r="P490" s="223"/>
      <c r="Q490" s="223"/>
      <c r="R490" s="223"/>
      <c r="S490" s="223"/>
      <c r="T490" s="223"/>
      <c r="U490" s="223"/>
      <c r="V490" s="223"/>
      <c r="W490" s="223"/>
    </row>
    <row r="491">
      <c r="A491" s="223"/>
      <c r="B491" s="223"/>
      <c r="C491" s="223"/>
      <c r="D491" s="223"/>
      <c r="E491" s="223"/>
      <c r="F491" s="223"/>
      <c r="G491" s="223"/>
      <c r="H491" s="223"/>
      <c r="I491" s="223"/>
      <c r="J491" s="223"/>
      <c r="K491" s="320"/>
      <c r="L491" s="320"/>
      <c r="M491" s="223"/>
      <c r="N491" s="223"/>
      <c r="O491" s="223"/>
      <c r="P491" s="223"/>
      <c r="Q491" s="223"/>
      <c r="R491" s="223"/>
      <c r="S491" s="223"/>
      <c r="T491" s="223"/>
      <c r="U491" s="223"/>
      <c r="V491" s="223"/>
      <c r="W491" s="223"/>
    </row>
    <row r="492">
      <c r="A492" s="223"/>
      <c r="B492" s="223"/>
      <c r="C492" s="223"/>
      <c r="D492" s="223"/>
      <c r="E492" s="223"/>
      <c r="F492" s="223"/>
      <c r="G492" s="223"/>
      <c r="H492" s="223"/>
      <c r="I492" s="223"/>
      <c r="J492" s="223"/>
      <c r="K492" s="320"/>
      <c r="L492" s="320"/>
      <c r="M492" s="223"/>
      <c r="N492" s="223"/>
      <c r="O492" s="223"/>
      <c r="P492" s="223"/>
      <c r="Q492" s="223"/>
      <c r="R492" s="223"/>
      <c r="S492" s="223"/>
      <c r="T492" s="223"/>
      <c r="U492" s="223"/>
      <c r="V492" s="223"/>
      <c r="W492" s="223"/>
    </row>
    <row r="493">
      <c r="A493" s="223"/>
      <c r="B493" s="223"/>
      <c r="C493" s="223"/>
      <c r="D493" s="223"/>
      <c r="E493" s="223"/>
      <c r="F493" s="223"/>
      <c r="G493" s="223"/>
      <c r="H493" s="223"/>
      <c r="I493" s="223"/>
      <c r="J493" s="223"/>
      <c r="K493" s="320"/>
      <c r="L493" s="320"/>
      <c r="M493" s="223"/>
      <c r="N493" s="223"/>
      <c r="O493" s="223"/>
      <c r="P493" s="223"/>
      <c r="Q493" s="223"/>
      <c r="R493" s="223"/>
      <c r="S493" s="223"/>
      <c r="T493" s="223"/>
      <c r="U493" s="223"/>
      <c r="V493" s="223"/>
      <c r="W493" s="223"/>
    </row>
    <row r="494">
      <c r="A494" s="223"/>
      <c r="B494" s="223"/>
      <c r="C494" s="223"/>
      <c r="D494" s="223"/>
      <c r="E494" s="223"/>
      <c r="F494" s="223"/>
      <c r="G494" s="223"/>
      <c r="H494" s="223"/>
      <c r="I494" s="223"/>
      <c r="J494" s="223"/>
      <c r="K494" s="320"/>
      <c r="L494" s="320"/>
      <c r="M494" s="223"/>
      <c r="N494" s="223"/>
      <c r="O494" s="223"/>
      <c r="P494" s="223"/>
      <c r="Q494" s="223"/>
      <c r="R494" s="223"/>
      <c r="S494" s="223"/>
      <c r="T494" s="223"/>
      <c r="U494" s="223"/>
      <c r="V494" s="223"/>
      <c r="W494" s="223"/>
    </row>
    <row r="495">
      <c r="A495" s="223"/>
      <c r="B495" s="223"/>
      <c r="C495" s="223"/>
      <c r="D495" s="223"/>
      <c r="E495" s="223"/>
      <c r="F495" s="223"/>
      <c r="G495" s="223"/>
      <c r="H495" s="223"/>
      <c r="I495" s="223"/>
      <c r="J495" s="223"/>
      <c r="K495" s="320"/>
      <c r="L495" s="320"/>
      <c r="M495" s="223"/>
      <c r="N495" s="223"/>
      <c r="O495" s="223"/>
      <c r="P495" s="223"/>
      <c r="Q495" s="223"/>
      <c r="R495" s="223"/>
      <c r="S495" s="223"/>
      <c r="T495" s="223"/>
      <c r="U495" s="223"/>
      <c r="V495" s="223"/>
      <c r="W495" s="223"/>
    </row>
    <row r="496">
      <c r="A496" s="223"/>
      <c r="B496" s="223"/>
      <c r="C496" s="223"/>
      <c r="D496" s="223"/>
      <c r="E496" s="223"/>
      <c r="F496" s="223"/>
      <c r="G496" s="223"/>
      <c r="H496" s="223"/>
      <c r="I496" s="223"/>
      <c r="J496" s="223"/>
      <c r="K496" s="320"/>
      <c r="L496" s="320"/>
      <c r="M496" s="223"/>
      <c r="N496" s="223"/>
      <c r="O496" s="223"/>
      <c r="P496" s="223"/>
      <c r="Q496" s="223"/>
      <c r="R496" s="223"/>
      <c r="S496" s="223"/>
      <c r="T496" s="223"/>
      <c r="U496" s="223"/>
      <c r="V496" s="223"/>
      <c r="W496" s="223"/>
    </row>
    <row r="497">
      <c r="A497" s="223"/>
      <c r="B497" s="223"/>
      <c r="C497" s="223"/>
      <c r="D497" s="223"/>
      <c r="E497" s="223"/>
      <c r="F497" s="223"/>
      <c r="G497" s="223"/>
      <c r="H497" s="223"/>
      <c r="I497" s="223"/>
      <c r="J497" s="223"/>
      <c r="K497" s="320"/>
      <c r="L497" s="320"/>
      <c r="M497" s="223"/>
      <c r="N497" s="223"/>
      <c r="O497" s="223"/>
      <c r="P497" s="223"/>
      <c r="Q497" s="223"/>
      <c r="R497" s="223"/>
      <c r="S497" s="223"/>
      <c r="T497" s="223"/>
      <c r="U497" s="223"/>
      <c r="V497" s="223"/>
      <c r="W497" s="223"/>
    </row>
    <row r="498">
      <c r="A498" s="223"/>
      <c r="B498" s="223"/>
      <c r="C498" s="223"/>
      <c r="D498" s="223"/>
      <c r="E498" s="223"/>
      <c r="F498" s="223"/>
      <c r="G498" s="223"/>
      <c r="H498" s="223"/>
      <c r="I498" s="223"/>
      <c r="J498" s="223"/>
      <c r="K498" s="320"/>
      <c r="L498" s="320"/>
      <c r="M498" s="223"/>
      <c r="N498" s="223"/>
      <c r="O498" s="223"/>
      <c r="P498" s="223"/>
      <c r="Q498" s="223"/>
      <c r="R498" s="223"/>
      <c r="S498" s="223"/>
      <c r="T498" s="223"/>
      <c r="U498" s="223"/>
      <c r="V498" s="223"/>
      <c r="W498" s="223"/>
    </row>
    <row r="499">
      <c r="A499" s="223"/>
      <c r="B499" s="223"/>
      <c r="C499" s="223"/>
      <c r="D499" s="223"/>
      <c r="E499" s="223"/>
      <c r="F499" s="223"/>
      <c r="G499" s="223"/>
      <c r="H499" s="223"/>
      <c r="I499" s="223"/>
      <c r="J499" s="223"/>
      <c r="K499" s="320"/>
      <c r="L499" s="320"/>
      <c r="M499" s="223"/>
      <c r="N499" s="223"/>
      <c r="O499" s="223"/>
      <c r="P499" s="223"/>
      <c r="Q499" s="223"/>
      <c r="R499" s="223"/>
      <c r="S499" s="223"/>
      <c r="T499" s="223"/>
      <c r="U499" s="223"/>
      <c r="V499" s="223"/>
      <c r="W499" s="223"/>
    </row>
    <row r="500">
      <c r="A500" s="223"/>
      <c r="B500" s="223"/>
      <c r="C500" s="223"/>
      <c r="D500" s="223"/>
      <c r="E500" s="223"/>
      <c r="F500" s="223"/>
      <c r="G500" s="223"/>
      <c r="H500" s="223"/>
      <c r="I500" s="223"/>
      <c r="J500" s="223"/>
      <c r="K500" s="320"/>
      <c r="L500" s="320"/>
      <c r="M500" s="223"/>
      <c r="N500" s="223"/>
      <c r="O500" s="223"/>
      <c r="P500" s="223"/>
      <c r="Q500" s="223"/>
      <c r="R500" s="223"/>
      <c r="S500" s="223"/>
      <c r="T500" s="223"/>
      <c r="U500" s="223"/>
      <c r="V500" s="223"/>
      <c r="W500" s="223"/>
    </row>
    <row r="501">
      <c r="A501" s="223"/>
      <c r="B501" s="223"/>
      <c r="C501" s="223"/>
      <c r="D501" s="223"/>
      <c r="E501" s="223"/>
      <c r="F501" s="223"/>
      <c r="G501" s="223"/>
      <c r="H501" s="223"/>
      <c r="I501" s="223"/>
      <c r="J501" s="223"/>
      <c r="K501" s="320"/>
      <c r="L501" s="320"/>
      <c r="M501" s="223"/>
      <c r="N501" s="223"/>
      <c r="O501" s="223"/>
      <c r="P501" s="223"/>
      <c r="Q501" s="223"/>
      <c r="R501" s="223"/>
      <c r="S501" s="223"/>
      <c r="T501" s="223"/>
      <c r="U501" s="223"/>
      <c r="V501" s="223"/>
      <c r="W501" s="223"/>
    </row>
    <row r="502">
      <c r="A502" s="223"/>
      <c r="B502" s="223"/>
      <c r="C502" s="223"/>
      <c r="D502" s="223"/>
      <c r="E502" s="223"/>
      <c r="F502" s="223"/>
      <c r="G502" s="223"/>
      <c r="H502" s="223"/>
      <c r="I502" s="223"/>
      <c r="J502" s="223"/>
      <c r="K502" s="320"/>
      <c r="L502" s="320"/>
      <c r="M502" s="223"/>
      <c r="N502" s="223"/>
      <c r="O502" s="223"/>
      <c r="P502" s="223"/>
      <c r="Q502" s="223"/>
      <c r="R502" s="223"/>
      <c r="S502" s="223"/>
      <c r="T502" s="223"/>
      <c r="U502" s="223"/>
      <c r="V502" s="223"/>
      <c r="W502" s="223"/>
    </row>
    <row r="503">
      <c r="A503" s="223"/>
      <c r="B503" s="223"/>
      <c r="C503" s="223"/>
      <c r="D503" s="223"/>
      <c r="E503" s="223"/>
      <c r="F503" s="223"/>
      <c r="G503" s="223"/>
      <c r="H503" s="223"/>
      <c r="I503" s="223"/>
      <c r="J503" s="223"/>
      <c r="K503" s="320"/>
      <c r="L503" s="320"/>
      <c r="M503" s="223"/>
      <c r="N503" s="223"/>
      <c r="O503" s="223"/>
      <c r="P503" s="223"/>
      <c r="Q503" s="223"/>
      <c r="R503" s="223"/>
      <c r="S503" s="223"/>
      <c r="T503" s="223"/>
      <c r="U503" s="223"/>
      <c r="V503" s="223"/>
      <c r="W503" s="223"/>
    </row>
    <row r="504">
      <c r="A504" s="223"/>
      <c r="B504" s="223"/>
      <c r="C504" s="223"/>
      <c r="D504" s="223"/>
      <c r="E504" s="223"/>
      <c r="F504" s="223"/>
      <c r="G504" s="223"/>
      <c r="H504" s="223"/>
      <c r="I504" s="223"/>
      <c r="J504" s="223"/>
      <c r="K504" s="320"/>
      <c r="L504" s="320"/>
      <c r="M504" s="223"/>
      <c r="N504" s="223"/>
      <c r="O504" s="223"/>
      <c r="P504" s="223"/>
      <c r="Q504" s="223"/>
      <c r="R504" s="223"/>
      <c r="S504" s="223"/>
      <c r="T504" s="223"/>
      <c r="U504" s="223"/>
      <c r="V504" s="223"/>
      <c r="W504" s="223"/>
    </row>
    <row r="505">
      <c r="A505" s="223"/>
      <c r="B505" s="223"/>
      <c r="C505" s="223"/>
      <c r="D505" s="223"/>
      <c r="E505" s="223"/>
      <c r="F505" s="223"/>
      <c r="G505" s="223"/>
      <c r="H505" s="223"/>
      <c r="I505" s="223"/>
      <c r="J505" s="223"/>
      <c r="K505" s="320"/>
      <c r="L505" s="320"/>
      <c r="M505" s="223"/>
      <c r="N505" s="223"/>
      <c r="O505" s="223"/>
      <c r="P505" s="223"/>
      <c r="Q505" s="223"/>
      <c r="R505" s="223"/>
      <c r="S505" s="223"/>
      <c r="T505" s="223"/>
      <c r="U505" s="223"/>
      <c r="V505" s="223"/>
      <c r="W505" s="223"/>
    </row>
    <row r="506">
      <c r="A506" s="223"/>
      <c r="B506" s="223"/>
      <c r="C506" s="223"/>
      <c r="D506" s="223"/>
      <c r="E506" s="223"/>
      <c r="F506" s="223"/>
      <c r="G506" s="223"/>
      <c r="H506" s="223"/>
      <c r="I506" s="223"/>
      <c r="J506" s="223"/>
      <c r="K506" s="320"/>
      <c r="L506" s="320"/>
      <c r="M506" s="223"/>
      <c r="N506" s="223"/>
      <c r="O506" s="223"/>
      <c r="P506" s="223"/>
      <c r="Q506" s="223"/>
      <c r="R506" s="223"/>
      <c r="S506" s="223"/>
      <c r="T506" s="223"/>
      <c r="U506" s="223"/>
      <c r="V506" s="223"/>
      <c r="W506" s="223"/>
    </row>
    <row r="507">
      <c r="A507" s="223"/>
      <c r="B507" s="223"/>
      <c r="C507" s="223"/>
      <c r="D507" s="223"/>
      <c r="E507" s="223"/>
      <c r="F507" s="223"/>
      <c r="G507" s="223"/>
      <c r="H507" s="223"/>
      <c r="I507" s="223"/>
      <c r="J507" s="223"/>
      <c r="K507" s="320"/>
      <c r="L507" s="320"/>
      <c r="M507" s="223"/>
      <c r="N507" s="223"/>
      <c r="O507" s="223"/>
      <c r="P507" s="223"/>
      <c r="Q507" s="223"/>
      <c r="R507" s="223"/>
      <c r="S507" s="223"/>
      <c r="T507" s="223"/>
      <c r="U507" s="223"/>
      <c r="V507" s="223"/>
      <c r="W507" s="223"/>
    </row>
    <row r="508">
      <c r="A508" s="223"/>
      <c r="B508" s="223"/>
      <c r="C508" s="223"/>
      <c r="D508" s="223"/>
      <c r="E508" s="223"/>
      <c r="F508" s="223"/>
      <c r="G508" s="223"/>
      <c r="H508" s="223"/>
      <c r="I508" s="223"/>
      <c r="J508" s="223"/>
      <c r="K508" s="320"/>
      <c r="L508" s="320"/>
      <c r="M508" s="223"/>
      <c r="N508" s="223"/>
      <c r="O508" s="223"/>
      <c r="P508" s="223"/>
      <c r="Q508" s="223"/>
      <c r="R508" s="223"/>
      <c r="S508" s="223"/>
      <c r="T508" s="223"/>
      <c r="U508" s="223"/>
      <c r="V508" s="223"/>
      <c r="W508" s="223"/>
    </row>
    <row r="509">
      <c r="A509" s="223"/>
      <c r="B509" s="223"/>
      <c r="C509" s="223"/>
      <c r="D509" s="223"/>
      <c r="E509" s="223"/>
      <c r="F509" s="223"/>
      <c r="G509" s="223"/>
      <c r="H509" s="223"/>
      <c r="I509" s="223"/>
      <c r="J509" s="223"/>
      <c r="K509" s="320"/>
      <c r="L509" s="320"/>
      <c r="M509" s="223"/>
      <c r="N509" s="223"/>
      <c r="O509" s="223"/>
      <c r="P509" s="223"/>
      <c r="Q509" s="223"/>
      <c r="R509" s="223"/>
      <c r="S509" s="223"/>
      <c r="T509" s="223"/>
      <c r="U509" s="223"/>
      <c r="V509" s="223"/>
      <c r="W509" s="223"/>
    </row>
    <row r="510">
      <c r="A510" s="223"/>
      <c r="B510" s="223"/>
      <c r="C510" s="223"/>
      <c r="D510" s="223"/>
      <c r="E510" s="223"/>
      <c r="F510" s="223"/>
      <c r="G510" s="223"/>
      <c r="H510" s="223"/>
      <c r="I510" s="223"/>
      <c r="J510" s="223"/>
      <c r="K510" s="320"/>
      <c r="L510" s="320"/>
      <c r="M510" s="223"/>
      <c r="N510" s="223"/>
      <c r="O510" s="223"/>
      <c r="P510" s="223"/>
      <c r="Q510" s="223"/>
      <c r="R510" s="223"/>
      <c r="S510" s="223"/>
      <c r="T510" s="223"/>
      <c r="U510" s="223"/>
      <c r="V510" s="223"/>
      <c r="W510" s="223"/>
    </row>
    <row r="511">
      <c r="A511" s="223"/>
      <c r="B511" s="223"/>
      <c r="C511" s="223"/>
      <c r="D511" s="223"/>
      <c r="E511" s="223"/>
      <c r="F511" s="223"/>
      <c r="G511" s="223"/>
      <c r="H511" s="223"/>
      <c r="I511" s="223"/>
      <c r="J511" s="223"/>
      <c r="K511" s="320"/>
      <c r="L511" s="320"/>
      <c r="M511" s="223"/>
      <c r="N511" s="223"/>
      <c r="O511" s="223"/>
      <c r="P511" s="223"/>
      <c r="Q511" s="223"/>
      <c r="R511" s="223"/>
      <c r="S511" s="223"/>
      <c r="T511" s="223"/>
      <c r="U511" s="223"/>
      <c r="V511" s="223"/>
      <c r="W511" s="223"/>
    </row>
    <row r="512">
      <c r="A512" s="223"/>
      <c r="B512" s="223"/>
      <c r="C512" s="223"/>
      <c r="D512" s="223"/>
      <c r="E512" s="223"/>
      <c r="F512" s="223"/>
      <c r="G512" s="223"/>
      <c r="H512" s="223"/>
      <c r="I512" s="223"/>
      <c r="J512" s="223"/>
      <c r="K512" s="320"/>
      <c r="L512" s="320"/>
      <c r="M512" s="223"/>
      <c r="N512" s="223"/>
      <c r="O512" s="223"/>
      <c r="P512" s="223"/>
      <c r="Q512" s="223"/>
      <c r="R512" s="223"/>
      <c r="S512" s="223"/>
      <c r="T512" s="223"/>
      <c r="U512" s="223"/>
      <c r="V512" s="223"/>
      <c r="W512" s="223"/>
    </row>
    <row r="513">
      <c r="A513" s="223"/>
      <c r="B513" s="223"/>
      <c r="C513" s="223"/>
      <c r="D513" s="223"/>
      <c r="E513" s="223"/>
      <c r="F513" s="223"/>
      <c r="G513" s="223"/>
      <c r="H513" s="223"/>
      <c r="I513" s="223"/>
      <c r="J513" s="223"/>
      <c r="K513" s="320"/>
      <c r="L513" s="320"/>
      <c r="M513" s="223"/>
      <c r="N513" s="223"/>
      <c r="O513" s="223"/>
      <c r="P513" s="223"/>
      <c r="Q513" s="223"/>
      <c r="R513" s="223"/>
      <c r="S513" s="223"/>
      <c r="T513" s="223"/>
      <c r="U513" s="223"/>
      <c r="V513" s="223"/>
      <c r="W513" s="223"/>
    </row>
    <row r="514">
      <c r="A514" s="223"/>
      <c r="B514" s="223"/>
      <c r="C514" s="223"/>
      <c r="D514" s="223"/>
      <c r="E514" s="223"/>
      <c r="F514" s="223"/>
      <c r="G514" s="223"/>
      <c r="H514" s="223"/>
      <c r="I514" s="223"/>
      <c r="J514" s="223"/>
      <c r="K514" s="320"/>
      <c r="L514" s="320"/>
      <c r="M514" s="223"/>
      <c r="N514" s="223"/>
      <c r="O514" s="223"/>
      <c r="P514" s="223"/>
      <c r="Q514" s="223"/>
      <c r="R514" s="223"/>
      <c r="S514" s="223"/>
      <c r="T514" s="223"/>
      <c r="U514" s="223"/>
      <c r="V514" s="223"/>
      <c r="W514" s="223"/>
    </row>
    <row r="515">
      <c r="A515" s="223"/>
      <c r="B515" s="223"/>
      <c r="C515" s="223"/>
      <c r="D515" s="223"/>
      <c r="E515" s="223"/>
      <c r="F515" s="223"/>
      <c r="G515" s="223"/>
      <c r="H515" s="223"/>
      <c r="I515" s="223"/>
      <c r="J515" s="223"/>
      <c r="K515" s="320"/>
      <c r="L515" s="320"/>
      <c r="M515" s="223"/>
      <c r="N515" s="223"/>
      <c r="O515" s="223"/>
      <c r="P515" s="223"/>
      <c r="Q515" s="223"/>
      <c r="R515" s="223"/>
      <c r="S515" s="223"/>
      <c r="T515" s="223"/>
      <c r="U515" s="223"/>
      <c r="V515" s="223"/>
      <c r="W515" s="223"/>
    </row>
    <row r="516">
      <c r="A516" s="223"/>
      <c r="B516" s="223"/>
      <c r="C516" s="223"/>
      <c r="D516" s="223"/>
      <c r="E516" s="223"/>
      <c r="F516" s="223"/>
      <c r="G516" s="223"/>
      <c r="H516" s="223"/>
      <c r="I516" s="223"/>
      <c r="J516" s="223"/>
      <c r="K516" s="320"/>
      <c r="L516" s="320"/>
      <c r="M516" s="223"/>
      <c r="N516" s="223"/>
      <c r="O516" s="223"/>
      <c r="P516" s="223"/>
      <c r="Q516" s="223"/>
      <c r="R516" s="223"/>
      <c r="S516" s="223"/>
      <c r="T516" s="223"/>
      <c r="U516" s="223"/>
      <c r="V516" s="223"/>
      <c r="W516" s="223"/>
    </row>
    <row r="517">
      <c r="A517" s="223"/>
      <c r="B517" s="223"/>
      <c r="C517" s="223"/>
      <c r="D517" s="223"/>
      <c r="E517" s="223"/>
      <c r="F517" s="223"/>
      <c r="G517" s="223"/>
      <c r="H517" s="223"/>
      <c r="I517" s="223"/>
      <c r="J517" s="223"/>
      <c r="K517" s="320"/>
      <c r="L517" s="320"/>
      <c r="M517" s="223"/>
      <c r="N517" s="223"/>
      <c r="O517" s="223"/>
      <c r="P517" s="223"/>
      <c r="Q517" s="223"/>
      <c r="R517" s="223"/>
      <c r="S517" s="223"/>
      <c r="T517" s="223"/>
      <c r="U517" s="223"/>
      <c r="V517" s="223"/>
      <c r="W517" s="223"/>
    </row>
    <row r="518">
      <c r="A518" s="223"/>
      <c r="B518" s="223"/>
      <c r="C518" s="223"/>
      <c r="D518" s="223"/>
      <c r="E518" s="223"/>
      <c r="F518" s="223"/>
      <c r="G518" s="223"/>
      <c r="H518" s="223"/>
      <c r="I518" s="223"/>
      <c r="J518" s="223"/>
      <c r="K518" s="320"/>
      <c r="L518" s="320"/>
      <c r="M518" s="223"/>
      <c r="N518" s="223"/>
      <c r="O518" s="223"/>
      <c r="P518" s="223"/>
      <c r="Q518" s="223"/>
      <c r="R518" s="223"/>
      <c r="S518" s="223"/>
      <c r="T518" s="223"/>
      <c r="U518" s="223"/>
      <c r="V518" s="223"/>
      <c r="W518" s="223"/>
    </row>
    <row r="519">
      <c r="A519" s="223"/>
      <c r="B519" s="223"/>
      <c r="C519" s="223"/>
      <c r="D519" s="223"/>
      <c r="E519" s="223"/>
      <c r="F519" s="223"/>
      <c r="G519" s="223"/>
      <c r="H519" s="223"/>
      <c r="I519" s="223"/>
      <c r="J519" s="223"/>
      <c r="K519" s="320"/>
      <c r="L519" s="320"/>
      <c r="M519" s="223"/>
      <c r="N519" s="223"/>
      <c r="O519" s="223"/>
      <c r="P519" s="223"/>
      <c r="Q519" s="223"/>
      <c r="R519" s="223"/>
      <c r="S519" s="223"/>
      <c r="T519" s="223"/>
      <c r="U519" s="223"/>
      <c r="V519" s="223"/>
      <c r="W519" s="223"/>
    </row>
    <row r="520">
      <c r="A520" s="223"/>
      <c r="B520" s="223"/>
      <c r="C520" s="223"/>
      <c r="D520" s="223"/>
      <c r="E520" s="223"/>
      <c r="F520" s="223"/>
      <c r="G520" s="223"/>
      <c r="H520" s="223"/>
      <c r="I520" s="223"/>
      <c r="J520" s="223"/>
      <c r="K520" s="320"/>
      <c r="L520" s="320"/>
      <c r="M520" s="223"/>
      <c r="N520" s="223"/>
      <c r="O520" s="223"/>
      <c r="P520" s="223"/>
      <c r="Q520" s="223"/>
      <c r="R520" s="223"/>
      <c r="S520" s="223"/>
      <c r="T520" s="223"/>
      <c r="U520" s="223"/>
      <c r="V520" s="223"/>
      <c r="W520" s="223"/>
    </row>
    <row r="521">
      <c r="A521" s="223"/>
      <c r="B521" s="223"/>
      <c r="C521" s="223"/>
      <c r="D521" s="223"/>
      <c r="E521" s="223"/>
      <c r="F521" s="223"/>
      <c r="G521" s="223"/>
      <c r="H521" s="223"/>
      <c r="I521" s="223"/>
      <c r="J521" s="223"/>
      <c r="K521" s="320"/>
      <c r="L521" s="320"/>
      <c r="M521" s="223"/>
      <c r="N521" s="223"/>
      <c r="O521" s="223"/>
      <c r="P521" s="223"/>
      <c r="Q521" s="223"/>
      <c r="R521" s="223"/>
      <c r="S521" s="223"/>
      <c r="T521" s="223"/>
      <c r="U521" s="223"/>
      <c r="V521" s="223"/>
      <c r="W521" s="223"/>
    </row>
    <row r="522">
      <c r="A522" s="223"/>
      <c r="B522" s="223"/>
      <c r="C522" s="223"/>
      <c r="D522" s="223"/>
      <c r="E522" s="223"/>
      <c r="F522" s="223"/>
      <c r="G522" s="223"/>
      <c r="H522" s="223"/>
      <c r="I522" s="223"/>
      <c r="J522" s="223"/>
      <c r="K522" s="320"/>
      <c r="L522" s="320"/>
      <c r="M522" s="223"/>
      <c r="N522" s="223"/>
      <c r="O522" s="223"/>
      <c r="P522" s="223"/>
      <c r="Q522" s="223"/>
      <c r="R522" s="223"/>
      <c r="S522" s="223"/>
      <c r="T522" s="223"/>
      <c r="U522" s="223"/>
      <c r="V522" s="223"/>
      <c r="W522" s="223"/>
    </row>
    <row r="523">
      <c r="A523" s="223"/>
      <c r="B523" s="223"/>
      <c r="C523" s="223"/>
      <c r="D523" s="223"/>
      <c r="E523" s="223"/>
      <c r="F523" s="223"/>
      <c r="G523" s="223"/>
      <c r="H523" s="223"/>
      <c r="I523" s="223"/>
      <c r="J523" s="223"/>
      <c r="K523" s="320"/>
      <c r="L523" s="320"/>
      <c r="M523" s="223"/>
      <c r="N523" s="223"/>
      <c r="O523" s="223"/>
      <c r="P523" s="223"/>
      <c r="Q523" s="223"/>
      <c r="R523" s="223"/>
      <c r="S523" s="223"/>
      <c r="T523" s="223"/>
      <c r="U523" s="223"/>
      <c r="V523" s="223"/>
      <c r="W523" s="223"/>
    </row>
    <row r="524">
      <c r="A524" s="223"/>
      <c r="B524" s="223"/>
      <c r="C524" s="223"/>
      <c r="D524" s="223"/>
      <c r="E524" s="223"/>
      <c r="F524" s="223"/>
      <c r="G524" s="223"/>
      <c r="H524" s="223"/>
      <c r="I524" s="223"/>
      <c r="J524" s="223"/>
      <c r="K524" s="320"/>
      <c r="L524" s="320"/>
      <c r="M524" s="223"/>
      <c r="N524" s="223"/>
      <c r="O524" s="223"/>
      <c r="P524" s="223"/>
      <c r="Q524" s="223"/>
      <c r="R524" s="223"/>
      <c r="S524" s="223"/>
      <c r="T524" s="223"/>
      <c r="U524" s="223"/>
      <c r="V524" s="223"/>
      <c r="W524" s="223"/>
    </row>
    <row r="525">
      <c r="A525" s="223"/>
      <c r="B525" s="223"/>
      <c r="C525" s="223"/>
      <c r="D525" s="223"/>
      <c r="E525" s="223"/>
      <c r="F525" s="223"/>
      <c r="G525" s="223"/>
      <c r="H525" s="223"/>
      <c r="I525" s="223"/>
      <c r="J525" s="223"/>
      <c r="K525" s="320"/>
      <c r="L525" s="320"/>
      <c r="M525" s="223"/>
      <c r="N525" s="223"/>
      <c r="O525" s="223"/>
      <c r="P525" s="223"/>
      <c r="Q525" s="223"/>
      <c r="R525" s="223"/>
      <c r="S525" s="223"/>
      <c r="T525" s="223"/>
      <c r="U525" s="223"/>
      <c r="V525" s="223"/>
      <c r="W525" s="223"/>
    </row>
    <row r="526">
      <c r="A526" s="223"/>
      <c r="B526" s="223"/>
      <c r="C526" s="223"/>
      <c r="D526" s="223"/>
      <c r="E526" s="223"/>
      <c r="F526" s="223"/>
      <c r="G526" s="223"/>
      <c r="H526" s="223"/>
      <c r="I526" s="223"/>
      <c r="J526" s="223"/>
      <c r="K526" s="320"/>
      <c r="L526" s="320"/>
      <c r="M526" s="223"/>
      <c r="N526" s="223"/>
      <c r="O526" s="223"/>
      <c r="P526" s="223"/>
      <c r="Q526" s="223"/>
      <c r="R526" s="223"/>
      <c r="S526" s="223"/>
      <c r="T526" s="223"/>
      <c r="U526" s="223"/>
      <c r="V526" s="223"/>
      <c r="W526" s="223"/>
    </row>
    <row r="527">
      <c r="A527" s="223"/>
      <c r="B527" s="223"/>
      <c r="C527" s="223"/>
      <c r="D527" s="223"/>
      <c r="E527" s="223"/>
      <c r="F527" s="223"/>
      <c r="G527" s="223"/>
      <c r="H527" s="223"/>
      <c r="I527" s="223"/>
      <c r="J527" s="223"/>
      <c r="K527" s="320"/>
      <c r="L527" s="320"/>
      <c r="M527" s="223"/>
      <c r="N527" s="223"/>
      <c r="O527" s="223"/>
      <c r="P527" s="223"/>
      <c r="Q527" s="223"/>
      <c r="R527" s="223"/>
      <c r="S527" s="223"/>
      <c r="T527" s="223"/>
      <c r="U527" s="223"/>
      <c r="V527" s="223"/>
      <c r="W527" s="223"/>
    </row>
    <row r="528">
      <c r="A528" s="223"/>
      <c r="B528" s="223"/>
      <c r="C528" s="223"/>
      <c r="D528" s="223"/>
      <c r="E528" s="223"/>
      <c r="F528" s="223"/>
      <c r="G528" s="223"/>
      <c r="H528" s="223"/>
      <c r="I528" s="223"/>
      <c r="J528" s="223"/>
      <c r="K528" s="320"/>
      <c r="L528" s="320"/>
      <c r="M528" s="223"/>
      <c r="N528" s="223"/>
      <c r="O528" s="223"/>
      <c r="P528" s="223"/>
      <c r="Q528" s="223"/>
      <c r="R528" s="223"/>
      <c r="S528" s="223"/>
      <c r="T528" s="223"/>
      <c r="U528" s="223"/>
      <c r="V528" s="223"/>
      <c r="W528" s="223"/>
    </row>
    <row r="529">
      <c r="A529" s="223"/>
      <c r="B529" s="223"/>
      <c r="C529" s="223"/>
      <c r="D529" s="223"/>
      <c r="E529" s="223"/>
      <c r="F529" s="223"/>
      <c r="G529" s="223"/>
      <c r="H529" s="223"/>
      <c r="I529" s="223"/>
      <c r="J529" s="223"/>
      <c r="K529" s="320"/>
      <c r="L529" s="320"/>
      <c r="M529" s="223"/>
      <c r="N529" s="223"/>
      <c r="O529" s="223"/>
      <c r="P529" s="223"/>
      <c r="Q529" s="223"/>
      <c r="R529" s="223"/>
      <c r="S529" s="223"/>
      <c r="T529" s="223"/>
      <c r="U529" s="223"/>
      <c r="V529" s="223"/>
      <c r="W529" s="223"/>
    </row>
    <row r="530">
      <c r="A530" s="223"/>
      <c r="B530" s="223"/>
      <c r="C530" s="223"/>
      <c r="D530" s="223"/>
      <c r="E530" s="223"/>
      <c r="F530" s="223"/>
      <c r="G530" s="223"/>
      <c r="H530" s="223"/>
      <c r="I530" s="223"/>
      <c r="J530" s="223"/>
      <c r="K530" s="320"/>
      <c r="L530" s="320"/>
      <c r="M530" s="223"/>
      <c r="N530" s="223"/>
      <c r="O530" s="223"/>
      <c r="P530" s="223"/>
      <c r="Q530" s="223"/>
      <c r="R530" s="223"/>
      <c r="S530" s="223"/>
      <c r="T530" s="223"/>
      <c r="U530" s="223"/>
      <c r="V530" s="223"/>
      <c r="W530" s="223"/>
    </row>
    <row r="531">
      <c r="A531" s="223"/>
      <c r="B531" s="223"/>
      <c r="C531" s="223"/>
      <c r="D531" s="223"/>
      <c r="E531" s="223"/>
      <c r="F531" s="223"/>
      <c r="G531" s="223"/>
      <c r="H531" s="223"/>
      <c r="I531" s="223"/>
      <c r="J531" s="223"/>
      <c r="K531" s="320"/>
      <c r="L531" s="320"/>
      <c r="M531" s="223"/>
      <c r="N531" s="223"/>
      <c r="O531" s="223"/>
      <c r="P531" s="223"/>
      <c r="Q531" s="223"/>
      <c r="R531" s="223"/>
      <c r="S531" s="223"/>
      <c r="T531" s="223"/>
      <c r="U531" s="223"/>
      <c r="V531" s="223"/>
      <c r="W531" s="223"/>
    </row>
    <row r="532">
      <c r="A532" s="223"/>
      <c r="B532" s="223"/>
      <c r="C532" s="223"/>
      <c r="D532" s="223"/>
      <c r="E532" s="223"/>
      <c r="F532" s="223"/>
      <c r="G532" s="223"/>
      <c r="H532" s="223"/>
      <c r="I532" s="223"/>
      <c r="J532" s="223"/>
      <c r="K532" s="320"/>
      <c r="L532" s="320"/>
      <c r="M532" s="223"/>
      <c r="N532" s="223"/>
      <c r="O532" s="223"/>
      <c r="P532" s="223"/>
      <c r="Q532" s="223"/>
      <c r="R532" s="223"/>
      <c r="S532" s="223"/>
      <c r="T532" s="223"/>
      <c r="U532" s="223"/>
      <c r="V532" s="223"/>
      <c r="W532" s="223"/>
    </row>
    <row r="533">
      <c r="A533" s="223"/>
      <c r="B533" s="223"/>
      <c r="C533" s="223"/>
      <c r="D533" s="223"/>
      <c r="E533" s="223"/>
      <c r="F533" s="223"/>
      <c r="G533" s="223"/>
      <c r="H533" s="223"/>
      <c r="I533" s="223"/>
      <c r="J533" s="223"/>
      <c r="K533" s="320"/>
      <c r="L533" s="320"/>
      <c r="M533" s="223"/>
      <c r="N533" s="223"/>
      <c r="O533" s="223"/>
      <c r="P533" s="223"/>
      <c r="Q533" s="223"/>
      <c r="R533" s="223"/>
      <c r="S533" s="223"/>
      <c r="T533" s="223"/>
      <c r="U533" s="223"/>
      <c r="V533" s="223"/>
      <c r="W533" s="223"/>
    </row>
    <row r="534">
      <c r="A534" s="223"/>
      <c r="B534" s="223"/>
      <c r="C534" s="223"/>
      <c r="D534" s="223"/>
      <c r="E534" s="223"/>
      <c r="F534" s="223"/>
      <c r="G534" s="223"/>
      <c r="H534" s="223"/>
      <c r="I534" s="223"/>
      <c r="J534" s="223"/>
      <c r="K534" s="320"/>
      <c r="L534" s="320"/>
      <c r="M534" s="223"/>
      <c r="N534" s="223"/>
      <c r="O534" s="223"/>
      <c r="P534" s="223"/>
      <c r="Q534" s="223"/>
      <c r="R534" s="223"/>
      <c r="S534" s="223"/>
      <c r="T534" s="223"/>
      <c r="U534" s="223"/>
      <c r="V534" s="223"/>
      <c r="W534" s="223"/>
    </row>
    <row r="535">
      <c r="A535" s="223"/>
      <c r="B535" s="223"/>
      <c r="C535" s="223"/>
      <c r="D535" s="223"/>
      <c r="E535" s="223"/>
      <c r="F535" s="223"/>
      <c r="G535" s="223"/>
      <c r="H535" s="223"/>
      <c r="I535" s="223"/>
      <c r="J535" s="223"/>
      <c r="K535" s="320"/>
      <c r="L535" s="320"/>
      <c r="M535" s="223"/>
      <c r="N535" s="223"/>
      <c r="O535" s="223"/>
      <c r="P535" s="223"/>
      <c r="Q535" s="223"/>
      <c r="R535" s="223"/>
      <c r="S535" s="223"/>
      <c r="T535" s="223"/>
      <c r="U535" s="223"/>
      <c r="V535" s="223"/>
      <c r="W535" s="223"/>
    </row>
    <row r="536">
      <c r="A536" s="223"/>
      <c r="B536" s="223"/>
      <c r="C536" s="223"/>
      <c r="D536" s="223"/>
      <c r="E536" s="223"/>
      <c r="F536" s="223"/>
      <c r="G536" s="223"/>
      <c r="H536" s="223"/>
      <c r="I536" s="223"/>
      <c r="J536" s="223"/>
      <c r="K536" s="320"/>
      <c r="L536" s="320"/>
      <c r="M536" s="223"/>
      <c r="N536" s="223"/>
      <c r="O536" s="223"/>
      <c r="P536" s="223"/>
      <c r="Q536" s="223"/>
      <c r="R536" s="223"/>
      <c r="S536" s="223"/>
      <c r="T536" s="223"/>
      <c r="U536" s="223"/>
      <c r="V536" s="223"/>
      <c r="W536" s="223"/>
    </row>
    <row r="537">
      <c r="A537" s="223"/>
      <c r="B537" s="223"/>
      <c r="C537" s="223"/>
      <c r="D537" s="223"/>
      <c r="E537" s="223"/>
      <c r="F537" s="223"/>
      <c r="G537" s="223"/>
      <c r="H537" s="223"/>
      <c r="I537" s="223"/>
      <c r="J537" s="223"/>
      <c r="K537" s="320"/>
      <c r="L537" s="320"/>
      <c r="M537" s="223"/>
      <c r="N537" s="223"/>
      <c r="O537" s="223"/>
      <c r="P537" s="223"/>
      <c r="Q537" s="223"/>
      <c r="R537" s="223"/>
      <c r="S537" s="223"/>
      <c r="T537" s="223"/>
      <c r="U537" s="223"/>
      <c r="V537" s="223"/>
      <c r="W537" s="223"/>
    </row>
    <row r="538">
      <c r="A538" s="223"/>
      <c r="B538" s="223"/>
      <c r="C538" s="223"/>
      <c r="D538" s="223"/>
      <c r="E538" s="223"/>
      <c r="F538" s="223"/>
      <c r="G538" s="223"/>
      <c r="H538" s="223"/>
      <c r="I538" s="223"/>
      <c r="J538" s="223"/>
      <c r="K538" s="320"/>
      <c r="L538" s="320"/>
      <c r="M538" s="223"/>
      <c r="N538" s="223"/>
      <c r="O538" s="223"/>
      <c r="P538" s="223"/>
      <c r="Q538" s="223"/>
      <c r="R538" s="223"/>
      <c r="S538" s="223"/>
      <c r="T538" s="223"/>
      <c r="U538" s="223"/>
      <c r="V538" s="223"/>
      <c r="W538" s="223"/>
    </row>
    <row r="539">
      <c r="A539" s="223"/>
      <c r="B539" s="223"/>
      <c r="C539" s="223"/>
      <c r="D539" s="223"/>
      <c r="E539" s="223"/>
      <c r="F539" s="223"/>
      <c r="G539" s="223"/>
      <c r="H539" s="223"/>
      <c r="I539" s="223"/>
      <c r="J539" s="223"/>
      <c r="K539" s="320"/>
      <c r="L539" s="320"/>
      <c r="M539" s="223"/>
      <c r="N539" s="223"/>
      <c r="O539" s="223"/>
      <c r="P539" s="223"/>
      <c r="Q539" s="223"/>
      <c r="R539" s="223"/>
      <c r="S539" s="223"/>
      <c r="T539" s="223"/>
      <c r="U539" s="223"/>
      <c r="V539" s="223"/>
      <c r="W539" s="223"/>
    </row>
    <row r="540">
      <c r="A540" s="223"/>
      <c r="B540" s="223"/>
      <c r="C540" s="223"/>
      <c r="D540" s="223"/>
      <c r="E540" s="223"/>
      <c r="F540" s="223"/>
      <c r="G540" s="223"/>
      <c r="H540" s="223"/>
      <c r="I540" s="223"/>
      <c r="J540" s="223"/>
      <c r="K540" s="320"/>
      <c r="L540" s="320"/>
      <c r="M540" s="223"/>
      <c r="N540" s="223"/>
      <c r="O540" s="223"/>
      <c r="P540" s="223"/>
      <c r="Q540" s="223"/>
      <c r="R540" s="223"/>
      <c r="S540" s="223"/>
      <c r="T540" s="223"/>
      <c r="U540" s="223"/>
      <c r="V540" s="223"/>
      <c r="W540" s="223"/>
    </row>
    <row r="541">
      <c r="A541" s="223"/>
      <c r="B541" s="223"/>
      <c r="C541" s="223"/>
      <c r="D541" s="223"/>
      <c r="E541" s="223"/>
      <c r="F541" s="223"/>
      <c r="G541" s="223"/>
      <c r="H541" s="223"/>
      <c r="I541" s="223"/>
      <c r="J541" s="223"/>
      <c r="K541" s="320"/>
      <c r="L541" s="320"/>
      <c r="M541" s="223"/>
      <c r="N541" s="223"/>
      <c r="O541" s="223"/>
      <c r="P541" s="223"/>
      <c r="Q541" s="223"/>
      <c r="R541" s="223"/>
      <c r="S541" s="223"/>
      <c r="T541" s="223"/>
      <c r="U541" s="223"/>
      <c r="V541" s="223"/>
      <c r="W541" s="223"/>
    </row>
    <row r="542">
      <c r="A542" s="223"/>
      <c r="B542" s="223"/>
      <c r="C542" s="223"/>
      <c r="D542" s="223"/>
      <c r="E542" s="223"/>
      <c r="F542" s="223"/>
      <c r="G542" s="223"/>
      <c r="H542" s="223"/>
      <c r="I542" s="223"/>
      <c r="J542" s="223"/>
      <c r="K542" s="320"/>
      <c r="L542" s="320"/>
      <c r="M542" s="223"/>
      <c r="N542" s="223"/>
      <c r="O542" s="223"/>
      <c r="P542" s="223"/>
      <c r="Q542" s="223"/>
      <c r="R542" s="223"/>
      <c r="S542" s="223"/>
      <c r="T542" s="223"/>
      <c r="U542" s="223"/>
      <c r="V542" s="223"/>
      <c r="W542" s="223"/>
    </row>
    <row r="543">
      <c r="A543" s="223"/>
      <c r="B543" s="223"/>
      <c r="C543" s="223"/>
      <c r="D543" s="223"/>
      <c r="E543" s="223"/>
      <c r="F543" s="223"/>
      <c r="G543" s="223"/>
      <c r="H543" s="223"/>
      <c r="I543" s="223"/>
      <c r="J543" s="223"/>
      <c r="K543" s="320"/>
      <c r="L543" s="320"/>
      <c r="M543" s="223"/>
      <c r="N543" s="223"/>
      <c r="O543" s="223"/>
      <c r="P543" s="223"/>
      <c r="Q543" s="223"/>
      <c r="R543" s="223"/>
      <c r="S543" s="223"/>
      <c r="T543" s="223"/>
      <c r="U543" s="223"/>
      <c r="V543" s="223"/>
      <c r="W543" s="223"/>
    </row>
    <row r="544">
      <c r="A544" s="223"/>
      <c r="B544" s="223"/>
      <c r="C544" s="223"/>
      <c r="D544" s="223"/>
      <c r="E544" s="223"/>
      <c r="F544" s="223"/>
      <c r="G544" s="223"/>
      <c r="H544" s="223"/>
      <c r="I544" s="223"/>
      <c r="J544" s="223"/>
      <c r="K544" s="320"/>
      <c r="L544" s="320"/>
      <c r="M544" s="223"/>
      <c r="N544" s="223"/>
      <c r="O544" s="223"/>
      <c r="P544" s="223"/>
      <c r="Q544" s="223"/>
      <c r="R544" s="223"/>
      <c r="S544" s="223"/>
      <c r="T544" s="223"/>
      <c r="U544" s="223"/>
      <c r="V544" s="223"/>
      <c r="W544" s="223"/>
    </row>
    <row r="545">
      <c r="A545" s="223"/>
      <c r="B545" s="223"/>
      <c r="C545" s="223"/>
      <c r="D545" s="223"/>
      <c r="E545" s="223"/>
      <c r="F545" s="223"/>
      <c r="G545" s="223"/>
      <c r="H545" s="223"/>
      <c r="I545" s="223"/>
      <c r="J545" s="223"/>
      <c r="K545" s="320"/>
      <c r="L545" s="320"/>
      <c r="M545" s="223"/>
      <c r="N545" s="223"/>
      <c r="O545" s="223"/>
      <c r="P545" s="223"/>
      <c r="Q545" s="223"/>
      <c r="R545" s="223"/>
      <c r="S545" s="223"/>
      <c r="T545" s="223"/>
      <c r="U545" s="223"/>
      <c r="V545" s="223"/>
      <c r="W545" s="223"/>
    </row>
    <row r="546">
      <c r="A546" s="223"/>
      <c r="B546" s="223"/>
      <c r="C546" s="223"/>
      <c r="D546" s="223"/>
      <c r="E546" s="223"/>
      <c r="F546" s="223"/>
      <c r="G546" s="223"/>
      <c r="H546" s="223"/>
      <c r="I546" s="223"/>
      <c r="J546" s="223"/>
      <c r="K546" s="320"/>
      <c r="L546" s="320"/>
      <c r="M546" s="223"/>
      <c r="N546" s="223"/>
      <c r="O546" s="223"/>
      <c r="P546" s="223"/>
      <c r="Q546" s="223"/>
      <c r="R546" s="223"/>
      <c r="S546" s="223"/>
      <c r="T546" s="223"/>
      <c r="U546" s="223"/>
      <c r="V546" s="223"/>
      <c r="W546" s="223"/>
    </row>
    <row r="547">
      <c r="A547" s="223"/>
      <c r="B547" s="223"/>
      <c r="C547" s="223"/>
      <c r="D547" s="223"/>
      <c r="E547" s="223"/>
      <c r="F547" s="223"/>
      <c r="G547" s="223"/>
      <c r="H547" s="223"/>
      <c r="I547" s="223"/>
      <c r="J547" s="223"/>
      <c r="K547" s="320"/>
      <c r="L547" s="320"/>
      <c r="M547" s="223"/>
      <c r="N547" s="223"/>
      <c r="O547" s="223"/>
      <c r="P547" s="223"/>
      <c r="Q547" s="223"/>
      <c r="R547" s="223"/>
      <c r="S547" s="223"/>
      <c r="T547" s="223"/>
      <c r="U547" s="223"/>
      <c r="V547" s="223"/>
      <c r="W547" s="223"/>
    </row>
    <row r="548">
      <c r="A548" s="223"/>
      <c r="B548" s="223"/>
      <c r="C548" s="223"/>
      <c r="D548" s="223"/>
      <c r="E548" s="223"/>
      <c r="F548" s="223"/>
      <c r="G548" s="223"/>
      <c r="H548" s="223"/>
      <c r="I548" s="223"/>
      <c r="J548" s="223"/>
      <c r="K548" s="320"/>
      <c r="L548" s="320"/>
      <c r="M548" s="223"/>
      <c r="N548" s="223"/>
      <c r="O548" s="223"/>
      <c r="P548" s="223"/>
      <c r="Q548" s="223"/>
      <c r="R548" s="223"/>
      <c r="S548" s="223"/>
      <c r="T548" s="223"/>
      <c r="U548" s="223"/>
      <c r="V548" s="223"/>
      <c r="W548" s="223"/>
    </row>
    <row r="549">
      <c r="A549" s="223"/>
      <c r="B549" s="223"/>
      <c r="C549" s="223"/>
      <c r="D549" s="223"/>
      <c r="E549" s="223"/>
      <c r="F549" s="223"/>
      <c r="G549" s="223"/>
      <c r="H549" s="223"/>
      <c r="I549" s="223"/>
      <c r="J549" s="223"/>
      <c r="K549" s="320"/>
      <c r="L549" s="320"/>
      <c r="M549" s="223"/>
      <c r="N549" s="223"/>
      <c r="O549" s="223"/>
      <c r="P549" s="223"/>
      <c r="Q549" s="223"/>
      <c r="R549" s="223"/>
      <c r="S549" s="223"/>
      <c r="T549" s="223"/>
      <c r="U549" s="223"/>
      <c r="V549" s="223"/>
      <c r="W549" s="223"/>
    </row>
    <row r="550">
      <c r="A550" s="223"/>
      <c r="B550" s="223"/>
      <c r="C550" s="223"/>
      <c r="D550" s="223"/>
      <c r="E550" s="223"/>
      <c r="F550" s="223"/>
      <c r="G550" s="223"/>
      <c r="H550" s="223"/>
      <c r="I550" s="223"/>
      <c r="J550" s="223"/>
      <c r="K550" s="320"/>
      <c r="L550" s="320"/>
      <c r="M550" s="223"/>
      <c r="N550" s="223"/>
      <c r="O550" s="223"/>
      <c r="P550" s="223"/>
      <c r="Q550" s="223"/>
      <c r="R550" s="223"/>
      <c r="S550" s="223"/>
      <c r="T550" s="223"/>
      <c r="U550" s="223"/>
      <c r="V550" s="223"/>
      <c r="W550" s="223"/>
    </row>
    <row r="551">
      <c r="A551" s="223"/>
      <c r="B551" s="223"/>
      <c r="C551" s="223"/>
      <c r="D551" s="223"/>
      <c r="E551" s="223"/>
      <c r="F551" s="223"/>
      <c r="G551" s="223"/>
      <c r="H551" s="223"/>
      <c r="I551" s="223"/>
      <c r="J551" s="223"/>
      <c r="K551" s="320"/>
      <c r="L551" s="320"/>
      <c r="M551" s="223"/>
      <c r="N551" s="223"/>
      <c r="O551" s="223"/>
      <c r="P551" s="223"/>
      <c r="Q551" s="223"/>
      <c r="R551" s="223"/>
      <c r="S551" s="223"/>
      <c r="T551" s="223"/>
      <c r="U551" s="223"/>
      <c r="V551" s="223"/>
      <c r="W551" s="223"/>
    </row>
    <row r="552">
      <c r="A552" s="223"/>
      <c r="B552" s="223"/>
      <c r="C552" s="223"/>
      <c r="D552" s="223"/>
      <c r="E552" s="223"/>
      <c r="F552" s="223"/>
      <c r="G552" s="223"/>
      <c r="H552" s="223"/>
      <c r="I552" s="223"/>
      <c r="J552" s="223"/>
      <c r="K552" s="320"/>
      <c r="L552" s="320"/>
      <c r="M552" s="223"/>
      <c r="N552" s="223"/>
      <c r="O552" s="223"/>
      <c r="P552" s="223"/>
      <c r="Q552" s="223"/>
      <c r="R552" s="223"/>
      <c r="S552" s="223"/>
      <c r="T552" s="223"/>
      <c r="U552" s="223"/>
      <c r="V552" s="223"/>
      <c r="W552" s="223"/>
    </row>
    <row r="553">
      <c r="A553" s="223"/>
      <c r="B553" s="223"/>
      <c r="C553" s="223"/>
      <c r="D553" s="223"/>
      <c r="E553" s="223"/>
      <c r="F553" s="223"/>
      <c r="G553" s="223"/>
      <c r="H553" s="223"/>
      <c r="I553" s="223"/>
      <c r="J553" s="223"/>
      <c r="K553" s="320"/>
      <c r="L553" s="320"/>
      <c r="M553" s="223"/>
      <c r="N553" s="223"/>
      <c r="O553" s="223"/>
      <c r="P553" s="223"/>
      <c r="Q553" s="223"/>
      <c r="R553" s="223"/>
      <c r="S553" s="223"/>
      <c r="T553" s="223"/>
      <c r="U553" s="223"/>
      <c r="V553" s="223"/>
      <c r="W553" s="223"/>
    </row>
    <row r="554">
      <c r="A554" s="223"/>
      <c r="B554" s="223"/>
      <c r="C554" s="223"/>
      <c r="D554" s="223"/>
      <c r="E554" s="223"/>
      <c r="F554" s="223"/>
      <c r="G554" s="223"/>
      <c r="H554" s="223"/>
      <c r="I554" s="223"/>
      <c r="J554" s="223"/>
      <c r="K554" s="320"/>
      <c r="L554" s="320"/>
      <c r="M554" s="223"/>
      <c r="N554" s="223"/>
      <c r="O554" s="223"/>
      <c r="P554" s="223"/>
      <c r="Q554" s="223"/>
      <c r="R554" s="223"/>
      <c r="S554" s="223"/>
      <c r="T554" s="223"/>
      <c r="U554" s="223"/>
      <c r="V554" s="223"/>
      <c r="W554" s="223"/>
    </row>
    <row r="555">
      <c r="A555" s="223"/>
      <c r="B555" s="223"/>
      <c r="C555" s="223"/>
      <c r="D555" s="223"/>
      <c r="E555" s="223"/>
      <c r="F555" s="223"/>
      <c r="G555" s="223"/>
      <c r="H555" s="223"/>
      <c r="I555" s="223"/>
      <c r="J555" s="223"/>
      <c r="K555" s="320"/>
      <c r="L555" s="320"/>
      <c r="M555" s="223"/>
      <c r="N555" s="223"/>
      <c r="O555" s="223"/>
      <c r="P555" s="223"/>
      <c r="Q555" s="223"/>
      <c r="R555" s="223"/>
      <c r="S555" s="223"/>
      <c r="T555" s="223"/>
      <c r="U555" s="223"/>
      <c r="V555" s="223"/>
      <c r="W555" s="223"/>
    </row>
    <row r="556">
      <c r="A556" s="223"/>
      <c r="B556" s="223"/>
      <c r="C556" s="223"/>
      <c r="D556" s="223"/>
      <c r="E556" s="223"/>
      <c r="F556" s="223"/>
      <c r="G556" s="223"/>
      <c r="H556" s="223"/>
      <c r="I556" s="223"/>
      <c r="J556" s="223"/>
      <c r="K556" s="320"/>
      <c r="L556" s="320"/>
      <c r="M556" s="223"/>
      <c r="N556" s="223"/>
      <c r="O556" s="223"/>
      <c r="P556" s="223"/>
      <c r="Q556" s="223"/>
      <c r="R556" s="223"/>
      <c r="S556" s="223"/>
      <c r="T556" s="223"/>
      <c r="U556" s="223"/>
      <c r="V556" s="223"/>
      <c r="W556" s="223"/>
    </row>
    <row r="557">
      <c r="A557" s="223"/>
      <c r="B557" s="223"/>
      <c r="C557" s="223"/>
      <c r="D557" s="223"/>
      <c r="E557" s="223"/>
      <c r="F557" s="223"/>
      <c r="G557" s="223"/>
      <c r="H557" s="223"/>
      <c r="I557" s="223"/>
      <c r="J557" s="223"/>
      <c r="K557" s="320"/>
      <c r="L557" s="320"/>
      <c r="M557" s="223"/>
      <c r="N557" s="223"/>
      <c r="O557" s="223"/>
      <c r="P557" s="223"/>
      <c r="Q557" s="223"/>
      <c r="R557" s="223"/>
      <c r="S557" s="223"/>
      <c r="T557" s="223"/>
      <c r="U557" s="223"/>
      <c r="V557" s="223"/>
      <c r="W557" s="223"/>
    </row>
    <row r="558">
      <c r="A558" s="223"/>
      <c r="B558" s="223"/>
      <c r="C558" s="223"/>
      <c r="D558" s="223"/>
      <c r="E558" s="223"/>
      <c r="F558" s="223"/>
      <c r="G558" s="223"/>
      <c r="H558" s="223"/>
      <c r="I558" s="223"/>
      <c r="J558" s="223"/>
      <c r="K558" s="320"/>
      <c r="L558" s="320"/>
      <c r="M558" s="223"/>
      <c r="N558" s="223"/>
      <c r="O558" s="223"/>
      <c r="P558" s="223"/>
      <c r="Q558" s="223"/>
      <c r="R558" s="223"/>
      <c r="S558" s="223"/>
      <c r="T558" s="223"/>
      <c r="U558" s="223"/>
      <c r="V558" s="223"/>
      <c r="W558" s="223"/>
    </row>
    <row r="559">
      <c r="A559" s="223"/>
      <c r="B559" s="223"/>
      <c r="C559" s="223"/>
      <c r="D559" s="223"/>
      <c r="E559" s="223"/>
      <c r="F559" s="223"/>
      <c r="G559" s="223"/>
      <c r="H559" s="223"/>
      <c r="I559" s="223"/>
      <c r="J559" s="223"/>
      <c r="K559" s="320"/>
      <c r="L559" s="320"/>
      <c r="M559" s="223"/>
      <c r="N559" s="223"/>
      <c r="O559" s="223"/>
      <c r="P559" s="223"/>
      <c r="Q559" s="223"/>
      <c r="R559" s="223"/>
      <c r="S559" s="223"/>
      <c r="T559" s="223"/>
      <c r="U559" s="223"/>
      <c r="V559" s="223"/>
      <c r="W559" s="223"/>
    </row>
    <row r="560">
      <c r="A560" s="223"/>
      <c r="B560" s="223"/>
      <c r="C560" s="223"/>
      <c r="D560" s="223"/>
      <c r="E560" s="223"/>
      <c r="F560" s="223"/>
      <c r="G560" s="223"/>
      <c r="H560" s="223"/>
      <c r="I560" s="223"/>
      <c r="J560" s="223"/>
      <c r="K560" s="320"/>
      <c r="L560" s="320"/>
      <c r="M560" s="223"/>
      <c r="N560" s="223"/>
      <c r="O560" s="223"/>
      <c r="P560" s="223"/>
      <c r="Q560" s="223"/>
      <c r="R560" s="223"/>
      <c r="S560" s="223"/>
      <c r="T560" s="223"/>
      <c r="U560" s="223"/>
      <c r="V560" s="223"/>
      <c r="W560" s="223"/>
    </row>
    <row r="561">
      <c r="A561" s="223"/>
      <c r="B561" s="223"/>
      <c r="C561" s="223"/>
      <c r="D561" s="223"/>
      <c r="E561" s="223"/>
      <c r="F561" s="223"/>
      <c r="G561" s="223"/>
      <c r="H561" s="223"/>
      <c r="I561" s="223"/>
      <c r="J561" s="223"/>
      <c r="K561" s="320"/>
      <c r="L561" s="320"/>
      <c r="M561" s="223"/>
      <c r="N561" s="223"/>
      <c r="O561" s="223"/>
      <c r="P561" s="223"/>
      <c r="Q561" s="223"/>
      <c r="R561" s="223"/>
      <c r="S561" s="223"/>
      <c r="T561" s="223"/>
      <c r="U561" s="223"/>
      <c r="V561" s="223"/>
      <c r="W561" s="223"/>
    </row>
    <row r="562">
      <c r="A562" s="223"/>
      <c r="B562" s="223"/>
      <c r="C562" s="223"/>
      <c r="D562" s="223"/>
      <c r="E562" s="223"/>
      <c r="F562" s="223"/>
      <c r="G562" s="223"/>
      <c r="H562" s="223"/>
      <c r="I562" s="223"/>
      <c r="J562" s="223"/>
      <c r="K562" s="320"/>
      <c r="L562" s="320"/>
      <c r="M562" s="223"/>
      <c r="N562" s="223"/>
      <c r="O562" s="223"/>
      <c r="P562" s="223"/>
      <c r="Q562" s="223"/>
      <c r="R562" s="223"/>
      <c r="S562" s="223"/>
      <c r="T562" s="223"/>
      <c r="U562" s="223"/>
      <c r="V562" s="223"/>
      <c r="W562" s="223"/>
    </row>
    <row r="563">
      <c r="A563" s="223"/>
      <c r="B563" s="223"/>
      <c r="C563" s="223"/>
      <c r="D563" s="223"/>
      <c r="E563" s="223"/>
      <c r="F563" s="223"/>
      <c r="G563" s="223"/>
      <c r="H563" s="223"/>
      <c r="I563" s="223"/>
      <c r="J563" s="223"/>
      <c r="K563" s="320"/>
      <c r="L563" s="320"/>
      <c r="M563" s="223"/>
      <c r="N563" s="223"/>
      <c r="O563" s="223"/>
      <c r="P563" s="223"/>
      <c r="Q563" s="223"/>
      <c r="R563" s="223"/>
      <c r="S563" s="223"/>
      <c r="T563" s="223"/>
      <c r="U563" s="223"/>
      <c r="V563" s="223"/>
      <c r="W563" s="223"/>
    </row>
    <row r="564">
      <c r="A564" s="223"/>
      <c r="B564" s="223"/>
      <c r="C564" s="223"/>
      <c r="D564" s="223"/>
      <c r="E564" s="223"/>
      <c r="F564" s="223"/>
      <c r="G564" s="223"/>
      <c r="H564" s="223"/>
      <c r="I564" s="223"/>
      <c r="J564" s="223"/>
      <c r="K564" s="320"/>
      <c r="L564" s="320"/>
      <c r="M564" s="223"/>
      <c r="N564" s="223"/>
      <c r="O564" s="223"/>
      <c r="P564" s="223"/>
      <c r="Q564" s="223"/>
      <c r="R564" s="223"/>
      <c r="S564" s="223"/>
      <c r="T564" s="223"/>
      <c r="U564" s="223"/>
      <c r="V564" s="223"/>
      <c r="W564" s="223"/>
    </row>
    <row r="565">
      <c r="A565" s="223"/>
      <c r="B565" s="223"/>
      <c r="C565" s="223"/>
      <c r="D565" s="223"/>
      <c r="E565" s="223"/>
      <c r="F565" s="223"/>
      <c r="G565" s="223"/>
      <c r="H565" s="223"/>
      <c r="I565" s="223"/>
      <c r="J565" s="223"/>
      <c r="K565" s="320"/>
      <c r="L565" s="320"/>
      <c r="M565" s="223"/>
      <c r="N565" s="223"/>
      <c r="O565" s="223"/>
      <c r="P565" s="223"/>
      <c r="Q565" s="223"/>
      <c r="R565" s="223"/>
      <c r="S565" s="223"/>
      <c r="T565" s="223"/>
      <c r="U565" s="223"/>
      <c r="V565" s="223"/>
      <c r="W565" s="223"/>
    </row>
    <row r="566">
      <c r="A566" s="223"/>
      <c r="B566" s="223"/>
      <c r="C566" s="223"/>
      <c r="D566" s="223"/>
      <c r="E566" s="223"/>
      <c r="F566" s="223"/>
      <c r="G566" s="223"/>
      <c r="H566" s="223"/>
      <c r="I566" s="223"/>
      <c r="J566" s="223"/>
      <c r="K566" s="320"/>
      <c r="L566" s="320"/>
      <c r="M566" s="223"/>
      <c r="N566" s="223"/>
      <c r="O566" s="223"/>
      <c r="P566" s="223"/>
      <c r="Q566" s="223"/>
      <c r="R566" s="223"/>
      <c r="S566" s="223"/>
      <c r="T566" s="223"/>
      <c r="U566" s="223"/>
      <c r="V566" s="223"/>
      <c r="W566" s="223"/>
    </row>
    <row r="567">
      <c r="A567" s="223"/>
      <c r="B567" s="223"/>
      <c r="C567" s="223"/>
      <c r="D567" s="223"/>
      <c r="E567" s="223"/>
      <c r="F567" s="223"/>
      <c r="G567" s="223"/>
      <c r="H567" s="223"/>
      <c r="I567" s="223"/>
      <c r="J567" s="223"/>
      <c r="K567" s="320"/>
      <c r="L567" s="320"/>
      <c r="M567" s="223"/>
      <c r="N567" s="223"/>
      <c r="O567" s="223"/>
      <c r="P567" s="223"/>
      <c r="Q567" s="223"/>
      <c r="R567" s="223"/>
      <c r="S567" s="223"/>
      <c r="T567" s="223"/>
      <c r="U567" s="223"/>
      <c r="V567" s="223"/>
      <c r="W567" s="223"/>
    </row>
    <row r="568">
      <c r="A568" s="223"/>
      <c r="B568" s="223"/>
      <c r="C568" s="223"/>
      <c r="D568" s="223"/>
      <c r="E568" s="223"/>
      <c r="F568" s="223"/>
      <c r="G568" s="223"/>
      <c r="H568" s="223"/>
      <c r="I568" s="223"/>
      <c r="J568" s="223"/>
      <c r="K568" s="320"/>
      <c r="L568" s="320"/>
      <c r="M568" s="223"/>
      <c r="N568" s="223"/>
      <c r="O568" s="223"/>
      <c r="P568" s="223"/>
      <c r="Q568" s="223"/>
      <c r="R568" s="223"/>
      <c r="S568" s="223"/>
      <c r="T568" s="223"/>
      <c r="U568" s="223"/>
      <c r="V568" s="223"/>
      <c r="W568" s="223"/>
    </row>
    <row r="569">
      <c r="A569" s="223"/>
      <c r="B569" s="223"/>
      <c r="C569" s="223"/>
      <c r="D569" s="223"/>
      <c r="E569" s="223"/>
      <c r="F569" s="223"/>
      <c r="G569" s="223"/>
      <c r="H569" s="223"/>
      <c r="I569" s="223"/>
      <c r="J569" s="223"/>
      <c r="K569" s="320"/>
      <c r="L569" s="320"/>
      <c r="M569" s="223"/>
      <c r="N569" s="223"/>
      <c r="O569" s="223"/>
      <c r="P569" s="223"/>
      <c r="Q569" s="223"/>
      <c r="R569" s="223"/>
      <c r="S569" s="223"/>
      <c r="T569" s="223"/>
      <c r="U569" s="223"/>
      <c r="V569" s="223"/>
      <c r="W569" s="223"/>
    </row>
    <row r="570">
      <c r="A570" s="223"/>
      <c r="B570" s="223"/>
      <c r="C570" s="223"/>
      <c r="D570" s="223"/>
      <c r="E570" s="223"/>
      <c r="F570" s="223"/>
      <c r="G570" s="223"/>
      <c r="H570" s="223"/>
      <c r="I570" s="223"/>
      <c r="J570" s="223"/>
      <c r="K570" s="320"/>
      <c r="L570" s="320"/>
      <c r="M570" s="223"/>
      <c r="N570" s="223"/>
      <c r="O570" s="223"/>
      <c r="P570" s="223"/>
      <c r="Q570" s="223"/>
      <c r="R570" s="223"/>
      <c r="S570" s="223"/>
      <c r="T570" s="223"/>
      <c r="U570" s="223"/>
      <c r="V570" s="223"/>
      <c r="W570" s="223"/>
    </row>
    <row r="571">
      <c r="A571" s="223"/>
      <c r="B571" s="223"/>
      <c r="C571" s="223"/>
      <c r="D571" s="223"/>
      <c r="E571" s="223"/>
      <c r="F571" s="223"/>
      <c r="G571" s="223"/>
      <c r="H571" s="223"/>
      <c r="I571" s="223"/>
      <c r="J571" s="223"/>
      <c r="K571" s="320"/>
      <c r="L571" s="320"/>
      <c r="M571" s="223"/>
      <c r="N571" s="223"/>
      <c r="O571" s="223"/>
      <c r="P571" s="223"/>
      <c r="Q571" s="223"/>
      <c r="R571" s="223"/>
      <c r="S571" s="223"/>
      <c r="T571" s="223"/>
      <c r="U571" s="223"/>
      <c r="V571" s="223"/>
      <c r="W571" s="223"/>
    </row>
    <row r="572">
      <c r="A572" s="223"/>
      <c r="B572" s="223"/>
      <c r="C572" s="223"/>
      <c r="D572" s="223"/>
      <c r="E572" s="223"/>
      <c r="F572" s="223"/>
      <c r="G572" s="223"/>
      <c r="H572" s="223"/>
      <c r="I572" s="223"/>
      <c r="J572" s="223"/>
      <c r="K572" s="320"/>
      <c r="L572" s="320"/>
      <c r="M572" s="223"/>
      <c r="N572" s="223"/>
      <c r="O572" s="223"/>
      <c r="P572" s="223"/>
      <c r="Q572" s="223"/>
      <c r="R572" s="223"/>
      <c r="S572" s="223"/>
      <c r="T572" s="223"/>
      <c r="U572" s="223"/>
      <c r="V572" s="223"/>
      <c r="W572" s="223"/>
    </row>
    <row r="573">
      <c r="A573" s="223"/>
      <c r="B573" s="223"/>
      <c r="C573" s="223"/>
      <c r="D573" s="223"/>
      <c r="E573" s="223"/>
      <c r="F573" s="223"/>
      <c r="G573" s="223"/>
      <c r="H573" s="223"/>
      <c r="I573" s="223"/>
      <c r="J573" s="223"/>
      <c r="K573" s="320"/>
      <c r="L573" s="320"/>
      <c r="M573" s="223"/>
      <c r="N573" s="223"/>
      <c r="O573" s="223"/>
      <c r="P573" s="223"/>
      <c r="Q573" s="223"/>
      <c r="R573" s="223"/>
      <c r="S573" s="223"/>
      <c r="T573" s="223"/>
      <c r="U573" s="223"/>
      <c r="V573" s="223"/>
      <c r="W573" s="223"/>
    </row>
    <row r="574">
      <c r="A574" s="223"/>
      <c r="B574" s="223"/>
      <c r="C574" s="223"/>
      <c r="D574" s="223"/>
      <c r="E574" s="223"/>
      <c r="F574" s="223"/>
      <c r="G574" s="223"/>
      <c r="H574" s="223"/>
      <c r="I574" s="223"/>
      <c r="J574" s="223"/>
      <c r="K574" s="320"/>
      <c r="L574" s="320"/>
      <c r="M574" s="223"/>
      <c r="N574" s="223"/>
      <c r="O574" s="223"/>
      <c r="P574" s="223"/>
      <c r="Q574" s="223"/>
      <c r="R574" s="223"/>
      <c r="S574" s="223"/>
      <c r="T574" s="223"/>
      <c r="U574" s="223"/>
      <c r="V574" s="223"/>
      <c r="W574" s="223"/>
    </row>
    <row r="575">
      <c r="A575" s="223"/>
      <c r="B575" s="223"/>
      <c r="C575" s="223"/>
      <c r="D575" s="223"/>
      <c r="E575" s="223"/>
      <c r="F575" s="223"/>
      <c r="G575" s="223"/>
      <c r="H575" s="223"/>
      <c r="I575" s="223"/>
      <c r="J575" s="223"/>
      <c r="K575" s="320"/>
      <c r="L575" s="320"/>
      <c r="M575" s="223"/>
      <c r="N575" s="223"/>
      <c r="O575" s="223"/>
      <c r="P575" s="223"/>
      <c r="Q575" s="223"/>
      <c r="R575" s="223"/>
      <c r="S575" s="223"/>
      <c r="T575" s="223"/>
      <c r="U575" s="223"/>
      <c r="V575" s="223"/>
      <c r="W575" s="223"/>
    </row>
    <row r="576">
      <c r="A576" s="223"/>
      <c r="B576" s="223"/>
      <c r="C576" s="223"/>
      <c r="D576" s="223"/>
      <c r="E576" s="223"/>
      <c r="F576" s="223"/>
      <c r="G576" s="223"/>
      <c r="H576" s="223"/>
      <c r="I576" s="223"/>
      <c r="J576" s="223"/>
      <c r="K576" s="320"/>
      <c r="L576" s="320"/>
      <c r="M576" s="223"/>
      <c r="N576" s="223"/>
      <c r="O576" s="223"/>
      <c r="P576" s="223"/>
      <c r="Q576" s="223"/>
      <c r="R576" s="223"/>
      <c r="S576" s="223"/>
      <c r="T576" s="223"/>
      <c r="U576" s="223"/>
      <c r="V576" s="223"/>
      <c r="W576" s="223"/>
    </row>
    <row r="577">
      <c r="A577" s="223"/>
      <c r="B577" s="223"/>
      <c r="C577" s="223"/>
      <c r="D577" s="223"/>
      <c r="E577" s="223"/>
      <c r="F577" s="223"/>
      <c r="G577" s="223"/>
      <c r="H577" s="223"/>
      <c r="I577" s="223"/>
      <c r="J577" s="223"/>
      <c r="K577" s="320"/>
      <c r="L577" s="320"/>
      <c r="M577" s="223"/>
      <c r="N577" s="223"/>
      <c r="O577" s="223"/>
      <c r="P577" s="223"/>
      <c r="Q577" s="223"/>
      <c r="R577" s="223"/>
      <c r="S577" s="223"/>
      <c r="T577" s="223"/>
      <c r="U577" s="223"/>
      <c r="V577" s="223"/>
      <c r="W577" s="223"/>
    </row>
    <row r="578">
      <c r="A578" s="223"/>
      <c r="B578" s="223"/>
      <c r="C578" s="223"/>
      <c r="D578" s="223"/>
      <c r="E578" s="223"/>
      <c r="F578" s="223"/>
      <c r="G578" s="223"/>
      <c r="H578" s="223"/>
      <c r="I578" s="223"/>
      <c r="J578" s="223"/>
      <c r="K578" s="320"/>
      <c r="L578" s="320"/>
      <c r="M578" s="223"/>
      <c r="N578" s="223"/>
      <c r="O578" s="223"/>
      <c r="P578" s="223"/>
      <c r="Q578" s="223"/>
      <c r="R578" s="223"/>
      <c r="S578" s="223"/>
      <c r="T578" s="223"/>
      <c r="U578" s="223"/>
      <c r="V578" s="223"/>
      <c r="W578" s="223"/>
    </row>
    <row r="579">
      <c r="A579" s="223"/>
      <c r="B579" s="223"/>
      <c r="C579" s="223"/>
      <c r="D579" s="223"/>
      <c r="E579" s="223"/>
      <c r="F579" s="223"/>
      <c r="G579" s="223"/>
      <c r="H579" s="223"/>
      <c r="I579" s="223"/>
      <c r="J579" s="223"/>
      <c r="K579" s="320"/>
      <c r="L579" s="320"/>
      <c r="M579" s="223"/>
      <c r="N579" s="223"/>
      <c r="O579" s="223"/>
      <c r="P579" s="223"/>
      <c r="Q579" s="223"/>
      <c r="R579" s="223"/>
      <c r="S579" s="223"/>
      <c r="T579" s="223"/>
      <c r="U579" s="223"/>
      <c r="V579" s="223"/>
      <c r="W579" s="223"/>
    </row>
    <row r="580">
      <c r="A580" s="223"/>
      <c r="B580" s="223"/>
      <c r="C580" s="223"/>
      <c r="D580" s="223"/>
      <c r="E580" s="223"/>
      <c r="F580" s="223"/>
      <c r="G580" s="223"/>
      <c r="H580" s="223"/>
      <c r="I580" s="223"/>
      <c r="J580" s="223"/>
      <c r="K580" s="320"/>
      <c r="L580" s="320"/>
      <c r="M580" s="223"/>
      <c r="N580" s="223"/>
      <c r="O580" s="223"/>
      <c r="P580" s="223"/>
      <c r="Q580" s="223"/>
      <c r="R580" s="223"/>
      <c r="S580" s="223"/>
      <c r="T580" s="223"/>
      <c r="U580" s="223"/>
      <c r="V580" s="223"/>
      <c r="W580" s="223"/>
    </row>
    <row r="581">
      <c r="A581" s="223"/>
      <c r="B581" s="223"/>
      <c r="C581" s="223"/>
      <c r="D581" s="223"/>
      <c r="E581" s="223"/>
      <c r="F581" s="223"/>
      <c r="G581" s="223"/>
      <c r="H581" s="223"/>
      <c r="I581" s="223"/>
      <c r="J581" s="223"/>
      <c r="K581" s="320"/>
      <c r="L581" s="320"/>
      <c r="M581" s="223"/>
      <c r="N581" s="223"/>
      <c r="O581" s="223"/>
      <c r="P581" s="223"/>
      <c r="Q581" s="223"/>
      <c r="R581" s="223"/>
      <c r="S581" s="223"/>
      <c r="T581" s="223"/>
      <c r="U581" s="223"/>
      <c r="V581" s="223"/>
      <c r="W581" s="223"/>
    </row>
    <row r="582">
      <c r="A582" s="223"/>
      <c r="B582" s="223"/>
      <c r="C582" s="223"/>
      <c r="D582" s="223"/>
      <c r="E582" s="223"/>
      <c r="F582" s="223"/>
      <c r="G582" s="223"/>
      <c r="H582" s="223"/>
      <c r="I582" s="223"/>
      <c r="J582" s="223"/>
      <c r="K582" s="320"/>
      <c r="L582" s="320"/>
      <c r="M582" s="223"/>
      <c r="N582" s="223"/>
      <c r="O582" s="223"/>
      <c r="P582" s="223"/>
      <c r="Q582" s="223"/>
      <c r="R582" s="223"/>
      <c r="S582" s="223"/>
      <c r="T582" s="223"/>
      <c r="U582" s="223"/>
      <c r="V582" s="223"/>
      <c r="W582" s="223"/>
    </row>
    <row r="583">
      <c r="A583" s="223"/>
      <c r="B583" s="223"/>
      <c r="C583" s="223"/>
      <c r="D583" s="223"/>
      <c r="E583" s="223"/>
      <c r="F583" s="223"/>
      <c r="G583" s="223"/>
      <c r="H583" s="223"/>
      <c r="I583" s="223"/>
      <c r="J583" s="223"/>
      <c r="K583" s="320"/>
      <c r="L583" s="320"/>
      <c r="M583" s="223"/>
      <c r="N583" s="223"/>
      <c r="O583" s="223"/>
      <c r="P583" s="223"/>
      <c r="Q583" s="223"/>
      <c r="R583" s="223"/>
      <c r="S583" s="223"/>
      <c r="T583" s="223"/>
      <c r="U583" s="223"/>
      <c r="V583" s="223"/>
      <c r="W583" s="223"/>
    </row>
    <row r="584">
      <c r="A584" s="223"/>
      <c r="B584" s="223"/>
      <c r="C584" s="223"/>
      <c r="D584" s="223"/>
      <c r="E584" s="223"/>
      <c r="F584" s="223"/>
      <c r="G584" s="223"/>
      <c r="H584" s="223"/>
      <c r="I584" s="223"/>
      <c r="J584" s="223"/>
      <c r="K584" s="320"/>
      <c r="L584" s="320"/>
      <c r="M584" s="223"/>
      <c r="N584" s="223"/>
      <c r="O584" s="223"/>
      <c r="P584" s="223"/>
      <c r="Q584" s="223"/>
      <c r="R584" s="223"/>
      <c r="S584" s="223"/>
      <c r="T584" s="223"/>
      <c r="U584" s="223"/>
      <c r="V584" s="223"/>
      <c r="W584" s="223"/>
    </row>
    <row r="585">
      <c r="A585" s="223"/>
      <c r="B585" s="223"/>
      <c r="C585" s="223"/>
      <c r="D585" s="223"/>
      <c r="E585" s="223"/>
      <c r="F585" s="223"/>
      <c r="G585" s="223"/>
      <c r="H585" s="223"/>
      <c r="I585" s="223"/>
      <c r="J585" s="223"/>
      <c r="K585" s="320"/>
      <c r="L585" s="320"/>
      <c r="M585" s="223"/>
      <c r="N585" s="223"/>
      <c r="O585" s="223"/>
      <c r="P585" s="223"/>
      <c r="Q585" s="223"/>
      <c r="R585" s="223"/>
      <c r="S585" s="223"/>
      <c r="T585" s="223"/>
      <c r="U585" s="223"/>
      <c r="V585" s="223"/>
      <c r="W585" s="223"/>
    </row>
    <row r="586">
      <c r="A586" s="223"/>
      <c r="B586" s="223"/>
      <c r="C586" s="223"/>
      <c r="D586" s="223"/>
      <c r="E586" s="223"/>
      <c r="F586" s="223"/>
      <c r="G586" s="223"/>
      <c r="H586" s="223"/>
      <c r="I586" s="223"/>
      <c r="J586" s="223"/>
      <c r="K586" s="320"/>
      <c r="L586" s="320"/>
      <c r="M586" s="223"/>
      <c r="N586" s="223"/>
      <c r="O586" s="223"/>
      <c r="P586" s="223"/>
      <c r="Q586" s="223"/>
      <c r="R586" s="223"/>
      <c r="S586" s="223"/>
      <c r="T586" s="223"/>
      <c r="U586" s="223"/>
      <c r="V586" s="223"/>
      <c r="W586" s="223"/>
    </row>
    <row r="587">
      <c r="A587" s="223"/>
      <c r="B587" s="223"/>
      <c r="C587" s="223"/>
      <c r="D587" s="223"/>
      <c r="E587" s="223"/>
      <c r="F587" s="223"/>
      <c r="G587" s="223"/>
      <c r="H587" s="223"/>
      <c r="I587" s="223"/>
      <c r="J587" s="223"/>
      <c r="K587" s="320"/>
      <c r="L587" s="320"/>
      <c r="M587" s="223"/>
      <c r="N587" s="223"/>
      <c r="O587" s="223"/>
      <c r="P587" s="223"/>
      <c r="Q587" s="223"/>
      <c r="R587" s="223"/>
      <c r="S587" s="223"/>
      <c r="T587" s="223"/>
      <c r="U587" s="223"/>
      <c r="V587" s="223"/>
      <c r="W587" s="223"/>
    </row>
    <row r="588">
      <c r="A588" s="223"/>
      <c r="B588" s="223"/>
      <c r="C588" s="223"/>
      <c r="D588" s="223"/>
      <c r="E588" s="223"/>
      <c r="F588" s="223"/>
      <c r="G588" s="223"/>
      <c r="H588" s="223"/>
      <c r="I588" s="223"/>
      <c r="J588" s="223"/>
      <c r="K588" s="320"/>
      <c r="L588" s="320"/>
      <c r="M588" s="223"/>
      <c r="N588" s="223"/>
      <c r="O588" s="223"/>
      <c r="P588" s="223"/>
      <c r="Q588" s="223"/>
      <c r="R588" s="223"/>
      <c r="S588" s="223"/>
      <c r="T588" s="223"/>
      <c r="U588" s="223"/>
      <c r="V588" s="223"/>
      <c r="W588" s="223"/>
    </row>
    <row r="589">
      <c r="A589" s="223"/>
      <c r="B589" s="223"/>
      <c r="C589" s="223"/>
      <c r="D589" s="223"/>
      <c r="E589" s="223"/>
      <c r="F589" s="223"/>
      <c r="G589" s="223"/>
      <c r="H589" s="223"/>
      <c r="I589" s="223"/>
      <c r="J589" s="223"/>
      <c r="K589" s="320"/>
      <c r="L589" s="320"/>
      <c r="M589" s="223"/>
      <c r="N589" s="223"/>
      <c r="O589" s="223"/>
      <c r="P589" s="223"/>
      <c r="Q589" s="223"/>
      <c r="R589" s="223"/>
      <c r="S589" s="223"/>
      <c r="T589" s="223"/>
      <c r="U589" s="223"/>
      <c r="V589" s="223"/>
      <c r="W589" s="223"/>
    </row>
    <row r="590">
      <c r="A590" s="223"/>
      <c r="B590" s="223"/>
      <c r="C590" s="223"/>
      <c r="D590" s="223"/>
      <c r="E590" s="223"/>
      <c r="F590" s="223"/>
      <c r="G590" s="223"/>
      <c r="H590" s="223"/>
      <c r="I590" s="223"/>
      <c r="J590" s="223"/>
      <c r="K590" s="320"/>
      <c r="L590" s="320"/>
      <c r="M590" s="223"/>
      <c r="N590" s="223"/>
      <c r="O590" s="223"/>
      <c r="P590" s="223"/>
      <c r="Q590" s="223"/>
      <c r="R590" s="223"/>
      <c r="S590" s="223"/>
      <c r="T590" s="223"/>
      <c r="U590" s="223"/>
      <c r="V590" s="223"/>
      <c r="W590" s="223"/>
    </row>
    <row r="591">
      <c r="A591" s="223"/>
      <c r="B591" s="223"/>
      <c r="C591" s="223"/>
      <c r="D591" s="223"/>
      <c r="E591" s="223"/>
      <c r="F591" s="223"/>
      <c r="G591" s="223"/>
      <c r="H591" s="223"/>
      <c r="I591" s="223"/>
      <c r="J591" s="223"/>
      <c r="K591" s="320"/>
      <c r="L591" s="320"/>
      <c r="M591" s="223"/>
      <c r="N591" s="223"/>
      <c r="O591" s="223"/>
      <c r="P591" s="223"/>
      <c r="Q591" s="223"/>
      <c r="R591" s="223"/>
      <c r="S591" s="223"/>
      <c r="T591" s="223"/>
      <c r="U591" s="223"/>
      <c r="V591" s="223"/>
      <c r="W591" s="223"/>
    </row>
    <row r="592">
      <c r="A592" s="223"/>
      <c r="B592" s="223"/>
      <c r="C592" s="223"/>
      <c r="D592" s="223"/>
      <c r="E592" s="223"/>
      <c r="F592" s="223"/>
      <c r="G592" s="223"/>
      <c r="H592" s="223"/>
      <c r="I592" s="223"/>
      <c r="J592" s="223"/>
      <c r="K592" s="320"/>
      <c r="L592" s="320"/>
      <c r="M592" s="223"/>
      <c r="N592" s="223"/>
      <c r="O592" s="223"/>
      <c r="P592" s="223"/>
      <c r="Q592" s="223"/>
      <c r="R592" s="223"/>
      <c r="S592" s="223"/>
      <c r="T592" s="223"/>
      <c r="U592" s="223"/>
      <c r="V592" s="223"/>
      <c r="W592" s="223"/>
    </row>
    <row r="593">
      <c r="A593" s="223"/>
      <c r="B593" s="223"/>
      <c r="C593" s="223"/>
      <c r="D593" s="223"/>
      <c r="E593" s="223"/>
      <c r="F593" s="223"/>
      <c r="G593" s="223"/>
      <c r="H593" s="223"/>
      <c r="I593" s="223"/>
      <c r="J593" s="223"/>
      <c r="K593" s="320"/>
      <c r="L593" s="320"/>
      <c r="M593" s="223"/>
      <c r="N593" s="223"/>
      <c r="O593" s="223"/>
      <c r="P593" s="223"/>
      <c r="Q593" s="223"/>
      <c r="R593" s="223"/>
      <c r="S593" s="223"/>
      <c r="T593" s="223"/>
      <c r="U593" s="223"/>
      <c r="V593" s="223"/>
      <c r="W593" s="223"/>
    </row>
    <row r="594">
      <c r="A594" s="223"/>
      <c r="B594" s="223"/>
      <c r="C594" s="223"/>
      <c r="D594" s="223"/>
      <c r="E594" s="223"/>
      <c r="F594" s="223"/>
      <c r="G594" s="223"/>
      <c r="H594" s="223"/>
      <c r="I594" s="223"/>
      <c r="J594" s="223"/>
      <c r="K594" s="320"/>
      <c r="L594" s="320"/>
      <c r="M594" s="223"/>
      <c r="N594" s="223"/>
      <c r="O594" s="223"/>
      <c r="P594" s="223"/>
      <c r="Q594" s="223"/>
      <c r="R594" s="223"/>
      <c r="S594" s="223"/>
      <c r="T594" s="223"/>
      <c r="U594" s="223"/>
      <c r="V594" s="223"/>
      <c r="W594" s="223"/>
    </row>
    <row r="595">
      <c r="A595" s="223"/>
      <c r="B595" s="223"/>
      <c r="C595" s="223"/>
      <c r="D595" s="223"/>
      <c r="E595" s="223"/>
      <c r="F595" s="223"/>
      <c r="G595" s="223"/>
      <c r="H595" s="223"/>
      <c r="I595" s="223"/>
      <c r="J595" s="223"/>
      <c r="K595" s="320"/>
      <c r="L595" s="320"/>
      <c r="M595" s="223"/>
      <c r="N595" s="223"/>
      <c r="O595" s="223"/>
      <c r="P595" s="223"/>
      <c r="Q595" s="223"/>
      <c r="R595" s="223"/>
      <c r="S595" s="223"/>
      <c r="T595" s="223"/>
      <c r="U595" s="223"/>
      <c r="V595" s="223"/>
      <c r="W595" s="223"/>
    </row>
    <row r="596">
      <c r="A596" s="223"/>
      <c r="B596" s="223"/>
      <c r="C596" s="223"/>
      <c r="D596" s="223"/>
      <c r="E596" s="223"/>
      <c r="F596" s="223"/>
      <c r="G596" s="223"/>
      <c r="H596" s="223"/>
      <c r="I596" s="223"/>
      <c r="J596" s="223"/>
      <c r="K596" s="320"/>
      <c r="L596" s="320"/>
      <c r="M596" s="223"/>
      <c r="N596" s="223"/>
      <c r="O596" s="223"/>
      <c r="P596" s="223"/>
      <c r="Q596" s="223"/>
      <c r="R596" s="223"/>
      <c r="S596" s="223"/>
      <c r="T596" s="223"/>
      <c r="U596" s="223"/>
      <c r="V596" s="223"/>
      <c r="W596" s="223"/>
    </row>
    <row r="597">
      <c r="A597" s="223"/>
      <c r="B597" s="223"/>
      <c r="C597" s="223"/>
      <c r="D597" s="223"/>
      <c r="E597" s="223"/>
      <c r="F597" s="223"/>
      <c r="G597" s="223"/>
      <c r="H597" s="223"/>
      <c r="I597" s="223"/>
      <c r="J597" s="223"/>
      <c r="K597" s="320"/>
      <c r="L597" s="320"/>
      <c r="M597" s="223"/>
      <c r="N597" s="223"/>
      <c r="O597" s="223"/>
      <c r="P597" s="223"/>
      <c r="Q597" s="223"/>
      <c r="R597" s="223"/>
      <c r="S597" s="223"/>
      <c r="T597" s="223"/>
      <c r="U597" s="223"/>
      <c r="V597" s="223"/>
      <c r="W597" s="223"/>
    </row>
    <row r="598">
      <c r="A598" s="223"/>
      <c r="B598" s="223"/>
      <c r="C598" s="223"/>
      <c r="D598" s="223"/>
      <c r="E598" s="223"/>
      <c r="F598" s="223"/>
      <c r="G598" s="223"/>
      <c r="H598" s="223"/>
      <c r="I598" s="223"/>
      <c r="J598" s="223"/>
      <c r="K598" s="320"/>
      <c r="L598" s="320"/>
      <c r="M598" s="223"/>
      <c r="N598" s="223"/>
      <c r="O598" s="223"/>
      <c r="P598" s="223"/>
      <c r="Q598" s="223"/>
      <c r="R598" s="223"/>
      <c r="S598" s="223"/>
      <c r="T598" s="223"/>
      <c r="U598" s="223"/>
      <c r="V598" s="223"/>
      <c r="W598" s="223"/>
    </row>
    <row r="599">
      <c r="A599" s="223"/>
      <c r="B599" s="223"/>
      <c r="C599" s="223"/>
      <c r="D599" s="223"/>
      <c r="E599" s="223"/>
      <c r="F599" s="223"/>
      <c r="G599" s="223"/>
      <c r="H599" s="223"/>
      <c r="I599" s="223"/>
      <c r="J599" s="223"/>
      <c r="K599" s="320"/>
      <c r="L599" s="320"/>
      <c r="M599" s="223"/>
      <c r="N599" s="223"/>
      <c r="O599" s="223"/>
      <c r="P599" s="223"/>
      <c r="Q599" s="223"/>
      <c r="R599" s="223"/>
      <c r="S599" s="223"/>
      <c r="T599" s="223"/>
      <c r="U599" s="223"/>
      <c r="V599" s="223"/>
      <c r="W599" s="223"/>
    </row>
    <row r="600">
      <c r="A600" s="223"/>
      <c r="B600" s="223"/>
      <c r="C600" s="223"/>
      <c r="D600" s="223"/>
      <c r="E600" s="223"/>
      <c r="F600" s="223"/>
      <c r="G600" s="223"/>
      <c r="H600" s="223"/>
      <c r="I600" s="223"/>
      <c r="J600" s="223"/>
      <c r="K600" s="320"/>
      <c r="L600" s="320"/>
      <c r="M600" s="223"/>
      <c r="N600" s="223"/>
      <c r="O600" s="223"/>
      <c r="P600" s="223"/>
      <c r="Q600" s="223"/>
      <c r="R600" s="223"/>
      <c r="S600" s="223"/>
      <c r="T600" s="223"/>
      <c r="U600" s="223"/>
      <c r="V600" s="223"/>
      <c r="W600" s="223"/>
    </row>
    <row r="601">
      <c r="A601" s="223"/>
      <c r="B601" s="223"/>
      <c r="C601" s="223"/>
      <c r="D601" s="223"/>
      <c r="E601" s="223"/>
      <c r="F601" s="223"/>
      <c r="G601" s="223"/>
      <c r="H601" s="223"/>
      <c r="I601" s="223"/>
      <c r="J601" s="223"/>
      <c r="K601" s="320"/>
      <c r="L601" s="320"/>
      <c r="M601" s="223"/>
      <c r="N601" s="223"/>
      <c r="O601" s="223"/>
      <c r="P601" s="223"/>
      <c r="Q601" s="223"/>
      <c r="R601" s="223"/>
      <c r="S601" s="223"/>
      <c r="T601" s="223"/>
      <c r="U601" s="223"/>
      <c r="V601" s="223"/>
      <c r="W601" s="223"/>
    </row>
    <row r="602">
      <c r="A602" s="223"/>
      <c r="B602" s="223"/>
      <c r="C602" s="223"/>
      <c r="D602" s="223"/>
      <c r="E602" s="223"/>
      <c r="F602" s="223"/>
      <c r="G602" s="223"/>
      <c r="H602" s="223"/>
      <c r="I602" s="223"/>
      <c r="J602" s="223"/>
      <c r="K602" s="320"/>
      <c r="L602" s="320"/>
      <c r="M602" s="223"/>
      <c r="N602" s="223"/>
      <c r="O602" s="223"/>
      <c r="P602" s="223"/>
      <c r="Q602" s="223"/>
      <c r="R602" s="223"/>
      <c r="S602" s="223"/>
      <c r="T602" s="223"/>
      <c r="U602" s="223"/>
      <c r="V602" s="223"/>
      <c r="W602" s="223"/>
    </row>
    <row r="603">
      <c r="A603" s="223"/>
      <c r="B603" s="223"/>
      <c r="C603" s="223"/>
      <c r="D603" s="223"/>
      <c r="E603" s="223"/>
      <c r="F603" s="223"/>
      <c r="G603" s="223"/>
      <c r="H603" s="223"/>
      <c r="I603" s="223"/>
      <c r="J603" s="223"/>
      <c r="K603" s="320"/>
      <c r="L603" s="320"/>
      <c r="M603" s="223"/>
      <c r="N603" s="223"/>
      <c r="O603" s="223"/>
      <c r="P603" s="223"/>
      <c r="Q603" s="223"/>
      <c r="R603" s="223"/>
      <c r="S603" s="223"/>
      <c r="T603" s="223"/>
      <c r="U603" s="223"/>
      <c r="V603" s="223"/>
      <c r="W603" s="223"/>
    </row>
    <row r="604">
      <c r="A604" s="223"/>
      <c r="B604" s="223"/>
      <c r="C604" s="223"/>
      <c r="D604" s="223"/>
      <c r="E604" s="223"/>
      <c r="F604" s="223"/>
      <c r="G604" s="223"/>
      <c r="H604" s="223"/>
      <c r="I604" s="223"/>
      <c r="J604" s="223"/>
      <c r="K604" s="320"/>
      <c r="L604" s="320"/>
      <c r="M604" s="223"/>
      <c r="N604" s="223"/>
      <c r="O604" s="223"/>
      <c r="P604" s="223"/>
      <c r="Q604" s="223"/>
      <c r="R604" s="223"/>
      <c r="S604" s="223"/>
      <c r="T604" s="223"/>
      <c r="U604" s="223"/>
      <c r="V604" s="223"/>
      <c r="W604" s="223"/>
    </row>
    <row r="605">
      <c r="A605" s="223"/>
      <c r="B605" s="223"/>
      <c r="C605" s="223"/>
      <c r="D605" s="223"/>
      <c r="E605" s="223"/>
      <c r="F605" s="223"/>
      <c r="G605" s="223"/>
      <c r="H605" s="223"/>
      <c r="I605" s="223"/>
      <c r="J605" s="223"/>
      <c r="K605" s="320"/>
      <c r="L605" s="320"/>
      <c r="M605" s="223"/>
      <c r="N605" s="223"/>
      <c r="O605" s="223"/>
      <c r="P605" s="223"/>
      <c r="Q605" s="223"/>
      <c r="R605" s="223"/>
      <c r="S605" s="223"/>
      <c r="T605" s="223"/>
      <c r="U605" s="223"/>
      <c r="V605" s="223"/>
      <c r="W605" s="223"/>
    </row>
    <row r="606">
      <c r="A606" s="223"/>
      <c r="B606" s="223"/>
      <c r="C606" s="223"/>
      <c r="D606" s="223"/>
      <c r="E606" s="223"/>
      <c r="F606" s="223"/>
      <c r="G606" s="223"/>
      <c r="H606" s="223"/>
      <c r="I606" s="223"/>
      <c r="J606" s="223"/>
      <c r="K606" s="320"/>
      <c r="L606" s="320"/>
      <c r="M606" s="223"/>
      <c r="N606" s="223"/>
      <c r="O606" s="223"/>
      <c r="P606" s="223"/>
      <c r="Q606" s="223"/>
      <c r="R606" s="223"/>
      <c r="S606" s="223"/>
      <c r="T606" s="223"/>
      <c r="U606" s="223"/>
      <c r="V606" s="223"/>
      <c r="W606" s="223"/>
    </row>
    <row r="607">
      <c r="A607" s="223"/>
      <c r="B607" s="223"/>
      <c r="C607" s="223"/>
      <c r="D607" s="223"/>
      <c r="E607" s="223"/>
      <c r="F607" s="223"/>
      <c r="G607" s="223"/>
      <c r="H607" s="223"/>
      <c r="I607" s="223"/>
      <c r="J607" s="223"/>
      <c r="K607" s="320"/>
      <c r="L607" s="320"/>
      <c r="M607" s="223"/>
      <c r="N607" s="223"/>
      <c r="O607" s="223"/>
      <c r="P607" s="223"/>
      <c r="Q607" s="223"/>
      <c r="R607" s="223"/>
      <c r="S607" s="223"/>
      <c r="T607" s="223"/>
      <c r="U607" s="223"/>
      <c r="V607" s="223"/>
      <c r="W607" s="223"/>
    </row>
    <row r="608">
      <c r="A608" s="223"/>
      <c r="B608" s="223"/>
      <c r="C608" s="223"/>
      <c r="D608" s="223"/>
      <c r="E608" s="223"/>
      <c r="F608" s="223"/>
      <c r="G608" s="223"/>
      <c r="H608" s="223"/>
      <c r="I608" s="223"/>
      <c r="J608" s="223"/>
      <c r="K608" s="320"/>
      <c r="L608" s="320"/>
      <c r="M608" s="223"/>
      <c r="N608" s="223"/>
      <c r="O608" s="223"/>
      <c r="P608" s="223"/>
      <c r="Q608" s="223"/>
      <c r="R608" s="223"/>
      <c r="S608" s="223"/>
      <c r="T608" s="223"/>
      <c r="U608" s="223"/>
      <c r="V608" s="223"/>
      <c r="W608" s="223"/>
    </row>
    <row r="609">
      <c r="A609" s="223"/>
      <c r="B609" s="223"/>
      <c r="C609" s="223"/>
      <c r="D609" s="223"/>
      <c r="E609" s="223"/>
      <c r="F609" s="223"/>
      <c r="G609" s="223"/>
      <c r="H609" s="223"/>
      <c r="I609" s="223"/>
      <c r="J609" s="223"/>
      <c r="K609" s="320"/>
      <c r="L609" s="320"/>
      <c r="M609" s="223"/>
      <c r="N609" s="223"/>
      <c r="O609" s="223"/>
      <c r="P609" s="223"/>
      <c r="Q609" s="223"/>
      <c r="R609" s="223"/>
      <c r="S609" s="223"/>
      <c r="T609" s="223"/>
      <c r="U609" s="223"/>
      <c r="V609" s="223"/>
      <c r="W609" s="223"/>
    </row>
    <row r="610">
      <c r="A610" s="223"/>
      <c r="B610" s="223"/>
      <c r="C610" s="223"/>
      <c r="D610" s="223"/>
      <c r="E610" s="223"/>
      <c r="F610" s="223"/>
      <c r="G610" s="223"/>
      <c r="H610" s="223"/>
      <c r="I610" s="223"/>
      <c r="J610" s="223"/>
      <c r="K610" s="320"/>
      <c r="L610" s="320"/>
      <c r="M610" s="223"/>
      <c r="N610" s="223"/>
      <c r="O610" s="223"/>
      <c r="P610" s="223"/>
      <c r="Q610" s="223"/>
      <c r="R610" s="223"/>
      <c r="S610" s="223"/>
      <c r="T610" s="223"/>
      <c r="U610" s="223"/>
      <c r="V610" s="223"/>
      <c r="W610" s="223"/>
    </row>
    <row r="611">
      <c r="A611" s="223"/>
      <c r="B611" s="223"/>
      <c r="C611" s="223"/>
      <c r="D611" s="223"/>
      <c r="E611" s="223"/>
      <c r="F611" s="223"/>
      <c r="G611" s="223"/>
      <c r="H611" s="223"/>
      <c r="I611" s="223"/>
      <c r="J611" s="223"/>
      <c r="K611" s="320"/>
      <c r="L611" s="320"/>
      <c r="M611" s="223"/>
      <c r="N611" s="223"/>
      <c r="O611" s="223"/>
      <c r="P611" s="223"/>
      <c r="Q611" s="223"/>
      <c r="R611" s="223"/>
      <c r="S611" s="223"/>
      <c r="T611" s="223"/>
      <c r="U611" s="223"/>
      <c r="V611" s="223"/>
      <c r="W611" s="223"/>
    </row>
    <row r="612">
      <c r="A612" s="223"/>
      <c r="B612" s="223"/>
      <c r="C612" s="223"/>
      <c r="D612" s="223"/>
      <c r="E612" s="223"/>
      <c r="F612" s="223"/>
      <c r="G612" s="223"/>
      <c r="H612" s="223"/>
      <c r="I612" s="223"/>
      <c r="J612" s="223"/>
      <c r="K612" s="320"/>
      <c r="L612" s="320"/>
      <c r="M612" s="223"/>
      <c r="N612" s="223"/>
      <c r="O612" s="223"/>
      <c r="P612" s="223"/>
      <c r="Q612" s="223"/>
      <c r="R612" s="223"/>
      <c r="S612" s="223"/>
      <c r="T612" s="223"/>
      <c r="U612" s="223"/>
      <c r="V612" s="223"/>
      <c r="W612" s="223"/>
    </row>
    <row r="613">
      <c r="A613" s="223"/>
      <c r="B613" s="223"/>
      <c r="C613" s="223"/>
      <c r="D613" s="223"/>
      <c r="E613" s="223"/>
      <c r="F613" s="223"/>
      <c r="G613" s="223"/>
      <c r="H613" s="223"/>
      <c r="I613" s="223"/>
      <c r="J613" s="223"/>
      <c r="K613" s="320"/>
      <c r="L613" s="320"/>
      <c r="M613" s="223"/>
      <c r="N613" s="223"/>
      <c r="O613" s="223"/>
      <c r="P613" s="223"/>
      <c r="Q613" s="223"/>
      <c r="R613" s="223"/>
      <c r="S613" s="223"/>
      <c r="T613" s="223"/>
      <c r="U613" s="223"/>
      <c r="V613" s="223"/>
      <c r="W613" s="223"/>
    </row>
    <row r="614">
      <c r="A614" s="223"/>
      <c r="B614" s="223"/>
      <c r="C614" s="223"/>
      <c r="D614" s="223"/>
      <c r="E614" s="223"/>
      <c r="F614" s="223"/>
      <c r="G614" s="223"/>
      <c r="H614" s="223"/>
      <c r="I614" s="223"/>
      <c r="J614" s="223"/>
      <c r="K614" s="320"/>
      <c r="L614" s="320"/>
      <c r="M614" s="223"/>
      <c r="N614" s="223"/>
      <c r="O614" s="223"/>
      <c r="P614" s="223"/>
      <c r="Q614" s="223"/>
      <c r="R614" s="223"/>
      <c r="S614" s="223"/>
      <c r="T614" s="223"/>
      <c r="U614" s="223"/>
      <c r="V614" s="223"/>
      <c r="W614" s="223"/>
    </row>
    <row r="615">
      <c r="A615" s="223"/>
      <c r="B615" s="223"/>
      <c r="C615" s="223"/>
      <c r="D615" s="223"/>
      <c r="E615" s="223"/>
      <c r="F615" s="223"/>
      <c r="G615" s="223"/>
      <c r="H615" s="223"/>
      <c r="I615" s="223"/>
      <c r="J615" s="223"/>
      <c r="K615" s="320"/>
      <c r="L615" s="320"/>
      <c r="M615" s="223"/>
      <c r="N615" s="223"/>
      <c r="O615" s="223"/>
      <c r="P615" s="223"/>
      <c r="Q615" s="223"/>
      <c r="R615" s="223"/>
      <c r="S615" s="223"/>
      <c r="T615" s="223"/>
      <c r="U615" s="223"/>
      <c r="V615" s="223"/>
      <c r="W615" s="223"/>
    </row>
    <row r="616">
      <c r="A616" s="223"/>
      <c r="B616" s="223"/>
      <c r="C616" s="223"/>
      <c r="D616" s="223"/>
      <c r="E616" s="223"/>
      <c r="F616" s="223"/>
      <c r="G616" s="223"/>
      <c r="H616" s="223"/>
      <c r="I616" s="223"/>
      <c r="J616" s="223"/>
      <c r="K616" s="320"/>
      <c r="L616" s="320"/>
      <c r="M616" s="223"/>
      <c r="N616" s="223"/>
      <c r="O616" s="223"/>
      <c r="P616" s="223"/>
      <c r="Q616" s="223"/>
      <c r="R616" s="223"/>
      <c r="S616" s="223"/>
      <c r="T616" s="223"/>
      <c r="U616" s="223"/>
      <c r="V616" s="223"/>
      <c r="W616" s="223"/>
    </row>
    <row r="617">
      <c r="A617" s="223"/>
      <c r="B617" s="223"/>
      <c r="C617" s="223"/>
      <c r="D617" s="223"/>
      <c r="E617" s="223"/>
      <c r="F617" s="223"/>
      <c r="G617" s="223"/>
      <c r="H617" s="223"/>
      <c r="I617" s="223"/>
      <c r="J617" s="223"/>
      <c r="K617" s="320"/>
      <c r="L617" s="320"/>
      <c r="M617" s="223"/>
      <c r="N617" s="223"/>
      <c r="O617" s="223"/>
      <c r="P617" s="223"/>
      <c r="Q617" s="223"/>
      <c r="R617" s="223"/>
      <c r="S617" s="223"/>
      <c r="T617" s="223"/>
      <c r="U617" s="223"/>
      <c r="V617" s="223"/>
      <c r="W617" s="223"/>
    </row>
    <row r="618">
      <c r="A618" s="223"/>
      <c r="B618" s="223"/>
      <c r="C618" s="223"/>
      <c r="D618" s="223"/>
      <c r="E618" s="223"/>
      <c r="F618" s="223"/>
      <c r="G618" s="223"/>
      <c r="H618" s="223"/>
      <c r="I618" s="223"/>
      <c r="J618" s="223"/>
      <c r="K618" s="320"/>
      <c r="L618" s="320"/>
      <c r="M618" s="223"/>
      <c r="N618" s="223"/>
      <c r="O618" s="223"/>
      <c r="P618" s="223"/>
      <c r="Q618" s="223"/>
      <c r="R618" s="223"/>
      <c r="S618" s="223"/>
      <c r="T618" s="223"/>
      <c r="U618" s="223"/>
      <c r="V618" s="223"/>
      <c r="W618" s="223"/>
    </row>
    <row r="619">
      <c r="A619" s="223"/>
      <c r="B619" s="223"/>
      <c r="C619" s="223"/>
      <c r="D619" s="223"/>
      <c r="E619" s="223"/>
      <c r="F619" s="223"/>
      <c r="G619" s="223"/>
      <c r="H619" s="223"/>
      <c r="I619" s="223"/>
      <c r="J619" s="223"/>
      <c r="K619" s="320"/>
      <c r="L619" s="320"/>
      <c r="M619" s="223"/>
      <c r="N619" s="223"/>
      <c r="O619" s="223"/>
      <c r="P619" s="223"/>
      <c r="Q619" s="223"/>
      <c r="R619" s="223"/>
      <c r="S619" s="223"/>
      <c r="T619" s="223"/>
      <c r="U619" s="223"/>
      <c r="V619" s="223"/>
      <c r="W619" s="223"/>
    </row>
    <row r="620">
      <c r="A620" s="223"/>
      <c r="B620" s="223"/>
      <c r="C620" s="223"/>
      <c r="D620" s="223"/>
      <c r="E620" s="223"/>
      <c r="F620" s="223"/>
      <c r="G620" s="223"/>
      <c r="H620" s="223"/>
      <c r="I620" s="223"/>
      <c r="J620" s="223"/>
      <c r="K620" s="320"/>
      <c r="L620" s="320"/>
      <c r="M620" s="223"/>
      <c r="N620" s="223"/>
      <c r="O620" s="223"/>
      <c r="P620" s="223"/>
      <c r="Q620" s="223"/>
      <c r="R620" s="223"/>
      <c r="S620" s="223"/>
      <c r="T620" s="223"/>
      <c r="U620" s="223"/>
      <c r="V620" s="223"/>
      <c r="W620" s="223"/>
    </row>
    <row r="621">
      <c r="A621" s="223"/>
      <c r="B621" s="223"/>
      <c r="C621" s="223"/>
      <c r="D621" s="223"/>
      <c r="E621" s="223"/>
      <c r="F621" s="223"/>
      <c r="G621" s="223"/>
      <c r="H621" s="223"/>
      <c r="I621" s="223"/>
      <c r="J621" s="223"/>
      <c r="K621" s="320"/>
      <c r="L621" s="320"/>
      <c r="M621" s="223"/>
      <c r="N621" s="223"/>
      <c r="O621" s="223"/>
      <c r="P621" s="223"/>
      <c r="Q621" s="223"/>
      <c r="R621" s="223"/>
      <c r="S621" s="223"/>
      <c r="T621" s="223"/>
      <c r="U621" s="223"/>
      <c r="V621" s="223"/>
      <c r="W621" s="223"/>
    </row>
    <row r="622">
      <c r="A622" s="223"/>
      <c r="B622" s="223"/>
      <c r="C622" s="223"/>
      <c r="D622" s="223"/>
      <c r="E622" s="223"/>
      <c r="F622" s="223"/>
      <c r="G622" s="223"/>
      <c r="H622" s="223"/>
      <c r="I622" s="223"/>
      <c r="J622" s="223"/>
      <c r="K622" s="320"/>
      <c r="L622" s="320"/>
      <c r="M622" s="223"/>
      <c r="N622" s="223"/>
      <c r="O622" s="223"/>
      <c r="P622" s="223"/>
      <c r="Q622" s="223"/>
      <c r="R622" s="223"/>
      <c r="S622" s="223"/>
      <c r="T622" s="223"/>
      <c r="U622" s="223"/>
      <c r="V622" s="223"/>
      <c r="W622" s="223"/>
    </row>
    <row r="623">
      <c r="A623" s="223"/>
      <c r="B623" s="223"/>
      <c r="C623" s="223"/>
      <c r="D623" s="223"/>
      <c r="E623" s="223"/>
      <c r="F623" s="223"/>
      <c r="G623" s="223"/>
      <c r="H623" s="223"/>
      <c r="I623" s="223"/>
      <c r="J623" s="223"/>
      <c r="K623" s="320"/>
      <c r="L623" s="320"/>
      <c r="M623" s="223"/>
      <c r="N623" s="223"/>
      <c r="O623" s="223"/>
      <c r="P623" s="223"/>
      <c r="Q623" s="223"/>
      <c r="R623" s="223"/>
      <c r="S623" s="223"/>
      <c r="T623" s="223"/>
      <c r="U623" s="223"/>
      <c r="V623" s="223"/>
      <c r="W623" s="223"/>
    </row>
    <row r="624">
      <c r="A624" s="223"/>
      <c r="B624" s="223"/>
      <c r="C624" s="223"/>
      <c r="D624" s="223"/>
      <c r="E624" s="223"/>
      <c r="F624" s="223"/>
      <c r="G624" s="223"/>
      <c r="H624" s="223"/>
      <c r="I624" s="223"/>
      <c r="J624" s="223"/>
      <c r="K624" s="320"/>
      <c r="L624" s="320"/>
      <c r="M624" s="223"/>
      <c r="N624" s="223"/>
      <c r="O624" s="223"/>
      <c r="P624" s="223"/>
      <c r="Q624" s="223"/>
      <c r="R624" s="223"/>
      <c r="S624" s="223"/>
      <c r="T624" s="223"/>
      <c r="U624" s="223"/>
      <c r="V624" s="223"/>
      <c r="W624" s="223"/>
    </row>
    <row r="625">
      <c r="A625" s="223"/>
      <c r="B625" s="223"/>
      <c r="C625" s="223"/>
      <c r="D625" s="223"/>
      <c r="E625" s="223"/>
      <c r="F625" s="223"/>
      <c r="G625" s="223"/>
      <c r="H625" s="223"/>
      <c r="I625" s="223"/>
      <c r="J625" s="223"/>
      <c r="K625" s="320"/>
      <c r="L625" s="320"/>
      <c r="M625" s="223"/>
      <c r="N625" s="223"/>
      <c r="O625" s="223"/>
      <c r="P625" s="223"/>
      <c r="Q625" s="223"/>
      <c r="R625" s="223"/>
      <c r="S625" s="223"/>
      <c r="T625" s="223"/>
      <c r="U625" s="223"/>
      <c r="V625" s="223"/>
      <c r="W625" s="223"/>
    </row>
    <row r="626">
      <c r="A626" s="223"/>
      <c r="B626" s="223"/>
      <c r="C626" s="223"/>
      <c r="D626" s="223"/>
      <c r="E626" s="223"/>
      <c r="F626" s="223"/>
      <c r="G626" s="223"/>
      <c r="H626" s="223"/>
      <c r="I626" s="223"/>
      <c r="J626" s="223"/>
      <c r="K626" s="320"/>
      <c r="L626" s="320"/>
      <c r="M626" s="223"/>
      <c r="N626" s="223"/>
      <c r="O626" s="223"/>
      <c r="P626" s="223"/>
      <c r="Q626" s="223"/>
      <c r="R626" s="223"/>
      <c r="S626" s="223"/>
      <c r="T626" s="223"/>
      <c r="U626" s="223"/>
      <c r="V626" s="223"/>
      <c r="W626" s="223"/>
    </row>
    <row r="627">
      <c r="A627" s="223"/>
      <c r="B627" s="223"/>
      <c r="C627" s="223"/>
      <c r="D627" s="223"/>
      <c r="E627" s="223"/>
      <c r="F627" s="223"/>
      <c r="G627" s="223"/>
      <c r="H627" s="223"/>
      <c r="I627" s="223"/>
      <c r="J627" s="223"/>
      <c r="K627" s="320"/>
      <c r="L627" s="320"/>
      <c r="M627" s="223"/>
      <c r="N627" s="223"/>
      <c r="O627" s="223"/>
      <c r="P627" s="223"/>
      <c r="Q627" s="223"/>
      <c r="R627" s="223"/>
      <c r="S627" s="223"/>
      <c r="T627" s="223"/>
      <c r="U627" s="223"/>
      <c r="V627" s="223"/>
      <c r="W627" s="223"/>
    </row>
    <row r="628">
      <c r="A628" s="223"/>
      <c r="B628" s="223"/>
      <c r="C628" s="223"/>
      <c r="D628" s="223"/>
      <c r="E628" s="223"/>
      <c r="F628" s="223"/>
      <c r="G628" s="223"/>
      <c r="H628" s="223"/>
      <c r="I628" s="223"/>
      <c r="J628" s="223"/>
      <c r="K628" s="320"/>
      <c r="L628" s="320"/>
      <c r="M628" s="223"/>
      <c r="N628" s="223"/>
      <c r="O628" s="223"/>
      <c r="P628" s="223"/>
      <c r="Q628" s="223"/>
      <c r="R628" s="223"/>
      <c r="S628" s="223"/>
      <c r="T628" s="223"/>
      <c r="U628" s="223"/>
      <c r="V628" s="223"/>
      <c r="W628" s="223"/>
    </row>
    <row r="629">
      <c r="A629" s="223"/>
      <c r="B629" s="223"/>
      <c r="C629" s="223"/>
      <c r="D629" s="223"/>
      <c r="E629" s="223"/>
      <c r="F629" s="223"/>
      <c r="G629" s="223"/>
      <c r="H629" s="223"/>
      <c r="I629" s="223"/>
      <c r="J629" s="223"/>
      <c r="K629" s="320"/>
      <c r="L629" s="320"/>
      <c r="M629" s="223"/>
      <c r="N629" s="223"/>
      <c r="O629" s="223"/>
      <c r="P629" s="223"/>
      <c r="Q629" s="223"/>
      <c r="R629" s="223"/>
      <c r="S629" s="223"/>
      <c r="T629" s="223"/>
      <c r="U629" s="223"/>
      <c r="V629" s="223"/>
      <c r="W629" s="223"/>
    </row>
    <row r="630">
      <c r="A630" s="223"/>
      <c r="B630" s="223"/>
      <c r="C630" s="223"/>
      <c r="D630" s="223"/>
      <c r="E630" s="223"/>
      <c r="F630" s="223"/>
      <c r="G630" s="223"/>
      <c r="H630" s="223"/>
      <c r="I630" s="223"/>
      <c r="J630" s="223"/>
      <c r="K630" s="320"/>
      <c r="L630" s="320"/>
      <c r="M630" s="223"/>
      <c r="N630" s="223"/>
      <c r="O630" s="223"/>
      <c r="P630" s="223"/>
      <c r="Q630" s="223"/>
      <c r="R630" s="223"/>
      <c r="S630" s="223"/>
      <c r="T630" s="223"/>
      <c r="U630" s="223"/>
      <c r="V630" s="223"/>
      <c r="W630" s="223"/>
    </row>
    <row r="631">
      <c r="A631" s="223"/>
      <c r="B631" s="223"/>
      <c r="C631" s="223"/>
      <c r="D631" s="223"/>
      <c r="E631" s="223"/>
      <c r="F631" s="223"/>
      <c r="G631" s="223"/>
      <c r="H631" s="223"/>
      <c r="I631" s="223"/>
      <c r="J631" s="223"/>
      <c r="K631" s="320"/>
      <c r="L631" s="320"/>
      <c r="M631" s="223"/>
      <c r="N631" s="223"/>
      <c r="O631" s="223"/>
      <c r="P631" s="223"/>
      <c r="Q631" s="223"/>
      <c r="R631" s="223"/>
      <c r="S631" s="223"/>
      <c r="T631" s="223"/>
      <c r="U631" s="223"/>
      <c r="V631" s="223"/>
      <c r="W631" s="223"/>
    </row>
    <row r="632">
      <c r="A632" s="223"/>
      <c r="B632" s="223"/>
      <c r="C632" s="223"/>
      <c r="D632" s="223"/>
      <c r="E632" s="223"/>
      <c r="F632" s="223"/>
      <c r="G632" s="223"/>
      <c r="H632" s="223"/>
      <c r="I632" s="223"/>
      <c r="J632" s="223"/>
      <c r="K632" s="320"/>
      <c r="L632" s="320"/>
      <c r="M632" s="223"/>
      <c r="N632" s="223"/>
      <c r="O632" s="223"/>
      <c r="P632" s="223"/>
      <c r="Q632" s="223"/>
      <c r="R632" s="223"/>
      <c r="S632" s="223"/>
      <c r="T632" s="223"/>
      <c r="U632" s="223"/>
      <c r="V632" s="223"/>
      <c r="W632" s="223"/>
    </row>
    <row r="633">
      <c r="A633" s="223"/>
      <c r="B633" s="223"/>
      <c r="C633" s="223"/>
      <c r="D633" s="223"/>
      <c r="E633" s="223"/>
      <c r="F633" s="223"/>
      <c r="G633" s="223"/>
      <c r="H633" s="223"/>
      <c r="I633" s="223"/>
      <c r="J633" s="223"/>
      <c r="K633" s="320"/>
      <c r="L633" s="320"/>
      <c r="M633" s="223"/>
      <c r="N633" s="223"/>
      <c r="O633" s="223"/>
      <c r="P633" s="223"/>
      <c r="Q633" s="223"/>
      <c r="R633" s="223"/>
      <c r="S633" s="223"/>
      <c r="T633" s="223"/>
      <c r="U633" s="223"/>
      <c r="V633" s="223"/>
      <c r="W633" s="223"/>
    </row>
    <row r="634">
      <c r="A634" s="223"/>
      <c r="B634" s="223"/>
      <c r="C634" s="223"/>
      <c r="D634" s="223"/>
      <c r="E634" s="223"/>
      <c r="F634" s="223"/>
      <c r="G634" s="223"/>
      <c r="H634" s="223"/>
      <c r="I634" s="223"/>
      <c r="J634" s="223"/>
      <c r="K634" s="320"/>
      <c r="L634" s="320"/>
      <c r="M634" s="223"/>
      <c r="N634" s="223"/>
      <c r="O634" s="223"/>
      <c r="P634" s="223"/>
      <c r="Q634" s="223"/>
      <c r="R634" s="223"/>
      <c r="S634" s="223"/>
      <c r="T634" s="223"/>
      <c r="U634" s="223"/>
      <c r="V634" s="223"/>
      <c r="W634" s="223"/>
    </row>
    <row r="635">
      <c r="A635" s="223"/>
      <c r="B635" s="223"/>
      <c r="C635" s="223"/>
      <c r="D635" s="223"/>
      <c r="E635" s="223"/>
      <c r="F635" s="223"/>
      <c r="G635" s="223"/>
      <c r="H635" s="223"/>
      <c r="I635" s="223"/>
      <c r="J635" s="223"/>
      <c r="K635" s="320"/>
      <c r="L635" s="320"/>
      <c r="M635" s="223"/>
      <c r="N635" s="223"/>
      <c r="O635" s="223"/>
      <c r="P635" s="223"/>
      <c r="Q635" s="223"/>
      <c r="R635" s="223"/>
      <c r="S635" s="223"/>
      <c r="T635" s="223"/>
      <c r="U635" s="223"/>
      <c r="V635" s="223"/>
      <c r="W635" s="223"/>
    </row>
    <row r="636">
      <c r="A636" s="223"/>
      <c r="B636" s="223"/>
      <c r="C636" s="223"/>
      <c r="D636" s="223"/>
      <c r="E636" s="223"/>
      <c r="F636" s="223"/>
      <c r="G636" s="223"/>
      <c r="H636" s="223"/>
      <c r="I636" s="223"/>
      <c r="J636" s="223"/>
      <c r="K636" s="320"/>
      <c r="L636" s="320"/>
      <c r="M636" s="223"/>
      <c r="N636" s="223"/>
      <c r="O636" s="223"/>
      <c r="P636" s="223"/>
      <c r="Q636" s="223"/>
      <c r="R636" s="223"/>
      <c r="S636" s="223"/>
      <c r="T636" s="223"/>
      <c r="U636" s="223"/>
      <c r="V636" s="223"/>
      <c r="W636" s="223"/>
    </row>
    <row r="637">
      <c r="A637" s="223"/>
      <c r="B637" s="223"/>
      <c r="C637" s="223"/>
      <c r="D637" s="223"/>
      <c r="E637" s="223"/>
      <c r="F637" s="223"/>
      <c r="G637" s="223"/>
      <c r="H637" s="223"/>
      <c r="I637" s="223"/>
      <c r="J637" s="223"/>
      <c r="K637" s="320"/>
      <c r="L637" s="320"/>
      <c r="M637" s="223"/>
      <c r="N637" s="223"/>
      <c r="O637" s="223"/>
      <c r="P637" s="223"/>
      <c r="Q637" s="223"/>
      <c r="R637" s="223"/>
      <c r="S637" s="223"/>
      <c r="T637" s="223"/>
      <c r="U637" s="223"/>
      <c r="V637" s="223"/>
      <c r="W637" s="223"/>
    </row>
    <row r="638">
      <c r="A638" s="223"/>
      <c r="B638" s="223"/>
      <c r="C638" s="223"/>
      <c r="D638" s="223"/>
      <c r="E638" s="223"/>
      <c r="F638" s="223"/>
      <c r="G638" s="223"/>
      <c r="H638" s="223"/>
      <c r="I638" s="223"/>
      <c r="J638" s="223"/>
      <c r="K638" s="320"/>
      <c r="L638" s="320"/>
      <c r="M638" s="223"/>
      <c r="N638" s="223"/>
      <c r="O638" s="223"/>
      <c r="P638" s="223"/>
      <c r="Q638" s="223"/>
      <c r="R638" s="223"/>
      <c r="S638" s="223"/>
      <c r="T638" s="223"/>
      <c r="U638" s="223"/>
      <c r="V638" s="223"/>
      <c r="W638" s="223"/>
    </row>
    <row r="639">
      <c r="A639" s="223"/>
      <c r="B639" s="223"/>
      <c r="C639" s="223"/>
      <c r="D639" s="223"/>
      <c r="E639" s="223"/>
      <c r="F639" s="223"/>
      <c r="G639" s="223"/>
      <c r="H639" s="223"/>
      <c r="I639" s="223"/>
      <c r="J639" s="223"/>
      <c r="K639" s="320"/>
      <c r="L639" s="320"/>
      <c r="M639" s="223"/>
      <c r="N639" s="223"/>
      <c r="O639" s="223"/>
      <c r="P639" s="223"/>
      <c r="Q639" s="223"/>
      <c r="R639" s="223"/>
      <c r="S639" s="223"/>
      <c r="T639" s="223"/>
      <c r="U639" s="223"/>
      <c r="V639" s="223"/>
      <c r="W639" s="223"/>
    </row>
    <row r="640">
      <c r="A640" s="223"/>
      <c r="B640" s="223"/>
      <c r="C640" s="223"/>
      <c r="D640" s="223"/>
      <c r="E640" s="223"/>
      <c r="F640" s="223"/>
      <c r="G640" s="223"/>
      <c r="H640" s="223"/>
      <c r="I640" s="223"/>
      <c r="J640" s="223"/>
      <c r="K640" s="320"/>
      <c r="L640" s="320"/>
      <c r="M640" s="223"/>
      <c r="N640" s="223"/>
      <c r="O640" s="223"/>
      <c r="P640" s="223"/>
      <c r="Q640" s="223"/>
      <c r="R640" s="223"/>
      <c r="S640" s="223"/>
      <c r="T640" s="223"/>
      <c r="U640" s="223"/>
      <c r="V640" s="223"/>
      <c r="W640" s="223"/>
    </row>
    <row r="641">
      <c r="A641" s="223"/>
      <c r="B641" s="223"/>
      <c r="C641" s="223"/>
      <c r="D641" s="223"/>
      <c r="E641" s="223"/>
      <c r="F641" s="223"/>
      <c r="G641" s="223"/>
      <c r="H641" s="223"/>
      <c r="I641" s="223"/>
      <c r="J641" s="223"/>
      <c r="K641" s="320"/>
      <c r="L641" s="320"/>
      <c r="M641" s="223"/>
      <c r="N641" s="223"/>
      <c r="O641" s="223"/>
      <c r="P641" s="223"/>
      <c r="Q641" s="223"/>
      <c r="R641" s="223"/>
      <c r="S641" s="223"/>
      <c r="T641" s="223"/>
      <c r="U641" s="223"/>
      <c r="V641" s="223"/>
      <c r="W641" s="223"/>
    </row>
    <row r="642">
      <c r="A642" s="223"/>
      <c r="B642" s="223"/>
      <c r="C642" s="223"/>
      <c r="D642" s="223"/>
      <c r="E642" s="223"/>
      <c r="F642" s="223"/>
      <c r="G642" s="223"/>
      <c r="H642" s="223"/>
      <c r="I642" s="223"/>
      <c r="J642" s="223"/>
      <c r="K642" s="320"/>
      <c r="L642" s="320"/>
      <c r="M642" s="223"/>
      <c r="N642" s="223"/>
      <c r="O642" s="223"/>
      <c r="P642" s="223"/>
      <c r="Q642" s="223"/>
      <c r="R642" s="223"/>
      <c r="S642" s="223"/>
      <c r="T642" s="223"/>
      <c r="U642" s="223"/>
      <c r="V642" s="223"/>
      <c r="W642" s="223"/>
    </row>
    <row r="643">
      <c r="A643" s="223"/>
      <c r="B643" s="223"/>
      <c r="C643" s="223"/>
      <c r="D643" s="223"/>
      <c r="E643" s="223"/>
      <c r="F643" s="223"/>
      <c r="G643" s="223"/>
      <c r="H643" s="223"/>
      <c r="I643" s="223"/>
      <c r="J643" s="223"/>
      <c r="K643" s="320"/>
      <c r="L643" s="320"/>
      <c r="M643" s="223"/>
      <c r="N643" s="223"/>
      <c r="O643" s="223"/>
      <c r="P643" s="223"/>
      <c r="Q643" s="223"/>
      <c r="R643" s="223"/>
      <c r="S643" s="223"/>
      <c r="T643" s="223"/>
      <c r="U643" s="223"/>
      <c r="V643" s="223"/>
      <c r="W643" s="223"/>
    </row>
    <row r="644">
      <c r="A644" s="223"/>
      <c r="B644" s="223"/>
      <c r="C644" s="223"/>
      <c r="D644" s="223"/>
      <c r="E644" s="223"/>
      <c r="F644" s="223"/>
      <c r="G644" s="223"/>
      <c r="H644" s="223"/>
      <c r="I644" s="223"/>
      <c r="J644" s="223"/>
      <c r="K644" s="320"/>
      <c r="L644" s="320"/>
      <c r="M644" s="223"/>
      <c r="N644" s="223"/>
      <c r="O644" s="223"/>
      <c r="P644" s="223"/>
      <c r="Q644" s="223"/>
      <c r="R644" s="223"/>
      <c r="S644" s="223"/>
      <c r="T644" s="223"/>
      <c r="U644" s="223"/>
      <c r="V644" s="223"/>
      <c r="W644" s="223"/>
    </row>
    <row r="645">
      <c r="A645" s="223"/>
      <c r="B645" s="223"/>
      <c r="C645" s="223"/>
      <c r="D645" s="223"/>
      <c r="E645" s="223"/>
      <c r="F645" s="223"/>
      <c r="G645" s="223"/>
      <c r="H645" s="223"/>
      <c r="I645" s="223"/>
      <c r="J645" s="223"/>
      <c r="K645" s="320"/>
      <c r="L645" s="320"/>
      <c r="M645" s="223"/>
      <c r="N645" s="223"/>
      <c r="O645" s="223"/>
      <c r="P645" s="223"/>
      <c r="Q645" s="223"/>
      <c r="R645" s="223"/>
      <c r="S645" s="223"/>
      <c r="T645" s="223"/>
      <c r="U645" s="223"/>
      <c r="V645" s="223"/>
      <c r="W645" s="223"/>
    </row>
    <row r="646">
      <c r="A646" s="223"/>
      <c r="B646" s="223"/>
      <c r="C646" s="223"/>
      <c r="D646" s="223"/>
      <c r="E646" s="223"/>
      <c r="F646" s="223"/>
      <c r="G646" s="223"/>
      <c r="H646" s="223"/>
      <c r="I646" s="223"/>
      <c r="J646" s="223"/>
      <c r="K646" s="320"/>
      <c r="L646" s="320"/>
      <c r="M646" s="223"/>
      <c r="N646" s="223"/>
      <c r="O646" s="223"/>
      <c r="P646" s="223"/>
      <c r="Q646" s="223"/>
      <c r="R646" s="223"/>
      <c r="S646" s="223"/>
      <c r="T646" s="223"/>
      <c r="U646" s="223"/>
      <c r="V646" s="223"/>
      <c r="W646" s="223"/>
    </row>
    <row r="647">
      <c r="A647" s="223"/>
      <c r="B647" s="223"/>
      <c r="C647" s="223"/>
      <c r="D647" s="223"/>
      <c r="E647" s="223"/>
      <c r="F647" s="223"/>
      <c r="G647" s="223"/>
      <c r="H647" s="223"/>
      <c r="I647" s="223"/>
      <c r="J647" s="223"/>
      <c r="K647" s="320"/>
      <c r="L647" s="320"/>
      <c r="M647" s="223"/>
      <c r="N647" s="223"/>
      <c r="O647" s="223"/>
      <c r="P647" s="223"/>
      <c r="Q647" s="223"/>
      <c r="R647" s="223"/>
      <c r="S647" s="223"/>
      <c r="T647" s="223"/>
      <c r="U647" s="223"/>
      <c r="V647" s="223"/>
      <c r="W647" s="223"/>
    </row>
    <row r="648">
      <c r="A648" s="223"/>
      <c r="B648" s="223"/>
      <c r="C648" s="223"/>
      <c r="D648" s="223"/>
      <c r="E648" s="223"/>
      <c r="F648" s="223"/>
      <c r="G648" s="223"/>
      <c r="H648" s="223"/>
      <c r="I648" s="223"/>
      <c r="J648" s="223"/>
      <c r="K648" s="320"/>
      <c r="L648" s="320"/>
      <c r="M648" s="223"/>
      <c r="N648" s="223"/>
      <c r="O648" s="223"/>
      <c r="P648" s="223"/>
      <c r="Q648" s="223"/>
      <c r="R648" s="223"/>
      <c r="S648" s="223"/>
      <c r="T648" s="223"/>
      <c r="U648" s="223"/>
      <c r="V648" s="223"/>
      <c r="W648" s="223"/>
    </row>
    <row r="649">
      <c r="A649" s="223"/>
      <c r="B649" s="223"/>
      <c r="C649" s="223"/>
      <c r="D649" s="223"/>
      <c r="E649" s="223"/>
      <c r="F649" s="223"/>
      <c r="G649" s="223"/>
      <c r="H649" s="223"/>
      <c r="I649" s="223"/>
      <c r="J649" s="223"/>
      <c r="K649" s="320"/>
      <c r="L649" s="320"/>
      <c r="M649" s="223"/>
      <c r="N649" s="223"/>
      <c r="O649" s="223"/>
      <c r="P649" s="223"/>
      <c r="Q649" s="223"/>
      <c r="R649" s="223"/>
      <c r="S649" s="223"/>
      <c r="T649" s="223"/>
      <c r="U649" s="223"/>
      <c r="V649" s="223"/>
      <c r="W649" s="223"/>
    </row>
    <row r="650">
      <c r="A650" s="223"/>
      <c r="B650" s="223"/>
      <c r="C650" s="223"/>
      <c r="D650" s="223"/>
      <c r="E650" s="223"/>
      <c r="F650" s="223"/>
      <c r="G650" s="223"/>
      <c r="H650" s="223"/>
      <c r="I650" s="223"/>
      <c r="J650" s="223"/>
      <c r="K650" s="320"/>
      <c r="L650" s="320"/>
      <c r="M650" s="223"/>
      <c r="N650" s="223"/>
      <c r="O650" s="223"/>
      <c r="P650" s="223"/>
      <c r="Q650" s="223"/>
      <c r="R650" s="223"/>
      <c r="S650" s="223"/>
      <c r="T650" s="223"/>
      <c r="U650" s="223"/>
      <c r="V650" s="223"/>
      <c r="W650" s="223"/>
    </row>
    <row r="651">
      <c r="A651" s="223"/>
      <c r="B651" s="223"/>
      <c r="C651" s="223"/>
      <c r="D651" s="223"/>
      <c r="E651" s="223"/>
      <c r="F651" s="223"/>
      <c r="G651" s="223"/>
      <c r="H651" s="223"/>
      <c r="I651" s="223"/>
      <c r="J651" s="223"/>
      <c r="K651" s="320"/>
      <c r="L651" s="320"/>
      <c r="M651" s="223"/>
      <c r="N651" s="223"/>
      <c r="O651" s="223"/>
      <c r="P651" s="223"/>
      <c r="Q651" s="223"/>
      <c r="R651" s="223"/>
      <c r="S651" s="223"/>
      <c r="T651" s="223"/>
      <c r="U651" s="223"/>
      <c r="V651" s="223"/>
      <c r="W651" s="223"/>
    </row>
    <row r="652">
      <c r="A652" s="223"/>
      <c r="B652" s="223"/>
      <c r="C652" s="223"/>
      <c r="D652" s="223"/>
      <c r="E652" s="223"/>
      <c r="F652" s="223"/>
      <c r="G652" s="223"/>
      <c r="H652" s="223"/>
      <c r="I652" s="223"/>
      <c r="J652" s="223"/>
      <c r="K652" s="320"/>
      <c r="L652" s="320"/>
      <c r="M652" s="223"/>
      <c r="N652" s="223"/>
      <c r="O652" s="223"/>
      <c r="P652" s="223"/>
      <c r="Q652" s="223"/>
      <c r="R652" s="223"/>
      <c r="S652" s="223"/>
      <c r="T652" s="223"/>
      <c r="U652" s="223"/>
      <c r="V652" s="223"/>
      <c r="W652" s="223"/>
    </row>
    <row r="653">
      <c r="A653" s="223"/>
      <c r="B653" s="223"/>
      <c r="C653" s="223"/>
      <c r="D653" s="223"/>
      <c r="E653" s="223"/>
      <c r="F653" s="223"/>
      <c r="G653" s="223"/>
      <c r="H653" s="223"/>
      <c r="I653" s="223"/>
      <c r="J653" s="223"/>
      <c r="K653" s="320"/>
      <c r="L653" s="320"/>
      <c r="M653" s="223"/>
      <c r="N653" s="223"/>
      <c r="O653" s="223"/>
      <c r="P653" s="223"/>
      <c r="Q653" s="223"/>
      <c r="R653" s="223"/>
      <c r="S653" s="223"/>
      <c r="T653" s="223"/>
      <c r="U653" s="223"/>
      <c r="V653" s="223"/>
      <c r="W653" s="223"/>
    </row>
    <row r="654">
      <c r="A654" s="223"/>
      <c r="B654" s="223"/>
      <c r="C654" s="223"/>
      <c r="D654" s="223"/>
      <c r="E654" s="223"/>
      <c r="F654" s="223"/>
      <c r="G654" s="223"/>
      <c r="H654" s="223"/>
      <c r="I654" s="223"/>
      <c r="J654" s="223"/>
      <c r="K654" s="320"/>
      <c r="L654" s="320"/>
      <c r="M654" s="223"/>
      <c r="N654" s="223"/>
      <c r="O654" s="223"/>
      <c r="P654" s="223"/>
      <c r="Q654" s="223"/>
      <c r="R654" s="223"/>
      <c r="S654" s="223"/>
      <c r="T654" s="223"/>
      <c r="U654" s="223"/>
      <c r="V654" s="223"/>
      <c r="W654" s="223"/>
    </row>
    <row r="655">
      <c r="A655" s="223"/>
      <c r="B655" s="223"/>
      <c r="C655" s="223"/>
      <c r="D655" s="223"/>
      <c r="E655" s="223"/>
      <c r="F655" s="223"/>
      <c r="G655" s="223"/>
      <c r="H655" s="223"/>
      <c r="I655" s="223"/>
      <c r="J655" s="223"/>
      <c r="K655" s="320"/>
      <c r="L655" s="320"/>
      <c r="M655" s="223"/>
      <c r="N655" s="223"/>
      <c r="O655" s="223"/>
      <c r="P655" s="223"/>
      <c r="Q655" s="223"/>
      <c r="R655" s="223"/>
      <c r="S655" s="223"/>
      <c r="T655" s="223"/>
      <c r="U655" s="223"/>
      <c r="V655" s="223"/>
      <c r="W655" s="223"/>
    </row>
    <row r="656">
      <c r="A656" s="223"/>
      <c r="B656" s="223"/>
      <c r="C656" s="223"/>
      <c r="D656" s="223"/>
      <c r="E656" s="223"/>
      <c r="F656" s="223"/>
      <c r="G656" s="223"/>
      <c r="H656" s="223"/>
      <c r="I656" s="223"/>
      <c r="J656" s="223"/>
      <c r="K656" s="320"/>
      <c r="L656" s="320"/>
      <c r="M656" s="223"/>
      <c r="N656" s="223"/>
      <c r="O656" s="223"/>
      <c r="P656" s="223"/>
      <c r="Q656" s="223"/>
      <c r="R656" s="223"/>
      <c r="S656" s="223"/>
      <c r="T656" s="223"/>
      <c r="U656" s="223"/>
      <c r="V656" s="223"/>
      <c r="W656" s="223"/>
    </row>
    <row r="657">
      <c r="A657" s="223"/>
      <c r="B657" s="223"/>
      <c r="C657" s="223"/>
      <c r="D657" s="223"/>
      <c r="E657" s="223"/>
      <c r="F657" s="223"/>
      <c r="G657" s="223"/>
      <c r="H657" s="223"/>
      <c r="I657" s="223"/>
      <c r="J657" s="223"/>
      <c r="K657" s="320"/>
      <c r="L657" s="320"/>
      <c r="M657" s="223"/>
      <c r="N657" s="223"/>
      <c r="O657" s="223"/>
      <c r="P657" s="223"/>
      <c r="Q657" s="223"/>
      <c r="R657" s="223"/>
      <c r="S657" s="223"/>
      <c r="T657" s="223"/>
      <c r="U657" s="223"/>
      <c r="V657" s="223"/>
      <c r="W657" s="223"/>
    </row>
    <row r="658">
      <c r="A658" s="223"/>
      <c r="B658" s="223"/>
      <c r="C658" s="223"/>
      <c r="D658" s="223"/>
      <c r="E658" s="223"/>
      <c r="F658" s="223"/>
      <c r="G658" s="223"/>
      <c r="H658" s="223"/>
      <c r="I658" s="223"/>
      <c r="J658" s="223"/>
      <c r="K658" s="320"/>
      <c r="L658" s="320"/>
      <c r="M658" s="223"/>
      <c r="N658" s="223"/>
      <c r="O658" s="223"/>
      <c r="P658" s="223"/>
      <c r="Q658" s="223"/>
      <c r="R658" s="223"/>
      <c r="S658" s="223"/>
      <c r="T658" s="223"/>
      <c r="U658" s="223"/>
      <c r="V658" s="223"/>
      <c r="W658" s="223"/>
    </row>
    <row r="659">
      <c r="A659" s="223"/>
      <c r="B659" s="223"/>
      <c r="C659" s="223"/>
      <c r="D659" s="223"/>
      <c r="E659" s="223"/>
      <c r="F659" s="223"/>
      <c r="G659" s="223"/>
      <c r="H659" s="223"/>
      <c r="I659" s="223"/>
      <c r="J659" s="223"/>
      <c r="K659" s="320"/>
      <c r="L659" s="320"/>
      <c r="M659" s="223"/>
      <c r="N659" s="223"/>
      <c r="O659" s="223"/>
      <c r="P659" s="223"/>
      <c r="Q659" s="223"/>
      <c r="R659" s="223"/>
      <c r="S659" s="223"/>
      <c r="T659" s="223"/>
      <c r="U659" s="223"/>
      <c r="V659" s="223"/>
      <c r="W659" s="223"/>
    </row>
    <row r="660">
      <c r="A660" s="223"/>
      <c r="B660" s="223"/>
      <c r="C660" s="223"/>
      <c r="D660" s="223"/>
      <c r="E660" s="223"/>
      <c r="F660" s="223"/>
      <c r="G660" s="223"/>
      <c r="H660" s="223"/>
      <c r="I660" s="223"/>
      <c r="J660" s="223"/>
      <c r="K660" s="320"/>
      <c r="L660" s="320"/>
      <c r="M660" s="223"/>
      <c r="N660" s="223"/>
      <c r="O660" s="223"/>
      <c r="P660" s="223"/>
      <c r="Q660" s="223"/>
      <c r="R660" s="223"/>
      <c r="S660" s="223"/>
      <c r="T660" s="223"/>
      <c r="U660" s="223"/>
      <c r="V660" s="223"/>
      <c r="W660" s="223"/>
    </row>
    <row r="661">
      <c r="A661" s="223"/>
      <c r="B661" s="223"/>
      <c r="C661" s="223"/>
      <c r="D661" s="223"/>
      <c r="E661" s="223"/>
      <c r="F661" s="223"/>
      <c r="G661" s="223"/>
      <c r="H661" s="223"/>
      <c r="I661" s="223"/>
      <c r="J661" s="223"/>
      <c r="K661" s="320"/>
      <c r="L661" s="320"/>
      <c r="M661" s="223"/>
      <c r="N661" s="223"/>
      <c r="O661" s="223"/>
      <c r="P661" s="223"/>
      <c r="Q661" s="223"/>
      <c r="R661" s="223"/>
      <c r="S661" s="223"/>
      <c r="T661" s="223"/>
      <c r="U661" s="223"/>
      <c r="V661" s="223"/>
      <c r="W661" s="223"/>
    </row>
    <row r="662">
      <c r="A662" s="223"/>
      <c r="B662" s="223"/>
      <c r="C662" s="223"/>
      <c r="D662" s="223"/>
      <c r="E662" s="223"/>
      <c r="F662" s="223"/>
      <c r="G662" s="223"/>
      <c r="H662" s="223"/>
      <c r="I662" s="223"/>
      <c r="J662" s="223"/>
      <c r="K662" s="320"/>
      <c r="L662" s="320"/>
      <c r="M662" s="223"/>
      <c r="N662" s="223"/>
      <c r="O662" s="223"/>
      <c r="P662" s="223"/>
      <c r="Q662" s="223"/>
      <c r="R662" s="223"/>
      <c r="S662" s="223"/>
      <c r="T662" s="223"/>
      <c r="U662" s="223"/>
      <c r="V662" s="223"/>
      <c r="W662" s="223"/>
    </row>
    <row r="663">
      <c r="A663" s="223"/>
      <c r="B663" s="223"/>
      <c r="C663" s="223"/>
      <c r="D663" s="223"/>
      <c r="E663" s="223"/>
      <c r="F663" s="223"/>
      <c r="G663" s="223"/>
      <c r="H663" s="223"/>
      <c r="I663" s="223"/>
      <c r="J663" s="223"/>
      <c r="K663" s="320"/>
      <c r="L663" s="320"/>
      <c r="M663" s="223"/>
      <c r="N663" s="223"/>
      <c r="O663" s="223"/>
      <c r="P663" s="223"/>
      <c r="Q663" s="223"/>
      <c r="R663" s="223"/>
      <c r="S663" s="223"/>
      <c r="T663" s="223"/>
      <c r="U663" s="223"/>
      <c r="V663" s="223"/>
      <c r="W663" s="223"/>
    </row>
    <row r="664">
      <c r="A664" s="223"/>
      <c r="B664" s="223"/>
      <c r="C664" s="223"/>
      <c r="D664" s="223"/>
      <c r="E664" s="223"/>
      <c r="F664" s="223"/>
      <c r="G664" s="223"/>
      <c r="H664" s="223"/>
      <c r="I664" s="223"/>
      <c r="J664" s="223"/>
      <c r="K664" s="320"/>
      <c r="L664" s="320"/>
      <c r="M664" s="223"/>
      <c r="N664" s="223"/>
      <c r="O664" s="223"/>
      <c r="P664" s="223"/>
      <c r="Q664" s="223"/>
      <c r="R664" s="223"/>
      <c r="S664" s="223"/>
      <c r="T664" s="223"/>
      <c r="U664" s="223"/>
      <c r="V664" s="223"/>
      <c r="W664" s="223"/>
    </row>
    <row r="665">
      <c r="A665" s="223"/>
      <c r="B665" s="223"/>
      <c r="C665" s="223"/>
      <c r="D665" s="223"/>
      <c r="E665" s="223"/>
      <c r="F665" s="223"/>
      <c r="G665" s="223"/>
      <c r="H665" s="223"/>
      <c r="I665" s="223"/>
      <c r="J665" s="223"/>
      <c r="K665" s="320"/>
      <c r="L665" s="320"/>
      <c r="M665" s="223"/>
      <c r="N665" s="223"/>
      <c r="O665" s="223"/>
      <c r="P665" s="223"/>
      <c r="Q665" s="223"/>
      <c r="R665" s="223"/>
      <c r="S665" s="223"/>
      <c r="T665" s="223"/>
      <c r="U665" s="223"/>
      <c r="V665" s="223"/>
      <c r="W665" s="223"/>
    </row>
    <row r="666">
      <c r="A666" s="223"/>
      <c r="B666" s="223"/>
      <c r="C666" s="223"/>
      <c r="D666" s="223"/>
      <c r="E666" s="223"/>
      <c r="F666" s="223"/>
      <c r="G666" s="223"/>
      <c r="H666" s="223"/>
      <c r="I666" s="223"/>
      <c r="J666" s="223"/>
      <c r="K666" s="320"/>
      <c r="L666" s="320"/>
      <c r="M666" s="223"/>
      <c r="N666" s="223"/>
      <c r="O666" s="223"/>
      <c r="P666" s="223"/>
      <c r="Q666" s="223"/>
      <c r="R666" s="223"/>
      <c r="S666" s="223"/>
      <c r="T666" s="223"/>
      <c r="U666" s="223"/>
      <c r="V666" s="223"/>
      <c r="W666" s="223"/>
    </row>
    <row r="667">
      <c r="A667" s="223"/>
      <c r="B667" s="223"/>
      <c r="C667" s="223"/>
      <c r="D667" s="223"/>
      <c r="E667" s="223"/>
      <c r="F667" s="223"/>
      <c r="G667" s="223"/>
      <c r="H667" s="223"/>
      <c r="I667" s="223"/>
      <c r="J667" s="223"/>
      <c r="K667" s="320"/>
      <c r="L667" s="320"/>
      <c r="M667" s="223"/>
      <c r="N667" s="223"/>
      <c r="O667" s="223"/>
      <c r="P667" s="223"/>
      <c r="Q667" s="223"/>
      <c r="R667" s="223"/>
      <c r="S667" s="223"/>
      <c r="T667" s="223"/>
      <c r="U667" s="223"/>
      <c r="V667" s="223"/>
      <c r="W667" s="223"/>
    </row>
    <row r="668">
      <c r="A668" s="223"/>
      <c r="B668" s="223"/>
      <c r="C668" s="223"/>
      <c r="D668" s="223"/>
      <c r="E668" s="223"/>
      <c r="F668" s="223"/>
      <c r="G668" s="223"/>
      <c r="H668" s="223"/>
      <c r="I668" s="223"/>
      <c r="J668" s="223"/>
      <c r="K668" s="320"/>
      <c r="L668" s="320"/>
      <c r="M668" s="223"/>
      <c r="N668" s="223"/>
      <c r="O668" s="223"/>
      <c r="P668" s="223"/>
      <c r="Q668" s="223"/>
      <c r="R668" s="223"/>
      <c r="S668" s="223"/>
      <c r="T668" s="223"/>
      <c r="U668" s="223"/>
      <c r="V668" s="223"/>
      <c r="W668" s="223"/>
    </row>
    <row r="669">
      <c r="A669" s="223"/>
      <c r="B669" s="223"/>
      <c r="C669" s="223"/>
      <c r="D669" s="223"/>
      <c r="E669" s="223"/>
      <c r="F669" s="223"/>
      <c r="G669" s="223"/>
      <c r="H669" s="223"/>
      <c r="I669" s="223"/>
      <c r="J669" s="223"/>
      <c r="K669" s="320"/>
      <c r="L669" s="320"/>
      <c r="M669" s="223"/>
      <c r="N669" s="223"/>
      <c r="O669" s="223"/>
      <c r="P669" s="223"/>
      <c r="Q669" s="223"/>
      <c r="R669" s="223"/>
      <c r="S669" s="223"/>
      <c r="T669" s="223"/>
      <c r="U669" s="223"/>
      <c r="V669" s="223"/>
      <c r="W669" s="223"/>
    </row>
    <row r="670">
      <c r="A670" s="223"/>
      <c r="B670" s="223"/>
      <c r="C670" s="223"/>
      <c r="D670" s="223"/>
      <c r="E670" s="223"/>
      <c r="F670" s="223"/>
      <c r="G670" s="223"/>
      <c r="H670" s="223"/>
      <c r="I670" s="223"/>
      <c r="J670" s="223"/>
      <c r="K670" s="320"/>
      <c r="L670" s="320"/>
      <c r="M670" s="223"/>
      <c r="N670" s="223"/>
      <c r="O670" s="223"/>
      <c r="P670" s="223"/>
      <c r="Q670" s="223"/>
      <c r="R670" s="223"/>
      <c r="S670" s="223"/>
      <c r="T670" s="223"/>
      <c r="U670" s="223"/>
      <c r="V670" s="223"/>
      <c r="W670" s="223"/>
    </row>
    <row r="671">
      <c r="A671" s="223"/>
      <c r="B671" s="223"/>
      <c r="C671" s="223"/>
      <c r="D671" s="223"/>
      <c r="E671" s="223"/>
      <c r="F671" s="223"/>
      <c r="G671" s="223"/>
      <c r="H671" s="223"/>
      <c r="I671" s="223"/>
      <c r="J671" s="223"/>
      <c r="K671" s="320"/>
      <c r="L671" s="320"/>
      <c r="M671" s="223"/>
      <c r="N671" s="223"/>
      <c r="O671" s="223"/>
      <c r="P671" s="223"/>
      <c r="Q671" s="223"/>
      <c r="R671" s="223"/>
      <c r="S671" s="223"/>
      <c r="T671" s="223"/>
      <c r="U671" s="223"/>
      <c r="V671" s="223"/>
      <c r="W671" s="223"/>
    </row>
    <row r="672">
      <c r="A672" s="223"/>
      <c r="B672" s="223"/>
      <c r="C672" s="223"/>
      <c r="D672" s="223"/>
      <c r="E672" s="223"/>
      <c r="F672" s="223"/>
      <c r="G672" s="223"/>
      <c r="H672" s="223"/>
      <c r="I672" s="223"/>
      <c r="J672" s="223"/>
      <c r="K672" s="320"/>
      <c r="L672" s="320"/>
      <c r="M672" s="223"/>
      <c r="N672" s="223"/>
      <c r="O672" s="223"/>
      <c r="P672" s="223"/>
      <c r="Q672" s="223"/>
      <c r="R672" s="223"/>
      <c r="S672" s="223"/>
      <c r="T672" s="223"/>
      <c r="U672" s="223"/>
      <c r="V672" s="223"/>
      <c r="W672" s="223"/>
    </row>
    <row r="673">
      <c r="A673" s="223"/>
      <c r="B673" s="223"/>
      <c r="C673" s="223"/>
      <c r="D673" s="223"/>
      <c r="E673" s="223"/>
      <c r="F673" s="223"/>
      <c r="G673" s="223"/>
      <c r="H673" s="223"/>
      <c r="I673" s="223"/>
      <c r="J673" s="223"/>
      <c r="K673" s="320"/>
      <c r="L673" s="320"/>
      <c r="M673" s="223"/>
      <c r="N673" s="223"/>
      <c r="O673" s="223"/>
      <c r="P673" s="223"/>
      <c r="Q673" s="223"/>
      <c r="R673" s="223"/>
      <c r="S673" s="223"/>
      <c r="T673" s="223"/>
      <c r="U673" s="223"/>
      <c r="V673" s="223"/>
      <c r="W673" s="223"/>
    </row>
    <row r="674">
      <c r="A674" s="223"/>
      <c r="B674" s="223"/>
      <c r="C674" s="223"/>
      <c r="D674" s="223"/>
      <c r="E674" s="223"/>
      <c r="F674" s="223"/>
      <c r="G674" s="223"/>
      <c r="H674" s="223"/>
      <c r="I674" s="223"/>
      <c r="J674" s="223"/>
      <c r="K674" s="320"/>
      <c r="L674" s="320"/>
      <c r="M674" s="223"/>
      <c r="N674" s="223"/>
      <c r="O674" s="223"/>
      <c r="P674" s="223"/>
      <c r="Q674" s="223"/>
      <c r="R674" s="223"/>
      <c r="S674" s="223"/>
      <c r="T674" s="223"/>
      <c r="U674" s="223"/>
      <c r="V674" s="223"/>
      <c r="W674" s="223"/>
    </row>
    <row r="675">
      <c r="A675" s="223"/>
      <c r="B675" s="223"/>
      <c r="C675" s="223"/>
      <c r="D675" s="223"/>
      <c r="E675" s="223"/>
      <c r="F675" s="223"/>
      <c r="G675" s="223"/>
      <c r="H675" s="223"/>
      <c r="I675" s="223"/>
      <c r="J675" s="223"/>
      <c r="K675" s="320"/>
      <c r="L675" s="320"/>
      <c r="M675" s="223"/>
      <c r="N675" s="223"/>
      <c r="O675" s="223"/>
      <c r="P675" s="223"/>
      <c r="Q675" s="223"/>
      <c r="R675" s="223"/>
      <c r="S675" s="223"/>
      <c r="T675" s="223"/>
      <c r="U675" s="223"/>
      <c r="V675" s="223"/>
      <c r="W675" s="223"/>
    </row>
    <row r="676">
      <c r="A676" s="223"/>
      <c r="B676" s="223"/>
      <c r="C676" s="223"/>
      <c r="D676" s="223"/>
      <c r="E676" s="223"/>
      <c r="F676" s="223"/>
      <c r="G676" s="223"/>
      <c r="H676" s="223"/>
      <c r="I676" s="223"/>
      <c r="J676" s="223"/>
      <c r="K676" s="320"/>
      <c r="L676" s="320"/>
      <c r="M676" s="223"/>
      <c r="N676" s="223"/>
      <c r="O676" s="223"/>
      <c r="P676" s="223"/>
      <c r="Q676" s="223"/>
      <c r="R676" s="223"/>
      <c r="S676" s="223"/>
      <c r="T676" s="223"/>
      <c r="U676" s="223"/>
      <c r="V676" s="223"/>
      <c r="W676" s="223"/>
    </row>
    <row r="677">
      <c r="A677" s="223"/>
      <c r="B677" s="223"/>
      <c r="C677" s="223"/>
      <c r="D677" s="223"/>
      <c r="E677" s="223"/>
      <c r="F677" s="223"/>
      <c r="G677" s="223"/>
      <c r="H677" s="223"/>
      <c r="I677" s="223"/>
      <c r="J677" s="223"/>
      <c r="K677" s="320"/>
      <c r="L677" s="320"/>
      <c r="M677" s="223"/>
      <c r="N677" s="223"/>
      <c r="O677" s="223"/>
      <c r="P677" s="223"/>
      <c r="Q677" s="223"/>
      <c r="R677" s="223"/>
      <c r="S677" s="223"/>
      <c r="T677" s="223"/>
      <c r="U677" s="223"/>
      <c r="V677" s="223"/>
      <c r="W677" s="223"/>
    </row>
    <row r="678">
      <c r="A678" s="223"/>
      <c r="B678" s="223"/>
      <c r="C678" s="223"/>
      <c r="D678" s="223"/>
      <c r="E678" s="223"/>
      <c r="F678" s="223"/>
      <c r="G678" s="223"/>
      <c r="H678" s="223"/>
      <c r="I678" s="223"/>
      <c r="J678" s="223"/>
      <c r="K678" s="320"/>
      <c r="L678" s="320"/>
      <c r="M678" s="223"/>
      <c r="N678" s="223"/>
      <c r="O678" s="223"/>
      <c r="P678" s="223"/>
      <c r="Q678" s="223"/>
      <c r="R678" s="223"/>
      <c r="S678" s="223"/>
      <c r="T678" s="223"/>
      <c r="U678" s="223"/>
      <c r="V678" s="223"/>
      <c r="W678" s="223"/>
    </row>
    <row r="679">
      <c r="A679" s="223"/>
      <c r="B679" s="223"/>
      <c r="C679" s="223"/>
      <c r="D679" s="223"/>
      <c r="E679" s="223"/>
      <c r="F679" s="223"/>
      <c r="G679" s="223"/>
      <c r="H679" s="223"/>
      <c r="I679" s="223"/>
      <c r="J679" s="223"/>
      <c r="K679" s="320"/>
      <c r="L679" s="320"/>
      <c r="M679" s="223"/>
      <c r="N679" s="223"/>
      <c r="O679" s="223"/>
      <c r="P679" s="223"/>
      <c r="Q679" s="223"/>
      <c r="R679" s="223"/>
      <c r="S679" s="223"/>
      <c r="T679" s="223"/>
      <c r="U679" s="223"/>
      <c r="V679" s="223"/>
      <c r="W679" s="223"/>
    </row>
    <row r="680">
      <c r="A680" s="223"/>
      <c r="B680" s="223"/>
      <c r="C680" s="223"/>
      <c r="D680" s="223"/>
      <c r="E680" s="223"/>
      <c r="F680" s="223"/>
      <c r="G680" s="223"/>
      <c r="H680" s="223"/>
      <c r="I680" s="223"/>
      <c r="J680" s="223"/>
      <c r="K680" s="320"/>
      <c r="L680" s="320"/>
      <c r="M680" s="223"/>
      <c r="N680" s="223"/>
      <c r="O680" s="223"/>
      <c r="P680" s="223"/>
      <c r="Q680" s="223"/>
      <c r="R680" s="223"/>
      <c r="S680" s="223"/>
      <c r="T680" s="223"/>
      <c r="U680" s="223"/>
      <c r="V680" s="223"/>
      <c r="W680" s="223"/>
    </row>
    <row r="681">
      <c r="A681" s="223"/>
      <c r="B681" s="223"/>
      <c r="C681" s="223"/>
      <c r="D681" s="223"/>
      <c r="E681" s="223"/>
      <c r="F681" s="223"/>
      <c r="G681" s="223"/>
      <c r="H681" s="223"/>
      <c r="I681" s="223"/>
      <c r="J681" s="223"/>
      <c r="K681" s="320"/>
      <c r="L681" s="320"/>
      <c r="M681" s="223"/>
      <c r="N681" s="223"/>
      <c r="O681" s="223"/>
      <c r="P681" s="223"/>
      <c r="Q681" s="223"/>
      <c r="R681" s="223"/>
      <c r="S681" s="223"/>
      <c r="T681" s="223"/>
      <c r="U681" s="223"/>
      <c r="V681" s="223"/>
      <c r="W681" s="223"/>
    </row>
    <row r="682">
      <c r="A682" s="223"/>
      <c r="B682" s="223"/>
      <c r="C682" s="223"/>
      <c r="D682" s="223"/>
      <c r="E682" s="223"/>
      <c r="F682" s="223"/>
      <c r="G682" s="223"/>
      <c r="H682" s="223"/>
      <c r="I682" s="223"/>
      <c r="J682" s="223"/>
      <c r="K682" s="320"/>
      <c r="L682" s="320"/>
      <c r="M682" s="223"/>
      <c r="N682" s="223"/>
      <c r="O682" s="223"/>
      <c r="P682" s="223"/>
      <c r="Q682" s="223"/>
      <c r="R682" s="223"/>
      <c r="S682" s="223"/>
      <c r="T682" s="223"/>
      <c r="U682" s="223"/>
      <c r="V682" s="223"/>
      <c r="W682" s="223"/>
    </row>
    <row r="683">
      <c r="A683" s="223"/>
      <c r="B683" s="223"/>
      <c r="C683" s="223"/>
      <c r="D683" s="223"/>
      <c r="E683" s="223"/>
      <c r="F683" s="223"/>
      <c r="G683" s="223"/>
      <c r="H683" s="223"/>
      <c r="I683" s="223"/>
      <c r="J683" s="223"/>
      <c r="K683" s="320"/>
      <c r="L683" s="320"/>
      <c r="M683" s="223"/>
      <c r="N683" s="223"/>
      <c r="O683" s="223"/>
      <c r="P683" s="223"/>
      <c r="Q683" s="223"/>
      <c r="R683" s="223"/>
      <c r="S683" s="223"/>
      <c r="T683" s="223"/>
      <c r="U683" s="223"/>
      <c r="V683" s="223"/>
      <c r="W683" s="223"/>
    </row>
    <row r="684">
      <c r="A684" s="223"/>
      <c r="B684" s="223"/>
      <c r="C684" s="223"/>
      <c r="D684" s="223"/>
      <c r="E684" s="223"/>
      <c r="F684" s="223"/>
      <c r="G684" s="223"/>
      <c r="H684" s="223"/>
      <c r="I684" s="223"/>
      <c r="J684" s="223"/>
      <c r="K684" s="320"/>
      <c r="L684" s="320"/>
      <c r="M684" s="223"/>
      <c r="N684" s="223"/>
      <c r="O684" s="223"/>
      <c r="P684" s="223"/>
      <c r="Q684" s="223"/>
      <c r="R684" s="223"/>
      <c r="S684" s="223"/>
      <c r="T684" s="223"/>
      <c r="U684" s="223"/>
      <c r="V684" s="223"/>
      <c r="W684" s="223"/>
    </row>
    <row r="685">
      <c r="A685" s="223"/>
      <c r="B685" s="223"/>
      <c r="C685" s="223"/>
      <c r="D685" s="223"/>
      <c r="E685" s="223"/>
      <c r="F685" s="223"/>
      <c r="G685" s="223"/>
      <c r="H685" s="223"/>
      <c r="I685" s="223"/>
      <c r="J685" s="223"/>
      <c r="K685" s="320"/>
      <c r="L685" s="320"/>
      <c r="M685" s="223"/>
      <c r="N685" s="223"/>
      <c r="O685" s="223"/>
      <c r="P685" s="223"/>
      <c r="Q685" s="223"/>
      <c r="R685" s="223"/>
      <c r="S685" s="223"/>
      <c r="T685" s="223"/>
      <c r="U685" s="223"/>
      <c r="V685" s="223"/>
      <c r="W685" s="223"/>
    </row>
    <row r="686">
      <c r="A686" s="223"/>
      <c r="B686" s="223"/>
      <c r="C686" s="223"/>
      <c r="D686" s="223"/>
      <c r="E686" s="223"/>
      <c r="F686" s="223"/>
      <c r="G686" s="223"/>
      <c r="H686" s="223"/>
      <c r="I686" s="223"/>
      <c r="J686" s="223"/>
      <c r="K686" s="320"/>
      <c r="L686" s="320"/>
      <c r="M686" s="223"/>
      <c r="N686" s="223"/>
      <c r="O686" s="223"/>
      <c r="P686" s="223"/>
      <c r="Q686" s="223"/>
      <c r="R686" s="223"/>
      <c r="S686" s="223"/>
      <c r="T686" s="223"/>
      <c r="U686" s="223"/>
      <c r="V686" s="223"/>
      <c r="W686" s="223"/>
    </row>
    <row r="687">
      <c r="A687" s="223"/>
      <c r="B687" s="223"/>
      <c r="C687" s="223"/>
      <c r="D687" s="223"/>
      <c r="E687" s="223"/>
      <c r="F687" s="223"/>
      <c r="G687" s="223"/>
      <c r="H687" s="223"/>
      <c r="I687" s="223"/>
      <c r="J687" s="223"/>
      <c r="K687" s="320"/>
      <c r="L687" s="320"/>
      <c r="M687" s="223"/>
      <c r="N687" s="223"/>
      <c r="O687" s="223"/>
      <c r="P687" s="223"/>
      <c r="Q687" s="223"/>
      <c r="R687" s="223"/>
      <c r="S687" s="223"/>
      <c r="T687" s="223"/>
      <c r="U687" s="223"/>
      <c r="V687" s="223"/>
      <c r="W687" s="223"/>
    </row>
    <row r="688">
      <c r="A688" s="223"/>
      <c r="B688" s="223"/>
      <c r="C688" s="223"/>
      <c r="D688" s="223"/>
      <c r="E688" s="223"/>
      <c r="F688" s="223"/>
      <c r="G688" s="223"/>
      <c r="H688" s="223"/>
      <c r="I688" s="223"/>
      <c r="J688" s="223"/>
      <c r="K688" s="320"/>
      <c r="L688" s="320"/>
      <c r="M688" s="223"/>
      <c r="N688" s="223"/>
      <c r="O688" s="223"/>
      <c r="P688" s="223"/>
      <c r="Q688" s="223"/>
      <c r="R688" s="223"/>
      <c r="S688" s="223"/>
      <c r="T688" s="223"/>
      <c r="U688" s="223"/>
      <c r="V688" s="223"/>
      <c r="W688" s="223"/>
    </row>
    <row r="689">
      <c r="A689" s="223"/>
      <c r="B689" s="223"/>
      <c r="C689" s="223"/>
      <c r="D689" s="223"/>
      <c r="E689" s="223"/>
      <c r="F689" s="223"/>
      <c r="G689" s="223"/>
      <c r="H689" s="223"/>
      <c r="I689" s="223"/>
      <c r="J689" s="223"/>
      <c r="K689" s="320"/>
      <c r="L689" s="320"/>
      <c r="M689" s="223"/>
      <c r="N689" s="223"/>
      <c r="O689" s="223"/>
      <c r="P689" s="223"/>
      <c r="Q689" s="223"/>
      <c r="R689" s="223"/>
      <c r="S689" s="223"/>
      <c r="T689" s="223"/>
      <c r="U689" s="223"/>
      <c r="V689" s="223"/>
      <c r="W689" s="223"/>
    </row>
    <row r="690">
      <c r="A690" s="223"/>
      <c r="B690" s="223"/>
      <c r="C690" s="223"/>
      <c r="D690" s="223"/>
      <c r="E690" s="223"/>
      <c r="F690" s="223"/>
      <c r="G690" s="223"/>
      <c r="H690" s="223"/>
      <c r="I690" s="223"/>
      <c r="J690" s="223"/>
      <c r="K690" s="320"/>
      <c r="L690" s="320"/>
      <c r="M690" s="223"/>
      <c r="N690" s="223"/>
      <c r="O690" s="223"/>
      <c r="P690" s="223"/>
      <c r="Q690" s="223"/>
      <c r="R690" s="223"/>
      <c r="S690" s="223"/>
      <c r="T690" s="223"/>
      <c r="U690" s="223"/>
      <c r="V690" s="223"/>
      <c r="W690" s="223"/>
    </row>
    <row r="691">
      <c r="A691" s="223"/>
      <c r="B691" s="223"/>
      <c r="C691" s="223"/>
      <c r="D691" s="223"/>
      <c r="E691" s="223"/>
      <c r="F691" s="223"/>
      <c r="G691" s="223"/>
      <c r="H691" s="223"/>
      <c r="I691" s="223"/>
      <c r="J691" s="223"/>
      <c r="K691" s="320"/>
      <c r="L691" s="320"/>
      <c r="M691" s="223"/>
      <c r="N691" s="223"/>
      <c r="O691" s="223"/>
      <c r="P691" s="223"/>
      <c r="Q691" s="223"/>
      <c r="R691" s="223"/>
      <c r="S691" s="223"/>
      <c r="T691" s="223"/>
      <c r="U691" s="223"/>
      <c r="V691" s="223"/>
      <c r="W691" s="223"/>
    </row>
    <row r="692">
      <c r="A692" s="223"/>
      <c r="B692" s="223"/>
      <c r="C692" s="223"/>
      <c r="D692" s="223"/>
      <c r="E692" s="223"/>
      <c r="F692" s="223"/>
      <c r="G692" s="223"/>
      <c r="H692" s="223"/>
      <c r="I692" s="223"/>
      <c r="J692" s="223"/>
      <c r="K692" s="320"/>
      <c r="L692" s="320"/>
      <c r="M692" s="223"/>
      <c r="N692" s="223"/>
      <c r="O692" s="223"/>
      <c r="P692" s="223"/>
      <c r="Q692" s="223"/>
      <c r="R692" s="223"/>
      <c r="S692" s="223"/>
      <c r="T692" s="223"/>
      <c r="U692" s="223"/>
      <c r="V692" s="223"/>
      <c r="W692" s="223"/>
    </row>
    <row r="693">
      <c r="A693" s="223"/>
      <c r="B693" s="223"/>
      <c r="C693" s="223"/>
      <c r="D693" s="223"/>
      <c r="E693" s="223"/>
      <c r="F693" s="223"/>
      <c r="G693" s="223"/>
      <c r="H693" s="223"/>
      <c r="I693" s="223"/>
      <c r="J693" s="223"/>
      <c r="K693" s="320"/>
      <c r="L693" s="320"/>
      <c r="M693" s="223"/>
      <c r="N693" s="223"/>
      <c r="O693" s="223"/>
      <c r="P693" s="223"/>
      <c r="Q693" s="223"/>
      <c r="R693" s="223"/>
      <c r="S693" s="223"/>
      <c r="T693" s="223"/>
      <c r="U693" s="223"/>
      <c r="V693" s="223"/>
      <c r="W693" s="223"/>
    </row>
    <row r="694">
      <c r="A694" s="223"/>
      <c r="B694" s="223"/>
      <c r="C694" s="223"/>
      <c r="D694" s="223"/>
      <c r="E694" s="223"/>
      <c r="F694" s="223"/>
      <c r="G694" s="223"/>
      <c r="H694" s="223"/>
      <c r="I694" s="223"/>
      <c r="J694" s="223"/>
      <c r="K694" s="320"/>
      <c r="L694" s="320"/>
      <c r="M694" s="223"/>
      <c r="N694" s="223"/>
      <c r="O694" s="223"/>
      <c r="P694" s="223"/>
      <c r="Q694" s="223"/>
      <c r="R694" s="223"/>
      <c r="S694" s="223"/>
      <c r="T694" s="223"/>
      <c r="U694" s="223"/>
      <c r="V694" s="223"/>
      <c r="W694" s="223"/>
    </row>
    <row r="695">
      <c r="A695" s="223"/>
      <c r="B695" s="223"/>
      <c r="C695" s="223"/>
      <c r="D695" s="223"/>
      <c r="E695" s="223"/>
      <c r="F695" s="223"/>
      <c r="G695" s="223"/>
      <c r="H695" s="223"/>
      <c r="I695" s="223"/>
      <c r="J695" s="223"/>
      <c r="K695" s="320"/>
      <c r="L695" s="320"/>
      <c r="M695" s="223"/>
      <c r="N695" s="223"/>
      <c r="O695" s="223"/>
      <c r="P695" s="223"/>
      <c r="Q695" s="223"/>
      <c r="R695" s="223"/>
      <c r="S695" s="223"/>
      <c r="T695" s="223"/>
      <c r="U695" s="223"/>
      <c r="V695" s="223"/>
      <c r="W695" s="223"/>
    </row>
    <row r="696">
      <c r="A696" s="223"/>
      <c r="B696" s="223"/>
      <c r="C696" s="223"/>
      <c r="D696" s="223"/>
      <c r="E696" s="223"/>
      <c r="F696" s="223"/>
      <c r="G696" s="223"/>
      <c r="H696" s="223"/>
      <c r="I696" s="223"/>
      <c r="J696" s="223"/>
      <c r="K696" s="320"/>
      <c r="L696" s="320"/>
      <c r="M696" s="223"/>
      <c r="N696" s="223"/>
      <c r="O696" s="223"/>
      <c r="P696" s="223"/>
      <c r="Q696" s="223"/>
      <c r="R696" s="223"/>
      <c r="S696" s="223"/>
      <c r="T696" s="223"/>
      <c r="U696" s="223"/>
      <c r="V696" s="223"/>
      <c r="W696" s="223"/>
    </row>
    <row r="697">
      <c r="A697" s="223"/>
      <c r="B697" s="223"/>
      <c r="C697" s="223"/>
      <c r="D697" s="223"/>
      <c r="E697" s="223"/>
      <c r="F697" s="223"/>
      <c r="G697" s="223"/>
      <c r="H697" s="223"/>
      <c r="I697" s="223"/>
      <c r="J697" s="223"/>
      <c r="K697" s="320"/>
      <c r="L697" s="320"/>
      <c r="M697" s="223"/>
      <c r="N697" s="223"/>
      <c r="O697" s="223"/>
      <c r="P697" s="223"/>
      <c r="Q697" s="223"/>
      <c r="R697" s="223"/>
      <c r="S697" s="223"/>
      <c r="T697" s="223"/>
      <c r="U697" s="223"/>
      <c r="V697" s="223"/>
      <c r="W697" s="223"/>
    </row>
    <row r="698">
      <c r="A698" s="223"/>
      <c r="B698" s="223"/>
      <c r="C698" s="223"/>
      <c r="D698" s="223"/>
      <c r="E698" s="223"/>
      <c r="F698" s="223"/>
      <c r="G698" s="223"/>
      <c r="H698" s="223"/>
      <c r="I698" s="223"/>
      <c r="J698" s="223"/>
      <c r="K698" s="320"/>
      <c r="L698" s="320"/>
      <c r="M698" s="223"/>
      <c r="N698" s="223"/>
      <c r="O698" s="223"/>
      <c r="P698" s="223"/>
      <c r="Q698" s="223"/>
      <c r="R698" s="223"/>
      <c r="S698" s="223"/>
      <c r="T698" s="223"/>
      <c r="U698" s="223"/>
      <c r="V698" s="223"/>
      <c r="W698" s="223"/>
    </row>
    <row r="699">
      <c r="A699" s="223"/>
      <c r="B699" s="223"/>
      <c r="C699" s="223"/>
      <c r="D699" s="223"/>
      <c r="E699" s="223"/>
      <c r="F699" s="223"/>
      <c r="G699" s="223"/>
      <c r="H699" s="223"/>
      <c r="I699" s="223"/>
      <c r="J699" s="223"/>
      <c r="K699" s="320"/>
      <c r="L699" s="320"/>
      <c r="M699" s="223"/>
      <c r="N699" s="223"/>
      <c r="O699" s="223"/>
      <c r="P699" s="223"/>
      <c r="Q699" s="223"/>
      <c r="R699" s="223"/>
      <c r="S699" s="223"/>
      <c r="T699" s="223"/>
      <c r="U699" s="223"/>
      <c r="V699" s="223"/>
      <c r="W699" s="223"/>
    </row>
    <row r="700">
      <c r="A700" s="223"/>
      <c r="B700" s="223"/>
      <c r="C700" s="223"/>
      <c r="D700" s="223"/>
      <c r="E700" s="223"/>
      <c r="F700" s="223"/>
      <c r="G700" s="223"/>
      <c r="H700" s="223"/>
      <c r="I700" s="223"/>
      <c r="J700" s="223"/>
      <c r="K700" s="320"/>
      <c r="L700" s="320"/>
      <c r="M700" s="223"/>
      <c r="N700" s="223"/>
      <c r="O700" s="223"/>
      <c r="P700" s="223"/>
      <c r="Q700" s="223"/>
      <c r="R700" s="223"/>
      <c r="S700" s="223"/>
      <c r="T700" s="223"/>
      <c r="U700" s="223"/>
      <c r="V700" s="223"/>
      <c r="W700" s="223"/>
    </row>
    <row r="701">
      <c r="A701" s="223"/>
      <c r="B701" s="223"/>
      <c r="C701" s="223"/>
      <c r="D701" s="223"/>
      <c r="E701" s="223"/>
      <c r="F701" s="223"/>
      <c r="G701" s="223"/>
      <c r="H701" s="223"/>
      <c r="I701" s="223"/>
      <c r="J701" s="223"/>
      <c r="K701" s="320"/>
      <c r="L701" s="320"/>
      <c r="M701" s="223"/>
      <c r="N701" s="223"/>
      <c r="O701" s="223"/>
      <c r="P701" s="223"/>
      <c r="Q701" s="223"/>
      <c r="R701" s="223"/>
      <c r="S701" s="223"/>
      <c r="T701" s="223"/>
      <c r="U701" s="223"/>
      <c r="V701" s="223"/>
      <c r="W701" s="223"/>
    </row>
    <row r="702">
      <c r="A702" s="223"/>
      <c r="B702" s="223"/>
      <c r="C702" s="223"/>
      <c r="D702" s="223"/>
      <c r="E702" s="223"/>
      <c r="F702" s="223"/>
      <c r="G702" s="223"/>
      <c r="H702" s="223"/>
      <c r="I702" s="223"/>
      <c r="J702" s="223"/>
      <c r="K702" s="320"/>
      <c r="L702" s="320"/>
      <c r="M702" s="223"/>
      <c r="N702" s="223"/>
      <c r="O702" s="223"/>
      <c r="P702" s="223"/>
      <c r="Q702" s="223"/>
      <c r="R702" s="223"/>
      <c r="S702" s="223"/>
      <c r="T702" s="223"/>
      <c r="U702" s="223"/>
      <c r="V702" s="223"/>
      <c r="W702" s="223"/>
    </row>
    <row r="703">
      <c r="A703" s="223"/>
      <c r="B703" s="223"/>
      <c r="C703" s="223"/>
      <c r="D703" s="223"/>
      <c r="E703" s="223"/>
      <c r="F703" s="223"/>
      <c r="G703" s="223"/>
      <c r="H703" s="223"/>
      <c r="I703" s="223"/>
      <c r="J703" s="223"/>
      <c r="K703" s="320"/>
      <c r="L703" s="320"/>
      <c r="M703" s="223"/>
      <c r="N703" s="223"/>
      <c r="O703" s="223"/>
      <c r="P703" s="223"/>
      <c r="Q703" s="223"/>
      <c r="R703" s="223"/>
      <c r="S703" s="223"/>
      <c r="T703" s="223"/>
      <c r="U703" s="223"/>
      <c r="V703" s="223"/>
      <c r="W703" s="223"/>
    </row>
    <row r="704">
      <c r="A704" s="223"/>
      <c r="B704" s="223"/>
      <c r="C704" s="223"/>
      <c r="D704" s="223"/>
      <c r="E704" s="223"/>
      <c r="F704" s="223"/>
      <c r="G704" s="223"/>
      <c r="H704" s="223"/>
      <c r="I704" s="223"/>
      <c r="J704" s="223"/>
      <c r="K704" s="320"/>
      <c r="L704" s="320"/>
      <c r="M704" s="223"/>
      <c r="N704" s="223"/>
      <c r="O704" s="223"/>
      <c r="P704" s="223"/>
      <c r="Q704" s="223"/>
      <c r="R704" s="223"/>
      <c r="S704" s="223"/>
      <c r="T704" s="223"/>
      <c r="U704" s="223"/>
      <c r="V704" s="223"/>
      <c r="W704" s="223"/>
    </row>
    <row r="705">
      <c r="A705" s="223"/>
      <c r="B705" s="223"/>
      <c r="C705" s="223"/>
      <c r="D705" s="223"/>
      <c r="E705" s="223"/>
      <c r="F705" s="223"/>
      <c r="G705" s="223"/>
      <c r="H705" s="223"/>
      <c r="I705" s="223"/>
      <c r="J705" s="223"/>
      <c r="K705" s="320"/>
      <c r="L705" s="320"/>
      <c r="M705" s="223"/>
      <c r="N705" s="223"/>
      <c r="O705" s="223"/>
      <c r="P705" s="223"/>
      <c r="Q705" s="223"/>
      <c r="R705" s="223"/>
      <c r="S705" s="223"/>
      <c r="T705" s="223"/>
      <c r="U705" s="223"/>
      <c r="V705" s="223"/>
      <c r="W705" s="223"/>
    </row>
    <row r="706">
      <c r="A706" s="223"/>
      <c r="B706" s="223"/>
      <c r="C706" s="223"/>
      <c r="D706" s="223"/>
      <c r="E706" s="223"/>
      <c r="F706" s="223"/>
      <c r="G706" s="223"/>
      <c r="H706" s="223"/>
      <c r="I706" s="223"/>
      <c r="J706" s="223"/>
      <c r="K706" s="320"/>
      <c r="L706" s="320"/>
      <c r="M706" s="223"/>
      <c r="N706" s="223"/>
      <c r="O706" s="223"/>
      <c r="P706" s="223"/>
      <c r="Q706" s="223"/>
      <c r="R706" s="223"/>
      <c r="S706" s="223"/>
      <c r="T706" s="223"/>
      <c r="U706" s="223"/>
      <c r="V706" s="223"/>
      <c r="W706" s="223"/>
    </row>
    <row r="707">
      <c r="A707" s="223"/>
      <c r="B707" s="223"/>
      <c r="C707" s="223"/>
      <c r="D707" s="223"/>
      <c r="E707" s="223"/>
      <c r="F707" s="223"/>
      <c r="G707" s="223"/>
      <c r="H707" s="223"/>
      <c r="I707" s="223"/>
      <c r="J707" s="223"/>
      <c r="K707" s="320"/>
      <c r="L707" s="320"/>
      <c r="M707" s="223"/>
      <c r="N707" s="223"/>
      <c r="O707" s="223"/>
      <c r="P707" s="223"/>
      <c r="Q707" s="223"/>
      <c r="R707" s="223"/>
      <c r="S707" s="223"/>
      <c r="T707" s="223"/>
      <c r="U707" s="223"/>
      <c r="V707" s="223"/>
      <c r="W707" s="223"/>
    </row>
    <row r="708">
      <c r="A708" s="223"/>
      <c r="B708" s="223"/>
      <c r="C708" s="223"/>
      <c r="D708" s="223"/>
      <c r="E708" s="223"/>
      <c r="F708" s="223"/>
      <c r="G708" s="223"/>
      <c r="H708" s="223"/>
      <c r="I708" s="223"/>
      <c r="J708" s="223"/>
      <c r="K708" s="320"/>
      <c r="L708" s="320"/>
      <c r="M708" s="223"/>
      <c r="N708" s="223"/>
      <c r="O708" s="223"/>
      <c r="P708" s="223"/>
      <c r="Q708" s="223"/>
      <c r="R708" s="223"/>
      <c r="S708" s="223"/>
      <c r="T708" s="223"/>
      <c r="U708" s="223"/>
      <c r="V708" s="223"/>
      <c r="W708" s="223"/>
    </row>
    <row r="709">
      <c r="A709" s="223"/>
      <c r="B709" s="223"/>
      <c r="C709" s="223"/>
      <c r="D709" s="223"/>
      <c r="E709" s="223"/>
      <c r="F709" s="223"/>
      <c r="G709" s="223"/>
      <c r="H709" s="223"/>
      <c r="I709" s="223"/>
      <c r="J709" s="223"/>
      <c r="K709" s="320"/>
      <c r="L709" s="320"/>
      <c r="M709" s="223"/>
      <c r="N709" s="223"/>
      <c r="O709" s="223"/>
      <c r="P709" s="223"/>
      <c r="Q709" s="223"/>
      <c r="R709" s="223"/>
      <c r="S709" s="223"/>
      <c r="T709" s="223"/>
      <c r="U709" s="223"/>
      <c r="V709" s="223"/>
      <c r="W709" s="223"/>
    </row>
    <row r="710">
      <c r="A710" s="223"/>
      <c r="B710" s="223"/>
      <c r="C710" s="223"/>
      <c r="D710" s="223"/>
      <c r="E710" s="223"/>
      <c r="F710" s="223"/>
      <c r="G710" s="223"/>
      <c r="H710" s="223"/>
      <c r="I710" s="223"/>
      <c r="J710" s="223"/>
      <c r="K710" s="320"/>
      <c r="L710" s="320"/>
      <c r="M710" s="223"/>
      <c r="N710" s="223"/>
      <c r="O710" s="223"/>
      <c r="P710" s="223"/>
      <c r="Q710" s="223"/>
      <c r="R710" s="223"/>
      <c r="S710" s="223"/>
      <c r="T710" s="223"/>
      <c r="U710" s="223"/>
      <c r="V710" s="223"/>
      <c r="W710" s="223"/>
    </row>
    <row r="711">
      <c r="A711" s="223"/>
      <c r="B711" s="223"/>
      <c r="C711" s="223"/>
      <c r="D711" s="223"/>
      <c r="E711" s="223"/>
      <c r="F711" s="223"/>
      <c r="G711" s="223"/>
      <c r="H711" s="223"/>
      <c r="I711" s="223"/>
      <c r="J711" s="223"/>
      <c r="K711" s="320"/>
      <c r="L711" s="320"/>
      <c r="M711" s="223"/>
      <c r="N711" s="223"/>
      <c r="O711" s="223"/>
      <c r="P711" s="223"/>
      <c r="Q711" s="223"/>
      <c r="R711" s="223"/>
      <c r="S711" s="223"/>
      <c r="T711" s="223"/>
      <c r="U711" s="223"/>
      <c r="V711" s="223"/>
      <c r="W711" s="223"/>
    </row>
    <row r="712">
      <c r="A712" s="223"/>
      <c r="B712" s="223"/>
      <c r="C712" s="223"/>
      <c r="D712" s="223"/>
      <c r="E712" s="223"/>
      <c r="F712" s="223"/>
      <c r="G712" s="223"/>
      <c r="H712" s="223"/>
      <c r="I712" s="223"/>
      <c r="J712" s="223"/>
      <c r="K712" s="320"/>
      <c r="L712" s="320"/>
      <c r="M712" s="223"/>
      <c r="N712" s="223"/>
      <c r="O712" s="223"/>
      <c r="P712" s="223"/>
      <c r="Q712" s="223"/>
      <c r="R712" s="223"/>
      <c r="S712" s="223"/>
      <c r="T712" s="223"/>
      <c r="U712" s="223"/>
      <c r="V712" s="223"/>
      <c r="W712" s="223"/>
    </row>
    <row r="713">
      <c r="A713" s="223"/>
      <c r="B713" s="223"/>
      <c r="C713" s="223"/>
      <c r="D713" s="223"/>
      <c r="E713" s="223"/>
      <c r="F713" s="223"/>
      <c r="G713" s="223"/>
      <c r="H713" s="223"/>
      <c r="I713" s="223"/>
      <c r="J713" s="223"/>
      <c r="K713" s="320"/>
      <c r="L713" s="320"/>
      <c r="M713" s="223"/>
      <c r="N713" s="223"/>
      <c r="O713" s="223"/>
      <c r="P713" s="223"/>
      <c r="Q713" s="223"/>
      <c r="R713" s="223"/>
      <c r="S713" s="223"/>
      <c r="T713" s="223"/>
      <c r="U713" s="223"/>
      <c r="V713" s="223"/>
      <c r="W713" s="223"/>
    </row>
    <row r="714">
      <c r="A714" s="223"/>
      <c r="B714" s="223"/>
      <c r="C714" s="223"/>
      <c r="D714" s="223"/>
      <c r="E714" s="223"/>
      <c r="F714" s="223"/>
      <c r="G714" s="223"/>
      <c r="H714" s="223"/>
      <c r="I714" s="223"/>
      <c r="J714" s="223"/>
      <c r="K714" s="320"/>
      <c r="L714" s="320"/>
      <c r="M714" s="223"/>
      <c r="N714" s="223"/>
      <c r="O714" s="223"/>
      <c r="P714" s="223"/>
      <c r="Q714" s="223"/>
      <c r="R714" s="223"/>
      <c r="S714" s="223"/>
      <c r="T714" s="223"/>
      <c r="U714" s="223"/>
      <c r="V714" s="223"/>
      <c r="W714" s="223"/>
    </row>
    <row r="715">
      <c r="A715" s="223"/>
      <c r="B715" s="223"/>
      <c r="C715" s="223"/>
      <c r="D715" s="223"/>
      <c r="E715" s="223"/>
      <c r="F715" s="223"/>
      <c r="G715" s="223"/>
      <c r="H715" s="223"/>
      <c r="I715" s="223"/>
      <c r="J715" s="223"/>
      <c r="K715" s="320"/>
      <c r="L715" s="320"/>
      <c r="M715" s="223"/>
      <c r="N715" s="223"/>
      <c r="O715" s="223"/>
      <c r="P715" s="223"/>
      <c r="Q715" s="223"/>
      <c r="R715" s="223"/>
      <c r="S715" s="223"/>
      <c r="T715" s="223"/>
      <c r="U715" s="223"/>
      <c r="V715" s="223"/>
      <c r="W715" s="223"/>
    </row>
    <row r="716">
      <c r="A716" s="223"/>
      <c r="B716" s="223"/>
      <c r="C716" s="223"/>
      <c r="D716" s="223"/>
      <c r="E716" s="223"/>
      <c r="F716" s="223"/>
      <c r="G716" s="223"/>
      <c r="H716" s="223"/>
      <c r="I716" s="223"/>
      <c r="J716" s="223"/>
      <c r="K716" s="320"/>
      <c r="L716" s="320"/>
      <c r="M716" s="223"/>
      <c r="N716" s="223"/>
      <c r="O716" s="223"/>
      <c r="P716" s="223"/>
      <c r="Q716" s="223"/>
      <c r="R716" s="223"/>
      <c r="S716" s="223"/>
      <c r="T716" s="223"/>
      <c r="U716" s="223"/>
      <c r="V716" s="223"/>
      <c r="W716" s="223"/>
    </row>
    <row r="717">
      <c r="A717" s="223"/>
      <c r="B717" s="223"/>
      <c r="C717" s="223"/>
      <c r="D717" s="223"/>
      <c r="E717" s="223"/>
      <c r="F717" s="223"/>
      <c r="G717" s="223"/>
      <c r="H717" s="223"/>
      <c r="I717" s="223"/>
      <c r="J717" s="223"/>
      <c r="K717" s="320"/>
      <c r="L717" s="320"/>
      <c r="M717" s="223"/>
      <c r="N717" s="223"/>
      <c r="O717" s="223"/>
      <c r="P717" s="223"/>
      <c r="Q717" s="223"/>
      <c r="R717" s="223"/>
      <c r="S717" s="223"/>
      <c r="T717" s="223"/>
      <c r="U717" s="223"/>
      <c r="V717" s="223"/>
      <c r="W717" s="223"/>
    </row>
    <row r="718">
      <c r="A718" s="223"/>
      <c r="B718" s="223"/>
      <c r="C718" s="223"/>
      <c r="D718" s="223"/>
      <c r="E718" s="223"/>
      <c r="F718" s="223"/>
      <c r="G718" s="223"/>
      <c r="H718" s="223"/>
      <c r="I718" s="223"/>
      <c r="J718" s="223"/>
      <c r="K718" s="320"/>
      <c r="L718" s="320"/>
      <c r="M718" s="223"/>
      <c r="N718" s="223"/>
      <c r="O718" s="223"/>
      <c r="P718" s="223"/>
      <c r="Q718" s="223"/>
      <c r="R718" s="223"/>
      <c r="S718" s="223"/>
      <c r="T718" s="223"/>
      <c r="U718" s="223"/>
      <c r="V718" s="223"/>
      <c r="W718" s="223"/>
    </row>
    <row r="719">
      <c r="A719" s="223"/>
      <c r="B719" s="223"/>
      <c r="C719" s="223"/>
      <c r="D719" s="223"/>
      <c r="E719" s="223"/>
      <c r="F719" s="223"/>
      <c r="G719" s="223"/>
      <c r="H719" s="223"/>
      <c r="I719" s="223"/>
      <c r="J719" s="223"/>
      <c r="K719" s="320"/>
      <c r="L719" s="320"/>
      <c r="M719" s="223"/>
      <c r="N719" s="223"/>
      <c r="O719" s="223"/>
      <c r="P719" s="223"/>
      <c r="Q719" s="223"/>
      <c r="R719" s="223"/>
      <c r="S719" s="223"/>
      <c r="T719" s="223"/>
      <c r="U719" s="223"/>
      <c r="V719" s="223"/>
      <c r="W719" s="223"/>
    </row>
    <row r="720">
      <c r="A720" s="223"/>
      <c r="B720" s="223"/>
      <c r="C720" s="223"/>
      <c r="D720" s="223"/>
      <c r="E720" s="223"/>
      <c r="F720" s="223"/>
      <c r="G720" s="223"/>
      <c r="H720" s="223"/>
      <c r="I720" s="223"/>
      <c r="J720" s="223"/>
      <c r="K720" s="320"/>
      <c r="L720" s="320"/>
      <c r="M720" s="223"/>
      <c r="N720" s="223"/>
      <c r="O720" s="223"/>
      <c r="P720" s="223"/>
      <c r="Q720" s="223"/>
      <c r="R720" s="223"/>
      <c r="S720" s="223"/>
      <c r="T720" s="223"/>
      <c r="U720" s="223"/>
      <c r="V720" s="223"/>
      <c r="W720" s="223"/>
    </row>
    <row r="721">
      <c r="A721" s="223"/>
      <c r="B721" s="223"/>
      <c r="C721" s="223"/>
      <c r="D721" s="223"/>
      <c r="E721" s="223"/>
      <c r="F721" s="223"/>
      <c r="G721" s="223"/>
      <c r="H721" s="223"/>
      <c r="I721" s="223"/>
      <c r="J721" s="223"/>
      <c r="K721" s="320"/>
      <c r="L721" s="320"/>
      <c r="M721" s="223"/>
      <c r="N721" s="223"/>
      <c r="O721" s="223"/>
      <c r="P721" s="223"/>
      <c r="Q721" s="223"/>
      <c r="R721" s="223"/>
      <c r="S721" s="223"/>
      <c r="T721" s="223"/>
      <c r="U721" s="223"/>
      <c r="V721" s="223"/>
      <c r="W721" s="223"/>
    </row>
    <row r="722">
      <c r="A722" s="223"/>
      <c r="B722" s="223"/>
      <c r="C722" s="223"/>
      <c r="D722" s="223"/>
      <c r="E722" s="223"/>
      <c r="F722" s="223"/>
      <c r="G722" s="223"/>
      <c r="H722" s="223"/>
      <c r="I722" s="223"/>
      <c r="J722" s="223"/>
      <c r="K722" s="320"/>
      <c r="L722" s="320"/>
      <c r="M722" s="223"/>
      <c r="N722" s="223"/>
      <c r="O722" s="223"/>
      <c r="P722" s="223"/>
      <c r="Q722" s="223"/>
      <c r="R722" s="223"/>
      <c r="S722" s="223"/>
      <c r="T722" s="223"/>
      <c r="U722" s="223"/>
      <c r="V722" s="223"/>
      <c r="W722" s="223"/>
    </row>
    <row r="723">
      <c r="A723" s="223"/>
      <c r="B723" s="223"/>
      <c r="C723" s="223"/>
      <c r="D723" s="223"/>
      <c r="E723" s="223"/>
      <c r="F723" s="223"/>
      <c r="G723" s="223"/>
      <c r="H723" s="223"/>
      <c r="I723" s="223"/>
      <c r="J723" s="223"/>
      <c r="K723" s="320"/>
      <c r="L723" s="320"/>
      <c r="M723" s="223"/>
      <c r="N723" s="223"/>
      <c r="O723" s="223"/>
      <c r="P723" s="223"/>
      <c r="Q723" s="223"/>
      <c r="R723" s="223"/>
      <c r="S723" s="223"/>
      <c r="T723" s="223"/>
      <c r="U723" s="223"/>
      <c r="V723" s="223"/>
      <c r="W723" s="223"/>
    </row>
    <row r="724">
      <c r="A724" s="223"/>
      <c r="B724" s="223"/>
      <c r="C724" s="223"/>
      <c r="D724" s="223"/>
      <c r="E724" s="223"/>
      <c r="F724" s="223"/>
      <c r="G724" s="223"/>
      <c r="H724" s="223"/>
      <c r="I724" s="223"/>
      <c r="J724" s="223"/>
      <c r="K724" s="320"/>
      <c r="L724" s="320"/>
      <c r="M724" s="223"/>
      <c r="N724" s="223"/>
      <c r="O724" s="223"/>
      <c r="P724" s="223"/>
      <c r="Q724" s="223"/>
      <c r="R724" s="223"/>
      <c r="S724" s="223"/>
      <c r="T724" s="223"/>
      <c r="U724" s="223"/>
      <c r="V724" s="223"/>
      <c r="W724" s="223"/>
    </row>
    <row r="725">
      <c r="A725" s="223"/>
      <c r="B725" s="223"/>
      <c r="C725" s="223"/>
      <c r="D725" s="223"/>
      <c r="E725" s="223"/>
      <c r="F725" s="223"/>
      <c r="G725" s="223"/>
      <c r="H725" s="223"/>
      <c r="I725" s="223"/>
      <c r="J725" s="223"/>
      <c r="K725" s="320"/>
      <c r="L725" s="320"/>
      <c r="M725" s="223"/>
      <c r="N725" s="223"/>
      <c r="O725" s="223"/>
      <c r="P725" s="223"/>
      <c r="Q725" s="223"/>
      <c r="R725" s="223"/>
      <c r="S725" s="223"/>
      <c r="T725" s="223"/>
      <c r="U725" s="223"/>
      <c r="V725" s="223"/>
      <c r="W725" s="223"/>
    </row>
    <row r="726">
      <c r="A726" s="223"/>
      <c r="B726" s="223"/>
      <c r="C726" s="223"/>
      <c r="D726" s="223"/>
      <c r="E726" s="223"/>
      <c r="F726" s="223"/>
      <c r="G726" s="223"/>
      <c r="H726" s="223"/>
      <c r="I726" s="223"/>
      <c r="J726" s="223"/>
      <c r="K726" s="320"/>
      <c r="L726" s="320"/>
      <c r="M726" s="223"/>
      <c r="N726" s="223"/>
      <c r="O726" s="223"/>
      <c r="P726" s="223"/>
      <c r="Q726" s="223"/>
      <c r="R726" s="223"/>
      <c r="S726" s="223"/>
      <c r="T726" s="223"/>
      <c r="U726" s="223"/>
      <c r="V726" s="223"/>
      <c r="W726" s="223"/>
    </row>
    <row r="727">
      <c r="A727" s="223"/>
      <c r="B727" s="223"/>
      <c r="C727" s="223"/>
      <c r="D727" s="223"/>
      <c r="E727" s="223"/>
      <c r="F727" s="223"/>
      <c r="G727" s="223"/>
      <c r="H727" s="223"/>
      <c r="I727" s="223"/>
      <c r="J727" s="223"/>
      <c r="K727" s="320"/>
      <c r="L727" s="320"/>
      <c r="M727" s="223"/>
      <c r="N727" s="223"/>
      <c r="O727" s="223"/>
      <c r="P727" s="223"/>
      <c r="Q727" s="223"/>
      <c r="R727" s="223"/>
      <c r="S727" s="223"/>
      <c r="T727" s="223"/>
      <c r="U727" s="223"/>
      <c r="V727" s="223"/>
      <c r="W727" s="223"/>
    </row>
    <row r="728">
      <c r="A728" s="223"/>
      <c r="B728" s="223"/>
      <c r="C728" s="223"/>
      <c r="D728" s="223"/>
      <c r="E728" s="223"/>
      <c r="F728" s="223"/>
      <c r="G728" s="223"/>
      <c r="H728" s="223"/>
      <c r="I728" s="223"/>
      <c r="J728" s="223"/>
      <c r="K728" s="320"/>
      <c r="L728" s="320"/>
      <c r="M728" s="223"/>
      <c r="N728" s="223"/>
      <c r="O728" s="223"/>
      <c r="P728" s="223"/>
      <c r="Q728" s="223"/>
      <c r="R728" s="223"/>
      <c r="S728" s="223"/>
      <c r="T728" s="223"/>
      <c r="U728" s="223"/>
      <c r="V728" s="223"/>
      <c r="W728" s="223"/>
    </row>
    <row r="729">
      <c r="A729" s="223"/>
      <c r="B729" s="223"/>
      <c r="C729" s="223"/>
      <c r="D729" s="223"/>
      <c r="E729" s="223"/>
      <c r="F729" s="223"/>
      <c r="G729" s="223"/>
      <c r="H729" s="223"/>
      <c r="I729" s="223"/>
      <c r="J729" s="223"/>
      <c r="K729" s="320"/>
      <c r="L729" s="320"/>
      <c r="M729" s="223"/>
      <c r="N729" s="223"/>
      <c r="O729" s="223"/>
      <c r="P729" s="223"/>
      <c r="Q729" s="223"/>
      <c r="R729" s="223"/>
      <c r="S729" s="223"/>
      <c r="T729" s="223"/>
      <c r="U729" s="223"/>
      <c r="V729" s="223"/>
      <c r="W729" s="223"/>
    </row>
    <row r="730">
      <c r="A730" s="223"/>
      <c r="B730" s="223"/>
      <c r="C730" s="223"/>
      <c r="D730" s="223"/>
      <c r="E730" s="223"/>
      <c r="F730" s="223"/>
      <c r="G730" s="223"/>
      <c r="H730" s="223"/>
      <c r="I730" s="223"/>
      <c r="J730" s="223"/>
      <c r="K730" s="320"/>
      <c r="L730" s="320"/>
      <c r="M730" s="223"/>
      <c r="N730" s="223"/>
      <c r="O730" s="223"/>
      <c r="P730" s="223"/>
      <c r="Q730" s="223"/>
      <c r="R730" s="223"/>
      <c r="S730" s="223"/>
      <c r="T730" s="223"/>
      <c r="U730" s="223"/>
      <c r="V730" s="223"/>
      <c r="W730" s="223"/>
    </row>
    <row r="731">
      <c r="A731" s="223"/>
      <c r="B731" s="223"/>
      <c r="C731" s="223"/>
      <c r="D731" s="223"/>
      <c r="E731" s="223"/>
      <c r="F731" s="223"/>
      <c r="G731" s="223"/>
      <c r="H731" s="223"/>
      <c r="I731" s="223"/>
      <c r="J731" s="223"/>
      <c r="K731" s="320"/>
      <c r="L731" s="320"/>
      <c r="M731" s="223"/>
      <c r="N731" s="223"/>
      <c r="O731" s="223"/>
      <c r="P731" s="223"/>
      <c r="Q731" s="223"/>
      <c r="R731" s="223"/>
      <c r="S731" s="223"/>
      <c r="T731" s="223"/>
      <c r="U731" s="223"/>
      <c r="V731" s="223"/>
      <c r="W731" s="223"/>
    </row>
    <row r="732">
      <c r="A732" s="223"/>
      <c r="B732" s="223"/>
      <c r="C732" s="223"/>
      <c r="D732" s="223"/>
      <c r="E732" s="223"/>
      <c r="F732" s="223"/>
      <c r="G732" s="223"/>
      <c r="H732" s="223"/>
      <c r="I732" s="223"/>
      <c r="J732" s="223"/>
      <c r="K732" s="320"/>
      <c r="L732" s="320"/>
      <c r="M732" s="223"/>
      <c r="N732" s="223"/>
      <c r="O732" s="223"/>
      <c r="P732" s="223"/>
      <c r="Q732" s="223"/>
      <c r="R732" s="223"/>
      <c r="S732" s="223"/>
      <c r="T732" s="223"/>
      <c r="U732" s="223"/>
      <c r="V732" s="223"/>
      <c r="W732" s="223"/>
    </row>
    <row r="733">
      <c r="A733" s="223"/>
      <c r="B733" s="223"/>
      <c r="C733" s="223"/>
      <c r="D733" s="223"/>
      <c r="E733" s="223"/>
      <c r="F733" s="223"/>
      <c r="G733" s="223"/>
      <c r="H733" s="223"/>
      <c r="I733" s="223"/>
      <c r="J733" s="223"/>
      <c r="K733" s="320"/>
      <c r="L733" s="320"/>
      <c r="M733" s="223"/>
      <c r="N733" s="223"/>
      <c r="O733" s="223"/>
      <c r="P733" s="223"/>
      <c r="Q733" s="223"/>
      <c r="R733" s="223"/>
      <c r="S733" s="223"/>
      <c r="T733" s="223"/>
      <c r="U733" s="223"/>
      <c r="V733" s="223"/>
      <c r="W733" s="223"/>
    </row>
    <row r="734">
      <c r="A734" s="223"/>
      <c r="B734" s="223"/>
      <c r="C734" s="223"/>
      <c r="D734" s="223"/>
      <c r="E734" s="223"/>
      <c r="F734" s="223"/>
      <c r="G734" s="223"/>
      <c r="H734" s="223"/>
      <c r="I734" s="223"/>
      <c r="J734" s="223"/>
      <c r="K734" s="320"/>
      <c r="L734" s="320"/>
      <c r="M734" s="223"/>
      <c r="N734" s="223"/>
      <c r="O734" s="223"/>
      <c r="P734" s="223"/>
      <c r="Q734" s="223"/>
      <c r="R734" s="223"/>
      <c r="S734" s="223"/>
      <c r="T734" s="223"/>
      <c r="U734" s="223"/>
      <c r="V734" s="223"/>
      <c r="W734" s="223"/>
    </row>
    <row r="735">
      <c r="A735" s="223"/>
      <c r="B735" s="223"/>
      <c r="C735" s="223"/>
      <c r="D735" s="223"/>
      <c r="E735" s="223"/>
      <c r="F735" s="223"/>
      <c r="G735" s="223"/>
      <c r="H735" s="223"/>
      <c r="I735" s="223"/>
      <c r="J735" s="223"/>
      <c r="K735" s="320"/>
      <c r="L735" s="320"/>
      <c r="M735" s="223"/>
      <c r="N735" s="223"/>
      <c r="O735" s="223"/>
      <c r="P735" s="223"/>
      <c r="Q735" s="223"/>
      <c r="R735" s="223"/>
      <c r="S735" s="223"/>
      <c r="T735" s="223"/>
      <c r="U735" s="223"/>
      <c r="V735" s="223"/>
      <c r="W735" s="223"/>
    </row>
    <row r="736">
      <c r="A736" s="223"/>
      <c r="B736" s="223"/>
      <c r="C736" s="223"/>
      <c r="D736" s="223"/>
      <c r="E736" s="223"/>
      <c r="F736" s="223"/>
      <c r="G736" s="223"/>
      <c r="H736" s="223"/>
      <c r="I736" s="223"/>
      <c r="J736" s="223"/>
      <c r="K736" s="320"/>
      <c r="L736" s="320"/>
      <c r="M736" s="223"/>
      <c r="N736" s="223"/>
      <c r="O736" s="223"/>
      <c r="P736" s="223"/>
      <c r="Q736" s="223"/>
      <c r="R736" s="223"/>
      <c r="S736" s="223"/>
      <c r="T736" s="223"/>
      <c r="U736" s="223"/>
      <c r="V736" s="223"/>
      <c r="W736" s="223"/>
    </row>
    <row r="737">
      <c r="A737" s="223"/>
      <c r="B737" s="223"/>
      <c r="C737" s="223"/>
      <c r="D737" s="223"/>
      <c r="E737" s="223"/>
      <c r="F737" s="223"/>
      <c r="G737" s="223"/>
      <c r="H737" s="223"/>
      <c r="I737" s="223"/>
      <c r="J737" s="223"/>
      <c r="K737" s="320"/>
      <c r="L737" s="320"/>
      <c r="M737" s="223"/>
      <c r="N737" s="223"/>
      <c r="O737" s="223"/>
      <c r="P737" s="223"/>
      <c r="Q737" s="223"/>
      <c r="R737" s="223"/>
      <c r="S737" s="223"/>
      <c r="T737" s="223"/>
      <c r="U737" s="223"/>
      <c r="V737" s="223"/>
      <c r="W737" s="223"/>
    </row>
    <row r="738">
      <c r="A738" s="223"/>
      <c r="B738" s="223"/>
      <c r="C738" s="223"/>
      <c r="D738" s="223"/>
      <c r="E738" s="223"/>
      <c r="F738" s="223"/>
      <c r="G738" s="223"/>
      <c r="H738" s="223"/>
      <c r="I738" s="223"/>
      <c r="J738" s="223"/>
      <c r="K738" s="320"/>
      <c r="L738" s="320"/>
      <c r="M738" s="223"/>
      <c r="N738" s="223"/>
      <c r="O738" s="223"/>
      <c r="P738" s="223"/>
      <c r="Q738" s="223"/>
      <c r="R738" s="223"/>
      <c r="S738" s="223"/>
      <c r="T738" s="223"/>
      <c r="U738" s="223"/>
      <c r="V738" s="223"/>
      <c r="W738" s="223"/>
    </row>
    <row r="739">
      <c r="A739" s="223"/>
      <c r="B739" s="223"/>
      <c r="C739" s="223"/>
      <c r="D739" s="223"/>
      <c r="E739" s="223"/>
      <c r="F739" s="223"/>
      <c r="G739" s="223"/>
      <c r="H739" s="223"/>
      <c r="I739" s="223"/>
      <c r="J739" s="223"/>
      <c r="K739" s="320"/>
      <c r="L739" s="320"/>
      <c r="M739" s="223"/>
      <c r="N739" s="223"/>
      <c r="O739" s="223"/>
      <c r="P739" s="223"/>
      <c r="Q739" s="223"/>
      <c r="R739" s="223"/>
      <c r="S739" s="223"/>
      <c r="T739" s="223"/>
      <c r="U739" s="223"/>
      <c r="V739" s="223"/>
      <c r="W739" s="223"/>
    </row>
    <row r="740">
      <c r="A740" s="223"/>
      <c r="B740" s="223"/>
      <c r="C740" s="223"/>
      <c r="D740" s="223"/>
      <c r="E740" s="223"/>
      <c r="F740" s="223"/>
      <c r="G740" s="223"/>
      <c r="H740" s="223"/>
      <c r="I740" s="223"/>
      <c r="J740" s="223"/>
      <c r="K740" s="320"/>
      <c r="L740" s="320"/>
      <c r="M740" s="223"/>
      <c r="N740" s="223"/>
      <c r="O740" s="223"/>
      <c r="P740" s="223"/>
      <c r="Q740" s="223"/>
      <c r="R740" s="223"/>
      <c r="S740" s="223"/>
      <c r="T740" s="223"/>
      <c r="U740" s="223"/>
      <c r="V740" s="223"/>
      <c r="W740" s="223"/>
    </row>
    <row r="741">
      <c r="A741" s="223"/>
      <c r="B741" s="223"/>
      <c r="C741" s="223"/>
      <c r="D741" s="223"/>
      <c r="E741" s="223"/>
      <c r="F741" s="223"/>
      <c r="G741" s="223"/>
      <c r="H741" s="223"/>
      <c r="I741" s="223"/>
      <c r="J741" s="223"/>
      <c r="K741" s="320"/>
      <c r="L741" s="320"/>
      <c r="M741" s="223"/>
      <c r="N741" s="223"/>
      <c r="O741" s="223"/>
      <c r="P741" s="223"/>
      <c r="Q741" s="223"/>
      <c r="R741" s="223"/>
      <c r="S741" s="223"/>
      <c r="T741" s="223"/>
      <c r="U741" s="223"/>
      <c r="V741" s="223"/>
      <c r="W741" s="223"/>
    </row>
    <row r="742">
      <c r="A742" s="223"/>
      <c r="B742" s="223"/>
      <c r="C742" s="223"/>
      <c r="D742" s="223"/>
      <c r="E742" s="223"/>
      <c r="F742" s="223"/>
      <c r="G742" s="223"/>
      <c r="H742" s="223"/>
      <c r="I742" s="223"/>
      <c r="J742" s="223"/>
      <c r="K742" s="320"/>
      <c r="L742" s="320"/>
      <c r="M742" s="223"/>
      <c r="N742" s="223"/>
      <c r="O742" s="223"/>
      <c r="P742" s="223"/>
      <c r="Q742" s="223"/>
      <c r="R742" s="223"/>
      <c r="S742" s="223"/>
      <c r="T742" s="223"/>
      <c r="U742" s="223"/>
      <c r="V742" s="223"/>
      <c r="W742" s="223"/>
    </row>
    <row r="743">
      <c r="A743" s="223"/>
      <c r="B743" s="223"/>
      <c r="C743" s="223"/>
      <c r="D743" s="223"/>
      <c r="E743" s="223"/>
      <c r="F743" s="223"/>
      <c r="G743" s="223"/>
      <c r="H743" s="223"/>
      <c r="I743" s="223"/>
      <c r="J743" s="223"/>
      <c r="K743" s="320"/>
      <c r="L743" s="320"/>
      <c r="M743" s="223"/>
      <c r="N743" s="223"/>
      <c r="O743" s="223"/>
      <c r="P743" s="223"/>
      <c r="Q743" s="223"/>
      <c r="R743" s="223"/>
      <c r="S743" s="223"/>
      <c r="T743" s="223"/>
      <c r="U743" s="223"/>
      <c r="V743" s="223"/>
      <c r="W743" s="223"/>
    </row>
    <row r="744">
      <c r="A744" s="223"/>
      <c r="B744" s="223"/>
      <c r="C744" s="223"/>
      <c r="D744" s="223"/>
      <c r="E744" s="223"/>
      <c r="F744" s="223"/>
      <c r="G744" s="223"/>
      <c r="H744" s="223"/>
      <c r="I744" s="223"/>
      <c r="J744" s="223"/>
      <c r="K744" s="320"/>
      <c r="L744" s="320"/>
      <c r="M744" s="223"/>
      <c r="N744" s="223"/>
      <c r="O744" s="223"/>
      <c r="P744" s="223"/>
      <c r="Q744" s="223"/>
      <c r="R744" s="223"/>
      <c r="S744" s="223"/>
      <c r="T744" s="223"/>
      <c r="U744" s="223"/>
      <c r="V744" s="223"/>
      <c r="W744" s="223"/>
    </row>
    <row r="745">
      <c r="A745" s="223"/>
      <c r="B745" s="223"/>
      <c r="C745" s="223"/>
      <c r="D745" s="223"/>
      <c r="E745" s="223"/>
      <c r="F745" s="223"/>
      <c r="G745" s="223"/>
      <c r="H745" s="223"/>
      <c r="I745" s="223"/>
      <c r="J745" s="223"/>
      <c r="K745" s="320"/>
      <c r="L745" s="320"/>
      <c r="M745" s="223"/>
      <c r="N745" s="223"/>
      <c r="O745" s="223"/>
      <c r="P745" s="223"/>
      <c r="Q745" s="223"/>
      <c r="R745" s="223"/>
      <c r="S745" s="223"/>
      <c r="T745" s="223"/>
      <c r="U745" s="223"/>
      <c r="V745" s="223"/>
      <c r="W745" s="223"/>
    </row>
    <row r="746">
      <c r="A746" s="223"/>
      <c r="B746" s="223"/>
      <c r="C746" s="223"/>
      <c r="D746" s="223"/>
      <c r="E746" s="223"/>
      <c r="F746" s="223"/>
      <c r="G746" s="223"/>
      <c r="H746" s="223"/>
      <c r="I746" s="223"/>
      <c r="J746" s="223"/>
      <c r="K746" s="320"/>
      <c r="L746" s="320"/>
      <c r="M746" s="223"/>
      <c r="N746" s="223"/>
      <c r="O746" s="223"/>
      <c r="P746" s="223"/>
      <c r="Q746" s="223"/>
      <c r="R746" s="223"/>
      <c r="S746" s="223"/>
      <c r="T746" s="223"/>
      <c r="U746" s="223"/>
      <c r="V746" s="223"/>
      <c r="W746" s="223"/>
    </row>
    <row r="747">
      <c r="A747" s="223"/>
      <c r="B747" s="223"/>
      <c r="C747" s="223"/>
      <c r="D747" s="223"/>
      <c r="E747" s="223"/>
      <c r="F747" s="223"/>
      <c r="G747" s="223"/>
      <c r="H747" s="223"/>
      <c r="I747" s="223"/>
      <c r="J747" s="223"/>
      <c r="K747" s="320"/>
      <c r="L747" s="320"/>
      <c r="M747" s="223"/>
      <c r="N747" s="223"/>
      <c r="O747" s="223"/>
      <c r="P747" s="223"/>
      <c r="Q747" s="223"/>
      <c r="R747" s="223"/>
      <c r="S747" s="223"/>
      <c r="T747" s="223"/>
      <c r="U747" s="223"/>
      <c r="V747" s="223"/>
      <c r="W747" s="223"/>
    </row>
    <row r="748">
      <c r="A748" s="223"/>
      <c r="B748" s="223"/>
      <c r="C748" s="223"/>
      <c r="D748" s="223"/>
      <c r="E748" s="223"/>
      <c r="F748" s="223"/>
      <c r="G748" s="223"/>
      <c r="H748" s="223"/>
      <c r="I748" s="223"/>
      <c r="J748" s="223"/>
      <c r="K748" s="320"/>
      <c r="L748" s="320"/>
      <c r="M748" s="223"/>
      <c r="N748" s="223"/>
      <c r="O748" s="223"/>
      <c r="P748" s="223"/>
      <c r="Q748" s="223"/>
      <c r="R748" s="223"/>
      <c r="S748" s="223"/>
      <c r="T748" s="223"/>
      <c r="U748" s="223"/>
      <c r="V748" s="223"/>
      <c r="W748" s="223"/>
    </row>
    <row r="749">
      <c r="A749" s="223"/>
      <c r="B749" s="223"/>
      <c r="C749" s="223"/>
      <c r="D749" s="223"/>
      <c r="E749" s="223"/>
      <c r="F749" s="223"/>
      <c r="G749" s="223"/>
      <c r="H749" s="223"/>
      <c r="I749" s="223"/>
      <c r="J749" s="223"/>
      <c r="K749" s="320"/>
      <c r="L749" s="320"/>
      <c r="M749" s="223"/>
      <c r="N749" s="223"/>
      <c r="O749" s="223"/>
      <c r="P749" s="223"/>
      <c r="Q749" s="223"/>
      <c r="R749" s="223"/>
      <c r="S749" s="223"/>
      <c r="T749" s="223"/>
      <c r="U749" s="223"/>
      <c r="V749" s="223"/>
      <c r="W749" s="223"/>
    </row>
    <row r="750">
      <c r="A750" s="223"/>
      <c r="B750" s="223"/>
      <c r="C750" s="223"/>
      <c r="D750" s="223"/>
      <c r="E750" s="223"/>
      <c r="F750" s="223"/>
      <c r="G750" s="223"/>
      <c r="H750" s="223"/>
      <c r="I750" s="223"/>
      <c r="J750" s="223"/>
      <c r="K750" s="320"/>
      <c r="L750" s="320"/>
      <c r="M750" s="223"/>
      <c r="N750" s="223"/>
      <c r="O750" s="223"/>
      <c r="P750" s="223"/>
      <c r="Q750" s="223"/>
      <c r="R750" s="223"/>
      <c r="S750" s="223"/>
      <c r="T750" s="223"/>
      <c r="U750" s="223"/>
      <c r="V750" s="223"/>
      <c r="W750" s="223"/>
    </row>
    <row r="751">
      <c r="A751" s="223"/>
      <c r="B751" s="223"/>
      <c r="C751" s="223"/>
      <c r="D751" s="223"/>
      <c r="E751" s="223"/>
      <c r="F751" s="223"/>
      <c r="G751" s="223"/>
      <c r="H751" s="223"/>
      <c r="I751" s="223"/>
      <c r="J751" s="223"/>
      <c r="K751" s="320"/>
      <c r="L751" s="320"/>
      <c r="M751" s="223"/>
      <c r="N751" s="223"/>
      <c r="O751" s="223"/>
      <c r="P751" s="223"/>
      <c r="Q751" s="223"/>
      <c r="R751" s="223"/>
      <c r="S751" s="223"/>
      <c r="T751" s="223"/>
      <c r="U751" s="223"/>
      <c r="V751" s="223"/>
      <c r="W751" s="223"/>
    </row>
    <row r="752">
      <c r="A752" s="223"/>
      <c r="B752" s="223"/>
      <c r="C752" s="223"/>
      <c r="D752" s="223"/>
      <c r="E752" s="223"/>
      <c r="F752" s="223"/>
      <c r="G752" s="223"/>
      <c r="H752" s="223"/>
      <c r="I752" s="223"/>
      <c r="J752" s="223"/>
      <c r="K752" s="320"/>
      <c r="L752" s="320"/>
      <c r="M752" s="223"/>
      <c r="N752" s="223"/>
      <c r="O752" s="223"/>
      <c r="P752" s="223"/>
      <c r="Q752" s="223"/>
      <c r="R752" s="223"/>
      <c r="S752" s="223"/>
      <c r="T752" s="223"/>
      <c r="U752" s="223"/>
      <c r="V752" s="223"/>
      <c r="W752" s="223"/>
    </row>
    <row r="753">
      <c r="A753" s="223"/>
      <c r="B753" s="223"/>
      <c r="C753" s="223"/>
      <c r="D753" s="223"/>
      <c r="E753" s="223"/>
      <c r="F753" s="223"/>
      <c r="G753" s="223"/>
      <c r="H753" s="223"/>
      <c r="I753" s="223"/>
      <c r="J753" s="223"/>
      <c r="K753" s="320"/>
      <c r="L753" s="320"/>
      <c r="M753" s="223"/>
      <c r="N753" s="223"/>
      <c r="O753" s="223"/>
      <c r="P753" s="223"/>
      <c r="Q753" s="223"/>
      <c r="R753" s="223"/>
      <c r="S753" s="223"/>
      <c r="T753" s="223"/>
      <c r="U753" s="223"/>
      <c r="V753" s="223"/>
      <c r="W753" s="223"/>
    </row>
    <row r="754">
      <c r="A754" s="223"/>
      <c r="B754" s="223"/>
      <c r="C754" s="223"/>
      <c r="D754" s="223"/>
      <c r="E754" s="223"/>
      <c r="F754" s="223"/>
      <c r="G754" s="223"/>
      <c r="H754" s="223"/>
      <c r="I754" s="223"/>
      <c r="J754" s="223"/>
      <c r="K754" s="320"/>
      <c r="L754" s="320"/>
      <c r="M754" s="223"/>
      <c r="N754" s="223"/>
      <c r="O754" s="223"/>
      <c r="P754" s="223"/>
      <c r="Q754" s="223"/>
      <c r="R754" s="223"/>
      <c r="S754" s="223"/>
      <c r="T754" s="223"/>
      <c r="U754" s="223"/>
      <c r="V754" s="223"/>
      <c r="W754" s="223"/>
    </row>
    <row r="755">
      <c r="A755" s="223"/>
      <c r="B755" s="223"/>
      <c r="C755" s="223"/>
      <c r="D755" s="223"/>
      <c r="E755" s="223"/>
      <c r="F755" s="223"/>
      <c r="G755" s="223"/>
      <c r="H755" s="223"/>
      <c r="I755" s="223"/>
      <c r="J755" s="223"/>
      <c r="K755" s="320"/>
      <c r="L755" s="320"/>
      <c r="M755" s="223"/>
      <c r="N755" s="223"/>
      <c r="O755" s="223"/>
      <c r="P755" s="223"/>
      <c r="Q755" s="223"/>
      <c r="R755" s="223"/>
      <c r="S755" s="223"/>
      <c r="T755" s="223"/>
      <c r="U755" s="223"/>
      <c r="V755" s="223"/>
      <c r="W755" s="223"/>
    </row>
    <row r="756">
      <c r="A756" s="223"/>
      <c r="B756" s="223"/>
      <c r="C756" s="223"/>
      <c r="D756" s="223"/>
      <c r="E756" s="223"/>
      <c r="F756" s="223"/>
      <c r="G756" s="223"/>
      <c r="H756" s="223"/>
      <c r="I756" s="223"/>
      <c r="J756" s="223"/>
      <c r="K756" s="320"/>
      <c r="L756" s="320"/>
      <c r="M756" s="223"/>
      <c r="N756" s="223"/>
      <c r="O756" s="223"/>
      <c r="P756" s="223"/>
      <c r="Q756" s="223"/>
      <c r="R756" s="223"/>
      <c r="S756" s="223"/>
      <c r="T756" s="223"/>
      <c r="U756" s="223"/>
      <c r="V756" s="223"/>
      <c r="W756" s="223"/>
    </row>
    <row r="757">
      <c r="A757" s="223"/>
      <c r="B757" s="223"/>
      <c r="C757" s="223"/>
      <c r="D757" s="223"/>
      <c r="E757" s="223"/>
      <c r="F757" s="223"/>
      <c r="G757" s="223"/>
      <c r="H757" s="223"/>
      <c r="I757" s="223"/>
      <c r="J757" s="223"/>
      <c r="K757" s="320"/>
      <c r="L757" s="320"/>
      <c r="M757" s="223"/>
      <c r="N757" s="223"/>
      <c r="O757" s="223"/>
      <c r="P757" s="223"/>
      <c r="Q757" s="223"/>
      <c r="R757" s="223"/>
      <c r="S757" s="223"/>
      <c r="T757" s="223"/>
      <c r="U757" s="223"/>
      <c r="V757" s="223"/>
      <c r="W757" s="223"/>
    </row>
    <row r="758">
      <c r="A758" s="223"/>
      <c r="B758" s="223"/>
      <c r="C758" s="223"/>
      <c r="D758" s="223"/>
      <c r="E758" s="223"/>
      <c r="F758" s="223"/>
      <c r="G758" s="223"/>
      <c r="H758" s="223"/>
      <c r="I758" s="223"/>
      <c r="J758" s="223"/>
      <c r="K758" s="320"/>
      <c r="L758" s="320"/>
      <c r="M758" s="223"/>
      <c r="N758" s="223"/>
      <c r="O758" s="223"/>
      <c r="P758" s="223"/>
      <c r="Q758" s="223"/>
      <c r="R758" s="223"/>
      <c r="S758" s="223"/>
      <c r="T758" s="223"/>
      <c r="U758" s="223"/>
      <c r="V758" s="223"/>
      <c r="W758" s="223"/>
    </row>
    <row r="759">
      <c r="A759" s="223"/>
      <c r="B759" s="223"/>
      <c r="C759" s="223"/>
      <c r="D759" s="223"/>
      <c r="E759" s="223"/>
      <c r="F759" s="223"/>
      <c r="G759" s="223"/>
      <c r="H759" s="223"/>
      <c r="I759" s="223"/>
      <c r="J759" s="223"/>
      <c r="K759" s="320"/>
      <c r="L759" s="320"/>
      <c r="M759" s="223"/>
      <c r="N759" s="223"/>
      <c r="O759" s="223"/>
      <c r="P759" s="223"/>
      <c r="Q759" s="223"/>
      <c r="R759" s="223"/>
      <c r="S759" s="223"/>
      <c r="T759" s="223"/>
      <c r="U759" s="223"/>
      <c r="V759" s="223"/>
      <c r="W759" s="223"/>
    </row>
    <row r="760">
      <c r="A760" s="223"/>
      <c r="B760" s="223"/>
      <c r="C760" s="223"/>
      <c r="D760" s="223"/>
      <c r="E760" s="223"/>
      <c r="F760" s="223"/>
      <c r="G760" s="223"/>
      <c r="H760" s="223"/>
      <c r="I760" s="223"/>
      <c r="J760" s="223"/>
      <c r="K760" s="320"/>
      <c r="L760" s="320"/>
      <c r="M760" s="223"/>
      <c r="N760" s="223"/>
      <c r="O760" s="223"/>
      <c r="P760" s="223"/>
      <c r="Q760" s="223"/>
      <c r="R760" s="223"/>
      <c r="S760" s="223"/>
      <c r="T760" s="223"/>
      <c r="U760" s="223"/>
      <c r="V760" s="223"/>
      <c r="W760" s="223"/>
    </row>
    <row r="761">
      <c r="A761" s="223"/>
      <c r="B761" s="223"/>
      <c r="C761" s="223"/>
      <c r="D761" s="223"/>
      <c r="E761" s="223"/>
      <c r="F761" s="223"/>
      <c r="G761" s="223"/>
      <c r="H761" s="223"/>
      <c r="I761" s="223"/>
      <c r="J761" s="223"/>
      <c r="K761" s="320"/>
      <c r="L761" s="320"/>
      <c r="M761" s="223"/>
      <c r="N761" s="223"/>
      <c r="O761" s="223"/>
      <c r="P761" s="223"/>
      <c r="Q761" s="223"/>
      <c r="R761" s="223"/>
      <c r="S761" s="223"/>
      <c r="T761" s="223"/>
      <c r="U761" s="223"/>
      <c r="V761" s="223"/>
      <c r="W761" s="223"/>
    </row>
    <row r="762">
      <c r="A762" s="223"/>
      <c r="B762" s="223"/>
      <c r="C762" s="223"/>
      <c r="D762" s="223"/>
      <c r="E762" s="223"/>
      <c r="F762" s="223"/>
      <c r="G762" s="223"/>
      <c r="H762" s="223"/>
      <c r="I762" s="223"/>
      <c r="J762" s="223"/>
      <c r="K762" s="320"/>
      <c r="L762" s="320"/>
      <c r="M762" s="223"/>
      <c r="N762" s="223"/>
      <c r="O762" s="223"/>
      <c r="P762" s="223"/>
      <c r="Q762" s="223"/>
      <c r="R762" s="223"/>
      <c r="S762" s="223"/>
      <c r="T762" s="223"/>
      <c r="U762" s="223"/>
      <c r="V762" s="223"/>
      <c r="W762" s="223"/>
    </row>
    <row r="763">
      <c r="A763" s="223"/>
      <c r="B763" s="223"/>
      <c r="C763" s="223"/>
      <c r="D763" s="223"/>
      <c r="E763" s="223"/>
      <c r="F763" s="223"/>
      <c r="G763" s="223"/>
      <c r="H763" s="223"/>
      <c r="I763" s="223"/>
      <c r="J763" s="223"/>
      <c r="K763" s="320"/>
      <c r="L763" s="320"/>
      <c r="M763" s="223"/>
      <c r="N763" s="223"/>
      <c r="O763" s="223"/>
      <c r="P763" s="223"/>
      <c r="Q763" s="223"/>
      <c r="R763" s="223"/>
      <c r="S763" s="223"/>
      <c r="T763" s="223"/>
      <c r="U763" s="223"/>
      <c r="V763" s="223"/>
      <c r="W763" s="223"/>
    </row>
    <row r="764">
      <c r="A764" s="223"/>
      <c r="B764" s="223"/>
      <c r="C764" s="223"/>
      <c r="D764" s="223"/>
      <c r="E764" s="223"/>
      <c r="F764" s="223"/>
      <c r="G764" s="223"/>
      <c r="H764" s="223"/>
      <c r="I764" s="223"/>
      <c r="J764" s="223"/>
      <c r="K764" s="320"/>
      <c r="L764" s="320"/>
      <c r="M764" s="223"/>
      <c r="N764" s="223"/>
      <c r="O764" s="223"/>
      <c r="P764" s="223"/>
      <c r="Q764" s="223"/>
      <c r="R764" s="223"/>
      <c r="S764" s="223"/>
      <c r="T764" s="223"/>
      <c r="U764" s="223"/>
      <c r="V764" s="223"/>
      <c r="W764" s="223"/>
    </row>
    <row r="765">
      <c r="A765" s="223"/>
      <c r="B765" s="223"/>
      <c r="C765" s="223"/>
      <c r="D765" s="223"/>
      <c r="E765" s="223"/>
      <c r="F765" s="223"/>
      <c r="G765" s="223"/>
      <c r="H765" s="223"/>
      <c r="I765" s="223"/>
      <c r="J765" s="223"/>
      <c r="K765" s="320"/>
      <c r="L765" s="320"/>
      <c r="M765" s="223"/>
      <c r="N765" s="223"/>
      <c r="O765" s="223"/>
      <c r="P765" s="223"/>
      <c r="Q765" s="223"/>
      <c r="R765" s="223"/>
      <c r="S765" s="223"/>
      <c r="T765" s="223"/>
      <c r="U765" s="223"/>
      <c r="V765" s="223"/>
      <c r="W765" s="223"/>
    </row>
    <row r="766">
      <c r="A766" s="223"/>
      <c r="B766" s="223"/>
      <c r="C766" s="223"/>
      <c r="D766" s="223"/>
      <c r="E766" s="223"/>
      <c r="F766" s="223"/>
      <c r="G766" s="223"/>
      <c r="H766" s="223"/>
      <c r="I766" s="223"/>
      <c r="J766" s="223"/>
      <c r="K766" s="320"/>
      <c r="L766" s="320"/>
      <c r="M766" s="223"/>
      <c r="N766" s="223"/>
      <c r="O766" s="223"/>
      <c r="P766" s="223"/>
      <c r="Q766" s="223"/>
      <c r="R766" s="223"/>
      <c r="S766" s="223"/>
      <c r="T766" s="223"/>
      <c r="U766" s="223"/>
      <c r="V766" s="223"/>
      <c r="W766" s="223"/>
    </row>
    <row r="767">
      <c r="A767" s="223"/>
      <c r="B767" s="223"/>
      <c r="C767" s="223"/>
      <c r="D767" s="223"/>
      <c r="E767" s="223"/>
      <c r="F767" s="223"/>
      <c r="G767" s="223"/>
      <c r="H767" s="223"/>
      <c r="I767" s="223"/>
      <c r="J767" s="223"/>
      <c r="K767" s="320"/>
      <c r="L767" s="320"/>
      <c r="M767" s="223"/>
      <c r="N767" s="223"/>
      <c r="O767" s="223"/>
      <c r="P767" s="223"/>
      <c r="Q767" s="223"/>
      <c r="R767" s="223"/>
      <c r="S767" s="223"/>
      <c r="T767" s="223"/>
      <c r="U767" s="223"/>
      <c r="V767" s="223"/>
      <c r="W767" s="223"/>
    </row>
    <row r="768">
      <c r="A768" s="223"/>
      <c r="B768" s="223"/>
      <c r="C768" s="223"/>
      <c r="D768" s="223"/>
      <c r="E768" s="223"/>
      <c r="F768" s="223"/>
      <c r="G768" s="223"/>
      <c r="H768" s="223"/>
      <c r="I768" s="223"/>
      <c r="J768" s="223"/>
      <c r="K768" s="320"/>
      <c r="L768" s="320"/>
      <c r="M768" s="223"/>
      <c r="N768" s="223"/>
      <c r="O768" s="223"/>
      <c r="P768" s="223"/>
      <c r="Q768" s="223"/>
      <c r="R768" s="223"/>
      <c r="S768" s="223"/>
      <c r="T768" s="223"/>
      <c r="U768" s="223"/>
      <c r="V768" s="223"/>
      <c r="W768" s="223"/>
    </row>
    <row r="769">
      <c r="A769" s="223"/>
      <c r="B769" s="223"/>
      <c r="C769" s="223"/>
      <c r="D769" s="223"/>
      <c r="E769" s="223"/>
      <c r="F769" s="223"/>
      <c r="G769" s="223"/>
      <c r="H769" s="223"/>
      <c r="I769" s="223"/>
      <c r="J769" s="223"/>
      <c r="K769" s="320"/>
      <c r="L769" s="320"/>
      <c r="M769" s="223"/>
      <c r="N769" s="223"/>
      <c r="O769" s="223"/>
      <c r="P769" s="223"/>
      <c r="Q769" s="223"/>
      <c r="R769" s="223"/>
      <c r="S769" s="223"/>
      <c r="T769" s="223"/>
      <c r="U769" s="223"/>
      <c r="V769" s="223"/>
      <c r="W769" s="223"/>
    </row>
    <row r="770">
      <c r="A770" s="223"/>
      <c r="B770" s="223"/>
      <c r="C770" s="223"/>
      <c r="D770" s="223"/>
      <c r="E770" s="223"/>
      <c r="F770" s="223"/>
      <c r="G770" s="223"/>
      <c r="H770" s="223"/>
      <c r="I770" s="223"/>
      <c r="J770" s="223"/>
      <c r="K770" s="320"/>
      <c r="L770" s="320"/>
      <c r="M770" s="223"/>
      <c r="N770" s="223"/>
      <c r="O770" s="223"/>
      <c r="P770" s="223"/>
      <c r="Q770" s="223"/>
      <c r="R770" s="223"/>
      <c r="S770" s="223"/>
      <c r="T770" s="223"/>
      <c r="U770" s="223"/>
      <c r="V770" s="223"/>
      <c r="W770" s="223"/>
    </row>
    <row r="771">
      <c r="A771" s="223"/>
      <c r="B771" s="223"/>
      <c r="C771" s="223"/>
      <c r="D771" s="223"/>
      <c r="E771" s="223"/>
      <c r="F771" s="223"/>
      <c r="G771" s="223"/>
      <c r="H771" s="223"/>
      <c r="I771" s="223"/>
      <c r="J771" s="223"/>
      <c r="K771" s="320"/>
      <c r="L771" s="320"/>
      <c r="M771" s="223"/>
      <c r="N771" s="223"/>
      <c r="O771" s="223"/>
      <c r="P771" s="223"/>
      <c r="Q771" s="223"/>
      <c r="R771" s="223"/>
      <c r="S771" s="223"/>
      <c r="T771" s="223"/>
      <c r="U771" s="223"/>
      <c r="V771" s="223"/>
      <c r="W771" s="223"/>
    </row>
    <row r="772">
      <c r="A772" s="223"/>
      <c r="B772" s="223"/>
      <c r="C772" s="223"/>
      <c r="D772" s="223"/>
      <c r="E772" s="223"/>
      <c r="F772" s="223"/>
      <c r="G772" s="223"/>
      <c r="H772" s="223"/>
      <c r="I772" s="223"/>
      <c r="J772" s="223"/>
      <c r="K772" s="320"/>
      <c r="L772" s="320"/>
      <c r="M772" s="223"/>
      <c r="N772" s="223"/>
      <c r="O772" s="223"/>
      <c r="P772" s="223"/>
      <c r="Q772" s="223"/>
      <c r="R772" s="223"/>
      <c r="S772" s="223"/>
      <c r="T772" s="223"/>
      <c r="U772" s="223"/>
      <c r="V772" s="223"/>
      <c r="W772" s="223"/>
    </row>
    <row r="773">
      <c r="A773" s="223"/>
      <c r="B773" s="223"/>
      <c r="C773" s="223"/>
      <c r="D773" s="223"/>
      <c r="E773" s="223"/>
      <c r="F773" s="223"/>
      <c r="G773" s="223"/>
      <c r="H773" s="223"/>
      <c r="I773" s="223"/>
      <c r="J773" s="223"/>
      <c r="K773" s="320"/>
      <c r="L773" s="320"/>
      <c r="M773" s="223"/>
      <c r="N773" s="223"/>
      <c r="O773" s="223"/>
      <c r="P773" s="223"/>
      <c r="Q773" s="223"/>
      <c r="R773" s="223"/>
      <c r="S773" s="223"/>
      <c r="T773" s="223"/>
      <c r="U773" s="223"/>
      <c r="V773" s="223"/>
      <c r="W773" s="223"/>
    </row>
    <row r="774">
      <c r="A774" s="223"/>
      <c r="B774" s="223"/>
      <c r="C774" s="223"/>
      <c r="D774" s="223"/>
      <c r="E774" s="223"/>
      <c r="F774" s="223"/>
      <c r="G774" s="223"/>
      <c r="H774" s="223"/>
      <c r="I774" s="223"/>
      <c r="J774" s="223"/>
      <c r="K774" s="320"/>
      <c r="L774" s="320"/>
      <c r="M774" s="223"/>
      <c r="N774" s="223"/>
      <c r="O774" s="223"/>
      <c r="P774" s="223"/>
      <c r="Q774" s="223"/>
      <c r="R774" s="223"/>
      <c r="S774" s="223"/>
      <c r="T774" s="223"/>
      <c r="U774" s="223"/>
      <c r="V774" s="223"/>
      <c r="W774" s="223"/>
    </row>
    <row r="775">
      <c r="A775" s="223"/>
      <c r="B775" s="223"/>
      <c r="C775" s="223"/>
      <c r="D775" s="223"/>
      <c r="E775" s="223"/>
      <c r="F775" s="223"/>
      <c r="G775" s="223"/>
      <c r="H775" s="223"/>
      <c r="I775" s="223"/>
      <c r="J775" s="223"/>
      <c r="K775" s="320"/>
      <c r="L775" s="320"/>
      <c r="M775" s="223"/>
      <c r="N775" s="223"/>
      <c r="O775" s="223"/>
      <c r="P775" s="223"/>
      <c r="Q775" s="223"/>
      <c r="R775" s="223"/>
      <c r="S775" s="223"/>
      <c r="T775" s="223"/>
      <c r="U775" s="223"/>
      <c r="V775" s="223"/>
      <c r="W775" s="223"/>
    </row>
    <row r="776">
      <c r="A776" s="223"/>
      <c r="B776" s="223"/>
      <c r="C776" s="223"/>
      <c r="D776" s="223"/>
      <c r="E776" s="223"/>
      <c r="F776" s="223"/>
      <c r="G776" s="223"/>
      <c r="H776" s="223"/>
      <c r="I776" s="223"/>
      <c r="J776" s="223"/>
      <c r="K776" s="320"/>
      <c r="L776" s="320"/>
      <c r="M776" s="223"/>
      <c r="N776" s="223"/>
      <c r="O776" s="223"/>
      <c r="P776" s="223"/>
      <c r="Q776" s="223"/>
      <c r="R776" s="223"/>
      <c r="S776" s="223"/>
      <c r="T776" s="223"/>
      <c r="U776" s="223"/>
      <c r="V776" s="223"/>
      <c r="W776" s="223"/>
    </row>
    <row r="777">
      <c r="A777" s="223"/>
      <c r="B777" s="223"/>
      <c r="C777" s="223"/>
      <c r="D777" s="223"/>
      <c r="E777" s="223"/>
      <c r="F777" s="223"/>
      <c r="G777" s="223"/>
      <c r="H777" s="223"/>
      <c r="I777" s="223"/>
      <c r="J777" s="223"/>
      <c r="K777" s="320"/>
      <c r="L777" s="320"/>
      <c r="M777" s="223"/>
      <c r="N777" s="223"/>
      <c r="O777" s="223"/>
      <c r="P777" s="223"/>
      <c r="Q777" s="223"/>
      <c r="R777" s="223"/>
      <c r="S777" s="223"/>
      <c r="T777" s="223"/>
      <c r="U777" s="223"/>
      <c r="V777" s="223"/>
      <c r="W777" s="223"/>
    </row>
    <row r="778">
      <c r="A778" s="223"/>
      <c r="B778" s="223"/>
      <c r="C778" s="223"/>
      <c r="D778" s="223"/>
      <c r="E778" s="223"/>
      <c r="F778" s="223"/>
      <c r="G778" s="223"/>
      <c r="H778" s="223"/>
      <c r="I778" s="223"/>
      <c r="J778" s="223"/>
      <c r="K778" s="320"/>
      <c r="L778" s="320"/>
      <c r="M778" s="223"/>
      <c r="N778" s="223"/>
      <c r="O778" s="223"/>
      <c r="P778" s="223"/>
      <c r="Q778" s="223"/>
      <c r="R778" s="223"/>
      <c r="S778" s="223"/>
      <c r="T778" s="223"/>
      <c r="U778" s="223"/>
      <c r="V778" s="223"/>
      <c r="W778" s="223"/>
    </row>
    <row r="779">
      <c r="A779" s="223"/>
      <c r="B779" s="223"/>
      <c r="C779" s="223"/>
      <c r="D779" s="223"/>
      <c r="E779" s="223"/>
      <c r="F779" s="223"/>
      <c r="G779" s="223"/>
      <c r="H779" s="223"/>
      <c r="I779" s="223"/>
      <c r="J779" s="223"/>
      <c r="K779" s="320"/>
      <c r="L779" s="320"/>
      <c r="M779" s="223"/>
      <c r="N779" s="223"/>
      <c r="O779" s="223"/>
      <c r="P779" s="223"/>
      <c r="Q779" s="223"/>
      <c r="R779" s="223"/>
      <c r="S779" s="223"/>
      <c r="T779" s="223"/>
      <c r="U779" s="223"/>
      <c r="V779" s="223"/>
      <c r="W779" s="223"/>
    </row>
    <row r="780">
      <c r="A780" s="223"/>
      <c r="B780" s="223"/>
      <c r="C780" s="223"/>
      <c r="D780" s="223"/>
      <c r="E780" s="223"/>
      <c r="F780" s="223"/>
      <c r="G780" s="223"/>
      <c r="H780" s="223"/>
      <c r="I780" s="223"/>
      <c r="J780" s="223"/>
      <c r="K780" s="320"/>
      <c r="L780" s="320"/>
      <c r="M780" s="223"/>
      <c r="N780" s="223"/>
      <c r="O780" s="223"/>
      <c r="P780" s="223"/>
      <c r="Q780" s="223"/>
      <c r="R780" s="223"/>
      <c r="S780" s="223"/>
      <c r="T780" s="223"/>
      <c r="U780" s="223"/>
      <c r="V780" s="223"/>
      <c r="W780" s="223"/>
    </row>
    <row r="781">
      <c r="A781" s="223"/>
      <c r="B781" s="223"/>
      <c r="C781" s="223"/>
      <c r="D781" s="223"/>
      <c r="E781" s="223"/>
      <c r="F781" s="223"/>
      <c r="G781" s="223"/>
      <c r="H781" s="223"/>
      <c r="I781" s="223"/>
      <c r="J781" s="223"/>
      <c r="K781" s="320"/>
      <c r="L781" s="320"/>
      <c r="M781" s="223"/>
      <c r="N781" s="223"/>
      <c r="O781" s="223"/>
      <c r="P781" s="223"/>
      <c r="Q781" s="223"/>
      <c r="R781" s="223"/>
      <c r="S781" s="223"/>
      <c r="T781" s="223"/>
      <c r="U781" s="223"/>
      <c r="V781" s="223"/>
      <c r="W781" s="223"/>
    </row>
    <row r="782">
      <c r="A782" s="223"/>
      <c r="B782" s="223"/>
      <c r="C782" s="223"/>
      <c r="D782" s="223"/>
      <c r="E782" s="223"/>
      <c r="F782" s="223"/>
      <c r="G782" s="223"/>
      <c r="H782" s="223"/>
      <c r="I782" s="223"/>
      <c r="J782" s="223"/>
      <c r="K782" s="320"/>
      <c r="L782" s="320"/>
      <c r="M782" s="223"/>
      <c r="N782" s="223"/>
      <c r="O782" s="223"/>
      <c r="P782" s="223"/>
      <c r="Q782" s="223"/>
      <c r="R782" s="223"/>
      <c r="S782" s="223"/>
      <c r="T782" s="223"/>
      <c r="U782" s="223"/>
      <c r="V782" s="223"/>
      <c r="W782" s="223"/>
    </row>
    <row r="783">
      <c r="A783" s="223"/>
      <c r="B783" s="223"/>
      <c r="C783" s="223"/>
      <c r="D783" s="223"/>
      <c r="E783" s="223"/>
      <c r="F783" s="223"/>
      <c r="G783" s="223"/>
      <c r="H783" s="223"/>
      <c r="I783" s="223"/>
      <c r="J783" s="223"/>
      <c r="K783" s="320"/>
      <c r="L783" s="320"/>
      <c r="M783" s="223"/>
      <c r="N783" s="223"/>
      <c r="O783" s="223"/>
      <c r="P783" s="223"/>
      <c r="Q783" s="223"/>
      <c r="R783" s="223"/>
      <c r="S783" s="223"/>
      <c r="T783" s="223"/>
      <c r="U783" s="223"/>
      <c r="V783" s="223"/>
      <c r="W783" s="223"/>
    </row>
    <row r="784">
      <c r="A784" s="223"/>
      <c r="B784" s="223"/>
      <c r="C784" s="223"/>
      <c r="D784" s="223"/>
      <c r="E784" s="223"/>
      <c r="F784" s="223"/>
      <c r="G784" s="223"/>
      <c r="H784" s="223"/>
      <c r="I784" s="223"/>
      <c r="J784" s="223"/>
      <c r="K784" s="320"/>
      <c r="L784" s="320"/>
      <c r="M784" s="223"/>
      <c r="N784" s="223"/>
      <c r="O784" s="223"/>
      <c r="P784" s="223"/>
      <c r="Q784" s="223"/>
      <c r="R784" s="223"/>
      <c r="S784" s="223"/>
      <c r="T784" s="223"/>
      <c r="U784" s="223"/>
      <c r="V784" s="223"/>
      <c r="W784" s="223"/>
    </row>
    <row r="785">
      <c r="A785" s="223"/>
      <c r="B785" s="223"/>
      <c r="C785" s="223"/>
      <c r="D785" s="223"/>
      <c r="E785" s="223"/>
      <c r="F785" s="223"/>
      <c r="G785" s="223"/>
      <c r="H785" s="223"/>
      <c r="I785" s="223"/>
      <c r="J785" s="223"/>
      <c r="K785" s="320"/>
      <c r="L785" s="320"/>
      <c r="M785" s="223"/>
      <c r="N785" s="223"/>
      <c r="O785" s="223"/>
      <c r="P785" s="223"/>
      <c r="Q785" s="223"/>
      <c r="R785" s="223"/>
      <c r="S785" s="223"/>
      <c r="T785" s="223"/>
      <c r="U785" s="223"/>
      <c r="V785" s="223"/>
      <c r="W785" s="223"/>
    </row>
    <row r="786">
      <c r="A786" s="223"/>
      <c r="B786" s="223"/>
      <c r="C786" s="223"/>
      <c r="D786" s="223"/>
      <c r="E786" s="223"/>
      <c r="F786" s="223"/>
      <c r="G786" s="223"/>
      <c r="H786" s="223"/>
      <c r="I786" s="223"/>
      <c r="J786" s="223"/>
      <c r="K786" s="320"/>
      <c r="L786" s="320"/>
      <c r="M786" s="223"/>
      <c r="N786" s="223"/>
      <c r="O786" s="223"/>
      <c r="P786" s="223"/>
      <c r="Q786" s="223"/>
      <c r="R786" s="223"/>
      <c r="S786" s="223"/>
      <c r="T786" s="223"/>
      <c r="U786" s="223"/>
      <c r="V786" s="223"/>
      <c r="W786" s="223"/>
    </row>
    <row r="787">
      <c r="A787" s="223"/>
      <c r="B787" s="223"/>
      <c r="C787" s="223"/>
      <c r="D787" s="223"/>
      <c r="E787" s="223"/>
      <c r="F787" s="223"/>
      <c r="G787" s="223"/>
      <c r="H787" s="223"/>
      <c r="I787" s="223"/>
      <c r="J787" s="223"/>
      <c r="K787" s="320"/>
      <c r="L787" s="320"/>
      <c r="M787" s="223"/>
      <c r="N787" s="223"/>
      <c r="O787" s="223"/>
      <c r="P787" s="223"/>
      <c r="Q787" s="223"/>
      <c r="R787" s="223"/>
      <c r="S787" s="223"/>
      <c r="T787" s="223"/>
      <c r="U787" s="223"/>
      <c r="V787" s="223"/>
      <c r="W787" s="223"/>
    </row>
    <row r="788">
      <c r="A788" s="223"/>
      <c r="B788" s="223"/>
      <c r="C788" s="223"/>
      <c r="D788" s="223"/>
      <c r="E788" s="223"/>
      <c r="F788" s="223"/>
      <c r="G788" s="223"/>
      <c r="H788" s="223"/>
      <c r="I788" s="223"/>
      <c r="J788" s="223"/>
      <c r="K788" s="320"/>
      <c r="L788" s="320"/>
      <c r="M788" s="223"/>
      <c r="N788" s="223"/>
      <c r="O788" s="223"/>
      <c r="P788" s="223"/>
      <c r="Q788" s="223"/>
      <c r="R788" s="223"/>
      <c r="S788" s="223"/>
      <c r="T788" s="223"/>
      <c r="U788" s="223"/>
      <c r="V788" s="223"/>
      <c r="W788" s="223"/>
    </row>
    <row r="789">
      <c r="A789" s="223"/>
      <c r="B789" s="223"/>
      <c r="C789" s="223"/>
      <c r="D789" s="223"/>
      <c r="E789" s="223"/>
      <c r="F789" s="223"/>
      <c r="G789" s="223"/>
      <c r="H789" s="223"/>
      <c r="I789" s="223"/>
      <c r="J789" s="223"/>
      <c r="K789" s="320"/>
      <c r="L789" s="320"/>
      <c r="M789" s="223"/>
      <c r="N789" s="223"/>
      <c r="O789" s="223"/>
      <c r="P789" s="223"/>
      <c r="Q789" s="223"/>
      <c r="R789" s="223"/>
      <c r="S789" s="223"/>
      <c r="T789" s="223"/>
      <c r="U789" s="223"/>
      <c r="V789" s="223"/>
      <c r="W789" s="223"/>
    </row>
    <row r="790">
      <c r="A790" s="223"/>
      <c r="B790" s="223"/>
      <c r="C790" s="223"/>
      <c r="D790" s="223"/>
      <c r="E790" s="223"/>
      <c r="F790" s="223"/>
      <c r="G790" s="223"/>
      <c r="H790" s="223"/>
      <c r="I790" s="223"/>
      <c r="J790" s="223"/>
      <c r="K790" s="320"/>
      <c r="L790" s="320"/>
      <c r="M790" s="223"/>
      <c r="N790" s="223"/>
      <c r="O790" s="223"/>
      <c r="P790" s="223"/>
      <c r="Q790" s="223"/>
      <c r="R790" s="223"/>
      <c r="S790" s="223"/>
      <c r="T790" s="223"/>
      <c r="U790" s="223"/>
      <c r="V790" s="223"/>
      <c r="W790" s="223"/>
    </row>
    <row r="791">
      <c r="A791" s="223"/>
      <c r="B791" s="223"/>
      <c r="C791" s="223"/>
      <c r="D791" s="223"/>
      <c r="E791" s="223"/>
      <c r="F791" s="223"/>
      <c r="G791" s="223"/>
      <c r="H791" s="223"/>
      <c r="I791" s="223"/>
      <c r="J791" s="223"/>
      <c r="K791" s="320"/>
      <c r="L791" s="320"/>
      <c r="M791" s="223"/>
      <c r="N791" s="223"/>
      <c r="O791" s="223"/>
      <c r="P791" s="223"/>
      <c r="Q791" s="223"/>
      <c r="R791" s="223"/>
      <c r="S791" s="223"/>
      <c r="T791" s="223"/>
      <c r="U791" s="223"/>
      <c r="V791" s="223"/>
      <c r="W791" s="223"/>
    </row>
    <row r="792">
      <c r="A792" s="223"/>
      <c r="B792" s="223"/>
      <c r="C792" s="223"/>
      <c r="D792" s="223"/>
      <c r="E792" s="223"/>
      <c r="F792" s="223"/>
      <c r="G792" s="223"/>
      <c r="H792" s="223"/>
      <c r="I792" s="223"/>
      <c r="J792" s="223"/>
      <c r="K792" s="320"/>
      <c r="L792" s="320"/>
      <c r="M792" s="223"/>
      <c r="N792" s="223"/>
      <c r="O792" s="223"/>
      <c r="P792" s="223"/>
      <c r="Q792" s="223"/>
      <c r="R792" s="223"/>
      <c r="S792" s="223"/>
      <c r="T792" s="223"/>
      <c r="U792" s="223"/>
      <c r="V792" s="223"/>
      <c r="W792" s="223"/>
    </row>
    <row r="793">
      <c r="A793" s="223"/>
      <c r="B793" s="223"/>
      <c r="C793" s="223"/>
      <c r="D793" s="223"/>
      <c r="E793" s="223"/>
      <c r="F793" s="223"/>
      <c r="G793" s="223"/>
      <c r="H793" s="223"/>
      <c r="I793" s="223"/>
      <c r="J793" s="223"/>
      <c r="K793" s="320"/>
      <c r="L793" s="320"/>
      <c r="M793" s="223"/>
      <c r="N793" s="223"/>
      <c r="O793" s="223"/>
      <c r="P793" s="223"/>
      <c r="Q793" s="223"/>
      <c r="R793" s="223"/>
      <c r="S793" s="223"/>
      <c r="T793" s="223"/>
      <c r="U793" s="223"/>
      <c r="V793" s="223"/>
      <c r="W793" s="223"/>
    </row>
    <row r="794">
      <c r="A794" s="223"/>
      <c r="B794" s="223"/>
      <c r="C794" s="223"/>
      <c r="D794" s="223"/>
      <c r="E794" s="223"/>
      <c r="F794" s="223"/>
      <c r="G794" s="223"/>
      <c r="H794" s="223"/>
      <c r="I794" s="223"/>
      <c r="J794" s="223"/>
      <c r="K794" s="320"/>
      <c r="L794" s="320"/>
      <c r="M794" s="223"/>
      <c r="N794" s="223"/>
      <c r="O794" s="223"/>
      <c r="P794" s="223"/>
      <c r="Q794" s="223"/>
      <c r="R794" s="223"/>
      <c r="S794" s="223"/>
      <c r="T794" s="223"/>
      <c r="U794" s="223"/>
      <c r="V794" s="223"/>
      <c r="W794" s="223"/>
    </row>
    <row r="795">
      <c r="A795" s="223"/>
      <c r="B795" s="223"/>
      <c r="C795" s="223"/>
      <c r="D795" s="223"/>
      <c r="E795" s="223"/>
      <c r="F795" s="223"/>
      <c r="G795" s="223"/>
      <c r="H795" s="223"/>
      <c r="I795" s="223"/>
      <c r="J795" s="223"/>
      <c r="K795" s="320"/>
      <c r="L795" s="320"/>
      <c r="M795" s="223"/>
      <c r="N795" s="223"/>
      <c r="O795" s="223"/>
      <c r="P795" s="223"/>
      <c r="Q795" s="223"/>
      <c r="R795" s="223"/>
      <c r="S795" s="223"/>
      <c r="T795" s="223"/>
      <c r="U795" s="223"/>
      <c r="V795" s="223"/>
      <c r="W795" s="223"/>
    </row>
    <row r="796">
      <c r="A796" s="223"/>
      <c r="B796" s="223"/>
      <c r="C796" s="223"/>
      <c r="D796" s="223"/>
      <c r="E796" s="223"/>
      <c r="F796" s="223"/>
      <c r="G796" s="223"/>
      <c r="H796" s="223"/>
      <c r="I796" s="223"/>
      <c r="J796" s="223"/>
      <c r="K796" s="320"/>
      <c r="L796" s="320"/>
      <c r="M796" s="223"/>
      <c r="N796" s="223"/>
      <c r="O796" s="223"/>
      <c r="P796" s="223"/>
      <c r="Q796" s="223"/>
      <c r="R796" s="223"/>
      <c r="S796" s="223"/>
      <c r="T796" s="223"/>
      <c r="U796" s="223"/>
      <c r="V796" s="223"/>
      <c r="W796" s="223"/>
    </row>
    <row r="797">
      <c r="A797" s="223"/>
      <c r="B797" s="223"/>
      <c r="C797" s="223"/>
      <c r="D797" s="223"/>
      <c r="E797" s="223"/>
      <c r="F797" s="223"/>
      <c r="G797" s="223"/>
      <c r="H797" s="223"/>
      <c r="I797" s="223"/>
      <c r="J797" s="223"/>
      <c r="K797" s="320"/>
      <c r="L797" s="320"/>
      <c r="M797" s="223"/>
      <c r="N797" s="223"/>
      <c r="O797" s="223"/>
      <c r="P797" s="223"/>
      <c r="Q797" s="223"/>
      <c r="R797" s="223"/>
      <c r="S797" s="223"/>
      <c r="T797" s="223"/>
      <c r="U797" s="223"/>
      <c r="V797" s="223"/>
      <c r="W797" s="223"/>
    </row>
    <row r="798">
      <c r="A798" s="223"/>
      <c r="B798" s="223"/>
      <c r="C798" s="223"/>
      <c r="D798" s="223"/>
      <c r="E798" s="223"/>
      <c r="F798" s="223"/>
      <c r="G798" s="223"/>
      <c r="H798" s="223"/>
      <c r="I798" s="223"/>
      <c r="J798" s="223"/>
      <c r="K798" s="320"/>
      <c r="L798" s="320"/>
      <c r="M798" s="223"/>
      <c r="N798" s="223"/>
      <c r="O798" s="223"/>
      <c r="P798" s="223"/>
      <c r="Q798" s="223"/>
      <c r="R798" s="223"/>
      <c r="S798" s="223"/>
      <c r="T798" s="223"/>
      <c r="U798" s="223"/>
      <c r="V798" s="223"/>
      <c r="W798" s="223"/>
    </row>
    <row r="799">
      <c r="A799" s="223"/>
      <c r="B799" s="223"/>
      <c r="C799" s="223"/>
      <c r="D799" s="223"/>
      <c r="E799" s="223"/>
      <c r="F799" s="223"/>
      <c r="G799" s="223"/>
      <c r="H799" s="223"/>
      <c r="I799" s="223"/>
      <c r="J799" s="223"/>
      <c r="K799" s="320"/>
      <c r="L799" s="320"/>
      <c r="M799" s="223"/>
      <c r="N799" s="223"/>
      <c r="O799" s="223"/>
      <c r="P799" s="223"/>
      <c r="Q799" s="223"/>
      <c r="R799" s="223"/>
      <c r="S799" s="223"/>
      <c r="T799" s="223"/>
      <c r="U799" s="223"/>
      <c r="V799" s="223"/>
      <c r="W799" s="223"/>
    </row>
    <row r="800">
      <c r="A800" s="223"/>
      <c r="B800" s="223"/>
      <c r="C800" s="223"/>
      <c r="D800" s="223"/>
      <c r="E800" s="223"/>
      <c r="F800" s="223"/>
      <c r="G800" s="223"/>
      <c r="H800" s="223"/>
      <c r="I800" s="223"/>
      <c r="J800" s="223"/>
      <c r="K800" s="320"/>
      <c r="L800" s="320"/>
      <c r="M800" s="223"/>
      <c r="N800" s="223"/>
      <c r="O800" s="223"/>
      <c r="P800" s="223"/>
      <c r="Q800" s="223"/>
      <c r="R800" s="223"/>
      <c r="S800" s="223"/>
      <c r="T800" s="223"/>
      <c r="U800" s="223"/>
      <c r="V800" s="223"/>
      <c r="W800" s="223"/>
    </row>
    <row r="801">
      <c r="A801" s="223"/>
      <c r="B801" s="223"/>
      <c r="C801" s="223"/>
      <c r="D801" s="223"/>
      <c r="E801" s="223"/>
      <c r="F801" s="223"/>
      <c r="G801" s="223"/>
      <c r="H801" s="223"/>
      <c r="I801" s="223"/>
      <c r="J801" s="223"/>
      <c r="K801" s="320"/>
      <c r="L801" s="320"/>
      <c r="M801" s="223"/>
      <c r="N801" s="223"/>
      <c r="O801" s="223"/>
      <c r="P801" s="223"/>
      <c r="Q801" s="223"/>
      <c r="R801" s="223"/>
      <c r="S801" s="223"/>
      <c r="T801" s="223"/>
      <c r="U801" s="223"/>
      <c r="V801" s="223"/>
      <c r="W801" s="223"/>
    </row>
    <row r="802">
      <c r="A802" s="223"/>
      <c r="B802" s="223"/>
      <c r="C802" s="223"/>
      <c r="D802" s="223"/>
      <c r="E802" s="223"/>
      <c r="F802" s="223"/>
      <c r="G802" s="223"/>
      <c r="H802" s="223"/>
      <c r="I802" s="223"/>
      <c r="J802" s="223"/>
      <c r="K802" s="320"/>
      <c r="L802" s="320"/>
      <c r="M802" s="223"/>
      <c r="N802" s="223"/>
      <c r="O802" s="223"/>
      <c r="P802" s="223"/>
      <c r="Q802" s="223"/>
      <c r="R802" s="223"/>
      <c r="S802" s="223"/>
      <c r="T802" s="223"/>
      <c r="U802" s="223"/>
      <c r="V802" s="223"/>
      <c r="W802" s="223"/>
    </row>
    <row r="803">
      <c r="A803" s="223"/>
      <c r="B803" s="223"/>
      <c r="C803" s="223"/>
      <c r="D803" s="223"/>
      <c r="E803" s="223"/>
      <c r="F803" s="223"/>
      <c r="G803" s="223"/>
      <c r="H803" s="223"/>
      <c r="I803" s="223"/>
      <c r="J803" s="223"/>
      <c r="K803" s="320"/>
      <c r="L803" s="320"/>
      <c r="M803" s="223"/>
      <c r="N803" s="223"/>
      <c r="O803" s="223"/>
      <c r="P803" s="223"/>
      <c r="Q803" s="223"/>
      <c r="R803" s="223"/>
      <c r="S803" s="223"/>
      <c r="T803" s="223"/>
      <c r="U803" s="223"/>
      <c r="V803" s="223"/>
      <c r="W803" s="223"/>
    </row>
    <row r="804">
      <c r="A804" s="223"/>
      <c r="B804" s="223"/>
      <c r="C804" s="223"/>
      <c r="D804" s="223"/>
      <c r="E804" s="223"/>
      <c r="F804" s="223"/>
      <c r="G804" s="223"/>
      <c r="H804" s="223"/>
      <c r="I804" s="223"/>
      <c r="J804" s="223"/>
      <c r="K804" s="320"/>
      <c r="L804" s="320"/>
      <c r="M804" s="223"/>
      <c r="N804" s="223"/>
      <c r="O804" s="223"/>
      <c r="P804" s="223"/>
      <c r="Q804" s="223"/>
      <c r="R804" s="223"/>
      <c r="S804" s="223"/>
      <c r="T804" s="223"/>
      <c r="U804" s="223"/>
      <c r="V804" s="223"/>
      <c r="W804" s="223"/>
    </row>
    <row r="805">
      <c r="A805" s="223"/>
      <c r="B805" s="223"/>
      <c r="C805" s="223"/>
      <c r="D805" s="223"/>
      <c r="E805" s="223"/>
      <c r="F805" s="223"/>
      <c r="G805" s="223"/>
      <c r="H805" s="223"/>
      <c r="I805" s="223"/>
      <c r="J805" s="223"/>
      <c r="K805" s="320"/>
      <c r="L805" s="320"/>
      <c r="M805" s="223"/>
      <c r="N805" s="223"/>
      <c r="O805" s="223"/>
      <c r="P805" s="223"/>
      <c r="Q805" s="223"/>
      <c r="R805" s="223"/>
      <c r="S805" s="223"/>
      <c r="T805" s="223"/>
      <c r="U805" s="223"/>
      <c r="V805" s="223"/>
      <c r="W805" s="223"/>
    </row>
    <row r="806">
      <c r="A806" s="223"/>
      <c r="B806" s="223"/>
      <c r="C806" s="223"/>
      <c r="D806" s="223"/>
      <c r="E806" s="223"/>
      <c r="F806" s="223"/>
      <c r="G806" s="223"/>
      <c r="H806" s="223"/>
      <c r="I806" s="223"/>
      <c r="J806" s="223"/>
      <c r="K806" s="320"/>
      <c r="L806" s="320"/>
      <c r="M806" s="223"/>
      <c r="N806" s="223"/>
      <c r="O806" s="223"/>
      <c r="P806" s="223"/>
      <c r="Q806" s="223"/>
      <c r="R806" s="223"/>
      <c r="S806" s="223"/>
      <c r="T806" s="223"/>
      <c r="U806" s="223"/>
      <c r="V806" s="223"/>
      <c r="W806" s="223"/>
    </row>
    <row r="807">
      <c r="A807" s="223"/>
      <c r="B807" s="223"/>
      <c r="C807" s="223"/>
      <c r="D807" s="223"/>
      <c r="E807" s="223"/>
      <c r="F807" s="223"/>
      <c r="G807" s="223"/>
      <c r="H807" s="223"/>
      <c r="I807" s="223"/>
      <c r="J807" s="223"/>
      <c r="K807" s="320"/>
      <c r="L807" s="320"/>
      <c r="M807" s="223"/>
      <c r="N807" s="223"/>
      <c r="O807" s="223"/>
      <c r="P807" s="223"/>
      <c r="Q807" s="223"/>
      <c r="R807" s="223"/>
      <c r="S807" s="223"/>
      <c r="T807" s="223"/>
      <c r="U807" s="223"/>
      <c r="V807" s="223"/>
      <c r="W807" s="223"/>
    </row>
    <row r="808">
      <c r="A808" s="223"/>
      <c r="B808" s="223"/>
      <c r="C808" s="223"/>
      <c r="D808" s="223"/>
      <c r="E808" s="223"/>
      <c r="F808" s="223"/>
      <c r="G808" s="223"/>
      <c r="H808" s="223"/>
      <c r="I808" s="223"/>
      <c r="J808" s="223"/>
      <c r="K808" s="320"/>
      <c r="L808" s="320"/>
      <c r="M808" s="223"/>
      <c r="N808" s="223"/>
      <c r="O808" s="223"/>
      <c r="P808" s="223"/>
      <c r="Q808" s="223"/>
      <c r="R808" s="223"/>
      <c r="S808" s="223"/>
      <c r="T808" s="223"/>
      <c r="U808" s="223"/>
      <c r="V808" s="223"/>
      <c r="W808" s="223"/>
    </row>
    <row r="809">
      <c r="A809" s="223"/>
      <c r="B809" s="223"/>
      <c r="C809" s="223"/>
      <c r="D809" s="223"/>
      <c r="E809" s="223"/>
      <c r="F809" s="223"/>
      <c r="G809" s="223"/>
      <c r="H809" s="223"/>
      <c r="I809" s="223"/>
      <c r="J809" s="223"/>
      <c r="K809" s="320"/>
      <c r="L809" s="320"/>
      <c r="M809" s="223"/>
      <c r="N809" s="223"/>
      <c r="O809" s="223"/>
      <c r="P809" s="223"/>
      <c r="Q809" s="223"/>
      <c r="R809" s="223"/>
      <c r="S809" s="223"/>
      <c r="T809" s="223"/>
      <c r="U809" s="223"/>
      <c r="V809" s="223"/>
      <c r="W809" s="223"/>
    </row>
    <row r="810">
      <c r="A810" s="223"/>
      <c r="B810" s="223"/>
      <c r="C810" s="223"/>
      <c r="D810" s="223"/>
      <c r="E810" s="223"/>
      <c r="F810" s="223"/>
      <c r="G810" s="223"/>
      <c r="H810" s="223"/>
      <c r="I810" s="223"/>
      <c r="J810" s="223"/>
      <c r="K810" s="320"/>
      <c r="L810" s="320"/>
      <c r="M810" s="223"/>
      <c r="N810" s="223"/>
      <c r="O810" s="223"/>
      <c r="P810" s="223"/>
      <c r="Q810" s="223"/>
      <c r="R810" s="223"/>
      <c r="S810" s="223"/>
      <c r="T810" s="223"/>
      <c r="U810" s="223"/>
      <c r="V810" s="223"/>
      <c r="W810" s="223"/>
    </row>
    <row r="811">
      <c r="A811" s="223"/>
      <c r="B811" s="223"/>
      <c r="C811" s="223"/>
      <c r="D811" s="223"/>
      <c r="E811" s="223"/>
      <c r="F811" s="223"/>
      <c r="G811" s="223"/>
      <c r="H811" s="223"/>
      <c r="I811" s="223"/>
      <c r="J811" s="223"/>
      <c r="K811" s="320"/>
      <c r="L811" s="320"/>
      <c r="M811" s="223"/>
      <c r="N811" s="223"/>
      <c r="O811" s="223"/>
      <c r="P811" s="223"/>
      <c r="Q811" s="223"/>
      <c r="R811" s="223"/>
      <c r="S811" s="223"/>
      <c r="T811" s="223"/>
      <c r="U811" s="223"/>
      <c r="V811" s="223"/>
      <c r="W811" s="223"/>
    </row>
    <row r="812">
      <c r="A812" s="223"/>
      <c r="B812" s="223"/>
      <c r="C812" s="223"/>
      <c r="D812" s="223"/>
      <c r="E812" s="223"/>
      <c r="F812" s="223"/>
      <c r="G812" s="223"/>
      <c r="H812" s="223"/>
      <c r="I812" s="223"/>
      <c r="J812" s="223"/>
      <c r="K812" s="320"/>
      <c r="L812" s="320"/>
      <c r="M812" s="223"/>
      <c r="N812" s="223"/>
      <c r="O812" s="223"/>
      <c r="P812" s="223"/>
      <c r="Q812" s="223"/>
      <c r="R812" s="223"/>
      <c r="S812" s="223"/>
      <c r="T812" s="223"/>
      <c r="U812" s="223"/>
      <c r="V812" s="223"/>
      <c r="W812" s="223"/>
    </row>
    <row r="813">
      <c r="A813" s="223"/>
      <c r="B813" s="223"/>
      <c r="C813" s="223"/>
      <c r="D813" s="223"/>
      <c r="E813" s="223"/>
      <c r="F813" s="223"/>
      <c r="G813" s="223"/>
      <c r="H813" s="223"/>
      <c r="I813" s="223"/>
      <c r="J813" s="223"/>
      <c r="K813" s="320"/>
      <c r="L813" s="320"/>
      <c r="M813" s="223"/>
      <c r="N813" s="223"/>
      <c r="O813" s="223"/>
      <c r="P813" s="223"/>
      <c r="Q813" s="223"/>
      <c r="R813" s="223"/>
      <c r="S813" s="223"/>
      <c r="T813" s="223"/>
      <c r="U813" s="223"/>
      <c r="V813" s="223"/>
      <c r="W813" s="223"/>
    </row>
    <row r="814">
      <c r="A814" s="223"/>
      <c r="B814" s="223"/>
      <c r="C814" s="223"/>
      <c r="D814" s="223"/>
      <c r="E814" s="223"/>
      <c r="F814" s="223"/>
      <c r="G814" s="223"/>
      <c r="H814" s="223"/>
      <c r="I814" s="223"/>
      <c r="J814" s="223"/>
      <c r="K814" s="320"/>
      <c r="L814" s="320"/>
      <c r="M814" s="223"/>
      <c r="N814" s="223"/>
      <c r="O814" s="223"/>
      <c r="P814" s="223"/>
      <c r="Q814" s="223"/>
      <c r="R814" s="223"/>
      <c r="S814" s="223"/>
      <c r="T814" s="223"/>
      <c r="U814" s="223"/>
      <c r="V814" s="223"/>
      <c r="W814" s="223"/>
    </row>
    <row r="815">
      <c r="A815" s="223"/>
      <c r="B815" s="223"/>
      <c r="C815" s="223"/>
      <c r="D815" s="223"/>
      <c r="E815" s="223"/>
      <c r="F815" s="223"/>
      <c r="G815" s="223"/>
      <c r="H815" s="223"/>
      <c r="I815" s="223"/>
      <c r="J815" s="223"/>
      <c r="K815" s="320"/>
      <c r="L815" s="320"/>
      <c r="M815" s="223"/>
      <c r="N815" s="223"/>
      <c r="O815" s="223"/>
      <c r="P815" s="223"/>
      <c r="Q815" s="223"/>
      <c r="R815" s="223"/>
      <c r="S815" s="223"/>
      <c r="T815" s="223"/>
      <c r="U815" s="223"/>
      <c r="V815" s="223"/>
      <c r="W815" s="223"/>
    </row>
    <row r="816">
      <c r="A816" s="223"/>
      <c r="B816" s="223"/>
      <c r="C816" s="223"/>
      <c r="D816" s="223"/>
      <c r="E816" s="223"/>
      <c r="F816" s="223"/>
      <c r="G816" s="223"/>
      <c r="H816" s="223"/>
      <c r="I816" s="223"/>
      <c r="J816" s="223"/>
      <c r="K816" s="320"/>
      <c r="L816" s="320"/>
      <c r="M816" s="223"/>
      <c r="N816" s="223"/>
      <c r="O816" s="223"/>
      <c r="P816" s="223"/>
      <c r="Q816" s="223"/>
      <c r="R816" s="223"/>
      <c r="S816" s="223"/>
      <c r="T816" s="223"/>
      <c r="U816" s="223"/>
      <c r="V816" s="223"/>
      <c r="W816" s="223"/>
    </row>
    <row r="817">
      <c r="A817" s="223"/>
      <c r="B817" s="223"/>
      <c r="C817" s="223"/>
      <c r="D817" s="223"/>
      <c r="E817" s="223"/>
      <c r="F817" s="223"/>
      <c r="G817" s="223"/>
      <c r="H817" s="223"/>
      <c r="I817" s="223"/>
      <c r="J817" s="223"/>
      <c r="K817" s="320"/>
      <c r="L817" s="320"/>
      <c r="M817" s="223"/>
      <c r="N817" s="223"/>
      <c r="O817" s="223"/>
      <c r="P817" s="223"/>
      <c r="Q817" s="223"/>
      <c r="R817" s="223"/>
      <c r="S817" s="223"/>
      <c r="T817" s="223"/>
      <c r="U817" s="223"/>
      <c r="V817" s="223"/>
      <c r="W817" s="223"/>
    </row>
    <row r="818">
      <c r="A818" s="223"/>
      <c r="B818" s="223"/>
      <c r="C818" s="223"/>
      <c r="D818" s="223"/>
      <c r="E818" s="223"/>
      <c r="F818" s="223"/>
      <c r="G818" s="223"/>
      <c r="H818" s="223"/>
      <c r="I818" s="223"/>
      <c r="J818" s="223"/>
      <c r="K818" s="320"/>
      <c r="L818" s="320"/>
      <c r="M818" s="223"/>
      <c r="N818" s="223"/>
      <c r="O818" s="223"/>
      <c r="P818" s="223"/>
      <c r="Q818" s="223"/>
      <c r="R818" s="223"/>
      <c r="S818" s="223"/>
      <c r="T818" s="223"/>
      <c r="U818" s="223"/>
      <c r="V818" s="223"/>
      <c r="W818" s="223"/>
    </row>
    <row r="819">
      <c r="A819" s="223"/>
      <c r="B819" s="223"/>
      <c r="C819" s="223"/>
      <c r="D819" s="223"/>
      <c r="E819" s="223"/>
      <c r="F819" s="223"/>
      <c r="G819" s="223"/>
      <c r="H819" s="223"/>
      <c r="I819" s="223"/>
      <c r="J819" s="223"/>
      <c r="K819" s="320"/>
      <c r="L819" s="320"/>
      <c r="M819" s="223"/>
      <c r="N819" s="223"/>
      <c r="O819" s="223"/>
      <c r="P819" s="223"/>
      <c r="Q819" s="223"/>
      <c r="R819" s="223"/>
      <c r="S819" s="223"/>
      <c r="T819" s="223"/>
      <c r="U819" s="223"/>
      <c r="V819" s="223"/>
      <c r="W819" s="223"/>
    </row>
    <row r="820">
      <c r="A820" s="223"/>
      <c r="B820" s="223"/>
      <c r="C820" s="223"/>
      <c r="D820" s="223"/>
      <c r="E820" s="223"/>
      <c r="F820" s="223"/>
      <c r="G820" s="223"/>
      <c r="H820" s="223"/>
      <c r="I820" s="223"/>
      <c r="J820" s="223"/>
      <c r="K820" s="320"/>
      <c r="L820" s="320"/>
      <c r="M820" s="223"/>
      <c r="N820" s="223"/>
      <c r="O820" s="223"/>
      <c r="P820" s="223"/>
      <c r="Q820" s="223"/>
      <c r="R820" s="223"/>
      <c r="S820" s="223"/>
      <c r="T820" s="223"/>
      <c r="U820" s="223"/>
      <c r="V820" s="223"/>
      <c r="W820" s="223"/>
    </row>
    <row r="821">
      <c r="A821" s="223"/>
      <c r="B821" s="223"/>
      <c r="C821" s="223"/>
      <c r="D821" s="223"/>
      <c r="E821" s="223"/>
      <c r="F821" s="223"/>
      <c r="G821" s="223"/>
      <c r="H821" s="223"/>
      <c r="I821" s="223"/>
      <c r="J821" s="223"/>
      <c r="K821" s="320"/>
      <c r="L821" s="320"/>
      <c r="M821" s="223"/>
      <c r="N821" s="223"/>
      <c r="O821" s="223"/>
      <c r="P821" s="223"/>
      <c r="Q821" s="223"/>
      <c r="R821" s="223"/>
      <c r="S821" s="223"/>
      <c r="T821" s="223"/>
      <c r="U821" s="223"/>
      <c r="V821" s="223"/>
      <c r="W821" s="223"/>
    </row>
    <row r="822">
      <c r="A822" s="223"/>
      <c r="B822" s="223"/>
      <c r="C822" s="223"/>
      <c r="D822" s="223"/>
      <c r="E822" s="223"/>
      <c r="F822" s="223"/>
      <c r="G822" s="223"/>
      <c r="H822" s="223"/>
      <c r="I822" s="223"/>
      <c r="J822" s="223"/>
      <c r="K822" s="320"/>
      <c r="L822" s="320"/>
      <c r="M822" s="223"/>
      <c r="N822" s="223"/>
      <c r="O822" s="223"/>
      <c r="P822" s="223"/>
      <c r="Q822" s="223"/>
      <c r="R822" s="223"/>
      <c r="S822" s="223"/>
      <c r="T822" s="223"/>
      <c r="U822" s="223"/>
      <c r="V822" s="223"/>
      <c r="W822" s="223"/>
    </row>
    <row r="823">
      <c r="A823" s="223"/>
      <c r="B823" s="223"/>
      <c r="C823" s="223"/>
      <c r="D823" s="223"/>
      <c r="E823" s="223"/>
      <c r="F823" s="223"/>
      <c r="G823" s="223"/>
      <c r="H823" s="223"/>
      <c r="I823" s="223"/>
      <c r="J823" s="223"/>
      <c r="K823" s="320"/>
      <c r="L823" s="320"/>
      <c r="M823" s="223"/>
      <c r="N823" s="223"/>
      <c r="O823" s="223"/>
      <c r="P823" s="223"/>
      <c r="Q823" s="223"/>
      <c r="R823" s="223"/>
      <c r="S823" s="223"/>
      <c r="T823" s="223"/>
      <c r="U823" s="223"/>
      <c r="V823" s="223"/>
      <c r="W823" s="223"/>
    </row>
    <row r="824">
      <c r="A824" s="223"/>
      <c r="B824" s="223"/>
      <c r="C824" s="223"/>
      <c r="D824" s="223"/>
      <c r="E824" s="223"/>
      <c r="F824" s="223"/>
      <c r="G824" s="223"/>
      <c r="H824" s="223"/>
      <c r="I824" s="223"/>
      <c r="J824" s="223"/>
      <c r="K824" s="320"/>
      <c r="L824" s="320"/>
      <c r="M824" s="223"/>
      <c r="N824" s="223"/>
      <c r="O824" s="223"/>
      <c r="P824" s="223"/>
      <c r="Q824" s="223"/>
      <c r="R824" s="223"/>
      <c r="S824" s="223"/>
      <c r="T824" s="223"/>
      <c r="U824" s="223"/>
      <c r="V824" s="223"/>
      <c r="W824" s="223"/>
    </row>
    <row r="825">
      <c r="A825" s="223"/>
      <c r="B825" s="223"/>
      <c r="C825" s="223"/>
      <c r="D825" s="223"/>
      <c r="E825" s="223"/>
      <c r="F825" s="223"/>
      <c r="G825" s="223"/>
      <c r="H825" s="223"/>
      <c r="I825" s="223"/>
      <c r="J825" s="223"/>
      <c r="K825" s="320"/>
      <c r="L825" s="320"/>
      <c r="M825" s="223"/>
      <c r="N825" s="223"/>
      <c r="O825" s="223"/>
      <c r="P825" s="223"/>
      <c r="Q825" s="223"/>
      <c r="R825" s="223"/>
      <c r="S825" s="223"/>
      <c r="T825" s="223"/>
      <c r="U825" s="223"/>
      <c r="V825" s="223"/>
      <c r="W825" s="223"/>
    </row>
    <row r="826">
      <c r="A826" s="223"/>
      <c r="B826" s="223"/>
      <c r="C826" s="223"/>
      <c r="D826" s="223"/>
      <c r="E826" s="223"/>
      <c r="F826" s="223"/>
      <c r="G826" s="223"/>
      <c r="H826" s="223"/>
      <c r="I826" s="223"/>
      <c r="J826" s="223"/>
      <c r="K826" s="320"/>
      <c r="L826" s="320"/>
      <c r="M826" s="223"/>
      <c r="N826" s="223"/>
      <c r="O826" s="223"/>
      <c r="P826" s="223"/>
      <c r="Q826" s="223"/>
      <c r="R826" s="223"/>
      <c r="S826" s="223"/>
      <c r="T826" s="223"/>
      <c r="U826" s="223"/>
      <c r="V826" s="223"/>
      <c r="W826" s="223"/>
    </row>
    <row r="827">
      <c r="A827" s="223"/>
      <c r="B827" s="223"/>
      <c r="C827" s="223"/>
      <c r="D827" s="223"/>
      <c r="E827" s="223"/>
      <c r="F827" s="223"/>
      <c r="G827" s="223"/>
      <c r="H827" s="223"/>
      <c r="I827" s="223"/>
      <c r="J827" s="223"/>
      <c r="K827" s="320"/>
      <c r="L827" s="320"/>
      <c r="M827" s="223"/>
      <c r="N827" s="223"/>
      <c r="O827" s="223"/>
      <c r="P827" s="223"/>
      <c r="Q827" s="223"/>
      <c r="R827" s="223"/>
      <c r="S827" s="223"/>
      <c r="T827" s="223"/>
      <c r="U827" s="223"/>
      <c r="V827" s="223"/>
      <c r="W827" s="223"/>
    </row>
    <row r="828">
      <c r="A828" s="223"/>
      <c r="B828" s="223"/>
      <c r="C828" s="223"/>
      <c r="D828" s="223"/>
      <c r="E828" s="223"/>
      <c r="F828" s="223"/>
      <c r="G828" s="223"/>
      <c r="H828" s="223"/>
      <c r="I828" s="223"/>
      <c r="J828" s="223"/>
      <c r="K828" s="320"/>
      <c r="L828" s="320"/>
      <c r="M828" s="223"/>
      <c r="N828" s="223"/>
      <c r="O828" s="223"/>
      <c r="P828" s="223"/>
      <c r="Q828" s="223"/>
      <c r="R828" s="223"/>
      <c r="S828" s="223"/>
      <c r="T828" s="223"/>
      <c r="U828" s="223"/>
      <c r="V828" s="223"/>
      <c r="W828" s="223"/>
    </row>
    <row r="829">
      <c r="A829" s="223"/>
      <c r="B829" s="223"/>
      <c r="C829" s="223"/>
      <c r="D829" s="223"/>
      <c r="E829" s="223"/>
      <c r="F829" s="223"/>
      <c r="G829" s="223"/>
      <c r="H829" s="223"/>
      <c r="I829" s="223"/>
      <c r="J829" s="223"/>
      <c r="K829" s="320"/>
      <c r="L829" s="320"/>
      <c r="M829" s="223"/>
      <c r="N829" s="223"/>
      <c r="O829" s="223"/>
      <c r="P829" s="223"/>
      <c r="Q829" s="223"/>
      <c r="R829" s="223"/>
      <c r="S829" s="223"/>
      <c r="T829" s="223"/>
      <c r="U829" s="223"/>
      <c r="V829" s="223"/>
      <c r="W829" s="223"/>
    </row>
    <row r="830">
      <c r="A830" s="223"/>
      <c r="B830" s="223"/>
      <c r="C830" s="223"/>
      <c r="D830" s="223"/>
      <c r="E830" s="223"/>
      <c r="F830" s="223"/>
      <c r="G830" s="223"/>
      <c r="H830" s="223"/>
      <c r="I830" s="223"/>
      <c r="J830" s="223"/>
      <c r="K830" s="320"/>
      <c r="L830" s="320"/>
      <c r="M830" s="223"/>
      <c r="N830" s="223"/>
      <c r="O830" s="223"/>
      <c r="P830" s="223"/>
      <c r="Q830" s="223"/>
      <c r="R830" s="223"/>
      <c r="S830" s="223"/>
      <c r="T830" s="223"/>
      <c r="U830" s="223"/>
      <c r="V830" s="223"/>
      <c r="W830" s="223"/>
    </row>
    <row r="831">
      <c r="A831" s="223"/>
      <c r="B831" s="223"/>
      <c r="C831" s="223"/>
      <c r="D831" s="223"/>
      <c r="E831" s="223"/>
      <c r="F831" s="223"/>
      <c r="G831" s="223"/>
      <c r="H831" s="223"/>
      <c r="I831" s="223"/>
      <c r="J831" s="223"/>
      <c r="K831" s="320"/>
      <c r="L831" s="320"/>
      <c r="M831" s="223"/>
      <c r="N831" s="223"/>
      <c r="O831" s="223"/>
      <c r="P831" s="223"/>
      <c r="Q831" s="223"/>
      <c r="R831" s="223"/>
      <c r="S831" s="223"/>
      <c r="T831" s="223"/>
      <c r="U831" s="223"/>
      <c r="V831" s="223"/>
      <c r="W831" s="223"/>
    </row>
    <row r="832">
      <c r="A832" s="223"/>
      <c r="B832" s="223"/>
      <c r="C832" s="223"/>
      <c r="D832" s="223"/>
      <c r="E832" s="223"/>
      <c r="F832" s="223"/>
      <c r="G832" s="223"/>
      <c r="H832" s="223"/>
      <c r="I832" s="223"/>
      <c r="J832" s="223"/>
      <c r="K832" s="320"/>
      <c r="L832" s="320"/>
      <c r="M832" s="223"/>
      <c r="N832" s="223"/>
      <c r="O832" s="223"/>
      <c r="P832" s="223"/>
      <c r="Q832" s="223"/>
      <c r="R832" s="223"/>
      <c r="S832" s="223"/>
      <c r="T832" s="223"/>
      <c r="U832" s="223"/>
      <c r="V832" s="223"/>
      <c r="W832" s="223"/>
    </row>
    <row r="833">
      <c r="A833" s="223"/>
      <c r="B833" s="223"/>
      <c r="C833" s="223"/>
      <c r="D833" s="223"/>
      <c r="E833" s="223"/>
      <c r="F833" s="223"/>
      <c r="G833" s="223"/>
      <c r="H833" s="223"/>
      <c r="I833" s="223"/>
      <c r="J833" s="223"/>
      <c r="K833" s="320"/>
      <c r="L833" s="320"/>
      <c r="M833" s="223"/>
      <c r="N833" s="223"/>
      <c r="O833" s="223"/>
      <c r="P833" s="223"/>
      <c r="Q833" s="223"/>
      <c r="R833" s="223"/>
      <c r="S833" s="223"/>
      <c r="T833" s="223"/>
      <c r="U833" s="223"/>
      <c r="V833" s="223"/>
      <c r="W833" s="223"/>
    </row>
    <row r="834">
      <c r="A834" s="223"/>
      <c r="B834" s="223"/>
      <c r="C834" s="223"/>
      <c r="D834" s="223"/>
      <c r="E834" s="223"/>
      <c r="F834" s="223"/>
      <c r="G834" s="223"/>
      <c r="H834" s="223"/>
      <c r="I834" s="223"/>
      <c r="J834" s="223"/>
      <c r="K834" s="320"/>
      <c r="L834" s="320"/>
      <c r="M834" s="223"/>
      <c r="N834" s="223"/>
      <c r="O834" s="223"/>
      <c r="P834" s="223"/>
      <c r="Q834" s="223"/>
      <c r="R834" s="223"/>
      <c r="S834" s="223"/>
      <c r="T834" s="223"/>
      <c r="U834" s="223"/>
      <c r="V834" s="223"/>
      <c r="W834" s="223"/>
    </row>
    <row r="835">
      <c r="A835" s="223"/>
      <c r="B835" s="223"/>
      <c r="C835" s="223"/>
      <c r="D835" s="223"/>
      <c r="E835" s="223"/>
      <c r="F835" s="223"/>
      <c r="G835" s="223"/>
      <c r="H835" s="223"/>
      <c r="I835" s="223"/>
      <c r="J835" s="223"/>
      <c r="K835" s="320"/>
      <c r="L835" s="320"/>
      <c r="M835" s="223"/>
      <c r="N835" s="223"/>
      <c r="O835" s="223"/>
      <c r="P835" s="223"/>
      <c r="Q835" s="223"/>
      <c r="R835" s="223"/>
      <c r="S835" s="223"/>
      <c r="T835" s="223"/>
      <c r="U835" s="223"/>
      <c r="V835" s="223"/>
      <c r="W835" s="223"/>
    </row>
    <row r="836">
      <c r="A836" s="223"/>
      <c r="B836" s="223"/>
      <c r="C836" s="223"/>
      <c r="D836" s="223"/>
      <c r="E836" s="223"/>
      <c r="F836" s="223"/>
      <c r="G836" s="223"/>
      <c r="H836" s="223"/>
      <c r="I836" s="223"/>
      <c r="J836" s="223"/>
      <c r="K836" s="320"/>
      <c r="L836" s="320"/>
      <c r="M836" s="223"/>
      <c r="N836" s="223"/>
      <c r="O836" s="223"/>
      <c r="P836" s="223"/>
      <c r="Q836" s="223"/>
      <c r="R836" s="223"/>
      <c r="S836" s="223"/>
      <c r="T836" s="223"/>
      <c r="U836" s="223"/>
      <c r="V836" s="223"/>
      <c r="W836" s="223"/>
    </row>
    <row r="837">
      <c r="A837" s="223"/>
      <c r="B837" s="223"/>
      <c r="C837" s="223"/>
      <c r="D837" s="223"/>
      <c r="E837" s="223"/>
      <c r="F837" s="223"/>
      <c r="G837" s="223"/>
      <c r="H837" s="223"/>
      <c r="I837" s="223"/>
      <c r="J837" s="223"/>
      <c r="K837" s="320"/>
      <c r="L837" s="320"/>
      <c r="M837" s="223"/>
      <c r="N837" s="223"/>
      <c r="O837" s="223"/>
      <c r="P837" s="223"/>
      <c r="Q837" s="223"/>
      <c r="R837" s="223"/>
      <c r="S837" s="223"/>
      <c r="T837" s="223"/>
      <c r="U837" s="223"/>
      <c r="V837" s="223"/>
      <c r="W837" s="223"/>
    </row>
    <row r="838">
      <c r="A838" s="223"/>
      <c r="B838" s="223"/>
      <c r="C838" s="223"/>
      <c r="D838" s="223"/>
      <c r="E838" s="223"/>
      <c r="F838" s="223"/>
      <c r="G838" s="223"/>
      <c r="H838" s="223"/>
      <c r="I838" s="223"/>
      <c r="J838" s="223"/>
      <c r="K838" s="320"/>
      <c r="L838" s="320"/>
      <c r="M838" s="223"/>
      <c r="N838" s="223"/>
      <c r="O838" s="223"/>
      <c r="P838" s="223"/>
      <c r="Q838" s="223"/>
      <c r="R838" s="223"/>
      <c r="S838" s="223"/>
      <c r="T838" s="223"/>
      <c r="U838" s="223"/>
      <c r="V838" s="223"/>
      <c r="W838" s="223"/>
    </row>
    <row r="839">
      <c r="A839" s="223"/>
      <c r="B839" s="223"/>
      <c r="C839" s="223"/>
      <c r="D839" s="223"/>
      <c r="E839" s="223"/>
      <c r="F839" s="223"/>
      <c r="G839" s="223"/>
      <c r="H839" s="223"/>
      <c r="I839" s="223"/>
      <c r="J839" s="223"/>
      <c r="K839" s="320"/>
      <c r="L839" s="320"/>
      <c r="M839" s="223"/>
      <c r="N839" s="223"/>
      <c r="O839" s="223"/>
      <c r="P839" s="223"/>
      <c r="Q839" s="223"/>
      <c r="R839" s="223"/>
      <c r="S839" s="223"/>
      <c r="T839" s="223"/>
      <c r="U839" s="223"/>
      <c r="V839" s="223"/>
      <c r="W839" s="223"/>
    </row>
    <row r="840">
      <c r="A840" s="223"/>
      <c r="B840" s="223"/>
      <c r="C840" s="223"/>
      <c r="D840" s="223"/>
      <c r="E840" s="223"/>
      <c r="F840" s="223"/>
      <c r="G840" s="223"/>
      <c r="H840" s="223"/>
      <c r="I840" s="223"/>
      <c r="J840" s="223"/>
      <c r="K840" s="320"/>
      <c r="L840" s="320"/>
      <c r="M840" s="223"/>
      <c r="N840" s="223"/>
      <c r="O840" s="223"/>
      <c r="P840" s="223"/>
      <c r="Q840" s="223"/>
      <c r="R840" s="223"/>
      <c r="S840" s="223"/>
      <c r="T840" s="223"/>
      <c r="U840" s="223"/>
      <c r="V840" s="223"/>
      <c r="W840" s="223"/>
    </row>
    <row r="841">
      <c r="A841" s="223"/>
      <c r="B841" s="223"/>
      <c r="C841" s="223"/>
      <c r="D841" s="223"/>
      <c r="E841" s="223"/>
      <c r="F841" s="223"/>
      <c r="G841" s="223"/>
      <c r="H841" s="223"/>
      <c r="I841" s="223"/>
      <c r="J841" s="223"/>
      <c r="K841" s="320"/>
      <c r="L841" s="320"/>
      <c r="M841" s="223"/>
      <c r="N841" s="223"/>
      <c r="O841" s="223"/>
      <c r="P841" s="223"/>
      <c r="Q841" s="223"/>
      <c r="R841" s="223"/>
      <c r="S841" s="223"/>
      <c r="T841" s="223"/>
      <c r="U841" s="223"/>
      <c r="V841" s="223"/>
      <c r="W841" s="223"/>
    </row>
    <row r="842">
      <c r="A842" s="223"/>
      <c r="B842" s="223"/>
      <c r="C842" s="223"/>
      <c r="D842" s="223"/>
      <c r="E842" s="223"/>
      <c r="F842" s="223"/>
      <c r="G842" s="223"/>
      <c r="H842" s="223"/>
      <c r="I842" s="223"/>
      <c r="J842" s="223"/>
      <c r="K842" s="320"/>
      <c r="L842" s="320"/>
      <c r="M842" s="223"/>
      <c r="N842" s="223"/>
      <c r="O842" s="223"/>
      <c r="P842" s="223"/>
      <c r="Q842" s="223"/>
      <c r="R842" s="223"/>
      <c r="S842" s="223"/>
      <c r="T842" s="223"/>
      <c r="U842" s="223"/>
      <c r="V842" s="223"/>
      <c r="W842" s="223"/>
    </row>
    <row r="843">
      <c r="A843" s="223"/>
      <c r="B843" s="223"/>
      <c r="C843" s="223"/>
      <c r="D843" s="223"/>
      <c r="E843" s="223"/>
      <c r="F843" s="223"/>
      <c r="G843" s="223"/>
      <c r="H843" s="223"/>
      <c r="I843" s="223"/>
      <c r="J843" s="223"/>
      <c r="K843" s="320"/>
      <c r="L843" s="320"/>
      <c r="M843" s="223"/>
      <c r="N843" s="223"/>
      <c r="O843" s="223"/>
      <c r="P843" s="223"/>
      <c r="Q843" s="223"/>
      <c r="R843" s="223"/>
      <c r="S843" s="223"/>
      <c r="T843" s="223"/>
      <c r="U843" s="223"/>
      <c r="V843" s="223"/>
      <c r="W843" s="223"/>
    </row>
    <row r="844">
      <c r="A844" s="223"/>
      <c r="B844" s="223"/>
      <c r="C844" s="223"/>
      <c r="D844" s="223"/>
      <c r="E844" s="223"/>
      <c r="F844" s="223"/>
      <c r="G844" s="223"/>
      <c r="H844" s="223"/>
      <c r="I844" s="223"/>
      <c r="J844" s="223"/>
      <c r="K844" s="320"/>
      <c r="L844" s="320"/>
      <c r="M844" s="223"/>
      <c r="N844" s="223"/>
      <c r="O844" s="223"/>
      <c r="P844" s="223"/>
      <c r="Q844" s="223"/>
      <c r="R844" s="223"/>
      <c r="S844" s="223"/>
      <c r="T844" s="223"/>
      <c r="U844" s="223"/>
      <c r="V844" s="223"/>
      <c r="W844" s="223"/>
    </row>
    <row r="845">
      <c r="A845" s="223"/>
      <c r="B845" s="223"/>
      <c r="C845" s="223"/>
      <c r="D845" s="223"/>
      <c r="E845" s="223"/>
      <c r="F845" s="223"/>
      <c r="G845" s="223"/>
      <c r="H845" s="223"/>
      <c r="I845" s="223"/>
      <c r="J845" s="223"/>
      <c r="K845" s="320"/>
      <c r="L845" s="320"/>
      <c r="M845" s="223"/>
      <c r="N845" s="223"/>
      <c r="O845" s="223"/>
      <c r="P845" s="223"/>
      <c r="Q845" s="223"/>
      <c r="R845" s="223"/>
      <c r="S845" s="223"/>
      <c r="T845" s="223"/>
      <c r="U845" s="223"/>
      <c r="V845" s="223"/>
      <c r="W845" s="223"/>
    </row>
    <row r="846">
      <c r="A846" s="223"/>
      <c r="B846" s="223"/>
      <c r="C846" s="223"/>
      <c r="D846" s="223"/>
      <c r="E846" s="223"/>
      <c r="F846" s="223"/>
      <c r="G846" s="223"/>
      <c r="H846" s="223"/>
      <c r="I846" s="223"/>
      <c r="J846" s="223"/>
      <c r="K846" s="320"/>
      <c r="L846" s="320"/>
      <c r="M846" s="223"/>
      <c r="N846" s="223"/>
      <c r="O846" s="223"/>
      <c r="P846" s="223"/>
      <c r="Q846" s="223"/>
      <c r="R846" s="223"/>
      <c r="S846" s="223"/>
      <c r="T846" s="223"/>
      <c r="U846" s="223"/>
      <c r="V846" s="223"/>
      <c r="W846" s="223"/>
    </row>
    <row r="847">
      <c r="A847" s="223"/>
      <c r="B847" s="223"/>
      <c r="C847" s="223"/>
      <c r="D847" s="223"/>
      <c r="E847" s="223"/>
      <c r="F847" s="223"/>
      <c r="G847" s="223"/>
      <c r="H847" s="223"/>
      <c r="I847" s="223"/>
      <c r="J847" s="223"/>
      <c r="K847" s="320"/>
      <c r="L847" s="320"/>
      <c r="M847" s="223"/>
      <c r="N847" s="223"/>
      <c r="O847" s="223"/>
      <c r="P847" s="223"/>
      <c r="Q847" s="223"/>
      <c r="R847" s="223"/>
      <c r="S847" s="223"/>
      <c r="T847" s="223"/>
      <c r="U847" s="223"/>
      <c r="V847" s="223"/>
      <c r="W847" s="223"/>
    </row>
    <row r="848">
      <c r="A848" s="223"/>
      <c r="B848" s="223"/>
      <c r="C848" s="223"/>
      <c r="D848" s="223"/>
      <c r="E848" s="223"/>
      <c r="F848" s="223"/>
      <c r="G848" s="223"/>
      <c r="H848" s="223"/>
      <c r="I848" s="223"/>
      <c r="J848" s="223"/>
      <c r="K848" s="320"/>
      <c r="L848" s="320"/>
      <c r="M848" s="223"/>
      <c r="N848" s="223"/>
      <c r="O848" s="223"/>
      <c r="P848" s="223"/>
      <c r="Q848" s="223"/>
      <c r="R848" s="223"/>
      <c r="S848" s="223"/>
      <c r="T848" s="223"/>
      <c r="U848" s="223"/>
      <c r="V848" s="223"/>
      <c r="W848" s="223"/>
    </row>
    <row r="849">
      <c r="A849" s="223"/>
      <c r="B849" s="223"/>
      <c r="C849" s="223"/>
      <c r="D849" s="223"/>
      <c r="E849" s="223"/>
      <c r="F849" s="223"/>
      <c r="G849" s="223"/>
      <c r="H849" s="223"/>
      <c r="I849" s="223"/>
      <c r="J849" s="223"/>
      <c r="K849" s="320"/>
      <c r="L849" s="320"/>
      <c r="M849" s="223"/>
      <c r="N849" s="223"/>
      <c r="O849" s="223"/>
      <c r="P849" s="223"/>
      <c r="Q849" s="223"/>
      <c r="R849" s="223"/>
      <c r="S849" s="223"/>
      <c r="T849" s="223"/>
      <c r="U849" s="223"/>
      <c r="V849" s="223"/>
      <c r="W849" s="223"/>
    </row>
    <row r="850">
      <c r="A850" s="223"/>
      <c r="B850" s="223"/>
      <c r="C850" s="223"/>
      <c r="D850" s="223"/>
      <c r="E850" s="223"/>
      <c r="F850" s="223"/>
      <c r="G850" s="223"/>
      <c r="H850" s="223"/>
      <c r="I850" s="223"/>
      <c r="J850" s="223"/>
      <c r="K850" s="320"/>
      <c r="L850" s="320"/>
      <c r="M850" s="223"/>
      <c r="N850" s="223"/>
      <c r="O850" s="223"/>
      <c r="P850" s="223"/>
      <c r="Q850" s="223"/>
      <c r="R850" s="223"/>
      <c r="S850" s="223"/>
      <c r="T850" s="223"/>
      <c r="U850" s="223"/>
      <c r="V850" s="223"/>
      <c r="W850" s="223"/>
    </row>
    <row r="851">
      <c r="A851" s="223"/>
      <c r="B851" s="223"/>
      <c r="C851" s="223"/>
      <c r="D851" s="223"/>
      <c r="E851" s="223"/>
      <c r="F851" s="223"/>
      <c r="G851" s="223"/>
      <c r="H851" s="223"/>
      <c r="I851" s="223"/>
      <c r="J851" s="223"/>
      <c r="K851" s="320"/>
      <c r="L851" s="320"/>
      <c r="M851" s="223"/>
      <c r="N851" s="223"/>
      <c r="O851" s="223"/>
      <c r="P851" s="223"/>
      <c r="Q851" s="223"/>
      <c r="R851" s="223"/>
      <c r="S851" s="223"/>
      <c r="T851" s="223"/>
      <c r="U851" s="223"/>
      <c r="V851" s="223"/>
      <c r="W851" s="223"/>
    </row>
    <row r="852">
      <c r="A852" s="223"/>
      <c r="B852" s="223"/>
      <c r="C852" s="223"/>
      <c r="D852" s="223"/>
      <c r="E852" s="223"/>
      <c r="F852" s="223"/>
      <c r="G852" s="223"/>
      <c r="H852" s="223"/>
      <c r="I852" s="223"/>
      <c r="J852" s="223"/>
      <c r="K852" s="320"/>
      <c r="L852" s="320"/>
      <c r="M852" s="223"/>
      <c r="N852" s="223"/>
      <c r="O852" s="223"/>
      <c r="P852" s="223"/>
      <c r="Q852" s="223"/>
      <c r="R852" s="223"/>
      <c r="S852" s="223"/>
      <c r="T852" s="223"/>
      <c r="U852" s="223"/>
      <c r="V852" s="223"/>
      <c r="W852" s="223"/>
    </row>
    <row r="853">
      <c r="A853" s="223"/>
      <c r="B853" s="223"/>
      <c r="C853" s="223"/>
      <c r="D853" s="223"/>
      <c r="E853" s="223"/>
      <c r="F853" s="223"/>
      <c r="G853" s="223"/>
      <c r="H853" s="223"/>
      <c r="I853" s="223"/>
      <c r="J853" s="223"/>
      <c r="K853" s="320"/>
      <c r="L853" s="320"/>
      <c r="M853" s="223"/>
      <c r="N853" s="223"/>
      <c r="O853" s="223"/>
      <c r="P853" s="223"/>
      <c r="Q853" s="223"/>
      <c r="R853" s="223"/>
      <c r="S853" s="223"/>
      <c r="T853" s="223"/>
      <c r="U853" s="223"/>
      <c r="V853" s="223"/>
      <c r="W853" s="223"/>
    </row>
    <row r="854">
      <c r="A854" s="223"/>
      <c r="B854" s="223"/>
      <c r="C854" s="223"/>
      <c r="D854" s="223"/>
      <c r="E854" s="223"/>
      <c r="F854" s="223"/>
      <c r="G854" s="223"/>
      <c r="H854" s="223"/>
      <c r="I854" s="223"/>
      <c r="J854" s="223"/>
      <c r="K854" s="320"/>
      <c r="L854" s="320"/>
      <c r="M854" s="223"/>
      <c r="N854" s="223"/>
      <c r="O854" s="223"/>
      <c r="P854" s="223"/>
      <c r="Q854" s="223"/>
      <c r="R854" s="223"/>
      <c r="S854" s="223"/>
      <c r="T854" s="223"/>
      <c r="U854" s="223"/>
      <c r="V854" s="223"/>
      <c r="W854" s="223"/>
    </row>
    <row r="855">
      <c r="A855" s="223"/>
      <c r="B855" s="223"/>
      <c r="C855" s="223"/>
      <c r="D855" s="223"/>
      <c r="E855" s="223"/>
      <c r="F855" s="223"/>
      <c r="G855" s="223"/>
      <c r="H855" s="223"/>
      <c r="I855" s="223"/>
      <c r="J855" s="223"/>
      <c r="K855" s="320"/>
      <c r="L855" s="320"/>
      <c r="M855" s="223"/>
      <c r="N855" s="223"/>
      <c r="O855" s="223"/>
      <c r="P855" s="223"/>
      <c r="Q855" s="223"/>
      <c r="R855" s="223"/>
      <c r="S855" s="223"/>
      <c r="T855" s="223"/>
      <c r="U855" s="223"/>
      <c r="V855" s="223"/>
      <c r="W855" s="223"/>
    </row>
    <row r="856">
      <c r="A856" s="223"/>
      <c r="B856" s="223"/>
      <c r="C856" s="223"/>
      <c r="D856" s="223"/>
      <c r="E856" s="223"/>
      <c r="F856" s="223"/>
      <c r="G856" s="223"/>
      <c r="H856" s="223"/>
      <c r="I856" s="223"/>
      <c r="J856" s="223"/>
      <c r="K856" s="320"/>
      <c r="L856" s="320"/>
      <c r="M856" s="223"/>
      <c r="N856" s="223"/>
      <c r="O856" s="223"/>
      <c r="P856" s="223"/>
      <c r="Q856" s="223"/>
      <c r="R856" s="223"/>
      <c r="S856" s="223"/>
      <c r="T856" s="223"/>
      <c r="U856" s="223"/>
      <c r="V856" s="223"/>
      <c r="W856" s="223"/>
    </row>
    <row r="857">
      <c r="A857" s="223"/>
      <c r="B857" s="223"/>
      <c r="C857" s="223"/>
      <c r="D857" s="223"/>
      <c r="E857" s="223"/>
      <c r="F857" s="223"/>
      <c r="G857" s="223"/>
      <c r="H857" s="223"/>
      <c r="I857" s="223"/>
      <c r="J857" s="223"/>
      <c r="K857" s="320"/>
      <c r="L857" s="320"/>
      <c r="M857" s="223"/>
      <c r="N857" s="223"/>
      <c r="O857" s="223"/>
      <c r="P857" s="223"/>
      <c r="Q857" s="223"/>
      <c r="R857" s="223"/>
      <c r="S857" s="223"/>
      <c r="T857" s="223"/>
      <c r="U857" s="223"/>
      <c r="V857" s="223"/>
      <c r="W857" s="223"/>
    </row>
    <row r="858">
      <c r="A858" s="223"/>
      <c r="B858" s="223"/>
      <c r="C858" s="223"/>
      <c r="D858" s="223"/>
      <c r="E858" s="223"/>
      <c r="F858" s="223"/>
      <c r="G858" s="223"/>
      <c r="H858" s="223"/>
      <c r="I858" s="223"/>
      <c r="J858" s="223"/>
      <c r="K858" s="320"/>
      <c r="L858" s="320"/>
      <c r="M858" s="223"/>
      <c r="N858" s="223"/>
      <c r="O858" s="223"/>
      <c r="P858" s="223"/>
      <c r="Q858" s="223"/>
      <c r="R858" s="223"/>
      <c r="S858" s="223"/>
      <c r="T858" s="223"/>
      <c r="U858" s="223"/>
      <c r="V858" s="223"/>
      <c r="W858" s="223"/>
    </row>
    <row r="859">
      <c r="A859" s="223"/>
      <c r="B859" s="223"/>
      <c r="C859" s="223"/>
      <c r="D859" s="223"/>
      <c r="E859" s="223"/>
      <c r="F859" s="223"/>
      <c r="G859" s="223"/>
      <c r="H859" s="223"/>
      <c r="I859" s="223"/>
      <c r="J859" s="223"/>
      <c r="K859" s="320"/>
      <c r="L859" s="320"/>
      <c r="M859" s="223"/>
      <c r="N859" s="223"/>
      <c r="O859" s="223"/>
      <c r="P859" s="223"/>
      <c r="Q859" s="223"/>
      <c r="R859" s="223"/>
      <c r="S859" s="223"/>
      <c r="T859" s="223"/>
      <c r="U859" s="223"/>
      <c r="V859" s="223"/>
      <c r="W859" s="223"/>
    </row>
    <row r="860">
      <c r="A860" s="223"/>
      <c r="B860" s="223"/>
      <c r="C860" s="223"/>
      <c r="D860" s="223"/>
      <c r="E860" s="223"/>
      <c r="F860" s="223"/>
      <c r="G860" s="223"/>
      <c r="H860" s="223"/>
      <c r="I860" s="223"/>
      <c r="J860" s="223"/>
      <c r="K860" s="320"/>
      <c r="L860" s="320"/>
      <c r="M860" s="223"/>
      <c r="N860" s="223"/>
      <c r="O860" s="223"/>
      <c r="P860" s="223"/>
      <c r="Q860" s="223"/>
      <c r="R860" s="223"/>
      <c r="S860" s="223"/>
      <c r="T860" s="223"/>
      <c r="U860" s="223"/>
      <c r="V860" s="223"/>
      <c r="W860" s="223"/>
    </row>
    <row r="861">
      <c r="A861" s="223"/>
      <c r="B861" s="223"/>
      <c r="C861" s="223"/>
      <c r="D861" s="223"/>
      <c r="E861" s="223"/>
      <c r="F861" s="223"/>
      <c r="G861" s="223"/>
      <c r="H861" s="223"/>
      <c r="I861" s="223"/>
      <c r="J861" s="223"/>
      <c r="K861" s="320"/>
      <c r="L861" s="320"/>
      <c r="M861" s="223"/>
      <c r="N861" s="223"/>
      <c r="O861" s="223"/>
      <c r="P861" s="223"/>
      <c r="Q861" s="223"/>
      <c r="R861" s="223"/>
      <c r="S861" s="223"/>
      <c r="T861" s="223"/>
      <c r="U861" s="223"/>
      <c r="V861" s="223"/>
      <c r="W861" s="223"/>
    </row>
    <row r="862">
      <c r="A862" s="223"/>
      <c r="B862" s="223"/>
      <c r="C862" s="223"/>
      <c r="D862" s="223"/>
      <c r="E862" s="223"/>
      <c r="F862" s="223"/>
      <c r="G862" s="223"/>
      <c r="H862" s="223"/>
      <c r="I862" s="223"/>
      <c r="J862" s="223"/>
      <c r="K862" s="320"/>
      <c r="L862" s="320"/>
      <c r="M862" s="223"/>
      <c r="N862" s="223"/>
      <c r="O862" s="223"/>
      <c r="P862" s="223"/>
      <c r="Q862" s="223"/>
      <c r="R862" s="223"/>
      <c r="S862" s="223"/>
      <c r="T862" s="223"/>
      <c r="U862" s="223"/>
      <c r="V862" s="223"/>
      <c r="W862" s="223"/>
    </row>
    <row r="863">
      <c r="A863" s="223"/>
      <c r="B863" s="223"/>
      <c r="C863" s="223"/>
      <c r="D863" s="223"/>
      <c r="E863" s="223"/>
      <c r="F863" s="223"/>
      <c r="G863" s="223"/>
      <c r="H863" s="223"/>
      <c r="I863" s="223"/>
      <c r="J863" s="223"/>
      <c r="K863" s="320"/>
      <c r="L863" s="320"/>
      <c r="M863" s="223"/>
      <c r="N863" s="223"/>
      <c r="O863" s="223"/>
      <c r="P863" s="223"/>
      <c r="Q863" s="223"/>
      <c r="R863" s="223"/>
      <c r="S863" s="223"/>
      <c r="T863" s="223"/>
      <c r="U863" s="223"/>
      <c r="V863" s="223"/>
      <c r="W863" s="223"/>
    </row>
    <row r="864">
      <c r="A864" s="223"/>
      <c r="B864" s="223"/>
      <c r="C864" s="223"/>
      <c r="D864" s="223"/>
      <c r="E864" s="223"/>
      <c r="F864" s="223"/>
      <c r="G864" s="223"/>
      <c r="H864" s="223"/>
      <c r="I864" s="223"/>
      <c r="J864" s="223"/>
      <c r="K864" s="320"/>
      <c r="L864" s="320"/>
      <c r="M864" s="223"/>
      <c r="N864" s="223"/>
      <c r="O864" s="223"/>
      <c r="P864" s="223"/>
      <c r="Q864" s="223"/>
      <c r="R864" s="223"/>
      <c r="S864" s="223"/>
      <c r="T864" s="223"/>
      <c r="U864" s="223"/>
      <c r="V864" s="223"/>
      <c r="W864" s="223"/>
    </row>
    <row r="865">
      <c r="A865" s="223"/>
      <c r="B865" s="223"/>
      <c r="C865" s="223"/>
      <c r="D865" s="223"/>
      <c r="E865" s="223"/>
      <c r="F865" s="223"/>
      <c r="G865" s="223"/>
      <c r="H865" s="223"/>
      <c r="I865" s="223"/>
      <c r="J865" s="223"/>
      <c r="K865" s="320"/>
      <c r="L865" s="320"/>
      <c r="M865" s="223"/>
      <c r="N865" s="223"/>
      <c r="O865" s="223"/>
      <c r="P865" s="223"/>
      <c r="Q865" s="223"/>
      <c r="R865" s="223"/>
      <c r="S865" s="223"/>
      <c r="T865" s="223"/>
      <c r="U865" s="223"/>
      <c r="V865" s="223"/>
      <c r="W865" s="223"/>
    </row>
    <row r="866">
      <c r="A866" s="223"/>
      <c r="B866" s="223"/>
      <c r="C866" s="223"/>
      <c r="D866" s="223"/>
      <c r="E866" s="223"/>
      <c r="F866" s="223"/>
      <c r="G866" s="223"/>
      <c r="H866" s="223"/>
      <c r="I866" s="223"/>
      <c r="J866" s="223"/>
      <c r="K866" s="320"/>
      <c r="L866" s="320"/>
      <c r="M866" s="223"/>
      <c r="N866" s="223"/>
      <c r="O866" s="223"/>
      <c r="P866" s="223"/>
      <c r="Q866" s="223"/>
      <c r="R866" s="223"/>
      <c r="S866" s="223"/>
      <c r="T866" s="223"/>
      <c r="U866" s="223"/>
      <c r="V866" s="223"/>
      <c r="W866" s="223"/>
    </row>
    <row r="867">
      <c r="A867" s="223"/>
      <c r="B867" s="223"/>
      <c r="C867" s="223"/>
      <c r="D867" s="223"/>
      <c r="E867" s="223"/>
      <c r="F867" s="223"/>
      <c r="G867" s="223"/>
      <c r="H867" s="223"/>
      <c r="I867" s="223"/>
      <c r="J867" s="223"/>
      <c r="K867" s="320"/>
      <c r="L867" s="320"/>
      <c r="M867" s="223"/>
      <c r="N867" s="223"/>
      <c r="O867" s="223"/>
      <c r="P867" s="223"/>
      <c r="Q867" s="223"/>
      <c r="R867" s="223"/>
      <c r="S867" s="223"/>
      <c r="T867" s="223"/>
      <c r="U867" s="223"/>
      <c r="V867" s="223"/>
      <c r="W867" s="223"/>
    </row>
    <row r="868">
      <c r="A868" s="223"/>
      <c r="B868" s="223"/>
      <c r="C868" s="223"/>
      <c r="D868" s="223"/>
      <c r="E868" s="223"/>
      <c r="F868" s="223"/>
      <c r="G868" s="223"/>
      <c r="H868" s="223"/>
      <c r="I868" s="223"/>
      <c r="J868" s="223"/>
      <c r="K868" s="320"/>
      <c r="L868" s="320"/>
      <c r="M868" s="223"/>
      <c r="N868" s="223"/>
      <c r="O868" s="223"/>
      <c r="P868" s="223"/>
      <c r="Q868" s="223"/>
      <c r="R868" s="223"/>
      <c r="S868" s="223"/>
      <c r="T868" s="223"/>
      <c r="U868" s="223"/>
      <c r="V868" s="223"/>
      <c r="W868" s="223"/>
    </row>
    <row r="869">
      <c r="A869" s="223"/>
      <c r="B869" s="223"/>
      <c r="C869" s="223"/>
      <c r="D869" s="223"/>
      <c r="E869" s="223"/>
      <c r="F869" s="223"/>
      <c r="G869" s="223"/>
      <c r="H869" s="223"/>
      <c r="I869" s="223"/>
      <c r="J869" s="223"/>
      <c r="K869" s="320"/>
      <c r="L869" s="320"/>
      <c r="M869" s="223"/>
      <c r="N869" s="223"/>
      <c r="O869" s="223"/>
      <c r="P869" s="223"/>
      <c r="Q869" s="223"/>
      <c r="R869" s="223"/>
      <c r="S869" s="223"/>
      <c r="T869" s="223"/>
      <c r="U869" s="223"/>
      <c r="V869" s="223"/>
      <c r="W869" s="223"/>
    </row>
    <row r="870">
      <c r="A870" s="223"/>
      <c r="B870" s="223"/>
      <c r="C870" s="223"/>
      <c r="D870" s="223"/>
      <c r="E870" s="223"/>
      <c r="F870" s="223"/>
      <c r="G870" s="223"/>
      <c r="H870" s="223"/>
      <c r="I870" s="223"/>
      <c r="J870" s="223"/>
      <c r="K870" s="320"/>
      <c r="L870" s="320"/>
      <c r="M870" s="223"/>
      <c r="N870" s="223"/>
      <c r="O870" s="223"/>
      <c r="P870" s="223"/>
      <c r="Q870" s="223"/>
      <c r="R870" s="223"/>
      <c r="S870" s="223"/>
      <c r="T870" s="223"/>
      <c r="U870" s="223"/>
      <c r="V870" s="223"/>
      <c r="W870" s="223"/>
    </row>
    <row r="871">
      <c r="A871" s="223"/>
      <c r="B871" s="223"/>
      <c r="C871" s="223"/>
      <c r="D871" s="223"/>
      <c r="E871" s="223"/>
      <c r="F871" s="223"/>
      <c r="G871" s="223"/>
      <c r="H871" s="223"/>
      <c r="I871" s="223"/>
      <c r="J871" s="223"/>
      <c r="K871" s="320"/>
      <c r="L871" s="320"/>
      <c r="M871" s="223"/>
      <c r="N871" s="223"/>
      <c r="O871" s="223"/>
      <c r="P871" s="223"/>
      <c r="Q871" s="223"/>
      <c r="R871" s="223"/>
      <c r="S871" s="223"/>
      <c r="T871" s="223"/>
      <c r="U871" s="223"/>
      <c r="V871" s="223"/>
      <c r="W871" s="223"/>
    </row>
    <row r="872">
      <c r="A872" s="223"/>
      <c r="B872" s="223"/>
      <c r="C872" s="223"/>
      <c r="D872" s="223"/>
      <c r="E872" s="223"/>
      <c r="F872" s="223"/>
      <c r="G872" s="223"/>
      <c r="H872" s="223"/>
      <c r="I872" s="223"/>
      <c r="J872" s="223"/>
      <c r="K872" s="320"/>
      <c r="L872" s="320"/>
      <c r="M872" s="223"/>
      <c r="N872" s="223"/>
      <c r="O872" s="223"/>
      <c r="P872" s="223"/>
      <c r="Q872" s="223"/>
      <c r="R872" s="223"/>
      <c r="S872" s="223"/>
      <c r="T872" s="223"/>
      <c r="U872" s="223"/>
      <c r="V872" s="223"/>
      <c r="W872" s="223"/>
    </row>
    <row r="873">
      <c r="A873" s="223"/>
      <c r="B873" s="223"/>
      <c r="C873" s="223"/>
      <c r="D873" s="223"/>
      <c r="E873" s="223"/>
      <c r="F873" s="223"/>
      <c r="G873" s="223"/>
      <c r="H873" s="223"/>
      <c r="I873" s="223"/>
      <c r="J873" s="223"/>
      <c r="K873" s="320"/>
      <c r="L873" s="320"/>
      <c r="M873" s="223"/>
      <c r="N873" s="223"/>
      <c r="O873" s="223"/>
      <c r="P873" s="223"/>
      <c r="Q873" s="223"/>
      <c r="R873" s="223"/>
      <c r="S873" s="223"/>
      <c r="T873" s="223"/>
      <c r="U873" s="223"/>
      <c r="V873" s="223"/>
      <c r="W873" s="223"/>
    </row>
    <row r="874">
      <c r="A874" s="223"/>
      <c r="B874" s="223"/>
      <c r="C874" s="223"/>
      <c r="D874" s="223"/>
      <c r="E874" s="223"/>
      <c r="F874" s="223"/>
      <c r="G874" s="223"/>
      <c r="H874" s="223"/>
      <c r="I874" s="223"/>
      <c r="J874" s="223"/>
      <c r="K874" s="320"/>
      <c r="L874" s="320"/>
      <c r="M874" s="223"/>
      <c r="N874" s="223"/>
      <c r="O874" s="223"/>
      <c r="P874" s="223"/>
      <c r="Q874" s="223"/>
      <c r="R874" s="223"/>
      <c r="S874" s="223"/>
      <c r="T874" s="223"/>
      <c r="U874" s="223"/>
      <c r="V874" s="223"/>
      <c r="W874" s="223"/>
    </row>
    <row r="875">
      <c r="A875" s="223"/>
      <c r="B875" s="223"/>
      <c r="C875" s="223"/>
      <c r="D875" s="223"/>
      <c r="E875" s="223"/>
      <c r="F875" s="223"/>
      <c r="G875" s="223"/>
      <c r="H875" s="223"/>
      <c r="I875" s="223"/>
      <c r="J875" s="223"/>
      <c r="K875" s="320"/>
      <c r="L875" s="320"/>
      <c r="M875" s="223"/>
      <c r="N875" s="223"/>
      <c r="O875" s="223"/>
      <c r="P875" s="223"/>
      <c r="Q875" s="223"/>
      <c r="R875" s="223"/>
      <c r="S875" s="223"/>
      <c r="T875" s="223"/>
      <c r="U875" s="223"/>
      <c r="V875" s="223"/>
      <c r="W875" s="223"/>
    </row>
    <row r="876">
      <c r="A876" s="223"/>
      <c r="B876" s="223"/>
      <c r="C876" s="223"/>
      <c r="D876" s="223"/>
      <c r="E876" s="223"/>
      <c r="F876" s="223"/>
      <c r="G876" s="223"/>
      <c r="H876" s="223"/>
      <c r="I876" s="223"/>
      <c r="J876" s="223"/>
      <c r="K876" s="320"/>
      <c r="L876" s="320"/>
      <c r="M876" s="223"/>
      <c r="N876" s="223"/>
      <c r="O876" s="223"/>
      <c r="P876" s="223"/>
      <c r="Q876" s="223"/>
      <c r="R876" s="223"/>
      <c r="S876" s="223"/>
      <c r="T876" s="223"/>
      <c r="U876" s="223"/>
      <c r="V876" s="223"/>
      <c r="W876" s="223"/>
    </row>
    <row r="877">
      <c r="A877" s="223"/>
      <c r="B877" s="223"/>
      <c r="C877" s="223"/>
      <c r="D877" s="223"/>
      <c r="E877" s="223"/>
      <c r="F877" s="223"/>
      <c r="G877" s="223"/>
      <c r="H877" s="223"/>
      <c r="I877" s="223"/>
      <c r="J877" s="223"/>
      <c r="K877" s="320"/>
      <c r="L877" s="320"/>
      <c r="M877" s="223"/>
      <c r="N877" s="223"/>
      <c r="O877" s="223"/>
      <c r="P877" s="223"/>
      <c r="Q877" s="223"/>
      <c r="R877" s="223"/>
      <c r="S877" s="223"/>
      <c r="T877" s="223"/>
      <c r="U877" s="223"/>
      <c r="V877" s="223"/>
      <c r="W877" s="223"/>
    </row>
    <row r="878">
      <c r="A878" s="223"/>
      <c r="B878" s="223"/>
      <c r="C878" s="223"/>
      <c r="D878" s="223"/>
      <c r="E878" s="223"/>
      <c r="F878" s="223"/>
      <c r="G878" s="223"/>
      <c r="H878" s="223"/>
      <c r="I878" s="223"/>
      <c r="J878" s="223"/>
      <c r="K878" s="320"/>
      <c r="L878" s="320"/>
      <c r="M878" s="223"/>
      <c r="N878" s="223"/>
      <c r="O878" s="223"/>
      <c r="P878" s="223"/>
      <c r="Q878" s="223"/>
      <c r="R878" s="223"/>
      <c r="S878" s="223"/>
      <c r="T878" s="223"/>
      <c r="U878" s="223"/>
      <c r="V878" s="223"/>
      <c r="W878" s="223"/>
    </row>
    <row r="879">
      <c r="A879" s="223"/>
      <c r="B879" s="223"/>
      <c r="C879" s="223"/>
      <c r="D879" s="223"/>
      <c r="E879" s="223"/>
      <c r="F879" s="223"/>
      <c r="G879" s="223"/>
      <c r="H879" s="223"/>
      <c r="I879" s="223"/>
      <c r="J879" s="223"/>
      <c r="K879" s="320"/>
      <c r="L879" s="320"/>
      <c r="M879" s="223"/>
      <c r="N879" s="223"/>
      <c r="O879" s="223"/>
      <c r="P879" s="223"/>
      <c r="Q879" s="223"/>
      <c r="R879" s="223"/>
      <c r="S879" s="223"/>
      <c r="T879" s="223"/>
      <c r="U879" s="223"/>
      <c r="V879" s="223"/>
      <c r="W879" s="223"/>
    </row>
    <row r="880">
      <c r="A880" s="223"/>
      <c r="B880" s="223"/>
      <c r="C880" s="223"/>
      <c r="D880" s="223"/>
      <c r="E880" s="223"/>
      <c r="F880" s="223"/>
      <c r="G880" s="223"/>
      <c r="H880" s="223"/>
      <c r="I880" s="223"/>
      <c r="J880" s="223"/>
      <c r="K880" s="320"/>
      <c r="L880" s="320"/>
      <c r="M880" s="223"/>
      <c r="N880" s="223"/>
      <c r="O880" s="223"/>
      <c r="P880" s="223"/>
      <c r="Q880" s="223"/>
      <c r="R880" s="223"/>
      <c r="S880" s="223"/>
      <c r="T880" s="223"/>
      <c r="U880" s="223"/>
      <c r="V880" s="223"/>
      <c r="W880" s="223"/>
    </row>
    <row r="881">
      <c r="A881" s="223"/>
      <c r="B881" s="223"/>
      <c r="C881" s="223"/>
      <c r="D881" s="223"/>
      <c r="E881" s="223"/>
      <c r="F881" s="223"/>
      <c r="G881" s="223"/>
      <c r="H881" s="223"/>
      <c r="I881" s="223"/>
      <c r="J881" s="223"/>
      <c r="K881" s="320"/>
      <c r="L881" s="320"/>
      <c r="M881" s="223"/>
      <c r="N881" s="223"/>
      <c r="O881" s="223"/>
      <c r="P881" s="223"/>
      <c r="Q881" s="223"/>
      <c r="R881" s="223"/>
      <c r="S881" s="223"/>
      <c r="T881" s="223"/>
      <c r="U881" s="223"/>
      <c r="V881" s="223"/>
      <c r="W881" s="223"/>
    </row>
    <row r="882">
      <c r="A882" s="223"/>
      <c r="B882" s="223"/>
      <c r="C882" s="223"/>
      <c r="D882" s="223"/>
      <c r="E882" s="223"/>
      <c r="F882" s="223"/>
      <c r="G882" s="223"/>
      <c r="H882" s="223"/>
      <c r="I882" s="223"/>
      <c r="J882" s="223"/>
      <c r="K882" s="320"/>
      <c r="L882" s="320"/>
      <c r="M882" s="223"/>
      <c r="N882" s="223"/>
      <c r="O882" s="223"/>
      <c r="P882" s="223"/>
      <c r="Q882" s="223"/>
      <c r="R882" s="223"/>
      <c r="S882" s="223"/>
      <c r="T882" s="223"/>
      <c r="U882" s="223"/>
      <c r="V882" s="223"/>
      <c r="W882" s="223"/>
    </row>
    <row r="883">
      <c r="A883" s="223"/>
      <c r="B883" s="223"/>
      <c r="C883" s="223"/>
      <c r="D883" s="223"/>
      <c r="E883" s="223"/>
      <c r="F883" s="223"/>
      <c r="G883" s="223"/>
      <c r="H883" s="223"/>
      <c r="I883" s="223"/>
      <c r="J883" s="223"/>
      <c r="K883" s="320"/>
      <c r="L883" s="320"/>
      <c r="M883" s="223"/>
      <c r="N883" s="223"/>
      <c r="O883" s="223"/>
      <c r="P883" s="223"/>
      <c r="Q883" s="223"/>
      <c r="R883" s="223"/>
      <c r="S883" s="223"/>
      <c r="T883" s="223"/>
      <c r="U883" s="223"/>
      <c r="V883" s="223"/>
      <c r="W883" s="223"/>
    </row>
    <row r="884">
      <c r="A884" s="223"/>
      <c r="B884" s="223"/>
      <c r="C884" s="223"/>
      <c r="D884" s="223"/>
      <c r="E884" s="223"/>
      <c r="F884" s="223"/>
      <c r="G884" s="223"/>
      <c r="H884" s="223"/>
      <c r="I884" s="223"/>
      <c r="J884" s="223"/>
      <c r="K884" s="320"/>
      <c r="L884" s="320"/>
      <c r="M884" s="223"/>
      <c r="N884" s="223"/>
      <c r="O884" s="223"/>
      <c r="P884" s="223"/>
      <c r="Q884" s="223"/>
      <c r="R884" s="223"/>
      <c r="S884" s="223"/>
      <c r="T884" s="223"/>
      <c r="U884" s="223"/>
      <c r="V884" s="223"/>
      <c r="W884" s="223"/>
    </row>
    <row r="885">
      <c r="A885" s="223"/>
      <c r="B885" s="223"/>
      <c r="C885" s="223"/>
      <c r="D885" s="223"/>
      <c r="E885" s="223"/>
      <c r="F885" s="223"/>
      <c r="G885" s="223"/>
      <c r="H885" s="223"/>
      <c r="I885" s="223"/>
      <c r="J885" s="223"/>
      <c r="K885" s="320"/>
      <c r="L885" s="320"/>
      <c r="M885" s="223"/>
      <c r="N885" s="223"/>
      <c r="O885" s="223"/>
      <c r="P885" s="223"/>
      <c r="Q885" s="223"/>
      <c r="R885" s="223"/>
      <c r="S885" s="223"/>
      <c r="T885" s="223"/>
      <c r="U885" s="223"/>
      <c r="V885" s="223"/>
      <c r="W885" s="223"/>
    </row>
    <row r="886">
      <c r="A886" s="223"/>
      <c r="B886" s="223"/>
      <c r="C886" s="223"/>
      <c r="D886" s="223"/>
      <c r="E886" s="223"/>
      <c r="F886" s="223"/>
      <c r="G886" s="223"/>
      <c r="H886" s="223"/>
      <c r="I886" s="223"/>
      <c r="J886" s="223"/>
      <c r="K886" s="320"/>
      <c r="L886" s="320"/>
      <c r="M886" s="223"/>
      <c r="N886" s="223"/>
      <c r="O886" s="223"/>
      <c r="P886" s="223"/>
      <c r="Q886" s="223"/>
      <c r="R886" s="223"/>
      <c r="S886" s="223"/>
      <c r="T886" s="223"/>
      <c r="U886" s="223"/>
      <c r="V886" s="223"/>
      <c r="W886" s="223"/>
    </row>
    <row r="887">
      <c r="A887" s="223"/>
      <c r="B887" s="223"/>
      <c r="C887" s="223"/>
      <c r="D887" s="223"/>
      <c r="E887" s="223"/>
      <c r="F887" s="223"/>
      <c r="G887" s="223"/>
      <c r="H887" s="223"/>
      <c r="I887" s="223"/>
      <c r="J887" s="223"/>
      <c r="K887" s="320"/>
      <c r="L887" s="320"/>
      <c r="M887" s="223"/>
      <c r="N887" s="223"/>
      <c r="O887" s="223"/>
      <c r="P887" s="223"/>
      <c r="Q887" s="223"/>
      <c r="R887" s="223"/>
      <c r="S887" s="223"/>
      <c r="T887" s="223"/>
      <c r="U887" s="223"/>
      <c r="V887" s="223"/>
      <c r="W887" s="223"/>
    </row>
    <row r="888">
      <c r="A888" s="223"/>
      <c r="B888" s="223"/>
      <c r="C888" s="223"/>
      <c r="D888" s="223"/>
      <c r="E888" s="223"/>
      <c r="F888" s="223"/>
      <c r="G888" s="223"/>
      <c r="H888" s="223"/>
      <c r="I888" s="223"/>
      <c r="J888" s="223"/>
      <c r="K888" s="320"/>
      <c r="L888" s="320"/>
      <c r="M888" s="223"/>
      <c r="N888" s="223"/>
      <c r="O888" s="223"/>
      <c r="P888" s="223"/>
      <c r="Q888" s="223"/>
      <c r="R888" s="223"/>
      <c r="S888" s="223"/>
      <c r="T888" s="223"/>
      <c r="U888" s="223"/>
      <c r="V888" s="223"/>
      <c r="W888" s="223"/>
    </row>
    <row r="889">
      <c r="A889" s="223"/>
      <c r="B889" s="223"/>
      <c r="C889" s="223"/>
      <c r="D889" s="223"/>
      <c r="E889" s="223"/>
      <c r="F889" s="223"/>
      <c r="G889" s="223"/>
      <c r="H889" s="223"/>
      <c r="I889" s="223"/>
      <c r="J889" s="223"/>
      <c r="K889" s="320"/>
      <c r="L889" s="320"/>
      <c r="M889" s="223"/>
      <c r="N889" s="223"/>
      <c r="O889" s="223"/>
      <c r="P889" s="223"/>
      <c r="Q889" s="223"/>
      <c r="R889" s="223"/>
      <c r="S889" s="223"/>
      <c r="T889" s="223"/>
      <c r="U889" s="223"/>
      <c r="V889" s="223"/>
      <c r="W889" s="223"/>
    </row>
    <row r="890">
      <c r="A890" s="223"/>
      <c r="B890" s="223"/>
      <c r="C890" s="223"/>
      <c r="D890" s="223"/>
      <c r="E890" s="223"/>
      <c r="F890" s="223"/>
      <c r="G890" s="223"/>
      <c r="H890" s="223"/>
      <c r="I890" s="223"/>
      <c r="J890" s="223"/>
      <c r="K890" s="320"/>
      <c r="L890" s="320"/>
      <c r="M890" s="223"/>
      <c r="N890" s="223"/>
      <c r="O890" s="223"/>
      <c r="P890" s="223"/>
      <c r="Q890" s="223"/>
      <c r="R890" s="223"/>
      <c r="S890" s="223"/>
      <c r="T890" s="223"/>
      <c r="U890" s="223"/>
      <c r="V890" s="223"/>
      <c r="W890" s="223"/>
    </row>
    <row r="891">
      <c r="A891" s="223"/>
      <c r="B891" s="223"/>
      <c r="C891" s="223"/>
      <c r="D891" s="223"/>
      <c r="E891" s="223"/>
      <c r="F891" s="223"/>
      <c r="G891" s="223"/>
      <c r="H891" s="223"/>
      <c r="I891" s="223"/>
      <c r="J891" s="223"/>
      <c r="K891" s="320"/>
      <c r="L891" s="320"/>
      <c r="M891" s="223"/>
      <c r="N891" s="223"/>
      <c r="O891" s="223"/>
      <c r="P891" s="223"/>
      <c r="Q891" s="223"/>
      <c r="R891" s="223"/>
      <c r="S891" s="223"/>
      <c r="T891" s="223"/>
      <c r="U891" s="223"/>
      <c r="V891" s="223"/>
      <c r="W891" s="223"/>
    </row>
    <row r="892">
      <c r="A892" s="223"/>
      <c r="B892" s="223"/>
      <c r="C892" s="223"/>
      <c r="D892" s="223"/>
      <c r="E892" s="223"/>
      <c r="F892" s="223"/>
      <c r="G892" s="223"/>
      <c r="H892" s="223"/>
      <c r="I892" s="223"/>
      <c r="J892" s="223"/>
      <c r="K892" s="320"/>
      <c r="L892" s="320"/>
      <c r="M892" s="223"/>
      <c r="N892" s="223"/>
      <c r="O892" s="223"/>
      <c r="P892" s="223"/>
      <c r="Q892" s="223"/>
      <c r="R892" s="223"/>
      <c r="S892" s="223"/>
      <c r="T892" s="223"/>
      <c r="U892" s="223"/>
      <c r="V892" s="223"/>
      <c r="W892" s="223"/>
    </row>
    <row r="893">
      <c r="A893" s="223"/>
      <c r="B893" s="223"/>
      <c r="C893" s="223"/>
      <c r="D893" s="223"/>
      <c r="E893" s="223"/>
      <c r="F893" s="223"/>
      <c r="G893" s="223"/>
      <c r="H893" s="223"/>
      <c r="I893" s="223"/>
      <c r="J893" s="223"/>
      <c r="K893" s="320"/>
      <c r="L893" s="320"/>
      <c r="M893" s="223"/>
      <c r="N893" s="223"/>
      <c r="O893" s="223"/>
      <c r="P893" s="223"/>
      <c r="Q893" s="223"/>
      <c r="R893" s="223"/>
      <c r="S893" s="223"/>
      <c r="T893" s="223"/>
      <c r="U893" s="223"/>
      <c r="V893" s="223"/>
      <c r="W893" s="223"/>
    </row>
    <row r="894">
      <c r="A894" s="223"/>
      <c r="B894" s="223"/>
      <c r="C894" s="223"/>
      <c r="D894" s="223"/>
      <c r="E894" s="223"/>
      <c r="F894" s="223"/>
      <c r="G894" s="223"/>
      <c r="H894" s="223"/>
      <c r="I894" s="223"/>
      <c r="J894" s="223"/>
      <c r="K894" s="320"/>
      <c r="L894" s="320"/>
      <c r="M894" s="223"/>
      <c r="N894" s="223"/>
      <c r="O894" s="223"/>
      <c r="P894" s="223"/>
      <c r="Q894" s="223"/>
      <c r="R894" s="223"/>
      <c r="S894" s="223"/>
      <c r="T894" s="223"/>
      <c r="U894" s="223"/>
      <c r="V894" s="223"/>
      <c r="W894" s="223"/>
    </row>
    <row r="895">
      <c r="A895" s="223"/>
      <c r="B895" s="223"/>
      <c r="C895" s="223"/>
      <c r="D895" s="223"/>
      <c r="E895" s="223"/>
      <c r="F895" s="223"/>
      <c r="G895" s="223"/>
      <c r="H895" s="223"/>
      <c r="I895" s="223"/>
      <c r="J895" s="223"/>
      <c r="K895" s="320"/>
      <c r="L895" s="320"/>
      <c r="M895" s="223"/>
      <c r="N895" s="223"/>
      <c r="O895" s="223"/>
      <c r="P895" s="223"/>
      <c r="Q895" s="223"/>
      <c r="R895" s="223"/>
      <c r="S895" s="223"/>
      <c r="T895" s="223"/>
      <c r="U895" s="223"/>
      <c r="V895" s="223"/>
      <c r="W895" s="223"/>
    </row>
    <row r="896">
      <c r="A896" s="223"/>
      <c r="B896" s="223"/>
      <c r="C896" s="223"/>
      <c r="D896" s="223"/>
      <c r="E896" s="223"/>
      <c r="F896" s="223"/>
      <c r="G896" s="223"/>
      <c r="H896" s="223"/>
      <c r="I896" s="223"/>
      <c r="J896" s="223"/>
      <c r="K896" s="320"/>
      <c r="L896" s="320"/>
      <c r="M896" s="223"/>
      <c r="N896" s="223"/>
      <c r="O896" s="223"/>
      <c r="P896" s="223"/>
      <c r="Q896" s="223"/>
      <c r="R896" s="223"/>
      <c r="S896" s="223"/>
      <c r="T896" s="223"/>
      <c r="U896" s="223"/>
      <c r="V896" s="223"/>
      <c r="W896" s="223"/>
    </row>
    <row r="897">
      <c r="A897" s="223"/>
      <c r="B897" s="223"/>
      <c r="C897" s="223"/>
      <c r="D897" s="223"/>
      <c r="E897" s="223"/>
      <c r="F897" s="223"/>
      <c r="G897" s="223"/>
      <c r="H897" s="223"/>
      <c r="I897" s="223"/>
      <c r="J897" s="223"/>
      <c r="K897" s="320"/>
      <c r="L897" s="320"/>
      <c r="M897" s="223"/>
      <c r="N897" s="223"/>
      <c r="O897" s="223"/>
      <c r="P897" s="223"/>
      <c r="Q897" s="223"/>
      <c r="R897" s="223"/>
      <c r="S897" s="223"/>
      <c r="T897" s="223"/>
      <c r="U897" s="223"/>
      <c r="V897" s="223"/>
      <c r="W897" s="223"/>
    </row>
    <row r="898">
      <c r="A898" s="223"/>
      <c r="B898" s="223"/>
      <c r="C898" s="223"/>
      <c r="D898" s="223"/>
      <c r="E898" s="223"/>
      <c r="F898" s="223"/>
      <c r="G898" s="223"/>
      <c r="H898" s="223"/>
      <c r="I898" s="223"/>
      <c r="J898" s="223"/>
      <c r="K898" s="320"/>
      <c r="L898" s="320"/>
      <c r="M898" s="223"/>
      <c r="N898" s="223"/>
      <c r="O898" s="223"/>
      <c r="P898" s="223"/>
      <c r="Q898" s="223"/>
      <c r="R898" s="223"/>
      <c r="S898" s="223"/>
      <c r="T898" s="223"/>
      <c r="U898" s="223"/>
      <c r="V898" s="223"/>
      <c r="W898" s="223"/>
    </row>
    <row r="899">
      <c r="A899" s="223"/>
      <c r="B899" s="223"/>
      <c r="C899" s="223"/>
      <c r="D899" s="223"/>
      <c r="E899" s="223"/>
      <c r="F899" s="223"/>
      <c r="G899" s="223"/>
      <c r="H899" s="223"/>
      <c r="I899" s="223"/>
      <c r="J899" s="223"/>
      <c r="K899" s="320"/>
      <c r="L899" s="320"/>
      <c r="M899" s="223"/>
      <c r="N899" s="223"/>
      <c r="O899" s="223"/>
      <c r="P899" s="223"/>
      <c r="Q899" s="223"/>
      <c r="R899" s="223"/>
      <c r="S899" s="223"/>
      <c r="T899" s="223"/>
      <c r="U899" s="223"/>
      <c r="V899" s="223"/>
      <c r="W899" s="223"/>
    </row>
    <row r="900">
      <c r="A900" s="223"/>
      <c r="B900" s="223"/>
      <c r="C900" s="223"/>
      <c r="D900" s="223"/>
      <c r="E900" s="223"/>
      <c r="F900" s="223"/>
      <c r="G900" s="223"/>
      <c r="H900" s="223"/>
      <c r="I900" s="223"/>
      <c r="J900" s="223"/>
      <c r="K900" s="320"/>
      <c r="L900" s="320"/>
      <c r="M900" s="223"/>
      <c r="N900" s="223"/>
      <c r="O900" s="223"/>
      <c r="P900" s="223"/>
      <c r="Q900" s="223"/>
      <c r="R900" s="223"/>
      <c r="S900" s="223"/>
      <c r="T900" s="223"/>
      <c r="U900" s="223"/>
      <c r="V900" s="223"/>
      <c r="W900" s="223"/>
    </row>
    <row r="901">
      <c r="A901" s="223"/>
      <c r="B901" s="223"/>
      <c r="C901" s="223"/>
      <c r="D901" s="223"/>
      <c r="E901" s="223"/>
      <c r="F901" s="223"/>
      <c r="G901" s="223"/>
      <c r="H901" s="223"/>
      <c r="I901" s="223"/>
      <c r="J901" s="223"/>
      <c r="K901" s="320"/>
      <c r="L901" s="320"/>
      <c r="M901" s="223"/>
      <c r="N901" s="223"/>
      <c r="O901" s="223"/>
      <c r="P901" s="223"/>
      <c r="Q901" s="223"/>
      <c r="R901" s="223"/>
      <c r="S901" s="223"/>
      <c r="T901" s="223"/>
      <c r="U901" s="223"/>
      <c r="V901" s="223"/>
      <c r="W901" s="223"/>
    </row>
    <row r="902">
      <c r="A902" s="223"/>
      <c r="B902" s="223"/>
      <c r="C902" s="223"/>
      <c r="D902" s="223"/>
      <c r="E902" s="223"/>
      <c r="F902" s="223"/>
      <c r="G902" s="223"/>
      <c r="H902" s="223"/>
      <c r="I902" s="223"/>
      <c r="J902" s="223"/>
      <c r="K902" s="320"/>
      <c r="L902" s="320"/>
      <c r="M902" s="223"/>
      <c r="N902" s="223"/>
      <c r="O902" s="223"/>
      <c r="P902" s="223"/>
      <c r="Q902" s="223"/>
      <c r="R902" s="223"/>
      <c r="S902" s="223"/>
      <c r="T902" s="223"/>
      <c r="U902" s="223"/>
      <c r="V902" s="223"/>
      <c r="W902" s="223"/>
    </row>
    <row r="903">
      <c r="A903" s="223"/>
      <c r="B903" s="223"/>
      <c r="C903" s="223"/>
      <c r="D903" s="223"/>
      <c r="E903" s="223"/>
      <c r="F903" s="223"/>
      <c r="G903" s="223"/>
      <c r="H903" s="223"/>
      <c r="I903" s="223"/>
      <c r="J903" s="223"/>
      <c r="K903" s="320"/>
      <c r="L903" s="320"/>
      <c r="M903" s="223"/>
      <c r="N903" s="223"/>
      <c r="O903" s="223"/>
      <c r="P903" s="223"/>
      <c r="Q903" s="223"/>
      <c r="R903" s="223"/>
      <c r="S903" s="223"/>
      <c r="T903" s="223"/>
      <c r="U903" s="223"/>
      <c r="V903" s="223"/>
      <c r="W903" s="223"/>
    </row>
    <row r="904">
      <c r="A904" s="223"/>
      <c r="B904" s="223"/>
      <c r="C904" s="223"/>
      <c r="D904" s="223"/>
      <c r="E904" s="223"/>
      <c r="F904" s="223"/>
      <c r="G904" s="223"/>
      <c r="H904" s="223"/>
      <c r="I904" s="223"/>
      <c r="J904" s="223"/>
      <c r="K904" s="320"/>
      <c r="L904" s="320"/>
      <c r="M904" s="223"/>
      <c r="N904" s="223"/>
      <c r="O904" s="223"/>
      <c r="P904" s="223"/>
      <c r="Q904" s="223"/>
      <c r="R904" s="223"/>
      <c r="S904" s="223"/>
      <c r="T904" s="223"/>
      <c r="U904" s="223"/>
      <c r="V904" s="223"/>
      <c r="W904" s="223"/>
    </row>
    <row r="905">
      <c r="A905" s="223"/>
      <c r="B905" s="223"/>
      <c r="C905" s="223"/>
      <c r="D905" s="223"/>
      <c r="E905" s="223"/>
      <c r="F905" s="223"/>
      <c r="G905" s="223"/>
      <c r="H905" s="223"/>
      <c r="I905" s="223"/>
      <c r="J905" s="223"/>
      <c r="K905" s="320"/>
      <c r="L905" s="320"/>
      <c r="M905" s="223"/>
      <c r="N905" s="223"/>
      <c r="O905" s="223"/>
      <c r="P905" s="223"/>
      <c r="Q905" s="223"/>
      <c r="R905" s="223"/>
      <c r="S905" s="223"/>
      <c r="T905" s="223"/>
      <c r="U905" s="223"/>
      <c r="V905" s="223"/>
      <c r="W905" s="223"/>
    </row>
    <row r="906">
      <c r="A906" s="223"/>
      <c r="B906" s="223"/>
      <c r="C906" s="223"/>
      <c r="D906" s="223"/>
      <c r="E906" s="223"/>
      <c r="F906" s="223"/>
      <c r="G906" s="223"/>
      <c r="H906" s="223"/>
      <c r="I906" s="223"/>
      <c r="J906" s="223"/>
      <c r="K906" s="320"/>
      <c r="L906" s="320"/>
      <c r="M906" s="223"/>
      <c r="N906" s="223"/>
      <c r="O906" s="223"/>
      <c r="P906" s="223"/>
      <c r="Q906" s="223"/>
      <c r="R906" s="223"/>
      <c r="S906" s="223"/>
      <c r="T906" s="223"/>
      <c r="U906" s="223"/>
      <c r="V906" s="223"/>
      <c r="W906" s="223"/>
    </row>
    <row r="907">
      <c r="A907" s="223"/>
      <c r="B907" s="223"/>
      <c r="C907" s="223"/>
      <c r="D907" s="223"/>
      <c r="E907" s="223"/>
      <c r="F907" s="223"/>
      <c r="G907" s="223"/>
      <c r="H907" s="223"/>
      <c r="I907" s="223"/>
      <c r="J907" s="223"/>
      <c r="K907" s="320"/>
      <c r="L907" s="320"/>
      <c r="M907" s="223"/>
      <c r="N907" s="223"/>
      <c r="O907" s="223"/>
      <c r="P907" s="223"/>
      <c r="Q907" s="223"/>
      <c r="R907" s="223"/>
      <c r="S907" s="223"/>
      <c r="T907" s="223"/>
      <c r="U907" s="223"/>
      <c r="V907" s="223"/>
      <c r="W907" s="223"/>
    </row>
    <row r="908">
      <c r="A908" s="223"/>
      <c r="B908" s="223"/>
      <c r="C908" s="223"/>
      <c r="D908" s="223"/>
      <c r="E908" s="223"/>
      <c r="F908" s="223"/>
      <c r="G908" s="223"/>
      <c r="H908" s="223"/>
      <c r="I908" s="223"/>
      <c r="J908" s="223"/>
      <c r="K908" s="320"/>
      <c r="L908" s="320"/>
      <c r="M908" s="223"/>
      <c r="N908" s="223"/>
      <c r="O908" s="223"/>
      <c r="P908" s="223"/>
      <c r="Q908" s="223"/>
      <c r="R908" s="223"/>
      <c r="S908" s="223"/>
      <c r="T908" s="223"/>
      <c r="U908" s="223"/>
      <c r="V908" s="223"/>
      <c r="W908" s="223"/>
    </row>
    <row r="909">
      <c r="A909" s="223"/>
      <c r="B909" s="223"/>
      <c r="C909" s="223"/>
      <c r="D909" s="223"/>
      <c r="E909" s="223"/>
      <c r="F909" s="223"/>
      <c r="G909" s="223"/>
      <c r="H909" s="223"/>
      <c r="I909" s="223"/>
      <c r="J909" s="223"/>
      <c r="K909" s="320"/>
      <c r="L909" s="320"/>
      <c r="M909" s="223"/>
      <c r="N909" s="223"/>
      <c r="O909" s="223"/>
      <c r="P909" s="223"/>
      <c r="Q909" s="223"/>
      <c r="R909" s="223"/>
      <c r="S909" s="223"/>
      <c r="T909" s="223"/>
      <c r="U909" s="223"/>
      <c r="V909" s="223"/>
      <c r="W909" s="223"/>
    </row>
    <row r="910">
      <c r="A910" s="223"/>
      <c r="B910" s="223"/>
      <c r="C910" s="223"/>
      <c r="D910" s="223"/>
      <c r="E910" s="223"/>
      <c r="F910" s="223"/>
      <c r="G910" s="223"/>
      <c r="H910" s="223"/>
      <c r="I910" s="223"/>
      <c r="J910" s="223"/>
      <c r="K910" s="320"/>
      <c r="L910" s="320"/>
      <c r="M910" s="223"/>
      <c r="N910" s="223"/>
      <c r="O910" s="223"/>
      <c r="P910" s="223"/>
      <c r="Q910" s="223"/>
      <c r="R910" s="223"/>
      <c r="S910" s="223"/>
      <c r="T910" s="223"/>
      <c r="U910" s="223"/>
      <c r="V910" s="223"/>
      <c r="W910" s="223"/>
    </row>
    <row r="911">
      <c r="A911" s="223"/>
      <c r="B911" s="223"/>
      <c r="C911" s="223"/>
      <c r="D911" s="223"/>
      <c r="E911" s="223"/>
      <c r="F911" s="223"/>
      <c r="G911" s="223"/>
      <c r="H911" s="223"/>
      <c r="I911" s="223"/>
      <c r="J911" s="223"/>
      <c r="K911" s="320"/>
      <c r="L911" s="320"/>
      <c r="M911" s="223"/>
      <c r="N911" s="223"/>
      <c r="O911" s="223"/>
      <c r="P911" s="223"/>
      <c r="Q911" s="223"/>
      <c r="R911" s="223"/>
      <c r="S911" s="223"/>
      <c r="T911" s="223"/>
      <c r="U911" s="223"/>
      <c r="V911" s="223"/>
      <c r="W911" s="223"/>
    </row>
    <row r="912">
      <c r="A912" s="223"/>
      <c r="B912" s="223"/>
      <c r="C912" s="223"/>
      <c r="D912" s="223"/>
      <c r="E912" s="223"/>
      <c r="F912" s="223"/>
      <c r="G912" s="223"/>
      <c r="H912" s="223"/>
      <c r="I912" s="223"/>
      <c r="J912" s="223"/>
      <c r="K912" s="320"/>
      <c r="L912" s="320"/>
      <c r="M912" s="223"/>
      <c r="N912" s="223"/>
      <c r="O912" s="223"/>
      <c r="P912" s="223"/>
      <c r="Q912" s="223"/>
      <c r="R912" s="223"/>
      <c r="S912" s="223"/>
      <c r="T912" s="223"/>
      <c r="U912" s="223"/>
      <c r="V912" s="223"/>
      <c r="W912" s="223"/>
    </row>
    <row r="913">
      <c r="A913" s="223"/>
      <c r="B913" s="223"/>
      <c r="C913" s="223"/>
      <c r="D913" s="223"/>
      <c r="E913" s="223"/>
      <c r="F913" s="223"/>
      <c r="G913" s="223"/>
      <c r="H913" s="223"/>
      <c r="I913" s="223"/>
      <c r="J913" s="223"/>
      <c r="K913" s="320"/>
      <c r="L913" s="320"/>
      <c r="M913" s="223"/>
      <c r="N913" s="223"/>
      <c r="O913" s="223"/>
      <c r="P913" s="223"/>
      <c r="Q913" s="223"/>
      <c r="R913" s="223"/>
      <c r="S913" s="223"/>
      <c r="T913" s="223"/>
      <c r="U913" s="223"/>
      <c r="V913" s="223"/>
      <c r="W913" s="223"/>
    </row>
    <row r="914">
      <c r="A914" s="223"/>
      <c r="B914" s="223"/>
      <c r="C914" s="223"/>
      <c r="D914" s="223"/>
      <c r="E914" s="223"/>
      <c r="F914" s="223"/>
      <c r="G914" s="223"/>
      <c r="H914" s="223"/>
      <c r="I914" s="223"/>
      <c r="J914" s="223"/>
      <c r="K914" s="320"/>
      <c r="L914" s="320"/>
      <c r="M914" s="223"/>
      <c r="N914" s="223"/>
      <c r="O914" s="223"/>
      <c r="P914" s="223"/>
      <c r="Q914" s="223"/>
      <c r="R914" s="223"/>
      <c r="S914" s="223"/>
      <c r="T914" s="223"/>
      <c r="U914" s="223"/>
      <c r="V914" s="223"/>
      <c r="W914" s="223"/>
    </row>
    <row r="915">
      <c r="A915" s="223"/>
      <c r="B915" s="223"/>
      <c r="C915" s="223"/>
      <c r="D915" s="223"/>
      <c r="E915" s="223"/>
      <c r="F915" s="223"/>
      <c r="G915" s="223"/>
      <c r="H915" s="223"/>
      <c r="I915" s="223"/>
      <c r="J915" s="223"/>
      <c r="K915" s="320"/>
      <c r="L915" s="320"/>
      <c r="M915" s="223"/>
      <c r="N915" s="223"/>
      <c r="O915" s="223"/>
      <c r="P915" s="223"/>
      <c r="Q915" s="223"/>
      <c r="R915" s="223"/>
      <c r="S915" s="223"/>
      <c r="T915" s="223"/>
      <c r="U915" s="223"/>
      <c r="V915" s="223"/>
      <c r="W915" s="223"/>
    </row>
    <row r="916">
      <c r="A916" s="223"/>
      <c r="B916" s="223"/>
      <c r="C916" s="223"/>
      <c r="D916" s="223"/>
      <c r="E916" s="223"/>
      <c r="F916" s="223"/>
      <c r="G916" s="223"/>
      <c r="H916" s="223"/>
      <c r="I916" s="223"/>
      <c r="J916" s="223"/>
      <c r="K916" s="320"/>
      <c r="L916" s="320"/>
      <c r="M916" s="223"/>
      <c r="N916" s="223"/>
      <c r="O916" s="223"/>
      <c r="P916" s="223"/>
      <c r="Q916" s="223"/>
      <c r="R916" s="223"/>
      <c r="S916" s="223"/>
      <c r="T916" s="223"/>
      <c r="U916" s="223"/>
      <c r="V916" s="223"/>
      <c r="W916" s="223"/>
    </row>
    <row r="917">
      <c r="A917" s="223"/>
      <c r="B917" s="223"/>
      <c r="C917" s="223"/>
      <c r="D917" s="223"/>
      <c r="E917" s="223"/>
      <c r="F917" s="223"/>
      <c r="G917" s="223"/>
      <c r="H917" s="223"/>
      <c r="I917" s="223"/>
      <c r="J917" s="223"/>
      <c r="K917" s="320"/>
      <c r="L917" s="320"/>
      <c r="M917" s="223"/>
      <c r="N917" s="223"/>
      <c r="O917" s="223"/>
      <c r="P917" s="223"/>
      <c r="Q917" s="223"/>
      <c r="R917" s="223"/>
      <c r="S917" s="223"/>
      <c r="T917" s="223"/>
      <c r="U917" s="223"/>
      <c r="V917" s="223"/>
      <c r="W917" s="223"/>
    </row>
    <row r="918">
      <c r="A918" s="223"/>
      <c r="B918" s="223"/>
      <c r="C918" s="223"/>
      <c r="D918" s="223"/>
      <c r="E918" s="223"/>
      <c r="F918" s="223"/>
      <c r="G918" s="223"/>
      <c r="H918" s="223"/>
      <c r="I918" s="223"/>
      <c r="J918" s="223"/>
      <c r="K918" s="320"/>
      <c r="L918" s="320"/>
      <c r="M918" s="223"/>
      <c r="N918" s="223"/>
      <c r="O918" s="223"/>
      <c r="P918" s="223"/>
      <c r="Q918" s="223"/>
      <c r="R918" s="223"/>
      <c r="S918" s="223"/>
      <c r="T918" s="223"/>
      <c r="U918" s="223"/>
      <c r="V918" s="223"/>
      <c r="W918" s="223"/>
    </row>
    <row r="919">
      <c r="A919" s="223"/>
      <c r="B919" s="223"/>
      <c r="C919" s="223"/>
      <c r="D919" s="223"/>
      <c r="E919" s="223"/>
      <c r="F919" s="223"/>
      <c r="G919" s="223"/>
      <c r="H919" s="223"/>
      <c r="I919" s="223"/>
      <c r="J919" s="223"/>
      <c r="K919" s="320"/>
      <c r="L919" s="320"/>
      <c r="M919" s="223"/>
      <c r="N919" s="223"/>
      <c r="O919" s="223"/>
      <c r="P919" s="223"/>
      <c r="Q919" s="223"/>
      <c r="R919" s="223"/>
      <c r="S919" s="223"/>
      <c r="T919" s="223"/>
      <c r="U919" s="223"/>
      <c r="V919" s="223"/>
      <c r="W919" s="223"/>
    </row>
    <row r="920">
      <c r="A920" s="223"/>
      <c r="B920" s="223"/>
      <c r="C920" s="223"/>
      <c r="D920" s="223"/>
      <c r="E920" s="223"/>
      <c r="F920" s="223"/>
      <c r="G920" s="223"/>
      <c r="H920" s="223"/>
      <c r="I920" s="223"/>
      <c r="J920" s="223"/>
      <c r="K920" s="320"/>
      <c r="L920" s="320"/>
      <c r="M920" s="223"/>
      <c r="N920" s="223"/>
      <c r="O920" s="223"/>
      <c r="P920" s="223"/>
      <c r="Q920" s="223"/>
      <c r="R920" s="223"/>
      <c r="S920" s="223"/>
      <c r="T920" s="223"/>
      <c r="U920" s="223"/>
      <c r="V920" s="223"/>
      <c r="W920" s="223"/>
    </row>
    <row r="921">
      <c r="A921" s="223"/>
      <c r="B921" s="223"/>
      <c r="C921" s="223"/>
      <c r="D921" s="223"/>
      <c r="E921" s="223"/>
      <c r="F921" s="223"/>
      <c r="G921" s="223"/>
      <c r="H921" s="223"/>
      <c r="I921" s="223"/>
      <c r="J921" s="223"/>
      <c r="K921" s="320"/>
      <c r="L921" s="320"/>
      <c r="M921" s="223"/>
      <c r="N921" s="223"/>
      <c r="O921" s="223"/>
      <c r="P921" s="223"/>
      <c r="Q921" s="223"/>
      <c r="R921" s="223"/>
      <c r="S921" s="223"/>
      <c r="T921" s="223"/>
      <c r="U921" s="223"/>
      <c r="V921" s="223"/>
      <c r="W921" s="223"/>
    </row>
    <row r="922">
      <c r="A922" s="223"/>
      <c r="B922" s="223"/>
      <c r="C922" s="223"/>
      <c r="D922" s="223"/>
      <c r="E922" s="223"/>
      <c r="F922" s="223"/>
      <c r="G922" s="223"/>
      <c r="H922" s="223"/>
      <c r="I922" s="223"/>
      <c r="J922" s="223"/>
      <c r="K922" s="320"/>
      <c r="L922" s="320"/>
      <c r="M922" s="223"/>
      <c r="N922" s="223"/>
      <c r="O922" s="223"/>
      <c r="P922" s="223"/>
      <c r="Q922" s="223"/>
      <c r="R922" s="223"/>
      <c r="S922" s="223"/>
      <c r="T922" s="223"/>
      <c r="U922" s="223"/>
      <c r="V922" s="223"/>
      <c r="W922" s="223"/>
    </row>
    <row r="923">
      <c r="A923" s="223"/>
      <c r="B923" s="223"/>
      <c r="C923" s="223"/>
      <c r="D923" s="223"/>
      <c r="E923" s="223"/>
      <c r="F923" s="223"/>
      <c r="G923" s="223"/>
      <c r="H923" s="223"/>
      <c r="I923" s="223"/>
      <c r="J923" s="223"/>
      <c r="K923" s="320"/>
      <c r="L923" s="320"/>
      <c r="M923" s="223"/>
      <c r="N923" s="223"/>
      <c r="O923" s="223"/>
      <c r="P923" s="223"/>
      <c r="Q923" s="223"/>
      <c r="R923" s="223"/>
      <c r="S923" s="223"/>
      <c r="T923" s="223"/>
      <c r="U923" s="223"/>
      <c r="V923" s="223"/>
      <c r="W923" s="223"/>
    </row>
    <row r="924">
      <c r="A924" s="223"/>
      <c r="B924" s="223"/>
      <c r="C924" s="223"/>
      <c r="D924" s="223"/>
      <c r="E924" s="223"/>
      <c r="F924" s="223"/>
      <c r="G924" s="223"/>
      <c r="H924" s="223"/>
      <c r="I924" s="223"/>
      <c r="J924" s="223"/>
      <c r="K924" s="320"/>
      <c r="L924" s="320"/>
      <c r="M924" s="223"/>
      <c r="N924" s="223"/>
      <c r="O924" s="223"/>
      <c r="P924" s="223"/>
      <c r="Q924" s="223"/>
      <c r="R924" s="223"/>
      <c r="S924" s="223"/>
      <c r="T924" s="223"/>
      <c r="U924" s="223"/>
      <c r="V924" s="223"/>
      <c r="W924" s="223"/>
    </row>
    <row r="925">
      <c r="A925" s="223"/>
      <c r="B925" s="223"/>
      <c r="C925" s="223"/>
      <c r="D925" s="223"/>
      <c r="E925" s="223"/>
      <c r="F925" s="223"/>
      <c r="G925" s="223"/>
      <c r="H925" s="223"/>
      <c r="I925" s="223"/>
      <c r="J925" s="223"/>
      <c r="K925" s="320"/>
      <c r="L925" s="320"/>
      <c r="M925" s="223"/>
      <c r="N925" s="223"/>
      <c r="O925" s="223"/>
      <c r="P925" s="223"/>
      <c r="Q925" s="223"/>
      <c r="R925" s="223"/>
      <c r="S925" s="223"/>
      <c r="T925" s="223"/>
      <c r="U925" s="223"/>
      <c r="V925" s="223"/>
      <c r="W925" s="223"/>
    </row>
    <row r="926">
      <c r="A926" s="223"/>
      <c r="B926" s="223"/>
      <c r="C926" s="223"/>
      <c r="D926" s="223"/>
      <c r="E926" s="223"/>
      <c r="F926" s="223"/>
      <c r="G926" s="223"/>
      <c r="H926" s="223"/>
      <c r="I926" s="223"/>
      <c r="J926" s="223"/>
      <c r="K926" s="320"/>
      <c r="L926" s="320"/>
      <c r="M926" s="223"/>
      <c r="N926" s="223"/>
      <c r="O926" s="223"/>
      <c r="P926" s="223"/>
      <c r="Q926" s="223"/>
      <c r="R926" s="223"/>
      <c r="S926" s="223"/>
      <c r="T926" s="223"/>
      <c r="U926" s="223"/>
      <c r="V926" s="223"/>
      <c r="W926" s="223"/>
    </row>
    <row r="927">
      <c r="A927" s="223"/>
      <c r="B927" s="223"/>
      <c r="C927" s="223"/>
      <c r="D927" s="223"/>
      <c r="E927" s="223"/>
      <c r="F927" s="223"/>
      <c r="G927" s="223"/>
      <c r="H927" s="223"/>
      <c r="I927" s="223"/>
      <c r="J927" s="223"/>
      <c r="K927" s="320"/>
      <c r="L927" s="320"/>
      <c r="M927" s="223"/>
      <c r="N927" s="223"/>
      <c r="O927" s="223"/>
      <c r="P927" s="223"/>
      <c r="Q927" s="223"/>
      <c r="R927" s="223"/>
      <c r="S927" s="223"/>
      <c r="T927" s="223"/>
      <c r="U927" s="223"/>
      <c r="V927" s="223"/>
      <c r="W927" s="223"/>
    </row>
    <row r="928">
      <c r="A928" s="223"/>
      <c r="B928" s="223"/>
      <c r="C928" s="223"/>
      <c r="D928" s="223"/>
      <c r="E928" s="223"/>
      <c r="F928" s="223"/>
      <c r="G928" s="223"/>
      <c r="H928" s="223"/>
      <c r="I928" s="223"/>
      <c r="J928" s="223"/>
      <c r="K928" s="320"/>
      <c r="L928" s="320"/>
      <c r="M928" s="223"/>
      <c r="N928" s="223"/>
      <c r="O928" s="223"/>
      <c r="P928" s="223"/>
      <c r="Q928" s="223"/>
      <c r="R928" s="223"/>
      <c r="S928" s="223"/>
      <c r="T928" s="223"/>
      <c r="U928" s="223"/>
      <c r="V928" s="223"/>
      <c r="W928" s="223"/>
    </row>
    <row r="929">
      <c r="A929" s="223"/>
      <c r="B929" s="223"/>
      <c r="C929" s="223"/>
      <c r="D929" s="223"/>
      <c r="E929" s="223"/>
      <c r="F929" s="223"/>
      <c r="G929" s="223"/>
      <c r="H929" s="223"/>
      <c r="I929" s="223"/>
      <c r="J929" s="223"/>
      <c r="K929" s="320"/>
      <c r="L929" s="320"/>
      <c r="M929" s="223"/>
      <c r="N929" s="223"/>
      <c r="O929" s="223"/>
      <c r="P929" s="223"/>
      <c r="Q929" s="223"/>
      <c r="R929" s="223"/>
      <c r="S929" s="223"/>
      <c r="T929" s="223"/>
      <c r="U929" s="223"/>
      <c r="V929" s="223"/>
      <c r="W929" s="223"/>
    </row>
    <row r="930">
      <c r="A930" s="223"/>
      <c r="B930" s="223"/>
      <c r="C930" s="223"/>
      <c r="D930" s="223"/>
      <c r="E930" s="223"/>
      <c r="F930" s="223"/>
      <c r="G930" s="223"/>
      <c r="H930" s="223"/>
      <c r="I930" s="223"/>
      <c r="J930" s="223"/>
      <c r="K930" s="320"/>
      <c r="L930" s="320"/>
      <c r="M930" s="223"/>
      <c r="N930" s="223"/>
      <c r="O930" s="223"/>
      <c r="P930" s="223"/>
      <c r="Q930" s="223"/>
      <c r="R930" s="223"/>
      <c r="S930" s="223"/>
      <c r="T930" s="223"/>
      <c r="U930" s="223"/>
      <c r="V930" s="223"/>
      <c r="W930" s="223"/>
    </row>
    <row r="931">
      <c r="A931" s="223"/>
      <c r="B931" s="223"/>
      <c r="C931" s="223"/>
      <c r="D931" s="223"/>
      <c r="E931" s="223"/>
      <c r="F931" s="223"/>
      <c r="G931" s="223"/>
      <c r="H931" s="223"/>
      <c r="I931" s="223"/>
      <c r="J931" s="223"/>
      <c r="K931" s="320"/>
      <c r="L931" s="320"/>
      <c r="M931" s="223"/>
      <c r="N931" s="223"/>
      <c r="O931" s="223"/>
      <c r="P931" s="223"/>
      <c r="Q931" s="223"/>
      <c r="R931" s="223"/>
      <c r="S931" s="223"/>
      <c r="T931" s="223"/>
      <c r="U931" s="223"/>
      <c r="V931" s="223"/>
      <c r="W931" s="223"/>
    </row>
    <row r="932">
      <c r="A932" s="223"/>
      <c r="B932" s="223"/>
      <c r="C932" s="223"/>
      <c r="D932" s="223"/>
      <c r="E932" s="223"/>
      <c r="F932" s="223"/>
      <c r="G932" s="223"/>
      <c r="H932" s="223"/>
      <c r="I932" s="223"/>
      <c r="J932" s="223"/>
      <c r="K932" s="320"/>
      <c r="L932" s="320"/>
      <c r="M932" s="223"/>
      <c r="N932" s="223"/>
      <c r="O932" s="223"/>
      <c r="P932" s="223"/>
      <c r="Q932" s="223"/>
      <c r="R932" s="223"/>
      <c r="S932" s="223"/>
      <c r="T932" s="223"/>
      <c r="U932" s="223"/>
      <c r="V932" s="223"/>
      <c r="W932" s="223"/>
    </row>
    <row r="933">
      <c r="A933" s="223"/>
      <c r="B933" s="223"/>
      <c r="C933" s="223"/>
      <c r="D933" s="223"/>
      <c r="E933" s="223"/>
      <c r="F933" s="223"/>
      <c r="G933" s="223"/>
      <c r="H933" s="223"/>
      <c r="I933" s="223"/>
      <c r="J933" s="223"/>
      <c r="K933" s="320"/>
      <c r="L933" s="320"/>
      <c r="M933" s="223"/>
      <c r="N933" s="223"/>
      <c r="O933" s="223"/>
      <c r="P933" s="223"/>
      <c r="Q933" s="223"/>
      <c r="R933" s="223"/>
      <c r="S933" s="223"/>
      <c r="T933" s="223"/>
      <c r="U933" s="223"/>
      <c r="V933" s="223"/>
      <c r="W933" s="223"/>
    </row>
    <row r="934">
      <c r="A934" s="223"/>
      <c r="B934" s="223"/>
      <c r="C934" s="223"/>
      <c r="D934" s="223"/>
      <c r="E934" s="223"/>
      <c r="F934" s="223"/>
      <c r="G934" s="223"/>
      <c r="H934" s="223"/>
      <c r="I934" s="223"/>
      <c r="J934" s="223"/>
      <c r="K934" s="320"/>
      <c r="L934" s="320"/>
      <c r="M934" s="223"/>
      <c r="N934" s="223"/>
      <c r="O934" s="223"/>
      <c r="P934" s="223"/>
      <c r="Q934" s="223"/>
      <c r="R934" s="223"/>
      <c r="S934" s="223"/>
      <c r="T934" s="223"/>
      <c r="U934" s="223"/>
      <c r="V934" s="223"/>
      <c r="W934" s="223"/>
    </row>
    <row r="935">
      <c r="A935" s="223"/>
      <c r="B935" s="223"/>
      <c r="C935" s="223"/>
      <c r="D935" s="223"/>
      <c r="E935" s="223"/>
      <c r="F935" s="223"/>
      <c r="G935" s="223"/>
      <c r="H935" s="223"/>
      <c r="I935" s="223"/>
      <c r="J935" s="223"/>
      <c r="K935" s="320"/>
      <c r="L935" s="320"/>
      <c r="M935" s="223"/>
      <c r="N935" s="223"/>
      <c r="O935" s="223"/>
      <c r="P935" s="223"/>
      <c r="Q935" s="223"/>
      <c r="R935" s="223"/>
      <c r="S935" s="223"/>
      <c r="T935" s="223"/>
      <c r="U935" s="223"/>
      <c r="V935" s="223"/>
      <c r="W935" s="223"/>
    </row>
    <row r="936">
      <c r="A936" s="223"/>
      <c r="B936" s="223"/>
      <c r="C936" s="223"/>
      <c r="D936" s="223"/>
      <c r="E936" s="223"/>
      <c r="F936" s="223"/>
      <c r="G936" s="223"/>
      <c r="H936" s="223"/>
      <c r="I936" s="223"/>
      <c r="J936" s="223"/>
      <c r="K936" s="320"/>
      <c r="L936" s="320"/>
      <c r="M936" s="223"/>
      <c r="N936" s="223"/>
      <c r="O936" s="223"/>
      <c r="P936" s="223"/>
      <c r="Q936" s="223"/>
      <c r="R936" s="223"/>
      <c r="S936" s="223"/>
      <c r="T936" s="223"/>
      <c r="U936" s="223"/>
      <c r="V936" s="223"/>
      <c r="W936" s="223"/>
    </row>
    <row r="937">
      <c r="A937" s="223"/>
      <c r="B937" s="223"/>
      <c r="C937" s="223"/>
      <c r="D937" s="223"/>
      <c r="E937" s="223"/>
      <c r="F937" s="223"/>
      <c r="G937" s="223"/>
      <c r="H937" s="223"/>
      <c r="I937" s="223"/>
      <c r="J937" s="223"/>
      <c r="K937" s="320"/>
      <c r="L937" s="320"/>
      <c r="M937" s="223"/>
      <c r="N937" s="223"/>
      <c r="O937" s="223"/>
      <c r="P937" s="223"/>
      <c r="Q937" s="223"/>
      <c r="R937" s="223"/>
      <c r="S937" s="223"/>
      <c r="T937" s="223"/>
      <c r="U937" s="223"/>
      <c r="V937" s="223"/>
      <c r="W937" s="223"/>
    </row>
    <row r="938">
      <c r="A938" s="223"/>
      <c r="B938" s="223"/>
      <c r="C938" s="223"/>
      <c r="D938" s="223"/>
      <c r="E938" s="223"/>
      <c r="F938" s="223"/>
      <c r="G938" s="223"/>
      <c r="H938" s="223"/>
      <c r="I938" s="223"/>
      <c r="J938" s="223"/>
      <c r="K938" s="320"/>
      <c r="L938" s="320"/>
      <c r="M938" s="223"/>
      <c r="N938" s="223"/>
      <c r="O938" s="223"/>
      <c r="P938" s="223"/>
      <c r="Q938" s="223"/>
      <c r="R938" s="223"/>
      <c r="S938" s="223"/>
      <c r="T938" s="223"/>
      <c r="U938" s="223"/>
      <c r="V938" s="223"/>
      <c r="W938" s="223"/>
    </row>
    <row r="939">
      <c r="A939" s="223"/>
      <c r="B939" s="223"/>
      <c r="C939" s="223"/>
      <c r="D939" s="223"/>
      <c r="E939" s="223"/>
      <c r="F939" s="223"/>
      <c r="G939" s="223"/>
      <c r="H939" s="223"/>
      <c r="I939" s="223"/>
      <c r="J939" s="223"/>
      <c r="K939" s="320"/>
      <c r="L939" s="320"/>
      <c r="M939" s="223"/>
      <c r="N939" s="223"/>
      <c r="O939" s="223"/>
      <c r="P939" s="223"/>
      <c r="Q939" s="223"/>
      <c r="R939" s="223"/>
      <c r="S939" s="223"/>
      <c r="T939" s="223"/>
      <c r="U939" s="223"/>
      <c r="V939" s="223"/>
      <c r="W939" s="223"/>
    </row>
    <row r="940">
      <c r="A940" s="223"/>
      <c r="B940" s="223"/>
      <c r="C940" s="223"/>
      <c r="D940" s="223"/>
      <c r="E940" s="223"/>
      <c r="F940" s="223"/>
      <c r="G940" s="223"/>
      <c r="H940" s="223"/>
      <c r="I940" s="223"/>
      <c r="J940" s="223"/>
      <c r="K940" s="320"/>
      <c r="L940" s="320"/>
      <c r="M940" s="223"/>
      <c r="N940" s="223"/>
      <c r="O940" s="223"/>
      <c r="P940" s="223"/>
      <c r="Q940" s="223"/>
      <c r="R940" s="223"/>
      <c r="S940" s="223"/>
      <c r="T940" s="223"/>
      <c r="U940" s="223"/>
      <c r="V940" s="223"/>
      <c r="W940" s="223"/>
    </row>
    <row r="941">
      <c r="A941" s="223"/>
      <c r="B941" s="223"/>
      <c r="C941" s="223"/>
      <c r="D941" s="223"/>
      <c r="E941" s="223"/>
      <c r="F941" s="223"/>
      <c r="G941" s="223"/>
      <c r="H941" s="223"/>
      <c r="I941" s="223"/>
      <c r="J941" s="223"/>
      <c r="K941" s="320"/>
      <c r="L941" s="320"/>
      <c r="M941" s="223"/>
      <c r="N941" s="223"/>
      <c r="O941" s="223"/>
      <c r="P941" s="223"/>
      <c r="Q941" s="223"/>
      <c r="R941" s="223"/>
      <c r="S941" s="223"/>
      <c r="T941" s="223"/>
      <c r="U941" s="223"/>
      <c r="V941" s="223"/>
      <c r="W941" s="223"/>
    </row>
    <row r="942">
      <c r="A942" s="223"/>
      <c r="B942" s="223"/>
      <c r="C942" s="223"/>
      <c r="D942" s="223"/>
      <c r="E942" s="223"/>
      <c r="F942" s="223"/>
      <c r="G942" s="223"/>
      <c r="H942" s="223"/>
      <c r="I942" s="223"/>
      <c r="J942" s="223"/>
      <c r="K942" s="320"/>
      <c r="L942" s="320"/>
      <c r="M942" s="223"/>
      <c r="N942" s="223"/>
      <c r="O942" s="223"/>
      <c r="P942" s="223"/>
      <c r="Q942" s="223"/>
      <c r="R942" s="223"/>
      <c r="S942" s="223"/>
      <c r="T942" s="223"/>
      <c r="U942" s="223"/>
      <c r="V942" s="223"/>
      <c r="W942" s="223"/>
    </row>
    <row r="943">
      <c r="A943" s="223"/>
      <c r="B943" s="223"/>
      <c r="C943" s="223"/>
      <c r="D943" s="223"/>
      <c r="E943" s="223"/>
      <c r="F943" s="223"/>
      <c r="G943" s="223"/>
      <c r="H943" s="223"/>
      <c r="I943" s="223"/>
      <c r="J943" s="223"/>
      <c r="K943" s="320"/>
      <c r="L943" s="320"/>
      <c r="M943" s="223"/>
      <c r="N943" s="223"/>
      <c r="O943" s="223"/>
      <c r="P943" s="223"/>
      <c r="Q943" s="223"/>
      <c r="R943" s="223"/>
      <c r="S943" s="223"/>
      <c r="T943" s="223"/>
      <c r="U943" s="223"/>
      <c r="V943" s="223"/>
      <c r="W943" s="223"/>
    </row>
    <row r="944">
      <c r="A944" s="223"/>
      <c r="B944" s="223"/>
      <c r="C944" s="223"/>
      <c r="D944" s="223"/>
      <c r="E944" s="223"/>
      <c r="F944" s="223"/>
      <c r="G944" s="223"/>
      <c r="H944" s="223"/>
      <c r="I944" s="223"/>
      <c r="J944" s="223"/>
      <c r="K944" s="320"/>
      <c r="L944" s="320"/>
      <c r="M944" s="223"/>
      <c r="N944" s="223"/>
      <c r="O944" s="223"/>
      <c r="P944" s="223"/>
      <c r="Q944" s="223"/>
      <c r="R944" s="223"/>
      <c r="S944" s="223"/>
      <c r="T944" s="223"/>
      <c r="U944" s="223"/>
      <c r="V944" s="223"/>
      <c r="W944" s="223"/>
    </row>
    <row r="945">
      <c r="A945" s="223"/>
      <c r="B945" s="223"/>
      <c r="C945" s="223"/>
      <c r="D945" s="223"/>
      <c r="E945" s="223"/>
      <c r="F945" s="223"/>
      <c r="G945" s="223"/>
      <c r="H945" s="223"/>
      <c r="I945" s="223"/>
      <c r="J945" s="223"/>
      <c r="K945" s="320"/>
      <c r="L945" s="320"/>
      <c r="M945" s="223"/>
      <c r="N945" s="223"/>
      <c r="O945" s="223"/>
      <c r="P945" s="223"/>
      <c r="Q945" s="223"/>
      <c r="R945" s="223"/>
      <c r="S945" s="223"/>
      <c r="T945" s="223"/>
      <c r="U945" s="223"/>
      <c r="V945" s="223"/>
      <c r="W945" s="223"/>
    </row>
    <row r="946">
      <c r="A946" s="223"/>
      <c r="B946" s="223"/>
      <c r="C946" s="223"/>
      <c r="D946" s="223"/>
      <c r="E946" s="223"/>
      <c r="F946" s="223"/>
      <c r="G946" s="223"/>
      <c r="H946" s="223"/>
      <c r="I946" s="223"/>
      <c r="J946" s="223"/>
      <c r="K946" s="320"/>
      <c r="L946" s="320"/>
      <c r="M946" s="223"/>
      <c r="N946" s="223"/>
      <c r="O946" s="223"/>
      <c r="P946" s="223"/>
      <c r="Q946" s="223"/>
      <c r="R946" s="223"/>
      <c r="S946" s="223"/>
      <c r="T946" s="223"/>
      <c r="U946" s="223"/>
      <c r="V946" s="223"/>
      <c r="W946" s="223"/>
    </row>
    <row r="947">
      <c r="A947" s="223"/>
      <c r="B947" s="223"/>
      <c r="C947" s="223"/>
      <c r="D947" s="223"/>
      <c r="E947" s="223"/>
      <c r="F947" s="223"/>
      <c r="G947" s="223"/>
      <c r="H947" s="223"/>
      <c r="I947" s="223"/>
      <c r="J947" s="223"/>
      <c r="K947" s="320"/>
      <c r="L947" s="320"/>
      <c r="M947" s="223"/>
      <c r="N947" s="223"/>
      <c r="O947" s="223"/>
      <c r="P947" s="223"/>
      <c r="Q947" s="223"/>
      <c r="R947" s="223"/>
      <c r="S947" s="223"/>
      <c r="T947" s="223"/>
      <c r="U947" s="223"/>
      <c r="V947" s="223"/>
      <c r="W947" s="223"/>
    </row>
    <row r="948">
      <c r="A948" s="223"/>
      <c r="B948" s="223"/>
      <c r="C948" s="223"/>
      <c r="D948" s="223"/>
      <c r="E948" s="223"/>
      <c r="F948" s="223"/>
      <c r="G948" s="223"/>
      <c r="H948" s="223"/>
      <c r="I948" s="223"/>
      <c r="J948" s="223"/>
      <c r="K948" s="320"/>
      <c r="L948" s="320"/>
      <c r="M948" s="223"/>
      <c r="N948" s="223"/>
      <c r="O948" s="223"/>
      <c r="P948" s="223"/>
      <c r="Q948" s="223"/>
      <c r="R948" s="223"/>
      <c r="S948" s="223"/>
      <c r="T948" s="223"/>
      <c r="U948" s="223"/>
      <c r="V948" s="223"/>
      <c r="W948" s="223"/>
    </row>
    <row r="949">
      <c r="A949" s="223"/>
      <c r="B949" s="223"/>
      <c r="C949" s="223"/>
      <c r="D949" s="223"/>
      <c r="E949" s="223"/>
      <c r="F949" s="223"/>
      <c r="G949" s="223"/>
      <c r="H949" s="223"/>
      <c r="I949" s="223"/>
      <c r="J949" s="223"/>
      <c r="K949" s="320"/>
      <c r="L949" s="320"/>
      <c r="M949" s="223"/>
      <c r="N949" s="223"/>
      <c r="O949" s="223"/>
      <c r="P949" s="223"/>
      <c r="Q949" s="223"/>
      <c r="R949" s="223"/>
      <c r="S949" s="223"/>
      <c r="T949" s="223"/>
      <c r="U949" s="223"/>
      <c r="V949" s="223"/>
      <c r="W949" s="223"/>
    </row>
    <row r="950">
      <c r="A950" s="223"/>
      <c r="B950" s="223"/>
      <c r="C950" s="223"/>
      <c r="D950" s="223"/>
      <c r="E950" s="223"/>
      <c r="F950" s="223"/>
      <c r="G950" s="223"/>
      <c r="H950" s="223"/>
      <c r="I950" s="223"/>
      <c r="J950" s="223"/>
      <c r="K950" s="320"/>
      <c r="L950" s="320"/>
      <c r="M950" s="223"/>
      <c r="N950" s="223"/>
      <c r="O950" s="223"/>
      <c r="P950" s="223"/>
      <c r="Q950" s="223"/>
      <c r="R950" s="223"/>
      <c r="S950" s="223"/>
      <c r="T950" s="223"/>
      <c r="U950" s="223"/>
      <c r="V950" s="223"/>
      <c r="W950" s="223"/>
    </row>
    <row r="951">
      <c r="A951" s="223"/>
      <c r="B951" s="223"/>
      <c r="C951" s="223"/>
      <c r="D951" s="223"/>
      <c r="E951" s="223"/>
      <c r="F951" s="223"/>
      <c r="G951" s="223"/>
      <c r="H951" s="223"/>
      <c r="I951" s="223"/>
      <c r="J951" s="223"/>
      <c r="K951" s="320"/>
      <c r="L951" s="320"/>
      <c r="M951" s="223"/>
      <c r="N951" s="223"/>
      <c r="O951" s="223"/>
      <c r="P951" s="223"/>
      <c r="Q951" s="223"/>
      <c r="R951" s="223"/>
      <c r="S951" s="223"/>
      <c r="T951" s="223"/>
      <c r="U951" s="223"/>
      <c r="V951" s="223"/>
      <c r="W951" s="223"/>
    </row>
    <row r="952">
      <c r="A952" s="223"/>
      <c r="B952" s="223"/>
      <c r="C952" s="223"/>
      <c r="D952" s="223"/>
      <c r="E952" s="223"/>
      <c r="F952" s="223"/>
      <c r="G952" s="223"/>
      <c r="H952" s="223"/>
      <c r="I952" s="223"/>
      <c r="J952" s="223"/>
      <c r="K952" s="320"/>
      <c r="L952" s="320"/>
      <c r="M952" s="223"/>
      <c r="N952" s="223"/>
      <c r="O952" s="223"/>
      <c r="P952" s="223"/>
      <c r="Q952" s="223"/>
      <c r="R952" s="223"/>
      <c r="S952" s="223"/>
      <c r="T952" s="223"/>
      <c r="U952" s="223"/>
      <c r="V952" s="223"/>
      <c r="W952" s="223"/>
    </row>
    <row r="953">
      <c r="A953" s="223"/>
      <c r="B953" s="223"/>
      <c r="C953" s="223"/>
      <c r="D953" s="223"/>
      <c r="E953" s="223"/>
      <c r="F953" s="223"/>
      <c r="G953" s="223"/>
      <c r="H953" s="223"/>
      <c r="I953" s="223"/>
      <c r="J953" s="223"/>
      <c r="K953" s="320"/>
      <c r="L953" s="320"/>
      <c r="M953" s="223"/>
      <c r="N953" s="223"/>
      <c r="O953" s="223"/>
      <c r="P953" s="223"/>
      <c r="Q953" s="223"/>
      <c r="R953" s="223"/>
      <c r="S953" s="223"/>
      <c r="T953" s="223"/>
      <c r="U953" s="223"/>
      <c r="V953" s="223"/>
      <c r="W953" s="223"/>
    </row>
    <row r="954">
      <c r="A954" s="223"/>
      <c r="B954" s="223"/>
      <c r="C954" s="223"/>
      <c r="D954" s="223"/>
      <c r="E954" s="223"/>
      <c r="F954" s="223"/>
      <c r="G954" s="223"/>
      <c r="H954" s="223"/>
      <c r="I954" s="223"/>
      <c r="J954" s="223"/>
      <c r="K954" s="320"/>
      <c r="L954" s="320"/>
      <c r="M954" s="223"/>
      <c r="N954" s="223"/>
      <c r="O954" s="223"/>
      <c r="P954" s="223"/>
      <c r="Q954" s="223"/>
      <c r="R954" s="223"/>
      <c r="S954" s="223"/>
      <c r="T954" s="223"/>
      <c r="U954" s="223"/>
      <c r="V954" s="223"/>
      <c r="W954" s="223"/>
    </row>
    <row r="955">
      <c r="A955" s="223"/>
      <c r="B955" s="223"/>
      <c r="C955" s="223"/>
      <c r="D955" s="223"/>
      <c r="E955" s="223"/>
      <c r="F955" s="223"/>
      <c r="G955" s="223"/>
      <c r="H955" s="223"/>
      <c r="I955" s="223"/>
      <c r="J955" s="223"/>
      <c r="K955" s="320"/>
      <c r="L955" s="320"/>
      <c r="M955" s="223"/>
      <c r="N955" s="223"/>
      <c r="O955" s="223"/>
      <c r="P955" s="223"/>
      <c r="Q955" s="223"/>
      <c r="R955" s="223"/>
      <c r="S955" s="223"/>
      <c r="T955" s="223"/>
      <c r="U955" s="223"/>
      <c r="V955" s="223"/>
      <c r="W955" s="223"/>
    </row>
    <row r="956">
      <c r="A956" s="223"/>
      <c r="B956" s="223"/>
      <c r="C956" s="223"/>
      <c r="D956" s="223"/>
      <c r="E956" s="223"/>
      <c r="F956" s="223"/>
      <c r="G956" s="223"/>
      <c r="H956" s="223"/>
      <c r="I956" s="223"/>
      <c r="J956" s="223"/>
      <c r="K956" s="320"/>
      <c r="L956" s="320"/>
      <c r="M956" s="223"/>
      <c r="N956" s="223"/>
      <c r="O956" s="223"/>
      <c r="P956" s="223"/>
      <c r="Q956" s="223"/>
      <c r="R956" s="223"/>
      <c r="S956" s="223"/>
      <c r="T956" s="223"/>
      <c r="U956" s="223"/>
      <c r="V956" s="223"/>
      <c r="W956" s="223"/>
    </row>
    <row r="957">
      <c r="A957" s="223"/>
      <c r="B957" s="223"/>
      <c r="C957" s="223"/>
      <c r="D957" s="223"/>
      <c r="E957" s="223"/>
      <c r="F957" s="223"/>
      <c r="G957" s="223"/>
      <c r="H957" s="223"/>
      <c r="I957" s="223"/>
      <c r="J957" s="223"/>
      <c r="K957" s="320"/>
      <c r="L957" s="320"/>
      <c r="M957" s="223"/>
      <c r="N957" s="223"/>
      <c r="O957" s="223"/>
      <c r="P957" s="223"/>
      <c r="Q957" s="223"/>
      <c r="R957" s="223"/>
      <c r="S957" s="223"/>
      <c r="T957" s="223"/>
      <c r="U957" s="223"/>
      <c r="V957" s="223"/>
      <c r="W957" s="223"/>
    </row>
    <row r="958">
      <c r="A958" s="223"/>
      <c r="B958" s="223"/>
      <c r="C958" s="223"/>
      <c r="D958" s="223"/>
      <c r="E958" s="223"/>
      <c r="F958" s="223"/>
      <c r="G958" s="223"/>
      <c r="H958" s="223"/>
      <c r="I958" s="223"/>
      <c r="J958" s="223"/>
      <c r="K958" s="320"/>
      <c r="L958" s="320"/>
      <c r="M958" s="223"/>
      <c r="N958" s="223"/>
      <c r="O958" s="223"/>
      <c r="P958" s="223"/>
      <c r="Q958" s="223"/>
      <c r="R958" s="223"/>
      <c r="S958" s="223"/>
      <c r="T958" s="223"/>
      <c r="U958" s="223"/>
      <c r="V958" s="223"/>
      <c r="W958" s="223"/>
    </row>
    <row r="959">
      <c r="A959" s="223"/>
      <c r="B959" s="223"/>
      <c r="C959" s="223"/>
      <c r="D959" s="223"/>
      <c r="E959" s="223"/>
      <c r="F959" s="223"/>
      <c r="G959" s="223"/>
      <c r="H959" s="223"/>
      <c r="I959" s="223"/>
      <c r="J959" s="223"/>
      <c r="K959" s="320"/>
      <c r="L959" s="320"/>
      <c r="M959" s="223"/>
      <c r="N959" s="223"/>
      <c r="O959" s="223"/>
      <c r="P959" s="223"/>
      <c r="Q959" s="223"/>
      <c r="R959" s="223"/>
      <c r="S959" s="223"/>
      <c r="T959" s="223"/>
      <c r="U959" s="223"/>
      <c r="V959" s="223"/>
      <c r="W959" s="223"/>
    </row>
    <row r="960">
      <c r="A960" s="223"/>
      <c r="B960" s="223"/>
      <c r="C960" s="223"/>
      <c r="D960" s="223"/>
      <c r="E960" s="223"/>
      <c r="F960" s="223"/>
      <c r="G960" s="223"/>
      <c r="H960" s="223"/>
      <c r="I960" s="223"/>
      <c r="J960" s="223"/>
      <c r="K960" s="320"/>
      <c r="L960" s="320"/>
      <c r="M960" s="223"/>
      <c r="N960" s="223"/>
      <c r="O960" s="223"/>
      <c r="P960" s="223"/>
      <c r="Q960" s="223"/>
      <c r="R960" s="223"/>
      <c r="S960" s="223"/>
      <c r="T960" s="223"/>
      <c r="U960" s="223"/>
      <c r="V960" s="223"/>
      <c r="W960" s="223"/>
    </row>
    <row r="961">
      <c r="A961" s="223"/>
      <c r="B961" s="223"/>
      <c r="C961" s="223"/>
      <c r="D961" s="223"/>
      <c r="E961" s="223"/>
      <c r="F961" s="223"/>
      <c r="G961" s="223"/>
      <c r="H961" s="223"/>
      <c r="I961" s="223"/>
      <c r="J961" s="223"/>
      <c r="K961" s="320"/>
      <c r="L961" s="320"/>
      <c r="M961" s="223"/>
      <c r="N961" s="223"/>
      <c r="O961" s="223"/>
      <c r="P961" s="223"/>
      <c r="Q961" s="223"/>
      <c r="R961" s="223"/>
      <c r="S961" s="223"/>
      <c r="T961" s="223"/>
      <c r="U961" s="223"/>
      <c r="V961" s="223"/>
      <c r="W961" s="223"/>
    </row>
    <row r="962">
      <c r="A962" s="223"/>
      <c r="B962" s="223"/>
      <c r="C962" s="223"/>
      <c r="D962" s="223"/>
      <c r="E962" s="223"/>
      <c r="F962" s="223"/>
      <c r="G962" s="223"/>
      <c r="H962" s="223"/>
      <c r="I962" s="223"/>
      <c r="J962" s="223"/>
      <c r="K962" s="320"/>
      <c r="L962" s="320"/>
      <c r="M962" s="223"/>
      <c r="N962" s="223"/>
      <c r="O962" s="223"/>
      <c r="P962" s="223"/>
      <c r="Q962" s="223"/>
      <c r="R962" s="223"/>
      <c r="S962" s="223"/>
      <c r="T962" s="223"/>
      <c r="U962" s="223"/>
      <c r="V962" s="223"/>
      <c r="W962" s="223"/>
    </row>
    <row r="963">
      <c r="A963" s="223"/>
      <c r="B963" s="223"/>
      <c r="C963" s="223"/>
      <c r="D963" s="223"/>
      <c r="E963" s="223"/>
      <c r="F963" s="223"/>
      <c r="G963" s="223"/>
      <c r="H963" s="223"/>
      <c r="I963" s="223"/>
      <c r="J963" s="223"/>
      <c r="K963" s="320"/>
      <c r="L963" s="320"/>
      <c r="M963" s="223"/>
      <c r="N963" s="223"/>
      <c r="O963" s="223"/>
      <c r="P963" s="223"/>
      <c r="Q963" s="223"/>
      <c r="R963" s="223"/>
      <c r="S963" s="223"/>
      <c r="T963" s="223"/>
      <c r="U963" s="223"/>
      <c r="V963" s="223"/>
      <c r="W963" s="223"/>
    </row>
    <row r="964">
      <c r="A964" s="223"/>
      <c r="B964" s="223"/>
      <c r="C964" s="223"/>
      <c r="D964" s="223"/>
      <c r="E964" s="223"/>
      <c r="F964" s="223"/>
      <c r="G964" s="223"/>
      <c r="H964" s="223"/>
      <c r="I964" s="223"/>
      <c r="J964" s="223"/>
      <c r="K964" s="320"/>
      <c r="L964" s="320"/>
      <c r="M964" s="223"/>
      <c r="N964" s="223"/>
      <c r="O964" s="223"/>
      <c r="P964" s="223"/>
      <c r="Q964" s="223"/>
      <c r="R964" s="223"/>
      <c r="S964" s="223"/>
      <c r="T964" s="223"/>
      <c r="U964" s="223"/>
      <c r="V964" s="223"/>
      <c r="W964" s="223"/>
    </row>
    <row r="965">
      <c r="A965" s="223"/>
      <c r="B965" s="223"/>
      <c r="C965" s="223"/>
      <c r="D965" s="223"/>
      <c r="E965" s="223"/>
      <c r="F965" s="223"/>
      <c r="G965" s="223"/>
      <c r="H965" s="223"/>
      <c r="I965" s="223"/>
      <c r="J965" s="223"/>
      <c r="K965" s="320"/>
      <c r="L965" s="320"/>
      <c r="M965" s="223"/>
      <c r="N965" s="223"/>
      <c r="O965" s="223"/>
      <c r="P965" s="223"/>
      <c r="Q965" s="223"/>
      <c r="R965" s="223"/>
      <c r="S965" s="223"/>
      <c r="T965" s="223"/>
      <c r="U965" s="223"/>
      <c r="V965" s="223"/>
      <c r="W965" s="223"/>
    </row>
    <row r="966">
      <c r="A966" s="223"/>
      <c r="B966" s="223"/>
      <c r="C966" s="223"/>
      <c r="D966" s="223"/>
      <c r="E966" s="223"/>
      <c r="F966" s="223"/>
      <c r="G966" s="223"/>
      <c r="H966" s="223"/>
      <c r="I966" s="223"/>
      <c r="J966" s="223"/>
      <c r="K966" s="320"/>
      <c r="L966" s="320"/>
      <c r="M966" s="223"/>
      <c r="N966" s="223"/>
      <c r="O966" s="223"/>
      <c r="P966" s="223"/>
      <c r="Q966" s="223"/>
      <c r="R966" s="223"/>
      <c r="S966" s="223"/>
      <c r="T966" s="223"/>
      <c r="U966" s="223"/>
      <c r="V966" s="223"/>
      <c r="W966" s="223"/>
    </row>
    <row r="967">
      <c r="A967" s="223"/>
      <c r="B967" s="223"/>
      <c r="C967" s="223"/>
      <c r="D967" s="223"/>
      <c r="E967" s="223"/>
      <c r="F967" s="223"/>
      <c r="G967" s="223"/>
      <c r="H967" s="223"/>
      <c r="I967" s="223"/>
      <c r="J967" s="223"/>
      <c r="K967" s="320"/>
      <c r="L967" s="320"/>
      <c r="M967" s="223"/>
      <c r="N967" s="223"/>
      <c r="O967" s="223"/>
      <c r="P967" s="223"/>
      <c r="Q967" s="223"/>
      <c r="R967" s="223"/>
      <c r="S967" s="223"/>
      <c r="T967" s="223"/>
      <c r="U967" s="223"/>
      <c r="V967" s="223"/>
      <c r="W967" s="223"/>
    </row>
    <row r="968">
      <c r="A968" s="223"/>
      <c r="B968" s="223"/>
      <c r="C968" s="223"/>
      <c r="D968" s="223"/>
      <c r="E968" s="223"/>
      <c r="F968" s="223"/>
      <c r="G968" s="223"/>
      <c r="H968" s="223"/>
      <c r="I968" s="223"/>
      <c r="J968" s="223"/>
      <c r="K968" s="320"/>
      <c r="L968" s="320"/>
      <c r="M968" s="223"/>
      <c r="N968" s="223"/>
      <c r="O968" s="223"/>
      <c r="P968" s="223"/>
      <c r="Q968" s="223"/>
      <c r="R968" s="223"/>
      <c r="S968" s="223"/>
      <c r="T968" s="223"/>
      <c r="U968" s="223"/>
      <c r="V968" s="223"/>
      <c r="W968" s="223"/>
    </row>
    <row r="969">
      <c r="A969" s="223"/>
      <c r="B969" s="223"/>
      <c r="C969" s="223"/>
      <c r="D969" s="223"/>
      <c r="E969" s="223"/>
      <c r="F969" s="223"/>
      <c r="G969" s="223"/>
      <c r="H969" s="223"/>
      <c r="I969" s="223"/>
      <c r="J969" s="223"/>
      <c r="K969" s="320"/>
      <c r="L969" s="320"/>
      <c r="M969" s="223"/>
      <c r="N969" s="223"/>
      <c r="O969" s="223"/>
      <c r="P969" s="223"/>
      <c r="Q969" s="223"/>
      <c r="R969" s="223"/>
      <c r="S969" s="223"/>
      <c r="T969" s="223"/>
      <c r="U969" s="223"/>
      <c r="V969" s="223"/>
      <c r="W969" s="223"/>
    </row>
    <row r="970">
      <c r="A970" s="223"/>
      <c r="B970" s="223"/>
      <c r="C970" s="223"/>
      <c r="D970" s="223"/>
      <c r="E970" s="223"/>
      <c r="F970" s="223"/>
      <c r="G970" s="223"/>
      <c r="H970" s="223"/>
      <c r="I970" s="223"/>
      <c r="J970" s="223"/>
      <c r="K970" s="320"/>
      <c r="L970" s="320"/>
      <c r="M970" s="223"/>
      <c r="N970" s="223"/>
      <c r="O970" s="223"/>
      <c r="P970" s="223"/>
      <c r="Q970" s="223"/>
      <c r="R970" s="223"/>
      <c r="S970" s="223"/>
      <c r="T970" s="223"/>
      <c r="U970" s="223"/>
      <c r="V970" s="223"/>
      <c r="W970" s="223"/>
    </row>
    <row r="971">
      <c r="A971" s="223"/>
      <c r="B971" s="223"/>
      <c r="C971" s="223"/>
      <c r="D971" s="223"/>
      <c r="E971" s="223"/>
      <c r="F971" s="223"/>
      <c r="G971" s="223"/>
      <c r="H971" s="223"/>
      <c r="I971" s="223"/>
      <c r="J971" s="223"/>
      <c r="K971" s="320"/>
      <c r="L971" s="320"/>
      <c r="M971" s="223"/>
      <c r="N971" s="223"/>
      <c r="O971" s="223"/>
      <c r="P971" s="223"/>
      <c r="Q971" s="223"/>
      <c r="R971" s="223"/>
      <c r="S971" s="223"/>
      <c r="T971" s="223"/>
      <c r="U971" s="223"/>
      <c r="V971" s="223"/>
      <c r="W971" s="223"/>
    </row>
    <row r="972">
      <c r="A972" s="223"/>
      <c r="B972" s="223"/>
      <c r="C972" s="223"/>
      <c r="D972" s="223"/>
      <c r="E972" s="223"/>
      <c r="F972" s="223"/>
      <c r="G972" s="223"/>
      <c r="H972" s="223"/>
      <c r="I972" s="223"/>
      <c r="J972" s="223"/>
      <c r="K972" s="320"/>
      <c r="L972" s="320"/>
      <c r="M972" s="223"/>
      <c r="N972" s="223"/>
      <c r="O972" s="223"/>
      <c r="P972" s="223"/>
      <c r="Q972" s="223"/>
      <c r="R972" s="223"/>
      <c r="S972" s="223"/>
      <c r="T972" s="223"/>
      <c r="U972" s="223"/>
      <c r="V972" s="223"/>
      <c r="W972" s="223"/>
    </row>
    <row r="973">
      <c r="A973" s="223"/>
      <c r="B973" s="223"/>
      <c r="C973" s="223"/>
      <c r="D973" s="223"/>
      <c r="E973" s="223"/>
      <c r="F973" s="223"/>
      <c r="G973" s="223"/>
      <c r="H973" s="223"/>
      <c r="I973" s="223"/>
      <c r="J973" s="223"/>
      <c r="K973" s="320"/>
      <c r="L973" s="320"/>
      <c r="M973" s="223"/>
      <c r="N973" s="223"/>
      <c r="O973" s="223"/>
      <c r="P973" s="223"/>
      <c r="Q973" s="223"/>
      <c r="R973" s="223"/>
      <c r="S973" s="223"/>
      <c r="T973" s="223"/>
      <c r="U973" s="223"/>
      <c r="V973" s="223"/>
      <c r="W973" s="223"/>
    </row>
    <row r="974">
      <c r="A974" s="223"/>
      <c r="B974" s="223"/>
      <c r="C974" s="223"/>
      <c r="D974" s="223"/>
      <c r="E974" s="223"/>
      <c r="F974" s="223"/>
      <c r="G974" s="223"/>
      <c r="H974" s="223"/>
      <c r="I974" s="223"/>
      <c r="J974" s="223"/>
      <c r="K974" s="320"/>
      <c r="L974" s="320"/>
      <c r="M974" s="223"/>
      <c r="N974" s="223"/>
      <c r="O974" s="223"/>
      <c r="P974" s="223"/>
      <c r="Q974" s="223"/>
      <c r="R974" s="223"/>
      <c r="S974" s="223"/>
      <c r="T974" s="223"/>
      <c r="U974" s="223"/>
      <c r="V974" s="223"/>
      <c r="W974" s="223"/>
    </row>
    <row r="975">
      <c r="A975" s="223"/>
      <c r="B975" s="223"/>
      <c r="C975" s="223"/>
      <c r="D975" s="223"/>
      <c r="E975" s="223"/>
      <c r="F975" s="223"/>
      <c r="G975" s="223"/>
      <c r="H975" s="223"/>
      <c r="I975" s="223"/>
      <c r="J975" s="223"/>
      <c r="K975" s="320"/>
      <c r="L975" s="320"/>
      <c r="M975" s="223"/>
      <c r="N975" s="223"/>
      <c r="O975" s="223"/>
      <c r="P975" s="223"/>
      <c r="Q975" s="223"/>
      <c r="R975" s="223"/>
      <c r="S975" s="223"/>
      <c r="T975" s="223"/>
      <c r="U975" s="223"/>
      <c r="V975" s="223"/>
      <c r="W975" s="223"/>
    </row>
    <row r="976">
      <c r="A976" s="223"/>
      <c r="B976" s="223"/>
      <c r="C976" s="223"/>
      <c r="D976" s="223"/>
      <c r="E976" s="223"/>
      <c r="F976" s="223"/>
      <c r="G976" s="223"/>
      <c r="H976" s="223"/>
      <c r="I976" s="223"/>
      <c r="J976" s="223"/>
      <c r="K976" s="320"/>
      <c r="L976" s="320"/>
      <c r="M976" s="223"/>
      <c r="N976" s="223"/>
      <c r="O976" s="223"/>
      <c r="P976" s="223"/>
      <c r="Q976" s="223"/>
      <c r="R976" s="223"/>
      <c r="S976" s="223"/>
      <c r="T976" s="223"/>
      <c r="U976" s="223"/>
      <c r="V976" s="223"/>
      <c r="W976" s="223"/>
    </row>
    <row r="977">
      <c r="A977" s="223"/>
      <c r="B977" s="223"/>
      <c r="C977" s="223"/>
      <c r="D977" s="223"/>
      <c r="E977" s="223"/>
      <c r="F977" s="223"/>
      <c r="G977" s="223"/>
      <c r="H977" s="223"/>
      <c r="I977" s="223"/>
      <c r="J977" s="223"/>
      <c r="K977" s="320"/>
      <c r="L977" s="320"/>
      <c r="M977" s="223"/>
      <c r="N977" s="223"/>
      <c r="O977" s="223"/>
      <c r="P977" s="223"/>
      <c r="Q977" s="223"/>
      <c r="R977" s="223"/>
      <c r="S977" s="223"/>
      <c r="T977" s="223"/>
      <c r="U977" s="223"/>
      <c r="V977" s="223"/>
      <c r="W977" s="223"/>
    </row>
    <row r="978">
      <c r="A978" s="223"/>
      <c r="B978" s="223"/>
      <c r="C978" s="223"/>
      <c r="D978" s="223"/>
      <c r="E978" s="223"/>
      <c r="F978" s="223"/>
      <c r="G978" s="223"/>
      <c r="H978" s="223"/>
      <c r="I978" s="223"/>
      <c r="J978" s="223"/>
      <c r="K978" s="320"/>
      <c r="L978" s="320"/>
      <c r="M978" s="223"/>
      <c r="N978" s="223"/>
      <c r="O978" s="223"/>
      <c r="P978" s="223"/>
      <c r="Q978" s="223"/>
      <c r="R978" s="223"/>
      <c r="S978" s="223"/>
      <c r="T978" s="223"/>
      <c r="U978" s="223"/>
      <c r="V978" s="223"/>
      <c r="W978" s="223"/>
    </row>
    <row r="979">
      <c r="A979" s="223"/>
      <c r="B979" s="223"/>
      <c r="C979" s="223"/>
      <c r="D979" s="223"/>
      <c r="E979" s="223"/>
      <c r="F979" s="223"/>
      <c r="G979" s="223"/>
      <c r="H979" s="223"/>
      <c r="I979" s="223"/>
      <c r="J979" s="223"/>
      <c r="K979" s="320"/>
      <c r="L979" s="320"/>
      <c r="M979" s="223"/>
      <c r="N979" s="223"/>
      <c r="O979" s="223"/>
      <c r="P979" s="223"/>
      <c r="Q979" s="223"/>
      <c r="R979" s="223"/>
      <c r="S979" s="223"/>
      <c r="T979" s="223"/>
      <c r="U979" s="223"/>
      <c r="V979" s="223"/>
      <c r="W979" s="223"/>
    </row>
    <row r="980">
      <c r="A980" s="223"/>
      <c r="B980" s="223"/>
      <c r="C980" s="223"/>
      <c r="D980" s="223"/>
      <c r="E980" s="223"/>
      <c r="F980" s="223"/>
      <c r="G980" s="223"/>
      <c r="H980" s="223"/>
      <c r="I980" s="223"/>
      <c r="J980" s="223"/>
      <c r="K980" s="320"/>
      <c r="L980" s="320"/>
      <c r="M980" s="223"/>
      <c r="N980" s="223"/>
      <c r="O980" s="223"/>
      <c r="P980" s="223"/>
      <c r="Q980" s="223"/>
      <c r="R980" s="223"/>
      <c r="S980" s="223"/>
      <c r="T980" s="223"/>
      <c r="U980" s="223"/>
      <c r="V980" s="223"/>
      <c r="W980" s="223"/>
    </row>
    <row r="981">
      <c r="A981" s="223"/>
      <c r="B981" s="223"/>
      <c r="C981" s="223"/>
      <c r="D981" s="223"/>
      <c r="E981" s="223"/>
      <c r="F981" s="223"/>
      <c r="G981" s="223"/>
      <c r="H981" s="223"/>
      <c r="I981" s="223"/>
      <c r="J981" s="223"/>
      <c r="K981" s="320"/>
      <c r="L981" s="320"/>
      <c r="M981" s="223"/>
      <c r="N981" s="223"/>
      <c r="O981" s="223"/>
      <c r="P981" s="223"/>
      <c r="Q981" s="223"/>
      <c r="R981" s="223"/>
      <c r="S981" s="223"/>
      <c r="T981" s="223"/>
      <c r="U981" s="223"/>
      <c r="V981" s="223"/>
      <c r="W981" s="223"/>
    </row>
    <row r="982">
      <c r="A982" s="223"/>
      <c r="B982" s="223"/>
      <c r="C982" s="223"/>
      <c r="D982" s="223"/>
      <c r="E982" s="223"/>
      <c r="F982" s="223"/>
      <c r="G982" s="223"/>
      <c r="H982" s="223"/>
      <c r="I982" s="223"/>
      <c r="J982" s="223"/>
      <c r="K982" s="320"/>
      <c r="L982" s="320"/>
      <c r="M982" s="223"/>
      <c r="N982" s="223"/>
      <c r="O982" s="223"/>
      <c r="P982" s="223"/>
      <c r="Q982" s="223"/>
      <c r="R982" s="223"/>
      <c r="S982" s="223"/>
      <c r="T982" s="223"/>
      <c r="U982" s="223"/>
      <c r="V982" s="223"/>
      <c r="W982" s="223"/>
    </row>
    <row r="983">
      <c r="A983" s="223"/>
      <c r="B983" s="223"/>
      <c r="C983" s="223"/>
      <c r="D983" s="223"/>
      <c r="E983" s="223"/>
      <c r="F983" s="223"/>
      <c r="G983" s="223"/>
      <c r="H983" s="223"/>
      <c r="I983" s="223"/>
      <c r="J983" s="223"/>
      <c r="K983" s="320"/>
      <c r="L983" s="320"/>
      <c r="M983" s="223"/>
      <c r="N983" s="223"/>
      <c r="O983" s="223"/>
      <c r="P983" s="223"/>
      <c r="Q983" s="223"/>
      <c r="R983" s="223"/>
      <c r="S983" s="223"/>
      <c r="T983" s="223"/>
      <c r="U983" s="223"/>
      <c r="V983" s="223"/>
      <c r="W983" s="223"/>
    </row>
    <row r="984">
      <c r="A984" s="223"/>
      <c r="B984" s="223"/>
      <c r="C984" s="223"/>
      <c r="D984" s="223"/>
      <c r="E984" s="223"/>
      <c r="F984" s="223"/>
      <c r="G984" s="223"/>
      <c r="H984" s="223"/>
      <c r="I984" s="223"/>
      <c r="J984" s="223"/>
      <c r="K984" s="320"/>
      <c r="L984" s="320"/>
      <c r="M984" s="223"/>
      <c r="N984" s="223"/>
      <c r="O984" s="223"/>
      <c r="P984" s="223"/>
      <c r="Q984" s="223"/>
      <c r="R984" s="223"/>
      <c r="S984" s="223"/>
      <c r="T984" s="223"/>
      <c r="U984" s="223"/>
      <c r="V984" s="223"/>
      <c r="W984" s="223"/>
    </row>
    <row r="985">
      <c r="A985" s="223"/>
      <c r="B985" s="223"/>
      <c r="C985" s="223"/>
      <c r="D985" s="223"/>
      <c r="E985" s="223"/>
      <c r="F985" s="223"/>
      <c r="G985" s="223"/>
      <c r="H985" s="223"/>
      <c r="I985" s="223"/>
      <c r="J985" s="223"/>
      <c r="K985" s="320"/>
      <c r="L985" s="320"/>
      <c r="M985" s="223"/>
      <c r="N985" s="223"/>
      <c r="O985" s="223"/>
      <c r="P985" s="223"/>
      <c r="Q985" s="223"/>
      <c r="R985" s="223"/>
      <c r="S985" s="223"/>
      <c r="T985" s="223"/>
      <c r="U985" s="223"/>
      <c r="V985" s="223"/>
      <c r="W985" s="223"/>
    </row>
    <row r="986">
      <c r="A986" s="223"/>
      <c r="B986" s="223"/>
      <c r="C986" s="223"/>
      <c r="D986" s="223"/>
      <c r="E986" s="223"/>
      <c r="F986" s="223"/>
      <c r="G986" s="223"/>
      <c r="H986" s="223"/>
      <c r="I986" s="223"/>
      <c r="J986" s="223"/>
      <c r="K986" s="320"/>
      <c r="L986" s="320"/>
      <c r="M986" s="223"/>
      <c r="N986" s="223"/>
      <c r="O986" s="223"/>
      <c r="P986" s="223"/>
      <c r="Q986" s="223"/>
      <c r="R986" s="223"/>
      <c r="S986" s="223"/>
      <c r="T986" s="223"/>
      <c r="U986" s="223"/>
      <c r="V986" s="223"/>
      <c r="W986" s="223"/>
    </row>
    <row r="987">
      <c r="A987" s="223"/>
      <c r="B987" s="223"/>
      <c r="C987" s="223"/>
      <c r="D987" s="223"/>
      <c r="E987" s="223"/>
      <c r="F987" s="223"/>
      <c r="G987" s="223"/>
      <c r="H987" s="223"/>
      <c r="I987" s="223"/>
      <c r="J987" s="223"/>
      <c r="K987" s="320"/>
      <c r="L987" s="320"/>
      <c r="M987" s="223"/>
      <c r="N987" s="223"/>
      <c r="O987" s="223"/>
      <c r="P987" s="223"/>
      <c r="Q987" s="223"/>
      <c r="R987" s="223"/>
      <c r="S987" s="223"/>
      <c r="T987" s="223"/>
      <c r="U987" s="223"/>
      <c r="V987" s="223"/>
      <c r="W987" s="223"/>
    </row>
    <row r="988">
      <c r="A988" s="223"/>
      <c r="B988" s="223"/>
      <c r="C988" s="223"/>
      <c r="D988" s="223"/>
      <c r="E988" s="223"/>
      <c r="F988" s="223"/>
      <c r="G988" s="223"/>
      <c r="H988" s="223"/>
      <c r="I988" s="223"/>
      <c r="J988" s="223"/>
      <c r="K988" s="320"/>
      <c r="L988" s="320"/>
      <c r="M988" s="223"/>
      <c r="N988" s="223"/>
      <c r="O988" s="223"/>
      <c r="P988" s="223"/>
      <c r="Q988" s="223"/>
      <c r="R988" s="223"/>
      <c r="S988" s="223"/>
      <c r="T988" s="223"/>
      <c r="U988" s="223"/>
      <c r="V988" s="223"/>
      <c r="W988" s="223"/>
    </row>
    <row r="989">
      <c r="A989" s="223"/>
      <c r="B989" s="223"/>
      <c r="C989" s="223"/>
      <c r="D989" s="223"/>
      <c r="E989" s="223"/>
      <c r="F989" s="223"/>
      <c r="G989" s="223"/>
      <c r="H989" s="223"/>
      <c r="I989" s="223"/>
      <c r="J989" s="223"/>
      <c r="K989" s="320"/>
      <c r="L989" s="320"/>
      <c r="M989" s="223"/>
      <c r="N989" s="223"/>
      <c r="O989" s="223"/>
      <c r="P989" s="223"/>
      <c r="Q989" s="223"/>
      <c r="R989" s="223"/>
      <c r="S989" s="223"/>
      <c r="T989" s="223"/>
      <c r="U989" s="223"/>
      <c r="V989" s="223"/>
      <c r="W989" s="223"/>
    </row>
    <row r="990">
      <c r="A990" s="223"/>
      <c r="B990" s="223"/>
      <c r="C990" s="223"/>
      <c r="D990" s="223"/>
      <c r="E990" s="223"/>
      <c r="F990" s="223"/>
      <c r="G990" s="223"/>
      <c r="H990" s="223"/>
      <c r="I990" s="223"/>
      <c r="J990" s="223"/>
      <c r="K990" s="320"/>
      <c r="L990" s="320"/>
      <c r="M990" s="223"/>
      <c r="N990" s="223"/>
      <c r="O990" s="223"/>
      <c r="P990" s="223"/>
      <c r="Q990" s="223"/>
      <c r="R990" s="223"/>
      <c r="S990" s="223"/>
      <c r="T990" s="223"/>
      <c r="U990" s="223"/>
      <c r="V990" s="223"/>
      <c r="W990" s="223"/>
    </row>
    <row r="991">
      <c r="A991" s="223"/>
      <c r="B991" s="223"/>
      <c r="C991" s="223"/>
      <c r="D991" s="223"/>
      <c r="E991" s="223"/>
      <c r="F991" s="223"/>
      <c r="G991" s="223"/>
      <c r="H991" s="223"/>
      <c r="I991" s="223"/>
      <c r="J991" s="223"/>
      <c r="K991" s="320"/>
      <c r="L991" s="320"/>
      <c r="M991" s="223"/>
      <c r="N991" s="223"/>
      <c r="O991" s="223"/>
      <c r="P991" s="223"/>
      <c r="Q991" s="223"/>
      <c r="R991" s="223"/>
      <c r="S991" s="223"/>
      <c r="T991" s="223"/>
      <c r="U991" s="223"/>
      <c r="V991" s="223"/>
      <c r="W991" s="223"/>
    </row>
    <row r="992">
      <c r="A992" s="223"/>
      <c r="B992" s="223"/>
      <c r="C992" s="223"/>
      <c r="D992" s="223"/>
      <c r="E992" s="223"/>
      <c r="F992" s="223"/>
      <c r="G992" s="223"/>
      <c r="H992" s="223"/>
      <c r="I992" s="223"/>
      <c r="J992" s="223"/>
      <c r="K992" s="320"/>
      <c r="L992" s="320"/>
      <c r="M992" s="223"/>
      <c r="N992" s="223"/>
      <c r="O992" s="223"/>
      <c r="P992" s="223"/>
      <c r="Q992" s="223"/>
      <c r="R992" s="223"/>
      <c r="S992" s="223"/>
      <c r="T992" s="223"/>
      <c r="U992" s="223"/>
      <c r="V992" s="223"/>
      <c r="W992" s="223"/>
    </row>
    <row r="993">
      <c r="A993" s="223"/>
      <c r="B993" s="223"/>
      <c r="C993" s="223"/>
      <c r="D993" s="223"/>
      <c r="E993" s="223"/>
      <c r="F993" s="223"/>
      <c r="G993" s="223"/>
      <c r="H993" s="223"/>
      <c r="I993" s="223"/>
      <c r="J993" s="223"/>
      <c r="K993" s="320"/>
      <c r="L993" s="320"/>
      <c r="M993" s="223"/>
      <c r="N993" s="223"/>
      <c r="O993" s="223"/>
      <c r="P993" s="223"/>
      <c r="Q993" s="223"/>
      <c r="R993" s="223"/>
      <c r="S993" s="223"/>
      <c r="T993" s="223"/>
      <c r="U993" s="223"/>
      <c r="V993" s="223"/>
      <c r="W993" s="223"/>
    </row>
    <row r="994">
      <c r="A994" s="223"/>
      <c r="B994" s="223"/>
      <c r="C994" s="223"/>
      <c r="D994" s="223"/>
      <c r="E994" s="223"/>
      <c r="F994" s="223"/>
      <c r="G994" s="223"/>
      <c r="H994" s="223"/>
      <c r="I994" s="223"/>
      <c r="J994" s="223"/>
      <c r="K994" s="320"/>
      <c r="L994" s="320"/>
      <c r="M994" s="223"/>
      <c r="N994" s="223"/>
      <c r="O994" s="223"/>
      <c r="P994" s="223"/>
      <c r="Q994" s="223"/>
      <c r="R994" s="223"/>
      <c r="S994" s="223"/>
      <c r="T994" s="223"/>
      <c r="U994" s="223"/>
      <c r="V994" s="223"/>
      <c r="W994" s="223"/>
    </row>
    <row r="995">
      <c r="A995" s="223"/>
      <c r="B995" s="223"/>
      <c r="C995" s="223"/>
      <c r="D995" s="223"/>
      <c r="E995" s="223"/>
      <c r="F995" s="223"/>
      <c r="G995" s="223"/>
      <c r="H995" s="223"/>
      <c r="I995" s="223"/>
      <c r="J995" s="223"/>
      <c r="K995" s="320"/>
      <c r="L995" s="320"/>
      <c r="M995" s="223"/>
      <c r="N995" s="223"/>
      <c r="O995" s="223"/>
      <c r="P995" s="223"/>
      <c r="Q995" s="223"/>
      <c r="R995" s="223"/>
      <c r="S995" s="223"/>
      <c r="T995" s="223"/>
      <c r="U995" s="223"/>
      <c r="V995" s="223"/>
      <c r="W995" s="223"/>
    </row>
    <row r="996">
      <c r="A996" s="223"/>
      <c r="B996" s="223"/>
      <c r="C996" s="223"/>
      <c r="D996" s="223"/>
      <c r="E996" s="223"/>
      <c r="F996" s="223"/>
      <c r="G996" s="223"/>
      <c r="H996" s="223"/>
      <c r="I996" s="223"/>
      <c r="J996" s="223"/>
      <c r="K996" s="320"/>
      <c r="L996" s="320"/>
      <c r="M996" s="223"/>
      <c r="N996" s="223"/>
      <c r="O996" s="223"/>
      <c r="P996" s="223"/>
      <c r="Q996" s="223"/>
      <c r="R996" s="223"/>
      <c r="S996" s="223"/>
      <c r="T996" s="223"/>
      <c r="U996" s="223"/>
      <c r="V996" s="223"/>
      <c r="W996" s="223"/>
    </row>
    <row r="997">
      <c r="A997" s="223"/>
      <c r="B997" s="223"/>
      <c r="C997" s="223"/>
      <c r="D997" s="223"/>
      <c r="E997" s="223"/>
      <c r="F997" s="223"/>
      <c r="G997" s="223"/>
      <c r="H997" s="223"/>
      <c r="I997" s="223"/>
      <c r="J997" s="223"/>
      <c r="K997" s="320"/>
      <c r="L997" s="320"/>
      <c r="M997" s="223"/>
      <c r="N997" s="223"/>
      <c r="O997" s="223"/>
      <c r="P997" s="223"/>
      <c r="Q997" s="223"/>
      <c r="R997" s="223"/>
      <c r="S997" s="223"/>
      <c r="T997" s="223"/>
      <c r="U997" s="223"/>
      <c r="V997" s="223"/>
      <c r="W997" s="223"/>
    </row>
    <row r="998">
      <c r="A998" s="223"/>
      <c r="B998" s="223"/>
      <c r="C998" s="223"/>
      <c r="D998" s="223"/>
      <c r="E998" s="223"/>
      <c r="F998" s="223"/>
      <c r="G998" s="223"/>
      <c r="H998" s="223"/>
      <c r="I998" s="223"/>
      <c r="J998" s="223"/>
      <c r="K998" s="320"/>
      <c r="L998" s="320"/>
      <c r="M998" s="223"/>
      <c r="N998" s="223"/>
      <c r="O998" s="223"/>
      <c r="P998" s="223"/>
      <c r="Q998" s="223"/>
      <c r="R998" s="223"/>
      <c r="S998" s="223"/>
      <c r="T998" s="223"/>
      <c r="U998" s="223"/>
      <c r="V998" s="223"/>
      <c r="W998" s="223"/>
    </row>
    <row r="999">
      <c r="A999" s="223"/>
      <c r="B999" s="223"/>
      <c r="C999" s="223"/>
      <c r="D999" s="223"/>
      <c r="E999" s="223"/>
      <c r="F999" s="223"/>
      <c r="G999" s="223"/>
      <c r="H999" s="223"/>
      <c r="I999" s="223"/>
      <c r="J999" s="223"/>
      <c r="K999" s="320"/>
      <c r="L999" s="320"/>
      <c r="M999" s="223"/>
      <c r="N999" s="223"/>
      <c r="O999" s="223"/>
      <c r="P999" s="223"/>
      <c r="Q999" s="223"/>
      <c r="R999" s="223"/>
      <c r="S999" s="223"/>
      <c r="T999" s="223"/>
      <c r="U999" s="223"/>
      <c r="V999" s="223"/>
      <c r="W999" s="223"/>
    </row>
    <row r="1000">
      <c r="A1000" s="223"/>
      <c r="B1000" s="223"/>
      <c r="C1000" s="223"/>
      <c r="D1000" s="223"/>
      <c r="E1000" s="223"/>
      <c r="F1000" s="223"/>
      <c r="G1000" s="223"/>
      <c r="H1000" s="223"/>
      <c r="I1000" s="223"/>
      <c r="J1000" s="223"/>
      <c r="K1000" s="320"/>
      <c r="L1000" s="320"/>
      <c r="M1000" s="223"/>
      <c r="N1000" s="223"/>
      <c r="O1000" s="223"/>
      <c r="P1000" s="223"/>
      <c r="Q1000" s="223"/>
      <c r="R1000" s="223"/>
      <c r="S1000" s="223"/>
      <c r="T1000" s="223"/>
      <c r="U1000" s="223"/>
      <c r="V1000" s="223"/>
      <c r="W1000" s="223"/>
    </row>
    <row r="1001">
      <c r="A1001" s="223"/>
      <c r="B1001" s="223"/>
      <c r="C1001" s="223"/>
      <c r="D1001" s="223"/>
      <c r="E1001" s="223"/>
      <c r="F1001" s="223"/>
      <c r="G1001" s="223"/>
      <c r="H1001" s="223"/>
      <c r="I1001" s="223"/>
      <c r="J1001" s="223"/>
      <c r="K1001" s="223"/>
      <c r="L1001" s="223"/>
      <c r="M1001" s="223"/>
      <c r="N1001" s="223"/>
      <c r="O1001" s="223"/>
      <c r="P1001" s="223"/>
      <c r="Q1001" s="223"/>
      <c r="R1001" s="223"/>
      <c r="S1001" s="223"/>
      <c r="T1001" s="223"/>
      <c r="U1001" s="223"/>
      <c r="V1001" s="223"/>
      <c r="W1001" s="223"/>
    </row>
    <row r="1002">
      <c r="A1002" s="223"/>
      <c r="B1002" s="223"/>
      <c r="C1002" s="223"/>
      <c r="D1002" s="223"/>
      <c r="E1002" s="223"/>
      <c r="F1002" s="223"/>
      <c r="G1002" s="223"/>
      <c r="H1002" s="223"/>
      <c r="I1002" s="223"/>
      <c r="J1002" s="223"/>
      <c r="K1002" s="223"/>
      <c r="L1002" s="223"/>
      <c r="M1002" s="223"/>
      <c r="N1002" s="223"/>
      <c r="O1002" s="223"/>
      <c r="P1002" s="223"/>
      <c r="Q1002" s="223"/>
      <c r="R1002" s="223"/>
      <c r="S1002" s="223"/>
      <c r="T1002" s="223"/>
      <c r="U1002" s="223"/>
      <c r="V1002" s="223"/>
      <c r="W1002" s="223"/>
    </row>
    <row r="1003">
      <c r="A1003" s="223"/>
      <c r="B1003" s="223"/>
      <c r="C1003" s="223"/>
      <c r="D1003" s="223"/>
      <c r="E1003" s="223"/>
      <c r="F1003" s="223"/>
      <c r="G1003" s="223"/>
      <c r="H1003" s="223"/>
      <c r="I1003" s="223"/>
      <c r="J1003" s="223"/>
      <c r="K1003" s="223"/>
      <c r="L1003" s="223"/>
      <c r="M1003" s="223"/>
      <c r="N1003" s="223"/>
      <c r="O1003" s="223"/>
      <c r="P1003" s="223"/>
      <c r="Q1003" s="223"/>
      <c r="R1003" s="223"/>
      <c r="S1003" s="223"/>
      <c r="T1003" s="223"/>
      <c r="U1003" s="223"/>
      <c r="V1003" s="223"/>
      <c r="W1003" s="223"/>
    </row>
    <row r="1004">
      <c r="A1004" s="223"/>
      <c r="B1004" s="223"/>
      <c r="C1004" s="223"/>
      <c r="D1004" s="223"/>
      <c r="E1004" s="223"/>
      <c r="F1004" s="223"/>
      <c r="G1004" s="223"/>
      <c r="H1004" s="223"/>
      <c r="I1004" s="223"/>
      <c r="J1004" s="223"/>
      <c r="K1004" s="223"/>
      <c r="L1004" s="223"/>
      <c r="M1004" s="223"/>
      <c r="N1004" s="223"/>
      <c r="O1004" s="223"/>
      <c r="P1004" s="223"/>
      <c r="Q1004" s="223"/>
      <c r="R1004" s="223"/>
      <c r="S1004" s="223"/>
      <c r="T1004" s="223"/>
      <c r="U1004" s="223"/>
      <c r="V1004" s="223"/>
      <c r="W1004" s="223"/>
    </row>
    <row r="1005">
      <c r="A1005" s="223"/>
      <c r="B1005" s="223"/>
      <c r="C1005" s="223"/>
      <c r="D1005" s="223"/>
      <c r="E1005" s="223"/>
      <c r="F1005" s="223"/>
      <c r="G1005" s="223"/>
      <c r="H1005" s="223"/>
      <c r="I1005" s="223"/>
      <c r="J1005" s="223"/>
      <c r="K1005" s="223"/>
      <c r="L1005" s="223"/>
      <c r="M1005" s="223"/>
      <c r="N1005" s="223"/>
      <c r="O1005" s="223"/>
      <c r="P1005" s="223"/>
      <c r="Q1005" s="223"/>
      <c r="R1005" s="223"/>
      <c r="S1005" s="223"/>
      <c r="T1005" s="223"/>
      <c r="U1005" s="223"/>
      <c r="V1005" s="223"/>
      <c r="W1005" s="223"/>
    </row>
    <row r="1006">
      <c r="A1006" s="223"/>
      <c r="B1006" s="223"/>
      <c r="C1006" s="223"/>
      <c r="D1006" s="223"/>
      <c r="E1006" s="223"/>
      <c r="F1006" s="223"/>
      <c r="G1006" s="223"/>
      <c r="H1006" s="223"/>
      <c r="I1006" s="223"/>
      <c r="J1006" s="223"/>
      <c r="K1006" s="223"/>
      <c r="L1006" s="223"/>
      <c r="M1006" s="223"/>
      <c r="N1006" s="223"/>
      <c r="O1006" s="223"/>
      <c r="P1006" s="223"/>
      <c r="Q1006" s="223"/>
      <c r="R1006" s="223"/>
      <c r="S1006" s="223"/>
      <c r="T1006" s="223"/>
      <c r="U1006" s="223"/>
      <c r="V1006" s="223"/>
      <c r="W1006" s="223"/>
    </row>
    <row r="1007">
      <c r="A1007" s="223"/>
      <c r="B1007" s="223"/>
      <c r="C1007" s="223"/>
      <c r="D1007" s="223"/>
      <c r="E1007" s="223"/>
      <c r="F1007" s="223"/>
      <c r="G1007" s="223"/>
      <c r="H1007" s="223"/>
      <c r="I1007" s="223"/>
      <c r="J1007" s="223"/>
      <c r="K1007" s="223"/>
      <c r="L1007" s="223"/>
      <c r="M1007" s="223"/>
      <c r="N1007" s="223"/>
      <c r="O1007" s="223"/>
      <c r="P1007" s="223"/>
      <c r="Q1007" s="223"/>
      <c r="R1007" s="223"/>
      <c r="S1007" s="223"/>
      <c r="T1007" s="223"/>
      <c r="U1007" s="223"/>
      <c r="V1007" s="223"/>
      <c r="W1007" s="223"/>
    </row>
    <row r="1008">
      <c r="A1008" s="223"/>
      <c r="B1008" s="223"/>
      <c r="C1008" s="223"/>
      <c r="D1008" s="223"/>
      <c r="E1008" s="223"/>
      <c r="F1008" s="223"/>
      <c r="G1008" s="223"/>
      <c r="H1008" s="223"/>
      <c r="I1008" s="223"/>
      <c r="J1008" s="223"/>
      <c r="K1008" s="223"/>
      <c r="L1008" s="223"/>
      <c r="M1008" s="223"/>
      <c r="N1008" s="223"/>
      <c r="O1008" s="223"/>
      <c r="P1008" s="223"/>
      <c r="Q1008" s="223"/>
      <c r="R1008" s="223"/>
      <c r="S1008" s="223"/>
      <c r="T1008" s="223"/>
      <c r="U1008" s="223"/>
      <c r="V1008" s="223"/>
      <c r="W1008" s="223"/>
    </row>
    <row r="1009">
      <c r="A1009" s="223"/>
      <c r="B1009" s="223"/>
      <c r="C1009" s="223"/>
      <c r="D1009" s="223"/>
      <c r="E1009" s="223"/>
      <c r="F1009" s="223"/>
      <c r="G1009" s="223"/>
      <c r="H1009" s="223"/>
      <c r="I1009" s="223"/>
      <c r="J1009" s="223"/>
      <c r="K1009" s="223"/>
      <c r="L1009" s="223"/>
      <c r="M1009" s="223"/>
      <c r="N1009" s="223"/>
      <c r="O1009" s="223"/>
      <c r="P1009" s="223"/>
      <c r="Q1009" s="223"/>
      <c r="R1009" s="223"/>
      <c r="S1009" s="223"/>
      <c r="T1009" s="223"/>
      <c r="U1009" s="223"/>
      <c r="V1009" s="223"/>
      <c r="W1009" s="223"/>
    </row>
    <row r="1010">
      <c r="A1010" s="223"/>
      <c r="B1010" s="223"/>
      <c r="C1010" s="223"/>
      <c r="D1010" s="223"/>
      <c r="E1010" s="223"/>
      <c r="F1010" s="223"/>
      <c r="G1010" s="223"/>
      <c r="H1010" s="223"/>
      <c r="I1010" s="223"/>
      <c r="J1010" s="223"/>
      <c r="K1010" s="223"/>
      <c r="L1010" s="223"/>
      <c r="M1010" s="223"/>
      <c r="N1010" s="223"/>
      <c r="O1010" s="223"/>
      <c r="P1010" s="223"/>
      <c r="Q1010" s="223"/>
      <c r="R1010" s="223"/>
      <c r="S1010" s="223"/>
      <c r="T1010" s="223"/>
      <c r="U1010" s="223"/>
      <c r="V1010" s="223"/>
      <c r="W1010" s="223"/>
    </row>
    <row r="1011">
      <c r="A1011" s="223"/>
      <c r="B1011" s="223"/>
      <c r="C1011" s="223"/>
      <c r="D1011" s="223"/>
      <c r="E1011" s="223"/>
      <c r="F1011" s="223"/>
      <c r="G1011" s="223"/>
      <c r="H1011" s="223"/>
      <c r="I1011" s="223"/>
      <c r="J1011" s="223"/>
      <c r="K1011" s="223"/>
      <c r="L1011" s="223"/>
      <c r="M1011" s="223"/>
      <c r="N1011" s="223"/>
      <c r="O1011" s="223"/>
      <c r="P1011" s="223"/>
      <c r="Q1011" s="223"/>
      <c r="R1011" s="223"/>
      <c r="S1011" s="223"/>
      <c r="T1011" s="223"/>
      <c r="U1011" s="223"/>
      <c r="V1011" s="223"/>
      <c r="W1011" s="223"/>
    </row>
    <row r="1012">
      <c r="A1012" s="223"/>
      <c r="B1012" s="223"/>
      <c r="C1012" s="223"/>
      <c r="D1012" s="223"/>
      <c r="E1012" s="223"/>
      <c r="F1012" s="223"/>
      <c r="G1012" s="223"/>
      <c r="H1012" s="223"/>
      <c r="I1012" s="223"/>
      <c r="J1012" s="223"/>
      <c r="K1012" s="223"/>
      <c r="L1012" s="223"/>
      <c r="M1012" s="223"/>
      <c r="N1012" s="223"/>
      <c r="O1012" s="223"/>
      <c r="P1012" s="223"/>
      <c r="Q1012" s="223"/>
      <c r="R1012" s="223"/>
      <c r="S1012" s="223"/>
      <c r="T1012" s="223"/>
      <c r="U1012" s="223"/>
      <c r="V1012" s="223"/>
      <c r="W1012" s="223"/>
    </row>
    <row r="1013">
      <c r="A1013" s="223"/>
      <c r="B1013" s="223"/>
      <c r="C1013" s="223"/>
      <c r="D1013" s="223"/>
      <c r="E1013" s="223"/>
      <c r="F1013" s="223"/>
      <c r="G1013" s="223"/>
      <c r="H1013" s="223"/>
      <c r="I1013" s="223"/>
      <c r="J1013" s="223"/>
      <c r="K1013" s="223"/>
      <c r="L1013" s="223"/>
      <c r="M1013" s="223"/>
      <c r="N1013" s="223"/>
      <c r="O1013" s="223"/>
      <c r="P1013" s="223"/>
      <c r="Q1013" s="223"/>
      <c r="R1013" s="223"/>
      <c r="S1013" s="223"/>
      <c r="T1013" s="223"/>
      <c r="U1013" s="223"/>
      <c r="V1013" s="223"/>
      <c r="W1013" s="223"/>
    </row>
    <row r="1014">
      <c r="A1014" s="223"/>
      <c r="B1014" s="223"/>
      <c r="C1014" s="223"/>
      <c r="D1014" s="223"/>
      <c r="E1014" s="223"/>
      <c r="F1014" s="223"/>
      <c r="G1014" s="223"/>
      <c r="H1014" s="223"/>
      <c r="I1014" s="223"/>
      <c r="J1014" s="223"/>
      <c r="K1014" s="223"/>
      <c r="L1014" s="223"/>
      <c r="M1014" s="223"/>
      <c r="N1014" s="223"/>
      <c r="O1014" s="223"/>
      <c r="P1014" s="223"/>
      <c r="Q1014" s="223"/>
      <c r="R1014" s="223"/>
      <c r="S1014" s="223"/>
      <c r="T1014" s="223"/>
      <c r="U1014" s="223"/>
      <c r="V1014" s="223"/>
      <c r="W1014" s="223"/>
    </row>
    <row r="1015">
      <c r="A1015" s="223"/>
      <c r="B1015" s="223"/>
      <c r="C1015" s="223"/>
      <c r="D1015" s="223"/>
      <c r="E1015" s="223"/>
      <c r="F1015" s="223"/>
      <c r="G1015" s="223"/>
      <c r="H1015" s="223"/>
      <c r="I1015" s="223"/>
      <c r="J1015" s="223"/>
      <c r="K1015" s="223"/>
      <c r="L1015" s="223"/>
      <c r="M1015" s="223"/>
      <c r="N1015" s="223"/>
      <c r="O1015" s="223"/>
      <c r="P1015" s="223"/>
      <c r="Q1015" s="223"/>
      <c r="R1015" s="223"/>
      <c r="S1015" s="223"/>
      <c r="T1015" s="223"/>
      <c r="U1015" s="223"/>
      <c r="V1015" s="223"/>
      <c r="W1015" s="223"/>
    </row>
    <row r="1016">
      <c r="A1016" s="223"/>
      <c r="B1016" s="223"/>
      <c r="C1016" s="223"/>
      <c r="D1016" s="223"/>
      <c r="E1016" s="223"/>
      <c r="F1016" s="223"/>
      <c r="G1016" s="223"/>
      <c r="H1016" s="223"/>
      <c r="I1016" s="223"/>
      <c r="J1016" s="223"/>
      <c r="K1016" s="223"/>
      <c r="L1016" s="223"/>
      <c r="M1016" s="223"/>
      <c r="N1016" s="223"/>
      <c r="O1016" s="223"/>
      <c r="P1016" s="223"/>
      <c r="Q1016" s="223"/>
      <c r="R1016" s="223"/>
      <c r="S1016" s="223"/>
      <c r="T1016" s="223"/>
      <c r="U1016" s="223"/>
      <c r="V1016" s="223"/>
      <c r="W1016" s="223"/>
    </row>
    <row r="1017">
      <c r="A1017" s="223"/>
      <c r="B1017" s="223"/>
      <c r="C1017" s="223"/>
      <c r="D1017" s="223"/>
      <c r="E1017" s="223"/>
      <c r="F1017" s="223"/>
      <c r="G1017" s="223"/>
      <c r="H1017" s="223"/>
      <c r="I1017" s="223"/>
      <c r="J1017" s="223"/>
      <c r="K1017" s="223"/>
      <c r="L1017" s="223"/>
      <c r="M1017" s="223"/>
      <c r="N1017" s="223"/>
      <c r="O1017" s="223"/>
      <c r="P1017" s="223"/>
      <c r="Q1017" s="223"/>
      <c r="R1017" s="223"/>
      <c r="S1017" s="223"/>
      <c r="T1017" s="223"/>
      <c r="U1017" s="223"/>
      <c r="V1017" s="223"/>
      <c r="W1017" s="223"/>
    </row>
    <row r="1018">
      <c r="A1018" s="223"/>
      <c r="B1018" s="223"/>
      <c r="C1018" s="223"/>
      <c r="D1018" s="223"/>
      <c r="E1018" s="223"/>
      <c r="F1018" s="223"/>
      <c r="G1018" s="223"/>
      <c r="H1018" s="223"/>
      <c r="I1018" s="223"/>
      <c r="J1018" s="223"/>
      <c r="K1018" s="223"/>
      <c r="L1018" s="223"/>
      <c r="M1018" s="223"/>
      <c r="N1018" s="223"/>
      <c r="O1018" s="223"/>
      <c r="P1018" s="223"/>
      <c r="Q1018" s="223"/>
      <c r="R1018" s="223"/>
      <c r="S1018" s="223"/>
      <c r="T1018" s="223"/>
      <c r="U1018" s="223"/>
      <c r="V1018" s="223"/>
      <c r="W1018" s="223"/>
    </row>
    <row r="1019">
      <c r="A1019" s="223"/>
      <c r="B1019" s="223"/>
      <c r="C1019" s="223"/>
      <c r="D1019" s="223"/>
      <c r="E1019" s="223"/>
      <c r="F1019" s="223"/>
      <c r="G1019" s="223"/>
      <c r="H1019" s="223"/>
      <c r="I1019" s="223"/>
      <c r="J1019" s="223"/>
      <c r="K1019" s="223"/>
      <c r="L1019" s="223"/>
      <c r="M1019" s="223"/>
      <c r="N1019" s="223"/>
      <c r="O1019" s="223"/>
      <c r="P1019" s="223"/>
      <c r="Q1019" s="223"/>
      <c r="R1019" s="223"/>
      <c r="S1019" s="223"/>
      <c r="T1019" s="223"/>
      <c r="U1019" s="223"/>
      <c r="V1019" s="223"/>
      <c r="W1019" s="223"/>
    </row>
    <row r="1020">
      <c r="A1020" s="223"/>
      <c r="B1020" s="223"/>
      <c r="C1020" s="223"/>
      <c r="D1020" s="223"/>
      <c r="E1020" s="223"/>
      <c r="F1020" s="223"/>
      <c r="G1020" s="223"/>
      <c r="H1020" s="223"/>
      <c r="I1020" s="223"/>
      <c r="J1020" s="223"/>
      <c r="K1020" s="223"/>
      <c r="L1020" s="223"/>
      <c r="M1020" s="223"/>
      <c r="N1020" s="223"/>
      <c r="O1020" s="223"/>
      <c r="P1020" s="223"/>
      <c r="Q1020" s="223"/>
      <c r="R1020" s="223"/>
      <c r="S1020" s="223"/>
      <c r="T1020" s="223"/>
      <c r="U1020" s="223"/>
      <c r="V1020" s="223"/>
      <c r="W1020" s="223"/>
    </row>
    <row r="1021">
      <c r="A1021" s="223"/>
      <c r="B1021" s="223"/>
      <c r="C1021" s="223"/>
      <c r="D1021" s="223"/>
      <c r="E1021" s="223"/>
      <c r="F1021" s="223"/>
      <c r="G1021" s="223"/>
      <c r="H1021" s="223"/>
      <c r="I1021" s="223"/>
      <c r="J1021" s="223"/>
      <c r="K1021" s="223"/>
      <c r="L1021" s="223"/>
      <c r="M1021" s="223"/>
      <c r="N1021" s="223"/>
      <c r="O1021" s="223"/>
      <c r="P1021" s="223"/>
      <c r="Q1021" s="223"/>
      <c r="R1021" s="223"/>
      <c r="S1021" s="223"/>
      <c r="T1021" s="223"/>
      <c r="U1021" s="223"/>
      <c r="V1021" s="223"/>
      <c r="W1021" s="223"/>
    </row>
    <row r="1022">
      <c r="A1022" s="223"/>
      <c r="B1022" s="223"/>
      <c r="C1022" s="223"/>
      <c r="D1022" s="223"/>
      <c r="E1022" s="223"/>
      <c r="F1022" s="223"/>
      <c r="G1022" s="223"/>
      <c r="H1022" s="223"/>
      <c r="I1022" s="223"/>
      <c r="J1022" s="223"/>
      <c r="K1022" s="223"/>
      <c r="L1022" s="223"/>
      <c r="M1022" s="223"/>
      <c r="N1022" s="223"/>
      <c r="O1022" s="223"/>
      <c r="P1022" s="223"/>
      <c r="Q1022" s="223"/>
      <c r="R1022" s="223"/>
      <c r="S1022" s="223"/>
      <c r="T1022" s="223"/>
      <c r="U1022" s="223"/>
      <c r="V1022" s="223"/>
      <c r="W1022" s="223"/>
    </row>
    <row r="1023">
      <c r="A1023" s="223"/>
      <c r="B1023" s="223"/>
      <c r="C1023" s="223"/>
      <c r="D1023" s="223"/>
      <c r="E1023" s="223"/>
      <c r="F1023" s="223"/>
      <c r="G1023" s="223"/>
      <c r="H1023" s="223"/>
      <c r="I1023" s="223"/>
      <c r="J1023" s="223"/>
      <c r="K1023" s="223"/>
      <c r="L1023" s="223"/>
      <c r="M1023" s="223"/>
      <c r="N1023" s="223"/>
      <c r="O1023" s="223"/>
      <c r="P1023" s="223"/>
      <c r="Q1023" s="223"/>
      <c r="R1023" s="223"/>
      <c r="S1023" s="223"/>
      <c r="T1023" s="223"/>
      <c r="U1023" s="223"/>
      <c r="V1023" s="223"/>
      <c r="W1023" s="223"/>
    </row>
    <row r="1024">
      <c r="A1024" s="223"/>
      <c r="B1024" s="223"/>
      <c r="C1024" s="223"/>
      <c r="D1024" s="223"/>
      <c r="E1024" s="223"/>
      <c r="F1024" s="223"/>
      <c r="G1024" s="223"/>
      <c r="H1024" s="223"/>
      <c r="I1024" s="223"/>
      <c r="J1024" s="223"/>
      <c r="K1024" s="223"/>
      <c r="L1024" s="223"/>
      <c r="M1024" s="223"/>
      <c r="N1024" s="223"/>
      <c r="O1024" s="223"/>
      <c r="P1024" s="223"/>
      <c r="Q1024" s="223"/>
      <c r="R1024" s="223"/>
      <c r="S1024" s="223"/>
      <c r="T1024" s="223"/>
      <c r="U1024" s="223"/>
      <c r="V1024" s="223"/>
      <c r="W1024" s="223"/>
    </row>
    <row r="1025">
      <c r="A1025" s="223"/>
      <c r="B1025" s="223"/>
      <c r="C1025" s="223"/>
      <c r="D1025" s="223"/>
      <c r="E1025" s="223"/>
      <c r="F1025" s="223"/>
      <c r="G1025" s="223"/>
      <c r="H1025" s="223"/>
      <c r="I1025" s="223"/>
      <c r="J1025" s="223"/>
      <c r="K1025" s="223"/>
      <c r="L1025" s="223"/>
      <c r="M1025" s="223"/>
      <c r="N1025" s="223"/>
      <c r="O1025" s="223"/>
      <c r="P1025" s="223"/>
      <c r="Q1025" s="223"/>
      <c r="R1025" s="223"/>
      <c r="S1025" s="223"/>
      <c r="T1025" s="223"/>
      <c r="U1025" s="223"/>
      <c r="V1025" s="223"/>
      <c r="W1025" s="223"/>
    </row>
    <row r="1026">
      <c r="A1026" s="223"/>
      <c r="B1026" s="223"/>
      <c r="C1026" s="223"/>
      <c r="D1026" s="223"/>
      <c r="E1026" s="223"/>
      <c r="F1026" s="223"/>
      <c r="G1026" s="223"/>
      <c r="H1026" s="223"/>
      <c r="I1026" s="223"/>
      <c r="J1026" s="223"/>
      <c r="K1026" s="223"/>
      <c r="L1026" s="223"/>
      <c r="M1026" s="223"/>
      <c r="N1026" s="223"/>
      <c r="O1026" s="223"/>
      <c r="P1026" s="223"/>
      <c r="Q1026" s="223"/>
      <c r="R1026" s="223"/>
      <c r="S1026" s="223"/>
      <c r="T1026" s="223"/>
      <c r="U1026" s="223"/>
      <c r="V1026" s="223"/>
      <c r="W1026" s="223"/>
    </row>
  </sheetData>
  <hyperlinks>
    <hyperlink r:id="rId1" ref="B10"/>
    <hyperlink r:id="rId2" ref="D10"/>
    <hyperlink r:id="rId3" ref="F10"/>
    <hyperlink r:id="rId4" ref="H10"/>
    <hyperlink r:id="rId5" ref="J10"/>
    <hyperlink r:id="rId6" ref="N10"/>
    <hyperlink r:id="rId7" ref="P10"/>
  </hyperlinks>
  <drawing r:id="rId8"/>
</worksheet>
</file>